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IDS" sheetId="2" r:id="rId6"/>
    <sheet state="visible" name="Master Sheet" sheetId="3" r:id="rId7"/>
    <sheet state="hidden" name="_IDS" sheetId="4" r:id="rId8"/>
    <sheet state="visible" name="Lab Calculator" sheetId="5" r:id="rId9"/>
    <sheet state="visible" name="Lab Planner" sheetId="6" r:id="rId10"/>
    <sheet state="hidden" name="DVT_Laboratory" sheetId="7" r:id="rId11"/>
    <sheet state="hidden" name="DVT_Laboratory2" sheetId="8" r:id="rId12"/>
    <sheet state="visible" name="Tier List" sheetId="9" r:id="rId13"/>
    <sheet state="hidden" name="Remote Tier List" sheetId="10" r:id="rId14"/>
    <sheet state="visible" name="Lab Boost Calculator" sheetId="11" r:id="rId15"/>
    <sheet state="visible" name="Short Lab Path" sheetId="12" r:id="rId16"/>
    <sheet state="visible" name="Goldbox Path" sheetId="13" r:id="rId17"/>
    <sheet state="visible" name="Interactive Thorns" sheetId="14" r:id="rId18"/>
    <sheet state="visible" name="ELS BC Reduction" sheetId="15" r:id="rId19"/>
    <sheet state="visible" name="Elites Spawncap" sheetId="16" r:id="rId20"/>
    <sheet state="hidden" name="EXPORT" sheetId="17" r:id="rId21"/>
  </sheets>
  <definedNames>
    <definedName name="LC_LabTargets_Array">'Lab Calculator'!$P$3:$P$177</definedName>
    <definedName name="LC_HideOption">'Lab Calculator'!$E$1</definedName>
    <definedName name="LC_LabNamesOrder_Array">'Lab Calculator'!$A$3:$A$177</definedName>
    <definedName name="MS_Labs_Array">EXPORT!$B$5:$E$216</definedName>
    <definedName name="RelicValidation">#REF!</definedName>
    <definedName name="LC_LabLvls_Array">'Lab Calculator'!$C$3:$C$177</definedName>
    <definedName localSheetId="1" name="RelicValidation">IDS!$F$7</definedName>
    <definedName name="LABS_LabSearchStartPoint">DVT_Laboratory!$B$3</definedName>
    <definedName name="LABS_LabName_Array">DVT_Laboratory!$B$1:$LO$1</definedName>
    <definedName name="MS_LabNamesOrder_Array">EXPORT!$B$5:$B$177</definedName>
    <definedName localSheetId="1" name="RelicID">IDS!$E$9</definedName>
    <definedName name="RelicID">#REF!</definedName>
    <definedName name="MS_LabDisc_LabVal">'Master Sheet'!$C$7</definedName>
    <definedName name="LABS_LabLevel_Array">DVT_Laboratory!$A$3:$A$102</definedName>
    <definedName name="IDS_MOD_GENERATOR_ASSIST_MULT_CAP">LAMBDA('_IDS'!$BM$4)</definedName>
    <definedName name="IDS_MOD_GENERATOR_NAME">LAMBDA(preset, OFFSET('_IDS'!$BM$8, MATCH(preset, '_IDS'!$BL$7:$BL$23, 0)-1, 0, 1, 1))</definedName>
    <definedName name="IDS_MOD_CANNON_NAME">LAMBDA(preset, OFFSET('_IDS'!$BC$8, MATCH(preset, '_IDS'!$BB$7:$BB$23, 0)-1, 0, 1, 1))</definedName>
    <definedName name="IDS_MOD_CORE_RARITY">LAMBDA(name, IFERROR(OFFSET('_IDS'!$BQ$29, MATCH(name, '_IDS'!$BQ$27:$BQ, 0)-1, 0, 1, 1)))</definedName>
    <definedName name="IDS_MOD_CORE_NAME">LAMBDA(preset, OFFSET('_IDS'!$BR$8, MATCH(preset, '_IDS'!$BQ$7:$BQ$23, 0)-1, 0, 1, 1))</definedName>
    <definedName name="IDS_WS_CASH_LEVEL">LAMBDA(ws_name, IF('_IDS'!$G$1="✅", IFERROR(VLOOKUP(ws_name, '_IDS'!$F$2:$Q, 3, FALSE), 0), 0))</definedName>
    <definedName name="IDS_MOD_GENERATOR_LEVEL">LAMBDA(name, OFFSET('_IDS'!$BM$29, MATCH(name, '_IDS'!$BL$27:$BL, 0)-1, 0, 1, 1))</definedName>
    <definedName name="IDS_THEMES_BOOST">LAMBDA('_IDS'!$AY$2)</definedName>
    <definedName name="MODSTAT_CANNON">LAMBDA(rarity, level, ROUND(
(VLOOKUP(SPLIT(rarity, " "),MOD_BASE_STAT_ARRAY,2,false)+SUMPRODUCT(IF(level&gt;MOD_STEPS_INCREASE_NEXT,MOD_STEPS_INCREASE_NEXT-MOD_STEPS_INCREASE,IF(level&lt;MOD_STEPS_INCREASE, 0, level-MOD_STEPS_INCREASE)), MOD_CANNON_INCREASE_ARRAY))*IF(RIGHT(rarity, 1) = "*", 1 + MID(rarity, 11, 1) * 0.04, 1)+1, 3))</definedName>
    <definedName name="IDS_MOD_CORE_BONUS">LAMBDA(name, OFFSET('_IDS'!$BS$29, MATCH(name, '_IDS'!$BQ$27:$BQ, 0)-1, 0, 1, 1))</definedName>
    <definedName name="IDS_MOD_ARMOR_LEVEL">LAMBDA(name, OFFSET('_IDS'!$BH$29, MATCH(name, '_IDS'!$BG$27:$BG, 0)-1, 0, 1, 1))</definedName>
    <definedName name="IDS_MOD_CORE_ASSIST_SUBSTAT_CAP">LAMBDA('_IDS'!$BR$5)</definedName>
    <definedName name="IDS_MOD_ARMOR_SUBSTATS">LAMBDA(name, IFERROR(OFFSET('_IDS'!$BG$31, MATCH(name, '_IDS'!$BG$27:$BG, 0)-1, 0, 8, 4)))</definedName>
    <definedName name="LABDURATION_SINGLE_ADJUSTED_FORMATED">LAMBDA(lab_name, lab_level, XLOOKUP(lab_level,LR_LabLevel_Array,OFFSET(LR_LabSearchStartPoint,0,MATCH(lab_name,LR_LabName_Array,0),100,1),"N/F",0,1))</definedName>
    <definedName name="FORMAT_NUMBER">LAMBDA(cell, IFS(
cell&gt;=1E+60,ROUND(cell/1E+60,2)&amp;" ai",
cell&gt;=1E+57,ROUND(cell/1E+57,2)&amp;" ah",
cell&gt;=1E+54,ROUND(cell/1E+54,2)&amp;" ag",
cell&gt;=1E+51,ROUND(cell/1E+51,2)&amp;" af",
cell&gt;=1E+48,ROUND(cell/1E+48,2)&amp;" ae",
cell&gt;=1E+45,ROUND(cell/1E+45,2)&amp;" ad",
cell&gt;=1E+42,ROUND(cell/1E+42,2)&amp;" ac",
cell&gt;=1E+39,ROUND(cell/1E+39,2)&amp;" ab",
cell&gt;=1E+36,ROUND(cell/1E+36,2)&amp;" aa",
cell&gt;=1E+33,ROUND(cell/1E+33,2)&amp;" D",
cell&gt;=1E+30,ROUND(cell/1E+30,2)&amp;" N",
cell&gt;=1E+27,ROUND(cell/1E+27,2)&amp;" O",
cell&gt;=1E+24,ROUND(cell/1E+24,2)&amp;" S",
cell&gt;=1E+21,ROUND(cell/1E+21,2)&amp;" s",
cell&gt;=1000000000000000000,ROUND(cell/1000000000000000000,2)&amp;" Q",
cell&gt;=1000000000000000,ROUND(cell/1000000000000000,2)&amp;" q",
cell&gt;=1000000000000,ROUND(cell/1000000000000,2)&amp;" T",
cell&gt;=1000000000,ROUND(cell/1000000000,2)&amp;" B",
cell&gt;=1000000,ROUND(cell/1000000,2)&amp;" M", 
cell&gt;=1000,ROUND(cell/1000,2)&amp;" K",
1,cell))</definedName>
    <definedName name="IDS_MOD_GENERATOR_ASSIST_LEVEL">LAMBDA('_IDS'!$BN$2)</definedName>
    <definedName name="IDS_MOD_GENERATOR_RARITY">LAMBDA(name, IFERROR(OFFSET('_IDS'!$BL$29, MATCH(name, '_IDS'!$BL$27:$BL, 0)-1, 0, 1, 1)))</definedName>
    <definedName name="IDS_CARDS_IN_PRESET">LAMBDA(preset, card_name, COUNTIF(OFFSET('_IDS'!$AH$3, 0, MATCH(preset, '_IDS'!$AH$2:$AL$2, 0)-1, 30, 1)
, card_name) &gt; 0)</definedName>
    <definedName name="IDS_PS_TIER_PB">LAMBDA(tiername, VLOOKUP(TierName, '_IDS'!$BZ$3:$CA, 2, FALSE))</definedName>
    <definedName name="IDS_WS_COIN_LEVEL">LAMBDA(ws_name, IF('_IDS'!$G$1="✅", IFERROR(VLOOKUP(ws_name, '_IDS'!$F$2:$Q, 2, FALSE), 0), 0))</definedName>
    <definedName name="IDS_MOD_ARMOR_ASSIST_MULT_CAP">LAMBDA('_IDS'!$BH$4)</definedName>
    <definedName name="IDS_BOT_VALUE">LAMBDA(bot_name, bot_property, LET(
  off, (MATCH(bot_name, '_IDS'!$AS$2:$AS$17, 0) - 1),
  VLOOKUP(bot_property, OFFSET('_IDS'!$AU$2, off, 0, 4, 2), 2, FALSE)
))</definedName>
    <definedName name="IDS_MOD_CANNON_ASSIST_NAME">LAMBDA(preset, OFFSET('_IDS'!$BC$9, MATCH(preset, '_IDS'!$BB$7:$BB$23, 0)-1, 0, 1, 1))</definedName>
    <definedName name="IDS_MOD_ARMOR_ASSIST_SUBSTATS">LAMBDA(name, IFERROR(
  OFFSET(
    '_IDS'!$BG$31,
    MATCH(name, '_IDS'!$BG$27:$BG, 0)-1,
    0,
    LET(
      level, IDS_MOD_ARMOR_ASSIST_LEVEL(),
      IFS(
        level&gt;=241, 8,
        level&gt;=201, 7,
        level&gt;=161, 6,
        level&gt;=141, 5,
        level&gt;=101, 4,
        level&gt;=41, 3,
        TRUE, 2
      )
    ),
    4
  )
))</definedName>
    <definedName name="IDS_MOD_CORE_ASSIST_LEVEL">LAMBDA('_IDS'!$BS$2)</definedName>
    <definedName name="IDS_CARD_PRESET">LAMBDA(preset, OFFSET('_IDS'!$AH$3, 0, MATCH(preset, '_IDS'!$AH$2:$AL$2, 0)-1, 27, 1))</definedName>
    <definedName name="IDS_MOD_CORE_SUBSTAT">LAMBDA(preset, substat_name, IFERROR(VLOOKUP(
  substat_name,
  IDS_MOD_CORE_SUBSTATS(IDS_MOD_CORE_NAME(preset))
  ,4, FALSE), 0)
+IFERROR(VLOOKUP(
  substat_name,
  IDS_MOD_CORE_SUBSTATS(IDS_MOD_CORE_ASSIST_NAME(preset))
  ,4, FALSE), 0)
*(IDS_MOD_CORE_ASSIST_SUBSTAT_CAP()+IDS_LAB_LEVEL("Assist Module Substats - Core")/100
))</definedName>
    <definedName name="IDS_MOD_CANNON_ASSIST_LEVEL">LAMBDA('_IDS'!$BD$2)</definedName>
    <definedName name="UNFORMAT_NUMBER">LAMBDA(number, IFERROR(LET(
  value1, VALUE(LEFT(number, LEN(number)-1)),
  value2, VALUE(LEFT(number, LEN(number)-2)), 
    SWITCH(RIGHT(number, 2),
    "aa", value2 * 10^36,
    "ab", value2 * 10^39,
    "ac", value2 * 10^42,
    "ad", value2 * 10^45,
    "ae", value2 * 10^48,
    "af", value2 * 10^51,
    "ag", value2 * 10^54,
    "ah", value2 * 10^57,
    "ai", value2 * 10^60,
    "aj", value2 * 10^63,
    "ak", value2 * 10^66,
    "al", value2 * 10^69,
    "am", value2 * 10^72,
    "an", value2 * 10^75,
    "ao", value2 * 10^78,
    "ap", value2 * 10^81,
    "aq", value2 * 10^84,
    "ar", value2 * 10^87,
    "as", value2 * 10^90,
    "at", value2 * 10^93,
    "au", value2 * 10^96,
    "av", value2 * 10^99,
    "aw", value2 * 10^102,
    "ax", value2 * 10^105,
    "ay", value2 * 10^108,
    "az", value2 * 10^111,
    SWITCH(CODE(RIGHT(number, 1)),
        CODE("K"), value1 * 10^3,
        CODE("M"), value1 * 10^6,
        CODE("B"), value1 * 10^9,
        CODE("T"), value1 * 10^12,
        CODE("q"), value1 * 10^15,
        CODE("Q"), value1 * 10^18,
        CODE("s"), value1 * 10^21,
        CODE("S"), value1 * 10^24,
        CODE("O"), value1 * 10^27,
        CODE("N"), value1 * 10^30,
        CODE("D"), value1 * 10^33,
        number)
)), 
    "Invalid input"
))</definedName>
    <definedName name="IDS_PS_COIN_MULTIPLIER">LAMBDA('_IDS'!$CE$14)</definedName>
    <definedName name="MODSTAT_GENERATOR">LAMBDA(rarity, level, ROUND(
(VLOOKUP(SPLIT(rarity, " "),MOD_BASE_STAT_ARRAY,4,false)+SUMPRODUCT(IF(level&gt;MOD_STEPS_INCREASE_NEXT,MOD_STEPS_INCREASE_NEXT-MOD_STEPS_INCREASE,IF(level&lt;MOD_STEPS_INCREASE, 0, level-MOD_STEPS_INCREASE)), MOD_GENERATOR_INCREASE_ARRAY))*IF(RIGHT(rarity, 1) = "*", 1 + MID(rarity, 11, 1) * 0.04, 1)+1, 3))</definedName>
    <definedName name="IDS_MOD_CANNON_ASSIST_SUBSTAT_CAP">LAMBDA('_IDS'!$BC$5)</definedName>
    <definedName name="RELIC_STAT">LAMBDA(relic_name, IF(RelicValidation="✅", VLOOKUP(relic_name,'_IDS'!$A$1:$B,2,FALSE), 0))</definedName>
    <definedName name="IDS_MOD_CANNON_SUBSTATS">LAMBDA(name, IFERROR(OFFSET('_IDS'!$BB$31, MATCH(name, '_IDS'!$BB$27:$BB, 0)-1, 0, 8, 4)))</definedName>
    <definedName name="IDS_MOD_CORE_LEVEL">LAMBDA(name, OFFSET('_IDS'!$BR$29, MATCH(name, '_IDS'!$BQ$27:$BQ, 0)-1, 0, 1, 1))</definedName>
    <definedName name="IDS_MOD_CORE_ASSIST_MULT_CAP">LAMBDA('_IDS'!$BR$4)</definedName>
    <definedName name="IDS_BOT_OWN">LAMBDA(bot_name, LET(
  off, (MATCH(bot_name, '_IDS'!$AS$2:$AS$17, 0) - 1),
  OFFSET('_IDS'!$AS$5, off, 0, 1, 1)
))</definedName>
    <definedName name="FORMAT_TIME_YEAR">LAMBDA(duration, IF(duration,IF(int(duration)&gt;364, FLOOR(int(duration)/365)&amp;"y ", )
&amp;mod(int(duration),365)&amp;"d "&amp;if(hour(mod(duration,1))&lt;10,CHAR(8194),)&amp;hour(mod(duration,1))&amp;"h "&amp;if(minute(mod(duration,1))&lt;10,CHAR(8194),)&amp;minute(mod(duration,1))&amp;"m",))</definedName>
    <definedName name="DVT_MODULE_COINS_COST">LAMBDA(level, IFS(
 level=1,0,
 level&lt;=5,10000,
 level&lt;=10,25000,
 level&lt;=15,45000,
 level&lt;=20,60000,
 level&lt;=25,120000,
 level&lt;=30,180000,
 level&lt;=35,350000,
 level&lt;=40,500000,
 level&lt;=50,1000000,
 level&lt;=60,3000000,
 level&lt;=70,25000000,
 level&lt;=80,100000000,
 level&lt;=100,350000000,
 level&lt;=120,8000000000,
 level&lt;=140,32000000000,
 level&lt;=160,500000000000,
 level&lt;=200,10000000000000 + (level-161)*50000000000000,
 level&lt;=240, ((((level-201)*(level-200))/2)+2)*1250000000000000,
 level&lt;=300, ((((level-241)*(level-240))/2)+2)*500000000000000000,
 level=300,886000000000000000000
))</definedName>
    <definedName name="IDS_MOD_CANNON_ASSIST_SUBSTATS">LAMBDA(name, IFERROR(
  OFFSET(
    '_IDS'!$BB$31,
    MATCH(name, '_IDS'!$BB$27:$BB, 0)-1,
    0,
    LET(
      level, IDS_MOD_CANNON_ASSIST_LEVEL(),
      IFS(
        level&gt;=241, 8,
        level&gt;=201, 7,
        level&gt;=161, 6,
        level&gt;=141, 5,
        level&gt;=101, 4,
        level&gt;=41, 3,
        TRUE, 2
      )
    ),
    4
  )
))</definedName>
    <definedName name="DVT_MODULE_SHARDS_COST">LAMBDA(level, IFS(
 level=1,0,
 level&lt;=5,7,
 level&lt;=10,12,
 level&lt;=15,20,
 level&lt;=20,25,
 level&lt;=25,40,
 level&lt;=30,50,
 level&lt;=35,75,
 level&lt;=40,90,
 level&lt;=50,120,
 level&lt;=60,180,
 level&lt;=70,250,
 level&lt;=80,350,
 level&lt;=90,500,
 level&lt;=100,700,
 level&lt;=110,1000,
 level&lt;=120,1300,
 level&lt;=130,1800,
 level&lt;=140,2500,
 level&lt;=150,3000,
 level&lt;=160,4000,
 level&lt;=200,5000 + (level-161)*125,
 level&lt;=300,10000 + (level-201)*250,
 level=300,49500
))</definedName>
    <definedName name="DVT_LAB_COST">LAMBDA(lab_name, lab_level, XLOOKUP(
    MAX(1, lab_level+1), 
    SEQUENCE(101, 1, 0, 1), 
    INDEX(
        DVT_Laboratory!$C$2:$ACB$102, 
        0, 
        MATCH(lab_name, DVT_Laboratory!$B$1:$1, 0)
    ), 
    "N/F", 
    0, 
    1
))</definedName>
    <definedName name="LAB_SPEED_TOTAL">LAMBDA((1+('Master Sheet'!$C$8*0.02))*(1+'Master Sheet'!$BK$5))</definedName>
    <definedName name="IDS_UW_LEVEL">LAMBDA(uw_name, uw_stat, LET(
  off, (MATCH(uw_name, '_IDS'!$Z$2:$Z$37, 0) - 1),
  VLOOKUP(uw_stat, OFFSET('_IDS'!$AB$2, off, 0, 4, 3), 3, FALSE)
))</definedName>
    <definedName name="FORMAT_NUMBER2">LAMBDA(cell,  LET(
      array_letters,
      {"", " K", " M", " B", " T", " q", " Q", " s", " S", " O", " N", " D", " aa", " ab", " ac", " ad", " ae", " af", "ag", "ah", "ai", "aj"},
      array_Index,
      INT(LOG10(cell) / 3) + 1,
      IFERROR(
        ROUND( cell * 10^(-3* int(int(log10( cell ))/3)) , 2 ) &amp; index( array_letters, array_Index)
        , cell
      )
))</definedName>
    <definedName name="FORMAT_TIME">LAMBDA(duration, IF(
  duration,
  int(duration) &amp; "d " &amp; if(
    hour(mod(duration,1))&lt;10,
    CHAR(8194)
    ,
  ) &amp; hour(mod(duration,1))&amp;"h " &amp; if(
    minute(mod(duration,1))&lt;10,
    CHAR(8194),)&amp;minute(mod(duration,1))&amp;"m"
    ,
  ))</definedName>
    <definedName name="IDS_MOD_CORE_ASSIST_SUBSTATS">LAMBDA(name, IFERROR(
  OFFSET(
    '_IDS'!$BQ$31,
    MATCH(name, '_IDS'!$BQ$27:$BQ, 0)-1,
    0,
    LET(
      level, IDS_MOD_CORE_ASSIST_LEVEL(),
      IFS(
        level&gt;=241, 8,
        level&gt;=201, 7,
        level&gt;=161, 6,
        level&gt;=141, 5,
        level&gt;=101, 4,
        level&gt;=41, 3,
        TRUE, 2
      )
    ),
    4
  )
))</definedName>
    <definedName name="IDS_MOD_ARMOR_NAME">LAMBDA(preset, OFFSET('_IDS'!$BH$8, MATCH(preset, '_IDS'!$BG$7:$BG$23, 0)-1, 0, 1, 1))</definedName>
    <definedName name="IDS_MOD_CANNON_RARITY">LAMBDA(name, IFERROR(OFFSET('_IDS'!$BB$29, MATCH(name, '_IDS'!$BB$27:$BB, 0)-1, 0, 1, 1)))</definedName>
    <definedName name="IDS_LAB_GODLBOXED_COUNT">LAMBDA(SUMPRODUCT(--('_IDS'!$B$2:$B='_IDS'!$D$2:$D),--('_IDS'!$D$2:$D&lt;&gt;"")))</definedName>
    <definedName name="IDS_WSE_PRESET_LEVEL">LAMBDA(preset, wse_name, IF('_IDS'!$G$1="✅", IFERROR(OFFSET('_IDS'!$T$4, MATCH(wse_name, '_IDS'!$R$4:$R, 0)-1, MATCH(preset, '_IDS'!$T$2:$X$2, 0)-1, 1, 1), 0), 0))</definedName>
    <definedName name="IDS_CARD_LEVEL">LAMBDA(card_name, IF(VLOOKUP(card_name,'_IDS'!$AE$2:$AG$31, 2, FALSE)="Locked", 1, VLOOKUP(card_name,'_IDS'!$AE$2:$AG, 2, FALSE)))</definedName>
    <definedName name="IDS_WS_LEVEL">LAMBDA(ws_name, MAX(IDS_WS_COIN_LEVEL(ws_name), IDS_WS_CASH_LEVEL(ws_name)))</definedName>
    <definedName name="DVT_MODULE_CANNON_INCREMENT">LAMBDA(level, IFS(
  level=1, 0,
  level&lt;=20, 0.002,
  level&lt;=30, 0.004,
  level&lt;=40, 0.006,
  level&lt;=60, 0.008,
  level&lt;=80, 0.012,
  level&lt;=100,0.03,
  level&lt;=120,0.07,
  level&lt;=140,0.1,
  level&lt;=160,0.12,
  TRUE, 0.2
))</definedName>
    <definedName name="IDS_GUARDIAN_LEVEL">LAMBDA(guardian_name, guardian_stat, LET(
  off, (MATCH(guardian_name, '_IDS'!$BU$2:$BU, 0) - 1),
  VLOOKUP(guardian_stat, OFFSET('_IDS'!$BW$2, off, 0, 4, 3), 3, FALSE)
))</definedName>
    <definedName name="IDS_MOD_GENERATOR_ASSIST_SUBSTAT_CAP">LAMBDA('_IDS'!$BM$5)</definedName>
    <definedName name="LABDURATION_SINGLE_ADJUSTED">LAMBDA(lab_name, lab_level, DVT_LAB_DURATION(lab_name, lab_level) / LAB_SPEED_TOTAL())</definedName>
    <definedName name="DVT_MODULE_SHARDS_COST_CUMMULATIVE">LAMBDA(level, IF(level &lt;=1, 0, SUM(ARRAYFORMULA(DVT_MODULE_SHARDS_COST(ROW(INDIRECT("1:"&amp;level)))))))</definedName>
    <definedName name="TIME_TO_RUSH_GEMS">LAMBDA(time, goldboxed_labs, ROUNDUP(IFS(
   time*86400 &gt; 31104000, 25000,
   time*86400 &gt; 7776000, (17000 / 23328000) * (time * 86400 - 7776000) + 8000,
   time*86400 &gt; 2592000, (4450 / 5184000) * (time * 86400 - 2592000) + 3550,
   time*86400 &gt; 604800, (2550 / 1987200) * (time * 86400 - 604800) + 1000,
   time*86400 &gt; 86400, (837 / 518400) * (time * 86400 - 86400) + 163,
   time*86400 &gt; 3600, (155.5 / 82800) * (time * 86400 - 3600) + 7.5,
   time*86400 &gt; 60, (7.375 / 3540) * (time * 86400 - 60) + 0.125,
   time*86400 &gt; 1, (0.122917 / 59) * (time * 86400 - 1) + 0.002083,
   TRUE, 0
) / (1 + goldboxed_labs * 1.5%)))</definedName>
    <definedName name="IDS_UW_VALUE">LAMBDA(uw_name, uw_stat, LET(
  off, (MATCH(uw_name, '_IDS'!$Z$2:$Z$37, 0) - 1),
  VLOOKUP(uw_stat, OFFSET('_IDS'!$AB$2, off, 0, 4, 2), 2, FALSE)
))</definedName>
    <definedName name="IDS_MOD_CORE_SUBSTATS">LAMBDA(name, IFERROR(OFFSET('_IDS'!$BQ$31, MATCH(name, '_IDS'!$BQ$27:$BQ, 0)-1, 0, 8, 4)))</definedName>
    <definedName name="IDS_VAULT_STAT">LAMBDA(vault_stat, IFERROR(IF('_IDS'!$AR$1="✅", VLOOKUP(vault_stat,'_IDS'!$AP$2:$AQ,2,FALSE), 0), 0))</definedName>
    <definedName name="IDS_WS_PRESET_COIN_LEVEL">LAMBDA(preset, ws_name, IF('_IDS'!$G$1="✅", IFERROR(OFFSET('_IDS'!$G$4, MATCH(ws_name, '_IDS'!$F$4:$F, 0)-1, MATCH(preset, '_IDS'!$G$2:$P$2, 0)-1, 1, 1), 0), 0))</definedName>
    <definedName name="IDS_WS_PRESET_CASH_LEVEL">LAMBDA(preset, ws_name, IF('_IDS'!$G$1="✅", IFERROR(OFFSET('_IDS'!$H$4, MATCH(ws_name, '_IDS'!$F$4:$F, 0)-1, MATCH(preset, '_IDS'!$G$2:$P$2, 0)-1, 1, 1), 0), 0))</definedName>
    <definedName name="IDS_GUARDIAN_OWN">LAMBDA(guardian_name, LET(
  off, (MATCH(guardian_name, '_IDS'!$BU$2:$BU, 0) - 1),
  OFFSET('_IDS'!$BU$4, off, 0, 1, 1)
))</definedName>
    <definedName name="IDS_MOD_CANNON_SUBSTAT">LAMBDA(preset, substat_name, IFERROR(VLOOKUP(
  substat_name,
  IDS_MOD_CANNON_SUBSTATS(IDS_MOD_CANNON_NAME(preset))
  ,4, FALSE), 0)
+IFERROR(VLOOKUP(
  substat_name,
  IDS_MOD_CANNON_SUBSTATS(IDS_MOD_CANNON_ASSIST_NAME(preset))
  ,4, FALSE), 0)
*(IDS_MOD_CANNON_ASSIST_SUBSTAT_CAP()+IDS_LAB_LEVEL("Assist Module Substats - Cannon")/100
))</definedName>
    <definedName name="DVT_LAB_UNLOCK_AT">LAMBDA(lab_name, "T" &amp; DVT_LAB_UNLOCK_AT_TIER(lab_name
) &amp; " " &amp; DVT_LAB_UNLOCK_AT_WAVE(lab_name))</definedName>
    <definedName name="DVT_LAB_UNLOCK_AT_TIER">LAMBDA(lab_name, LET(
  idx, MATCH(Lab_Name, DVT_Laboratory2!$A$2:$A, FALSE),
  VALUE(INDEX(DVT_Laboratory2!$B$2:$B, idx, 0))
))</definedName>
    <definedName name="IDS_MOD_CANNON_ASSIST_MULT_CAP">LAMBDA('_IDS'!$BC$4)</definedName>
    <definedName name="MOD_SUBSTAT_LOOKUP">LAMBDA(substat_name, substat_rarity, formatted_text_option, IFNA(VLOOKUP(substat_name,DVT_Mod_SubStat_Value_Array,MATCH(substat_rarity,ARRAY_CONSTRAIN(DVT_Mod_SubStat_Value_Array,1,COLUMNS(DVT_Mod_SubStat_Value_Array)),0)+IF(formatted_text_option,1,0),0),))</definedName>
    <definedName name="IDS_MOD_CANNON_BONUS">LAMBDA(name, OFFSET('_IDS'!$BD$29, MATCH(name, '_IDS'!$BB$27:$BB, 0)-1, 0, 1, 1))</definedName>
    <definedName name="IDS_LAB_TARGET">LAMBDA(lab_name, IF('_IDS'!$C$1="✅", VLOOKUP(lab_name, '_IDS'!$A$2:$C, 3, FALSE), ))</definedName>
    <definedName name="VERSION_AT_LEAST">LAMBDA(currentversion, minimalversion, LET(
  v, SPLIT(SUBSTITUTE(CurrentVersion,"v",""),"."),
  b, SPLIT(SUBSTITUTE(MinimalVersion,"v",""),"."),
  lv, COUNTA(v),
  lb, COUNTA(b),
  maxLen, MAX(lv, lb),
  vNums, IF(SEQUENCE(maxLen)&lt;=lv, INDEX(v,SEQUENCE(maxLen)), 0),
  bNums, IF(SEQUENCE(maxLen)&lt;=lb, INDEX(b,SEQUENCE(maxLen)), 0),
  compare, SIGN(vNums - bNums),
  firstDiff, INDEX(FILTER(compare, compare&lt;&gt;0),1,1),
  IF(ISNA(firstDiff), TRUE, firstDiff=1)
))</definedName>
    <definedName name="DVT_LAB_UNLOCK_AT_WAVE">LAMBDA(lab_name, LET(
  idx, MATCH(Lab_Name, DVT_Laboratory2!$A$2:$A, FALSE),
  INDEX(DVT_Laboratory2!$C$2:$C, idx, 0)
))</definedName>
    <definedName name="MODSTAT_ARMOR">LAMBDA(rarity, level, ROUND(
(
  VLOOKUP(
    SPLIT(rarity, " "),
    MOD_BASE_STAT_ARRAY,3,false
  ) + SUMPRODUCT(
    IF(level &gt; MOD_STEPS_INCREASE_NEXT, 
      MOD_STEPS_INCREASE_NEXT - MOD_STEPS_INCREASE,
      IF(level &lt; MOD_STEPS_INCREASE, 
        0,
        level - MOD_STEPS_INCREASE
    )),
    MOD_ARMOR_INCREASE_ARRAY
  )
)*IF(RIGHT(rarity, 1) = "*", 1 + MID(rarity, 11, 1) * 0.04, 1)+1, 3))</definedName>
    <definedName name="IDS_MOD_SUBSTATS_HELPER">LAMBDA(name, level, mods, IFERROR(LET(
  relRow, MATCH(name, INDEX(mods, , 1), 0),
  maxSubs, IFS( level&gt;=241, 8, level&gt;=201, 7, level&gt;=161, 6, level&gt;=141, 5, level&gt;=101, 4, level&gt;=41, 3, TRUE, 2 ),
  startRow, relRow + 4,
  endRow, startRow + maxSubs - 1,
  (INDEX(mods, startRow, 1):INDEX(mods, endRow, 4)
)),))</definedName>
    <definedName name="DVT_HAS_LAB_UNLOCKED">LAMBDA(lab_name, public_best, LET(
  targetTier, VALUE(REGEXEXTRACT(public_best,"T(\d+)")),
  targetWave, VALUE(REGEXEXTRACT(public_best,"\s(\d+)")),
  IFS(
    DVT_LAB_UNLOCK_AT(lab_name)="T0 ", TRUE,
    DVT_LAB_UNLOCK_AT_TIER(lab_name) &lt; targetTier, TRUE,
    AND(
      DVT_LAB_UNLOCK_AT_TIER(lab_name) = targetTier,
      DVT_LAB_UNLOCK_AT_WAVE(lab_name) &lt;= targetWave
    ), TRUE,
    TRUE, FALSE
  )
))</definedName>
    <definedName name="IDS_MOD_GENERATOR_ASSIST_NAME">LAMBDA(preset, OFFSET('_IDS'!$BM$9, MATCH(preset, '_IDS'!$BL$7:$BL$23, 0)-1, 0, 1, 1))</definedName>
    <definedName name="DVT_MODULE_COINS_COST_CUMMULATIVE">LAMBDA(level, IF(level &lt;= 1, 0, SUM(ARRAYFORMULA(DVT_MODULE_COINS_COST(ROW(INDIRECT("1:"&amp;level)))))))</definedName>
    <definedName name="IDS_BOT_LEVEL">LAMBDA(bot_name, bot_property, LET(
  off, (MATCH(bot_name, '_IDS'!$AS$2:$AS$17, 0) - 1),
  VLOOKUP(bot_property, OFFSET('_IDS'!$AU$2, off, 0, 4, 3), 3, FALSE)
))</definedName>
    <definedName name="DVT_LAB_DURATION">LAMBDA(lab_name, lab_level, XLOOKUP(
    lab_level, 
    SEQUENCE(100, 1, 1, 1), 
    INDEX(
        DVT_Laboratory!$B$3:$ACB$102, 
        0, 
        MATCH(lab_name, DVT_Laboratory!$B$1:$1, 0)
    ), 
    "N/F", 
    0, 
    1
))</definedName>
    <definedName name="IDS_MOD_CORE_ASSIST_NAME">LAMBDA(preset, OFFSET('_IDS'!$BR$9, MATCH(preset, '_IDS'!$BQ$7:$BQ$23, 0)-1, 0, 1, 1))</definedName>
    <definedName name="IDS_RELIC_STAT">LAMBDA(relic_stat, IFERROR(IF('_IDS'!$AO$1="✅", VLOOKUP(relic_stat,'_IDS'!$AM$2:$AN,2,FALSE), 0), 0))</definedName>
    <definedName name="IDS_MOD_ARMOR_SUBSTAT">LAMBDA(preset, substat_name, IFERROR(VLOOKUP(
  substat_name,
  IDS_MOD_ARMOR_SUBSTATS(IDS_MOD_ARMOR_NAME(preset))
  ,4, FALSE), 0)
+IFERROR(VLOOKUP(
  substat_name,
  IDS_MOD_ARMOR_SUBSTATS(IDS_MOD_ARMOR_ASSIST_NAME(preset))
  ,4, FALSE), 0)
*(IDS_MOD_ARMOR_ASSIST_SUBSTAT_CAP()+IDS_LAB_LEVEL("Assist Module Substats - Armor")/100
))</definedName>
    <definedName name="IDS_MOD_ARMOR_ASSIST_SUBSTAT_CAP">LAMBDA('_IDS'!$BH$5)</definedName>
    <definedName name="IDS_PS_FARMING_TIER">LAMBDA('_IDS'!$CE$4)</definedName>
    <definedName name="IDS_MOD_GENERATOR_BONUS">LAMBDA(name, OFFSET('_IDS'!$BN$29, MATCH(name, '_IDS'!$BL$27:$BL, 0)-1, 0, 1, 1))</definedName>
    <definedName name="IDS_MOD_ARMOR_ASSIST_LEVEL">LAMBDA('_IDS'!$BI$2)</definedName>
    <definedName name="LABCOST_SINGLE_ADJUSTED">LAMBDA(lab_name, lab_level, DVT_LAB_COST(lab_name, lab_level) * (1-LAB_COIN_DISCOUNT()))</definedName>
    <definedName name="CAP_MOD_LEVEL">LAMBDA(level, rarity, MIN(level,
     SWITCH(rarity,
       "Common",        20,
       "Rare",          30,
       "Rare+",         40,
       "Epic",          60,
       "Epic+",         80,
       "Legendary",     100,
       "Legendary+",    120,
       "Mythic",        140,
       "Mythic+",       160,
       "Ancestral",     200,
       "Ancestral 1*",  220,
       "Ancestral 2*",  240,
       "Ancestral 3*",  260,
       "Ancestral 4*",  280,
       "Ancestral 5*",  300,
       0              ) ))</definedName>
    <definedName name="DVT_MODULE_CANNON_STAT">LAMBDA(rarity, level, ROUND(
  (INDEX(
    {0.012,0.032,0.052,0.072,0.102,0.132,0.162,0.202,0.252,0.302},
    MATCH(
      IF(LEFT(rarity,9)="Ancestral","Ancestral",rarity),
      {"Common","Rare","Rare+","Epic","Epic+","Legendary","Legendary+","Mythic","Mythic+","Ancestral"},
      0
    )
  )
  +
  SUM(
    ARRAYFORMULA(
      DVT_MODULE_CANNON_INCREMENT(ROW(INDIRECT("1:"&amp;level)))
    )
  ))
  *
  IF(
    LEFT(rarity,9)="Ancestral",
    1 + IF(RIGHT(rarity,1)="*", VALUE(MID(rarity,11,1))*0.04,0),
    1
  )
  + 1,
3
))</definedName>
    <definedName name="IDS_MOD_GENERATOR_ASSIST_SUBSTATS">LAMBDA(name, IFERROR(
  OFFSET(
    '_IDS'!$BL$31,
    MATCH(name, '_IDS'!$BL$27:$BL, 0)-1,
    0,
    LET(
      level, IDS_MOD_GENERATOR_ASSIST_LEVEL(),
      IFS(
        level&gt;=241, 8,
        level&gt;=201, 7,
        level&gt;=161, 6,
        level&gt;=141, 5,
        level&gt;=101, 4,
        level&gt;=41, 3,
        TRUE, 2
      )
    ),
    4
  )
))</definedName>
    <definedName name="IDS_UW_OWN">LAMBDA(uw_name, LET(
  off, (MATCH(uw_name, '_IDS'!$Z$2:$Z$37, 0) - 1),
  OFFSET('_IDS'!$Z$4, off, 0, 1, 1)
))</definedName>
    <definedName name="IDS_MOD_GENERATOR_SUBSTAT">LAMBDA(preset, substat_name, IFERROR(VLOOKUP(
  substat_name,
  IDS_MOD_GENERATOR_SUBSTATS(IDS_MOD_GENERATOR_NAME(preset))
  ,4, FALSE), 0)
+IFERROR(VLOOKUP(
  substat_name,
  IDS_MOD_GENERATOR_SUBSTATS(IDS_MOD_GENERATOR_ASSIST_NAME(preset))
  ,4, FALSE), 0)
*(IDS_MOD_GENERATOR_ASSIST_SUBSTAT_CAP()+IDS_LAB_LEVEL("Assist Module Substats - Generator")/100
))</definedName>
    <definedName name="IDS_MOD_ARMOR_RARITY">LAMBDA(name, IFERROR(OFFSET('_IDS'!$BG$29, MATCH(name, '_IDS'!$BG$27:$BG, 0)-1, 0, 1, 1)))</definedName>
    <definedName name="IDS_WS_PRESET_LEVEL">LAMBDA(preset, ws_name, MAX(IDS_WS_PRESET_COIN_LEVEL(preset, ws_name), IDS_WS_PRESET_CASH_LEVEL(preset, ws_name)))</definedName>
    <definedName name="IDS_MOD_GENERATOR_SUBSTATS">LAMBDA(name, IFERROR(OFFSET('_IDS'!$BL$31, MATCH(name, '_IDS'!$BL$27:$BL, 0)-1, 0, 8, 4)))</definedName>
    <definedName name="IDS_MOD_CANNON_LEVEL">LAMBDA(name, OFFSET('_IDS'!$BC$29, MATCH(name, '_IDS'!$BB$27:$BB, 0)-1, 0, 1, 1))</definedName>
    <definedName name="IDS_MOD_ARMOR_ASSIST_NAME">LAMBDA(preset, OFFSET('_IDS'!$BH$9, MATCH(preset, '_IDS'!$BG$7:$BG$23, 0)-1, 0, 1, 1))</definedName>
    <definedName name="LAB_COIN_DISCOUNT">LAMBDA('Master Sheet'!$C$7*0.003)</definedName>
    <definedName name="IDS_LAB_LEVEL">LAMBDA(lab_name, IF('_IDS'!$C$1="✅", VLOOKUP(lab_name, '_IDS'!$A$2:$B, 2, FALSE), 0))</definedName>
    <definedName name="IDS_WSE_LEVEL">LAMBDA(wse_name, IF('_IDS'!$G$1="✅", IFERROR(VLOOKUP(wse_name, '_IDS'!$R$2:$T, 3, FALSE), 0), 0))</definedName>
    <definedName name="MODSTAT_CORE">LAMBDA(rarity, level, ROUND(
(VLOOKUP(SPLIT(rarity, " "),MOD_BASE_STAT_ARRAY,5,false)+SUMPRODUCT(IF(level&gt;MOD_STEPS_INCREASE_NEXT,MOD_STEPS_INCREASE_NEXT-MOD_STEPS_INCREASE,IF(level&lt;MOD_STEPS_INCREASE, 0, level-MOD_STEPS_INCREASE)), MOD_CORE_INCREASE_ARRAY))*IF(RIGHT(rarity, 1) = "*", 1 + MID(rarity, 11, 1) * 0.04, 1)+1, 3))</definedName>
    <definedName name="IDS_CARD_MASTERY">LAMBDA(card_name, VLOOKUP(card_name,'_IDS'!$AE$2:$AG, 3, FALSE))</definedName>
    <definedName name="LABDURATION_SINGLE_BASE">LAMBDA(lab_name, lab_level, XLOOKUP(lab_level,LABS_LabLevel_Array,OFFSET(LABS_LabSearchStartPoint,0,MATCH(lab_name,LABS_LabName_Array,0)-1,100,1),"N/F",0,1))</definedName>
    <definedName name="IDS_MOD_ARMOR_BONUS">LAMBDA(name, OFFSET('_IDS'!$BI$29, MATCH(name, '_IDS'!$BG$27:$BG, 0)-1, 0, 1, 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B9BDCA52E3D8005A</t>
      </text>
    </comment>
    <comment authorId="0" ref="I6">
      <text>
        <t xml:space="preserve">B9BDCA52E3D8005A</t>
      </text>
    </comment>
    <comment authorId="0" ref="J6">
      <text>
        <t xml:space="preserve">B54B2EAF779842C2</t>
      </text>
    </comment>
    <comment authorId="0" ref="I7">
      <text>
        <t xml:space="preserve">B9BDCA52E3D8005A</t>
      </text>
    </comment>
    <comment authorId="0" ref="H8">
      <text>
        <t xml:space="preserve">166ED07E9D24524C</t>
      </text>
    </comment>
    <comment authorId="0" ref="I8">
      <text>
        <t xml:space="preserve">B9BDCA52E3D8005A</t>
      </text>
    </comment>
    <comment authorId="0" ref="H11">
      <text>
        <t xml:space="preserve">D7856D2E3740A1AE</t>
      </text>
    </comment>
    <comment authorId="0" ref="I11">
      <text>
        <t xml:space="preserve">D7856D2E3740A1AE</t>
      </text>
    </comment>
    <comment authorId="0" ref="H15">
      <text>
        <t xml:space="preserve">A09C3F037143EB7D</t>
      </text>
    </comment>
    <comment authorId="0" ref="I15">
      <text>
        <t xml:space="preserve">A09C3F037143EB7D</t>
      </text>
    </comment>
    <comment authorId="0" ref="J16">
      <text>
        <t xml:space="preserve">B9BDCA52E3D8005A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F1">
      <text>
        <t xml:space="preserve">Workshop (Coins) Level
-&gt; Out of run level</t>
      </text>
    </comment>
    <comment authorId="0" ref="BG1">
      <text>
        <t xml:space="preserve">Workshop (Cash) Level
-&gt; In run max level reached</t>
      </text>
    </comment>
    <comment authorId="0" ref="BL1">
      <text>
        <t xml:space="preserve">Mastery unlocked?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Apply Boost to NEXT Duration or ALL Duration.
Recommended to keep on "All"</t>
      </text>
    </comment>
    <comment authorId="0" ref="B2">
      <text>
        <t xml:space="preserve">In this column you can apply a Boost to the duration of the lab.
Will show roughly the expected true duration, if you maintain that boost.
May be some slight rounding errors.</t>
      </text>
    </comment>
    <comment authorId="0" ref="C2">
      <text>
        <t xml:space="preserve">Semi transparent numbers =
Lookup Master Sheet
Normal = 
Same as Master Sheet NO Lookup
Underlined = 
Different value than Master Sheet</t>
      </text>
    </comment>
    <comment authorId="0" ref="E89">
      <text>
        <t xml:space="preserve">Enemy Types
0 - Basic
1 - Ranged
2 - Fast
3 - Tank
4 - Protector
5 - Boss
6 - Vampire</t>
      </text>
    </comment>
    <comment authorId="0" ref="E114">
      <text>
        <t xml:space="preserve">-1s/lvl</t>
      </text>
    </comment>
    <comment authorId="0" ref="E115">
      <text>
        <t xml:space="preserve">-1s/lvl</t>
      </text>
    </comment>
    <comment authorId="0" ref="E116">
      <text>
        <t xml:space="preserve">-1s/lvl</t>
      </text>
    </comment>
    <comment authorId="0" ref="E117">
      <text>
        <t xml:space="preserve">-1s/lvl</t>
      </text>
    </comment>
    <comment authorId="0" ref="E118">
      <text>
        <t xml:space="preserve">Starts at 3
+1/lvl</t>
      </text>
    </comment>
    <comment authorId="0" ref="E119">
      <text>
        <t xml:space="preserve">Base 3s
+0.5s/lvl</t>
      </text>
    </comment>
    <comment authorId="0" ref="E120">
      <text>
        <t xml:space="preserve">+0.5s/ lvl</t>
      </text>
    </comment>
    <comment authorId="0" ref="E121">
      <text>
        <t xml:space="preserve">+0.5s/ lvl</t>
      </text>
    </comment>
    <comment authorId="0" ref="A163">
      <text>
        <t xml:space="preserve">Editor's Note:
Yes these technically go under Recharge Nuke in the Cards Labs section, but as they are considered late game I have placed them at the end for easier use for the majority of users.
It's also a good idea to set your Desired level to 0 for any cards you have not yet unlocked so they hide until you need them.
Also for anyone that further modifies their sheets I have modified the search as they are all equal in duration and cost they all look up "Card Mastery" instead of their individual names. All 30 labs are just the 1 lab in the raw data sections, but they do work individually here.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A few levels solve scatters for the most part. More levels should solve the problem if they ever become a danger again</t>
      </text>
    </comment>
    <comment authorId="0" ref="R3">
      <text>
        <t xml:space="preserve">S tier until level 50; very long after. Should be slotted in whenever a lab slot is not occupied by a high priority lab</t>
      </text>
    </comment>
    <comment authorId="0" ref="X3">
      <text>
        <t xml:space="preserve">A few early levels are useful, however actual econ labs are much better until Card Masteries or assists/BC labs</t>
      </text>
    </comment>
    <comment authorId="0" ref="AD3">
      <text>
        <t xml:space="preserve">ASPD+ is really good to get cheaper, alongisde the damage that's required by the time this lab is unlocked</t>
      </text>
    </comment>
    <comment authorId="0" ref="AJ3">
      <text>
        <t xml:space="preserve">Gaining more coins is more beneficial then spending less coins, utility can be useful for ELS later on. Retroactive on respecs</t>
      </text>
    </comment>
    <comment authorId="0" ref="AP3">
      <text>
        <t xml:space="preserve">Gaining more coins is more beneficial then spending less coins, utility can be useful for ELS later on. Retroactive on respecs</t>
      </text>
    </comment>
    <comment authorId="0" ref="AV3">
      <text>
        <t xml:space="preserve">Irrelevant, easily outdone by enemy kills and even cash/wave</t>
      </text>
    </comment>
    <comment authorId="0" ref="BB3">
      <text>
        <t xml:space="preserve">Great for the event mission, essential to keep the effect of mastery going past 300 waves</t>
      </text>
    </comment>
    <comment authorId="0" ref="BH3">
      <text>
        <t xml:space="preserve">Makes everything better. First lab to take to max</t>
      </text>
    </comment>
    <comment authorId="0" ref="L4">
      <text>
        <t xml:space="preserve">Lightning Amplifier - Scatter
  Lab Level:      9 / 30 (Max)
  Next Level:    1d 11h 14m
  Max Level:     119d 23h 32m</t>
      </text>
    </comment>
    <comment authorId="0" ref="R4">
      <text>
        <t xml:space="preserve">Labs Speed
  Lab Level:      91 / 99 (Max)
  Next Level:    5d  3h  6m
  Max Level:     44d  2h 12m</t>
      </text>
    </comment>
    <comment authorId="0" ref="X4">
      <text>
        <t xml:space="preserve">Labs Coin Discount
  Lab Level:      68 / 99 (Max)
  Next Level:    2d 10h 47m
  Max Level:     128d 18h  7m</t>
      </text>
    </comment>
    <comment authorId="0" ref="AD4">
      <text>
        <t xml:space="preserve">Enhancement Attack - Coin Discount
  Lab Level:      0 / 100 (Max)
  Next Level:    0d  1h 38m
  Max Level:     346d 14h  2m</t>
      </text>
    </comment>
    <comment authorId="0" ref="AJ4">
      <text>
        <t xml:space="preserve">Workshop Utility Discount
  Lab Level:      41 / 99 (Max)
  Next Level:    0d  9h 23m
  Max Level:     87d  5h 27m</t>
      </text>
    </comment>
    <comment authorId="0" ref="AP4">
      <text>
        <t xml:space="preserve">Workshop Attack Discount
  Lab Level:      27 / 99 (Max)
  Next Level:    0d  3h 30m
  Max Level:     90d 16h 57m</t>
      </text>
    </comment>
    <comment authorId="0" ref="AV4">
      <text>
        <t xml:space="preserve">Starting Cash
  Lab Level:      6 / 99 (Max)
  Next Level:    0d  0h  7m
  Max Level:     91d 19h 41m</t>
      </text>
    </comment>
    <comment authorId="0" ref="BB4">
      <text>
        <t xml:space="preserve">Recharge Demon Mode
  Lab Level:      4 / 7 (Max)
  Next Level:    0d 21h 28m
  Max Level:     5d 17h 37m</t>
      </text>
    </comment>
    <comment authorId="0" ref="BH4">
      <text>
        <t xml:space="preserve">Game Speed
  Lab Level:      7 / 7 (Target)
  Next Level:    
  Target Level: 1d 14h 50m</t>
      </text>
    </comment>
    <comment authorId="0" ref="L5">
      <text>
        <t xml:space="preserve">Very strong for those reaching max heat in tournaments. Removes 100% uptime on ultimate enemies. Great for farms in T14 and up</t>
      </text>
    </comment>
    <comment authorId="0" ref="R5">
      <text>
        <t xml:space="preserve">Helps kill enemies with wall quicker, useful percentage damage; get to at least 11 </t>
      </text>
    </comment>
    <comment authorId="0" ref="X5">
      <text>
        <t xml:space="preserve">S tier until level 50; very long after. Should be slotted in whenever a lab slot is not occupied by a high priority lab</t>
      </text>
    </comment>
    <comment authorId="0" ref="AD5">
      <text>
        <t xml:space="preserve">The 500T unlock is Orb Size, the least useful of the three</t>
      </text>
    </comment>
    <comment authorId="0" ref="AJ5">
      <text>
        <t xml:space="preserve">Detrimental in farms if too high. Useful for orb placement in some cases. Helps out in tournaments under some BCs, has a slider to revert the effect</t>
      </text>
    </comment>
    <comment authorId="0" ref="AP5">
      <text>
        <t xml:space="preserve">Gaining more coins is more beneficial then spending less coins, utility can be useful for ELS later on. Retroactive on respecs</t>
      </text>
    </comment>
    <comment authorId="0" ref="AV5">
      <text>
        <t xml:space="preserve">Useless until SL+, very helpful with it while also pairing well with Range mastery</t>
      </text>
    </comment>
    <comment authorId="0" ref="BB5">
      <text>
        <t xml:space="preserve">Improves the consistency of Auto Pick by a lot. Is not a replacement for bans. No need to overdo it</t>
      </text>
    </comment>
    <comment authorId="0" ref="BH5">
      <text>
        <t xml:space="preserve">More necessary the more you respec to avoid carpal tunnel, also nice for buying large amounts of things in runs</t>
      </text>
    </comment>
    <comment authorId="0" ref="L6">
      <text>
        <t xml:space="preserve">Battle Condition Reduction
  Lab Level:      0 / 10 (Max)
  Next Level:    1d  1h 25m
  Max Level:     58d  6h  6m</t>
      </text>
    </comment>
    <comment authorId="0" ref="R6">
      <text>
        <t xml:space="preserve">Wall Thorns
  Lab Level:      15 / 20 (Max)
  Next Level:    6d  6h 40m
  Max Level:     55d  0h 35m</t>
      </text>
    </comment>
    <comment authorId="0" ref="X6">
      <text>
        <t xml:space="preserve">Labs Speed
  Lab Level:      91 / 99 (Max)
  Next Level:    5d  3h  6m
  Max Level:     44d  2h 12m</t>
      </text>
    </comment>
    <comment authorId="0" ref="AD6">
      <text>
        <t xml:space="preserve">Enhancement Defense - Coin Discount
  Lab Level:      0 / 100 (Max)
  Next Level:    0d  1h 38m
  Max Level:     346d 14h  2m</t>
      </text>
    </comment>
    <comment authorId="0" ref="AJ6">
      <text>
        <t xml:space="preserve">Range
  Lab Level:      33 / 80 (Max)
  Next Level:    0d  5h 37m
  Max Level:     42d  6h 51m</t>
      </text>
    </comment>
    <comment authorId="0" ref="AP6">
      <text>
        <t xml:space="preserve">Workshop Defense Discount
  Lab Level:      28 / 99 (Max)
  Next Level:    0d  3h 49m
  Max Level:     90d 13h 26m</t>
      </text>
    </comment>
    <comment authorId="0" ref="AV6">
      <text>
        <t xml:space="preserve">Damage / Meter
  Lab Level:      16 / 99 (Max)
  Next Level:    0d  1h  2m
  Max Level:     91d 15h 12m</t>
      </text>
    </comment>
    <comment authorId="0" ref="BB6">
      <text>
        <t xml:space="preserve">Auto Pick Ranking
  Lab Level:      12 / 32 (Max)
  Next Level:    1d 11h 49m
  Max Level:     335d 22h 45m</t>
      </text>
    </comment>
    <comment authorId="0" ref="BH6">
      <text>
        <t xml:space="preserve">Buy Multiplier
  Lab Level:      4 / 4 (Max)
  Next Level:    
  Max Level:     0d  3h 31m</t>
      </text>
    </comment>
    <comment authorId="0" ref="R7">
      <text>
        <t xml:space="preserve">A lab for something that otherwise costs stones is incredible. Getting duration past BH duration with perk has little value</t>
      </text>
    </comment>
    <comment authorId="0" ref="X7">
      <text>
        <t xml:space="preserve">ELS+ and Coin+ are some of the strongest enchancements in the game</t>
      </text>
    </comment>
    <comment authorId="0" ref="AD7">
      <text>
        <t xml:space="preserve">Most useful after owning a damage UW like Chain Lightning, still retains some utility for early towers in tournaments or against protectors/elites</t>
      </text>
    </comment>
    <comment authorId="0" ref="AJ7">
      <text>
        <t xml:space="preserve">Gets VERY long for little benefit</t>
      </text>
    </comment>
    <comment authorId="0" ref="AP7">
      <text>
        <t xml:space="preserve">Gaining more coins is more beneficial then spending less coins, utility can be useful for ELS later on. Retroactive on respecs</t>
      </text>
    </comment>
    <comment authorId="0" ref="AV7">
      <text>
        <t xml:space="preserve">Crucial for eHp, useless before owning WHR or Wall and for Glass Cannon builds</t>
      </text>
    </comment>
    <comment authorId="0" ref="BH7">
      <text>
        <t xml:space="preserve">Useful data to track progress</t>
      </text>
    </comment>
    <comment authorId="0" ref="R8">
      <text>
        <t xml:space="preserve">Golden Tower Duration
  Lab Level:      19 / 20 (Max)
  Next Level:    2d  1h 32m
  Max Level:     2d  1h 32m</t>
      </text>
    </comment>
    <comment authorId="0" ref="X8">
      <text>
        <t xml:space="preserve">Enhancement Utility - Coin Discount
  Lab Level:      0 / 100 (Max)
  Next Level:    0d  1h 38m
  Max Level:     346d 14h  2m</t>
      </text>
    </comment>
    <comment authorId="0" ref="AD8">
      <text>
        <t xml:space="preserve">Damage
  Lab Level:      69 / 100 (Max)
  Next Level:    1d  8h 21m
  Max Level:     68d  2h 36m</t>
      </text>
    </comment>
    <comment authorId="0" ref="AJ8">
      <text>
        <t xml:space="preserve">Super Crit Chance
  Lab Level:      9 / 50 (Max)
  Next Level:    0d 22h 17m
  Max Level:     6465d  7h 24m</t>
      </text>
    </comment>
    <comment authorId="0" ref="AP8">
      <text>
        <t xml:space="preserve">Workshop Utility Discount
  Lab Level:      41 / 99 (Max)
  Next Level:    0d  9h 23m
  Max Level:     87d  5h 27m</t>
      </text>
    </comment>
    <comment authorId="0" ref="AV8">
      <text>
        <t xml:space="preserve">Health Regen
  Lab Level:      68 / 100 (Max)
  Next Level:    1d  7h 15m
  Max Level:     69d  9h 51m</t>
      </text>
    </comment>
    <comment authorId="0" ref="BH8">
      <text>
        <t xml:space="preserve">More Round Stats
  Lab Level:      1 / 1 (Max)
  Next Level:    
  Max Level:     0d  0h 45m</t>
      </text>
    </comment>
    <comment authorId="0" ref="R9">
      <text>
        <t xml:space="preserve">Turns ILM into a CC machine when combined with Rotation</t>
      </text>
    </comment>
    <comment authorId="0" ref="X9">
      <text>
        <t xml:space="preserve">Very good lab for increasing both damage and CC, gets very long towards the end</t>
      </text>
    </comment>
    <comment authorId="0" ref="AD9">
      <text>
        <t xml:space="preserve">Good, but not game changing lab</t>
      </text>
    </comment>
    <comment authorId="0" ref="AJ9">
      <text>
        <t xml:space="preserve">Gets VERY long for little benefit</t>
      </text>
    </comment>
    <comment authorId="0" ref="AP9">
      <text>
        <t xml:space="preserve">A few early levels are useful, however actual econ labs are much better until Card Masteries or assists/BC labs</t>
      </text>
    </comment>
    <comment authorId="0" ref="AV9">
      <text>
        <t xml:space="preserve">Helps reach the 98% hard cap on defense. Without relics and after fulfilling other requirements only needs 23 levels (5 levels less can be done per def% from relics, alternatively can be used to reach 98% with lower rarity substats)</t>
      </text>
    </comment>
    <comment authorId="0" ref="BH9">
      <text>
        <t xml:space="preserve">Required for every devo strategy. Useful for blender and tournaments</t>
      </text>
    </comment>
    <comment authorId="0" ref="R10">
      <text>
        <t xml:space="preserve">Inner Mine Stun
  Lab Level:      0 / 1 (Max)
  Next Level:    0d 21h 10m
  Max Level:     0d 21h 10m</t>
      </text>
    </comment>
    <comment authorId="0" ref="X10">
      <text>
        <t xml:space="preserve">Attack Speed
  Lab Level:      75 / 99 (Max)
  Next Level:    1d 15h 29m
  Max Level:     56d  2h 22m</t>
      </text>
    </comment>
    <comment authorId="0" ref="AD10">
      <text>
        <t xml:space="preserve">Health
  Lab Level:      68 / 100 (Max)
  Next Level:    1d  7h 15m
  Max Level:     69d  9h 51m</t>
      </text>
    </comment>
    <comment authorId="0" ref="AJ10">
      <text>
        <t xml:space="preserve">Super Crit Multi
  Lab Level:      13 / 40 (Max)
  Next Level:    2d  0h 31m
  Max Level:     1014d  7h 59m</t>
      </text>
    </comment>
    <comment authorId="0" ref="AP10">
      <text>
        <t xml:space="preserve">Labs Coin Discount
  Lab Level:      68 / 99 (Max)
  Next Level:    2d 10h 47m
  Max Level:     128d 18h  7m</t>
      </text>
    </comment>
    <comment authorId="0" ref="AV10">
      <text>
        <t xml:space="preserve">Defense %
  Lab Level:      28 / 28 (Target)
  Next Level:    3d  3h 15m
  Target Level: 5d 22h  7m</t>
      </text>
    </comment>
    <comment authorId="0" ref="BH10">
      <text>
        <t xml:space="preserve">Target Priority
  Lab Level:      2 / 2 (Max)
  Next Level:    
  Max Level:     0d 12h 12m</t>
      </text>
    </comment>
    <comment authorId="0" ref="X11">
      <text>
        <t xml:space="preserve">Same as Damage although more significant per level, even more so when using the Ultimate Crit card</t>
      </text>
    </comment>
    <comment authorId="0" ref="AD11">
      <text>
        <t xml:space="preserve">Damage builds that use ACP can use this lab to tune their shockwave size to only hit things at tower range line now that the lab has a slider</t>
      </text>
    </comment>
    <comment authorId="0" ref="AJ11">
      <text>
        <t xml:space="preserve">Decent for extending bullet orbless, helps bullet damage together with AD or HB. Great to pair together with Swamp Rend to further increase its damage potential</t>
      </text>
    </comment>
    <comment authorId="0" ref="AP11">
      <text>
        <t xml:space="preserve">Detrimental in farms if too high. Useful for orb placement in some cases. Helps out in tournaments under some BCs, has a slider to revert the effect</t>
      </text>
    </comment>
    <comment authorId="0" ref="AV11">
      <text>
        <t xml:space="preserve">Landmines usually explode before having a chance to decay</t>
      </text>
    </comment>
    <comment authorId="0" ref="BH11">
      <text>
        <t xml:space="preserve">Most useful for having different cards for farm, tourney, and various missions</t>
      </text>
    </comment>
    <comment authorId="0" ref="R12">
      <text>
        <t xml:space="preserve">Assist Module Substats - Generator
  Lab Level:      0 / 30 (Max)
  Next Level:    0d 16h 28m
  Max Level:     319d  3h 13m</t>
      </text>
    </comment>
    <comment authorId="0" ref="X12">
      <text>
        <t xml:space="preserve">Critical Factor
  Lab Level:      83 / 99 (Max)
  Next Level:    2d  2h 17m
  Max Level:     41d  9h 40m</t>
      </text>
    </comment>
    <comment authorId="0" ref="AD12">
      <text>
        <t xml:space="preserve">Shockwave Size
  Lab Level:      10 / 20 (Max)
  Next Level:    0d  8h 10m
  Max Level:     12d  4h 44m</t>
      </text>
    </comment>
    <comment authorId="0" ref="AJ12">
      <text>
        <t xml:space="preserve">Max Rend Armor Multiplier
  Lab Level:      0 / 30 (Max)
  Next Level:    0d  5h 17m
  Max Level:     23d 10h 18m</t>
      </text>
    </comment>
    <comment authorId="0" ref="AP12">
      <text>
        <t xml:space="preserve">Range
  Lab Level:      33 / 80 (Max)
  Next Level:    0d  5h 37m
  Max Level:     42d  6h 51m</t>
      </text>
    </comment>
    <comment authorId="0" ref="AV12">
      <text>
        <t xml:space="preserve">Land Mine Decay
  Lab Level:      13 / 35 (Max)
  Next Level:    0d 12h 38m
  Max Level:     98d 19h 58m</t>
      </text>
    </comment>
    <comment authorId="0" ref="BH12">
      <text>
        <t xml:space="preserve">Card Presets
  Lab Level:      1 / 1 (Max)
  Next Level:    
  Max Level:     0d  0h 52m</t>
      </text>
    </comment>
    <comment authorId="0" ref="X13">
      <text>
        <t xml:space="preserve">Useless until SL+, very helpful with it while also pairing well with Range mastery</t>
      </text>
    </comment>
    <comment authorId="0" ref="AD13">
      <text>
        <t xml:space="preserve">Cash has limited usability</t>
      </text>
    </comment>
    <comment authorId="0" ref="AJ13">
      <text>
        <t xml:space="preserve">Helps kill enemies with wall quicker, useful percentage damage; get to at least 11 </t>
      </text>
    </comment>
    <comment authorId="0" ref="AP13">
      <text>
        <t xml:space="preserve">Can help with orbless farms</t>
      </text>
    </comment>
    <comment authorId="0" ref="AV13">
      <text>
        <t xml:space="preserve">Kills from enemies matter a lot more</t>
      </text>
    </comment>
    <comment authorId="0" ref="BH13">
      <text>
        <t xml:space="preserve">Required for devo strategies and almost mandatory for legend league tournaments. If blender and not in legend it's nice to make the buy workshop upgrades mission cheaper</t>
      </text>
    </comment>
    <comment authorId="0" ref="R14">
      <text>
        <t xml:space="preserve">Assist Module Substats - Core
  Lab Level:      0 / 30 (Max)
  Next Level:    0d 16h 28m
  Max Level:     319d  3h 13m</t>
      </text>
    </comment>
    <comment authorId="0" ref="X14">
      <text>
        <t xml:space="preserve">Damage / Meter
  Lab Level:      16 / 99 (Max)
  Next Level:    0d  1h  2m
  Max Level:     91d 15h 12m</t>
      </text>
    </comment>
    <comment authorId="0" ref="AD14">
      <text>
        <t xml:space="preserve">Cash Bonus
  Lab Level:      33 / 99 (Max)
  Next Level:    0d  5h 37m
  Max Level:     89d 14h 54m</t>
      </text>
    </comment>
    <comment authorId="0" ref="AJ14">
      <text>
        <t xml:space="preserve">Wall Thorns
  Lab Level:      15 / 20 (Max)
  Next Level:    6d  6h 40m
  Max Level:     55d  0h 35m</t>
      </text>
    </comment>
    <comment authorId="0" ref="AP14">
      <text>
        <t xml:space="preserve">Land Mine Damage
  Lab Level:      0 / 20 (Max)
  Next Level:    0d  0h  6m
  Max Level:     9d  1h 22m</t>
      </text>
    </comment>
    <comment authorId="0" ref="AV14">
      <text>
        <t xml:space="preserve">Cash / Wave
  Lab Level:      8 / 99 (Max)
  Next Level:    0d  0h 13m
  Max Level:     91d 19h 24m</t>
      </text>
    </comment>
    <comment authorId="0" ref="BH14">
      <text>
        <t xml:space="preserve">Workshop Respec
  Lab Level:      1 / 1 (Max)
  Next Level:    
  Max Level:     0d  3h 52m</t>
      </text>
    </comment>
    <comment authorId="0" ref="X15">
      <text>
        <t xml:space="preserve">Crucial for eHp, useless before owning WHR or Wall and for Glass Cannon builds</t>
      </text>
    </comment>
    <comment authorId="0" ref="AD15">
      <text>
        <t xml:space="preserve">Adds crucial splash damage to Missiles</t>
      </text>
    </comment>
    <comment authorId="0" ref="AJ15">
      <text>
        <t xml:space="preserve">Useful for early cash purchases, good for weak/no GT</t>
      </text>
    </comment>
    <comment authorId="0" ref="AP15">
      <text>
        <t xml:space="preserve">Mostly useless unless you're using a Glass Cannon build</t>
      </text>
    </comment>
    <comment authorId="0" ref="AV15">
      <text>
        <t xml:space="preserve">Coins from enemies quickly become the only coins that matter</t>
      </text>
    </comment>
    <comment authorId="0" ref="BH15">
      <text>
        <t xml:space="preserve">Costs 5 gems to use</t>
      </text>
    </comment>
    <comment authorId="0" ref="X16">
      <text>
        <t xml:space="preserve">Health Regen
  Lab Level:      68 / 100 (Max)
  Next Level:    1d  7h 15m
  Max Level:     69d  9h 51m</t>
      </text>
    </comment>
    <comment authorId="0" ref="AD16">
      <text>
        <t xml:space="preserve">Missile Radius
  Lab Level:      0 / 20 (Max)
  Next Level:    0d  2h 28m
  Max Level:     11d  0h 41m</t>
      </text>
    </comment>
    <comment authorId="0" ref="AJ16">
      <text>
        <t xml:space="preserve">Max Interest
  Lab Level:      8 / 15 (Max)
  Next Level:    0d  5h 55m
  Max Level:     6d  2h 30m</t>
      </text>
    </comment>
    <comment authorId="0" ref="AP16">
      <text>
        <t xml:space="preserve">Wall Rebuild
  Lab Level:      9 / 20 (Max)
  Next Level:    0d 10h 36m
  Max Level:     14d  7h 51m</t>
      </text>
    </comment>
    <comment authorId="0" ref="AV16">
      <text>
        <t xml:space="preserve">Coins / Wave
  Lab Level:      6 / 99 (Max)
  Next Level:    0d  0h  7m
  Max Level:     91d 19h 41m</t>
      </text>
    </comment>
    <comment authorId="0" ref="BH16">
      <text>
        <t xml:space="preserve">Reroll Daily Mission
  Lab Level:      1 / 1 (Max)
  Next Level:    
  Max Level:     0d  2h 32m</t>
      </text>
    </comment>
    <comment authorId="0" ref="X17">
      <text>
        <t xml:space="preserve">Mostly useless unless you're using a Glass Cannon build</t>
      </text>
    </comment>
    <comment authorId="0" ref="AD17">
      <text>
        <t xml:space="preserve">One of the last econ labs to do</t>
      </text>
    </comment>
    <comment authorId="0" ref="AJ17">
      <text>
        <t xml:space="preserve">Very long for any benefit past a certan point</t>
      </text>
    </comment>
    <comment authorId="0" ref="AP17">
      <text>
        <t xml:space="preserve">Same as Wall Rebuild</t>
      </text>
    </comment>
    <comment authorId="0" ref="AV17">
      <text>
        <t xml:space="preserve">Only helps to reach the max which is very easy regardless</t>
      </text>
    </comment>
    <comment authorId="0" ref="BH17">
      <text>
        <t xml:space="preserve">becomes required to progress after 1T~ LTC</t>
      </text>
    </comment>
    <comment authorId="0" ref="X18">
      <text>
        <t xml:space="preserve">Wall Rebuild
  Lab Level:      9 / 20 (Max)
  Next Level:    0d 10h 36m
  Max Level:     14d  7h 51m</t>
      </text>
    </comment>
    <comment authorId="0" ref="AD18">
      <text>
        <t xml:space="preserve">Golden Tower Bonus
  Lab Level:      22 / 25 (Max)
  Next Level:    3d  3h 54m
  Max Level:     10d 21h 40m</t>
      </text>
    </comment>
    <comment authorId="0" ref="AJ18">
      <text>
        <t xml:space="preserve">Chrono Field Reduction %
  Lab Level:      20 / 30 (Max)
  Next Level:    2d  1h 42m
  Max Level:     42d 10h 15m</t>
      </text>
    </comment>
    <comment authorId="0" ref="AP18">
      <text>
        <t xml:space="preserve">Wall Invincibility
  Lab Level:      0 / 10 (Max)
  Next Level:    0d  5h 17m
  Max Level:     5d  7h 44m</t>
      </text>
    </comment>
    <comment authorId="0" ref="AV18">
      <text>
        <t xml:space="preserve">Interest
  Lab Level:      11 / 99 (Max)
  Next Level:    0d  0h 43m
  Max Level:     216d  8h 32m</t>
      </text>
    </comment>
    <comment authorId="0" ref="BH18">
      <text>
        <t xml:space="preserve">Workshop Enhancements
  Lab Level:      1 / 1 (Max)
  Next Level:    
  Max Level:     0d 10h 10m</t>
      </text>
    </comment>
    <comment authorId="0" ref="X19">
      <text>
        <t xml:space="preserve">Best eHP tool in the game because Vamps don't turn it off; do at least 10 levels</t>
      </text>
    </comment>
    <comment authorId="0" ref="AD19">
      <text>
        <t xml:space="preserve">More radius enables more stuns</t>
      </text>
    </comment>
    <comment authorId="0" ref="AJ19">
      <text>
        <t xml:space="preserve">Extremely good at what it does; however the effect of it is not that desirable by the time you unlock it. Basically requires CL+, costs 40q coins to max</t>
      </text>
    </comment>
    <comment authorId="0" ref="AP19">
      <text>
        <t xml:space="preserve">SM based Panic Button. Helpful with "SM hits" event mission</t>
      </text>
    </comment>
    <comment authorId="0" ref="AV19">
      <text>
        <t xml:space="preserve">Packages become insignificant after wall, very little value per level</t>
      </text>
    </comment>
    <comment authorId="0" ref="BH19">
      <text>
        <t xml:space="preserve">Keeps enemies at tower range much better</t>
      </text>
    </comment>
    <comment authorId="0" ref="X20">
      <text>
        <t xml:space="preserve">Wall Regen
  Lab Level:      21 / 30 (Max)
  Next Level:    5d 19h 20m
  Max Level:     97d 11h  1m</t>
      </text>
    </comment>
    <comment authorId="0" ref="AD20">
      <text>
        <t xml:space="preserve">Inner Mine Blast Radius
  Lab Level:      0 / 20 (Max)
  Next Level:    0d  1h 16m
  Max Level:     12d 13h  3m</t>
      </text>
    </comment>
    <comment authorId="0" ref="AJ20">
      <text>
        <t xml:space="preserve">Chain Thunder
  Lab Level:      12 / 30 (Max)
  Next Level:    2d  1h 31m
  Max Level:     115d  0h 36m</t>
      </text>
    </comment>
    <comment authorId="0" ref="AP20">
      <text>
        <t xml:space="preserve">Missile Barrage
  Lab Level:      0 / 1 (Max)
  Next Level:    0d 10h 10m
  Max Level:     0d 10h 10m</t>
      </text>
    </comment>
    <comment authorId="0" ref="AV20">
      <text>
        <t xml:space="preserve">Recovery Package Amount
  Lab Level:      0 / 20 (Max)
  Next Level:    0d  3h 31m
  Max Level:     16d 17h 38m</t>
      </text>
    </comment>
    <comment authorId="0" ref="BH20">
      <text>
        <t xml:space="preserve">Light Speed Shots
  Lab Level:      1 / 1 (Max)
  Next Level:    
  Max Level:     0d  1h 16m</t>
      </text>
    </comment>
    <comment authorId="0" ref="X21">
      <text>
        <t xml:space="preserve">Same as Wall Rebuild</t>
      </text>
    </comment>
    <comment authorId="0" ref="AD21">
      <text>
        <t xml:space="preserve">The more the better however be wary as it can be harmful without perma CF</t>
      </text>
    </comment>
    <comment authorId="0" ref="AJ21">
      <text>
        <t xml:space="preserve">Improves overall CC potential</t>
      </text>
    </comment>
    <comment authorId="0" ref="AP21">
      <text>
        <t xml:space="preserve">Panic Button gains more missiles</t>
      </text>
    </comment>
    <comment authorId="0" ref="AV21">
      <text>
        <t xml:space="preserve">Packages become insignificant after wall, very little value per level</t>
      </text>
    </comment>
    <comment authorId="0" ref="BH21">
      <text>
        <t xml:space="preserve">Dabs scales horribly past tier 1</t>
      </text>
    </comment>
    <comment authorId="0" ref="X22">
      <text>
        <t xml:space="preserve">Wall Invincibility
  Lab Level:      0 / 10 (Max)
  Next Level:    0d  5h 17m
  Max Level:     5d  7h 44m</t>
      </text>
    </comment>
    <comment authorId="0" ref="AD22">
      <text>
        <t xml:space="preserve">Chrono Field Range
  Lab Level:      17 / 20 (Max)
  Next Level:    1d 11h 18m
  Max Level:     5d  4h 57m</t>
      </text>
    </comment>
    <comment authorId="0" ref="AJ22">
      <text>
        <t xml:space="preserve">Thunder Bot - Cooldown
  Lab Level:      0 / 25 (Max)
  Next Level:    0d  2h 28m
  Max Level:     36d 15h 32m</t>
      </text>
    </comment>
    <comment authorId="0" ref="AP22">
      <text>
        <t xml:space="preserve">Missile Barrage Quantity
  Lab Level:      0 / 6 (Max)
  Next Level:    0d  1h 16m
  Max Level:     1d  6h 12m</t>
      </text>
    </comment>
    <comment authorId="0" ref="AV22">
      <text>
        <t xml:space="preserve">Recovery Package Max
  Lab Level:      0 / 20 (Max)
  Next Level:    0d  3h 31m
  Max Level:     16d 17h 38m</t>
      </text>
    </comment>
    <comment authorId="0" ref="BH22">
      <text>
        <t xml:space="preserve">Defense Absolute
  Lab Level:      14 / 14 (Target)
  Next Level:    0d  0h 46m
  Target Level: 0d  1h 25m</t>
      </text>
    </comment>
    <comment authorId="0" ref="X23">
      <text>
        <t xml:space="preserve">Enables Wall Regen to be the best eHp tool in the game</t>
      </text>
    </comment>
    <comment authorId="0" ref="AD23">
      <text>
        <t xml:space="preserve">Adds an essential SM-only damage multiplier</t>
      </text>
    </comment>
    <comment authorId="0" ref="AJ23">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AP23">
      <text>
        <t xml:space="preserve">Basically useless prior to owning SM other than for an event mission, enables SLM Orbless with SM</t>
      </text>
    </comment>
    <comment authorId="0" ref="AV23">
      <text>
        <t xml:space="preserve">Useless; if a missile lives long enough for this to matter it was not needed</t>
      </text>
    </comment>
    <comment authorId="0" ref="BH23">
      <text>
        <t xml:space="preserve">Decent to help with orbs clearing enemies better, later good to get more Orb mastery or Orb Boss Hit procs</t>
      </text>
    </comment>
    <comment authorId="0" ref="X24">
      <text>
        <t xml:space="preserve">Wall Fortification
  Lab Level:      47 / 60 (Max)
  Next Level:    2d  3h 24m
  Max Level:     37d  2h 27m</t>
      </text>
    </comment>
    <comment authorId="0" ref="AD24">
      <text>
        <t xml:space="preserve">Missile Amplifier
  Lab Level:      0 / 25 (Max)
  Next Level:    0d  1h 16m
  Max Level:     28d  7h 49m</t>
      </text>
    </comment>
    <comment authorId="0" ref="AJ24">
      <text>
        <t xml:space="preserve">Fast Enemy Speed
  Lab Level:      0 / 30 (Max)
  Next Level:    0d  4h 14m
  Max Level:     79d 10h 14m</t>
      </text>
    </comment>
    <comment authorId="0" ref="AP24">
      <text>
        <t xml:space="preserve">Spotlight Missiles
  Lab Level:      1 / 18 (Max)
  Next Level:    0d 10h 41m
  Max Level:     15d  1h 22m</t>
      </text>
    </comment>
    <comment authorId="0" ref="AV24">
      <text>
        <t xml:space="preserve">Missile Despawn Time
  Lab Level:      0 / 20 (Max)
  Next Level:    0d  1h 16m
  Max Level:     10d  0h 41m</t>
      </text>
    </comment>
    <comment authorId="0" ref="BH24">
      <text>
        <t xml:space="preserve">Orbs Speed
  Lab Level:      20 / 20 (Max)
  Next Level:    
  Max Level:     1d  5h 37m</t>
      </text>
    </comment>
    <comment authorId="0" ref="X25">
      <text>
        <t xml:space="preserve">Excellent lab, eventually max it, but balance it with UW econ labs</t>
      </text>
    </comment>
    <comment authorId="0" ref="AD25">
      <text>
        <t xml:space="preserve">An important part in making PS damage matter and even strong. Great against Ultimate Tanks</t>
      </text>
    </comment>
    <comment authorId="0" ref="AJ25">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AP25">
      <text>
        <t xml:space="preserve">Niche use with Ring or Max Devo farming. Decent for bosses with DW+</t>
      </text>
    </comment>
    <comment authorId="0" ref="AV25">
      <text>
        <t xml:space="preserve">Potential footgun regarding where the enemy gets stunned. Proceed with caution. Can be partly counteracted by using a higher range</t>
      </text>
    </comment>
    <comment authorId="0" ref="BH25">
      <text>
        <t xml:space="preserve">Mostly useless until you have developed CC to force bosses to stay in orb line longer</t>
      </text>
    </comment>
    <comment authorId="0" ref="X26">
      <text>
        <t xml:space="preserve">Coins / Kill Bonus
  Lab Level:      87 / 99 (Max)
  Next Level:    2d  8h 16m
  Max Level:     32d 15h 38m</t>
      </text>
    </comment>
    <comment authorId="0" ref="AD26">
      <text>
        <t xml:space="preserve">Swamp Rend
  Lab Level:      0 / 30 (Max)
  Next Level:    0d 12h 42m
  Max Level:     127d 19h 20m</t>
      </text>
    </comment>
    <comment authorId="0" ref="AJ26">
      <text>
        <t xml:space="preserve">Boss Health
  Lab Level:      0 / 30 (Max)
  Next Level:    0d  3h 31m
  Max Level:     78d 13h  3m</t>
      </text>
    </comment>
    <comment authorId="0" ref="AP26">
      <text>
        <t xml:space="preserve">Death Wave Damage Amplifier
  Lab Level:      2 / 30 (Max)
  Next Level:    0d 15h 56m
  Max Level:     126d 16h 58m</t>
      </text>
    </comment>
    <comment authorId="0" ref="AV26">
      <text>
        <t xml:space="preserve">Swamp Radius
  Lab Level:      0 / 30 (Max)
  Next Level:    0d  1h 16m
  Max Level:     52d 10h 56m</t>
      </text>
    </comment>
    <comment authorId="0" ref="BH26">
      <text>
        <t xml:space="preserve">Orb Boss Hit
  Lab Level:      10 / 10 (Max)
  Next Level:    
  Max Level:     0d  9h 53m</t>
      </text>
    </comment>
    <comment authorId="0" ref="X27">
      <text>
        <t xml:space="preserve">Adds crucial splash damage to Missiles</t>
      </text>
    </comment>
    <comment authorId="0" ref="AD27">
      <text>
        <t xml:space="preserve">When PS has any use in damage, good to make the multiplier affect everything</t>
      </text>
    </comment>
    <comment authorId="0" ref="AJ27">
      <text>
        <t xml:space="preserve">Good with high level CL+ to fully kill protectors with percentage damage</t>
      </text>
    </comment>
    <comment authorId="0" ref="AP27">
      <text>
        <t xml:space="preserve">Chance too low to be significant value for the lab time</t>
      </text>
    </comment>
    <comment authorId="0" ref="AV27">
      <text>
        <t xml:space="preserve">Panic Button can be reused, however the cooldown is too long to matter on top of being a lackluster ability</t>
      </text>
    </comment>
    <comment authorId="0" ref="BH27">
      <text>
        <t xml:space="preserve">Another health lab</t>
      </text>
    </comment>
    <comment authorId="0" ref="X28">
      <text>
        <t xml:space="preserve">Missiles Explosion
  Lab Level:      0 / 1 (Max)
  Next Level:    0d  1h 25m
  Max Level:     0d  1h 25m</t>
      </text>
    </comment>
    <comment authorId="0" ref="AD28">
      <text>
        <t xml:space="preserve">Swamp Rend - Additional Enemies
  Lab Level:      0 / 6 (Max)
  Next Level:    0d 12h 42m
  Max Level:     4d  7h  8m</t>
      </text>
    </comment>
    <comment authorId="0" ref="AJ28">
      <text>
        <t xml:space="preserve">Protector Health
  Lab Level:      0 / 30 (Max)
  Next Level:    0d  3h 31m
  Max Level:     78d 13h  3m</t>
      </text>
    </comment>
    <comment authorId="0" ref="AP28">
      <text>
        <t xml:space="preserve">Double Death Ray
  Lab Level:      6 / 30 (Max)
  Next Level:    0d  3h 53m
  Max Level:     56d  8h  2m</t>
      </text>
    </comment>
    <comment authorId="0" ref="AV28">
      <text>
        <t xml:space="preserve">Recharge Missile Barrage
  Lab Level:      0 / 7 (Max)
  Next Level:    0d  7h 56m
  Max Level:     7d 15h  5m</t>
      </text>
    </comment>
    <comment authorId="0" ref="BH28">
      <text>
        <t xml:space="preserve">Wall Health
  Lab Level:      50 / 50 (Max)
  Next Level:    
  Max Level:     0d 14h 35m</t>
      </text>
    </comment>
    <comment authorId="0" ref="X29">
      <text>
        <t xml:space="preserve">Potential footgun regarding where the enemy gets stunned. Proceed with caution. Can be partly counteracted by using a higher range</t>
      </text>
    </comment>
    <comment authorId="0" ref="AD29">
      <text>
        <t xml:space="preserve">A few levels solve scatters for the most part. More levels should solve the problem if they ever become a danger again</t>
      </text>
    </comment>
    <comment authorId="0" ref="AJ29">
      <text>
        <t xml:space="preserve">Decent value for the lower levels</t>
      </text>
    </comment>
    <comment authorId="0" ref="AP29">
      <text>
        <t xml:space="preserve">Super Tower is a bullet only damage multiplier until you unlock its mastery. Great damage multipler after doing so</t>
      </text>
    </comment>
    <comment authorId="0" ref="AV29">
      <text>
        <t xml:space="preserve">Extremely good at what it does; however the effect of it is not that desirable by the time you unlock it. Basically requires CL+, costs 40q coins to max</t>
      </text>
    </comment>
    <comment authorId="0" ref="BH29">
      <text>
        <t xml:space="preserve">Solves the vampire problem better than a wooden stake to the heart, if you don't have a problem with vampires you can wait to start/finish this lab</t>
      </text>
    </comment>
    <comment authorId="0" ref="X30">
      <text>
        <t xml:space="preserve">Swamp Radius
  Lab Level:      0 / 30 (Max)
  Next Level:    0d  1h 16m
  Max Level:     52d 10h 56m</t>
      </text>
    </comment>
    <comment authorId="0" ref="AD30">
      <text>
        <t xml:space="preserve">Lightning Amplifier - Scatter
  Lab Level:      9 / 30 (Max)
  Next Level:    1d 11h 14m
  Max Level:     119d 23h 32m</t>
      </text>
    </comment>
    <comment authorId="0" ref="AJ30">
      <text>
        <t xml:space="preserve">Protector Radius
  Lab Level:      0 / 30 (Max)
  Next Level:    0d  3h 31m
  Max Level:     78d 13h  3m</t>
      </text>
    </comment>
    <comment authorId="0" ref="AP30">
      <text>
        <t xml:space="preserve">Super Tower Bonus
  Lab Level:      0 / 30 (Max)
  Next Level:    0d  0h 19m
  Max Level:     57d  0h 33m</t>
      </text>
    </comment>
    <comment authorId="0" ref="AV30">
      <text>
        <t xml:space="preserve">Chain Thunder
  Lab Level:      12 / 30 (Max)
  Next Level:    2d  1h 31m
  Max Level:     115d  0h 36m</t>
      </text>
    </comment>
    <comment authorId="0" ref="BH30">
      <text>
        <t xml:space="preserve">Garlic Thorns
  Lab Level:      10 / 10 (Max)
  Next Level:    
  Max Level:     0d  7h 54m</t>
      </text>
    </comment>
    <comment authorId="0" ref="X31">
      <text>
        <t xml:space="preserve">Great complementary source of crowd control</t>
      </text>
    </comment>
    <comment authorId="0" ref="AD31">
      <text>
        <t xml:space="preserve">Essential in allowing the full potential of the UW+, leading to being a favourable second damage UW built</t>
      </text>
    </comment>
    <comment authorId="0" ref="AJ31">
      <text>
        <t xml:space="preserve">Good to reduce ranged chips</t>
      </text>
    </comment>
    <comment authorId="0" ref="AP31">
      <text>
        <t xml:space="preserve">Okay for the event mission when high level, essential to keep the effect of mastery going past 300 waves</t>
      </text>
    </comment>
    <comment authorId="0" ref="AV31">
      <text>
        <t xml:space="preserve">Not important, potential footgun regarding killing too far out</t>
      </text>
    </comment>
    <comment authorId="0" ref="BH31">
      <text>
        <t xml:space="preserve">Decreases variability of packages, very good for early towers without WHR or Wall and Gcomp users</t>
      </text>
    </comment>
    <comment authorId="0" ref="X32">
      <text>
        <t xml:space="preserve">Swamp Stun
  Lab Level:      0 / 1 (Max)
  Next Level:    0d  1h 16m
  Max Level:     0d  1h 16m</t>
      </text>
    </comment>
    <comment authorId="0" ref="AD32">
      <text>
        <t xml:space="preserve">Inner Land Mine - Chrono Jump
  Lab Level:      0 / 10 (Max)
  Next Level:    1d  1h 25m
  Max Level:     58d  6h  6m</t>
      </text>
    </comment>
    <comment authorId="0" ref="AJ32">
      <text>
        <t xml:space="preserve">Ranged Enemy Range
  Lab Level:      0 / 30 (Max)
  Next Level:    0d  4h  7m
  Max Level:     79d 18h 47m</t>
      </text>
    </comment>
    <comment authorId="0" ref="AP32">
      <text>
        <t xml:space="preserve">Recharge Nuke
  Lab Level:      2 / 7 (Max)
  Next Level:    0d 12h 15m
  Max Level:     6d 21h  5m</t>
      </text>
    </comment>
    <comment authorId="0" ref="AV32">
      <text>
        <t xml:space="preserve">Death Wave Armor Stripping
  Lab Level:      0 / 10 (Max)
  Next Level:    0d 12h 42m
  Max Level:     18d  0h  2m</t>
      </text>
    </comment>
    <comment authorId="0" ref="BH32">
      <text>
        <t xml:space="preserve">Package After Boss
  Lab Level:      1 / 1 (Max)
  Next Level:    
  Max Level:     0d 12h 21m</t>
      </text>
    </comment>
    <comment authorId="0" ref="X33">
      <text>
        <t xml:space="preserve">Great complementary source of crowd control</t>
      </text>
    </comment>
    <comment authorId="0" ref="AD33">
      <text>
        <t xml:space="preserve">Great but long lab</t>
      </text>
    </comment>
    <comment authorId="0" ref="AJ33">
      <text>
        <t xml:space="preserve">Basically another reroll shards lab but arguably worse</t>
      </text>
    </comment>
    <comment authorId="0" ref="AP33">
      <text>
        <t xml:space="preserve">Syncing the bot may be beneficial in some cases, improves consistency</t>
      </text>
    </comment>
    <comment authorId="0" ref="AV33">
      <text>
        <t xml:space="preserve">Long lab that is almost entirely overshadowed by the Perk wave requirement perk</t>
      </text>
    </comment>
    <comment authorId="0" ref="BH33">
      <text>
        <t xml:space="preserve">Good with GComp and for getting extra shards out of RPC mastery</t>
      </text>
    </comment>
    <comment authorId="0" ref="X34">
      <text>
        <t xml:space="preserve">Swamp Stun Chance
  Lab Level:      0 / 30 (Max)
  Next Level:    0d  1h 16m
  Max Level:     52d 10h 56m</t>
      </text>
    </comment>
    <comment authorId="0" ref="AD34">
      <text>
        <t xml:space="preserve">Gold Bot - Duration
  Lab Level:      12 / 20 (Max)
  Next Level:    2d 20h  0m
  Max Level:     38d 21h 26m</t>
      </text>
    </comment>
    <comment authorId="0" ref="AJ34">
      <text>
        <t xml:space="preserve">Cannon Effect Bans
  Lab Level:      0 / 4 (Max)
  Next Level:    2d  9h 11m
  Max Level:     31d 12h 14m</t>
      </text>
    </comment>
    <comment authorId="0" ref="AP34">
      <text>
        <t xml:space="preserve">Amp Bot - Cooldown
  Lab Level:      0 / 25 (Max)
  Next Level:    0d  2h 28m
  Max Level:     36d 15h 32m</t>
      </text>
    </comment>
    <comment authorId="0" ref="AV34">
      <text>
        <t xml:space="preserve">Waves Required
  Lab Level:      13 / 17 (Target)
  Next Level:    0d 12h 38m
  Target Level: 2d 23h 34m</t>
      </text>
    </comment>
    <comment authorId="0" ref="BH34">
      <text>
        <t xml:space="preserve">Recovery Package Chance
  Lab Level:      20 / 20 (Max)
  Next Level:    
  Max Level:     2d 15h 11m</t>
      </text>
    </comment>
    <comment authorId="0" ref="X35">
      <text>
        <t xml:space="preserve">Great complementary source of crowd control</t>
      </text>
    </comment>
    <comment authorId="0" ref="AD35">
      <text>
        <t xml:space="preserve">Improves overall damage and its consistency</t>
      </text>
    </comment>
    <comment authorId="0" ref="AJ35">
      <text>
        <t xml:space="preserve">Basically another reroll shards lab but arguably worse</t>
      </text>
    </comment>
    <comment authorId="0" ref="AP35">
      <text>
        <t xml:space="preserve">Only good if you have the bot</t>
      </text>
    </comment>
    <comment authorId="0" ref="AV35">
      <text>
        <t xml:space="preserve">Can hinder syncing with UWs at certain higher times, best to sync 1:1 </t>
      </text>
    </comment>
    <comment authorId="0" ref="BH35">
      <text>
        <t xml:space="preserve">More ELS is always good, especially when the lab is less expensive than the WS or WS+ upgrades</t>
      </text>
    </comment>
    <comment authorId="0" ref="X36">
      <text>
        <t xml:space="preserve">Swamp Stun Time
  Lab Level:      0 / 30 (Max)
  Next Level:    0d  1h 16m
  Max Level:     52d 10h 56m</t>
      </text>
    </comment>
    <comment authorId="0" ref="AD36">
      <text>
        <t xml:space="preserve">Amp Bot - Duration
  Lab Level:      0 / 20 (Max)
  Next Level:    0d 12h 42m
  Max Level:     54d  6h  3m</t>
      </text>
    </comment>
    <comment authorId="0" ref="AJ36">
      <text>
        <t xml:space="preserve">Armor Effect Bans
  Lab Level:      2 / 4 (Max)
  Next Level:    10d  7h 50m
  Max Level:     23d  7h 14m</t>
      </text>
    </comment>
    <comment authorId="0" ref="AP36">
      <text>
        <t xml:space="preserve">Thunder Bot - Linger Time
  Lab Level:      0 / 20 (Max)
  Next Level:    0d 12h 42m
  Max Level:     54d  6h  3m</t>
      </text>
    </comment>
    <comment authorId="0" ref="AV36">
      <text>
        <t xml:space="preserve">Gold Bot - Cooldown
  Lab Level:      21 / 25 (Max)
  Next Level:    3d 12h 41m
  Max Level:     17d 18h 22m</t>
      </text>
    </comment>
    <comment authorId="0" ref="BH36">
      <text>
        <t xml:space="preserve">Enemy Attack Level Skip
  Lab Level:      20 / 20 (Max)
  Next Level:    
  Max Level:     1d  2h 23m</t>
      </text>
    </comment>
    <comment authorId="0" ref="X37">
      <text>
        <t xml:space="preserve">Shock will stack faster; no need to max, attack speed should handle maxing fast</t>
      </text>
    </comment>
    <comment authorId="0" ref="AD37">
      <text>
        <t xml:space="preserve">Useless until level 161+ when costs go into trillions and quadrillions. Retroactive</t>
      </text>
    </comment>
    <comment authorId="0" ref="AJ37">
      <text>
        <t xml:space="preserve">Basically another reroll shards lab but arguably worse</t>
      </text>
    </comment>
    <comment authorId="0" ref="AP37">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AV37">
      <text>
        <t xml:space="preserve">Syncing the bot may be beneficial in some cases, improves consistency</t>
      </text>
    </comment>
    <comment authorId="0" ref="BH37">
      <text>
        <t xml:space="preserve">More ELS is always good, especially when the lab is less expensive than the WS or WS+ upgrades</t>
      </text>
    </comment>
    <comment authorId="0" ref="X38">
      <text>
        <t xml:space="preserve">Shock Chance
  Lab Level:      14 / 30 (Max)
  Next Level:    0d 21h 22m
  Max Level:     54d  1h 47m</t>
      </text>
    </comment>
    <comment authorId="0" ref="AD38">
      <text>
        <t xml:space="preserve">Module Coin Cost
  Lab Level:      23 / 30 (Max)
  Next Level:    0d 22h  3m
  Max Level:     7d 16h 13m</t>
      </text>
    </comment>
    <comment authorId="0" ref="AJ38">
      <text>
        <t xml:space="preserve">Generator Effect Bans
  Lab Level:      1 / 3 (Max)
  Next Level:    10d  7h 50m
  Max Level:     23d  7h 14m</t>
      </text>
    </comment>
    <comment authorId="0" ref="AP38">
      <text>
        <t xml:space="preserve">Common Enemy Health
  Lab Level:      0 / 30 (Max)
  Next Level:    0d  3h 31m
  Max Level:     78d 13h  3m</t>
      </text>
    </comment>
    <comment authorId="0" ref="AV38">
      <text>
        <t xml:space="preserve">Amp Bot - Cooldown
  Lab Level:      0 / 25 (Max)
  Next Level:    0d  2h 28m
  Max Level:     36d 15h 32m</t>
      </text>
    </comment>
    <comment authorId="0" ref="BH38">
      <text>
        <t xml:space="preserve">Enemy Health Level Skip
  Lab Level:      20 / 20 (Max)
  Next Level:    
  Max Level:     1d  2h 23m</t>
      </text>
    </comment>
    <comment authorId="0" ref="X39">
      <text>
        <t xml:space="preserve">Helps with hitting bosses by multiple mines</t>
      </text>
    </comment>
    <comment authorId="0" ref="AJ39">
      <text>
        <t xml:space="preserve">Basically another reroll shards lab but arguably worse</t>
      </text>
    </comment>
    <comment authorId="0" ref="AP39">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AV39">
      <text>
        <t xml:space="preserve">FB is not for damage; not needed</t>
      </text>
    </comment>
    <comment authorId="0" ref="BH39">
      <text>
        <t xml:space="preserve">Only research with intention to go for permanent CF</t>
      </text>
    </comment>
    <comment authorId="0" ref="X40">
      <text>
        <t xml:space="preserve">Inner Mine Rotation Speed
  Lab Level:      0 / 20 (Max)
  Next Level:    0d  1h 16m
  Max Level:     12d 13h  3m</t>
      </text>
    </comment>
    <comment authorId="0" ref="AD40">
      <text>
        <t xml:space="preserve">Assist Module Bonus - Cannon
  Lab Level:      0 / 30 (Max)
  Next Level:    0d 16h 28m
  Max Level:     319d  3h 13m</t>
      </text>
    </comment>
    <comment authorId="0" ref="AJ40">
      <text>
        <t xml:space="preserve">Core Effect Bans
  Lab Level:      4 / 7 (Max)
  Next Level:    10d  7h 50m
  Max Level:     39d  4h 32m</t>
      </text>
    </comment>
    <comment authorId="0" ref="AP40">
      <text>
        <t xml:space="preserve">Fast Enemy Health
  Lab Level:      0 / 30 (Max)
  Next Level:    0d  3h 31m
  Max Level:     78d 13h  3m</t>
      </text>
    </comment>
    <comment authorId="0" ref="AV40">
      <text>
        <t xml:space="preserve">Flame Bot - Burn Stack
  Lab Level:      0 / 5 (Max)
  Next Level:    2d 21h 35m
  Max Level:     19d 13h 11m</t>
      </text>
    </comment>
    <comment authorId="0" ref="BH40">
      <text>
        <t xml:space="preserve">Chrono Field Duration
  Lab Level:      30 / 30 (Max)
  Next Level:    
  Max Level:     7d  1h 42m</t>
      </text>
    </comment>
    <comment authorId="0" ref="X41">
      <text>
        <t xml:space="preserve">Basically useless prior to owning SM other than for an event mission, enables SLM Orbless with SM</t>
      </text>
    </comment>
    <comment authorId="0" ref="AP41">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AV41">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BH41">
      <text>
        <t xml:space="preserve">Very long for any benefit past a certan point</t>
      </text>
    </comment>
    <comment authorId="0" ref="X42">
      <text>
        <t xml:space="preserve">Spotlight Missiles
  Lab Level:      1 / 18 (Max)
  Next Level:    0d 10h 41m
  Max Level:     15d  1h 22m</t>
      </text>
    </comment>
    <comment authorId="0" ref="AD42">
      <text>
        <t xml:space="preserve">Assist Module Bonus - Core
  Lab Level:      0 / 30 (Max)
  Next Level:    0d 16h 28m
  Max Level:     319d  3h 13m</t>
      </text>
    </comment>
    <comment authorId="0" ref="AJ42">
      <text>
        <t xml:space="preserve">Assist Module Bonus - Armor
  Lab Level:      0 / 30 (Max)
  Next Level:    0d 16h 28m
  Max Level:     319d  3h 13m</t>
      </text>
    </comment>
    <comment authorId="0" ref="AP42">
      <text>
        <t xml:space="preserve">Tank Enemy Health
  Lab Level:      0 / 30 (Max)
  Next Level:    0d  3h 31m
  Max Level:     78d 13h  3m</t>
      </text>
    </comment>
    <comment authorId="0" ref="AV42">
      <text>
        <t xml:space="preserve">Common Enemy Attack
  Lab Level:      0 / 30 (Max)
  Next Level:    0d  3h 31m
  Max Level:     78d 13h  3m</t>
      </text>
    </comment>
    <comment authorId="0" ref="BH42">
      <text>
        <t xml:space="preserve">Chrono Field Damage Reduction
  Lab Level:      1 / 1 (Max)
  Next Level:    
  Max Level:     0d  1h  3m</t>
      </text>
    </comment>
    <comment authorId="0" ref="X43">
      <text>
        <t xml:space="preserve">Super Tower is a bullet only damage multiplier until you unlock its mastery. Great damage multipler after doing so</t>
      </text>
    </comment>
    <comment authorId="0" ref="AJ43">
      <text>
        <t xml:space="preserve">Resistances get far weaker than most battle conditions with how they substract the effect</t>
      </text>
    </comment>
    <comment authorId="0" ref="AP43">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AV43">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BH43">
      <text>
        <t xml:space="preserve">Adds a global damage multiplier to CL</t>
      </text>
    </comment>
    <comment authorId="0" ref="X44">
      <text>
        <t xml:space="preserve">Super Tower Bonus
  Lab Level:      0 / 30 (Max)
  Next Level:    0d  0h 19m
  Max Level:     57d  0h 33m</t>
      </text>
    </comment>
    <comment authorId="0" ref="AJ44">
      <text>
        <t xml:space="preserve">Knockback Resistance
  Lab Level:      0 / 20 (Max)
  Next Level:    0d 20h 35m
  Max Level:     180d  3h 45m</t>
      </text>
    </comment>
    <comment authorId="0" ref="AP44">
      <text>
        <t xml:space="preserve">Ranged Enemy Health
  Lab Level:      0 / 30 (Max)
  Next Level:    0d  3h 31m
  Max Level:     78d 13h  3m</t>
      </text>
    </comment>
    <comment authorId="0" ref="AV44">
      <text>
        <t xml:space="preserve">Fast Enemy Attack
  Lab Level:      0 / 30 (Max)
  Next Level:    0d  3h 31m
  Max Level:     78d 13h  3m</t>
      </text>
    </comment>
    <comment authorId="0" ref="BH44">
      <text>
        <t xml:space="preserve">Chain Lightning Shock
  Lab Level:      1 / 1 (Max)
  Next Level:    
  Max Level:     0d  1h 31m</t>
      </text>
    </comment>
    <comment authorId="0" ref="X45">
      <text>
        <t xml:space="preserve">Great for the event mission, essential to keep the effect of mastery going past 300 waves</t>
      </text>
    </comment>
    <comment authorId="0" ref="AJ45">
      <text>
        <t xml:space="preserve">Resistances get far weaker than most battle conditions with how they substract the effect</t>
      </text>
    </comment>
    <comment authorId="0" ref="AV45">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BH45">
      <text>
        <t xml:space="preserve">Shock will stack higher; good to max</t>
      </text>
    </comment>
    <comment authorId="0" ref="X46">
      <text>
        <t xml:space="preserve">Recharge Demon Mode
  Lab Level:      4 / 7 (Max)
  Next Level:    0d 21h 28m
  Max Level:     5d 17h 37m</t>
      </text>
    </comment>
    <comment authorId="0" ref="AJ46">
      <text>
        <t xml:space="preserve">Thorns Resistance
  Lab Level:      0 / 20 (Max)
  Next Level:    0d 20h 35m
  Max Level:     180d  3h 45m</t>
      </text>
    </comment>
    <comment authorId="0" ref="AP46">
      <text>
        <t xml:space="preserve">Protector Damage Reduction
  Lab Level:      0 / 20 (Max)
  Next Level:    0d  4h 14m
  Max Level:     17d  7h 45m</t>
      </text>
    </comment>
    <comment authorId="0" ref="AV46">
      <text>
        <t xml:space="preserve">Tank Enemy Attack
  Lab Level:      0 / 30 (Max)
  Next Level:    0d  3h 31m
  Max Level:     78d 13h  3m</t>
      </text>
    </comment>
    <comment authorId="0" ref="BH46">
      <text>
        <t xml:space="preserve">Shock Multiplier
  Lab Level:      14 / 14 (Max)
  Next Level:    
  Max Level:     0d 17h 56m</t>
      </text>
    </comment>
    <comment authorId="0" ref="X47">
      <text>
        <t xml:space="preserve">Okay for the event mission when high level, essential to keep the effect of mastery going past 300 waves</t>
      </text>
    </comment>
    <comment authorId="0" ref="AJ47">
      <text>
        <t xml:space="preserve">Resistances get far weaker than most battle conditions with how they substract the effect</t>
      </text>
    </comment>
    <comment authorId="0" ref="AV47">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BH47">
      <text>
        <t xml:space="preserve">Very good for farm, dubious use in tourney</t>
      </text>
    </comment>
    <comment authorId="0" ref="X48">
      <text>
        <t xml:space="preserve">Recharge Nuke
  Lab Level:      2 / 7 (Max)
  Next Level:    0d 12h 15m
  Max Level:     6d 21h  5m</t>
      </text>
    </comment>
    <comment authorId="0" ref="AJ48">
      <text>
        <t xml:space="preserve">Orb Resistance
  Lab Level:      0 / 20 (Max)
  Next Level:    0d 20h 35m
  Max Level:     180d  3h 45m</t>
      </text>
    </comment>
    <comment authorId="0" ref="AP48">
      <text>
        <t xml:space="preserve">Ray Enemy Attack
  Lab Level:      0 / 30 (Max)
  Next Level:    0d 16h 28m
  Max Level:     319d  3h 13m</t>
      </text>
    </comment>
    <comment authorId="0" ref="AV48">
      <text>
        <t xml:space="preserve">Ranged Enemy Attack
  Lab Level:      0 / 30 (Max)
  Next Level:    0d  3h 31m
  Max Level:     78d 13h  3m</t>
      </text>
    </comment>
    <comment authorId="0" ref="BH48">
      <text>
        <t xml:space="preserve">Death Wave Health
  Lab Level:      30 / 30 (Max)
  Next Level:    
  Max Level:     1d  2h 15m</t>
      </text>
    </comment>
    <comment authorId="0" ref="X49">
      <text>
        <t xml:space="preserve">Allows you to ban perks that are useless or detrimental to your runs, do not ban Coin Trade Off</t>
      </text>
    </comment>
    <comment authorId="0" ref="AJ49">
      <text>
        <t xml:space="preserve">Resistances get far weaker than most battle conditions with how they substract the effect</t>
      </text>
    </comment>
    <comment authorId="0" ref="AV49">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BH49">
      <text>
        <t xml:space="preserve">More econ always good</t>
      </text>
    </comment>
    <comment authorId="0" ref="X50">
      <text>
        <t xml:space="preserve">Ban Perks
  Lab Level:      6 / 8 (Max)
  Next Level:    10d 14h 12m
  Max Level:     31d 18h 36m</t>
      </text>
    </comment>
    <comment authorId="0" ref="AJ50">
      <text>
        <t xml:space="preserve">Plasma Cannon Resistance
  Lab Level:      0 / 20 (Max)
  Next Level:    0d 20h 35m
  Max Level:     180d  3h 45m</t>
      </text>
    </comment>
    <comment authorId="0" ref="AP50">
      <text>
        <t xml:space="preserve">Scatter Enemy Attack
  Lab Level:      0 / 30 (Max)
  Next Level:    0d 16h 28m
  Max Level:     319d  3h 13m</t>
      </text>
    </comment>
    <comment authorId="0" ref="AV50">
      <text>
        <t xml:space="preserve">Boss Attack
  Lab Level:      0 / 30 (Max)
  Next Level:    0d  3h 31m
  Max Level:     78d 13h  3m</t>
      </text>
    </comment>
    <comment authorId="0" ref="BH50">
      <text>
        <t xml:space="preserve">Death Wave Coin Bonus
  Lab Level:      20 / 20 (Max)
  Next Level:    
  Max Level:     2d  0h 16m</t>
      </text>
    </comment>
    <comment authorId="0" ref="X51">
      <text>
        <t xml:space="preserve">Can hinder syncing with UWs at certain higher times, best to sync 1:1 </t>
      </text>
    </comment>
    <comment authorId="0" ref="AJ51">
      <text>
        <t xml:space="preserve">Resistances get far weaker than most battle conditions with how they substract the effect</t>
      </text>
    </comment>
    <comment authorId="0" ref="AV51">
      <text>
        <t xml:space="preserve">Vamps with garlic thorns, wall and package+ are a non threat anyway</t>
      </text>
    </comment>
    <comment authorId="0" ref="BH51">
      <text>
        <t xml:space="preserve">Does a % of max enemy health every second they are inside BH, the go to protector killer for early towers</t>
      </text>
    </comment>
    <comment authorId="0" ref="X52">
      <text>
        <t xml:space="preserve">Gold Bot - Cooldown
  Lab Level:      21 / 25 (Max)
  Next Level:    3d 12h 41m
  Max Level:     17d 18h 22m</t>
      </text>
    </comment>
    <comment authorId="0" ref="AJ52">
      <text>
        <t xml:space="preserve">Death Ray Resistance
  Lab Level:      0 / 20 (Max)
  Next Level:    0d 20h 35m
  Max Level:     180d  3h 45m</t>
      </text>
    </comment>
    <comment authorId="0" ref="AP52">
      <text>
        <t xml:space="preserve">Scatter Enemy Health
  Lab Level:      0 / 30 (Max)
  Next Level:    0d 16h 28m
  Max Level:     319d  3h 13m</t>
      </text>
    </comment>
    <comment authorId="0" ref="AV52">
      <text>
        <t xml:space="preserve">Vampire Enemy Attack
  Lab Level:      0 / 30 (Max)
  Next Level:    0d 16h 28m
  Max Level:     319d  3h 13m</t>
      </text>
    </comment>
    <comment authorId="0" ref="BH52">
      <text>
        <t xml:space="preserve">Black Hole Damage
  Lab Level:      10 / 10 (Max)
  Next Level:    
  Max Level:     0d 10h  0m</t>
      </text>
    </comment>
    <comment authorId="0" ref="X53">
      <text>
        <t xml:space="preserve">Alongisde CL+ and PC mastery, can leave Rays at only 4.24% hp</t>
      </text>
    </comment>
    <comment authorId="0" ref="AJ53">
      <text>
        <t xml:space="preserve">Helps avoid losing CL+ damage</t>
      </text>
    </comment>
    <comment authorId="0" ref="AP53">
      <text>
        <t xml:space="preserve">Useless until level 161+ when costs go into trillions and quadrillions. Retroactive</t>
      </text>
    </comment>
    <comment authorId="0" ref="AV53">
      <text>
        <t xml:space="preserve">Vamps with garlic thorns, wall and package+ are a non threat anyway</t>
      </text>
    </comment>
    <comment authorId="0" ref="BH53">
      <text>
        <t xml:space="preserve">Self explanatory. Probably the only lab to consider rushing before ancestral modules</t>
      </text>
    </comment>
    <comment authorId="0" ref="X54">
      <text>
        <t xml:space="preserve">Ray Enemy Health
  Lab Level:      0 / 30 (Max)
  Next Level:    0d 16h 28m
  Max Level:     319d  3h 13m</t>
      </text>
    </comment>
    <comment authorId="0" ref="AJ54">
      <text>
        <t xml:space="preserve">Armored Enemies
  Lab Level:      0 / 20 (Max)
  Next Level:    1d  0h 42m
  Max Level:     216d  4h 30m</t>
      </text>
    </comment>
    <comment authorId="0" ref="AP54">
      <text>
        <t xml:space="preserve">Module Coin Cost
  Lab Level:      23 / 30 (Max)
  Next Level:    0d 22h  3m
  Max Level:     7d 16h 13m</t>
      </text>
    </comment>
    <comment authorId="0" ref="AV54">
      <text>
        <t xml:space="preserve">Vampire Enemy Health
  Lab Level:      0 / 30 (Max)
  Next Level:    0d 16h 28m
  Max Level:     319d  3h 13m</t>
      </text>
    </comment>
    <comment authorId="0" ref="BH54">
      <text>
        <t xml:space="preserve">Extra Black Hole
  Lab Level:      1 / 1 (Max)
  Next Level:    
  Max Level:     1d  2h 28m</t>
      </text>
    </comment>
    <comment authorId="0" ref="BH55">
      <text>
        <t xml:space="preserve">Best coin multiplier that isn't GT</t>
      </text>
    </comment>
    <comment authorId="0" ref="X56">
      <text>
        <t xml:space="preserve">Assist Module Substats - Cannon
  Lab Level:      0 / 30 (Max)
  Next Level:    0d 16h 28m
  Max Level:     319d  3h 13m</t>
      </text>
    </comment>
    <comment authorId="0" ref="AJ56">
      <text>
        <t xml:space="preserve">Enemy Attack Speed
  Lab Level:      0 / 20 (Max)
  Next Level:    1d  0h 42m
  Max Level:     216d  4h 30m</t>
      </text>
    </comment>
    <comment authorId="0" ref="AP56">
      <text>
        <t xml:space="preserve">Boss's Ultimate
  Lab Level:      0 / 10 (Max)
  Next Level:    1d 17h 10m
  Max Level:     48d  0h 59m</t>
      </text>
    </comment>
    <comment authorId="0" ref="AV56">
      <text>
        <t xml:space="preserve">Enemy Speed
  Lab Level:      0 / 20 (Max)
  Next Level:    1d  0h 42m
  Max Level:     216d  4h 30m</t>
      </text>
    </comment>
    <comment authorId="0" ref="BH56">
      <text>
        <t xml:space="preserve">Black Hole Coin Bonus
  Lab Level:      20 / 20 (Max)
  Next Level:    
  Max Level:     2d  1h 32m</t>
      </text>
    </comment>
    <comment authorId="0" ref="AJ57">
      <text>
        <t xml:space="preserve">Extra invincibility is always strong</t>
      </text>
    </comment>
    <comment authorId="0" ref="AP57">
      <text>
        <t xml:space="preserve">Cuts off a few seconds of duration, can sometimes help lower the danger</t>
      </text>
    </comment>
    <comment authorId="0" ref="BH57">
      <text>
        <t xml:space="preserve">Third best coin multiplier</t>
      </text>
    </comment>
    <comment authorId="0" ref="X58">
      <text>
        <t xml:space="preserve">Assist Module Substats - Armor
  Lab Level:      0 / 30 (Max)
  Next Level:    0d 16h 28m
  Max Level:     319d  3h 13m</t>
      </text>
    </comment>
    <comment authorId="0" ref="AJ58">
      <text>
        <t xml:space="preserve">Death Defy Down
  Lab Level:      0 / 10 (Max)
  Next Level:    1d 17h 10m
  Max Level:     68d  2h 47m</t>
      </text>
    </comment>
    <comment authorId="0" ref="AP58">
      <text>
        <t xml:space="preserve">Tank's Ultimate
  Lab Level:      0 / 10 (Max)
  Next Level:    1d 17h 10m
  Max Level:     48d  0h 59m</t>
      </text>
    </comment>
    <comment authorId="0" ref="AV58">
      <text>
        <t xml:space="preserve">More Enemies
  Lab Level:      0 / 20 (Max)
  Next Level:    1d  0h 42m
  Max Level:     216d  4h 30m</t>
      </text>
    </comment>
    <comment authorId="0" ref="BH58">
      <text>
        <t xml:space="preserve">Spotlight Coin Bonus
  Lab Level:      20 / 20 (Max)
  Next Level:    
  Max Level:     2d  1h 32m</t>
      </text>
    </comment>
    <comment authorId="0" ref="AJ59">
      <text>
        <t xml:space="preserve">Extra invincibility is always strong</t>
      </text>
    </comment>
    <comment authorId="0" ref="AP59">
      <text>
        <t xml:space="preserve">Cuts off a few seconds of duration, can sometimes help lower the danger</t>
      </text>
    </comment>
    <comment authorId="0" ref="BH59">
      <text>
        <t xml:space="preserve">Mostly for perma BH</t>
      </text>
    </comment>
    <comment authorId="0" ref="X60">
      <text>
        <t xml:space="preserve">Assist Module Bonus - Generator
  Lab Level:      0 / 30 (Max)
  Next Level:    0d 16h 28m
  Max Level:     319d  3h 13m</t>
      </text>
    </comment>
    <comment authorId="0" ref="AJ60">
      <text>
        <t xml:space="preserve">Energy Shields Down
  Lab Level:      0 / 10 (Max)
  Next Level:    1d 17h 10m
  Max Level:     68d  2h 47m</t>
      </text>
    </comment>
    <comment authorId="0" ref="AP60">
      <text>
        <t xml:space="preserve">Protector's Ultimate
  Lab Level:      0 / 10 (Max)
  Next Level:    1d 17h 10m
  Max Level:     48d  0h 59m</t>
      </text>
    </comment>
    <comment authorId="0" ref="AV60">
      <text>
        <t xml:space="preserve">Fast's Ultimate
  Lab Level:      0 / 10 (Max)
  Next Level:    1d 17h 10m
  Max Level:     48d  0h 59m</t>
      </text>
    </comment>
    <comment authorId="0" ref="BH60">
      <text>
        <t xml:space="preserve">Black Hole Disable Ranged Enemies
  Lab Level:      1 / 1 (Max)
  Next Level:    
  Max Level:     1d 20h  7m</t>
      </text>
    </comment>
    <comment authorId="0" ref="X61">
      <text>
        <t xml:space="preserve">Expensive and ELS is still very good in farm and milestones, mostly pointless for tourney with the way ELS BC works there</t>
      </text>
    </comment>
    <comment authorId="0" ref="BH61">
      <text>
        <t xml:space="preserve">The only Cell multiplier in the game outside of WS+</t>
      </text>
    </comment>
    <comment authorId="0" ref="X62">
      <text>
        <t xml:space="preserve">Enemy Level Skip Reduction
  Lab Level:      0 / 10 (Max)
  Next Level:    1d 17h 10m
  Max Level:     68d  2h 47m</t>
      </text>
    </comment>
    <comment authorId="0" ref="AV62">
      <text>
        <t xml:space="preserve">Ranged Ultimate
  Lab Level:      0 / 10 (Max)
  Next Level:    1d 17h 10m
  Max Level:     48d  0h 59m</t>
      </text>
    </comment>
    <comment authorId="0" ref="BH62">
      <text>
        <t xml:space="preserve">Death Wave Cells Bonus
  Lab Level:      20 / 20 (Max)
  Next Level:    
  Max Level:     1d 18h  1m</t>
      </text>
    </comment>
    <comment authorId="0" ref="BH63">
      <text>
        <t xml:space="preserve">Acts like the nuke card when maxed, great for consistency especially in fleet tiers</t>
      </text>
    </comment>
    <comment authorId="0" ref="AV64">
      <text>
        <t xml:space="preserve">Basic's Ultimate
  Lab Level:      0 / 10 (Max)
  Next Level:    1d 17h 10m
  Max Level:     48d  0h 59m</t>
      </text>
    </comment>
    <comment authorId="0" ref="BH64">
      <text>
        <t xml:space="preserve">Second Wind Blast
  Lab Level:      4 / 4 (Max)
  Next Level:    
  Max Level:     0d  5h 17m</t>
      </text>
    </comment>
    <comment authorId="0" ref="AV65">
      <text>
        <t xml:space="preserve">Max lab only gives you back 1 second</t>
      </text>
    </comment>
    <comment authorId="0" ref="BH65">
      <text>
        <t xml:space="preserve">Makes extra orbs a lot more useful. Allows easy clearing of BH</t>
      </text>
    </comment>
    <comment authorId="0" ref="AV66">
      <text>
        <t xml:space="preserve">Ultimate Weapon Durations
  Lab Level:      0 / 10 (Max)
  Next Level:    1d 17h 10m
  Max Level:     68d  2h 47m</t>
      </text>
    </comment>
    <comment authorId="0" ref="BH66">
      <text>
        <t xml:space="preserve">Extra Orb Adjuster
  Lab Level:      1 / 1 (Max)
  Next Level:    
  Max Level:     0d  3h 10m</t>
      </text>
    </comment>
    <comment authorId="0" ref="BH67">
      <text>
        <t xml:space="preserve">The more the merrier</t>
      </text>
    </comment>
    <comment authorId="0" ref="BH68">
      <text>
        <t xml:space="preserve">Extra Extra Orbs
  Lab Level:      2 / 2 (Max)
  Next Level:    
  Max Level:     0d  8h 49m</t>
      </text>
    </comment>
    <comment authorId="0" ref="BH69">
      <text>
        <t xml:space="preserve">Okay early for the mission, truly incredible later (Legend tourney or Glass Cannon farm) with the way Death Defy is checked before charge is used</t>
      </text>
    </comment>
    <comment authorId="0" ref="BH70">
      <text>
        <t xml:space="preserve">Energy Shield Extra Hit
  Lab Level:      2 / 2 (Max)
  Next Level:    
  Max Level:     2d  1h 25m</t>
      </text>
    </comment>
    <comment authorId="0" ref="BH71">
      <text>
        <t xml:space="preserve">Essential to keep the effect of mastery going past 400 waves. Good for Fleets</t>
      </text>
    </comment>
    <comment authorId="0" ref="BH72">
      <text>
        <t xml:space="preserve">Recharge Second Wind
  Lab Level:      7 / 7 (Max)
  Next Level:    
  Max Level:     3d  6h 18m</t>
      </text>
    </comment>
    <comment authorId="0" ref="BH73">
      <text>
        <t xml:space="preserve">Perks are great, they make your tower better at almost everything</t>
      </text>
    </comment>
    <comment authorId="0" ref="BH74">
      <text>
        <t xml:space="preserve">Unlock Perks
  Lab Level:      1 / 1 (Max)
  Next Level:    
  Max Level:     0d  5h 17m</t>
      </text>
    </comment>
    <comment authorId="0" ref="BH75">
      <text>
        <t xml:space="preserve">Toggleable. Can be harmful to use if you are able to pick your perks by hand. Really hard to use before 4 perk choices and multiple bans.</t>
      </text>
    </comment>
    <comment authorId="0" ref="BH76">
      <text>
        <t xml:space="preserve">Auto Pick Perks
  Lab Level:      1 / 1 (Max)
  Next Level:    
  Max Level:     0d  7h 35m</t>
      </text>
    </comment>
    <comment authorId="0" ref="BH77">
      <text>
        <t xml:space="preserve">Improves all common perks, including Perk wave requirement, leading to stronger and faster perks</t>
      </text>
    </comment>
    <comment authorId="0" ref="BH78">
      <text>
        <t xml:space="preserve">Standard Perks Bonus
  Lab Level:      25 / 25 (Max)
  Next Level:    
  Max Level:     3d 17h 43m</t>
      </text>
    </comment>
    <comment authorId="0" ref="BH79">
      <text>
        <t xml:space="preserve">Reduces RNG in perks by a lot</t>
      </text>
    </comment>
    <comment authorId="0" ref="BH80">
      <text>
        <t xml:space="preserve">Perk Option Quantity
  Lab Level:      2 / 2 (Max)
  Next Level:    
  Max Level:     0d 15h 32m</t>
      </text>
    </comment>
    <comment authorId="0" ref="BH81">
      <text>
        <t xml:space="preserve">Guarantees you can get PWR first in farm runs</t>
      </text>
    </comment>
    <comment authorId="0" ref="BH82">
      <text>
        <t xml:space="preserve">First Perk Choice
  Lab Level:      1 / 1 (Max)
  Next Level:    
  Max Level:     0d  7h  3m</t>
      </text>
    </comment>
    <comment authorId="0" ref="BH83">
      <text>
        <t xml:space="preserve">Makes TO perks better</t>
      </text>
    </comment>
    <comment authorId="0" ref="BH84">
      <text>
        <t xml:space="preserve">Improve Trade-off Perks
  Lab Level:      10 / 10 (Max)
  Next Level:    
  Max Level:     0d 12h 53m</t>
      </text>
    </comment>
    <comment authorId="0" ref="BH85">
      <text>
        <t xml:space="preserve">Required for consistent damage reduction</t>
      </text>
    </comment>
    <comment authorId="0" ref="BH86">
      <text>
        <t xml:space="preserve">Flame Bot - Cooldown
  Lab Level:      25 / 25 (Max)
  Next Level:    
  Max Level:     5d 10h 10m</t>
      </text>
    </comment>
    <comment authorId="0" ref="BH87">
      <text>
        <t xml:space="preserve">Very important long term for shard income. Affects most stats</t>
      </text>
    </comment>
    <comment authorId="0" ref="BH88">
      <text>
        <t xml:space="preserve">Common Drop Chance
  Lab Level:      10 / 10 (Max)
  Next Level:    
  Max Level:     0d 12h 31m</t>
      </text>
    </comment>
    <comment authorId="0" ref="BH89">
      <text>
        <t xml:space="preserve">The costs of rerolling get really high with better developed modules</t>
      </text>
    </comment>
    <comment authorId="0" ref="BH90">
      <text>
        <t xml:space="preserve">Reroll Shards
  Lab Level:      100 / 100 (Target)
  Next Level:    30d 18h 56m
  Target Level: 31d  9h 57m</t>
      </text>
    </comment>
    <comment authorId="0" ref="BH91">
      <text>
        <t xml:space="preserve">Very important long term for shard income. Affects most stats</t>
      </text>
    </comment>
    <comment authorId="0" ref="BH92">
      <text>
        <t xml:space="preserve">Daily Mission Shards
  Lab Level:      50 / 50 (Target)
  Next Level:    
  Target Level: 0d 18h 47m</t>
      </text>
    </comment>
    <comment authorId="0" ref="BH93">
      <text>
        <t xml:space="preserve">Important but also retroactive</t>
      </text>
    </comment>
    <comment authorId="0" ref="BH94">
      <text>
        <t xml:space="preserve">Module Shards Cost
  Lab Level:      30 / 30 (Max)
  Next Level:    
  Max Level:     1d  6h 59m</t>
      </text>
    </comment>
    <comment authorId="0" ref="BH95">
      <text>
        <t xml:space="preserve">Very important long term for fodder and shard income. Each level brings a big increase in the drop rate </t>
      </text>
    </comment>
    <comment authorId="0" ref="BH96">
      <text>
        <t xml:space="preserve">Rare Drop Chance
  Lab Level:      10 / 10 (Target)
  Next Level:    
  Target Level: 0d 20h 59m</t>
      </text>
    </comment>
    <comment authorId="0" ref="BH97">
      <text>
        <t xml:space="preserve">Costs 20 gems per unmerge. Shatters fodder on use. Can be used for hoarding modules past inventory limit for Shatter Shards</t>
      </text>
    </comment>
    <comment authorId="0" ref="BH98">
      <text>
        <t xml:space="preserve">Unmerge Module
  Lab Level:      1 / 1 (Max)
  Next Level:    
  Max Level:     0d  3h  3m</t>
      </text>
    </comment>
    <comment authorId="0" ref="BH99">
      <text>
        <t xml:space="preserve">Very important to shard economy, makes getting high mod levels reasonable</t>
      </text>
    </comment>
    <comment authorId="0" ref="BH100">
      <text>
        <t xml:space="preserve">Shatter Shards
  Lab Level:      5 / 5 (Max)
  Next Level:    
  Max Level:     33d  6h  4m</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How many hours per day you really spent on farming, not on anything else.
As close to 24hrs as possible is best.
This does not include Tournament days</t>
      </text>
    </comment>
    <comment authorId="0" ref="D7">
      <text>
        <t xml:space="preserve">How many hours per tournament day do you spend on Tournament runs? This reduces your cells to more or less 0 for this time.</t>
      </text>
    </comment>
    <comment authorId="0" ref="I7">
      <text>
        <t xml:space="preserve">This includes hrs spent not farming and in tournaments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2">
      <text>
        <t xml:space="preserve">Will take more or less [x]% of the limit. 24h 10% means it will go up for 1day &amp; 2.4hours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4">
      <text>
        <t xml:space="preserve">How many gems you can save gold boxing one more lab</t>
      </text>
    </comment>
    <comment authorId="0" ref="O16">
      <text>
        <t xml:space="preserve">case sensitive IE 1q vs 1Q</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L7">
      <text>
        <t xml:space="preserve">Card Level</t>
      </text>
    </comment>
    <comment authorId="0" ref="M7">
      <text>
        <t xml:space="preserve">Mastery Level</t>
      </text>
    </comment>
  </commentList>
</comments>
</file>

<file path=xl/sharedStrings.xml><?xml version="1.0" encoding="utf-8"?>
<sst xmlns="http://schemas.openxmlformats.org/spreadsheetml/2006/main" count="5666" uniqueCount="815">
  <si>
    <t>Laboratory</t>
  </si>
  <si>
    <t>Sheet Tab</t>
  </si>
  <si>
    <t>Creator</t>
  </si>
  <si>
    <t>Main Contributor</t>
  </si>
  <si>
    <t>Helpers</t>
  </si>
  <si>
    <t>IDS</t>
  </si>
  <si>
    <t>@Mattew</t>
  </si>
  <si>
    <t>@Bisse</t>
  </si>
  <si>
    <t>Latest remote version :</t>
  </si>
  <si>
    <t>Master Sheet</t>
  </si>
  <si>
    <t>@TC Team</t>
  </si>
  <si>
    <t>Lab Calculator</t>
  </si>
  <si>
    <t>@Yornola</t>
  </si>
  <si>
    <t>Lab Planner</t>
  </si>
  <si>
    <t>@JayCee101</t>
  </si>
  <si>
    <t>Tier List</t>
  </si>
  <si>
    <t>@Audacious, @minionek</t>
  </si>
  <si>
    <t>@Mattew, @Alan M</t>
  </si>
  <si>
    <t>@1410c, @IGotSlain, @Iver, @zAlpha</t>
  </si>
  <si>
    <t>Version Change :</t>
  </si>
  <si>
    <t>Lab Boost Calculator</t>
  </si>
  <si>
    <t>@GodzillasDaddy</t>
  </si>
  <si>
    <t>v2.5.7</t>
  </si>
  <si>
    <t>fix: Add x7 and x8 Boost to Lab Planner</t>
  </si>
  <si>
    <t>Short Lab Path</t>
  </si>
  <si>
    <t>@Garikover</t>
  </si>
  <si>
    <t>v2.5.6</t>
  </si>
  <si>
    <t>fix: Tier List Speed Boost not hidden</t>
  </si>
  <si>
    <t>Goldbox Path</t>
  </si>
  <si>
    <t>@QuietFanta</t>
  </si>
  <si>
    <t>v2.5.5</t>
  </si>
  <si>
    <t>fix: Updated Lab Planner UI for readability.</t>
  </si>
  <si>
    <t>Interactive Thorns</t>
  </si>
  <si>
    <t>@phoenix345</t>
  </si>
  <si>
    <t>@Mattew, @xiao_shaa</t>
  </si>
  <si>
    <t>v2.5.4</t>
  </si>
  <si>
    <t>fix: Lab Planner Gem Rush - missing BC labs</t>
  </si>
  <si>
    <t>ELS BC Reduction</t>
  </si>
  <si>
    <t>@yournicknm</t>
  </si>
  <si>
    <t>v2.5.3</t>
  </si>
  <si>
    <t>fix: UW Labs in Gold Box Path</t>
  </si>
  <si>
    <t>Elites Spawncap</t>
  </si>
  <si>
    <t>v2.5.2</t>
  </si>
  <si>
    <t>fix: Lab Planner Gem Rush</t>
  </si>
  <si>
    <t>v2.5.1</t>
  </si>
  <si>
    <t>fix: PB Grabber for Gold/Short Path</t>
  </si>
  <si>
    <t>Tab colors explanation</t>
  </si>
  <si>
    <t>v2.5</t>
  </si>
  <si>
    <t>feat: Saving Gems by Gold Boxing</t>
  </si>
  <si>
    <t>v2.4.7</t>
  </si>
  <si>
    <t>feat: Enhanced the Tier List Script to be way faster</t>
  </si>
  <si>
    <t>Home Page</t>
  </si>
  <si>
    <t>Input Tabs</t>
  </si>
  <si>
    <t>Local Tools</t>
  </si>
  <si>
    <t>Static Data</t>
  </si>
  <si>
    <t>v2.4.6</t>
  </si>
  <si>
    <t>fix: Short Lab Path pulling Tier dropdown from Player&amp;Stuff</t>
  </si>
  <si>
    <t>v2.4.5</t>
  </si>
  <si>
    <t>fix: Goldbox Path pulling Tier dropdown from Player&amp;Stuff</t>
  </si>
  <si>
    <t>v2.4.4</t>
  </si>
  <si>
    <t>fix: Labs Speed double dipping in Duration</t>
  </si>
  <si>
    <r>
      <rPr>
        <rFont val="Comfortaa"/>
        <b/>
        <color rgb="FFFCE5CD"/>
        <sz val="11.0"/>
        <u/>
      </rPr>
      <t>Enjoying those sheets?</t>
    </r>
    <r>
      <rPr>
        <rFont val="Comfortaa"/>
        <color rgb="FFFFFFFF"/>
      </rPr>
      <t xml:space="preserve">
You can support me by using my creator code for any </t>
    </r>
    <r>
      <rPr>
        <rFont val="Comfortaa"/>
        <color rgb="FFFFFFFF"/>
        <u/>
      </rPr>
      <t>in game</t>
    </r>
    <r>
      <rPr>
        <rFont val="Comfortaa"/>
        <color rgb="FFFFFFFF"/>
      </rPr>
      <t xml:space="preserve"> or </t>
    </r>
    <r>
      <rPr>
        <rFont val="Comfortaa"/>
        <color rgb="FFFFFFFF"/>
        <u/>
      </rPr>
      <t>webstore</t>
    </r>
    <r>
      <rPr>
        <rFont val="Comfortaa"/>
        <color rgb="FFFFFFFF"/>
      </rPr>
      <t xml:space="preserve"> purchases.
My creator code is : </t>
    </r>
    <r>
      <rPr>
        <rFont val="Comfortaa"/>
        <color rgb="FF5DA282"/>
      </rPr>
      <t>SHEETLORD</t>
    </r>
  </si>
  <si>
    <t>v2.4.3</t>
  </si>
  <si>
    <t>feat: cost limit added to Goldbox Path</t>
  </si>
  <si>
    <t>v2.4.2</t>
  </si>
  <si>
    <t>fix: Goldbox Path Ignores Target Levels</t>
  </si>
  <si>
    <t>v2.4.1</t>
  </si>
  <si>
    <t>feat: Updated Rush Gem calculation</t>
  </si>
  <si>
    <t>v2.4</t>
  </si>
  <si>
    <t>feat: Goldbox Path</t>
  </si>
  <si>
    <t>v2.3.2</t>
  </si>
  <si>
    <t>feature: Update Lab Boost Calculator for x7 and x8 boosts</t>
  </si>
  <si>
    <r>
      <rPr>
        <rFont val="Comfortaa"/>
        <color rgb="FF999999"/>
        <sz val="8.0"/>
      </rPr>
      <t xml:space="preserve">Want to support someone else ? Here is the </t>
    </r>
    <r>
      <rPr>
        <rFont val="Comfortaa"/>
        <color rgb="FFB7B7B7"/>
        <sz val="8.0"/>
        <u/>
      </rPr>
      <t>creator code list</t>
    </r>
  </si>
  <si>
    <t>fix: Lab Speed Relic formula</t>
  </si>
  <si>
    <t>v2.3.1</t>
  </si>
  <si>
    <t>fix: Minor tweaks to Lab Boost Calculator</t>
  </si>
  <si>
    <t>v2.3</t>
  </si>
  <si>
    <t>feat: Tier List (@Audacious, @minionek, @Alan M)</t>
  </si>
  <si>
    <t>v2.2.4</t>
  </si>
  <si>
    <t>feat: Thorns Calc now reads Thorns Substats</t>
  </si>
  <si>
    <t>v2.2.3</t>
  </si>
  <si>
    <t>fix: Lab Planner 4 and 5 looked at wrong lab boost cell</t>
  </si>
  <si>
    <t>v2.2.2</t>
  </si>
  <si>
    <t>feat: Enhanced Short Lab Path with "ignore targets"</t>
  </si>
  <si>
    <t>v2.2.1</t>
  </si>
  <si>
    <t>feat: Lab Planner switch between time and date mode</t>
  </si>
  <si>
    <t>v2.2</t>
  </si>
  <si>
    <t>Add: Short Lab Path</t>
  </si>
  <si>
    <t>v2.1.5.2</t>
  </si>
  <si>
    <t>fix: Lab Calc filter (For real this time)</t>
  </si>
  <si>
    <t>v2.1.5.1</t>
  </si>
  <si>
    <t>fix: Lab Calc filter</t>
  </si>
  <si>
    <t>v2.1.5</t>
  </si>
  <si>
    <t>feat: Added a CPH column to Lab Calculator</t>
  </si>
  <si>
    <t>v2.1.4</t>
  </si>
  <si>
    <t>fix: Interactive Thorns Elites+PCm for SF</t>
  </si>
  <si>
    <t>v2.1.3</t>
  </si>
  <si>
    <t>fix: BC max lab levels on Calculator</t>
  </si>
  <si>
    <t>v2.1.2</t>
  </si>
  <si>
    <t>feat: Fleets in Thorns Calculations</t>
  </si>
  <si>
    <t>v2.1.1</t>
  </si>
  <si>
    <t>fix: Elite Defense labs -&gt; Elite Health</t>
  </si>
  <si>
    <t>v2.1</t>
  </si>
  <si>
    <t>Adjusted Lab Boost Calculator (excluding downtime)</t>
  </si>
  <si>
    <t>v2.0</t>
  </si>
  <si>
    <t>IDS 2.0 + V27</t>
  </si>
  <si>
    <t>v1.11</t>
  </si>
  <si>
    <t>Add: SF in Interactive Thorns (@xiao_shaa)</t>
  </si>
  <si>
    <t>v1.10</t>
  </si>
  <si>
    <t>Add: Lab Boost Calculator</t>
  </si>
  <si>
    <t>v1.9</t>
  </si>
  <si>
    <t>Import url fix</t>
  </si>
  <si>
    <t>v1.8</t>
  </si>
  <si>
    <t>Added Import</t>
  </si>
  <si>
    <t>v1.7</t>
  </si>
  <si>
    <t>Version tracking udpate</t>
  </si>
  <si>
    <t>v1.6</t>
  </si>
  <si>
    <t>Using now IDS Master</t>
  </si>
  <si>
    <t>v1.5</t>
  </si>
  <si>
    <t>Lab Planner added</t>
  </si>
  <si>
    <t>v1.4</t>
  </si>
  <si>
    <t>Elites Spawncap added</t>
  </si>
  <si>
    <t>v1.3</t>
  </si>
  <si>
    <t>Lab% Completion per group + Global cell boost</t>
  </si>
  <si>
    <t>v1.2</t>
  </si>
  <si>
    <t>Lab Calculator Fixes + Lab Speed fix</t>
  </si>
  <si>
    <t>v1.1</t>
  </si>
  <si>
    <t>Home Page + Thorns + ELS BC</t>
  </si>
  <si>
    <t>v1.0</t>
  </si>
  <si>
    <t>Initial Version</t>
  </si>
  <si>
    <t>The IDS System</t>
  </si>
  <si>
    <t>Looking for the Import script ? Just run it as you were doing it before, but from IDS Master.
It will let you import every new versions at once!</t>
  </si>
  <si>
    <t>This Sheet ID is :</t>
  </si>
  <si>
    <t>1jojOg_XIJCzm1LCYWu2F4KCtErjUIdKuFL1PiKzA0OE</t>
  </si>
  <si>
    <r>
      <rPr>
        <rFont val="Comfortaa"/>
        <b/>
        <color rgb="FFFFFFFF"/>
        <sz val="11.0"/>
      </rPr>
      <t>IDS Master</t>
    </r>
    <r>
      <rPr>
        <rFont val="Comfortaa"/>
        <b/>
        <i/>
        <color rgb="FFFFFFFF"/>
        <sz val="10.0"/>
      </rPr>
      <t xml:space="preserve">'s </t>
    </r>
    <r>
      <rPr>
        <rFont val="Comfortaa"/>
        <b val="0"/>
        <i/>
        <color rgb="FFFFFFFF"/>
        <sz val="10.0"/>
      </rPr>
      <t>ID</t>
    </r>
    <r>
      <rPr>
        <rFont val="Comfortaa"/>
        <b val="0"/>
        <color rgb="FFFFFFFF"/>
        <sz val="11.0"/>
      </rPr>
      <t xml:space="preserve">       ➡️</t>
    </r>
  </si>
  <si>
    <t>1HOIkxWbbciTIAzVruaahEGADlM8rS0-w86uBXj4PwNQ</t>
  </si>
  <si>
    <t>v2</t>
  </si>
  <si>
    <t>✅</t>
  </si>
  <si>
    <t>Issues</t>
  </si>
  <si>
    <r>
      <rPr>
        <rFont val="Comfortaa"/>
        <b/>
        <color rgb="FFFCE5CD"/>
        <u/>
      </rPr>
      <t>Mobile Users</t>
    </r>
    <r>
      <rPr>
        <rFont val="Comfortaa"/>
        <color rgb="FFFCE5CD"/>
      </rPr>
      <t xml:space="preserve">
If you are on mobile, you will not be able to do </t>
    </r>
    <r>
      <rPr>
        <rFont val="Comfortaa"/>
        <i/>
        <color rgb="FFFCE5CD"/>
      </rPr>
      <t>STEP 3</t>
    </r>
    <r>
      <rPr>
        <rFont val="Comfortaa"/>
        <color rgb="FFFCE5CD"/>
      </rPr>
      <t>. There is a workaround you can do still : You need to edit the viewing permissions to "</t>
    </r>
    <r>
      <rPr>
        <rFont val="Comfortaa"/>
        <i/>
        <color rgb="FFFCE5CD"/>
      </rPr>
      <t>anyone with the link</t>
    </r>
    <r>
      <rPr>
        <rFont val="Comfortaa"/>
        <color rgb="FFFCE5CD"/>
      </rPr>
      <t>" of all your IDs sheets
If you have any other trouble, let us know in the #effective-path Discord's channel.</t>
    </r>
    <r>
      <rPr>
        <rFont val="Comfortaa"/>
        <color rgb="FFFFFFFF"/>
      </rPr>
      <t xml:space="preserve">
</t>
    </r>
    <r>
      <rPr>
        <rFont val="Comfortaa"/>
        <color rgb="FF666666"/>
        <sz val="7.0"/>
      </rPr>
      <t>I say us, but don't ask Fanta. Fanta hates IDS.</t>
    </r>
  </si>
  <si>
    <t>How to use</t>
  </si>
  <si>
    <r>
      <rPr>
        <rFont val="Comfortaa"/>
        <b/>
        <color rgb="FFFFFFFF"/>
        <u/>
      </rPr>
      <t xml:space="preserve">STEP 1:
</t>
    </r>
    <r>
      <rPr>
        <rFont val="Comfortaa"/>
        <color rgb="FFFFFFFF"/>
      </rPr>
      <t xml:space="preserve">Click on the </t>
    </r>
    <r>
      <rPr>
        <rFont val="Comfortaa"/>
        <b/>
        <i/>
        <color rgb="FFFFFFFF"/>
      </rPr>
      <t>Copy Me</t>
    </r>
    <r>
      <rPr>
        <rFont val="Comfortaa"/>
        <color rgb="FFFFFFFF"/>
      </rPr>
      <t xml:space="preserve"> link and create your copy of the IDS Master.
</t>
    </r>
    <r>
      <rPr>
        <rFont val="Comfortaa"/>
        <b/>
        <color rgb="FFFFFFFF"/>
        <u/>
      </rPr>
      <t xml:space="preserve">STEP 2:
</t>
    </r>
    <r>
      <rPr>
        <rFont val="Comfortaa"/>
        <color rgb="FFFFFFFF"/>
      </rPr>
      <t xml:space="preserve">Copy the ID </t>
    </r>
    <r>
      <rPr>
        <rFont val="Comfortaa"/>
        <color rgb="FF999999"/>
        <sz val="8.0"/>
      </rPr>
      <t>(you will find it in the IDS tab)</t>
    </r>
    <r>
      <rPr>
        <rFont val="Comfortaa"/>
        <color rgb="FFFFFFFF"/>
      </rPr>
      <t xml:space="preserve"> of your newly created sheet and paste it in the light gray area.
</t>
    </r>
    <r>
      <rPr>
        <rFont val="Comfortaa"/>
        <b/>
        <color rgb="FFFFFFFF"/>
        <u/>
      </rPr>
      <t xml:space="preserve">STEP 3:
</t>
    </r>
    <r>
      <rPr>
        <rFont val="Comfortaa"/>
        <color rgb="FFFFFFFF"/>
      </rPr>
      <t>Wait a little bit, the F5 cell will show "</t>
    </r>
    <r>
      <rPr>
        <rFont val="Comfortaa"/>
        <b/>
        <color rgb="FFFFFFFF"/>
      </rPr>
      <t>Loading...</t>
    </r>
    <r>
      <rPr>
        <rFont val="Comfortaa"/>
        <color rgb="FFFFFFFF"/>
      </rPr>
      <t>", and after few seconds it will display "</t>
    </r>
    <r>
      <rPr>
        <rFont val="Comfortaa"/>
        <b/>
        <color rgb="FFFFFFFF"/>
      </rPr>
      <t>#REF!</t>
    </r>
    <r>
      <rPr>
        <rFont val="Comfortaa"/>
        <color rgb="FFFFFFFF"/>
      </rPr>
      <t>". Click on the cell, and "</t>
    </r>
    <r>
      <rPr>
        <rFont val="Comfortaa"/>
        <b/>
        <color rgb="FF6AA84F"/>
      </rPr>
      <t>Authorize</t>
    </r>
    <r>
      <rPr>
        <rFont val="Comfortaa"/>
        <color rgb="FFFFFFFF"/>
      </rPr>
      <t>" to let this sheet access the other one.</t>
    </r>
  </si>
  <si>
    <r>
      <rPr>
        <rFont val="Comfortaa"/>
        <color rgb="FF999999"/>
        <sz val="9.0"/>
      </rPr>
      <t xml:space="preserve">And that's it! The IDS are setuped. You can now fill sub IDS in the </t>
    </r>
    <r>
      <rPr>
        <rFont val="Comfortaa"/>
        <b/>
        <i/>
        <color rgb="FF999999"/>
        <sz val="9.0"/>
      </rPr>
      <t>IDS Master</t>
    </r>
    <r>
      <rPr>
        <rFont val="Comfortaa"/>
        <color rgb="FF999999"/>
        <sz val="9.0"/>
      </rPr>
      <t xml:space="preserve"> with sub IDS sheets (Laboratory, Workshop, ...) just like you did in here.
Every time you will change a value (let's say, a lab level in Laboratory Sheet) the change will be propagated to every other sheet using the IDS Master automatically.</t>
    </r>
  </si>
  <si>
    <t>Is it mandatory ?</t>
  </si>
  <si>
    <t>No, it is not really mandatory but it is the best practice I would recommend. You should be able to override everything using the Master Sheet. But that's not how this is supposed to be used.</t>
  </si>
  <si>
    <t>Labs</t>
  </si>
  <si>
    <t>Level</t>
  </si>
  <si>
    <t>Target</t>
  </si>
  <si>
    <t>Max</t>
  </si>
  <si>
    <t>Workshop Upgrade</t>
  </si>
  <si>
    <t>¢ Level</t>
  </si>
  <si>
    <t>$ Level</t>
  </si>
  <si>
    <t>Card Name</t>
  </si>
  <si>
    <t>Mastery</t>
  </si>
  <si>
    <t>Game Speed</t>
  </si>
  <si>
    <t>Damage</t>
  </si>
  <si>
    <t>Health</t>
  </si>
  <si>
    <t>Cash Bonus</t>
  </si>
  <si>
    <t>Missile Despawn Time</t>
  </si>
  <si>
    <t>Second Wind Blast</t>
  </si>
  <si>
    <t>Unlock Perks</t>
  </si>
  <si>
    <t>Flame Bot - Cooldown</t>
  </si>
  <si>
    <t>Common Enemy Health</t>
  </si>
  <si>
    <t>Common Drop Chance</t>
  </si>
  <si>
    <t>Battle Condition Reduction</t>
  </si>
  <si>
    <t>OTHERS - WORKSHOP</t>
  </si>
  <si>
    <t>Thorn Damage</t>
  </si>
  <si>
    <t>OTHERS</t>
  </si>
  <si>
    <t>Plasma Cannon</t>
  </si>
  <si>
    <t>Starting Cash</t>
  </si>
  <si>
    <t>Attack Speed</t>
  </si>
  <si>
    <t>Health Regen</t>
  </si>
  <si>
    <t>Cash / Wave</t>
  </si>
  <si>
    <t>Missiles Explosion</t>
  </si>
  <si>
    <t>Double Death Ray</t>
  </si>
  <si>
    <t>Waves Required</t>
  </si>
  <si>
    <t>Thunder Bot - Cooldown</t>
  </si>
  <si>
    <t>Common Enemy Attack</t>
  </si>
  <si>
    <t>Reroll Shards</t>
  </si>
  <si>
    <t>Knockback Resistance</t>
  </si>
  <si>
    <t>Workshop Attack Discount</t>
  </si>
  <si>
    <t>Critical Factor</t>
  </si>
  <si>
    <t>Defense Absolute</t>
  </si>
  <si>
    <t>Coins / Kill Bonus</t>
  </si>
  <si>
    <t>Missile Radius</t>
  </si>
  <si>
    <t>Extra Orb Adjuster</t>
  </si>
  <si>
    <t>Auto Pick Perks</t>
  </si>
  <si>
    <t>Gold Bot - Cooldown</t>
  </si>
  <si>
    <t>Fast Enemy Health</t>
  </si>
  <si>
    <t>Daily Mission Shards</t>
  </si>
  <si>
    <t>Thorns Resistance</t>
  </si>
  <si>
    <t>Bonus</t>
  </si>
  <si>
    <t>MAIN RESEARCHES</t>
  </si>
  <si>
    <t>Workshop Defense Discount</t>
  </si>
  <si>
    <t>ATTACK</t>
  </si>
  <si>
    <t>Range</t>
  </si>
  <si>
    <t>DEFENSE</t>
  </si>
  <si>
    <t>Defense %</t>
  </si>
  <si>
    <t>UTILITY</t>
  </si>
  <si>
    <t>Coins / Wave</t>
  </si>
  <si>
    <t>ULTIMATE WEAPONS</t>
  </si>
  <si>
    <t>Chrono Field Duration</t>
  </si>
  <si>
    <t>CARDS</t>
  </si>
  <si>
    <t>Extra Extra Orbs</t>
  </si>
  <si>
    <t>PERKS</t>
  </si>
  <si>
    <t>Standard Perks Bonus</t>
  </si>
  <si>
    <t>BOTS</t>
  </si>
  <si>
    <t>Amp Bot - Cooldown</t>
  </si>
  <si>
    <t>ENEMIES</t>
  </si>
  <si>
    <t>Fast Enemy Attack</t>
  </si>
  <si>
    <t>MODULES</t>
  </si>
  <si>
    <t>Module Shards Cost</t>
  </si>
  <si>
    <t>BATTLE CONDITION</t>
  </si>
  <si>
    <t>Orb Resistance</t>
  </si>
  <si>
    <t>Lab Speed</t>
  </si>
  <si>
    <t>Workshop Utility Discount</t>
  </si>
  <si>
    <t>Damage / Meter</t>
  </si>
  <si>
    <t>Orbs Speed</t>
  </si>
  <si>
    <t>Interest</t>
  </si>
  <si>
    <t>Chrono Field Damage Reduction</t>
  </si>
  <si>
    <t>Energy Shield Extra Hit</t>
  </si>
  <si>
    <t>Perk Option Quantity</t>
  </si>
  <si>
    <t>Flame Bot - Burn Stack</t>
  </si>
  <si>
    <t>Fast Enemy Speed</t>
  </si>
  <si>
    <t>Module Coin Cost</t>
  </si>
  <si>
    <t>Plasma Cannon Resistance</t>
  </si>
  <si>
    <t>Thorns</t>
  </si>
  <si>
    <t>Labs Coin Discount</t>
  </si>
  <si>
    <t>Super Crit Chance</t>
  </si>
  <si>
    <t>Land Mine Damage</t>
  </si>
  <si>
    <t>Max Interest</t>
  </si>
  <si>
    <t>Chrono Field Reduction %</t>
  </si>
  <si>
    <t>Super Tower Bonus</t>
  </si>
  <si>
    <t>First Perk Choice</t>
  </si>
  <si>
    <t>Thunder Bot - Linger Time</t>
  </si>
  <si>
    <t>Tank Enemy Health</t>
  </si>
  <si>
    <t>Rare Drop Chance</t>
  </si>
  <si>
    <t>Death Ray Resistance</t>
  </si>
  <si>
    <t>Labs Speed</t>
  </si>
  <si>
    <t>Super Crit Multi</t>
  </si>
  <si>
    <t>Land Mine Decay</t>
  </si>
  <si>
    <t>Package After Boss</t>
  </si>
  <si>
    <t>Swamp Radius</t>
  </si>
  <si>
    <t>Recharge Second Wind</t>
  </si>
  <si>
    <t>Ban Perks</t>
  </si>
  <si>
    <t>Gold Bot - Duration</t>
  </si>
  <si>
    <t>Tank Enemy Attack</t>
  </si>
  <si>
    <t>Unmerge Module</t>
  </si>
  <si>
    <t>Armored Enemies</t>
  </si>
  <si>
    <t>Buy Multiplier</t>
  </si>
  <si>
    <t>Max Rend Armor Multiplier</t>
  </si>
  <si>
    <t>Shockwave Size</t>
  </si>
  <si>
    <t>Recovery Package Amount</t>
  </si>
  <si>
    <t>Swamp Stun</t>
  </si>
  <si>
    <t>Recharge Demon Mode</t>
  </si>
  <si>
    <t>Improve Trade-off Perks</t>
  </si>
  <si>
    <t>Amp Bot - Duration</t>
  </si>
  <si>
    <t>Ranged Enemy Health</t>
  </si>
  <si>
    <t>Shatter Shards</t>
  </si>
  <si>
    <t>Enemy Speed</t>
  </si>
  <si>
    <t>More Round Stats</t>
  </si>
  <si>
    <t>Light Speed Shots</t>
  </si>
  <si>
    <t>Orb Boss Hit</t>
  </si>
  <si>
    <t>Recovery Package Max</t>
  </si>
  <si>
    <t>Swamp Stun Chance</t>
  </si>
  <si>
    <t>Recharge Nuke</t>
  </si>
  <si>
    <t>Auto Pick Ranking</t>
  </si>
  <si>
    <t>Ranged Enemy Attack</t>
  </si>
  <si>
    <t>Cannon Effect Bans</t>
  </si>
  <si>
    <t>More Enemies</t>
  </si>
  <si>
    <t>Target Priority</t>
  </si>
  <si>
    <t>Wall Health</t>
  </si>
  <si>
    <t>Recovery Package Chance</t>
  </si>
  <si>
    <t>Swamp Stun Time</t>
  </si>
  <si>
    <t>Damage Mastery</t>
  </si>
  <si>
    <t>Boss Health</t>
  </si>
  <si>
    <t>Armor Effect Bans</t>
  </si>
  <si>
    <t>Enemy Attack Speed</t>
  </si>
  <si>
    <t>Card Presets</t>
  </si>
  <si>
    <t>Wall Rebuild</t>
  </si>
  <si>
    <t>Enemy Attack Level Skip</t>
  </si>
  <si>
    <t>Golden Tower Bonus</t>
  </si>
  <si>
    <t>Attack Speed Mastery</t>
  </si>
  <si>
    <t>Boss Attack</t>
  </si>
  <si>
    <t>Generator Effect Bans</t>
  </si>
  <si>
    <t>Fast's Ultimate</t>
  </si>
  <si>
    <t>Workshop Respec</t>
  </si>
  <si>
    <t>Wall Regen</t>
  </si>
  <si>
    <t>Enemy Health Level Skip</t>
  </si>
  <si>
    <t>Golden Tower Duration</t>
  </si>
  <si>
    <t>Health Mastery</t>
  </si>
  <si>
    <t>Protector Health</t>
  </si>
  <si>
    <t>Core Effect Bans</t>
  </si>
  <si>
    <t>Ranged Ultimate</t>
  </si>
  <si>
    <t>Reroll Daily Mission</t>
  </si>
  <si>
    <t>Wall Thorns</t>
  </si>
  <si>
    <t>Chain Lightning Shock</t>
  </si>
  <si>
    <t>Health Regen Mastery</t>
  </si>
  <si>
    <t>Protector Radius</t>
  </si>
  <si>
    <t>Assist Module Substats - Cannon</t>
  </si>
  <si>
    <t>Boss's Ultimate</t>
  </si>
  <si>
    <t>Workshop Enhancements</t>
  </si>
  <si>
    <t>Wall Invincibility</t>
  </si>
  <si>
    <t>Shock Chance</t>
  </si>
  <si>
    <t>Range Mastery</t>
  </si>
  <si>
    <t>Protector Damage Reduction</t>
  </si>
  <si>
    <t>Assist Module Substats - Armor</t>
  </si>
  <si>
    <t>Basic's Ultimate</t>
  </si>
  <si>
    <t>Enhancement Attack - Coin Discount</t>
  </si>
  <si>
    <t>Wall Fortification</t>
  </si>
  <si>
    <t>Shock Multiplier</t>
  </si>
  <si>
    <t>Cash Mastery</t>
  </si>
  <si>
    <t>Ray Enemy Attack</t>
  </si>
  <si>
    <t>Assist Module Substats - Generator</t>
  </si>
  <si>
    <t>Tank's Ultimate</t>
  </si>
  <si>
    <t>Enhancement Defense - Coin Discount</t>
  </si>
  <si>
    <t>Garlic Thorns</t>
  </si>
  <si>
    <t>Death Wave Health</t>
  </si>
  <si>
    <t>Coins Mastery</t>
  </si>
  <si>
    <t>Ray Enemy Health</t>
  </si>
  <si>
    <t>Assist Module Substats - Core</t>
  </si>
  <si>
    <t>Protector's Ultimate</t>
  </si>
  <si>
    <t>Enhancement Utility - Coin Discount</t>
  </si>
  <si>
    <t>Death Wave Coin Bonus</t>
  </si>
  <si>
    <t>Slow Aura Mastery</t>
  </si>
  <si>
    <t>Vampire Enemy Attack</t>
  </si>
  <si>
    <t>Assist Module Bonus - Cannon</t>
  </si>
  <si>
    <t>Ultimate Weapon Durations</t>
  </si>
  <si>
    <t>Inner Mine Blast Radius</t>
  </si>
  <si>
    <t>Critical Chance Mastery</t>
  </si>
  <si>
    <t>Vampire Enemy Health</t>
  </si>
  <si>
    <t>Assist Module Bonus - Armor</t>
  </si>
  <si>
    <t>Death Defy Down</t>
  </si>
  <si>
    <t>Inner Mine Rotation Speed</t>
  </si>
  <si>
    <t>Enemy Balance Mastery</t>
  </si>
  <si>
    <t>Scatter Enemy Attack</t>
  </si>
  <si>
    <t>Assist Module Bonus - Generator</t>
  </si>
  <si>
    <t>Energy Shields Down</t>
  </si>
  <si>
    <t>Chrono Field Range</t>
  </si>
  <si>
    <t>Extra Defense Mastery</t>
  </si>
  <si>
    <t>Scatter Enemy Health</t>
  </si>
  <si>
    <t>Assist Module Bonus - Core</t>
  </si>
  <si>
    <t>Enemy Level Skip Reduction</t>
  </si>
  <si>
    <t>Missile Amplifier</t>
  </si>
  <si>
    <t>Fortress Mastery</t>
  </si>
  <si>
    <t>Ranged Enemy Range</t>
  </si>
  <si>
    <t>Missile Barrage</t>
  </si>
  <si>
    <t>Free Upgrades Mastery</t>
  </si>
  <si>
    <t>Missile Barrage Quantity</t>
  </si>
  <si>
    <t>Extra Orb Mastery</t>
  </si>
  <si>
    <t>Inner Mine Stun</t>
  </si>
  <si>
    <t>Plasma Cannon Mastery</t>
  </si>
  <si>
    <t>Black Hole Damage</t>
  </si>
  <si>
    <t>Critical Coin Mastery</t>
  </si>
  <si>
    <t>Extra Black Hole</t>
  </si>
  <si>
    <t>Wave Skip Mastery</t>
  </si>
  <si>
    <t>Black Hole Coin Bonus</t>
  </si>
  <si>
    <t>Intro Sprint Mastery</t>
  </si>
  <si>
    <t>Spotlight Coin Bonus</t>
  </si>
  <si>
    <t>Land Mine Stun Mastery</t>
  </si>
  <si>
    <t>Spotlight Missiles</t>
  </si>
  <si>
    <t>Recovery Package Chance Mastery</t>
  </si>
  <si>
    <t>Black Hole Disable Ranged Enemies</t>
  </si>
  <si>
    <t>Death Ray Mastery</t>
  </si>
  <si>
    <t>Recharge Missile Barrage</t>
  </si>
  <si>
    <t>Energy Net Mastery</t>
  </si>
  <si>
    <t>Swamp Rend</t>
  </si>
  <si>
    <t>Super Tower Mastery</t>
  </si>
  <si>
    <t>Swamp Rend - Additional Enemies</t>
  </si>
  <si>
    <t>Second Wind Mastery</t>
  </si>
  <si>
    <t>Chain Thunder</t>
  </si>
  <si>
    <t>Demon Mode Mastery</t>
  </si>
  <si>
    <t>Lightning Amplifier - Scatter</t>
  </si>
  <si>
    <t>Energy Shield Mastery</t>
  </si>
  <si>
    <t>Death Wave Cells Bonus</t>
  </si>
  <si>
    <t>Wave Accelerator Mastery</t>
  </si>
  <si>
    <t>Death Wave Damage Amplifier</t>
  </si>
  <si>
    <t>Berserker Mastery</t>
  </si>
  <si>
    <t>Death Wave Armor Stripping</t>
  </si>
  <si>
    <t>Ultimate Crit Mastery</t>
  </si>
  <si>
    <t>Inner Land Mine - Chrono Jump</t>
  </si>
  <si>
    <t>Nuke Mastery</t>
  </si>
  <si>
    <t>Area of Effect Mastery</t>
  </si>
  <si>
    <t>Apply Boost to :</t>
  </si>
  <si>
    <t>All</t>
  </si>
  <si>
    <t>Hide Maxed Labs</t>
  </si>
  <si>
    <t>None</t>
  </si>
  <si>
    <t xml:space="preserve">Next level </t>
  </si>
  <si>
    <t>Next level +1</t>
  </si>
  <si>
    <t>Max Level</t>
  </si>
  <si>
    <t>x 1.0</t>
  </si>
  <si>
    <t>Max level</t>
  </si>
  <si>
    <t>Unlocked</t>
  </si>
  <si>
    <t>Duration</t>
  </si>
  <si>
    <t>Coins</t>
  </si>
  <si>
    <t>Cph</t>
  </si>
  <si>
    <t>Gems</t>
  </si>
  <si>
    <t>Desired level</t>
  </si>
  <si>
    <t>ILM+</t>
  </si>
  <si>
    <t>v0.5.10 by JayCee101</t>
  </si>
  <si>
    <t>Autofill</t>
  </si>
  <si>
    <t>Boosts</t>
  </si>
  <si>
    <t>#e6b8af</t>
  </si>
  <si>
    <t>Shown Labs</t>
  </si>
  <si>
    <t>Lab Name</t>
  </si>
  <si>
    <t>Lab Slot Calcs</t>
  </si>
  <si>
    <t>Lab One</t>
  </si>
  <si>
    <t>5x Boost</t>
  </si>
  <si>
    <t>Lab Two</t>
  </si>
  <si>
    <t>4x Boost</t>
  </si>
  <si>
    <t>Lab Three</t>
  </si>
  <si>
    <t>1x Boost</t>
  </si>
  <si>
    <t>#dd7e6b</t>
  </si>
  <si>
    <t>1.5x Boost</t>
  </si>
  <si>
    <t>#dc5135</t>
  </si>
  <si>
    <t xml:space="preserve">  Start</t>
  </si>
  <si>
    <t xml:space="preserve">  End</t>
  </si>
  <si>
    <t>2x Boost</t>
  </si>
  <si>
    <t>#b62c10</t>
  </si>
  <si>
    <t>3x Boost</t>
  </si>
  <si>
    <t>#88220e</t>
  </si>
  <si>
    <t>#5b0f00</t>
  </si>
  <si>
    <t>#f4cccc</t>
  </si>
  <si>
    <t>6x Boost</t>
  </si>
  <si>
    <t>#ea9999</t>
  </si>
  <si>
    <t>7x Boost</t>
  </si>
  <si>
    <t>#e06666</t>
  </si>
  <si>
    <t>8x Boost</t>
  </si>
  <si>
    <t>#cc0000</t>
  </si>
  <si>
    <t>#990000</t>
  </si>
  <si>
    <t>#660000</t>
  </si>
  <si>
    <t>#fce5cd</t>
  </si>
  <si>
    <t>#f9cb9c</t>
  </si>
  <si>
    <t>#fab88b</t>
  </si>
  <si>
    <t>#e69138</t>
  </si>
  <si>
    <t>#b45f06</t>
  </si>
  <si>
    <t>#783f04</t>
  </si>
  <si>
    <t>#fff2cc</t>
  </si>
  <si>
    <t>#fff599</t>
  </si>
  <si>
    <t>Regex</t>
  </si>
  <si>
    <t>#f9d966</t>
  </si>
  <si>
    <t>Days</t>
  </si>
  <si>
    <t>#f2b832</t>
  </si>
  <si>
    <t>Hours</t>
  </si>
  <si>
    <t>#bf9000</t>
  </si>
  <si>
    <t>Minutes</t>
  </si>
  <si>
    <t>#7f6000</t>
  </si>
  <si>
    <t>#d9ead3</t>
  </si>
  <si>
    <t>|        7  Days      ||        14  Days        ||        21  Days        ||      28  Days       |</t>
  </si>
  <si>
    <t>#b6d7a8</t>
  </si>
  <si>
    <t>#93c47d</t>
  </si>
  <si>
    <t>Lab Four</t>
  </si>
  <si>
    <t>Lab Five</t>
  </si>
  <si>
    <t xml:space="preserve">  Estimated Daily Coins required to Sustain:</t>
  </si>
  <si>
    <t>#6aa84f</t>
  </si>
  <si>
    <t/>
  </si>
  <si>
    <t>#38761d</t>
  </si>
  <si>
    <t>#274e13</t>
  </si>
  <si>
    <t>#d0e0e3</t>
  </si>
  <si>
    <t>#a2c4c9</t>
  </si>
  <si>
    <t>#76a5af</t>
  </si>
  <si>
    <t>TOTAL:</t>
  </si>
  <si>
    <t>#45818e</t>
  </si>
  <si>
    <t>#134f5c</t>
  </si>
  <si>
    <t>#0c343d</t>
  </si>
  <si>
    <t>OPTIONS</t>
  </si>
  <si>
    <t>Total</t>
  </si>
  <si>
    <t>#c9daf8</t>
  </si>
  <si>
    <r>
      <rPr>
        <rFont val="Arial"/>
        <color theme="1"/>
      </rPr>
      <t xml:space="preserve">Unless I specify, </t>
    </r>
    <r>
      <rPr>
        <rFont val="Arial"/>
        <b/>
        <color theme="1"/>
      </rPr>
      <t>End Labs at: →</t>
    </r>
  </si>
  <si>
    <t>#a4c2f4</t>
  </si>
  <si>
    <r>
      <rPr>
        <rFont val="Arial"/>
        <color theme="1"/>
      </rPr>
      <t xml:space="preserve">I plan my labs </t>
    </r>
    <r>
      <rPr>
        <rFont val="Arial"/>
        <b/>
        <color theme="1"/>
      </rPr>
      <t>starting at the: →</t>
    </r>
  </si>
  <si>
    <t>Top</t>
  </si>
  <si>
    <t>#6d9eeb</t>
  </si>
  <si>
    <t>Show All</t>
  </si>
  <si>
    <t>#3c78d8</t>
  </si>
  <si>
    <t>Show Time</t>
  </si>
  <si>
    <t>#1155cc</t>
  </si>
  <si>
    <t>#1c4587</t>
  </si>
  <si>
    <t>#cfe2f3</t>
  </si>
  <si>
    <t>#9fc5e8</t>
  </si>
  <si>
    <t>#6fa8dc</t>
  </si>
  <si>
    <t>#3d85c6</t>
  </si>
  <si>
    <t>#0b5394</t>
  </si>
  <si>
    <t>#073763</t>
  </si>
  <si>
    <t>#d9d2e9</t>
  </si>
  <si>
    <t>#b4a7d6</t>
  </si>
  <si>
    <t>#8e7cc3</t>
  </si>
  <si>
    <r>
      <rPr>
        <rFont val="Arial"/>
        <color theme="1"/>
        <sz val="14.0"/>
      </rPr>
      <t xml:space="preserve">Empty spaces below are </t>
    </r>
    <r>
      <rPr>
        <rFont val="Arial"/>
        <b/>
        <color theme="1"/>
        <sz val="14.0"/>
        <u/>
      </rPr>
      <t>not</t>
    </r>
    <r>
      <rPr>
        <rFont val="Arial"/>
        <color theme="1"/>
        <sz val="14.0"/>
      </rPr>
      <t xml:space="preserve"> tracked in the total Lab Slot duration.
Remove labs from the above trackers and place them below as a reminder to continue them later.</t>
    </r>
  </si>
  <si>
    <t>#674ea7</t>
  </si>
  <si>
    <t>#351c75</t>
  </si>
  <si>
    <t>Lab One Reminder</t>
  </si>
  <si>
    <t>Lab Two Reminder</t>
  </si>
  <si>
    <t>Lab Three Reminder</t>
  </si>
  <si>
    <t>#20124d</t>
  </si>
  <si>
    <t>#ead1dc</t>
  </si>
  <si>
    <t>#d5a6bd</t>
  </si>
  <si>
    <t>#c27ba0</t>
  </si>
  <si>
    <t>#a64d79</t>
  </si>
  <si>
    <t>#741b47</t>
  </si>
  <si>
    <t>#4c1130</t>
  </si>
  <si>
    <t>Lab Four Reminder</t>
  </si>
  <si>
    <t>Lab Five Reminder</t>
  </si>
  <si>
    <t>TIP:</t>
  </si>
  <si>
    <r>
      <rPr>
        <rFont val="Arial"/>
        <b/>
        <color theme="1"/>
        <sz val="16.0"/>
      </rPr>
      <t>How to clear a Lab Slot:</t>
    </r>
    <r>
      <rPr>
        <rFont val="Arial"/>
        <color theme="1"/>
        <sz val="8.0"/>
      </rPr>
      <t xml:space="preserve">
</t>
    </r>
    <r>
      <rPr>
        <rFont val="Arial"/>
        <b/>
        <color theme="1"/>
        <sz val="12.0"/>
      </rPr>
      <t>Click + Hold Lab Slot Name</t>
    </r>
    <r>
      <rPr>
        <rFont val="Arial"/>
        <color theme="1"/>
        <sz val="12.0"/>
      </rPr>
      <t>,
Drag down then press Backspace!</t>
    </r>
    <r>
      <rPr>
        <rFont val="Arial"/>
        <color theme="1"/>
        <sz val="8.0"/>
      </rPr>
      <t xml:space="preserve">
</t>
    </r>
    <r>
      <rPr>
        <rFont val="Arial"/>
        <color theme="1"/>
        <sz val="10.0"/>
      </rPr>
      <t>(Don't worry, the labs remember their names!)</t>
    </r>
  </si>
  <si>
    <t>Death Wave Coin bonus</t>
  </si>
  <si>
    <t>Card Mastery</t>
  </si>
  <si>
    <t>Daily Mission shards</t>
  </si>
  <si>
    <t>Lvl</t>
  </si>
  <si>
    <t>Cost</t>
  </si>
  <si>
    <t>Tier</t>
  </si>
  <si>
    <t>Wave</t>
  </si>
  <si>
    <t>2</t>
  </si>
  <si>
    <t>1</t>
  </si>
  <si>
    <t>4</t>
  </si>
  <si>
    <t>12</t>
  </si>
  <si>
    <t>21</t>
  </si>
  <si>
    <t>3</t>
  </si>
  <si>
    <t>5</t>
  </si>
  <si>
    <t>13</t>
  </si>
  <si>
    <t>7</t>
  </si>
  <si>
    <t>6</t>
  </si>
  <si>
    <t>8</t>
  </si>
  <si>
    <t>10</t>
  </si>
  <si>
    <t>14</t>
  </si>
  <si>
    <t>11</t>
  </si>
  <si>
    <t>16</t>
  </si>
  <si>
    <t>LM+</t>
  </si>
  <si>
    <t>9</t>
  </si>
  <si>
    <t>19</t>
  </si>
  <si>
    <t>18</t>
  </si>
  <si>
    <t>20</t>
  </si>
  <si>
    <t>Updated for version 27.0.3</t>
  </si>
  <si>
    <t>Labs Sorted by Section</t>
  </si>
  <si>
    <t>Conditional Section</t>
  </si>
  <si>
    <t>Labs Sorted by Rank</t>
  </si>
  <si>
    <t xml:space="preserve"> Options -&gt;</t>
  </si>
  <si>
    <t>Labs Complete At:</t>
  </si>
  <si>
    <t>Show locked Labs:</t>
  </si>
  <si>
    <t>Progress Bar:</t>
  </si>
  <si>
    <t>Time</t>
  </si>
  <si>
    <t>Ranking</t>
  </si>
  <si>
    <t>Notes</t>
  </si>
  <si>
    <t>IsUnlocked</t>
  </si>
  <si>
    <t>S+</t>
  </si>
  <si>
    <t>S</t>
  </si>
  <si>
    <t>A</t>
  </si>
  <si>
    <t>B</t>
  </si>
  <si>
    <t>C</t>
  </si>
  <si>
    <t>D</t>
  </si>
  <si>
    <t>F</t>
  </si>
  <si>
    <t>QOL</t>
  </si>
  <si>
    <t>Completed</t>
  </si>
  <si>
    <t>T1</t>
  </si>
  <si>
    <t>T2</t>
  </si>
  <si>
    <t>T4</t>
  </si>
  <si>
    <t>T12</t>
  </si>
  <si>
    <t>T21</t>
  </si>
  <si>
    <t>T3</t>
  </si>
  <si>
    <t>T5</t>
  </si>
  <si>
    <t>T13</t>
  </si>
  <si>
    <t>T7</t>
  </si>
  <si>
    <t>T6</t>
  </si>
  <si>
    <t>T8</t>
  </si>
  <si>
    <t>T10</t>
  </si>
  <si>
    <t>T14</t>
  </si>
  <si>
    <t>T11</t>
  </si>
  <si>
    <t>T16</t>
  </si>
  <si>
    <t>T9</t>
  </si>
  <si>
    <t>T19</t>
  </si>
  <si>
    <t>T18</t>
  </si>
  <si>
    <t>T20</t>
  </si>
  <si>
    <t>Backup 2/2026</t>
  </si>
  <si>
    <t>Makes everything better. First lab to take to max</t>
  </si>
  <si>
    <t>Irrelevant, easily outdone by enemy kills and even cash/wave</t>
  </si>
  <si>
    <t>Gaining more coins is more beneficial then spending less coins, utility can be useful for ELS later on. Retroactive on respecs</t>
  </si>
  <si>
    <t>a few early levels are useful, however actual econ labs are much better until Card Masteries or assists/BC labs</t>
  </si>
  <si>
    <t>S tier until level 50; very long after. Should be slotted in whenever a lab slot is not occupied by a high priority lab</t>
  </si>
  <si>
    <t>More necessary the more you respec to avoid carpal tunnel, also nice for buying large amounts of things in runs</t>
  </si>
  <si>
    <t>Useful data to track progress</t>
  </si>
  <si>
    <t>Required for every devo strategy. Useful for blender and tournaments</t>
  </si>
  <si>
    <t>Most useful for having different cards for farm, tourney, and various missions</t>
  </si>
  <si>
    <t>Required for devo strategies and almost mandatory for legend league tournaments. If blender and not in legend it's nice to make the buy workshop upgrades mission cheaper</t>
  </si>
  <si>
    <t>Costs 5 gems to use</t>
  </si>
  <si>
    <t>becomes required to progress after 1T~ LTC</t>
  </si>
  <si>
    <t>ASPD+ is really good to get cheaper, alongisde the damage that's required by the time this lab is unlocked</t>
  </si>
  <si>
    <t>The 500T unlock is Orb Size, the least useful of the three</t>
  </si>
  <si>
    <t>ELS+ and Coin+ are some of the strongest enchancements in the game</t>
  </si>
  <si>
    <t>Most useful after owning a damage UW like Chain Lightning, still retains some utility for early towers in tournaments or against protectors/elites</t>
  </si>
  <si>
    <t>Very good lab for increasing both damage and CC, gets very long towards the end</t>
  </si>
  <si>
    <t>Same as Damage although more significant per level, even more so when using the Ultimate Crit card</t>
  </si>
  <si>
    <t>Detrimental in farms if too high. Useful for orb placement in some cases. Helps out in tournaments under some BCs, has a slider to revert the effect</t>
  </si>
  <si>
    <t>Useless until SL+, very helpful with it while also pairing well with Range mastery</t>
  </si>
  <si>
    <t>Gets VERY long for little benefit</t>
  </si>
  <si>
    <t>Decent for extending bullet orbless, helps bullet damage together with AD or HB. Great to pair together with Swamp Rend to further increase its damage potential</t>
  </si>
  <si>
    <t>Keeps enemies at tower range much better</t>
  </si>
  <si>
    <t>Good, but not game changing lab</t>
  </si>
  <si>
    <t>Crucial for eHp, useless before owning WHR or Wall and for Glass Cannon builds</t>
  </si>
  <si>
    <t>Dabs scales horribly past tier 1</t>
  </si>
  <si>
    <t>Only good until level 23 (5 levels less can be done per def% relic) after other requirements are met. Helps reach the 98% hard cap on defense</t>
  </si>
  <si>
    <t>Decent to help with orbs clearing enemies better, later good to get more Orb mastery or Orb Boss Hit procs</t>
  </si>
  <si>
    <t>Can help with orbless farms</t>
  </si>
  <si>
    <t>Landmines usually explode before having a chance to decay</t>
  </si>
  <si>
    <t>Mostly negative lab, can be useful for ACP or high ranges</t>
  </si>
  <si>
    <t>Mostly useless until you have developed CC to force bosses to stay in orb line longer</t>
  </si>
  <si>
    <t>Another health lab</t>
  </si>
  <si>
    <t>Mostly useless unless you're using a Glass Cannon build</t>
  </si>
  <si>
    <t>Best eHP tool in the game because Vamps don't turn it off; do at least 10 levels</t>
  </si>
  <si>
    <t xml:space="preserve">Helps kill enemies with wall quicker, useful percentage damage; get to at least 11 </t>
  </si>
  <si>
    <t>Same as Wall Rebuild</t>
  </si>
  <si>
    <t>Enables Wall Regen to be the best eHp tool in the game</t>
  </si>
  <si>
    <t>Solves the vampire problem better than a wooden stake to the heart, if you don't have a problem with vampires you can wait to start/finish this lab</t>
  </si>
  <si>
    <t>Cash has limited usability</t>
  </si>
  <si>
    <t>Kills from enemies matter a lot more</t>
  </si>
  <si>
    <t>Excellent lab, eventually max it, but balance it with UW econ labs</t>
  </si>
  <si>
    <t>Coins from enemies quickly become the only coins that matter</t>
  </si>
  <si>
    <t>Only helps to reach the max which is very easy regardless</t>
  </si>
  <si>
    <t>Useful for early cash purchases, good for weak/no GT</t>
  </si>
  <si>
    <t>Decreases variability of packages, very good for early towers without WHR or Wall and Gcomp users</t>
  </si>
  <si>
    <t>Packages become insignificant after wall, very little value per level</t>
  </si>
  <si>
    <t>Good with GComp and for getting extra shards out of RPC mastery</t>
  </si>
  <si>
    <t>More ELS is always good, especially when the lab is less expensive than the WS or WS+ upgrades</t>
  </si>
  <si>
    <t>Useless; if a missile lives long enough for this to matter it was not needed</t>
  </si>
  <si>
    <t>Adds crucial splash damage to Missiles</t>
  </si>
  <si>
    <t>Only research with intention to go for permanent CF</t>
  </si>
  <si>
    <t>Very long for any benefit past a certan point</t>
  </si>
  <si>
    <t>Potential footgun regarding where the enemy gets stunned. Proceed with caution. Can be partly counteracted by using a higher range</t>
  </si>
  <si>
    <t>Great complementary source of crowd control</t>
  </si>
  <si>
    <t>One of the last econ labs to do</t>
  </si>
  <si>
    <t>A lab for something that otherwise costs stones is incredible. Getting duration past BH duration with perk has little value</t>
  </si>
  <si>
    <t>Adds a global damage multiplier to CL</t>
  </si>
  <si>
    <t>Shock will stack faster; no need to max, attack speed should handle maxing fast</t>
  </si>
  <si>
    <t>Shock will stack higher; good to max</t>
  </si>
  <si>
    <t>Very good for farm, dubious use in tourney</t>
  </si>
  <si>
    <t>More econ always good</t>
  </si>
  <si>
    <t>More radius enables more stuns</t>
  </si>
  <si>
    <t>Helps with hitting bosses by multiple mines</t>
  </si>
  <si>
    <t>The more the better however be wary as it can be harmful without perma CF</t>
  </si>
  <si>
    <t>Adds an essential SM-only damage multiplier</t>
  </si>
  <si>
    <t>SM based Panic Button. Helpful with "SM hits" event mission</t>
  </si>
  <si>
    <t>Panic Button gains more missiles</t>
  </si>
  <si>
    <t>Turns ILM into a CC machine when combined with Rotation</t>
  </si>
  <si>
    <t>Does a % of max enemy health every second they are inside BH, the go to protector killer for early towers</t>
  </si>
  <si>
    <t>Self explanatory. Probably the only lab to consider rushing before ancestral modules</t>
  </si>
  <si>
    <t>Best coin multiplier that isn't GT</t>
  </si>
  <si>
    <t>Third best coin multiplier</t>
  </si>
  <si>
    <t>Basically useless prior to owning SM other than for an event mission, enables SLM Orbless with SM</t>
  </si>
  <si>
    <t>Mostly for perma BH</t>
  </si>
  <si>
    <t>Panic Button can be reused, however the cooldown is too long to matter on top of being a lackluster ability</t>
  </si>
  <si>
    <t>An important part in making PS damage matter and even strong. Great against Ultimate Tanks</t>
  </si>
  <si>
    <t>When PS has any use in damage, good to make the multiplier affect everything</t>
  </si>
  <si>
    <t>Extremely good at what it does; however the effect of it is not that desirable by the time you unlock it. Basically requires CL+, costs 40q coins to max</t>
  </si>
  <si>
    <t>A few levels solve scatters for the most part. More levels should solve the problem if they ever become a danger again</t>
  </si>
  <si>
    <t>The only Cell multiplier in the game outside of WS+</t>
  </si>
  <si>
    <t>Niche use with Ring or Max Devo farming. Decent for bosses with DW+</t>
  </si>
  <si>
    <t>Not important, potential footgun regarding killing too far out</t>
  </si>
  <si>
    <t>Essential in allowing the full potential of the UW+, leading to being a favourable second damage UW built</t>
  </si>
  <si>
    <t>Acts like the nuke card when maxed, great for consistency</t>
  </si>
  <si>
    <t>Chance too low to be significant value for the lab time</t>
  </si>
  <si>
    <t>Makes extra orbs a lot more useful. Allows easy clearing of BH</t>
  </si>
  <si>
    <t>The more the merrier</t>
  </si>
  <si>
    <t>Okay early for the mission, truly incredible later (Legend tourney or Glass Cannon farm) with the way Death Defy is checked before charge is used</t>
  </si>
  <si>
    <t>Super Tower is a bullet only damage multiplier until you unlock its mastery. Great damage multipler after doing so</t>
  </si>
  <si>
    <t>Essential to keep the effect of mastery going past 400 waves</t>
  </si>
  <si>
    <t>Great for the event mission, essential to keep the effect of mastery going past 300 waves</t>
  </si>
  <si>
    <t>Okay for the event mission when high level, essential to keep the effect of mastery going past 300 waves</t>
  </si>
  <si>
    <t>Perks are great, they make your tower better at almost everything</t>
  </si>
  <si>
    <t>Long lab that is almost entirely overshadowed by the Perk wave requirement perk</t>
  </si>
  <si>
    <t>Toggleable. Can be harmful to use if you are able to pick your perks by hand. Really hard to use before 4 perk choices and multiple bans.</t>
  </si>
  <si>
    <t>Improves all common perks, including Perk wave requirement, leading to stronger and faster perks</t>
  </si>
  <si>
    <t>Reduces RNG in perks by a lot</t>
  </si>
  <si>
    <t>Guarantees you can get PWR first in farm runs</t>
  </si>
  <si>
    <t>Allows you to ban perks that are useless or detrimental to your runs, do not ban Coin Trade Off</t>
  </si>
  <si>
    <t>Makes TO perks better</t>
  </si>
  <si>
    <t>Improves the consistency of Auto Pick by a lot. Is not a replacement for bans. No need to overdo it</t>
  </si>
  <si>
    <t>Required for consistent damage reduction</t>
  </si>
  <si>
    <t>Improves overall CC potential</t>
  </si>
  <si>
    <t xml:space="preserve">Can hinder syncing with UWs at certain higher times, best to sync 1:1 </t>
  </si>
  <si>
    <t>Syncing the bot may be beneficial in some cases, improves consistency</t>
  </si>
  <si>
    <t>FB is not for damage; not needed</t>
  </si>
  <si>
    <t>Only good if you have the bot</t>
  </si>
  <si>
    <t>Great but long lab</t>
  </si>
  <si>
    <t>Improves overall damage and its consistency</t>
  </si>
  <si>
    <t>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</si>
  <si>
    <t>Good with high level CL+ to fully kill protectors with percentage damage</t>
  </si>
  <si>
    <t>Decent value for the lower levels</t>
  </si>
  <si>
    <t>By the time you unlock this you're very likely past the point where eHP is a realistic build</t>
  </si>
  <si>
    <t>Alongisde CL+ and PC mastery, can leave Rays at only 4.24% hp</t>
  </si>
  <si>
    <t>Vamps with garlic thorns, wall and package+ are a non threat anyway</t>
  </si>
  <si>
    <t>Good to reduce ranged chips</t>
  </si>
  <si>
    <t>Very important long term for shard income. Affects most stats</t>
  </si>
  <si>
    <t>The costs of rerolling get really high with better developed modules</t>
  </si>
  <si>
    <t>Important but also retroactive</t>
  </si>
  <si>
    <t>Useless until level 161+ when costs go into trillions and quadrillions. Retroactive</t>
  </si>
  <si>
    <t xml:space="preserve">Very important long term for fodder and shard income. Each level brings a big increase in the drop rate </t>
  </si>
  <si>
    <t>Costs 20 gems per unmerge. Shatters fodder on use. Can be used for hoarding modules past inventory limit for Shatter Shards</t>
  </si>
  <si>
    <t>Very important to shard economy, makes getting high mod levels reasonable</t>
  </si>
  <si>
    <t>Basically another reroll shards lab but arguably worse</t>
  </si>
  <si>
    <t>Very strong for those reaching max heat in tournaments. Removes 100% uptime on ultimate enemies. Great for farms in T14 and up</t>
  </si>
  <si>
    <t>Resistances get far weaker than most battle conditions with how they substract the effect</t>
  </si>
  <si>
    <t>Helps avoid losing CL+ damage</t>
  </si>
  <si>
    <t>Cuts off a few seconds of duration, can sometimes help lower the danger</t>
  </si>
  <si>
    <t>Max lab only gives you back 1 second</t>
  </si>
  <si>
    <t>Extra invincibility is always strong</t>
  </si>
  <si>
    <t>Expensive but very rewarding lab. More ELS always is amazing</t>
  </si>
  <si>
    <r>
      <rPr>
        <rFont val="Arial"/>
        <color theme="1"/>
        <sz val="11.0"/>
      </rPr>
      <t xml:space="preserve">Which boost can you afford?
Type in </t>
    </r>
    <r>
      <rPr>
        <rFont val="Arial"/>
        <b/>
        <color rgb="FF88220E"/>
        <sz val="11.0"/>
      </rPr>
      <t>Cells / hr</t>
    </r>
    <r>
      <rPr>
        <rFont val="Arial"/>
        <color theme="1"/>
        <sz val="11.0"/>
      </rPr>
      <t xml:space="preserve"> as well as the </t>
    </r>
    <r>
      <rPr>
        <rFont val="Arial"/>
        <b/>
        <color rgb="FF88220E"/>
        <sz val="11.0"/>
      </rPr>
      <t>Hrs per day</t>
    </r>
    <r>
      <rPr>
        <rFont val="Arial"/>
        <color theme="1"/>
        <sz val="11.0"/>
      </rPr>
      <t xml:space="preserve"> you are spending on farming and the </t>
    </r>
    <r>
      <rPr>
        <rFont val="Arial"/>
        <b/>
        <color rgb="FF88220E"/>
        <sz val="11.0"/>
      </rPr>
      <t>Hrs in Tournaments</t>
    </r>
    <r>
      <rPr>
        <rFont val="Arial"/>
        <color theme="1"/>
        <sz val="11.0"/>
      </rPr>
      <t xml:space="preserve"> for 
each tournament day below and see what boosts you can sustain constantly.
Also see, how many you would need to jump to the next threshold</t>
    </r>
  </si>
  <si>
    <t>Hrs farming / day</t>
  </si>
  <si>
    <t>Hrs in Tournaments</t>
  </si>
  <si>
    <t>Cells / hr</t>
  </si>
  <si>
    <t>Cells / hr final</t>
  </si>
  <si>
    <t>Max 5x boost</t>
  </si>
  <si>
    <t>How long is a run?</t>
  </si>
  <si>
    <t>Increase compared to prev. Boost</t>
  </si>
  <si>
    <t>Boost</t>
  </si>
  <si>
    <t>Cost for 1h</t>
  </si>
  <si>
    <t>in Boost</t>
  </si>
  <si>
    <t>in cost</t>
  </si>
  <si>
    <t>ROI</t>
  </si>
  <si>
    <t>Lab slot</t>
  </si>
  <si>
    <t>Cost / 1h</t>
  </si>
  <si>
    <t xml:space="preserve">At the beginning of a run, you should at least have this many cells: </t>
  </si>
  <si>
    <t>Cells / hr for next singular slot boost</t>
  </si>
  <si>
    <t>Days for the next one-off boost</t>
  </si>
  <si>
    <t>LAB TIME PATH</t>
  </si>
  <si>
    <t>Explainations</t>
  </si>
  <si>
    <t>This tool finds the shortest labs to do, grouped by 5 or 10 levels.</t>
  </si>
  <si>
    <t>Tier list</t>
  </si>
  <si>
    <t>Bots</t>
  </si>
  <si>
    <t>Start level</t>
  </si>
  <si>
    <t>Time (days)</t>
  </si>
  <si>
    <t>Flame Bot</t>
  </si>
  <si>
    <t>Thunder Bot</t>
  </si>
  <si>
    <t>Gold Bot</t>
  </si>
  <si>
    <t>Amp Bot</t>
  </si>
  <si>
    <t>Limit (hours)</t>
  </si>
  <si>
    <t>UWS</t>
  </si>
  <si>
    <t>Chain Lightning</t>
  </si>
  <si>
    <t>+%</t>
  </si>
  <si>
    <t>Missile</t>
  </si>
  <si>
    <t>Death Wave</t>
  </si>
  <si>
    <t>Chrono Field</t>
  </si>
  <si>
    <t>Limit</t>
  </si>
  <si>
    <t>Inner Land Mine</t>
  </si>
  <si>
    <t>Golden Tower</t>
  </si>
  <si>
    <t>Swamp</t>
  </si>
  <si>
    <t>Black Hole</t>
  </si>
  <si>
    <t>Spotlight</t>
  </si>
  <si>
    <t>Your PB</t>
  </si>
  <si>
    <t>Ignore Targets</t>
  </si>
  <si>
    <t>Goldboxed Labs</t>
  </si>
  <si>
    <t>Gem Cost</t>
  </si>
  <si>
    <t>Goldboxing +1 Lab</t>
  </si>
  <si>
    <t>Total Cost</t>
  </si>
  <si>
    <t>Gem Bonus</t>
  </si>
  <si>
    <t>UWs</t>
  </si>
  <si>
    <t xml:space="preserve">Shock </t>
  </si>
  <si>
    <t>Chain</t>
  </si>
  <si>
    <t>Lightning</t>
  </si>
  <si>
    <t>Smart Missiles</t>
  </si>
  <si>
    <t>Missile Despawn</t>
  </si>
  <si>
    <t>Cost Limit</t>
  </si>
  <si>
    <t>Inner Mine</t>
  </si>
  <si>
    <t>Masteries</t>
  </si>
  <si>
    <t>Assist</t>
  </si>
  <si>
    <t>Bonus - Armor</t>
  </si>
  <si>
    <t>Substats - Armor</t>
  </si>
  <si>
    <t>Bonus - Cannon</t>
  </si>
  <si>
    <t>Substats - Cannon</t>
  </si>
  <si>
    <t>Bonus - Core</t>
  </si>
  <si>
    <t>Substats - Core</t>
  </si>
  <si>
    <t>Bons - Generator</t>
  </si>
  <si>
    <t>Substats - Generator</t>
  </si>
  <si>
    <t>@phoenix345 -- Wall Thorns v1.4 -- Number of wall hits to kill elites, bosses, bosses with plasma cannon, and elites with plasma cannon mastery,
for Wall Thorns (1-20%), with thorns Relics, Sub-mod (0-10%) and Vault thorns (5%)</t>
  </si>
  <si>
    <t>Bugged tweaks by @Mattew</t>
  </si>
  <si>
    <t>Farming</t>
  </si>
  <si>
    <t>WS Thorns</t>
  </si>
  <si>
    <t>Relics</t>
  </si>
  <si>
    <t>Sub Thorns</t>
  </si>
  <si>
    <t>Vault Thorns</t>
  </si>
  <si>
    <t>BC Thorns</t>
  </si>
  <si>
    <t>SF</t>
  </si>
  <si>
    <t>Wall Thorns lab</t>
  </si>
  <si>
    <t>ELITES</t>
  </si>
  <si>
    <t>ELITES &amp; PC</t>
  </si>
  <si>
    <t>BOSSES</t>
  </si>
  <si>
    <t>FLEETS</t>
  </si>
  <si>
    <t>BOSSES &amp; PC</t>
  </si>
  <si>
    <t>Sharp Fortitude</t>
  </si>
  <si>
    <t>Sharp Fortitude (Hit Reduction)</t>
  </si>
  <si>
    <t>Lab Reduction</t>
  </si>
  <si>
    <t>Heat Wave</t>
  </si>
  <si>
    <t>ELS BC Level</t>
  </si>
  <si>
    <t>ELS BC Value</t>
  </si>
  <si>
    <t>Original level</t>
  </si>
  <si>
    <t>Original Value</t>
  </si>
  <si>
    <t>Player Data Used</t>
  </si>
  <si>
    <t>Std. Perk Level 🔗</t>
  </si>
  <si>
    <t>Speed Perk Wave 🔗</t>
  </si>
  <si>
    <t>Final Speed</t>
  </si>
  <si>
    <t>Cells WS+ 🔗</t>
  </si>
  <si>
    <t>Initial Wave Duration</t>
  </si>
  <si>
    <t>Final Wave Duration</t>
  </si>
  <si>
    <t>Wave Duration needs to be updated, and we need to put the WAWS cards somewhere</t>
  </si>
  <si>
    <t>Currently it maches approximatively my income using WAWS card</t>
  </si>
  <si>
    <t>Expected return for Reliable Max Wave</t>
  </si>
  <si>
    <t>Avg Elites</t>
  </si>
  <si>
    <t>Avg Cells</t>
  </si>
  <si>
    <t>Base Time</t>
  </si>
  <si>
    <t>Elites per Hour</t>
  </si>
  <si>
    <t>Cells per Hour</t>
  </si>
  <si>
    <t>Elite Enemy Spawn Chance Increase Per Wave and Tier</t>
  </si>
  <si>
    <t>Elites count calculation according to best waves</t>
  </si>
  <si>
    <t>Cells average</t>
  </si>
  <si>
    <t>%</t>
  </si>
  <si>
    <t>Lv2</t>
  </si>
  <si>
    <t>END OF ARRAY</t>
  </si>
</sst>
</file>

<file path=xl/styles.xml><?xml version="1.0" encoding="utf-8"?>
<styleSheet xmlns="http://schemas.openxmlformats.org/spreadsheetml/2006/main" xmlns:x14ac="http://schemas.microsoft.com/office/spreadsheetml/2009/9/ac" xmlns:mc="http://schemas.openxmlformats.org/markup-compatibility/2006">
  <numFmts count="36">
    <numFmt numFmtId="164" formatCode="0.0%"/>
    <numFmt numFmtId="165" formatCode="&quot;x&quot;#,##0"/>
    <numFmt numFmtId="166" formatCode="&quot;x &quot;0.00"/>
    <numFmt numFmtId="167" formatCode="#,##0[$ keys]"/>
    <numFmt numFmtId="168" formatCode="0&quot;#&quot;"/>
    <numFmt numFmtId="169" formatCode="#&quot;s&quot;"/>
    <numFmt numFmtId="170" formatCode="#[$s]"/>
    <numFmt numFmtId="171" formatCode="[$x]#,#0"/>
    <numFmt numFmtId="172" formatCode="[$x]#,#0.000"/>
    <numFmt numFmtId="173" formatCode="#,##0;-#,##0"/>
    <numFmt numFmtId="174" formatCode="#&quot;m&quot;"/>
    <numFmt numFmtId="175" formatCode="#[$m]"/>
    <numFmt numFmtId="176" formatCode="#.0&quot;s&quot;"/>
    <numFmt numFmtId="177" formatCode="0.0&quot;s&quot;"/>
    <numFmt numFmtId="178" formatCode="#,##0.00;-#,##0.00"/>
    <numFmt numFmtId="179" formatCode="0&quot;s&quot;"/>
    <numFmt numFmtId="180" formatCode="[$x]0.00"/>
    <numFmt numFmtId="181" formatCode="#.0[$s]"/>
    <numFmt numFmtId="182" formatCode="#&quot;#&quot;"/>
    <numFmt numFmtId="183" formatCode="#0&quot;m&quot;"/>
    <numFmt numFmtId="184" formatCode="[$x]#.0"/>
    <numFmt numFmtId="185" formatCode="&quot;x&quot;#0.0"/>
    <numFmt numFmtId="186" formatCode="#0[$s]"/>
    <numFmt numFmtId="187" formatCode="0.00&quot;/s&quot;"/>
    <numFmt numFmtId="188" formatCode="0.0&quot;x&quot;"/>
    <numFmt numFmtId="189" formatCode="[$x]#,#0.0"/>
    <numFmt numFmtId="190" formatCode="#,##0.0"/>
    <numFmt numFmtId="191" formatCode="[h]:mm:ss.000"/>
    <numFmt numFmtId="192" formatCode="#.0 &quot;hrs&quot;"/>
    <numFmt numFmtId="193" formatCode="#,##0 &quot;cells&quot;"/>
    <numFmt numFmtId="194" formatCode="0.00 &quot;x&quot;"/>
    <numFmt numFmtId="195" formatCode="&quot;x&quot;#0"/>
    <numFmt numFmtId="196" formatCode="# &quot;days&quot;"/>
    <numFmt numFmtId="197" formatCode="#,##0.0000000"/>
    <numFmt numFmtId="198" formatCode="[$lvl ]###0"/>
    <numFmt numFmtId="199" formatCode="T#"/>
  </numFmts>
  <fonts count="136">
    <font>
      <sz val="10.0"/>
      <color rgb="FF000000"/>
      <name val="Arial"/>
      <scheme val="minor"/>
    </font>
    <font>
      <color rgb="FFFFFFFF"/>
      <name val="Comfortaa"/>
    </font>
    <font>
      <b/>
      <sz val="22.0"/>
      <color theme="1"/>
      <name val="Lobster"/>
    </font>
    <font>
      <u/>
      <sz val="11.0"/>
      <color rgb="FF0000FF"/>
      <name val="Comfortaa"/>
    </font>
    <font>
      <b/>
      <sz val="12.0"/>
      <color rgb="FFFFFFFF"/>
      <name val="Comfortaa"/>
    </font>
    <font>
      <b/>
      <u/>
      <sz val="10.0"/>
      <color rgb="FFF4CCCC"/>
      <name val="Comfortaa"/>
    </font>
    <font/>
    <font>
      <b/>
      <color rgb="FFFFFFFF"/>
      <name val="Comfortaa"/>
    </font>
    <font>
      <b/>
      <u/>
      <sz val="10.0"/>
      <color rgb="FFCFE2F3"/>
      <name val="Comfortaa"/>
    </font>
    <font>
      <b/>
      <u/>
      <sz val="10.0"/>
      <color rgb="FFCFE2F3"/>
      <name val="Comfortaa"/>
    </font>
    <font>
      <b/>
      <u/>
      <sz val="10.0"/>
      <color rgb="FFCFE2F3"/>
      <name val="Comfortaa"/>
    </font>
    <font>
      <b/>
      <u/>
      <sz val="10.0"/>
      <color rgb="FFD9EAD3"/>
      <name val="Comfortaa"/>
    </font>
    <font>
      <color theme="1"/>
      <name val="Comfortaa"/>
    </font>
    <font>
      <color theme="1"/>
      <name val="Arial"/>
    </font>
    <font>
      <u/>
      <sz val="8.0"/>
      <color rgb="FF999999"/>
      <name val="Comfortaa"/>
    </font>
    <font>
      <sz val="8.0"/>
      <color rgb="FF999999"/>
      <name val="Comfortaa"/>
    </font>
    <font>
      <sz val="11.0"/>
      <color rgb="FFFFFFFF"/>
      <name val="Arial"/>
    </font>
    <font>
      <u/>
      <color rgb="FFFFFFFF"/>
      <name val="Arial"/>
    </font>
    <font>
      <color theme="0"/>
      <name val="Comfortaa"/>
    </font>
    <font>
      <sz val="15.0"/>
      <color theme="1"/>
      <name val="Comfortaa"/>
    </font>
    <font>
      <color rgb="FF999999"/>
      <name val="Comfortaa"/>
    </font>
    <font>
      <sz val="8.0"/>
      <color rgb="FFB7B7B7"/>
      <name val="Comfortaa"/>
    </font>
    <font>
      <b/>
      <sz val="11.0"/>
      <color rgb="FFFFFFFF"/>
      <name val="Comfortaa"/>
    </font>
    <font>
      <u/>
      <color rgb="FFFFFFFF"/>
      <name val="Comfortaa"/>
    </font>
    <font>
      <b/>
      <u/>
      <sz val="9.0"/>
      <color rgb="FF3D85C6"/>
      <name val="Comfortaa"/>
    </font>
    <font>
      <u/>
      <color rgb="FF3D85C6"/>
      <name val="Comfortaa"/>
    </font>
    <font>
      <color rgb="FFF6B26B"/>
      <name val="Comfortaa"/>
    </font>
    <font>
      <sz val="9.0"/>
      <color rgb="FF999999"/>
      <name val="Comfortaa"/>
    </font>
    <font>
      <color rgb="FFCCCCCC"/>
      <name val="Comfortaa"/>
    </font>
    <font>
      <b/>
      <sz val="11.0"/>
      <color theme="1"/>
      <name val="Calibri"/>
    </font>
    <font>
      <b/>
      <sz val="11.0"/>
      <color rgb="FFFFFFFF"/>
      <name val="Arial"/>
    </font>
    <font>
      <sz val="11.0"/>
      <color theme="1"/>
      <name val="Calibri"/>
    </font>
    <font>
      <b/>
      <sz val="14.0"/>
      <color rgb="FFFFFFFF"/>
      <name val="Arial"/>
    </font>
    <font>
      <sz val="9.0"/>
      <color theme="1"/>
      <name val="Comfortaa"/>
    </font>
    <font>
      <b/>
      <sz val="11.0"/>
      <color rgb="FF060606"/>
      <name val="Calibri"/>
    </font>
    <font>
      <b/>
      <sz val="8.0"/>
      <color theme="1"/>
      <name val="Comfortaa"/>
    </font>
    <font>
      <b/>
      <color theme="1"/>
      <name val="Arial"/>
    </font>
    <font>
      <u/>
      <color rgb="FF1155CC"/>
      <name val="Arial"/>
    </font>
    <font>
      <u/>
      <color rgb="FF1155CC"/>
      <name val="Arial"/>
    </font>
    <font>
      <u/>
      <color rgb="FF1155CC"/>
      <name val="Arial"/>
    </font>
    <font>
      <u/>
      <color rgb="FF0000FF"/>
      <name val="Arial"/>
    </font>
    <font>
      <sz val="9.0"/>
      <color rgb="FFFFFFFF"/>
      <name val="Comfortaa"/>
    </font>
    <font>
      <b/>
      <sz val="7.0"/>
      <color rgb="FFFFFFFF"/>
      <name val="Comfortaa"/>
    </font>
    <font>
      <b/>
      <sz val="9.0"/>
      <color theme="1"/>
      <name val="Comfortaa"/>
    </font>
    <font>
      <b/>
      <sz val="7.0"/>
      <color theme="1"/>
      <name val="Comfortaa"/>
    </font>
    <font>
      <sz val="9.0"/>
      <color rgb="FF916E6E"/>
      <name val="Comfortaa"/>
    </font>
    <font>
      <sz val="7.0"/>
      <color theme="1"/>
      <name val="Comfortaa"/>
    </font>
    <font>
      <sz val="9.0"/>
      <color rgb="FFA09282"/>
      <name val="Comfortaa"/>
    </font>
    <font>
      <sz val="9.0"/>
      <color rgb="FF8A9586"/>
      <name val="Comfortaa"/>
    </font>
    <font>
      <sz val="9.0"/>
      <color rgb="FFA29A82"/>
      <name val="Comfortaa"/>
    </font>
    <font>
      <sz val="9.0"/>
      <color rgb="FF848F90"/>
      <name val="Comfortaa"/>
    </font>
    <font>
      <sz val="9.0"/>
      <color rgb="FF84909B"/>
      <name val="Comfortaa"/>
    </font>
    <font>
      <sz val="9.0"/>
      <color rgb="FF1A2F40"/>
      <name val="Comfortaa"/>
    </font>
    <font>
      <sz val="9.0"/>
      <color rgb="FF95858C"/>
      <name val="Comfortaa"/>
    </font>
    <font>
      <sz val="9.0"/>
      <color rgb="FF8A8694"/>
      <name val="Comfortaa"/>
    </font>
    <font>
      <sz val="9.0"/>
      <color rgb="FF989898"/>
      <name val="Comfortaa"/>
    </font>
    <font>
      <sz val="9.0"/>
      <color rgb="FFA7867F"/>
      <name val="Comfortaa"/>
    </font>
    <font>
      <sz val="8.0"/>
      <color rgb="FF434343"/>
      <name val="Arial"/>
    </font>
    <font>
      <b/>
      <color rgb="FFFFFFFF"/>
      <name val="Arial"/>
    </font>
    <font>
      <b/>
      <sz val="10.0"/>
      <color theme="1"/>
      <name val="Arial"/>
    </font>
    <font>
      <sz val="10.0"/>
      <color rgb="FF000000"/>
      <name val="Arial"/>
    </font>
    <font>
      <color theme="1"/>
      <name val="Arial"/>
      <scheme val="minor"/>
    </font>
    <font>
      <b/>
      <sz val="24.0"/>
      <color theme="1"/>
      <name val="Arial"/>
    </font>
    <font>
      <b/>
      <sz val="12.0"/>
      <color theme="1"/>
      <name val="Arial"/>
    </font>
    <font>
      <sz val="10.0"/>
      <color rgb="FFFFFFFF"/>
      <name val="Arial"/>
    </font>
    <font>
      <b/>
      <sz val="11.0"/>
      <color theme="1"/>
      <name val="Arial"/>
    </font>
    <font>
      <b/>
      <sz val="12.0"/>
      <color rgb="FFF3F3F3"/>
      <name val="Arial"/>
    </font>
    <font>
      <b/>
      <u/>
      <color theme="1"/>
      <name val="Arial"/>
    </font>
    <font>
      <b/>
      <u/>
      <color theme="1"/>
      <name val="Arial"/>
    </font>
    <font>
      <u/>
      <color theme="1"/>
      <name val="Arial"/>
    </font>
    <font>
      <b/>
      <u/>
      <color theme="1"/>
      <name val="Arial"/>
    </font>
    <font>
      <b/>
      <sz val="12.0"/>
      <color theme="1"/>
      <name val="Arial"/>
      <scheme val="minor"/>
    </font>
    <font>
      <b/>
      <sz val="10.0"/>
      <color theme="1"/>
      <name val="Arial"/>
      <scheme val="minor"/>
    </font>
    <font>
      <u/>
      <color theme="1"/>
      <name val="Arial"/>
    </font>
    <font>
      <b/>
      <u/>
      <color theme="1"/>
      <name val="Arial"/>
    </font>
    <font>
      <u/>
      <color theme="1"/>
      <name val="Arial"/>
    </font>
    <font>
      <b/>
      <u/>
      <color theme="1"/>
      <name val="Arial"/>
    </font>
    <font>
      <sz val="14.0"/>
      <color theme="1"/>
      <name val="Arial"/>
    </font>
    <font>
      <sz val="10.0"/>
      <color theme="1"/>
      <name val="Arial"/>
      <scheme val="minor"/>
    </font>
    <font>
      <b/>
      <sz val="16.0"/>
      <color theme="1"/>
      <name val="Arial"/>
      <scheme val="minor"/>
    </font>
    <font>
      <sz val="12.0"/>
      <color theme="1"/>
      <name val="Arial"/>
    </font>
    <font>
      <color theme="1"/>
      <name val="&quot;Courier New&quot;"/>
    </font>
    <font>
      <sz val="8.0"/>
      <color rgb="FFFF0000"/>
      <name val="Consolas"/>
    </font>
    <font>
      <sz val="8.0"/>
      <color rgb="FFFF9900"/>
      <name val="Consolas"/>
    </font>
    <font>
      <sz val="8.0"/>
      <color rgb="FFFFFF00"/>
      <name val="Consolas"/>
    </font>
    <font>
      <sz val="8.0"/>
      <color rgb="FF00FF00"/>
      <name val="Consolas"/>
    </font>
    <font>
      <sz val="8.0"/>
      <color rgb="FF00FFFF"/>
      <name val="Consolas"/>
    </font>
    <font>
      <sz val="8.0"/>
      <color rgb="FF4A86E8"/>
      <name val="Consolas"/>
    </font>
    <font>
      <sz val="8.0"/>
      <color rgb="FFFF00FF"/>
      <name val="Consolas"/>
    </font>
    <font>
      <sz val="8.0"/>
      <color rgb="FF9900FF"/>
      <name val="Consolas"/>
    </font>
    <font>
      <sz val="8.0"/>
      <color rgb="FFFFFFFF"/>
      <name val="Consolas"/>
    </font>
    <font>
      <sz val="8.0"/>
      <color rgb="FFE6B8AF"/>
      <name val="Consolas"/>
    </font>
    <font>
      <b/>
      <sz val="8.0"/>
      <color rgb="FFFFFFFF"/>
      <name val="Consolas"/>
    </font>
    <font>
      <b/>
      <sz val="8.0"/>
      <color theme="1"/>
      <name val="Consolas"/>
    </font>
    <font>
      <sz val="8.0"/>
      <color theme="1"/>
      <name val="Consolas"/>
    </font>
    <font>
      <sz val="8.0"/>
      <color rgb="FF0000FF"/>
      <name val="Consolas"/>
    </font>
    <font>
      <color theme="1"/>
      <name val="Verdana"/>
    </font>
    <font>
      <color theme="1"/>
      <name val="Courier New"/>
    </font>
    <font>
      <b/>
      <sz val="11.0"/>
      <color theme="1"/>
      <name val="Arial"/>
      <scheme val="minor"/>
    </font>
    <font>
      <b/>
      <sz val="11.0"/>
      <color theme="1"/>
      <name val="Comfortaa"/>
    </font>
    <font>
      <b/>
      <sz val="11.0"/>
      <color rgb="FF000000"/>
      <name val="Comfortaa"/>
    </font>
    <font>
      <b/>
      <sz val="10.0"/>
      <color theme="1"/>
      <name val="Comfortaa"/>
    </font>
    <font>
      <sz val="11.0"/>
      <color theme="1"/>
      <name val="Comfortaa"/>
    </font>
    <font>
      <sz val="10.0"/>
      <color theme="1"/>
      <name val="Comfortaa"/>
    </font>
    <font>
      <sz val="11.0"/>
      <color theme="1"/>
      <name val="Arial"/>
    </font>
    <font>
      <b/>
      <color theme="1"/>
      <name val="Arial"/>
      <scheme val="minor"/>
    </font>
    <font>
      <b/>
      <color theme="1"/>
      <name val="Comfortaa"/>
    </font>
    <font>
      <color rgb="FFFFFFFF"/>
      <name val="Arial"/>
    </font>
    <font>
      <sz val="11.0"/>
      <color theme="1"/>
      <name val="Aptos Narrow"/>
    </font>
    <font>
      <color rgb="FFB7B7B7"/>
      <name val="Arial"/>
    </font>
    <font>
      <b/>
      <sz val="9.0"/>
      <color theme="1"/>
      <name val="Verdana"/>
    </font>
    <font>
      <b/>
      <color rgb="FFFFFFFF"/>
      <name val="Arial"/>
      <scheme val="minor"/>
    </font>
    <font>
      <b/>
      <i/>
      <color theme="1"/>
      <name val="Comfortaa"/>
    </font>
    <font>
      <b/>
      <u/>
      <color rgb="FFFFFFFF"/>
      <name val="Arial"/>
    </font>
    <font>
      <b/>
      <u/>
      <color rgb="FFFFFFFF"/>
      <name val="Arial"/>
    </font>
    <font>
      <b/>
      <u/>
      <color rgb="FFFFFFFF"/>
      <name val="Arial"/>
    </font>
    <font>
      <sz val="8.0"/>
      <color rgb="FF666666"/>
      <name val="Verdana"/>
    </font>
    <font>
      <sz val="8.0"/>
      <color theme="1"/>
      <name val="Comfortaa"/>
    </font>
    <font>
      <sz val="9.0"/>
      <color theme="1"/>
      <name val="Verdana"/>
    </font>
    <font>
      <b/>
      <u/>
      <color rgb="FFFFFFFF"/>
      <name val="Arial"/>
    </font>
    <font>
      <b/>
      <u/>
      <color rgb="FFFFFFFF"/>
      <name val="Arial"/>
    </font>
    <font>
      <sz val="9.0"/>
      <color rgb="FFFFFFFF"/>
      <name val="Verdana"/>
    </font>
    <font>
      <b/>
      <u/>
      <color rgb="FFFFFFFF"/>
      <name val="Arial"/>
    </font>
    <font>
      <sz val="12.0"/>
      <color rgb="FF000000"/>
      <name val="Arial"/>
    </font>
    <font>
      <sz val="9.0"/>
      <color rgb="FF999999"/>
      <name val="Arial"/>
    </font>
    <font>
      <color rgb="FF666666"/>
      <name val="Arial"/>
    </font>
    <font>
      <color rgb="FF000000"/>
      <name val="Arial"/>
    </font>
    <font>
      <color rgb="FF23272A"/>
      <name val="Arial"/>
    </font>
    <font>
      <sz val="19.0"/>
      <color rgb="FFFFFFFF"/>
      <name val="Arial"/>
    </font>
    <font>
      <b/>
      <sz val="14.0"/>
      <color theme="1"/>
      <name val="Arial"/>
    </font>
    <font>
      <color theme="0"/>
      <name val="Arial"/>
    </font>
    <font>
      <b/>
      <sz val="13.0"/>
      <color theme="1"/>
      <name val="Calibri"/>
    </font>
    <font>
      <b/>
      <sz val="12.0"/>
      <color theme="1"/>
      <name val="Calibri"/>
    </font>
    <font>
      <sz val="12.0"/>
      <color theme="1"/>
      <name val="Calibri"/>
    </font>
    <font>
      <sz val="9.0"/>
      <color theme="1"/>
      <name val="Arial"/>
      <scheme val="minor"/>
    </font>
    <font>
      <sz val="12.0"/>
      <color rgb="FFB7B7B7"/>
      <name val="Calibri"/>
    </font>
  </fonts>
  <fills count="137">
    <fill>
      <patternFill patternType="none"/>
    </fill>
    <fill>
      <patternFill patternType="lightGray"/>
    </fill>
    <fill>
      <patternFill patternType="solid">
        <fgColor rgb="FF23272A"/>
        <bgColor rgb="FF23272A"/>
      </patternFill>
    </fill>
    <fill>
      <patternFill patternType="solid">
        <fgColor rgb="FF559E88"/>
        <bgColor rgb="FF559E88"/>
      </patternFill>
    </fill>
    <fill>
      <patternFill patternType="solid">
        <fgColor rgb="FF9FC5E8"/>
        <bgColor rgb="FF9FC5E8"/>
      </patternFill>
    </fill>
    <fill>
      <patternFill patternType="solid">
        <fgColor rgb="FF434343"/>
        <bgColor rgb="FF434343"/>
      </patternFill>
    </fill>
    <fill>
      <patternFill patternType="solid">
        <fgColor rgb="FF93C47D"/>
        <bgColor rgb="FF93C47D"/>
      </patternFill>
    </fill>
    <fill>
      <patternFill patternType="solid">
        <fgColor rgb="FF666666"/>
        <bgColor rgb="FF666666"/>
      </patternFill>
    </fill>
    <fill>
      <patternFill patternType="solid">
        <fgColor rgb="FFFFF2CC"/>
        <bgColor rgb="FFFFF2CC"/>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F4CCCC"/>
        <bgColor rgb="FFF4CCCC"/>
      </patternFill>
    </fill>
    <fill>
      <patternFill patternType="solid">
        <fgColor rgb="FFB6D7A8"/>
        <bgColor rgb="FFB6D7A8"/>
      </patternFill>
    </fill>
    <fill>
      <patternFill patternType="solid">
        <fgColor rgb="FFD9EAD3"/>
        <bgColor rgb="FFD9EAD3"/>
      </patternFill>
    </fill>
    <fill>
      <patternFill patternType="solid">
        <fgColor rgb="FFFFE599"/>
        <bgColor rgb="FFFFE599"/>
      </patternFill>
    </fill>
    <fill>
      <patternFill patternType="solid">
        <fgColor rgb="FFA2C4C9"/>
        <bgColor rgb="FFA2C4C9"/>
      </patternFill>
    </fill>
    <fill>
      <patternFill patternType="solid">
        <fgColor rgb="FFD0E0E3"/>
        <bgColor rgb="FFD0E0E3"/>
      </patternFill>
    </fill>
    <fill>
      <patternFill patternType="solid">
        <fgColor rgb="FFCFE2F3"/>
        <bgColor rgb="FFCFE2F3"/>
      </patternFill>
    </fill>
    <fill>
      <patternFill patternType="solid">
        <fgColor rgb="FFD5A6BD"/>
        <bgColor rgb="FFD5A6BD"/>
      </patternFill>
    </fill>
    <fill>
      <patternFill patternType="solid">
        <fgColor rgb="FFEAD1DC"/>
        <bgColor rgb="FFEAD1DC"/>
      </patternFill>
    </fill>
    <fill>
      <patternFill patternType="solid">
        <fgColor rgb="FFB4A7D6"/>
        <bgColor rgb="FFB4A7D6"/>
      </patternFill>
    </fill>
    <fill>
      <patternFill patternType="solid">
        <fgColor rgb="FFD9D2E9"/>
        <bgColor rgb="FFD9D2E9"/>
      </patternFill>
    </fill>
    <fill>
      <patternFill patternType="solid">
        <fgColor rgb="FFD9D9D9"/>
        <bgColor rgb="FFD9D9D9"/>
      </patternFill>
    </fill>
    <fill>
      <patternFill patternType="solid">
        <fgColor rgb="FFEFEFEF"/>
        <bgColor rgb="FFEFEFEF"/>
      </patternFill>
    </fill>
    <fill>
      <patternFill patternType="solid">
        <fgColor rgb="FFDD7E6B"/>
        <bgColor rgb="FFDD7E6B"/>
      </patternFill>
    </fill>
    <fill>
      <patternFill patternType="solid">
        <fgColor rgb="FFE6B8AF"/>
        <bgColor rgb="FFE6B8AF"/>
      </patternFill>
    </fill>
    <fill>
      <patternFill patternType="solid">
        <fgColor rgb="FF6D9EEB"/>
        <bgColor rgb="FF6D9EEB"/>
      </patternFill>
    </fill>
    <fill>
      <patternFill patternType="solid">
        <fgColor rgb="FFC9DAF8"/>
        <bgColor rgb="FFC9DAF8"/>
      </patternFill>
    </fill>
    <fill>
      <patternFill patternType="solid">
        <fgColor rgb="FFA4C2F4"/>
        <bgColor rgb="FFA4C2F4"/>
      </patternFill>
    </fill>
    <fill>
      <patternFill patternType="solid">
        <fgColor rgb="FF9BEA78"/>
        <bgColor rgb="FF9BEA78"/>
      </patternFill>
    </fill>
    <fill>
      <patternFill patternType="solid">
        <fgColor rgb="FFCFFEBE"/>
        <bgColor rgb="FFCFFEBE"/>
      </patternFill>
    </fill>
    <fill>
      <patternFill patternType="solid">
        <fgColor rgb="FF76A5AF"/>
        <bgColor rgb="FF76A5AF"/>
      </patternFill>
    </fill>
    <fill>
      <patternFill patternType="solid">
        <fgColor rgb="FFFFD966"/>
        <bgColor rgb="FFFFD966"/>
      </patternFill>
    </fill>
    <fill>
      <patternFill patternType="solid">
        <fgColor rgb="FFDC5135"/>
        <bgColor rgb="FFDC5135"/>
      </patternFill>
    </fill>
    <fill>
      <patternFill patternType="solid">
        <fgColor rgb="FFB62C10"/>
        <bgColor rgb="FFB62C10"/>
      </patternFill>
    </fill>
    <fill>
      <patternFill patternType="solid">
        <fgColor rgb="FF88220E"/>
        <bgColor rgb="FF88220E"/>
      </patternFill>
    </fill>
    <fill>
      <patternFill patternType="solid">
        <fgColor rgb="FF5B0F00"/>
        <bgColor rgb="FF5B0F00"/>
      </patternFill>
    </fill>
    <fill>
      <patternFill patternType="solid">
        <fgColor rgb="FFE06666"/>
        <bgColor rgb="FFE06666"/>
      </patternFill>
    </fill>
    <fill>
      <patternFill patternType="solid">
        <fgColor rgb="FFCC0000"/>
        <bgColor rgb="FFCC0000"/>
      </patternFill>
    </fill>
    <fill>
      <patternFill patternType="solid">
        <fgColor rgb="FF990000"/>
        <bgColor rgb="FF990000"/>
      </patternFill>
    </fill>
    <fill>
      <patternFill patternType="solid">
        <fgColor rgb="FF660000"/>
        <bgColor rgb="FF660000"/>
      </patternFill>
    </fill>
    <fill>
      <patternFill patternType="solid">
        <fgColor rgb="FFFAB88B"/>
        <bgColor rgb="FFFAB88B"/>
      </patternFill>
    </fill>
    <fill>
      <patternFill patternType="solid">
        <fgColor rgb="FFE69138"/>
        <bgColor rgb="FFE69138"/>
      </patternFill>
    </fill>
    <fill>
      <patternFill patternType="solid">
        <fgColor rgb="FFB45F06"/>
        <bgColor rgb="FFB45F06"/>
      </patternFill>
    </fill>
    <fill>
      <patternFill patternType="solid">
        <fgColor rgb="FF783F04"/>
        <bgColor rgb="FF783F04"/>
      </patternFill>
    </fill>
    <fill>
      <patternFill patternType="solid">
        <fgColor rgb="FFFFF599"/>
        <bgColor rgb="FFFFF599"/>
      </patternFill>
    </fill>
    <fill>
      <patternFill patternType="solid">
        <fgColor rgb="FFF9D966"/>
        <bgColor rgb="FFF9D966"/>
      </patternFill>
    </fill>
    <fill>
      <patternFill patternType="solid">
        <fgColor rgb="FFF2B832"/>
        <bgColor rgb="FFF2B832"/>
      </patternFill>
    </fill>
    <fill>
      <patternFill patternType="solid">
        <fgColor rgb="FFBF9000"/>
        <bgColor rgb="FFBF9000"/>
      </patternFill>
    </fill>
    <fill>
      <patternFill patternType="solid">
        <fgColor rgb="FF7F6000"/>
        <bgColor rgb="FF7F6000"/>
      </patternFill>
    </fill>
    <fill>
      <patternFill patternType="solid">
        <fgColor rgb="FF000000"/>
        <bgColor rgb="FF000000"/>
      </patternFill>
    </fill>
    <fill>
      <patternFill patternType="solid">
        <fgColor rgb="FFF6B26B"/>
        <bgColor rgb="FFF6B26B"/>
      </patternFill>
    </fill>
    <fill>
      <patternFill patternType="solid">
        <fgColor rgb="FF6AA84F"/>
        <bgColor rgb="FF6AA84F"/>
      </patternFill>
    </fill>
    <fill>
      <patternFill patternType="solid">
        <fgColor rgb="FF38761D"/>
        <bgColor rgb="FF38761D"/>
      </patternFill>
    </fill>
    <fill>
      <patternFill patternType="solid">
        <fgColor rgb="FF274E13"/>
        <bgColor rgb="FF274E13"/>
      </patternFill>
    </fill>
    <fill>
      <patternFill patternType="solid">
        <fgColor rgb="FF073763"/>
        <bgColor rgb="FF073763"/>
      </patternFill>
    </fill>
    <fill>
      <patternFill patternType="solid">
        <fgColor rgb="FF45818E"/>
        <bgColor rgb="FF45818E"/>
      </patternFill>
    </fill>
    <fill>
      <patternFill patternType="solid">
        <fgColor rgb="FF134F5C"/>
        <bgColor rgb="FF134F5C"/>
      </patternFill>
    </fill>
    <fill>
      <patternFill patternType="solid">
        <fgColor rgb="FF0C343D"/>
        <bgColor rgb="FF0C343D"/>
      </patternFill>
    </fill>
    <fill>
      <patternFill patternType="solid">
        <fgColor rgb="FFFCE8B2"/>
        <bgColor rgb="FFFCE8B2"/>
      </patternFill>
    </fill>
    <fill>
      <patternFill patternType="solid">
        <fgColor rgb="FFF4C7C3"/>
        <bgColor rgb="FFF4C7C3"/>
      </patternFill>
    </fill>
    <fill>
      <patternFill patternType="solid">
        <fgColor rgb="FF3C78D8"/>
        <bgColor rgb="FF3C78D8"/>
      </patternFill>
    </fill>
    <fill>
      <patternFill patternType="solid">
        <fgColor rgb="FF1155CC"/>
        <bgColor rgb="FF1155CC"/>
      </patternFill>
    </fill>
    <fill>
      <patternFill patternType="solid">
        <fgColor rgb="FF1C4587"/>
        <bgColor rgb="FF1C4587"/>
      </patternFill>
    </fill>
    <fill>
      <patternFill patternType="solid">
        <fgColor rgb="FF6FA8DC"/>
        <bgColor rgb="FF6FA8DC"/>
      </patternFill>
    </fill>
    <fill>
      <patternFill patternType="solid">
        <fgColor rgb="FF3D85C6"/>
        <bgColor rgb="FF3D85C6"/>
      </patternFill>
    </fill>
    <fill>
      <patternFill patternType="solid">
        <fgColor rgb="FF0B5394"/>
        <bgColor rgb="FF0B5394"/>
      </patternFill>
    </fill>
    <fill>
      <patternFill patternType="solid">
        <fgColor rgb="FF8E7CC3"/>
        <bgColor rgb="FF8E7CC3"/>
      </patternFill>
    </fill>
    <fill>
      <patternFill patternType="solid">
        <fgColor rgb="FF674EA7"/>
        <bgColor rgb="FF674EA7"/>
      </patternFill>
    </fill>
    <fill>
      <patternFill patternType="solid">
        <fgColor rgb="FF351C75"/>
        <bgColor rgb="FF351C75"/>
      </patternFill>
    </fill>
    <fill>
      <patternFill patternType="solid">
        <fgColor rgb="FF20124D"/>
        <bgColor rgb="FF20124D"/>
      </patternFill>
    </fill>
    <fill>
      <patternFill patternType="solid">
        <fgColor rgb="FFC27BA0"/>
        <bgColor rgb="FFC27BA0"/>
      </patternFill>
    </fill>
    <fill>
      <patternFill patternType="solid">
        <fgColor rgb="FFA64D79"/>
        <bgColor rgb="FFA64D79"/>
      </patternFill>
    </fill>
    <fill>
      <patternFill patternType="solid">
        <fgColor rgb="FF741B47"/>
        <bgColor rgb="FF741B47"/>
      </patternFill>
    </fill>
    <fill>
      <patternFill patternType="solid">
        <fgColor rgb="FF4C1130"/>
        <bgColor rgb="FF4C1130"/>
      </patternFill>
    </fill>
    <fill>
      <patternFill patternType="solid">
        <fgColor rgb="FFB7B7B7"/>
        <bgColor rgb="FFB7B7B7"/>
      </patternFill>
    </fill>
    <fill>
      <patternFill patternType="solid">
        <fgColor rgb="FF00FFFF"/>
        <bgColor rgb="FF00FFFF"/>
      </patternFill>
    </fill>
    <fill>
      <patternFill patternType="solid">
        <fgColor rgb="FFFFFFFF"/>
        <bgColor rgb="FFFFFFFF"/>
      </patternFill>
    </fill>
    <fill>
      <patternFill patternType="solid">
        <fgColor rgb="FF980000"/>
        <bgColor rgb="FF980000"/>
      </patternFill>
    </fill>
    <fill>
      <patternFill patternType="solid">
        <fgColor rgb="FFD5A6CD"/>
        <bgColor rgb="FFD5A6CD"/>
      </patternFill>
    </fill>
    <fill>
      <patternFill patternType="solid">
        <fgColor rgb="FFFFFFE0"/>
        <bgColor rgb="FFFFFFE0"/>
      </patternFill>
    </fill>
    <fill>
      <patternFill patternType="solid">
        <fgColor rgb="FFB7E1CD"/>
        <bgColor rgb="FFB7E1CD"/>
      </patternFill>
    </fill>
    <fill>
      <patternFill patternType="solid">
        <fgColor rgb="FFE8F0FE"/>
        <bgColor rgb="FFE8F0FE"/>
      </patternFill>
    </fill>
    <fill>
      <patternFill patternType="solid">
        <fgColor rgb="FFFFD666"/>
        <bgColor rgb="FFFFD666"/>
      </patternFill>
    </fill>
    <fill>
      <patternFill patternType="solid">
        <fgColor rgb="FFFFE6DD"/>
        <bgColor rgb="FFFFE6DD"/>
      </patternFill>
    </fill>
    <fill>
      <patternFill patternType="solid">
        <fgColor rgb="FF63BE7B"/>
        <bgColor rgb="FF63BE7B"/>
      </patternFill>
    </fill>
    <fill>
      <patternFill patternType="solid">
        <fgColor rgb="FF93CC7E"/>
        <bgColor rgb="FF93CC7E"/>
      </patternFill>
    </fill>
    <fill>
      <patternFill patternType="solid">
        <fgColor rgb="FFACD380"/>
        <bgColor rgb="FFACD380"/>
      </patternFill>
    </fill>
    <fill>
      <patternFill patternType="solid">
        <fgColor rgb="FFC4DA81"/>
        <bgColor rgb="FFC4DA81"/>
      </patternFill>
    </fill>
    <fill>
      <patternFill patternType="solid">
        <fgColor rgb="FFCFDE82"/>
        <bgColor rgb="FFCFDE82"/>
      </patternFill>
    </fill>
    <fill>
      <patternFill patternType="solid">
        <fgColor rgb="FFDBE182"/>
        <bgColor rgb="FFDBE182"/>
      </patternFill>
    </fill>
    <fill>
      <patternFill patternType="solid">
        <fgColor rgb="FFE8E583"/>
        <bgColor rgb="FFE8E583"/>
      </patternFill>
    </fill>
    <fill>
      <patternFill patternType="solid">
        <fgColor rgb="FFF4E884"/>
        <bgColor rgb="FFF4E884"/>
      </patternFill>
    </fill>
    <fill>
      <patternFill patternType="solid">
        <fgColor rgb="FFFFEB84"/>
        <bgColor rgb="FFFFEB84"/>
      </patternFill>
    </fill>
    <fill>
      <patternFill patternType="solid">
        <fgColor rgb="FFFCBF7B"/>
        <bgColor rgb="FFFCBF7B"/>
      </patternFill>
    </fill>
    <fill>
      <patternFill patternType="solid">
        <fgColor rgb="FFFA9473"/>
        <bgColor rgb="FFFA9473"/>
      </patternFill>
    </fill>
    <fill>
      <patternFill patternType="solid">
        <fgColor rgb="FF8FCB7E"/>
        <bgColor rgb="FF8FCB7E"/>
      </patternFill>
    </fill>
    <fill>
      <patternFill patternType="solid">
        <fgColor rgb="FFC9DC81"/>
        <bgColor rgb="FFC9DC81"/>
      </patternFill>
    </fill>
    <fill>
      <patternFill patternType="solid">
        <fgColor rgb="FFD8E082"/>
        <bgColor rgb="FFD8E082"/>
      </patternFill>
    </fill>
    <fill>
      <patternFill patternType="solid">
        <fgColor rgb="FFE6E483"/>
        <bgColor rgb="FFE6E483"/>
      </patternFill>
    </fill>
    <fill>
      <patternFill patternType="solid">
        <fgColor rgb="FFF5E884"/>
        <bgColor rgb="FFF5E884"/>
      </patternFill>
    </fill>
    <fill>
      <patternFill patternType="solid">
        <fgColor rgb="FFFCEA84"/>
        <bgColor rgb="FFFCEA84"/>
      </patternFill>
    </fill>
    <fill>
      <patternFill patternType="solid">
        <fgColor rgb="FFFEDF81"/>
        <bgColor rgb="FFFEDF81"/>
      </patternFill>
    </fill>
    <fill>
      <patternFill patternType="solid">
        <fgColor rgb="FFFDC77D"/>
        <bgColor rgb="FFFDC77D"/>
      </patternFill>
    </fill>
    <fill>
      <patternFill patternType="solid">
        <fgColor rgb="FFFBAF78"/>
        <bgColor rgb="FFFBAF78"/>
      </patternFill>
    </fill>
    <fill>
      <patternFill patternType="solid">
        <fgColor rgb="FFFA9874"/>
        <bgColor rgb="FFFA9874"/>
      </patternFill>
    </fill>
    <fill>
      <patternFill patternType="solid">
        <fgColor rgb="FFF9806F"/>
        <bgColor rgb="FFF9806F"/>
      </patternFill>
    </fill>
    <fill>
      <patternFill patternType="solid">
        <fgColor rgb="FFF8696B"/>
        <bgColor rgb="FFF8696B"/>
      </patternFill>
    </fill>
    <fill>
      <patternFill patternType="solid">
        <fgColor rgb="FF84C87D"/>
        <bgColor rgb="FF84C87D"/>
      </patternFill>
    </fill>
    <fill>
      <patternFill patternType="solid">
        <fgColor rgb="FFA5D17F"/>
        <bgColor rgb="FFA5D17F"/>
      </patternFill>
    </fill>
    <fill>
      <patternFill patternType="solid">
        <fgColor rgb="FFC6DB81"/>
        <bgColor rgb="FFC6DB81"/>
      </patternFill>
    </fill>
    <fill>
      <patternFill patternType="solid">
        <fgColor rgb="FFD6E082"/>
        <bgColor rgb="FFD6E082"/>
      </patternFill>
    </fill>
    <fill>
      <patternFill patternType="solid">
        <fgColor rgb="FFE7E483"/>
        <bgColor rgb="FFE7E483"/>
      </patternFill>
    </fill>
    <fill>
      <patternFill patternType="solid">
        <fgColor rgb="FFF7E984"/>
        <bgColor rgb="FFF7E984"/>
      </patternFill>
    </fill>
    <fill>
      <patternFill patternType="solid">
        <fgColor rgb="FFFDD17F"/>
        <bgColor rgb="FFFDD17F"/>
      </patternFill>
    </fill>
    <fill>
      <patternFill patternType="solid">
        <fgColor rgb="FFFA9D75"/>
        <bgColor rgb="FFFA9D75"/>
      </patternFill>
    </fill>
    <fill>
      <patternFill patternType="solid">
        <fgColor rgb="FFD4DF82"/>
        <bgColor rgb="FFD4DF82"/>
      </patternFill>
    </fill>
    <fill>
      <patternFill patternType="solid">
        <fgColor rgb="FFE5E483"/>
        <bgColor rgb="FFE5E483"/>
      </patternFill>
    </fill>
    <fill>
      <patternFill patternType="solid">
        <fgColor rgb="FFEFE784"/>
        <bgColor rgb="FFEFE784"/>
      </patternFill>
    </fill>
    <fill>
      <patternFill patternType="solid">
        <fgColor rgb="FFFAEA84"/>
        <bgColor rgb="FFFAEA84"/>
      </patternFill>
    </fill>
    <fill>
      <patternFill patternType="solid">
        <fgColor rgb="FFFCB77A"/>
        <bgColor rgb="FFFCB77A"/>
      </patternFill>
    </fill>
    <fill>
      <patternFill patternType="solid">
        <fgColor rgb="FFF98370"/>
        <bgColor rgb="FFF98370"/>
      </patternFill>
    </fill>
    <fill>
      <patternFill patternType="solid">
        <fgColor rgb="FF7EC67D"/>
        <bgColor rgb="FF7EC67D"/>
      </patternFill>
    </fill>
    <fill>
      <patternFill patternType="solid">
        <fgColor rgb="FF99CE7F"/>
        <bgColor rgb="FF99CE7F"/>
      </patternFill>
    </fill>
    <fill>
      <patternFill patternType="solid">
        <fgColor rgb="FFAFD480"/>
        <bgColor rgb="FFAFD480"/>
      </patternFill>
    </fill>
    <fill>
      <patternFill patternType="solid">
        <fgColor rgb="FFBFD981"/>
        <bgColor rgb="FFBFD981"/>
      </patternFill>
    </fill>
    <fill>
      <patternFill patternType="solid">
        <fgColor rgb="FFCADC81"/>
        <bgColor rgb="FFCADC81"/>
      </patternFill>
    </fill>
    <fill>
      <patternFill patternType="solid">
        <fgColor rgb="FFDAE182"/>
        <bgColor rgb="FFDAE182"/>
      </patternFill>
    </fill>
    <fill>
      <patternFill patternType="solid">
        <fgColor rgb="FFEAE583"/>
        <bgColor rgb="FFEAE583"/>
      </patternFill>
    </fill>
    <fill>
      <patternFill patternType="solid">
        <fgColor rgb="FFCCCCCC"/>
        <bgColor rgb="FFCCCCCC"/>
      </patternFill>
    </fill>
    <fill>
      <patternFill patternType="solid">
        <fgColor rgb="FF8989EB"/>
        <bgColor rgb="FF8989EB"/>
      </patternFill>
    </fill>
    <fill>
      <patternFill patternType="solid">
        <fgColor rgb="FF4DD0E1"/>
        <bgColor rgb="FF4DD0E1"/>
      </patternFill>
    </fill>
    <fill>
      <patternFill patternType="solid">
        <fgColor rgb="FFE8E7FC"/>
        <bgColor rgb="FFE8E7FC"/>
      </patternFill>
    </fill>
    <fill>
      <patternFill patternType="solid">
        <fgColor rgb="FFE0F7FA"/>
        <bgColor rgb="FFE0F7FA"/>
      </patternFill>
    </fill>
    <fill>
      <patternFill patternType="solid">
        <fgColor rgb="FFC4C3F7"/>
        <bgColor rgb="FFC4C3F7"/>
      </patternFill>
    </fill>
    <fill>
      <patternFill patternType="solid">
        <fgColor rgb="FFA2E8F1"/>
        <bgColor rgb="FFA2E8F1"/>
      </patternFill>
    </fill>
  </fills>
  <borders count="251">
    <border/>
    <border>
      <left style="thin">
        <color rgb="FFFF0000"/>
      </lef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FFFFFF"/>
      </bottom>
    </border>
    <border>
      <left style="thin">
        <color rgb="FF0000FF"/>
      </left>
    </border>
    <border>
      <left style="thin">
        <color rgb="FF00FF00"/>
      </left>
    </border>
    <border>
      <bottom style="thick">
        <color rgb="FF666666"/>
      </bottom>
    </border>
    <border>
      <bottom style="thick">
        <color rgb="FFFF0000"/>
      </bottom>
    </border>
    <border>
      <bottom style="thick">
        <color rgb="FF0000FF"/>
      </bottom>
    </border>
    <border>
      <bottom style="thick">
        <color rgb="FF00FF00"/>
      </bottom>
    </border>
    <border>
      <left style="dotted">
        <color rgb="FFFCE5CD"/>
      </left>
      <top style="dotted">
        <color rgb="FFFCE5CD"/>
      </top>
    </border>
    <border>
      <top style="dotted">
        <color rgb="FFFCE5CD"/>
      </top>
    </border>
    <border>
      <right style="dotted">
        <color rgb="FFFCE5CD"/>
      </right>
      <top style="dotted">
        <color rgb="FFFCE5CD"/>
      </top>
    </border>
    <border>
      <left style="dotted">
        <color rgb="FFFCE5CD"/>
      </left>
    </border>
    <border>
      <right style="dotted">
        <color rgb="FFFCE5CD"/>
      </right>
    </border>
    <border>
      <left style="dotted">
        <color rgb="FFFCE5CD"/>
      </left>
      <bottom style="dotted">
        <color rgb="FFFCE5CD"/>
      </bottom>
    </border>
    <border>
      <bottom style="dotted">
        <color rgb="FFFCE5CD"/>
      </bottom>
    </border>
    <border>
      <right style="dotted">
        <color rgb="FFFCE5CD"/>
      </right>
      <bottom style="dotted">
        <color rgb="FFFCE5CD"/>
      </bottom>
    </border>
    <border>
      <left style="thin">
        <color rgb="FFFFFFFF"/>
      </left>
    </border>
    <border>
      <left style="thin">
        <color rgb="FF000000"/>
      </left>
      <right style="thin">
        <color rgb="FF666666"/>
      </right>
      <top style="thin">
        <color rgb="FF000000"/>
      </top>
      <bottom style="thin">
        <color rgb="FF000000"/>
      </bottom>
    </border>
    <border>
      <left style="thin">
        <color rgb="FF666666"/>
      </left>
      <right style="thin">
        <color rgb="FF666666"/>
      </right>
      <top style="thin">
        <color rgb="FF000000"/>
      </top>
      <bottom style="thin">
        <color rgb="FF000000"/>
      </bottom>
    </border>
    <border>
      <left style="thin">
        <color rgb="FF666666"/>
      </left>
      <right style="thin">
        <color rgb="FF000000"/>
      </right>
      <top style="thin">
        <color rgb="FF000000"/>
      </top>
      <bottom style="thin">
        <color rgb="FF000000"/>
      </bottom>
    </border>
    <border>
      <right style="thin">
        <color rgb="FF23272A"/>
      </right>
      <top style="thin">
        <color rgb="FF23272A"/>
      </top>
      <bottom style="thin">
        <color rgb="FF23272A"/>
      </bottom>
    </border>
    <border>
      <left style="thin">
        <color rgb="FF000000"/>
      </left>
      <right style="thin">
        <color rgb="FF000000"/>
      </right>
      <top style="thin">
        <color rgb="FF000000"/>
      </top>
    </border>
    <border>
      <right style="thin">
        <color rgb="FF000000"/>
      </right>
      <top style="thin">
        <color rgb="FF000000"/>
      </top>
    </border>
    <border>
      <top style="thin">
        <color rgb="FF23272A"/>
      </top>
      <bottom style="thin">
        <color rgb="FF23272A"/>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F6B26B"/>
      </bottom>
    </border>
    <border>
      <right style="thin">
        <color rgb="FF23272A"/>
      </right>
      <bottom style="thin">
        <color rgb="FF23272A"/>
      </bottom>
    </border>
    <border>
      <left style="thin">
        <color rgb="FF000000"/>
      </left>
      <right style="thin">
        <color rgb="FF000000"/>
      </right>
      <bottom style="thin">
        <color rgb="FF23272A"/>
      </bottom>
    </border>
    <border>
      <left style="thin">
        <color rgb="FF000000"/>
      </left>
      <right style="thin">
        <color rgb="FF000000"/>
      </right>
      <top style="thin">
        <color rgb="FF000000"/>
      </top>
      <bottom style="thin">
        <color rgb="FF23272A"/>
      </bottom>
    </border>
    <border>
      <left style="thin">
        <color rgb="FF000000"/>
      </left>
      <right style="thin">
        <color rgb="FF000000"/>
      </right>
    </border>
    <border>
      <top style="thin">
        <color rgb="FF000000"/>
      </top>
      <bottom style="thin">
        <color rgb="FF000000"/>
      </bottom>
    </border>
    <border>
      <left style="thin">
        <color rgb="FF000000"/>
      </left>
      <right style="thin">
        <color rgb="FF000000"/>
      </right>
      <top style="thin">
        <color rgb="FF23272A"/>
      </top>
    </border>
    <border>
      <right style="thin">
        <color rgb="FF000000"/>
      </right>
    </border>
    <border>
      <right style="thin">
        <color rgb="FF000000"/>
      </right>
      <top style="dotted">
        <color rgb="FF000000"/>
      </top>
    </border>
    <border>
      <right style="thin">
        <color rgb="FF000000"/>
      </right>
      <bottom style="dotted">
        <color rgb="FF000000"/>
      </bottom>
    </border>
    <border>
      <left style="thin">
        <color rgb="FF000000"/>
      </left>
    </border>
    <border>
      <left style="thin">
        <color rgb="FF000000"/>
      </left>
      <bottom style="thin">
        <color rgb="FF000000"/>
      </bottom>
    </border>
    <border>
      <left style="thin">
        <color rgb="FF23272A"/>
      </left>
      <top style="thin">
        <color rgb="FF23272A"/>
      </top>
      <bottom style="thin">
        <color rgb="FF23272A"/>
      </bottom>
    </border>
    <border>
      <left style="thin">
        <color rgb="FF23272A"/>
      </left>
      <bottom style="thin">
        <color rgb="FF23272A"/>
      </bottom>
    </border>
    <border>
      <left style="thin">
        <color rgb="FF000000"/>
      </left>
      <right style="thin">
        <color rgb="FF000000"/>
      </right>
      <top style="thin">
        <color rgb="FF23272A"/>
      </top>
      <bottom style="thin">
        <color rgb="FF23272A"/>
      </bottom>
    </border>
    <border>
      <right style="medium">
        <color rgb="FF000000"/>
      </right>
    </border>
    <border>
      <left style="medium">
        <color rgb="FF000000"/>
      </left>
    </border>
    <border>
      <bottom style="thin">
        <color rgb="FF000000"/>
      </bottom>
    </border>
    <border>
      <right style="thick">
        <color rgb="FF434343"/>
      </right>
      <top style="thick">
        <color rgb="FF434343"/>
      </top>
      <bottom style="thick">
        <color rgb="FF434343"/>
      </bottom>
    </border>
    <border>
      <left style="thick">
        <color rgb="FF000000"/>
      </left>
      <right style="thick">
        <color rgb="FF000000"/>
      </right>
      <top style="thick">
        <color rgb="FF000000"/>
      </top>
      <bottom style="thick">
        <color rgb="FF000000"/>
      </bottom>
    </border>
    <border>
      <right style="thick">
        <color rgb="FF434343"/>
      </right>
      <top style="thick">
        <color rgb="FF434343"/>
      </top>
    </border>
    <border>
      <top style="thick">
        <color rgb="FF434343"/>
      </top>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top style="thick">
        <color rgb="FF434343"/>
      </top>
      <bottom style="thick">
        <color rgb="FF434343"/>
      </bottom>
    </border>
    <border>
      <left style="thick">
        <color rgb="FF000000"/>
      </left>
    </border>
    <border>
      <left style="thick">
        <color rgb="FF000000"/>
      </left>
      <top style="thick">
        <color rgb="FF000000"/>
      </top>
    </border>
    <border>
      <top style="thick">
        <color rgb="FF000000"/>
      </top>
    </border>
    <border>
      <right style="thick">
        <color rgb="FF000000"/>
      </right>
      <top style="thick">
        <color rgb="FF000000"/>
      </top>
    </border>
    <border>
      <right style="thick">
        <color rgb="FF000000"/>
      </right>
    </border>
    <border>
      <left style="thick">
        <color rgb="FF000000"/>
      </left>
      <right style="thick">
        <color rgb="FF000000"/>
      </right>
      <top style="thick">
        <color rgb="FF000000"/>
      </top>
    </border>
    <border>
      <left style="thin">
        <color rgb="FF000000"/>
      </left>
      <right style="thin">
        <color rgb="FFC9DAF8"/>
      </right>
      <bottom style="thin">
        <color rgb="FFC9DAF8"/>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border>
    <border>
      <left style="thin">
        <color rgb="FF000000"/>
      </left>
      <right style="thin">
        <color rgb="FFC9DAF8"/>
      </right>
      <top style="thin">
        <color rgb="FFC9DAF8"/>
      </top>
      <bottom style="thin">
        <color rgb="FFC9DAF8"/>
      </bottom>
    </border>
    <border>
      <left style="thick">
        <color rgb="FF000000"/>
      </left>
      <top style="thick">
        <color rgb="FF000000"/>
      </top>
      <bottom style="thin">
        <color rgb="FF45818E"/>
      </bottom>
    </border>
    <border>
      <top style="thick">
        <color rgb="FF000000"/>
      </top>
      <bottom style="thin">
        <color rgb="FF45818E"/>
      </bottom>
    </border>
    <border>
      <left style="thin">
        <color rgb="FF45818E"/>
      </left>
      <top style="thick">
        <color rgb="FF000000"/>
      </top>
      <bottom style="thin">
        <color rgb="FF45818E"/>
      </bottom>
    </border>
    <border>
      <left style="thin">
        <color rgb="FF45818E"/>
      </left>
      <bottom style="thin">
        <color rgb="FF45818E"/>
      </bottom>
    </border>
    <border>
      <left style="thin">
        <color rgb="FF45818E"/>
      </left>
      <right style="thick">
        <color rgb="FF000000"/>
      </right>
      <bottom style="thin">
        <color rgb="FF45818E"/>
      </bottom>
    </border>
    <border>
      <left style="thick">
        <color rgb="FF000000"/>
      </left>
      <top style="thick">
        <color rgb="FF000000"/>
      </top>
      <bottom style="thin">
        <color rgb="FF76A5AF"/>
      </bottom>
    </border>
    <border>
      <right style="thin">
        <color rgb="FF76A5AF"/>
      </right>
      <top style="thick">
        <color rgb="FF000000"/>
      </top>
      <bottom style="thin">
        <color rgb="FF76A5AF"/>
      </bottom>
    </border>
    <border>
      <left style="thin">
        <color rgb="FF76A5AF"/>
      </left>
      <right style="thin">
        <color rgb="FF76A5AF"/>
      </right>
      <top style="thick">
        <color rgb="FF000000"/>
      </top>
      <bottom style="thin">
        <color rgb="FF76A5AF"/>
      </bottom>
    </border>
    <border>
      <left style="thin">
        <color rgb="FF76A5AF"/>
      </left>
      <top style="thick">
        <color rgb="FF000000"/>
      </top>
      <bottom style="thin">
        <color rgb="FF76A5AF"/>
      </bottom>
    </border>
    <border>
      <left style="thin">
        <color rgb="FF76A5AF"/>
      </left>
      <right style="thick">
        <color rgb="FF000000"/>
      </right>
      <top style="thick">
        <color rgb="FF000000"/>
      </top>
      <bottom style="thin">
        <color rgb="FF76A5AF"/>
      </bottom>
    </border>
    <border>
      <left style="thick">
        <color rgb="FF000000"/>
      </left>
      <top style="thick">
        <color rgb="FF000000"/>
      </top>
      <bottom style="thin">
        <color rgb="FFF6B26B"/>
      </bottom>
    </border>
    <border>
      <right style="thin">
        <color rgb="FFF6B26B"/>
      </right>
      <top style="thick">
        <color rgb="FF000000"/>
      </top>
      <bottom style="thin">
        <color rgb="FFF6B26B"/>
      </bottom>
    </border>
    <border>
      <left style="thin">
        <color rgb="FFF6B26B"/>
      </left>
      <right style="thin">
        <color rgb="FFF6B26B"/>
      </right>
      <top style="thick">
        <color rgb="FF000000"/>
      </top>
      <bottom style="thin">
        <color rgb="FFF6B26B"/>
      </bottom>
    </border>
    <border>
      <left style="thin">
        <color rgb="FFF6B26B"/>
      </left>
      <top style="thick">
        <color rgb="FF000000"/>
      </top>
      <bottom style="thin">
        <color rgb="FFF6B26B"/>
      </bottom>
    </border>
    <border>
      <left style="thin">
        <color rgb="FFF6B26B"/>
      </left>
      <right style="thick">
        <color rgb="FF000000"/>
      </right>
      <top style="thick">
        <color rgb="FF000000"/>
      </top>
      <bottom style="thin">
        <color rgb="FFF6B26B"/>
      </bottom>
    </border>
    <border>
      <left style="thick">
        <color rgb="FF000000"/>
      </left>
      <bottom style="thin">
        <color rgb="FF45818E"/>
      </bottom>
    </border>
    <border>
      <bottom style="thin">
        <color rgb="FF45818E"/>
      </bottom>
    </border>
    <border>
      <left style="thin">
        <color rgb="FF45818E"/>
      </left>
      <right style="thin">
        <color rgb="FF45818E"/>
      </right>
      <top style="thin">
        <color rgb="FF45818E"/>
      </top>
      <bottom style="thin">
        <color rgb="FF45818E"/>
      </bottom>
    </border>
    <border>
      <left style="thick">
        <color rgb="FF000000"/>
      </left>
      <bottom style="thin">
        <color rgb="FF76A5AF"/>
      </bottom>
    </border>
    <border>
      <right style="thin">
        <color rgb="FF76A5AF"/>
      </right>
      <bottom style="thin">
        <color rgb="FF76A5AF"/>
      </bottom>
    </border>
    <border>
      <left style="thin">
        <color rgb="FF76A5AF"/>
      </left>
      <right style="thin">
        <color rgb="FF76A5AF"/>
      </right>
      <top style="thin">
        <color rgb="FF76A5AF"/>
      </top>
      <bottom style="thin">
        <color rgb="FF76A5AF"/>
      </bottom>
    </border>
    <border>
      <left style="thin">
        <color rgb="FF76A5AF"/>
      </left>
      <top style="thin">
        <color rgb="FF76A5AF"/>
      </top>
      <bottom style="thin">
        <color rgb="FF76A5AF"/>
      </bottom>
    </border>
    <border>
      <left style="thin">
        <color rgb="FF76A5AF"/>
      </left>
      <right style="thick">
        <color rgb="FF000000"/>
      </right>
      <top style="thin">
        <color rgb="FF76A5AF"/>
      </top>
      <bottom style="thin">
        <color rgb="FF76A5AF"/>
      </bottom>
    </border>
    <border>
      <left style="thick">
        <color rgb="FF000000"/>
      </left>
      <bottom style="thin">
        <color rgb="FFF6B26B"/>
      </bottom>
    </border>
    <border>
      <right style="thin">
        <color rgb="FFF6B26B"/>
      </right>
      <bottom style="thin">
        <color rgb="FFF6B26B"/>
      </bottom>
    </border>
    <border>
      <left style="thin">
        <color rgb="FFF6B26B"/>
      </left>
      <right style="thin">
        <color rgb="FFF6B26B"/>
      </right>
      <top style="thin">
        <color rgb="FFF6B26B"/>
      </top>
      <bottom style="thin">
        <color rgb="FFF6B26B"/>
      </bottom>
    </border>
    <border>
      <left style="thin">
        <color rgb="FFF6B26B"/>
      </left>
      <top style="thin">
        <color rgb="FFF6B26B"/>
      </top>
      <bottom style="thin">
        <color rgb="FFF6B26B"/>
      </bottom>
    </border>
    <border>
      <left style="thin">
        <color rgb="FFF6B26B"/>
      </left>
      <right style="thick">
        <color rgb="FF000000"/>
      </right>
      <top style="thin">
        <color rgb="FFF6B26B"/>
      </top>
      <bottom style="thin">
        <color rgb="FFF6B26B"/>
      </bottom>
    </border>
    <border>
      <left style="thin">
        <color rgb="FF000000"/>
      </left>
      <right style="thin">
        <color rgb="FFC9DAF8"/>
      </right>
      <top style="thin">
        <color rgb="FFC9DAF8"/>
      </top>
      <bottom style="thin">
        <color rgb="FF000000"/>
      </bottom>
    </border>
    <border>
      <left style="thin">
        <color rgb="FF45818E"/>
      </left>
      <right style="thick">
        <color rgb="FF000000"/>
      </right>
      <top style="thin">
        <color rgb="FF45818E"/>
      </top>
      <bottom style="thin">
        <color rgb="FF45818E"/>
      </bottom>
    </border>
    <border>
      <left style="thin">
        <color rgb="FF000000"/>
      </left>
      <right style="thin">
        <color rgb="FFD9EAD3"/>
      </right>
      <top style="thin">
        <color rgb="FF000000"/>
      </top>
      <bottom style="thin">
        <color rgb="FFD9EAD3"/>
      </bottom>
    </border>
    <border>
      <left style="thin">
        <color rgb="FF000000"/>
      </left>
      <right style="thin">
        <color rgb="FFD9EAD3"/>
      </right>
      <top style="thin">
        <color rgb="FFD9EAD3"/>
      </top>
      <bottom style="thin">
        <color rgb="FFD9EAD3"/>
      </bottom>
    </border>
    <border>
      <left style="thin">
        <color rgb="FF45818E"/>
      </left>
      <right style="thin">
        <color rgb="FF45818E"/>
      </right>
      <top style="thin">
        <color rgb="FF45818E"/>
      </top>
    </border>
    <border>
      <left style="thin">
        <color rgb="FF45818E"/>
      </left>
      <right style="thick">
        <color rgb="FF000000"/>
      </right>
      <top style="thin">
        <color rgb="FF45818E"/>
      </top>
    </border>
    <border>
      <right style="thin">
        <color rgb="FF76A5AF"/>
      </right>
    </border>
    <border>
      <left style="thin">
        <color rgb="FF76A5AF"/>
      </left>
      <right style="thin">
        <color rgb="FF76A5AF"/>
      </right>
      <top style="thin">
        <color rgb="FF76A5AF"/>
      </top>
    </border>
    <border>
      <left style="thin">
        <color rgb="FF76A5AF"/>
      </left>
      <top style="thin">
        <color rgb="FF76A5AF"/>
      </top>
    </border>
    <border>
      <left style="thin">
        <color rgb="FF76A5AF"/>
      </left>
      <right style="thick">
        <color rgb="FF000000"/>
      </right>
      <top style="thin">
        <color rgb="FF76A5AF"/>
      </top>
    </border>
    <border>
      <right style="thin">
        <color rgb="FFF6B26B"/>
      </right>
    </border>
    <border>
      <left style="thin">
        <color rgb="FFF6B26B"/>
      </left>
      <right style="thin">
        <color rgb="FFF6B26B"/>
      </right>
      <top style="thin">
        <color rgb="FFF6B26B"/>
      </top>
    </border>
    <border>
      <left style="thin">
        <color rgb="FFF6B26B"/>
      </left>
      <top style="thin">
        <color rgb="FFF6B26B"/>
      </top>
    </border>
    <border>
      <left style="thin">
        <color rgb="FFF6B26B"/>
      </left>
      <right style="thick">
        <color rgb="FF000000"/>
      </right>
      <top style="thin">
        <color rgb="FFF6B26B"/>
      </top>
    </border>
    <border>
      <left style="thin">
        <color rgb="FF000000"/>
      </left>
      <right style="thin">
        <color rgb="FFD9EAD3"/>
      </right>
      <top style="thin">
        <color rgb="FFD9EAD3"/>
      </top>
      <bottom style="thin">
        <color rgb="FF000000"/>
      </bottom>
    </border>
    <border>
      <right style="thick">
        <color rgb="FFFFFFFF"/>
      </right>
      <bottom style="thick">
        <color rgb="FFFFFFFF"/>
      </bottom>
    </border>
    <border>
      <right style="thick">
        <color rgb="FF434343"/>
      </right>
      <bottom style="thick">
        <color rgb="FF434343"/>
      </bottom>
    </border>
    <border>
      <bottom style="thick">
        <color rgb="FF434343"/>
      </bottom>
    </border>
    <border>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000000"/>
      </left>
      <top style="thin">
        <color rgb="FF000000"/>
      </top>
      <bottom style="thin">
        <color rgb="FF45818E"/>
      </bottom>
    </border>
    <border>
      <top style="thin">
        <color rgb="FF000000"/>
      </top>
      <bottom style="thin">
        <color rgb="FF45818E"/>
      </bottom>
    </border>
    <border>
      <left style="thin">
        <color rgb="FF45818E"/>
      </left>
      <right style="thick">
        <color rgb="FF000000"/>
      </right>
      <top style="thin">
        <color rgb="FF000000"/>
      </top>
      <bottom style="thin">
        <color rgb="FF45818E"/>
      </bottom>
    </border>
    <border>
      <left style="thick">
        <color rgb="FF000000"/>
      </left>
      <top style="thick">
        <color rgb="FF000000"/>
      </top>
      <bottom style="thin">
        <color rgb="FFEA9999"/>
      </bottom>
    </border>
    <border>
      <right style="thin">
        <color rgb="FFEA9999"/>
      </right>
      <top style="thick">
        <color rgb="FF000000"/>
      </top>
      <bottom style="thin">
        <color rgb="FFEA9999"/>
      </bottom>
    </border>
    <border>
      <left style="thin">
        <color rgb="FFEA9999"/>
      </left>
      <right style="thin">
        <color rgb="FFEA9999"/>
      </right>
      <top style="thin">
        <color rgb="FFEA9999"/>
      </top>
      <bottom style="thin">
        <color rgb="FFEA9999"/>
      </bottom>
    </border>
    <border>
      <left style="thin">
        <color rgb="FFEA9999"/>
      </left>
      <right style="thick">
        <color rgb="FF000000"/>
      </right>
      <top style="thick">
        <color rgb="FF000000"/>
      </top>
      <bottom style="thin">
        <color rgb="FFEA9999"/>
      </bottom>
    </border>
    <border>
      <left style="thick">
        <color rgb="FF000000"/>
      </left>
      <top style="thick">
        <color rgb="FF000000"/>
      </top>
      <bottom style="thin">
        <color rgb="FFDD7E6B"/>
      </bottom>
    </border>
    <border>
      <right style="thin">
        <color rgb="FFCC4125"/>
      </right>
      <top style="thick">
        <color rgb="FF000000"/>
      </top>
      <bottom style="thin">
        <color rgb="FFDD7E6B"/>
      </bottom>
    </border>
    <border>
      <left style="thin">
        <color rgb="FFCC4125"/>
      </left>
      <right style="thin">
        <color rgb="FFCC4125"/>
      </right>
      <top style="thin">
        <color rgb="FFDD7E6B"/>
      </top>
      <bottom style="thin">
        <color rgb="FFDD7E6B"/>
      </bottom>
    </border>
    <border>
      <left style="thin">
        <color rgb="FFCC4125"/>
      </left>
      <top style="thick">
        <color rgb="FF000000"/>
      </top>
      <bottom style="thin">
        <color rgb="FFDD7E6B"/>
      </bottom>
    </border>
    <border>
      <left style="thin">
        <color rgb="FFCC4125"/>
      </left>
      <right style="thick">
        <color rgb="FF000000"/>
      </right>
      <top style="thick">
        <color rgb="FF000000"/>
      </top>
      <bottom style="thin">
        <color rgb="FFDD7E6B"/>
      </bottom>
    </border>
    <border>
      <left style="thick">
        <color rgb="FF000000"/>
      </left>
      <top style="thin">
        <color rgb="FFF6B26B"/>
      </top>
    </border>
    <border>
      <top style="thin">
        <color rgb="FFF6B26B"/>
      </top>
    </border>
    <border>
      <left style="thick">
        <color rgb="FF000000"/>
      </left>
      <bottom style="thin">
        <color rgb="FFEA9999"/>
      </bottom>
    </border>
    <border>
      <right style="thin">
        <color rgb="FFEA9999"/>
      </right>
      <bottom style="thin">
        <color rgb="FFEA9999"/>
      </bottom>
    </border>
    <border>
      <left style="thin">
        <color rgb="FFEA9999"/>
      </left>
      <top style="thin">
        <color rgb="FFEA9999"/>
      </top>
      <bottom style="thin">
        <color rgb="FFEA9999"/>
      </bottom>
    </border>
    <border>
      <left style="thin">
        <color rgb="FFEA9999"/>
      </left>
      <right style="thick">
        <color rgb="FF000000"/>
      </right>
      <top style="thin">
        <color rgb="FFEA9999"/>
      </top>
      <bottom style="thin">
        <color rgb="FFEA9999"/>
      </bottom>
    </border>
    <border>
      <left style="thick">
        <color rgb="FF000000"/>
      </left>
      <bottom style="thin">
        <color rgb="FFDD7E6B"/>
      </bottom>
    </border>
    <border>
      <right style="thin">
        <color rgb="FFCC4125"/>
      </right>
      <bottom style="thin">
        <color rgb="FFDD7E6B"/>
      </bottom>
    </border>
    <border>
      <left style="thin">
        <color rgb="FFCC4125"/>
      </left>
      <top style="thin">
        <color rgb="FFDD7E6B"/>
      </top>
      <bottom style="thin">
        <color rgb="FFDD7E6B"/>
      </bottom>
    </border>
    <border>
      <left style="thin">
        <color rgb="FFCC4125"/>
      </left>
      <right style="thick">
        <color rgb="FF000000"/>
      </right>
      <top style="thin">
        <color rgb="FFDD7E6B"/>
      </top>
      <bottom style="thin">
        <color rgb="FFDD7E6B"/>
      </bottom>
    </border>
    <border>
      <left style="thick">
        <color rgb="FF000000"/>
      </left>
      <top style="thin">
        <color rgb="FFEA9999"/>
      </top>
    </border>
    <border>
      <top style="thin">
        <color rgb="FFEA9999"/>
      </top>
    </border>
    <border>
      <left style="thin">
        <color rgb="FFEA9999"/>
      </left>
      <right style="thick">
        <color rgb="FF000000"/>
      </right>
      <top style="thin">
        <color rgb="FFEA9999"/>
      </top>
    </border>
    <border>
      <left style="thick">
        <color rgb="FF000000"/>
      </left>
      <top style="thin">
        <color rgb="FFDD7E6B"/>
      </top>
      <bottom style="thin">
        <color rgb="FF000000"/>
      </bottom>
    </border>
    <border>
      <top style="thin">
        <color rgb="FFDD7E6B"/>
      </top>
      <bottom style="thin">
        <color rgb="FF000000"/>
      </bottom>
    </border>
    <border>
      <left style="thin">
        <color rgb="FFCC4125"/>
      </left>
      <right style="thick">
        <color rgb="FF000000"/>
      </right>
      <top style="thin">
        <color rgb="FFDD7E6B"/>
      </top>
    </border>
    <border>
      <right style="thin">
        <color rgb="FF0B5394"/>
      </right>
      <top style="thick">
        <color rgb="FF000000"/>
      </top>
    </border>
    <border>
      <left style="thin">
        <color rgb="FF0B5394"/>
      </left>
      <right style="thick">
        <color rgb="FF000000"/>
      </right>
      <top style="thick">
        <color rgb="FF000000"/>
      </top>
    </border>
    <border>
      <left style="thick">
        <color rgb="FF000000"/>
      </left>
      <right style="thick">
        <color rgb="FF000000"/>
      </right>
      <bottom style="thick">
        <color rgb="FF000000"/>
      </bottom>
    </border>
    <border>
      <right style="thin">
        <color rgb="FF0B5394"/>
      </right>
      <bottom style="thick">
        <color rgb="FF000000"/>
      </bottom>
    </border>
    <border>
      <left style="thin">
        <color rgb="FF0B5394"/>
      </left>
      <right style="thick">
        <color rgb="FF000000"/>
      </right>
      <bottom style="thick">
        <color rgb="FF000000"/>
      </bottom>
    </border>
    <border>
      <right style="thick">
        <color rgb="FF434343"/>
      </right>
    </border>
    <border>
      <left style="thick">
        <color rgb="FF000000"/>
      </left>
      <top style="thick">
        <color rgb="FF000000"/>
      </top>
      <bottom style="medium">
        <color rgb="FF000000"/>
      </bottom>
    </border>
    <border>
      <right style="medium">
        <color rgb="FF000000"/>
      </right>
      <top style="thick">
        <color rgb="FF000000"/>
      </top>
      <bottom style="medium">
        <color rgb="FF000000"/>
      </bottom>
    </border>
    <border>
      <left style="medium">
        <color rgb="FF000000"/>
      </left>
      <right style="thick">
        <color rgb="FF000000"/>
      </right>
      <top style="thick">
        <color rgb="FF000000"/>
      </top>
      <bottom style="medium">
        <color rgb="FF000000"/>
      </bottom>
    </border>
    <border>
      <left style="thick">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ck">
        <color rgb="FF000000"/>
      </right>
      <top style="medium">
        <color rgb="FF000000"/>
      </top>
      <bottom style="medium">
        <color rgb="FF000000"/>
      </bottom>
    </border>
    <border>
      <left style="thick">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thick">
        <color rgb="FF000000"/>
      </right>
      <top style="medium">
        <color rgb="FF000000"/>
      </top>
      <bottom style="medium">
        <color rgb="FF000000"/>
      </bottom>
    </border>
    <border>
      <left style="thick">
        <color rgb="FF000000"/>
      </left>
      <right style="medium">
        <color rgb="FF000000"/>
      </right>
      <top style="medium">
        <color rgb="FF000000"/>
      </top>
      <bottom style="thick">
        <color rgb="FF000000"/>
      </bottom>
    </border>
    <border>
      <left style="medium">
        <color rgb="FF000000"/>
      </left>
      <top style="medium">
        <color rgb="FF000000"/>
      </top>
      <bottom style="thick">
        <color rgb="FF000000"/>
      </bottom>
    </border>
    <border>
      <right style="thick">
        <color rgb="FF000000"/>
      </right>
      <top style="medium">
        <color rgb="FF000000"/>
      </top>
      <bottom style="thick">
        <color rgb="FF000000"/>
      </bottom>
    </border>
    <border>
      <right style="thin">
        <color rgb="FFEA9999"/>
      </right>
    </border>
    <border>
      <left style="thin">
        <color rgb="FFEA9999"/>
      </left>
      <right style="thin">
        <color rgb="FFEA9999"/>
      </right>
      <top style="thin">
        <color rgb="FFEA9999"/>
      </top>
    </border>
    <border>
      <left style="thin">
        <color rgb="FFEA9999"/>
      </left>
      <top style="thin">
        <color rgb="FFEA9999"/>
      </top>
    </border>
    <border>
      <right style="thin">
        <color rgb="FFCC4125"/>
      </right>
    </border>
    <border>
      <left style="thin">
        <color rgb="FFCC4125"/>
      </left>
      <right style="thin">
        <color rgb="FFCC4125"/>
      </right>
      <top style="thin">
        <color rgb="FFDD7E6B"/>
      </top>
    </border>
    <border>
      <left style="thin">
        <color rgb="FFCC4125"/>
      </left>
      <top style="thin">
        <color rgb="FFDD7E6B"/>
      </top>
    </border>
    <border>
      <top style="thick">
        <color rgb="FF000000"/>
      </top>
      <bottom style="thick">
        <color rgb="FF000000"/>
      </bottom>
    </border>
    <border>
      <left style="thick">
        <color rgb="FF000000"/>
      </left>
      <right style="thick">
        <color rgb="FF000000"/>
      </right>
      <top style="thick">
        <color rgb="FF000000"/>
      </top>
      <bottom style="thin">
        <color rgb="FF45818E"/>
      </bottom>
    </border>
    <border>
      <left style="thick">
        <color rgb="FF000000"/>
      </left>
      <right style="thin">
        <color rgb="FF45818E"/>
      </right>
      <top style="thick">
        <color rgb="FF000000"/>
      </top>
      <bottom style="thin">
        <color rgb="FF45818E"/>
      </bottom>
    </border>
    <border>
      <left style="thin">
        <color rgb="FF45818E"/>
      </left>
      <right style="thick">
        <color rgb="FF000000"/>
      </right>
      <top style="thick">
        <color rgb="FF000000"/>
      </top>
      <bottom style="thin">
        <color rgb="FF45818E"/>
      </bottom>
    </border>
    <border>
      <left style="thick">
        <color rgb="FF000000"/>
      </left>
      <right style="thick">
        <color rgb="FF000000"/>
      </right>
      <top style="thick">
        <color rgb="FF000000"/>
      </top>
      <bottom style="thin">
        <color rgb="FF76A5AF"/>
      </bottom>
    </border>
    <border>
      <left style="thick">
        <color rgb="FF000000"/>
      </left>
      <right style="thin">
        <color rgb="FFD9EAD3"/>
      </right>
      <top style="thick">
        <color rgb="FF000000"/>
      </top>
      <bottom style="thin">
        <color rgb="FF76A5AF"/>
      </bottom>
    </border>
    <border>
      <left style="thick">
        <color rgb="FF000000"/>
      </left>
      <right style="thick">
        <color rgb="FF000000"/>
      </right>
      <top style="thick">
        <color rgb="FF000000"/>
      </top>
      <bottom style="thin">
        <color rgb="FFF6B26B"/>
      </bottom>
    </border>
    <border>
      <left style="thick">
        <color rgb="FF000000"/>
      </left>
      <right style="thin">
        <color rgb="FFFFF2CC"/>
      </right>
      <top style="thick">
        <color rgb="FF000000"/>
      </top>
      <bottom style="thin">
        <color rgb="FFF6B26B"/>
      </bottom>
    </border>
    <border>
      <left style="thick">
        <color rgb="FF000000"/>
      </left>
      <right style="thick">
        <color rgb="FF000000"/>
      </right>
      <top style="thin">
        <color rgb="FF45818E"/>
      </top>
      <bottom style="thin">
        <color rgb="FF45818E"/>
      </bottom>
    </border>
    <border>
      <left style="thick">
        <color rgb="FF000000"/>
      </left>
      <right style="thin">
        <color rgb="FF45818E"/>
      </right>
      <top style="thin">
        <color rgb="FF45818E"/>
      </top>
      <bottom style="thin">
        <color rgb="FF45818E"/>
      </bottom>
    </border>
    <border>
      <left style="thick">
        <color rgb="FF000000"/>
      </left>
      <right style="thick">
        <color rgb="FF000000"/>
      </right>
      <top style="thin">
        <color rgb="FF76A5AF"/>
      </top>
      <bottom style="thin">
        <color rgb="FF76A5AF"/>
      </bottom>
    </border>
    <border>
      <left style="thick">
        <color rgb="FF000000"/>
      </left>
      <right style="thin">
        <color rgb="FFD9EAD3"/>
      </right>
      <top style="thin">
        <color rgb="FF76A5AF"/>
      </top>
      <bottom style="thin">
        <color rgb="FF76A5AF"/>
      </bottom>
    </border>
    <border>
      <left style="thick">
        <color rgb="FF000000"/>
      </left>
      <right style="thick">
        <color rgb="FF000000"/>
      </right>
      <top style="thin">
        <color rgb="FFF6B26B"/>
      </top>
      <bottom style="thin">
        <color rgb="FFF6B26B"/>
      </bottom>
    </border>
    <border>
      <left style="thick">
        <color rgb="FF000000"/>
      </left>
      <right style="thin">
        <color rgb="FFFFF2CC"/>
      </right>
      <top style="thin">
        <color rgb="FFF6B26B"/>
      </top>
      <bottom style="thin">
        <color rgb="FFF6B26B"/>
      </bottom>
    </border>
    <border>
      <left style="thick">
        <color rgb="FF000000"/>
      </left>
      <right style="thick">
        <color rgb="FF000000"/>
      </right>
      <top style="thin">
        <color rgb="FF45818E"/>
      </top>
      <bottom style="thick">
        <color rgb="FF000000"/>
      </bottom>
    </border>
    <border>
      <left style="thick">
        <color rgb="FF000000"/>
      </left>
      <right style="thin">
        <color rgb="FF45818E"/>
      </right>
      <top style="thin">
        <color rgb="FF45818E"/>
      </top>
      <bottom style="thick">
        <color rgb="FF000000"/>
      </bottom>
    </border>
    <border>
      <left style="thin">
        <color rgb="FF45818E"/>
      </left>
      <right style="thick">
        <color rgb="FF000000"/>
      </right>
      <top style="thin">
        <color rgb="FF45818E"/>
      </top>
      <bottom style="thick">
        <color rgb="FF000000"/>
      </bottom>
    </border>
    <border>
      <left style="thick">
        <color rgb="FF000000"/>
      </left>
      <right style="thick">
        <color rgb="FF000000"/>
      </right>
      <top style="thin">
        <color rgb="FF76A5AF"/>
      </top>
      <bottom style="thick">
        <color rgb="FF000000"/>
      </bottom>
    </border>
    <border>
      <left style="thick">
        <color rgb="FF000000"/>
      </left>
      <right style="thin">
        <color rgb="FFD9EAD3"/>
      </right>
      <top style="thin">
        <color rgb="FF76A5AF"/>
      </top>
      <bottom style="thick">
        <color rgb="FF000000"/>
      </bottom>
    </border>
    <border>
      <left style="thin">
        <color rgb="FF76A5AF"/>
      </left>
      <right style="thick">
        <color rgb="FF000000"/>
      </right>
      <top style="thin">
        <color rgb="FF76A5AF"/>
      </top>
      <bottom style="thick">
        <color rgb="FF000000"/>
      </bottom>
    </border>
    <border>
      <left style="thick">
        <color rgb="FF000000"/>
      </left>
      <right style="thick">
        <color rgb="FF000000"/>
      </right>
      <top style="thin">
        <color rgb="FFF6B26B"/>
      </top>
      <bottom style="thick">
        <color rgb="FF000000"/>
      </bottom>
    </border>
    <border>
      <left style="thick">
        <color rgb="FF000000"/>
      </left>
      <right style="thin">
        <color rgb="FFFFF2CC"/>
      </right>
      <top style="thin">
        <color rgb="FFF6B26B"/>
      </top>
      <bottom style="thick">
        <color rgb="FF000000"/>
      </bottom>
    </border>
    <border>
      <left style="thin">
        <color rgb="FFF6B26B"/>
      </left>
      <right style="thick">
        <color rgb="FF000000"/>
      </right>
      <top style="thin">
        <color rgb="FFF6B26B"/>
      </top>
      <bottom style="thick">
        <color rgb="FF000000"/>
      </bottom>
    </border>
    <border>
      <left style="thick">
        <color rgb="FF000000"/>
      </left>
      <right style="thick">
        <color rgb="FF000000"/>
      </right>
      <top style="thick">
        <color rgb="FF000000"/>
      </top>
      <bottom style="thin">
        <color rgb="FFEA9999"/>
      </bottom>
    </border>
    <border>
      <left style="thick">
        <color rgb="FF000000"/>
      </left>
      <right style="thin">
        <color rgb="FFFCE5CD"/>
      </right>
      <top style="thick">
        <color rgb="FF000000"/>
      </top>
      <bottom style="thin">
        <color rgb="FFEA9999"/>
      </bottom>
    </border>
    <border>
      <left style="thick">
        <color rgb="FF000000"/>
      </left>
      <right style="thick">
        <color rgb="FF000000"/>
      </right>
      <top style="thick">
        <color rgb="FF000000"/>
      </top>
      <bottom style="thin">
        <color rgb="FFDD7E6B"/>
      </bottom>
    </border>
    <border>
      <left style="thick">
        <color rgb="FF000000"/>
      </left>
      <right style="thin">
        <color rgb="FFF4CCCC"/>
      </right>
      <top style="thick">
        <color rgb="FF000000"/>
      </top>
      <bottom style="thin">
        <color rgb="FFDD7E6B"/>
      </bottom>
    </border>
    <border>
      <left style="thick">
        <color rgb="FF000000"/>
      </left>
      <right style="thick">
        <color rgb="FF000000"/>
      </right>
      <top style="thin">
        <color rgb="FFEA9999"/>
      </top>
      <bottom style="thin">
        <color rgb="FFEA9999"/>
      </bottom>
    </border>
    <border>
      <left style="thick">
        <color rgb="FF000000"/>
      </left>
      <right style="thin">
        <color rgb="FFFCE5CD"/>
      </right>
      <top style="thin">
        <color rgb="FFEA9999"/>
      </top>
      <bottom style="thin">
        <color rgb="FFEA9999"/>
      </bottom>
    </border>
    <border>
      <left style="thick">
        <color rgb="FF000000"/>
      </left>
      <right style="thick">
        <color rgb="FF000000"/>
      </right>
      <top style="thin">
        <color rgb="FFDD7E6B"/>
      </top>
      <bottom style="thin">
        <color rgb="FFDD7E6B"/>
      </bottom>
    </border>
    <border>
      <left style="thick">
        <color rgb="FF000000"/>
      </left>
      <right style="thin">
        <color rgb="FFF4CCCC"/>
      </right>
      <top style="thin">
        <color rgb="FFDD7E6B"/>
      </top>
      <bottom style="thin">
        <color rgb="FFDD7E6B"/>
      </bottom>
    </border>
    <border>
      <left style="thick">
        <color rgb="FF000000"/>
      </left>
      <right style="thick">
        <color rgb="FF000000"/>
      </right>
      <top style="thin">
        <color rgb="FFEA9999"/>
      </top>
      <bottom style="thick">
        <color rgb="FF000000"/>
      </bottom>
    </border>
    <border>
      <left style="thick">
        <color rgb="FF000000"/>
      </left>
      <right style="thin">
        <color rgb="FFFCE5CD"/>
      </right>
      <top style="thin">
        <color rgb="FFEA9999"/>
      </top>
      <bottom style="thick">
        <color rgb="FF000000"/>
      </bottom>
    </border>
    <border>
      <left style="thin">
        <color rgb="FFEA9999"/>
      </left>
      <right style="thick">
        <color rgb="FF000000"/>
      </right>
      <top style="thin">
        <color rgb="FFEA9999"/>
      </top>
      <bottom style="thick">
        <color rgb="FF000000"/>
      </bottom>
    </border>
    <border>
      <left style="thick">
        <color rgb="FF000000"/>
      </left>
      <right style="thick">
        <color rgb="FF000000"/>
      </right>
      <top style="thin">
        <color rgb="FFDD7E6B"/>
      </top>
      <bottom style="thick">
        <color rgb="FF000000"/>
      </bottom>
    </border>
    <border>
      <left style="thick">
        <color rgb="FF000000"/>
      </left>
      <right style="thin">
        <color rgb="FFF4CCCC"/>
      </right>
      <top style="thin">
        <color rgb="FFDD7E6B"/>
      </top>
      <bottom style="thick">
        <color rgb="FF000000"/>
      </bottom>
    </border>
    <border>
      <left style="thin">
        <color rgb="FFCC4125"/>
      </left>
      <right style="thick">
        <color rgb="FF000000"/>
      </right>
      <top style="thin">
        <color rgb="FFDD7E6B"/>
      </top>
      <bottom style="thick">
        <color rgb="FF000000"/>
      </bottom>
    </border>
    <border>
      <right style="thin">
        <color rgb="FFFFFFFF"/>
      </right>
    </border>
    <border>
      <top style="thin">
        <color rgb="FFFFFFFF"/>
      </top>
    </border>
    <border>
      <right style="thin">
        <color rgb="FFFFFFFF"/>
      </right>
      <top style="thin">
        <color rgb="FFFFFFFF"/>
      </top>
    </border>
    <border>
      <left style="thin">
        <color rgb="FFFFFFFF"/>
      </left>
      <top style="thin">
        <color rgb="FFFFFFFF"/>
      </top>
    </border>
    <border>
      <right style="thin">
        <color rgb="FFFFFFFF"/>
      </right>
      <bottom style="thin">
        <color rgb="FFFFFFFF"/>
      </bottom>
    </border>
    <border>
      <left style="thin">
        <color rgb="FFFFFFFF"/>
      </left>
      <bottom style="thin">
        <color rgb="FFFFFFFF"/>
      </bottom>
    </border>
    <border>
      <top style="medium">
        <color rgb="FF000000"/>
      </top>
      <bottom style="medium">
        <color rgb="FF000000"/>
      </bottom>
    </border>
    <border>
      <left style="thick">
        <color rgb="FF000000"/>
      </left>
      <right style="thick">
        <color rgb="FF000000"/>
      </right>
      <top style="medium">
        <color rgb="FF000000"/>
      </top>
      <bottom style="medium">
        <color rgb="FF000000"/>
      </bottom>
    </border>
    <border>
      <left style="thick">
        <color rgb="FF000000"/>
      </left>
      <right style="thin">
        <color rgb="FF000000"/>
      </right>
      <top style="medium">
        <color rgb="FF000000"/>
      </top>
      <bottom style="thick">
        <color rgb="FF000000"/>
      </bottom>
    </border>
    <border>
      <top style="medium">
        <color rgb="FF000000"/>
      </top>
      <bottom style="thick">
        <color rgb="FF000000"/>
      </bottom>
    </border>
    <border>
      <left style="thick">
        <color rgb="FF000000"/>
      </left>
      <top style="medium">
        <color rgb="FF000000"/>
      </top>
      <bottom style="thick">
        <color rgb="FF000000"/>
      </bottom>
    </border>
    <border>
      <top style="medium">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thick">
        <color rgb="FF000000"/>
      </bottom>
    </border>
    <border>
      <left style="thick">
        <color rgb="FF000000"/>
      </left>
      <right style="thick">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top style="medium">
        <color rgb="FF000000"/>
      </top>
    </border>
    <border>
      <right style="medium">
        <color rgb="FF000000"/>
      </right>
      <top style="medium">
        <color rgb="FF000000"/>
      </top>
    </border>
    <border>
      <left style="thin">
        <color rgb="FF23272A"/>
      </left>
      <right style="thin">
        <color rgb="FF23272A"/>
      </right>
      <top style="thin">
        <color rgb="FF23272A"/>
      </top>
      <bottom style="thin">
        <color rgb="FF23272A"/>
      </bottom>
    </border>
    <border>
      <right style="thin">
        <color rgb="FF23272A"/>
      </right>
    </border>
    <border>
      <bottom style="thin">
        <color rgb="FF23272A"/>
      </bottom>
    </border>
    <border>
      <left style="thin">
        <color rgb="FFFFFFFF"/>
      </left>
      <right style="thin">
        <color rgb="FFFFFFFF"/>
      </right>
      <top style="thin">
        <color rgb="FFFFFFFF"/>
      </top>
      <bottom style="thin">
        <color rgb="FFFFFFFF"/>
      </bottom>
    </border>
    <border>
      <left style="thin">
        <color rgb="FF23272A"/>
      </left>
      <right style="thin">
        <color rgb="FF23272A"/>
      </right>
      <top style="thin">
        <color rgb="FF23272A"/>
      </top>
    </border>
    <border>
      <right style="thin">
        <color rgb="FF23272A"/>
      </right>
      <top style="thin">
        <color rgb="FF23272A"/>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23272A"/>
      </left>
      <top style="thin">
        <color rgb="FF23272A"/>
      </top>
    </border>
    <border>
      <left style="thin">
        <color rgb="FFFFFFFF"/>
      </left>
      <right style="thin">
        <color rgb="FFFFFFFF"/>
      </right>
      <top style="thin">
        <color rgb="FFFFFFFF"/>
      </top>
    </border>
    <border>
      <left style="thin">
        <color rgb="FFFFFFFF"/>
      </left>
      <right style="thin">
        <color rgb="FFFFFFFF"/>
      </right>
    </border>
    <border>
      <top style="thin">
        <color rgb="FF23272A"/>
      </top>
    </border>
    <border>
      <left style="thin">
        <color rgb="FF000000"/>
      </left>
      <top style="thin">
        <color rgb="FF000000"/>
      </top>
    </border>
    <border>
      <top style="thin">
        <color rgb="FF000000"/>
      </top>
    </border>
    <border>
      <left style="medium">
        <color rgb="FF000000"/>
      </left>
      <right style="thin">
        <color rgb="FF23272A"/>
      </right>
    </border>
    <border>
      <right style="thin">
        <color rgb="FF23272A"/>
      </right>
      <top style="medium">
        <color rgb="FF000000"/>
      </top>
      <bottom style="thin">
        <color rgb="FF23272A"/>
      </bottom>
    </border>
    <border>
      <left style="thin">
        <color rgb="FF23272A"/>
      </left>
      <right style="thin">
        <color rgb="FF23272A"/>
      </right>
    </border>
    <border>
      <left style="thin">
        <color rgb="FF23272A"/>
      </left>
      <right style="thin">
        <color rgb="FF23272A"/>
      </right>
      <bottom style="thin">
        <color rgb="FF23272A"/>
      </bottom>
    </border>
    <border>
      <top style="thin">
        <color rgb="FF783F04"/>
      </top>
      <bottom style="thin">
        <color rgb="FF783F04"/>
      </bottom>
    </border>
    <border>
      <right style="thin">
        <color rgb="FF783F04"/>
      </right>
      <top style="thin">
        <color rgb="FF783F04"/>
      </top>
      <bottom style="thin">
        <color rgb="FF783F04"/>
      </bottom>
    </border>
    <border>
      <left style="thin">
        <color rgb="FF23272A"/>
      </left>
      <top style="thin">
        <color rgb="FF23272A"/>
      </top>
      <bottom style="dotted">
        <color rgb="FFFFFFFF"/>
      </bottom>
    </border>
    <border>
      <top style="thin">
        <color rgb="FF23272A"/>
      </top>
      <bottom style="dotted">
        <color rgb="FFFFFFFF"/>
      </bottom>
    </border>
    <border>
      <right style="thin">
        <color rgb="FF23272A"/>
      </right>
      <top style="thin">
        <color rgb="FF23272A"/>
      </top>
      <bottom style="dotted">
        <color rgb="FFFFFFFF"/>
      </bottom>
    </border>
  </borders>
  <cellStyleXfs count="1">
    <xf borderId="0" fillId="0" fontId="0" numFmtId="0" applyAlignment="1" applyFont="1"/>
  </cellStyleXfs>
  <cellXfs count="1729">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horizontal="center" readingOrder="0" vertical="center"/>
    </xf>
    <xf borderId="0" fillId="4" fontId="3" numFmtId="0" xfId="0" applyAlignment="1" applyFill="1" applyFont="1">
      <alignment horizontal="center" vertical="center"/>
    </xf>
    <xf borderId="0" fillId="5" fontId="4" numFmtId="0" xfId="0" applyAlignment="1" applyFill="1" applyFont="1">
      <alignment horizontal="center"/>
    </xf>
    <xf borderId="0" fillId="5" fontId="4" numFmtId="0" xfId="0" applyAlignment="1" applyFont="1">
      <alignment horizontal="center" readingOrder="0"/>
    </xf>
    <xf borderId="1" fillId="5" fontId="5" numFmtId="0" xfId="0" applyAlignment="1" applyBorder="1" applyFont="1">
      <alignment horizontal="center"/>
    </xf>
    <xf borderId="2" fillId="2" fontId="1" numFmtId="0" xfId="0" applyAlignment="1" applyBorder="1" applyFont="1">
      <alignment readingOrder="0"/>
    </xf>
    <xf borderId="3" fillId="2" fontId="1" numFmtId="0" xfId="0" applyAlignment="1" applyBorder="1" applyFont="1">
      <alignment readingOrder="0"/>
    </xf>
    <xf borderId="4" fillId="0" fontId="6" numFmtId="0" xfId="0" applyBorder="1" applyFont="1"/>
    <xf borderId="5" fillId="2" fontId="7" numFmtId="0" xfId="0" applyAlignment="1" applyBorder="1" applyFont="1">
      <alignment readingOrder="0" vertical="bottom"/>
    </xf>
    <xf borderId="5" fillId="0" fontId="6" numFmtId="0" xfId="0" applyBorder="1" applyFont="1"/>
    <xf borderId="2" fillId="2" fontId="1" numFmtId="0" xfId="0" applyBorder="1" applyFont="1"/>
    <xf borderId="3" fillId="2" fontId="1" numFmtId="0" xfId="0" applyBorder="1" applyFont="1"/>
    <xf borderId="6" fillId="5" fontId="8" numFmtId="0" xfId="0" applyAlignment="1" applyBorder="1" applyFont="1">
      <alignment horizontal="center"/>
    </xf>
    <xf borderId="6" fillId="5" fontId="9" numFmtId="0" xfId="0" applyAlignment="1" applyBorder="1" applyFont="1">
      <alignment horizontal="center" readingOrder="0"/>
    </xf>
    <xf borderId="0" fillId="2" fontId="1" numFmtId="0" xfId="0" applyAlignment="1" applyFont="1">
      <alignment readingOrder="0" vertical="top"/>
    </xf>
    <xf borderId="0" fillId="2" fontId="1" numFmtId="0" xfId="0" applyAlignment="1" applyFont="1">
      <alignment readingOrder="0" shrinkToFit="0" vertical="bottom" wrapText="0"/>
    </xf>
    <xf borderId="0" fillId="2" fontId="1" numFmtId="0" xfId="0" applyAlignment="1" applyFont="1">
      <alignment readingOrder="0" shrinkToFit="0" vertical="bottom" wrapText="1"/>
    </xf>
    <xf borderId="6" fillId="5" fontId="10" numFmtId="0" xfId="0" applyAlignment="1" applyBorder="1" applyFont="1">
      <alignment horizontal="center"/>
    </xf>
    <xf borderId="2" fillId="2" fontId="1" numFmtId="0" xfId="0" applyBorder="1" applyFont="1"/>
    <xf borderId="7" fillId="5" fontId="11" numFmtId="0" xfId="0" applyAlignment="1" applyBorder="1" applyFont="1">
      <alignment horizontal="center" readingOrder="0"/>
    </xf>
    <xf borderId="2" fillId="2" fontId="12" numFmtId="0" xfId="0" applyBorder="1" applyFont="1"/>
    <xf borderId="5" fillId="2" fontId="1" numFmtId="0" xfId="0" applyAlignment="1" applyBorder="1" applyFont="1">
      <alignment horizontal="center" vertical="bottom"/>
    </xf>
    <xf borderId="0" fillId="2" fontId="1" numFmtId="0" xfId="0" applyAlignment="1" applyFont="1">
      <alignment horizontal="center" vertical="bottom"/>
    </xf>
    <xf borderId="0" fillId="2" fontId="13" numFmtId="0" xfId="0" applyAlignment="1" applyFont="1">
      <alignment vertical="bottom"/>
    </xf>
    <xf borderId="8" fillId="2" fontId="1" numFmtId="0" xfId="0" applyAlignment="1" applyBorder="1" applyFont="1">
      <alignment horizontal="center" vertical="bottom"/>
    </xf>
    <xf borderId="9" fillId="2" fontId="1" numFmtId="0" xfId="0" applyAlignment="1" applyBorder="1" applyFont="1">
      <alignment horizontal="center" vertical="bottom"/>
    </xf>
    <xf borderId="10" fillId="2" fontId="1" numFmtId="0" xfId="0" applyAlignment="1" applyBorder="1" applyFont="1">
      <alignment horizontal="center" vertical="bottom"/>
    </xf>
    <xf borderId="11" fillId="2" fontId="1" numFmtId="0" xfId="0" applyAlignment="1" applyBorder="1" applyFont="1">
      <alignment horizontal="center" readingOrder="0" vertical="bottom"/>
    </xf>
    <xf borderId="0" fillId="2" fontId="1" numFmtId="0" xfId="0" applyAlignment="1" applyFont="1">
      <alignment horizontal="center" readingOrder="0" vertical="bottom"/>
    </xf>
    <xf borderId="12" fillId="2" fontId="1" numFmtId="0" xfId="0" applyAlignment="1" applyBorder="1" applyFont="1">
      <alignment horizontal="center" readingOrder="0" shrinkToFit="0" vertical="center" wrapText="1"/>
    </xf>
    <xf borderId="13" fillId="0" fontId="6" numFmtId="0" xfId="0" applyBorder="1" applyFont="1"/>
    <xf borderId="14" fillId="0" fontId="6" numFmtId="0" xfId="0" applyBorder="1" applyFont="1"/>
    <xf borderId="15" fillId="0" fontId="6" numFmtId="0" xfId="0" applyBorder="1" applyFont="1"/>
    <xf borderId="16" fillId="0" fontId="6" numFmtId="0" xfId="0" applyBorder="1" applyFont="1"/>
    <xf borderId="0" fillId="2" fontId="1" numFmtId="0" xfId="0" applyAlignment="1" applyFont="1">
      <alignment horizontal="center" readingOrder="0" shrinkToFit="0" vertical="center" wrapText="1"/>
    </xf>
    <xf borderId="17" fillId="0" fontId="6" numFmtId="0" xfId="0" applyBorder="1" applyFont="1"/>
    <xf borderId="18" fillId="0" fontId="6" numFmtId="0" xfId="0" applyBorder="1" applyFont="1"/>
    <xf borderId="19" fillId="0" fontId="6" numFmtId="0" xfId="0" applyBorder="1" applyFont="1"/>
    <xf borderId="0" fillId="2" fontId="14" numFmtId="0" xfId="0" applyAlignment="1" applyFont="1">
      <alignment horizontal="right" readingOrder="0" vertical="bottom"/>
    </xf>
    <xf borderId="0" fillId="2" fontId="15" numFmtId="0" xfId="0" applyAlignment="1" applyFont="1">
      <alignment horizontal="right" readingOrder="0" vertical="bottom"/>
    </xf>
    <xf borderId="5" fillId="2" fontId="16" numFmtId="0" xfId="0" applyAlignment="1" applyBorder="1" applyFont="1">
      <alignment horizontal="center" vertical="bottom"/>
    </xf>
    <xf borderId="0" fillId="2" fontId="17" numFmtId="0" xfId="0" applyAlignment="1" applyFont="1">
      <alignment horizontal="center" vertical="top"/>
    </xf>
    <xf borderId="0" fillId="2" fontId="16" numFmtId="0" xfId="0" applyAlignment="1" applyFont="1">
      <alignment horizontal="center" vertical="bottom"/>
    </xf>
    <xf borderId="0" fillId="2" fontId="1" numFmtId="0" xfId="0" applyAlignment="1" applyFont="1">
      <alignment shrinkToFit="0" vertical="bottom" wrapText="1"/>
    </xf>
    <xf borderId="0" fillId="2" fontId="1" numFmtId="0" xfId="0" applyAlignment="1" applyFont="1">
      <alignment vertical="top"/>
    </xf>
    <xf borderId="0" fillId="2" fontId="18" numFmtId="0" xfId="0" applyAlignment="1" applyFont="1">
      <alignment vertical="bottom"/>
    </xf>
    <xf borderId="0" fillId="2" fontId="12" numFmtId="0" xfId="0" applyAlignment="1" applyFont="1">
      <alignment vertical="bottom"/>
    </xf>
    <xf borderId="0" fillId="6" fontId="19" numFmtId="0" xfId="0" applyAlignment="1" applyFill="1" applyFont="1">
      <alignment horizontal="center" readingOrder="0" vertical="center"/>
    </xf>
    <xf borderId="20" fillId="2" fontId="18" numFmtId="0" xfId="0" applyAlignment="1" applyBorder="1" applyFont="1">
      <alignment vertical="bottom"/>
    </xf>
    <xf borderId="0" fillId="2" fontId="20" numFmtId="0" xfId="0" applyAlignment="1" applyFont="1">
      <alignment readingOrder="0" shrinkToFit="0" vertical="bottom" wrapText="1"/>
    </xf>
    <xf borderId="0" fillId="2" fontId="1" numFmtId="0" xfId="0" applyAlignment="1" applyFont="1">
      <alignment horizontal="right" readingOrder="0" vertical="bottom"/>
    </xf>
    <xf borderId="21" fillId="7" fontId="21" numFmtId="0" xfId="0" applyAlignment="1" applyBorder="1" applyFill="1" applyFont="1">
      <alignment readingOrder="0" vertical="bottom"/>
    </xf>
    <xf borderId="22" fillId="7" fontId="21" numFmtId="0" xfId="0" applyAlignment="1" applyBorder="1" applyFont="1">
      <alignment vertical="bottom"/>
    </xf>
    <xf borderId="23" fillId="7" fontId="21" numFmtId="0" xfId="0" applyAlignment="1" applyBorder="1" applyFont="1">
      <alignment vertical="bottom"/>
    </xf>
    <xf borderId="0" fillId="2" fontId="13" numFmtId="0" xfId="0" applyAlignment="1" applyFont="1">
      <alignment readingOrder="0" vertical="bottom"/>
    </xf>
    <xf borderId="0" fillId="2" fontId="20" numFmtId="0" xfId="0" applyAlignment="1" applyFont="1">
      <alignment vertical="bottom"/>
    </xf>
    <xf borderId="24" fillId="2" fontId="18" numFmtId="0" xfId="0" applyAlignment="1" applyBorder="1" applyFont="1">
      <alignment vertical="bottom"/>
    </xf>
    <xf borderId="25" fillId="5" fontId="22" numFmtId="0" xfId="0" applyAlignment="1" applyBorder="1" applyFont="1">
      <alignment horizontal="center" readingOrder="0" vertical="bottom"/>
    </xf>
    <xf borderId="26" fillId="7" fontId="21" numFmtId="0" xfId="0" applyAlignment="1" applyBorder="1" applyFont="1">
      <alignment horizontal="center" readingOrder="0" vertical="bottom"/>
    </xf>
    <xf borderId="26" fillId="5" fontId="23" numFmtId="0" xfId="0" applyAlignment="1" applyBorder="1" applyFont="1">
      <alignment horizontal="right" vertical="bottom"/>
    </xf>
    <xf borderId="26" fillId="5" fontId="1" numFmtId="0" xfId="0" applyAlignment="1" applyBorder="1" applyFont="1">
      <alignment horizontal="right" vertical="bottom"/>
    </xf>
    <xf borderId="27" fillId="2" fontId="18" numFmtId="0" xfId="0" applyAlignment="1" applyBorder="1" applyFont="1">
      <alignment vertical="bottom"/>
    </xf>
    <xf borderId="28" fillId="5" fontId="24" numFmtId="0" xfId="0" applyAlignment="1" applyBorder="1" applyFont="1">
      <alignment horizontal="center" vertical="bottom"/>
    </xf>
    <xf borderId="29" fillId="5" fontId="25" numFmtId="0" xfId="0" applyAlignment="1" applyBorder="1" applyFont="1">
      <alignment horizontal="center" vertical="bottom"/>
    </xf>
    <xf borderId="29" fillId="5" fontId="13" numFmtId="0" xfId="0" applyAlignment="1" applyBorder="1" applyFont="1">
      <alignment readingOrder="0" vertical="bottom"/>
    </xf>
    <xf borderId="29" fillId="5" fontId="13" numFmtId="0" xfId="0" applyAlignment="1" applyBorder="1" applyFont="1">
      <alignment horizontal="right" readingOrder="0" vertical="bottom"/>
    </xf>
    <xf borderId="0" fillId="2" fontId="12" numFmtId="0" xfId="0" applyAlignment="1" applyFont="1">
      <alignment vertical="bottom"/>
    </xf>
    <xf borderId="0" fillId="2" fontId="1" numFmtId="0" xfId="0" applyAlignment="1" applyFont="1">
      <alignment readingOrder="0" vertical="bottom"/>
    </xf>
    <xf borderId="20" fillId="2" fontId="1" numFmtId="0" xfId="0" applyAlignment="1" applyBorder="1" applyFont="1">
      <alignment readingOrder="0" vertical="bottom"/>
    </xf>
    <xf borderId="30" fillId="2" fontId="26" numFmtId="0" xfId="0" applyAlignment="1" applyBorder="1" applyFont="1">
      <alignment horizontal="center" readingOrder="0" vertical="bottom"/>
    </xf>
    <xf borderId="31" fillId="2" fontId="18" numFmtId="0" xfId="0" applyAlignment="1" applyBorder="1" applyFont="1">
      <alignment vertical="bottom"/>
    </xf>
    <xf borderId="0" fillId="2" fontId="1" numFmtId="0" xfId="0" applyAlignment="1" applyFont="1">
      <alignment readingOrder="0" vertical="center"/>
    </xf>
    <xf borderId="20" fillId="2" fontId="1" numFmtId="0" xfId="0" applyAlignment="1" applyBorder="1" applyFont="1">
      <alignment readingOrder="0" vertical="center"/>
    </xf>
    <xf borderId="0" fillId="2" fontId="1" numFmtId="0" xfId="0" applyAlignment="1" applyFont="1">
      <alignment readingOrder="0" shrinkToFit="0" vertical="top" wrapText="1"/>
    </xf>
    <xf borderId="5" fillId="2" fontId="1" numFmtId="0" xfId="0" applyAlignment="1" applyBorder="1" applyFont="1">
      <alignment horizontal="center" readingOrder="0" vertical="bottom"/>
    </xf>
    <xf borderId="0" fillId="2" fontId="1" numFmtId="0" xfId="0" applyAlignment="1" applyFont="1">
      <alignment horizontal="center" shrinkToFit="0" vertical="center" wrapText="1"/>
    </xf>
    <xf borderId="0" fillId="2" fontId="18" numFmtId="0" xfId="0" applyAlignment="1" applyFont="1">
      <alignment horizontal="center" vertical="center"/>
    </xf>
    <xf borderId="0" fillId="2" fontId="27" numFmtId="0" xfId="0" applyAlignment="1" applyFont="1">
      <alignment readingOrder="0" shrinkToFit="0" vertical="top" wrapText="1"/>
    </xf>
    <xf borderId="5" fillId="2" fontId="28" numFmtId="0" xfId="0" applyAlignment="1" applyBorder="1" applyFont="1">
      <alignment horizontal="center" readingOrder="0" vertical="bottom"/>
    </xf>
    <xf borderId="0" fillId="2" fontId="28" numFmtId="0" xfId="0" applyAlignment="1" applyFont="1">
      <alignment readingOrder="0" shrinkToFit="0" vertical="top" wrapText="1"/>
    </xf>
    <xf borderId="32" fillId="2" fontId="13" numFmtId="0" xfId="0" applyAlignment="1" applyBorder="1" applyFont="1">
      <alignment vertical="bottom"/>
    </xf>
    <xf borderId="4" fillId="8" fontId="29" numFmtId="0" xfId="0" applyAlignment="1" applyBorder="1" applyFill="1" applyFont="1">
      <alignment horizontal="center" vertical="bottom"/>
    </xf>
    <xf borderId="29" fillId="8" fontId="29" numFmtId="0" xfId="0" applyAlignment="1" applyBorder="1" applyFont="1">
      <alignment horizontal="center" vertical="bottom"/>
    </xf>
    <xf borderId="33" fillId="2" fontId="13" numFmtId="0" xfId="0" applyAlignment="1" applyBorder="1" applyFont="1">
      <alignment vertical="bottom"/>
    </xf>
    <xf borderId="34" fillId="2" fontId="13" numFmtId="0" xfId="0" applyAlignment="1" applyBorder="1" applyFont="1">
      <alignment vertical="bottom"/>
    </xf>
    <xf borderId="4" fillId="8" fontId="29" numFmtId="0" xfId="0" applyAlignment="1" applyBorder="1" applyFont="1">
      <alignment horizontal="center" vertical="bottom"/>
    </xf>
    <xf borderId="35" fillId="8" fontId="29" numFmtId="0" xfId="0" applyAlignment="1" applyBorder="1" applyFont="1">
      <alignment horizontal="center" vertical="bottom"/>
    </xf>
    <xf borderId="36" fillId="2" fontId="30" numFmtId="0" xfId="0" applyAlignment="1" applyBorder="1" applyFont="1">
      <alignment horizontal="right" textRotation="90" vertical="center"/>
    </xf>
    <xf borderId="37" fillId="9" fontId="31" numFmtId="0" xfId="0" applyAlignment="1" applyBorder="1" applyFill="1" applyFont="1">
      <alignment vertical="bottom"/>
    </xf>
    <xf borderId="34" fillId="10" fontId="29" numFmtId="0" xfId="0" applyAlignment="1" applyBorder="1" applyFill="1" applyFont="1">
      <alignment horizontal="center" readingOrder="0" vertical="bottom"/>
    </xf>
    <xf borderId="34" fillId="9" fontId="31" numFmtId="0" xfId="0" applyAlignment="1" applyBorder="1" applyFont="1">
      <alignment horizontal="center" vertical="bottom"/>
    </xf>
    <xf borderId="37" fillId="11" fontId="31" numFmtId="0" xfId="0" applyAlignment="1" applyBorder="1" applyFill="1" applyFont="1">
      <alignment vertical="bottom"/>
    </xf>
    <xf borderId="34" fillId="12" fontId="29" numFmtId="0" xfId="0" applyAlignment="1" applyBorder="1" applyFill="1" applyFont="1">
      <alignment horizontal="center" readingOrder="0" vertical="bottom"/>
    </xf>
    <xf borderId="34" fillId="12" fontId="29" numFmtId="0" xfId="0" applyAlignment="1" applyBorder="1" applyFont="1">
      <alignment horizontal="center" vertical="bottom"/>
    </xf>
    <xf borderId="34" fillId="11" fontId="31" numFmtId="0" xfId="0" applyAlignment="1" applyBorder="1" applyFont="1">
      <alignment horizontal="center" vertical="bottom"/>
    </xf>
    <xf borderId="37" fillId="13" fontId="31" numFmtId="0" xfId="0" applyAlignment="1" applyBorder="1" applyFill="1" applyFont="1">
      <alignment vertical="bottom"/>
    </xf>
    <xf borderId="34" fillId="14" fontId="29" numFmtId="0" xfId="0" applyAlignment="1" applyBorder="1" applyFill="1" applyFont="1">
      <alignment horizontal="center" readingOrder="0" vertical="bottom"/>
    </xf>
    <xf borderId="34" fillId="14" fontId="29" numFmtId="0" xfId="0" applyAlignment="1" applyBorder="1" applyFont="1">
      <alignment horizontal="center" vertical="bottom"/>
    </xf>
    <xf borderId="34" fillId="13" fontId="31" numFmtId="0" xfId="0" applyAlignment="1" applyBorder="1" applyFont="1">
      <alignment horizontal="center" vertical="bottom"/>
    </xf>
    <xf borderId="37" fillId="15" fontId="31" numFmtId="0" xfId="0" applyAlignment="1" applyBorder="1" applyFill="1" applyFont="1">
      <alignment vertical="bottom"/>
    </xf>
    <xf borderId="34" fillId="8" fontId="29" numFmtId="0" xfId="0" applyAlignment="1" applyBorder="1" applyFont="1">
      <alignment horizontal="center" readingOrder="0" vertical="bottom"/>
    </xf>
    <xf borderId="34" fillId="8" fontId="29" numFmtId="0" xfId="0" applyAlignment="1" applyBorder="1" applyFont="1">
      <alignment horizontal="center" vertical="bottom"/>
    </xf>
    <xf borderId="34" fillId="15" fontId="31" numFmtId="0" xfId="0" applyAlignment="1" applyBorder="1" applyFont="1">
      <alignment horizontal="center" vertical="bottom"/>
    </xf>
    <xf borderId="37" fillId="16" fontId="31" numFmtId="0" xfId="0" applyAlignment="1" applyBorder="1" applyFill="1" applyFont="1">
      <alignment vertical="bottom"/>
    </xf>
    <xf borderId="34" fillId="17" fontId="29" numFmtId="0" xfId="0" applyAlignment="1" applyBorder="1" applyFill="1" applyFont="1">
      <alignment horizontal="center" readingOrder="0" vertical="bottom"/>
    </xf>
    <xf borderId="34" fillId="17" fontId="29" numFmtId="0" xfId="0" applyAlignment="1" applyBorder="1" applyFont="1">
      <alignment horizontal="center" vertical="bottom"/>
    </xf>
    <xf borderId="34" fillId="16" fontId="31" numFmtId="0" xfId="0" applyAlignment="1" applyBorder="1" applyFont="1">
      <alignment horizontal="center" vertical="bottom"/>
    </xf>
    <xf borderId="37" fillId="4" fontId="31" numFmtId="0" xfId="0" applyAlignment="1" applyBorder="1" applyFont="1">
      <alignment vertical="bottom"/>
    </xf>
    <xf borderId="34" fillId="18" fontId="29" numFmtId="0" xfId="0" applyAlignment="1" applyBorder="1" applyFill="1" applyFont="1">
      <alignment horizontal="center" readingOrder="0" vertical="bottom"/>
    </xf>
    <xf borderId="34" fillId="18" fontId="29" numFmtId="0" xfId="0" applyAlignment="1" applyBorder="1" applyFont="1">
      <alignment horizontal="center" vertical="bottom"/>
    </xf>
    <xf borderId="34" fillId="4" fontId="31" numFmtId="0" xfId="0" applyAlignment="1" applyBorder="1" applyFont="1">
      <alignment horizontal="center" vertical="bottom"/>
    </xf>
    <xf borderId="37" fillId="19" fontId="31" numFmtId="0" xfId="0" applyAlignment="1" applyBorder="1" applyFill="1" applyFont="1">
      <alignment vertical="bottom"/>
    </xf>
    <xf borderId="34" fillId="20" fontId="29" numFmtId="0" xfId="0" applyAlignment="1" applyBorder="1" applyFill="1" applyFont="1">
      <alignment horizontal="center" readingOrder="0" vertical="bottom"/>
    </xf>
    <xf borderId="34" fillId="20" fontId="29" numFmtId="0" xfId="0" applyAlignment="1" applyBorder="1" applyFont="1">
      <alignment horizontal="center" vertical="bottom"/>
    </xf>
    <xf borderId="34" fillId="19" fontId="31" numFmtId="0" xfId="0" applyAlignment="1" applyBorder="1" applyFont="1">
      <alignment horizontal="center" vertical="bottom"/>
    </xf>
    <xf borderId="37" fillId="21" fontId="31" numFmtId="0" xfId="0" applyAlignment="1" applyBorder="1" applyFill="1" applyFont="1">
      <alignment vertical="bottom"/>
    </xf>
    <xf borderId="34" fillId="22" fontId="29" numFmtId="0" xfId="0" applyAlignment="1" applyBorder="1" applyFill="1" applyFont="1">
      <alignment horizontal="center" readingOrder="0" vertical="bottom"/>
    </xf>
    <xf borderId="34" fillId="22" fontId="29" numFmtId="0" xfId="0" applyAlignment="1" applyBorder="1" applyFont="1">
      <alignment horizontal="center" vertical="bottom"/>
    </xf>
    <xf borderId="34" fillId="21" fontId="31" numFmtId="0" xfId="0" applyAlignment="1" applyBorder="1" applyFont="1">
      <alignment horizontal="center" vertical="bottom"/>
    </xf>
    <xf borderId="37" fillId="23" fontId="31" numFmtId="0" xfId="0" applyAlignment="1" applyBorder="1" applyFill="1" applyFont="1">
      <alignment vertical="bottom"/>
    </xf>
    <xf borderId="34" fillId="24" fontId="29" numFmtId="0" xfId="0" applyAlignment="1" applyBorder="1" applyFill="1" applyFont="1">
      <alignment horizontal="center" readingOrder="0" vertical="bottom"/>
    </xf>
    <xf borderId="34" fillId="24" fontId="29" numFmtId="0" xfId="0" applyAlignment="1" applyBorder="1" applyFont="1">
      <alignment horizontal="center" vertical="bottom"/>
    </xf>
    <xf borderId="34" fillId="23" fontId="31" numFmtId="0" xfId="0" applyAlignment="1" applyBorder="1" applyFont="1">
      <alignment horizontal="center" vertical="bottom"/>
    </xf>
    <xf borderId="34" fillId="25" fontId="31" numFmtId="0" xfId="0" applyAlignment="1" applyBorder="1" applyFill="1" applyFont="1">
      <alignment vertical="bottom"/>
    </xf>
    <xf borderId="34" fillId="26" fontId="29" numFmtId="0" xfId="0" applyAlignment="1" applyBorder="1" applyFill="1" applyFont="1">
      <alignment horizontal="center" readingOrder="0" vertical="bottom"/>
    </xf>
    <xf borderId="34" fillId="26" fontId="29" numFmtId="0" xfId="0" applyAlignment="1" applyBorder="1" applyFont="1">
      <alignment horizontal="center" vertical="bottom"/>
    </xf>
    <xf borderId="34" fillId="25" fontId="31" numFmtId="0" xfId="0" applyAlignment="1" applyBorder="1" applyFont="1">
      <alignment horizontal="center" vertical="bottom"/>
    </xf>
    <xf borderId="34" fillId="27" fontId="31" numFmtId="49" xfId="0" applyAlignment="1" applyBorder="1" applyFill="1" applyFont="1" applyNumberFormat="1">
      <alignment vertical="bottom"/>
    </xf>
    <xf borderId="34" fillId="28" fontId="29" numFmtId="0" xfId="0" applyAlignment="1" applyBorder="1" applyFill="1" applyFont="1">
      <alignment horizontal="center" readingOrder="0" vertical="bottom"/>
    </xf>
    <xf borderId="34" fillId="29" fontId="31" numFmtId="0" xfId="0" applyAlignment="1" applyBorder="1" applyFill="1" applyFont="1">
      <alignment horizontal="center" vertical="bottom"/>
    </xf>
    <xf borderId="36" fillId="2" fontId="32" numFmtId="0" xfId="0" applyAlignment="1" applyBorder="1" applyFont="1">
      <alignment horizontal="right" readingOrder="0" textRotation="90" vertical="top"/>
    </xf>
    <xf borderId="38" fillId="13" fontId="33" numFmtId="0" xfId="0" applyAlignment="1" applyBorder="1" applyFont="1">
      <alignment readingOrder="0" vertical="bottom"/>
    </xf>
    <xf borderId="39" fillId="14" fontId="34" numFmtId="0" xfId="0" applyAlignment="1" applyBorder="1" applyFont="1">
      <alignment horizontal="center" readingOrder="0" vertical="bottom"/>
    </xf>
    <xf borderId="37" fillId="13" fontId="33" numFmtId="0" xfId="0" applyAlignment="1" applyBorder="1" applyFont="1">
      <alignment horizontal="center" vertical="bottom"/>
    </xf>
    <xf borderId="37" fillId="27" fontId="33" numFmtId="0" xfId="0" applyAlignment="1" applyBorder="1" applyFont="1">
      <alignment vertical="bottom"/>
    </xf>
    <xf borderId="37" fillId="28" fontId="35" numFmtId="0" xfId="0" applyAlignment="1" applyBorder="1" applyFont="1">
      <alignment horizontal="center" vertical="center"/>
    </xf>
    <xf borderId="37" fillId="28" fontId="29" numFmtId="164" xfId="0" applyAlignment="1" applyBorder="1" applyFont="1" applyNumberFormat="1">
      <alignment horizontal="center" vertical="bottom"/>
    </xf>
    <xf borderId="0" fillId="2" fontId="13" numFmtId="0" xfId="0" applyAlignment="1" applyFont="1">
      <alignment vertical="top"/>
    </xf>
    <xf borderId="34" fillId="0" fontId="6" numFmtId="0" xfId="0" applyBorder="1" applyFont="1"/>
    <xf borderId="34" fillId="10" fontId="29" numFmtId="0" xfId="0" applyAlignment="1" applyBorder="1" applyFont="1">
      <alignment horizontal="center" vertical="bottom"/>
    </xf>
    <xf borderId="34" fillId="17" fontId="34" numFmtId="0" xfId="0" applyAlignment="1" applyBorder="1" applyFont="1">
      <alignment horizontal="center" readingOrder="0" vertical="bottom"/>
    </xf>
    <xf borderId="34" fillId="17" fontId="34" numFmtId="0" xfId="0" applyAlignment="1" applyBorder="1" applyFont="1">
      <alignment horizontal="center" vertical="bottom"/>
    </xf>
    <xf borderId="34" fillId="29" fontId="31" numFmtId="0" xfId="0" applyAlignment="1" applyBorder="1" applyFont="1">
      <alignment horizontal="center" readingOrder="0" vertical="bottom"/>
    </xf>
    <xf borderId="34" fillId="2" fontId="32" numFmtId="0" xfId="0" applyAlignment="1" applyBorder="1" applyFont="1">
      <alignment horizontal="right" readingOrder="0" textRotation="90" vertical="top"/>
    </xf>
    <xf borderId="40" fillId="20" fontId="29" numFmtId="0" xfId="0" applyAlignment="1" applyBorder="1" applyFont="1">
      <alignment horizontal="center" readingOrder="0" vertical="bottom"/>
    </xf>
    <xf borderId="40" fillId="20" fontId="29" numFmtId="0" xfId="0" applyAlignment="1" applyBorder="1" applyFont="1">
      <alignment horizontal="center" vertical="bottom"/>
    </xf>
    <xf borderId="34" fillId="22" fontId="34" numFmtId="0" xfId="0" applyAlignment="1" applyBorder="1" applyFont="1">
      <alignment horizontal="center" readingOrder="0" vertical="bottom"/>
    </xf>
    <xf borderId="34" fillId="22" fontId="34" numFmtId="0" xfId="0" applyAlignment="1" applyBorder="1" applyFont="1">
      <alignment horizontal="center" vertical="bottom"/>
    </xf>
    <xf borderId="4" fillId="8" fontId="29" numFmtId="0" xfId="0" applyAlignment="1" applyBorder="1" applyFont="1">
      <alignment horizontal="center" readingOrder="0" vertical="bottom"/>
    </xf>
    <xf borderId="35" fillId="8" fontId="29" numFmtId="0" xfId="0" applyAlignment="1" applyBorder="1" applyFont="1">
      <alignment horizontal="center" readingOrder="0" vertical="bottom"/>
    </xf>
    <xf borderId="34" fillId="2" fontId="32" numFmtId="0" xfId="0" applyAlignment="1" applyBorder="1" applyFont="1">
      <alignment horizontal="right" textRotation="90" vertical="top"/>
    </xf>
    <xf borderId="34" fillId="25" fontId="31" numFmtId="0" xfId="0" applyAlignment="1" applyBorder="1" applyFont="1">
      <alignment vertical="bottom"/>
    </xf>
    <xf borderId="28" fillId="9" fontId="31" numFmtId="0" xfId="0" applyAlignment="1" applyBorder="1" applyFont="1">
      <alignment vertical="bottom"/>
    </xf>
    <xf borderId="41" fillId="10" fontId="29" numFmtId="9" xfId="0" applyAlignment="1" applyBorder="1" applyFont="1" applyNumberFormat="1">
      <alignment horizontal="center" readingOrder="0" vertical="bottom"/>
    </xf>
    <xf borderId="29" fillId="0" fontId="6" numFmtId="0" xfId="0" applyBorder="1" applyFont="1"/>
    <xf borderId="37" fillId="13" fontId="31" numFmtId="0" xfId="0" applyAlignment="1" applyBorder="1" applyFont="1">
      <alignment readingOrder="0" vertical="bottom"/>
    </xf>
    <xf borderId="41" fillId="14" fontId="29" numFmtId="9" xfId="0" applyAlignment="1" applyBorder="1" applyFont="1" applyNumberFormat="1">
      <alignment horizontal="center" vertical="bottom"/>
    </xf>
    <xf borderId="42" fillId="2" fontId="13" numFmtId="0" xfId="0" applyAlignment="1" applyBorder="1" applyFont="1">
      <alignment vertical="top"/>
    </xf>
    <xf borderId="43" fillId="2" fontId="13" numFmtId="0" xfId="0" applyAlignment="1" applyBorder="1" applyFont="1">
      <alignment vertical="top"/>
    </xf>
    <xf borderId="37" fillId="4" fontId="31" numFmtId="0" xfId="0" applyAlignment="1" applyBorder="1" applyFont="1">
      <alignment vertical="bottom"/>
    </xf>
    <xf borderId="29" fillId="21" fontId="31" numFmtId="0" xfId="0" applyAlignment="1" applyBorder="1" applyFont="1">
      <alignment vertical="bottom"/>
    </xf>
    <xf borderId="28" fillId="22" fontId="29" numFmtId="0" xfId="0" applyAlignment="1" applyBorder="1" applyFont="1">
      <alignment horizontal="center" readingOrder="0" vertical="bottom"/>
    </xf>
    <xf borderId="28" fillId="22" fontId="29" numFmtId="0" xfId="0" applyAlignment="1" applyBorder="1" applyFont="1">
      <alignment horizontal="center" vertical="bottom"/>
    </xf>
    <xf borderId="28" fillId="21" fontId="31" numFmtId="0" xfId="0" applyAlignment="1" applyBorder="1" applyFont="1">
      <alignment horizontal="center" vertical="bottom"/>
    </xf>
    <xf borderId="40" fillId="14" fontId="29" numFmtId="9" xfId="0" applyAlignment="1" applyBorder="1" applyFont="1" applyNumberFormat="1">
      <alignment horizontal="center" vertical="bottom"/>
    </xf>
    <xf borderId="37" fillId="0" fontId="6" numFmtId="0" xfId="0" applyBorder="1" applyFont="1"/>
    <xf borderId="29" fillId="4" fontId="31" numFmtId="0" xfId="0" applyAlignment="1" applyBorder="1" applyFont="1">
      <alignment vertical="bottom"/>
    </xf>
    <xf borderId="28" fillId="18" fontId="29" numFmtId="0" xfId="0" applyAlignment="1" applyBorder="1" applyFont="1">
      <alignment horizontal="center" readingOrder="0" vertical="bottom"/>
    </xf>
    <xf borderId="28" fillId="18" fontId="29" numFmtId="0" xfId="0" applyAlignment="1" applyBorder="1" applyFont="1">
      <alignment horizontal="center" vertical="bottom"/>
    </xf>
    <xf borderId="28" fillId="4" fontId="31" numFmtId="0" xfId="0" applyAlignment="1" applyBorder="1" applyFont="1">
      <alignment horizontal="center" vertical="bottom"/>
    </xf>
    <xf borderId="29" fillId="19" fontId="31" numFmtId="0" xfId="0" applyAlignment="1" applyBorder="1" applyFont="1">
      <alignment vertical="bottom"/>
    </xf>
    <xf borderId="28" fillId="20" fontId="29" numFmtId="0" xfId="0" applyAlignment="1" applyBorder="1" applyFont="1">
      <alignment horizontal="center" readingOrder="0" vertical="bottom"/>
    </xf>
    <xf borderId="28" fillId="20" fontId="29" numFmtId="0" xfId="0" applyAlignment="1" applyBorder="1" applyFont="1">
      <alignment horizontal="center" vertical="bottom"/>
    </xf>
    <xf borderId="28" fillId="19" fontId="31" numFmtId="0" xfId="0" applyAlignment="1" applyBorder="1" applyFont="1">
      <alignment horizontal="center" vertical="bottom"/>
    </xf>
    <xf borderId="40" fillId="2" fontId="13" numFmtId="0" xfId="0" applyAlignment="1" applyBorder="1" applyFont="1">
      <alignment vertical="bottom"/>
    </xf>
    <xf borderId="37" fillId="2" fontId="13" numFmtId="0" xfId="0" applyAlignment="1" applyBorder="1" applyFont="1">
      <alignment vertical="bottom"/>
    </xf>
    <xf borderId="34" fillId="27" fontId="31" numFmtId="2" xfId="0" applyAlignment="1" applyBorder="1" applyFont="1" applyNumberFormat="1">
      <alignment vertical="bottom"/>
    </xf>
    <xf borderId="34" fillId="30" fontId="31" numFmtId="49" xfId="0" applyAlignment="1" applyBorder="1" applyFill="1" applyFont="1" applyNumberFormat="1">
      <alignment vertical="bottom"/>
    </xf>
    <xf borderId="34" fillId="31" fontId="29" numFmtId="0" xfId="0" applyAlignment="1" applyBorder="1" applyFill="1" applyFont="1">
      <alignment horizontal="center" readingOrder="0" vertical="bottom"/>
    </xf>
    <xf borderId="34" fillId="31" fontId="29" numFmtId="0" xfId="0" applyAlignment="1" applyBorder="1" applyFont="1">
      <alignment horizontal="center" vertical="bottom"/>
    </xf>
    <xf borderId="34" fillId="30" fontId="31" numFmtId="0" xfId="0" applyAlignment="1" applyBorder="1" applyFont="1">
      <alignment horizontal="center" vertical="bottom"/>
    </xf>
    <xf borderId="37" fillId="2" fontId="32" numFmtId="0" xfId="0" applyAlignment="1" applyBorder="1" applyFont="1">
      <alignment horizontal="right" readingOrder="0" textRotation="90" vertical="top"/>
    </xf>
    <xf borderId="37" fillId="9" fontId="31" numFmtId="49" xfId="0" applyAlignment="1" applyBorder="1" applyFont="1" applyNumberFormat="1">
      <alignment vertical="bottom"/>
    </xf>
    <xf borderId="36" fillId="2" fontId="32" numFmtId="0" xfId="0" applyAlignment="1" applyBorder="1" applyFont="1">
      <alignment horizontal="right" textRotation="90" vertical="top"/>
    </xf>
    <xf borderId="37" fillId="23" fontId="31" numFmtId="0" xfId="0" applyAlignment="1" applyBorder="1" applyFont="1">
      <alignment readingOrder="0" vertical="bottom"/>
    </xf>
    <xf borderId="34" fillId="25" fontId="31" numFmtId="0" xfId="0" applyAlignment="1" applyBorder="1" applyFont="1">
      <alignment horizontal="center" vertical="bottom"/>
    </xf>
    <xf borderId="28" fillId="10" fontId="29" numFmtId="0" xfId="0" applyAlignment="1" applyBorder="1" applyFont="1">
      <alignment horizontal="center" vertical="bottom"/>
    </xf>
    <xf borderId="34" fillId="27" fontId="31" numFmtId="2" xfId="0" applyAlignment="1" applyBorder="1" applyFont="1" applyNumberFormat="1">
      <alignment readingOrder="0" vertical="bottom"/>
    </xf>
    <xf borderId="28" fillId="25" fontId="31" numFmtId="0" xfId="0" applyAlignment="1" applyBorder="1" applyFont="1">
      <alignment vertical="bottom"/>
    </xf>
    <xf borderId="28" fillId="26" fontId="29" numFmtId="0" xfId="0" applyAlignment="1" applyBorder="1" applyFont="1">
      <alignment horizontal="center" readingOrder="0" vertical="bottom"/>
    </xf>
    <xf borderId="28" fillId="25" fontId="31" numFmtId="0" xfId="0" applyAlignment="1" applyBorder="1" applyFont="1">
      <alignment horizontal="center" vertical="bottom"/>
    </xf>
    <xf borderId="40" fillId="2" fontId="13" numFmtId="2" xfId="0" applyAlignment="1" applyBorder="1" applyFont="1" applyNumberFormat="1">
      <alignment vertical="bottom"/>
    </xf>
    <xf borderId="24" fillId="2" fontId="13" numFmtId="0" xfId="0" applyAlignment="1" applyBorder="1" applyFont="1">
      <alignment vertical="bottom"/>
    </xf>
    <xf borderId="42" fillId="2" fontId="13" numFmtId="0" xfId="0" applyAlignment="1" applyBorder="1" applyFont="1">
      <alignment vertical="bottom"/>
    </xf>
    <xf borderId="0" fillId="2" fontId="13" numFmtId="2" xfId="0" applyAlignment="1" applyFont="1" applyNumberFormat="1">
      <alignment vertical="bottom"/>
    </xf>
    <xf borderId="37" fillId="16" fontId="31" numFmtId="0" xfId="0" applyAlignment="1" applyBorder="1" applyFont="1">
      <alignment vertical="bottom"/>
    </xf>
    <xf borderId="34" fillId="16" fontId="31" numFmtId="0" xfId="0" applyAlignment="1" applyBorder="1" applyFont="1">
      <alignment horizontal="center" vertical="bottom"/>
    </xf>
    <xf borderId="32" fillId="2" fontId="32" numFmtId="0" xfId="0" applyAlignment="1" applyBorder="1" applyFont="1">
      <alignment horizontal="right" textRotation="90" vertical="top"/>
    </xf>
    <xf borderId="32" fillId="0" fontId="6" numFmtId="0" xfId="0" applyBorder="1" applyFont="1"/>
    <xf borderId="44" fillId="2" fontId="13" numFmtId="0" xfId="0" applyAlignment="1" applyBorder="1" applyFont="1">
      <alignment vertical="top"/>
    </xf>
    <xf borderId="29" fillId="16" fontId="31" numFmtId="49" xfId="0" applyAlignment="1" applyBorder="1" applyFont="1" applyNumberFormat="1">
      <alignment vertical="bottom"/>
    </xf>
    <xf borderId="28" fillId="17" fontId="29" numFmtId="0" xfId="0" applyAlignment="1" applyBorder="1" applyFont="1">
      <alignment horizontal="center" readingOrder="0" vertical="bottom"/>
    </xf>
    <xf borderId="28" fillId="17" fontId="29" numFmtId="0" xfId="0" applyAlignment="1" applyBorder="1" applyFont="1">
      <alignment horizontal="center" vertical="bottom"/>
    </xf>
    <xf borderId="28" fillId="16" fontId="31" numFmtId="0" xfId="0" applyAlignment="1" applyBorder="1" applyFont="1">
      <alignment horizontal="center" vertical="bottom"/>
    </xf>
    <xf borderId="34" fillId="2" fontId="13" numFmtId="0" xfId="0" applyAlignment="1" applyBorder="1" applyFont="1">
      <alignment vertical="top"/>
    </xf>
    <xf borderId="37" fillId="2" fontId="13" numFmtId="0" xfId="0" applyAlignment="1" applyBorder="1" applyFont="1">
      <alignment vertical="top"/>
    </xf>
    <xf borderId="28" fillId="30" fontId="31" numFmtId="49" xfId="0" applyAlignment="1" applyBorder="1" applyFont="1" applyNumberFormat="1">
      <alignment readingOrder="0" vertical="bottom"/>
    </xf>
    <xf borderId="2" fillId="9" fontId="13" numFmtId="0" xfId="0" applyAlignment="1" applyBorder="1" applyFont="1">
      <alignment vertical="bottom"/>
    </xf>
    <xf borderId="2" fillId="10" fontId="29" numFmtId="0" xfId="0" applyAlignment="1" applyBorder="1" applyFont="1">
      <alignment horizontal="center" vertical="bottom"/>
    </xf>
    <xf borderId="2" fillId="9" fontId="31" numFmtId="0" xfId="0" applyAlignment="1" applyBorder="1" applyFont="1">
      <alignment horizontal="center" vertical="bottom"/>
    </xf>
    <xf borderId="36" fillId="2" fontId="13" numFmtId="0" xfId="0" applyAlignment="1" applyBorder="1" applyFont="1">
      <alignment vertical="top"/>
    </xf>
    <xf borderId="2" fillId="11" fontId="13" numFmtId="0" xfId="0" applyAlignment="1" applyBorder="1" applyFont="1">
      <alignment vertical="bottom"/>
    </xf>
    <xf borderId="2" fillId="12" fontId="29" numFmtId="0" xfId="0" applyAlignment="1" applyBorder="1" applyFont="1">
      <alignment horizontal="center" vertical="bottom"/>
    </xf>
    <xf borderId="2" fillId="11" fontId="31" numFmtId="0" xfId="0" applyAlignment="1" applyBorder="1" applyFont="1">
      <alignment horizontal="center" vertical="bottom"/>
    </xf>
    <xf borderId="2" fillId="13" fontId="13" numFmtId="0" xfId="0" applyAlignment="1" applyBorder="1" applyFont="1">
      <alignment vertical="bottom"/>
    </xf>
    <xf borderId="2" fillId="14" fontId="29" numFmtId="0" xfId="0" applyAlignment="1" applyBorder="1" applyFont="1">
      <alignment horizontal="center" vertical="bottom"/>
    </xf>
    <xf borderId="2" fillId="13" fontId="31" numFmtId="0" xfId="0" applyAlignment="1" applyBorder="1" applyFont="1">
      <alignment horizontal="center" vertical="bottom"/>
    </xf>
    <xf borderId="2" fillId="15" fontId="13" numFmtId="0" xfId="0" applyAlignment="1" applyBorder="1" applyFont="1">
      <alignment vertical="bottom"/>
    </xf>
    <xf borderId="2" fillId="8" fontId="29" numFmtId="0" xfId="0" applyAlignment="1" applyBorder="1" applyFont="1">
      <alignment horizontal="center" vertical="bottom"/>
    </xf>
    <xf borderId="2" fillId="15" fontId="31" numFmtId="0" xfId="0" applyAlignment="1" applyBorder="1" applyFont="1">
      <alignment horizontal="center" vertical="bottom"/>
    </xf>
    <xf borderId="2" fillId="16" fontId="13" numFmtId="0" xfId="0" applyAlignment="1" applyBorder="1" applyFont="1">
      <alignment vertical="bottom"/>
    </xf>
    <xf borderId="2" fillId="17" fontId="29" numFmtId="0" xfId="0" applyAlignment="1" applyBorder="1" applyFont="1">
      <alignment horizontal="center" vertical="bottom"/>
    </xf>
    <xf borderId="2" fillId="16" fontId="31" numFmtId="0" xfId="0" applyAlignment="1" applyBorder="1" applyFont="1">
      <alignment horizontal="center" vertical="bottom"/>
    </xf>
    <xf borderId="2" fillId="4" fontId="13" numFmtId="0" xfId="0" applyAlignment="1" applyBorder="1" applyFont="1">
      <alignment vertical="bottom"/>
    </xf>
    <xf borderId="2" fillId="18" fontId="29" numFmtId="0" xfId="0" applyAlignment="1" applyBorder="1" applyFont="1">
      <alignment horizontal="center" vertical="bottom"/>
    </xf>
    <xf borderId="2" fillId="4" fontId="31" numFmtId="0" xfId="0" applyAlignment="1" applyBorder="1" applyFont="1">
      <alignment horizontal="center" vertical="bottom"/>
    </xf>
    <xf borderId="2" fillId="19" fontId="13" numFmtId="0" xfId="0" applyAlignment="1" applyBorder="1" applyFont="1">
      <alignment vertical="bottom"/>
    </xf>
    <xf borderId="2" fillId="20" fontId="29" numFmtId="0" xfId="0" applyAlignment="1" applyBorder="1" applyFont="1">
      <alignment horizontal="center" vertical="bottom"/>
    </xf>
    <xf borderId="2" fillId="19" fontId="31" numFmtId="0" xfId="0" applyAlignment="1" applyBorder="1" applyFont="1">
      <alignment horizontal="center" vertical="bottom"/>
    </xf>
    <xf borderId="2" fillId="21" fontId="13" numFmtId="0" xfId="0" applyAlignment="1" applyBorder="1" applyFont="1">
      <alignment vertical="bottom"/>
    </xf>
    <xf borderId="2" fillId="22" fontId="29" numFmtId="0" xfId="0" applyAlignment="1" applyBorder="1" applyFont="1">
      <alignment horizontal="center" vertical="bottom"/>
    </xf>
    <xf borderId="2" fillId="21" fontId="31" numFmtId="0" xfId="0" applyAlignment="1" applyBorder="1" applyFont="1">
      <alignment horizontal="center" vertical="bottom"/>
    </xf>
    <xf borderId="2" fillId="23" fontId="13" numFmtId="0" xfId="0" applyAlignment="1" applyBorder="1" applyFont="1">
      <alignment vertical="bottom"/>
    </xf>
    <xf borderId="2" fillId="24" fontId="29" numFmtId="0" xfId="0" applyAlignment="1" applyBorder="1" applyFont="1">
      <alignment horizontal="center" vertical="bottom"/>
    </xf>
    <xf borderId="2" fillId="23" fontId="31" numFmtId="0" xfId="0" applyAlignment="1" applyBorder="1" applyFont="1">
      <alignment horizontal="center" vertical="bottom"/>
    </xf>
    <xf borderId="2" fillId="25" fontId="13" numFmtId="0" xfId="0" applyAlignment="1" applyBorder="1" applyFont="1">
      <alignment vertical="bottom"/>
    </xf>
    <xf borderId="2" fillId="26" fontId="29" numFmtId="0" xfId="0" applyAlignment="1" applyBorder="1" applyFont="1">
      <alignment horizontal="center" vertical="bottom"/>
    </xf>
    <xf borderId="2" fillId="25" fontId="31" numFmtId="0" xfId="0" applyAlignment="1" applyBorder="1" applyFont="1">
      <alignment horizontal="center" vertical="bottom"/>
    </xf>
    <xf borderId="2" fillId="29" fontId="13" numFmtId="0" xfId="0" applyAlignment="1" applyBorder="1" applyFont="1">
      <alignment vertical="bottom"/>
    </xf>
    <xf borderId="2" fillId="28" fontId="29" numFmtId="0" xfId="0" applyAlignment="1" applyBorder="1" applyFont="1">
      <alignment horizontal="center" vertical="bottom"/>
    </xf>
    <xf borderId="2" fillId="29" fontId="31" numFmtId="0" xfId="0" applyAlignment="1" applyBorder="1" applyFont="1">
      <alignment horizontal="center" vertical="bottom"/>
    </xf>
    <xf borderId="0" fillId="0" fontId="36" numFmtId="0" xfId="0" applyAlignment="1" applyFont="1">
      <alignment shrinkToFit="0" vertical="bottom" wrapText="0"/>
    </xf>
    <xf borderId="0" fillId="0" fontId="37" numFmtId="0" xfId="0" applyAlignment="1" applyFont="1">
      <alignment vertical="bottom"/>
    </xf>
    <xf borderId="0" fillId="0" fontId="13" numFmtId="0" xfId="0" applyAlignment="1" applyFont="1">
      <alignment vertical="bottom"/>
    </xf>
    <xf borderId="45" fillId="0" fontId="13" numFmtId="0" xfId="0" applyAlignment="1" applyBorder="1" applyFont="1">
      <alignment vertical="bottom"/>
    </xf>
    <xf borderId="45" fillId="0" fontId="13" numFmtId="49" xfId="0" applyAlignment="1" applyBorder="1" applyFont="1" applyNumberFormat="1">
      <alignment vertical="bottom"/>
    </xf>
    <xf borderId="0" fillId="0" fontId="36" numFmtId="1" xfId="0" applyAlignment="1" applyFont="1" applyNumberFormat="1">
      <alignment shrinkToFit="0" vertical="bottom" wrapText="0"/>
    </xf>
    <xf borderId="45" fillId="0" fontId="13" numFmtId="3" xfId="0" applyAlignment="1" applyBorder="1" applyFont="1" applyNumberFormat="1">
      <alignment vertical="bottom"/>
    </xf>
    <xf borderId="0" fillId="0" fontId="13" numFmtId="165" xfId="0" applyAlignment="1" applyFont="1" applyNumberFormat="1">
      <alignment vertical="bottom"/>
    </xf>
    <xf borderId="0" fillId="0" fontId="38" numFmtId="0" xfId="0" applyAlignment="1" applyFont="1">
      <alignment vertical="bottom"/>
    </xf>
    <xf borderId="45" fillId="0" fontId="13" numFmtId="164" xfId="0" applyAlignment="1" applyBorder="1" applyFont="1" applyNumberFormat="1">
      <alignment horizontal="right" shrinkToFit="0" vertical="bottom" wrapText="0"/>
    </xf>
    <xf borderId="0" fillId="0" fontId="36" numFmtId="165" xfId="0" applyAlignment="1" applyFont="1" applyNumberFormat="1">
      <alignment shrinkToFit="0" vertical="bottom" wrapText="0"/>
    </xf>
    <xf borderId="0" fillId="0" fontId="13" numFmtId="1" xfId="0" applyAlignment="1" applyFont="1" applyNumberFormat="1">
      <alignment vertical="bottom"/>
    </xf>
    <xf borderId="0" fillId="0" fontId="39" numFmtId="1" xfId="0" applyAlignment="1" applyFont="1" applyNumberFormat="1">
      <alignment vertical="bottom"/>
    </xf>
    <xf borderId="0" fillId="0" fontId="36" numFmtId="0" xfId="0" applyAlignment="1" applyFont="1">
      <alignment vertical="bottom"/>
    </xf>
    <xf borderId="46" fillId="0" fontId="36" numFmtId="0" xfId="0" applyAlignment="1" applyBorder="1" applyFont="1">
      <alignment vertical="bottom"/>
    </xf>
    <xf borderId="0" fillId="0" fontId="40" numFmtId="0" xfId="0" applyAlignment="1" applyFont="1">
      <alignment vertical="bottom"/>
    </xf>
    <xf borderId="0" fillId="0" fontId="13" numFmtId="0" xfId="0" applyAlignment="1" applyFont="1">
      <alignment shrinkToFit="0" vertical="bottom" wrapText="0"/>
    </xf>
    <xf borderId="0" fillId="0" fontId="13" numFmtId="0" xfId="0" applyAlignment="1" applyFont="1">
      <alignment horizontal="right" shrinkToFit="0" vertical="bottom" wrapText="0"/>
    </xf>
    <xf borderId="45" fillId="0" fontId="13" numFmtId="0" xfId="0" applyAlignment="1" applyBorder="1" applyFont="1">
      <alignment horizontal="right" shrinkToFit="0" vertical="bottom" wrapText="0"/>
    </xf>
    <xf borderId="0" fillId="0" fontId="13" numFmtId="0" xfId="0" applyAlignment="1" applyFont="1">
      <alignment horizontal="center" shrinkToFit="0" vertical="bottom" wrapText="0"/>
    </xf>
    <xf borderId="0" fillId="0" fontId="13" numFmtId="166" xfId="0" applyAlignment="1" applyFont="1" applyNumberFormat="1">
      <alignment horizontal="center" shrinkToFit="0" vertical="bottom" wrapText="0"/>
    </xf>
    <xf borderId="45" fillId="0" fontId="13" numFmtId="165" xfId="0" applyAlignment="1" applyBorder="1" applyFont="1" applyNumberFormat="1">
      <alignment vertical="bottom"/>
    </xf>
    <xf borderId="0" fillId="0" fontId="13" numFmtId="166" xfId="0" applyAlignment="1" applyFont="1" applyNumberFormat="1">
      <alignment vertical="bottom"/>
    </xf>
    <xf borderId="0" fillId="0" fontId="13" numFmtId="164" xfId="0" applyAlignment="1" applyFont="1" applyNumberFormat="1">
      <alignment shrinkToFit="0" vertical="bottom" wrapText="0"/>
    </xf>
    <xf borderId="0" fillId="0" fontId="13" numFmtId="165" xfId="0" applyAlignment="1" applyFont="1" applyNumberFormat="1">
      <alignment horizontal="right" shrinkToFit="0" vertical="bottom" wrapText="0"/>
    </xf>
    <xf borderId="45" fillId="0" fontId="13" numFmtId="1" xfId="0" applyAlignment="1" applyBorder="1" applyFont="1" applyNumberFormat="1">
      <alignment shrinkToFit="0" vertical="bottom" wrapText="0"/>
    </xf>
    <xf borderId="0" fillId="0" fontId="13" numFmtId="167" xfId="0" applyAlignment="1" applyFont="1" applyNumberFormat="1">
      <alignment shrinkToFit="0" vertical="bottom" wrapText="0"/>
    </xf>
    <xf borderId="0" fillId="0" fontId="13" numFmtId="0" xfId="0" applyAlignment="1" applyFont="1">
      <alignment horizontal="right" readingOrder="0" vertical="bottom"/>
    </xf>
    <xf borderId="0" fillId="0" fontId="13" numFmtId="1" xfId="0" applyAlignment="1" applyFont="1" applyNumberFormat="1">
      <alignment shrinkToFit="0" vertical="bottom" wrapText="0"/>
    </xf>
    <xf borderId="0" fillId="0" fontId="13" numFmtId="9" xfId="0" applyAlignment="1" applyFont="1" applyNumberFormat="1">
      <alignment shrinkToFit="0" vertical="bottom" wrapText="0"/>
    </xf>
    <xf borderId="45" fillId="0" fontId="13" numFmtId="164" xfId="0" applyAlignment="1" applyBorder="1" applyFont="1" applyNumberFormat="1">
      <alignment shrinkToFit="0" vertical="bottom" wrapText="0"/>
    </xf>
    <xf borderId="45" fillId="0" fontId="13" numFmtId="9" xfId="0" applyAlignment="1" applyBorder="1" applyFont="1" applyNumberFormat="1">
      <alignment vertical="bottom"/>
    </xf>
    <xf borderId="0" fillId="0" fontId="13" numFmtId="167" xfId="0" applyAlignment="1" applyFont="1" applyNumberFormat="1">
      <alignment horizontal="right" shrinkToFit="0" vertical="bottom" wrapText="0"/>
    </xf>
    <xf borderId="0" fillId="0" fontId="13" numFmtId="164" xfId="0" applyAlignment="1" applyFont="1" applyNumberFormat="1">
      <alignment vertical="bottom"/>
    </xf>
    <xf borderId="0" fillId="0" fontId="13" numFmtId="9" xfId="0" applyAlignment="1" applyFont="1" applyNumberFormat="1">
      <alignment horizontal="right" vertical="bottom"/>
    </xf>
    <xf borderId="0" fillId="0" fontId="13" numFmtId="167" xfId="0" applyAlignment="1" applyFont="1" applyNumberFormat="1">
      <alignment vertical="bottom"/>
    </xf>
    <xf borderId="0" fillId="0" fontId="13" numFmtId="0" xfId="0" applyAlignment="1" applyFont="1">
      <alignment horizontal="right" vertical="bottom"/>
    </xf>
    <xf borderId="0" fillId="0" fontId="13" numFmtId="0" xfId="0" applyAlignment="1" applyFont="1">
      <alignment horizontal="center" vertical="bottom"/>
    </xf>
    <xf borderId="0" fillId="0" fontId="13" numFmtId="49" xfId="0" applyAlignment="1" applyFont="1" applyNumberFormat="1">
      <alignment horizontal="right" vertical="bottom"/>
    </xf>
    <xf borderId="46" fillId="0" fontId="13" numFmtId="0" xfId="0" applyAlignment="1" applyBorder="1" applyFont="1">
      <alignment vertical="bottom"/>
    </xf>
    <xf borderId="45" fillId="0" fontId="13" numFmtId="165" xfId="0" applyAlignment="1" applyBorder="1" applyFont="1" applyNumberFormat="1">
      <alignment horizontal="center" shrinkToFit="0" vertical="bottom" wrapText="0"/>
    </xf>
    <xf borderId="45" fillId="0" fontId="13" numFmtId="168" xfId="0" applyAlignment="1" applyBorder="1" applyFont="1" applyNumberFormat="1">
      <alignment horizontal="center" shrinkToFit="0" vertical="bottom" wrapText="0"/>
    </xf>
    <xf borderId="0" fillId="0" fontId="13" numFmtId="168" xfId="0" applyAlignment="1" applyFont="1" applyNumberFormat="1">
      <alignment horizontal="right" shrinkToFit="0" vertical="bottom" wrapText="0"/>
    </xf>
    <xf borderId="0" fillId="0" fontId="13" numFmtId="168" xfId="0" applyAlignment="1" applyFont="1" applyNumberFormat="1">
      <alignment vertical="bottom"/>
    </xf>
    <xf borderId="0" fillId="0" fontId="13" numFmtId="9" xfId="0" applyAlignment="1" applyFont="1" applyNumberFormat="1">
      <alignment vertical="bottom"/>
    </xf>
    <xf borderId="0" fillId="0" fontId="13" numFmtId="3" xfId="0" applyAlignment="1" applyFont="1" applyNumberFormat="1">
      <alignment horizontal="right" shrinkToFit="0" vertical="bottom" wrapText="0"/>
    </xf>
    <xf borderId="0" fillId="0" fontId="13" numFmtId="3" xfId="0" applyAlignment="1" applyFont="1" applyNumberFormat="1">
      <alignment vertical="bottom"/>
    </xf>
    <xf borderId="0" fillId="0" fontId="13" numFmtId="169" xfId="0" applyAlignment="1" applyFont="1" applyNumberFormat="1">
      <alignment horizontal="right" vertical="bottom"/>
    </xf>
    <xf borderId="0" fillId="0" fontId="13" numFmtId="169" xfId="0" applyAlignment="1" applyFont="1" applyNumberFormat="1">
      <alignment vertical="bottom"/>
    </xf>
    <xf borderId="45" fillId="0" fontId="13" numFmtId="169" xfId="0" applyAlignment="1" applyBorder="1" applyFont="1" applyNumberFormat="1">
      <alignment vertical="bottom"/>
    </xf>
    <xf borderId="0" fillId="0" fontId="13" numFmtId="170" xfId="0" applyAlignment="1" applyFont="1" applyNumberFormat="1">
      <alignment horizontal="right" vertical="bottom"/>
    </xf>
    <xf borderId="45" fillId="0" fontId="13" numFmtId="49" xfId="0" applyAlignment="1" applyBorder="1" applyFont="1" applyNumberFormat="1">
      <alignment horizontal="right" shrinkToFit="0" vertical="bottom" wrapText="0"/>
    </xf>
    <xf borderId="0" fillId="0" fontId="13" numFmtId="166" xfId="0" applyAlignment="1" applyFont="1" applyNumberFormat="1">
      <alignment horizontal="right" shrinkToFit="0" vertical="bottom" wrapText="0"/>
    </xf>
    <xf borderId="45" fillId="0" fontId="13" numFmtId="3" xfId="0" applyAlignment="1" applyBorder="1" applyFont="1" applyNumberFormat="1">
      <alignment horizontal="right" shrinkToFit="0" vertical="bottom" wrapText="0"/>
    </xf>
    <xf borderId="0" fillId="0" fontId="13" numFmtId="164" xfId="0" applyAlignment="1" applyFont="1" applyNumberFormat="1">
      <alignment horizontal="center" shrinkToFit="0" vertical="bottom" wrapText="0"/>
    </xf>
    <xf borderId="0" fillId="0" fontId="13" numFmtId="164" xfId="0" applyAlignment="1" applyFont="1" applyNumberFormat="1">
      <alignment horizontal="right" shrinkToFit="0" vertical="bottom" wrapText="0"/>
    </xf>
    <xf borderId="0" fillId="0" fontId="13" numFmtId="0" xfId="0" applyAlignment="1" applyFont="1">
      <alignment horizontal="right" vertical="bottom"/>
    </xf>
    <xf borderId="0" fillId="0" fontId="13" numFmtId="3" xfId="0" applyAlignment="1" applyFont="1" applyNumberFormat="1">
      <alignment shrinkToFit="0" vertical="bottom" wrapText="0"/>
    </xf>
    <xf borderId="0" fillId="0" fontId="13" numFmtId="165" xfId="0" applyAlignment="1" applyFont="1" applyNumberFormat="1">
      <alignment horizontal="right" vertical="bottom"/>
    </xf>
    <xf borderId="0" fillId="0" fontId="13" numFmtId="171" xfId="0" applyAlignment="1" applyFont="1" applyNumberFormat="1">
      <alignment vertical="bottom"/>
    </xf>
    <xf borderId="0" fillId="0" fontId="13" numFmtId="172" xfId="0" applyAlignment="1" applyFont="1" applyNumberFormat="1">
      <alignment vertical="bottom"/>
    </xf>
    <xf borderId="45" fillId="0" fontId="13" numFmtId="172" xfId="0" applyAlignment="1" applyBorder="1" applyFont="1" applyNumberFormat="1">
      <alignment vertical="bottom"/>
    </xf>
    <xf borderId="0" fillId="0" fontId="13" numFmtId="49" xfId="0" applyAlignment="1" applyFont="1" applyNumberFormat="1">
      <alignment vertical="bottom"/>
    </xf>
    <xf borderId="0" fillId="0" fontId="13" numFmtId="172" xfId="0" applyAlignment="1" applyFont="1" applyNumberFormat="1">
      <alignment horizontal="right" vertical="bottom"/>
    </xf>
    <xf borderId="0" fillId="0" fontId="13" numFmtId="173" xfId="0" applyAlignment="1" applyFont="1" applyNumberFormat="1">
      <alignment vertical="bottom"/>
    </xf>
    <xf borderId="0" fillId="0" fontId="13" numFmtId="10" xfId="0" applyAlignment="1" applyFont="1" applyNumberFormat="1">
      <alignment shrinkToFit="0" vertical="bottom" wrapText="0"/>
    </xf>
    <xf borderId="0" fillId="0" fontId="13" numFmtId="10" xfId="0" applyAlignment="1" applyFont="1" applyNumberFormat="1">
      <alignment vertical="bottom"/>
    </xf>
    <xf borderId="0" fillId="0" fontId="13" numFmtId="49" xfId="0" applyAlignment="1" applyFont="1" applyNumberFormat="1">
      <alignment shrinkToFit="0" vertical="bottom" wrapText="0"/>
    </xf>
    <xf borderId="0" fillId="0" fontId="13" numFmtId="174" xfId="0" applyAlignment="1" applyFont="1" applyNumberFormat="1">
      <alignment horizontal="center" vertical="bottom"/>
    </xf>
    <xf borderId="0" fillId="0" fontId="13" numFmtId="175" xfId="0" applyAlignment="1" applyFont="1" applyNumberFormat="1">
      <alignment horizontal="right" vertical="bottom"/>
    </xf>
    <xf borderId="0" fillId="0" fontId="13" numFmtId="174" xfId="0" applyAlignment="1" applyFont="1" applyNumberFormat="1">
      <alignment vertical="bottom"/>
    </xf>
    <xf borderId="45" fillId="0" fontId="13" numFmtId="175" xfId="0" applyAlignment="1" applyBorder="1" applyFont="1" applyNumberFormat="1">
      <alignment vertical="bottom"/>
    </xf>
    <xf borderId="0" fillId="0" fontId="13" numFmtId="165" xfId="0" applyAlignment="1" applyFont="1" applyNumberFormat="1">
      <alignment horizontal="right" shrinkToFit="0" vertical="bottom" wrapText="0"/>
    </xf>
    <xf borderId="0" fillId="0" fontId="13" numFmtId="174" xfId="0" applyAlignment="1" applyFont="1" applyNumberFormat="1">
      <alignment shrinkToFit="0" vertical="bottom" wrapText="0"/>
    </xf>
    <xf borderId="0" fillId="0" fontId="13" numFmtId="165" xfId="0" applyAlignment="1" applyFont="1" applyNumberFormat="1">
      <alignment vertical="bottom"/>
    </xf>
    <xf borderId="0" fillId="0" fontId="13" numFmtId="174" xfId="0" applyAlignment="1" applyFont="1" applyNumberFormat="1">
      <alignment horizontal="right" shrinkToFit="0" vertical="bottom" wrapText="0"/>
    </xf>
    <xf borderId="0" fillId="0" fontId="13" numFmtId="176" xfId="0" applyAlignment="1" applyFont="1" applyNumberFormat="1">
      <alignment vertical="bottom"/>
    </xf>
    <xf borderId="0" fillId="0" fontId="13" numFmtId="177" xfId="0" applyAlignment="1" applyFont="1" applyNumberFormat="1">
      <alignment horizontal="right" vertical="bottom"/>
    </xf>
    <xf borderId="45" fillId="0" fontId="13" numFmtId="177" xfId="0" applyAlignment="1" applyBorder="1" applyFont="1" applyNumberFormat="1">
      <alignment vertical="bottom"/>
    </xf>
    <xf borderId="0" fillId="0" fontId="13" numFmtId="178" xfId="0" applyAlignment="1" applyFont="1" applyNumberFormat="1">
      <alignment vertical="bottom"/>
    </xf>
    <xf borderId="45" fillId="0" fontId="13" numFmtId="0" xfId="0" applyAlignment="1" applyBorder="1" applyFont="1">
      <alignment shrinkToFit="0" vertical="bottom" wrapText="0"/>
    </xf>
    <xf borderId="0" fillId="0" fontId="13" numFmtId="169" xfId="0" applyAlignment="1" applyFont="1" applyNumberFormat="1">
      <alignment vertical="bottom"/>
    </xf>
    <xf borderId="45" fillId="0" fontId="13" numFmtId="170" xfId="0" applyAlignment="1" applyBorder="1" applyFont="1" applyNumberFormat="1">
      <alignment vertical="bottom"/>
    </xf>
    <xf borderId="0" fillId="0" fontId="13" numFmtId="179" xfId="0" applyAlignment="1" applyFont="1" applyNumberFormat="1">
      <alignment horizontal="right" shrinkToFit="0" vertical="bottom" wrapText="0"/>
    </xf>
    <xf borderId="0" fillId="0" fontId="13" numFmtId="179" xfId="0" applyAlignment="1" applyFont="1" applyNumberFormat="1">
      <alignment vertical="bottom"/>
    </xf>
    <xf borderId="0" fillId="0" fontId="13" numFmtId="180" xfId="0" applyAlignment="1" applyFont="1" applyNumberFormat="1">
      <alignment horizontal="right" vertical="bottom"/>
    </xf>
    <xf borderId="0" fillId="0" fontId="13" numFmtId="1" xfId="0" applyAlignment="1" applyFont="1" applyNumberFormat="1">
      <alignment horizontal="right" vertical="bottom"/>
    </xf>
    <xf borderId="0" fillId="0" fontId="13" numFmtId="179" xfId="0" applyAlignment="1" applyFont="1" applyNumberFormat="1">
      <alignment shrinkToFit="0" vertical="bottom" wrapText="0"/>
    </xf>
    <xf borderId="0" fillId="0" fontId="13" numFmtId="1" xfId="0" applyAlignment="1" applyFont="1" applyNumberFormat="1">
      <alignment horizontal="right" shrinkToFit="0" vertical="bottom" wrapText="0"/>
    </xf>
    <xf borderId="0" fillId="0" fontId="13" numFmtId="175" xfId="0" applyAlignment="1" applyFont="1" applyNumberFormat="1">
      <alignment horizontal="right" vertical="bottom"/>
    </xf>
    <xf borderId="45" fillId="0" fontId="13" numFmtId="175" xfId="0" applyAlignment="1" applyBorder="1" applyFont="1" applyNumberFormat="1">
      <alignment vertical="bottom"/>
    </xf>
    <xf borderId="0" fillId="0" fontId="13" numFmtId="181" xfId="0" applyAlignment="1" applyFont="1" applyNumberFormat="1">
      <alignment horizontal="right" vertical="bottom"/>
    </xf>
    <xf borderId="45" fillId="0" fontId="13" numFmtId="181" xfId="0" applyAlignment="1" applyBorder="1" applyFont="1" applyNumberFormat="1">
      <alignment vertical="bottom"/>
    </xf>
    <xf borderId="0" fillId="0" fontId="13" numFmtId="182" xfId="0" applyAlignment="1" applyFont="1" applyNumberFormat="1">
      <alignment horizontal="right" shrinkToFit="0" vertical="bottom" wrapText="0"/>
    </xf>
    <xf borderId="0" fillId="0" fontId="13" numFmtId="182" xfId="0" applyAlignment="1" applyFont="1" applyNumberFormat="1">
      <alignment vertical="bottom"/>
    </xf>
    <xf borderId="0" fillId="0" fontId="13" numFmtId="183" xfId="0" applyAlignment="1" applyFont="1" applyNumberFormat="1">
      <alignment horizontal="right" shrinkToFit="0" vertical="bottom" wrapText="0"/>
    </xf>
    <xf borderId="0" fillId="0" fontId="13" numFmtId="183" xfId="0" applyAlignment="1" applyFont="1" applyNumberFormat="1">
      <alignment vertical="bottom"/>
    </xf>
    <xf borderId="0" fillId="0" fontId="13" numFmtId="179" xfId="0" applyAlignment="1" applyFont="1" applyNumberFormat="1">
      <alignment horizontal="right" vertical="bottom"/>
    </xf>
    <xf borderId="45" fillId="0" fontId="13" numFmtId="179" xfId="0" applyAlignment="1" applyBorder="1" applyFont="1" applyNumberFormat="1">
      <alignment vertical="bottom"/>
    </xf>
    <xf borderId="0" fillId="0" fontId="13" numFmtId="49" xfId="0" applyAlignment="1" applyFont="1" applyNumberFormat="1">
      <alignment horizontal="center" shrinkToFit="0" vertical="bottom" wrapText="0"/>
    </xf>
    <xf borderId="0" fillId="0" fontId="13" numFmtId="169" xfId="0" applyAlignment="1" applyFont="1" applyNumberFormat="1">
      <alignment horizontal="right" shrinkToFit="0" vertical="bottom" wrapText="0"/>
    </xf>
    <xf borderId="0" fillId="0" fontId="13" numFmtId="184" xfId="0" applyAlignment="1" applyFont="1" applyNumberFormat="1">
      <alignment horizontal="right" vertical="bottom"/>
    </xf>
    <xf borderId="45" fillId="0" fontId="13" numFmtId="184" xfId="0" applyAlignment="1" applyBorder="1" applyFont="1" applyNumberFormat="1">
      <alignment vertical="bottom"/>
    </xf>
    <xf borderId="0" fillId="0" fontId="13" numFmtId="168" xfId="0" applyAlignment="1" applyFont="1" applyNumberFormat="1">
      <alignment shrinkToFit="0" vertical="bottom" wrapText="0"/>
    </xf>
    <xf borderId="0" fillId="0" fontId="13" numFmtId="168" xfId="0" applyAlignment="1" applyFont="1" applyNumberFormat="1">
      <alignment vertical="bottom"/>
    </xf>
    <xf borderId="0" fillId="0" fontId="13" numFmtId="9" xfId="0" applyAlignment="1" applyFont="1" applyNumberFormat="1">
      <alignment horizontal="right" shrinkToFit="0" vertical="bottom" wrapText="0"/>
    </xf>
    <xf borderId="0" fillId="0" fontId="13" numFmtId="1" xfId="0" applyAlignment="1" applyFont="1" applyNumberFormat="1">
      <alignment horizontal="center" vertical="bottom"/>
    </xf>
    <xf borderId="0" fillId="0" fontId="13" numFmtId="170" xfId="0" applyAlignment="1" applyFont="1" applyNumberFormat="1">
      <alignment vertical="bottom"/>
    </xf>
    <xf borderId="0" fillId="0" fontId="13" numFmtId="179" xfId="0" applyAlignment="1" applyFont="1" applyNumberFormat="1">
      <alignment horizontal="right" vertical="bottom"/>
    </xf>
    <xf borderId="45" fillId="0" fontId="13" numFmtId="179" xfId="0" applyAlignment="1" applyBorder="1" applyFont="1" applyNumberFormat="1">
      <alignment vertical="bottom"/>
    </xf>
    <xf borderId="0" fillId="0" fontId="13" numFmtId="185" xfId="0" applyAlignment="1" applyFont="1" applyNumberFormat="1">
      <alignment vertical="bottom"/>
    </xf>
    <xf borderId="46" fillId="0" fontId="13" numFmtId="173" xfId="0" applyAlignment="1" applyBorder="1" applyFont="1" applyNumberFormat="1">
      <alignment vertical="bottom"/>
    </xf>
    <xf borderId="0" fillId="0" fontId="13" numFmtId="186" xfId="0" applyAlignment="1" applyFont="1" applyNumberFormat="1">
      <alignment vertical="bottom"/>
    </xf>
    <xf borderId="0" fillId="0" fontId="13" numFmtId="166" xfId="0" applyAlignment="1" applyFont="1" applyNumberFormat="1">
      <alignment horizontal="right" vertical="bottom"/>
    </xf>
    <xf borderId="0" fillId="0" fontId="13" numFmtId="187" xfId="0" applyAlignment="1" applyFont="1" applyNumberFormat="1">
      <alignment shrinkToFit="0" vertical="bottom" wrapText="0"/>
    </xf>
    <xf borderId="0" fillId="0" fontId="13" numFmtId="187" xfId="0" applyAlignment="1" applyFont="1" applyNumberFormat="1">
      <alignment vertical="bottom"/>
    </xf>
    <xf borderId="0" fillId="0" fontId="13" numFmtId="188" xfId="0" applyAlignment="1" applyFont="1" applyNumberFormat="1">
      <alignment horizontal="right" shrinkToFit="0" vertical="bottom" wrapText="0"/>
    </xf>
    <xf borderId="0" fillId="0" fontId="13" numFmtId="188" xfId="0" applyAlignment="1" applyFont="1" applyNumberFormat="1">
      <alignment vertical="bottom"/>
    </xf>
    <xf borderId="0" fillId="0" fontId="13" numFmtId="179" xfId="0" applyAlignment="1" applyFont="1" applyNumberFormat="1">
      <alignment horizontal="right" shrinkToFit="0" vertical="bottom" wrapText="0"/>
    </xf>
    <xf borderId="0" fillId="0" fontId="13" numFmtId="179" xfId="0" applyAlignment="1" applyFont="1" applyNumberFormat="1">
      <alignment vertical="bottom"/>
    </xf>
    <xf borderId="0" fillId="0" fontId="13" numFmtId="10" xfId="0" applyAlignment="1" applyFont="1" applyNumberFormat="1">
      <alignment horizontal="right" shrinkToFit="0" vertical="bottom" wrapText="0"/>
    </xf>
    <xf borderId="0" fillId="0" fontId="13" numFmtId="189" xfId="0" applyAlignment="1" applyFont="1" applyNumberFormat="1">
      <alignment horizontal="right" shrinkToFit="0" vertical="bottom" wrapText="0"/>
    </xf>
    <xf borderId="0" fillId="0" fontId="13" numFmtId="189" xfId="0" applyAlignment="1" applyFont="1" applyNumberFormat="1">
      <alignment vertical="bottom"/>
    </xf>
    <xf borderId="0" fillId="0" fontId="13" numFmtId="186" xfId="0" applyAlignment="1" applyFont="1" applyNumberFormat="1">
      <alignment horizontal="right" shrinkToFit="0" vertical="bottom" wrapText="0"/>
    </xf>
    <xf borderId="0" fillId="0" fontId="13" numFmtId="186" xfId="0" applyAlignment="1" applyFont="1" applyNumberFormat="1">
      <alignment vertical="bottom"/>
    </xf>
    <xf borderId="45" fillId="0" fontId="13" numFmtId="0" xfId="0" applyAlignment="1" applyBorder="1" applyFont="1">
      <alignment horizontal="right" vertical="bottom"/>
    </xf>
    <xf borderId="0" fillId="0" fontId="13" numFmtId="164" xfId="0" applyAlignment="1" applyFont="1" applyNumberFormat="1">
      <alignment horizontal="right" vertical="bottom"/>
    </xf>
    <xf borderId="0" fillId="0" fontId="13" numFmtId="0" xfId="0" applyAlignment="1" applyFont="1">
      <alignment vertical="bottom"/>
    </xf>
    <xf borderId="45" fillId="0" fontId="13" numFmtId="164" xfId="0" applyAlignment="1" applyBorder="1" applyFont="1" applyNumberFormat="1">
      <alignment vertical="bottom"/>
    </xf>
    <xf borderId="0" fillId="0" fontId="13" numFmtId="2" xfId="0" applyAlignment="1" applyFont="1" applyNumberFormat="1">
      <alignment vertical="bottom"/>
    </xf>
    <xf borderId="47" fillId="2" fontId="41" numFmtId="0" xfId="0" applyAlignment="1" applyBorder="1" applyFont="1">
      <alignment horizontal="right" readingOrder="0" vertical="center"/>
    </xf>
    <xf borderId="29" fillId="2" fontId="41" numFmtId="0" xfId="0" applyAlignment="1" applyBorder="1" applyFont="1">
      <alignment horizontal="center" readingOrder="0" vertical="center"/>
    </xf>
    <xf borderId="35" fillId="2" fontId="42" numFmtId="0" xfId="0" applyAlignment="1" applyBorder="1" applyFont="1">
      <alignment horizontal="right" readingOrder="0" vertical="center"/>
    </xf>
    <xf borderId="4" fillId="2" fontId="41" numFmtId="0" xfId="0" applyAlignment="1" applyBorder="1" applyFont="1">
      <alignment readingOrder="0" vertical="center"/>
    </xf>
    <xf borderId="35" fillId="8" fontId="43" numFmtId="0" xfId="0" applyAlignment="1" applyBorder="1" applyFont="1">
      <alignment horizontal="right" vertical="center"/>
    </xf>
    <xf borderId="35" fillId="0" fontId="6" numFmtId="0" xfId="0" applyBorder="1" applyFont="1"/>
    <xf borderId="35" fillId="14" fontId="43" numFmtId="49" xfId="0" applyAlignment="1" applyBorder="1" applyFont="1" applyNumberFormat="1">
      <alignment horizontal="right" vertical="center"/>
    </xf>
    <xf borderId="47" fillId="2" fontId="41" numFmtId="0" xfId="0" applyAlignment="1" applyBorder="1" applyFont="1">
      <alignment vertical="center"/>
    </xf>
    <xf borderId="35" fillId="17" fontId="43" numFmtId="0" xfId="0" applyAlignment="1" applyBorder="1" applyFont="1">
      <alignment horizontal="right" vertical="center"/>
    </xf>
    <xf borderId="3" fillId="8" fontId="43" numFmtId="0" xfId="0" applyAlignment="1" applyBorder="1" applyFont="1">
      <alignment shrinkToFit="0" vertical="center" wrapText="0"/>
    </xf>
    <xf borderId="4" fillId="8" fontId="43" numFmtId="0" xfId="0" applyAlignment="1" applyBorder="1" applyFont="1">
      <alignment horizontal="right" readingOrder="0" shrinkToFit="0" vertical="center" wrapText="0"/>
    </xf>
    <xf borderId="4" fillId="8" fontId="43" numFmtId="0" xfId="0" applyAlignment="1" applyBorder="1" applyFont="1">
      <alignment vertical="center"/>
    </xf>
    <xf borderId="2" fillId="8" fontId="43" numFmtId="0" xfId="0" applyAlignment="1" applyBorder="1" applyFont="1">
      <alignment horizontal="center" vertical="center"/>
    </xf>
    <xf borderId="3" fillId="8" fontId="43" numFmtId="0" xfId="0" applyAlignment="1" applyBorder="1" applyFont="1">
      <alignment horizontal="right" vertical="center"/>
    </xf>
    <xf borderId="3" fillId="8" fontId="44" numFmtId="49" xfId="0" applyAlignment="1" applyBorder="1" applyFont="1" applyNumberFormat="1">
      <alignment horizontal="right" vertical="center"/>
    </xf>
    <xf borderId="2" fillId="8" fontId="44" numFmtId="49" xfId="0" applyAlignment="1" applyBorder="1" applyFont="1" applyNumberFormat="1">
      <alignment horizontal="right" readingOrder="0" vertical="center"/>
    </xf>
    <xf borderId="2" fillId="8" fontId="44" numFmtId="49" xfId="0" applyAlignment="1" applyBorder="1" applyFont="1" applyNumberFormat="1">
      <alignment horizontal="right" vertical="center"/>
    </xf>
    <xf borderId="2" fillId="14" fontId="43" numFmtId="49" xfId="0" applyAlignment="1" applyBorder="1" applyFont="1" applyNumberFormat="1">
      <alignment horizontal="right" vertical="center"/>
    </xf>
    <xf borderId="2" fillId="14" fontId="44" numFmtId="49" xfId="0" applyAlignment="1" applyBorder="1" applyFont="1" applyNumberFormat="1">
      <alignment horizontal="right" vertical="center"/>
    </xf>
    <xf borderId="2" fillId="14" fontId="44" numFmtId="0" xfId="0" applyAlignment="1" applyBorder="1" applyFont="1">
      <alignment horizontal="right" vertical="center"/>
    </xf>
    <xf borderId="2" fillId="8" fontId="35" numFmtId="0" xfId="0" applyAlignment="1" applyBorder="1" applyFont="1">
      <alignment horizontal="center" vertical="center"/>
    </xf>
    <xf borderId="3" fillId="17" fontId="43" numFmtId="0" xfId="0" applyAlignment="1" applyBorder="1" applyFont="1">
      <alignment horizontal="right" vertical="center"/>
    </xf>
    <xf borderId="3" fillId="17" fontId="44" numFmtId="49" xfId="0" applyAlignment="1" applyBorder="1" applyFont="1" applyNumberFormat="1">
      <alignment horizontal="right" vertical="center"/>
    </xf>
    <xf borderId="2" fillId="17" fontId="44" numFmtId="49" xfId="0" applyAlignment="1" applyBorder="1" applyFont="1" applyNumberFormat="1">
      <alignment horizontal="right" readingOrder="0" vertical="center"/>
    </xf>
    <xf borderId="2" fillId="17" fontId="44" numFmtId="0" xfId="0" applyAlignment="1" applyBorder="1" applyFont="1">
      <alignment horizontal="right" vertical="center"/>
    </xf>
    <xf borderId="40" fillId="9" fontId="33" numFmtId="0" xfId="0" applyAlignment="1" applyBorder="1" applyFont="1">
      <alignment vertical="center"/>
    </xf>
    <xf borderId="37" fillId="9" fontId="33" numFmtId="190" xfId="0" applyAlignment="1" applyBorder="1" applyFont="1" applyNumberFormat="1">
      <alignment horizontal="right"/>
    </xf>
    <xf borderId="37" fillId="10" fontId="45" numFmtId="0" xfId="0" applyAlignment="1" applyBorder="1" applyFont="1">
      <alignment horizontal="center" readingOrder="0" vertical="center"/>
    </xf>
    <xf borderId="34" fillId="9" fontId="33" numFmtId="0" xfId="0" applyAlignment="1" applyBorder="1" applyFont="1">
      <alignment horizontal="center" vertical="center"/>
    </xf>
    <xf borderId="34" fillId="9" fontId="33" numFmtId="0" xfId="0" applyAlignment="1" applyBorder="1" applyFont="1">
      <alignment vertical="center"/>
    </xf>
    <xf borderId="34" fillId="9" fontId="33" numFmtId="2" xfId="0" applyAlignment="1" applyBorder="1" applyFont="1" applyNumberFormat="1">
      <alignment horizontal="right" vertical="center"/>
    </xf>
    <xf borderId="34" fillId="9" fontId="33" numFmtId="49" xfId="0" applyAlignment="1" applyBorder="1" applyFont="1" applyNumberFormat="1">
      <alignment horizontal="right" vertical="center"/>
    </xf>
    <xf borderId="37" fillId="9" fontId="46" numFmtId="0" xfId="0" applyAlignment="1" applyBorder="1" applyFont="1">
      <alignment horizontal="right" vertical="center"/>
    </xf>
    <xf borderId="37" fillId="9" fontId="46" numFmtId="0" xfId="0" applyAlignment="1" applyBorder="1" applyFont="1">
      <alignment horizontal="center" vertical="center"/>
    </xf>
    <xf borderId="26" fillId="9" fontId="46" numFmtId="3" xfId="0" applyAlignment="1" applyBorder="1" applyFont="1" applyNumberFormat="1">
      <alignment horizontal="right" vertical="center"/>
    </xf>
    <xf borderId="37" fillId="9" fontId="33" numFmtId="49" xfId="0" applyAlignment="1" applyBorder="1" applyFont="1" applyNumberFormat="1">
      <alignment horizontal="right" vertical="center"/>
    </xf>
    <xf borderId="37" fillId="10" fontId="27" numFmtId="0" xfId="0" applyAlignment="1" applyBorder="1" applyFont="1">
      <alignment horizontal="center" readingOrder="0" vertical="center"/>
    </xf>
    <xf borderId="34" fillId="9" fontId="33" numFmtId="49" xfId="0" applyAlignment="1" applyBorder="1" applyFont="1" applyNumberFormat="1">
      <alignment horizontal="right" vertical="center"/>
    </xf>
    <xf borderId="37" fillId="9" fontId="46" numFmtId="3" xfId="0" applyAlignment="1" applyBorder="1" applyFont="1" applyNumberFormat="1">
      <alignment horizontal="right" vertical="center"/>
    </xf>
    <xf borderId="34" fillId="9" fontId="33" numFmtId="0" xfId="0" applyAlignment="1" applyBorder="1" applyFont="1">
      <alignment horizontal="center" readingOrder="0" vertical="center"/>
    </xf>
    <xf borderId="37" fillId="10" fontId="45" numFmtId="0" xfId="0" applyAlignment="1" applyBorder="1" applyFont="1">
      <alignment horizontal="center" vertical="center"/>
    </xf>
    <xf borderId="37" fillId="10" fontId="27" numFmtId="0" xfId="0" applyAlignment="1" applyBorder="1" applyFont="1">
      <alignment horizontal="center" vertical="center"/>
    </xf>
    <xf borderId="40" fillId="9" fontId="33" numFmtId="0" xfId="0" applyAlignment="1" applyBorder="1" applyFont="1">
      <alignment readingOrder="0" vertical="center"/>
    </xf>
    <xf borderId="40" fillId="9" fontId="33" numFmtId="49" xfId="0" applyAlignment="1" applyBorder="1" applyFont="1" applyNumberFormat="1">
      <alignment readingOrder="0" vertical="center"/>
    </xf>
    <xf borderId="37" fillId="9" fontId="46" numFmtId="46" xfId="0" applyAlignment="1" applyBorder="1" applyFont="1" applyNumberFormat="1">
      <alignment horizontal="right" vertical="center"/>
    </xf>
    <xf borderId="0" fillId="9" fontId="33" numFmtId="49" xfId="0" applyAlignment="1" applyFont="1" applyNumberFormat="1">
      <alignment readingOrder="0" vertical="center"/>
    </xf>
    <xf borderId="0" fillId="11" fontId="33" numFmtId="0" xfId="0" applyAlignment="1" applyFont="1">
      <alignment vertical="center"/>
    </xf>
    <xf borderId="37" fillId="11" fontId="33" numFmtId="0" xfId="0" applyAlignment="1" applyBorder="1" applyFont="1">
      <alignment horizontal="right"/>
    </xf>
    <xf borderId="37" fillId="12" fontId="47" numFmtId="0" xfId="0" applyAlignment="1" applyBorder="1" applyFont="1">
      <alignment horizontal="center" vertical="center"/>
    </xf>
    <xf borderId="34" fillId="11" fontId="33" numFmtId="0" xfId="0" applyAlignment="1" applyBorder="1" applyFont="1">
      <alignment horizontal="center" vertical="center"/>
    </xf>
    <xf borderId="34" fillId="11" fontId="33" numFmtId="0" xfId="0" applyAlignment="1" applyBorder="1" applyFont="1">
      <alignment horizontal="center" vertical="center"/>
    </xf>
    <xf borderId="34" fillId="11" fontId="33" numFmtId="2" xfId="0" applyAlignment="1" applyBorder="1" applyFont="1" applyNumberFormat="1">
      <alignment horizontal="right" vertical="center"/>
    </xf>
    <xf borderId="34" fillId="11" fontId="33" numFmtId="49" xfId="0" applyAlignment="1" applyBorder="1" applyFont="1" applyNumberFormat="1">
      <alignment horizontal="right" vertical="center"/>
    </xf>
    <xf borderId="37" fillId="11" fontId="46" numFmtId="0" xfId="0" applyAlignment="1" applyBorder="1" applyFont="1">
      <alignment horizontal="right" vertical="center"/>
    </xf>
    <xf borderId="37" fillId="11" fontId="46" numFmtId="0" xfId="0" applyAlignment="1" applyBorder="1" applyFont="1">
      <alignment horizontal="center" vertical="center"/>
    </xf>
    <xf borderId="37" fillId="11" fontId="46" numFmtId="3" xfId="0" applyAlignment="1" applyBorder="1" applyFont="1" applyNumberFormat="1">
      <alignment horizontal="right" vertical="center"/>
    </xf>
    <xf borderId="37" fillId="11" fontId="33" numFmtId="49" xfId="0" applyAlignment="1" applyBorder="1" applyFont="1" applyNumberFormat="1">
      <alignment horizontal="right" vertical="center"/>
    </xf>
    <xf borderId="37" fillId="12" fontId="27" numFmtId="0" xfId="0" applyAlignment="1" applyBorder="1" applyFont="1">
      <alignment horizontal="center" vertical="center"/>
    </xf>
    <xf borderId="37" fillId="12" fontId="47" numFmtId="0" xfId="0" applyAlignment="1" applyBorder="1" applyFont="1">
      <alignment horizontal="center" readingOrder="0" vertical="center"/>
    </xf>
    <xf borderId="37" fillId="12" fontId="27" numFmtId="0" xfId="0" applyAlignment="1" applyBorder="1" applyFont="1">
      <alignment horizontal="center" readingOrder="0" vertical="center"/>
    </xf>
    <xf borderId="34" fillId="11" fontId="33" numFmtId="0" xfId="0" applyAlignment="1" applyBorder="1" applyFont="1">
      <alignment horizontal="center" readingOrder="0" vertical="center"/>
    </xf>
    <xf borderId="37" fillId="11" fontId="46" numFmtId="46" xfId="0" applyAlignment="1" applyBorder="1" applyFont="1" applyNumberFormat="1">
      <alignment horizontal="right" vertical="center"/>
    </xf>
    <xf borderId="0" fillId="13" fontId="33" numFmtId="0" xfId="0" applyAlignment="1" applyFont="1">
      <alignment vertical="center"/>
    </xf>
    <xf borderId="37" fillId="13" fontId="33" numFmtId="0" xfId="0" applyAlignment="1" applyBorder="1" applyFont="1">
      <alignment horizontal="right"/>
    </xf>
    <xf borderId="37" fillId="14" fontId="48" numFmtId="0" xfId="0" applyAlignment="1" applyBorder="1" applyFont="1">
      <alignment horizontal="center" vertical="center"/>
    </xf>
    <xf borderId="34" fillId="13" fontId="33" numFmtId="0" xfId="0" applyAlignment="1" applyBorder="1" applyFont="1">
      <alignment horizontal="center" vertical="center"/>
    </xf>
    <xf borderId="34" fillId="13" fontId="33" numFmtId="2" xfId="0" applyAlignment="1" applyBorder="1" applyFont="1" applyNumberFormat="1">
      <alignment horizontal="right" vertical="center"/>
    </xf>
    <xf borderId="34" fillId="13" fontId="33" numFmtId="49" xfId="0" applyAlignment="1" applyBorder="1" applyFont="1" applyNumberFormat="1">
      <alignment horizontal="right" vertical="center"/>
    </xf>
    <xf borderId="37" fillId="13" fontId="46" numFmtId="0" xfId="0" applyAlignment="1" applyBorder="1" applyFont="1">
      <alignment horizontal="right" vertical="center"/>
    </xf>
    <xf borderId="37" fillId="13" fontId="46" numFmtId="0" xfId="0" applyAlignment="1" applyBorder="1" applyFont="1">
      <alignment horizontal="center" vertical="center"/>
    </xf>
    <xf borderId="37" fillId="13" fontId="46" numFmtId="3" xfId="0" applyAlignment="1" applyBorder="1" applyFont="1" applyNumberFormat="1">
      <alignment horizontal="right" vertical="center"/>
    </xf>
    <xf borderId="37" fillId="13" fontId="33" numFmtId="49" xfId="0" applyAlignment="1" applyBorder="1" applyFont="1" applyNumberFormat="1">
      <alignment horizontal="right" vertical="center"/>
    </xf>
    <xf borderId="37" fillId="14" fontId="27" numFmtId="0" xfId="0" applyAlignment="1" applyBorder="1" applyFont="1">
      <alignment horizontal="center" vertical="center"/>
    </xf>
    <xf borderId="0" fillId="15" fontId="33" numFmtId="0" xfId="0" applyAlignment="1" applyFont="1">
      <alignment vertical="center"/>
    </xf>
    <xf borderId="37" fillId="15" fontId="33" numFmtId="0" xfId="0" applyAlignment="1" applyBorder="1" applyFont="1">
      <alignment horizontal="right"/>
    </xf>
    <xf borderId="37" fillId="8" fontId="49" numFmtId="0" xfId="0" applyAlignment="1" applyBorder="1" applyFont="1">
      <alignment horizontal="center" vertical="center"/>
    </xf>
    <xf borderId="34" fillId="15" fontId="33" numFmtId="0" xfId="0" applyAlignment="1" applyBorder="1" applyFont="1">
      <alignment horizontal="center" vertical="center"/>
    </xf>
    <xf borderId="34" fillId="15" fontId="33" numFmtId="0" xfId="0" applyAlignment="1" applyBorder="1" applyFont="1">
      <alignment horizontal="center" vertical="center"/>
    </xf>
    <xf borderId="34" fillId="15" fontId="33" numFmtId="2" xfId="0" applyAlignment="1" applyBorder="1" applyFont="1" applyNumberFormat="1">
      <alignment horizontal="right" vertical="center"/>
    </xf>
    <xf borderId="34" fillId="15" fontId="33" numFmtId="49" xfId="0" applyAlignment="1" applyBorder="1" applyFont="1" applyNumberFormat="1">
      <alignment horizontal="right" vertical="center"/>
    </xf>
    <xf borderId="37" fillId="15" fontId="46" numFmtId="0" xfId="0" applyAlignment="1" applyBorder="1" applyFont="1">
      <alignment horizontal="right" vertical="center"/>
    </xf>
    <xf borderId="37" fillId="15" fontId="46" numFmtId="0" xfId="0" applyAlignment="1" applyBorder="1" applyFont="1">
      <alignment horizontal="center" vertical="center"/>
    </xf>
    <xf borderId="37" fillId="15" fontId="46" numFmtId="3" xfId="0" applyAlignment="1" applyBorder="1" applyFont="1" applyNumberFormat="1">
      <alignment horizontal="right" vertical="center"/>
    </xf>
    <xf borderId="37" fillId="15" fontId="33" numFmtId="49" xfId="0" applyAlignment="1" applyBorder="1" applyFont="1" applyNumberFormat="1">
      <alignment horizontal="right" vertical="center"/>
    </xf>
    <xf borderId="37" fillId="8" fontId="27" numFmtId="0" xfId="0" applyAlignment="1" applyBorder="1" applyFont="1">
      <alignment horizontal="center" vertical="center"/>
    </xf>
    <xf borderId="0" fillId="16" fontId="33" numFmtId="0" xfId="0" applyAlignment="1" applyFont="1">
      <alignment vertical="center"/>
    </xf>
    <xf borderId="37" fillId="16" fontId="33" numFmtId="0" xfId="0" applyAlignment="1" applyBorder="1" applyFont="1">
      <alignment horizontal="right"/>
    </xf>
    <xf borderId="37" fillId="17" fontId="50" numFmtId="0" xfId="0" applyAlignment="1" applyBorder="1" applyFont="1">
      <alignment horizontal="center" readingOrder="0" vertical="center"/>
    </xf>
    <xf borderId="34" fillId="16" fontId="33" numFmtId="0" xfId="0" applyAlignment="1" applyBorder="1" applyFont="1">
      <alignment horizontal="center" vertical="center"/>
    </xf>
    <xf borderId="34" fillId="16" fontId="33" numFmtId="0" xfId="0" applyAlignment="1" applyBorder="1" applyFont="1">
      <alignment horizontal="center" readingOrder="0" vertical="center"/>
    </xf>
    <xf borderId="34" fillId="16" fontId="33" numFmtId="2" xfId="0" applyAlignment="1" applyBorder="1" applyFont="1" applyNumberFormat="1">
      <alignment horizontal="right" vertical="center"/>
    </xf>
    <xf borderId="34" fillId="16" fontId="33" numFmtId="49" xfId="0" applyAlignment="1" applyBorder="1" applyFont="1" applyNumberFormat="1">
      <alignment horizontal="right" vertical="center"/>
    </xf>
    <xf borderId="37" fillId="16" fontId="46" numFmtId="0" xfId="0" applyAlignment="1" applyBorder="1" applyFont="1">
      <alignment horizontal="right" vertical="center"/>
    </xf>
    <xf borderId="37" fillId="16" fontId="46" numFmtId="0" xfId="0" applyAlignment="1" applyBorder="1" applyFont="1">
      <alignment horizontal="center" vertical="center"/>
    </xf>
    <xf borderId="37" fillId="16" fontId="46" numFmtId="3" xfId="0" applyAlignment="1" applyBorder="1" applyFont="1" applyNumberFormat="1">
      <alignment horizontal="right" vertical="center"/>
    </xf>
    <xf borderId="37" fillId="16" fontId="33" numFmtId="49" xfId="0" applyAlignment="1" applyBorder="1" applyFont="1" applyNumberFormat="1">
      <alignment horizontal="right" vertical="center"/>
    </xf>
    <xf borderId="37" fillId="17" fontId="27" numFmtId="0" xfId="0" applyAlignment="1" applyBorder="1" applyFont="1">
      <alignment horizontal="center" readingOrder="0" vertical="center"/>
    </xf>
    <xf borderId="37" fillId="17" fontId="50" numFmtId="0" xfId="0" applyAlignment="1" applyBorder="1" applyFont="1">
      <alignment horizontal="center" vertical="center"/>
    </xf>
    <xf borderId="37" fillId="17" fontId="27" numFmtId="0" xfId="0" applyAlignment="1" applyBorder="1" applyFont="1">
      <alignment horizontal="center" vertical="center"/>
    </xf>
    <xf borderId="0" fillId="16" fontId="33" numFmtId="0" xfId="0" applyAlignment="1" applyFont="1">
      <alignment readingOrder="0" vertical="center"/>
    </xf>
    <xf borderId="0" fillId="16" fontId="33" numFmtId="49" xfId="0" applyAlignment="1" applyFont="1" applyNumberFormat="1">
      <alignment vertical="center"/>
    </xf>
    <xf borderId="37" fillId="16" fontId="33" numFmtId="49" xfId="0" applyAlignment="1" applyBorder="1" applyFont="1" applyNumberFormat="1">
      <alignment horizontal="right"/>
    </xf>
    <xf borderId="0" fillId="4" fontId="33" numFmtId="0" xfId="0" applyAlignment="1" applyFont="1">
      <alignment vertical="center"/>
    </xf>
    <xf borderId="37" fillId="4" fontId="33" numFmtId="0" xfId="0" applyAlignment="1" applyBorder="1" applyFont="1">
      <alignment horizontal="right"/>
    </xf>
    <xf borderId="37" fillId="18" fontId="51" numFmtId="0" xfId="0" applyAlignment="1" applyBorder="1" applyFont="1">
      <alignment horizontal="center" vertical="center"/>
    </xf>
    <xf borderId="34" fillId="4" fontId="33" numFmtId="0" xfId="0" applyAlignment="1" applyBorder="1" applyFont="1">
      <alignment horizontal="center" vertical="center"/>
    </xf>
    <xf borderId="34" fillId="4" fontId="33" numFmtId="0" xfId="0" applyAlignment="1" applyBorder="1" applyFont="1">
      <alignment horizontal="center" readingOrder="0" vertical="center"/>
    </xf>
    <xf borderId="34" fillId="4" fontId="33" numFmtId="2" xfId="0" applyAlignment="1" applyBorder="1" applyFont="1" applyNumberFormat="1">
      <alignment horizontal="right" vertical="center"/>
    </xf>
    <xf borderId="34" fillId="4" fontId="33" numFmtId="49" xfId="0" applyAlignment="1" applyBorder="1" applyFont="1" applyNumberFormat="1">
      <alignment horizontal="right" vertical="center"/>
    </xf>
    <xf borderId="37" fillId="29" fontId="46" numFmtId="0" xfId="0" applyAlignment="1" applyBorder="1" applyFont="1">
      <alignment horizontal="right" vertical="center"/>
    </xf>
    <xf borderId="37" fillId="29" fontId="46" numFmtId="0" xfId="0" applyAlignment="1" applyBorder="1" applyFont="1">
      <alignment horizontal="center" vertical="center"/>
    </xf>
    <xf borderId="37" fillId="29" fontId="46" numFmtId="3" xfId="0" applyAlignment="1" applyBorder="1" applyFont="1" applyNumberFormat="1">
      <alignment horizontal="right" vertical="center"/>
    </xf>
    <xf borderId="37" fillId="4" fontId="33" numFmtId="49" xfId="0" applyAlignment="1" applyBorder="1" applyFont="1" applyNumberFormat="1">
      <alignment horizontal="right" vertical="center"/>
    </xf>
    <xf borderId="37" fillId="18" fontId="27" numFmtId="0" xfId="0" applyAlignment="1" applyBorder="1" applyFont="1">
      <alignment horizontal="center" vertical="center"/>
    </xf>
    <xf borderId="0" fillId="4" fontId="33" numFmtId="0" xfId="0" applyAlignment="1" applyFont="1">
      <alignment readingOrder="0" vertical="center"/>
    </xf>
    <xf borderId="0" fillId="4" fontId="52" numFmtId="0" xfId="0" applyAlignment="1" applyFont="1">
      <alignment horizontal="left" readingOrder="0" vertical="center"/>
    </xf>
    <xf borderId="0" fillId="19" fontId="33" numFmtId="0" xfId="0" applyAlignment="1" applyFont="1">
      <alignment vertical="center"/>
    </xf>
    <xf borderId="37" fillId="19" fontId="33" numFmtId="0" xfId="0" applyAlignment="1" applyBorder="1" applyFont="1">
      <alignment horizontal="right"/>
    </xf>
    <xf borderId="37" fillId="20" fontId="53" numFmtId="0" xfId="0" applyAlignment="1" applyBorder="1" applyFont="1">
      <alignment horizontal="center" vertical="center"/>
    </xf>
    <xf borderId="34" fillId="19" fontId="33" numFmtId="0" xfId="0" applyAlignment="1" applyBorder="1" applyFont="1">
      <alignment horizontal="center" vertical="center"/>
    </xf>
    <xf borderId="34" fillId="19" fontId="33" numFmtId="0" xfId="0" applyAlignment="1" applyBorder="1" applyFont="1">
      <alignment horizontal="center" readingOrder="0" vertical="center"/>
    </xf>
    <xf borderId="34" fillId="19" fontId="33" numFmtId="2" xfId="0" applyAlignment="1" applyBorder="1" applyFont="1" applyNumberFormat="1">
      <alignment horizontal="right" vertical="center"/>
    </xf>
    <xf borderId="34" fillId="19" fontId="33" numFmtId="49" xfId="0" applyAlignment="1" applyBorder="1" applyFont="1" applyNumberFormat="1">
      <alignment horizontal="right" vertical="center"/>
    </xf>
    <xf borderId="37" fillId="19" fontId="46" numFmtId="0" xfId="0" applyAlignment="1" applyBorder="1" applyFont="1">
      <alignment horizontal="right" vertical="center"/>
    </xf>
    <xf borderId="37" fillId="19" fontId="46" numFmtId="0" xfId="0" applyAlignment="1" applyBorder="1" applyFont="1">
      <alignment horizontal="center" vertical="center"/>
    </xf>
    <xf borderId="37" fillId="19" fontId="46" numFmtId="3" xfId="0" applyAlignment="1" applyBorder="1" applyFont="1" applyNumberFormat="1">
      <alignment horizontal="right" vertical="center"/>
    </xf>
    <xf borderId="37" fillId="19" fontId="33" numFmtId="49" xfId="0" applyAlignment="1" applyBorder="1" applyFont="1" applyNumberFormat="1">
      <alignment horizontal="right" vertical="center"/>
    </xf>
    <xf borderId="37" fillId="20" fontId="27" numFmtId="0" xfId="0" applyAlignment="1" applyBorder="1" applyFont="1">
      <alignment horizontal="center" vertical="center"/>
    </xf>
    <xf borderId="37" fillId="19" fontId="46" numFmtId="46" xfId="0" applyAlignment="1" applyBorder="1" applyFont="1" applyNumberFormat="1">
      <alignment horizontal="right" vertical="center"/>
    </xf>
    <xf borderId="0" fillId="19" fontId="33" numFmtId="0" xfId="0" applyAlignment="1" applyFont="1">
      <alignment readingOrder="0" vertical="center"/>
    </xf>
    <xf borderId="0" fillId="21" fontId="33" numFmtId="0" xfId="0" applyAlignment="1" applyFont="1">
      <alignment readingOrder="0" vertical="center"/>
    </xf>
    <xf borderId="37" fillId="21" fontId="33" numFmtId="0" xfId="0" applyAlignment="1" applyBorder="1" applyFont="1">
      <alignment horizontal="right"/>
    </xf>
    <xf borderId="37" fillId="22" fontId="54" numFmtId="0" xfId="0" applyAlignment="1" applyBorder="1" applyFont="1">
      <alignment horizontal="center" vertical="center"/>
    </xf>
    <xf borderId="34" fillId="21" fontId="33" numFmtId="0" xfId="0" applyAlignment="1" applyBorder="1" applyFont="1">
      <alignment horizontal="center" readingOrder="0" vertical="center"/>
    </xf>
    <xf borderId="34" fillId="21" fontId="33" numFmtId="2" xfId="0" applyAlignment="1" applyBorder="1" applyFont="1" applyNumberFormat="1">
      <alignment horizontal="right" vertical="center"/>
    </xf>
    <xf borderId="34" fillId="21" fontId="33" numFmtId="49" xfId="0" applyAlignment="1" applyBorder="1" applyFont="1" applyNumberFormat="1">
      <alignment horizontal="right" vertical="center"/>
    </xf>
    <xf borderId="37" fillId="21" fontId="46" numFmtId="0" xfId="0" applyAlignment="1" applyBorder="1" applyFont="1">
      <alignment horizontal="right" vertical="center"/>
    </xf>
    <xf borderId="37" fillId="21" fontId="46" numFmtId="0" xfId="0" applyAlignment="1" applyBorder="1" applyFont="1">
      <alignment horizontal="center" vertical="center"/>
    </xf>
    <xf borderId="37" fillId="21" fontId="46" numFmtId="3" xfId="0" applyAlignment="1" applyBorder="1" applyFont="1" applyNumberFormat="1">
      <alignment horizontal="right" vertical="center"/>
    </xf>
    <xf borderId="37" fillId="21" fontId="33" numFmtId="49" xfId="0" applyAlignment="1" applyBorder="1" applyFont="1" applyNumberFormat="1">
      <alignment horizontal="right" vertical="center"/>
    </xf>
    <xf borderId="37" fillId="22" fontId="27" numFmtId="0" xfId="0" applyAlignment="1" applyBorder="1" applyFont="1">
      <alignment horizontal="center" vertical="center"/>
    </xf>
    <xf borderId="0" fillId="23" fontId="33" numFmtId="0" xfId="0" applyAlignment="1" applyFont="1">
      <alignment vertical="center"/>
    </xf>
    <xf borderId="37" fillId="23" fontId="33" numFmtId="0" xfId="0" applyAlignment="1" applyBorder="1" applyFont="1">
      <alignment horizontal="right"/>
    </xf>
    <xf borderId="37" fillId="24" fontId="55" numFmtId="0" xfId="0" applyAlignment="1" applyBorder="1" applyFont="1">
      <alignment horizontal="center" vertical="center"/>
    </xf>
    <xf borderId="34" fillId="23" fontId="33" numFmtId="0" xfId="0" applyAlignment="1" applyBorder="1" applyFont="1">
      <alignment horizontal="center" vertical="center"/>
    </xf>
    <xf borderId="34" fillId="23" fontId="33" numFmtId="0" xfId="0" applyAlignment="1" applyBorder="1" applyFont="1">
      <alignment horizontal="center" readingOrder="0" vertical="center"/>
    </xf>
    <xf borderId="34" fillId="23" fontId="33" numFmtId="2" xfId="0" applyAlignment="1" applyBorder="1" applyFont="1" applyNumberFormat="1">
      <alignment horizontal="right" vertical="center"/>
    </xf>
    <xf borderId="34" fillId="23" fontId="33" numFmtId="49" xfId="0" applyAlignment="1" applyBorder="1" applyFont="1" applyNumberFormat="1">
      <alignment horizontal="right" vertical="center"/>
    </xf>
    <xf borderId="37" fillId="23" fontId="46" numFmtId="0" xfId="0" applyAlignment="1" applyBorder="1" applyFont="1">
      <alignment horizontal="right" vertical="center"/>
    </xf>
    <xf borderId="37" fillId="23" fontId="46" numFmtId="0" xfId="0" applyAlignment="1" applyBorder="1" applyFont="1">
      <alignment horizontal="center" vertical="center"/>
    </xf>
    <xf borderId="37" fillId="23" fontId="46" numFmtId="3" xfId="0" applyAlignment="1" applyBorder="1" applyFont="1" applyNumberFormat="1">
      <alignment horizontal="right" vertical="center"/>
    </xf>
    <xf borderId="37" fillId="23" fontId="33" numFmtId="49" xfId="0" applyAlignment="1" applyBorder="1" applyFont="1" applyNumberFormat="1">
      <alignment horizontal="right" vertical="center"/>
    </xf>
    <xf borderId="37" fillId="24" fontId="27" numFmtId="0" xfId="0" applyAlignment="1" applyBorder="1" applyFont="1">
      <alignment horizontal="center" vertical="center"/>
    </xf>
    <xf borderId="37" fillId="24" fontId="55" numFmtId="0" xfId="0" applyAlignment="1" applyBorder="1" applyFont="1">
      <alignment horizontal="center" vertical="center"/>
    </xf>
    <xf borderId="34" fillId="23" fontId="33" numFmtId="0" xfId="0" applyAlignment="1" applyBorder="1" applyFont="1">
      <alignment horizontal="center" vertical="center"/>
    </xf>
    <xf borderId="37" fillId="24" fontId="27" numFmtId="0" xfId="0" applyAlignment="1" applyBorder="1" applyFont="1">
      <alignment horizontal="center" vertical="center"/>
    </xf>
    <xf borderId="37" fillId="24" fontId="55" numFmtId="0" xfId="0" applyAlignment="1" applyBorder="1" applyFont="1">
      <alignment horizontal="center" readingOrder="0" vertical="center"/>
    </xf>
    <xf borderId="0" fillId="23" fontId="46" numFmtId="3" xfId="0" applyAlignment="1" applyFont="1" applyNumberFormat="1">
      <alignment horizontal="right" vertical="center"/>
    </xf>
    <xf borderId="37" fillId="24" fontId="27" numFmtId="0" xfId="0" applyAlignment="1" applyBorder="1" applyFont="1">
      <alignment horizontal="center" readingOrder="0" vertical="center"/>
    </xf>
    <xf borderId="0" fillId="23" fontId="33" numFmtId="0" xfId="0" applyFont="1"/>
    <xf borderId="37" fillId="24" fontId="55" numFmtId="0" xfId="0" applyAlignment="1" applyBorder="1" applyFont="1">
      <alignment horizontal="center"/>
    </xf>
    <xf borderId="34" fillId="23" fontId="33" numFmtId="0" xfId="0" applyAlignment="1" applyBorder="1" applyFont="1">
      <alignment horizontal="center"/>
    </xf>
    <xf borderId="34" fillId="23" fontId="33" numFmtId="0" xfId="0" applyAlignment="1" applyBorder="1" applyFont="1">
      <alignment horizontal="center" readingOrder="0"/>
    </xf>
    <xf borderId="34" fillId="23" fontId="33" numFmtId="2" xfId="0" applyAlignment="1" applyBorder="1" applyFont="1" applyNumberFormat="1">
      <alignment horizontal="right"/>
    </xf>
    <xf borderId="34" fillId="23" fontId="33" numFmtId="49" xfId="0" applyAlignment="1" applyBorder="1" applyFont="1" applyNumberFormat="1">
      <alignment horizontal="right"/>
    </xf>
    <xf borderId="37" fillId="23" fontId="33" numFmtId="46" xfId="0" applyAlignment="1" applyBorder="1" applyFont="1" applyNumberFormat="1">
      <alignment horizontal="right"/>
    </xf>
    <xf borderId="37" fillId="23" fontId="46" numFmtId="0" xfId="0" applyAlignment="1" applyBorder="1" applyFont="1">
      <alignment horizontal="right"/>
    </xf>
    <xf borderId="0" fillId="23" fontId="46" numFmtId="3" xfId="0" applyAlignment="1" applyFont="1" applyNumberFormat="1">
      <alignment horizontal="right"/>
    </xf>
    <xf borderId="37" fillId="23" fontId="46" numFmtId="3" xfId="0" applyAlignment="1" applyBorder="1" applyFont="1" applyNumberFormat="1">
      <alignment horizontal="right"/>
    </xf>
    <xf borderId="37" fillId="23" fontId="33" numFmtId="49" xfId="0" applyAlignment="1" applyBorder="1" applyFont="1" applyNumberFormat="1">
      <alignment horizontal="right"/>
    </xf>
    <xf borderId="37" fillId="23" fontId="46" numFmtId="46" xfId="0" applyAlignment="1" applyBorder="1" applyFont="1" applyNumberFormat="1">
      <alignment horizontal="right"/>
    </xf>
    <xf borderId="37" fillId="23" fontId="46" numFmtId="0" xfId="0" applyAlignment="1" applyBorder="1" applyFont="1">
      <alignment horizontal="center"/>
    </xf>
    <xf borderId="0" fillId="23" fontId="33" numFmtId="0" xfId="0" applyAlignment="1" applyFont="1">
      <alignment readingOrder="0"/>
    </xf>
    <xf borderId="0" fillId="25" fontId="33" numFmtId="0" xfId="0" applyFont="1"/>
    <xf borderId="37" fillId="25" fontId="33" numFmtId="0" xfId="0" applyAlignment="1" applyBorder="1" applyFont="1">
      <alignment horizontal="right"/>
    </xf>
    <xf borderId="37" fillId="26" fontId="56" numFmtId="0" xfId="0" applyAlignment="1" applyBorder="1" applyFont="1">
      <alignment horizontal="center"/>
    </xf>
    <xf borderId="34" fillId="25" fontId="33" numFmtId="0" xfId="0" applyAlignment="1" applyBorder="1" applyFont="1">
      <alignment horizontal="center"/>
    </xf>
    <xf borderId="34" fillId="25" fontId="33" numFmtId="2" xfId="0" applyAlignment="1" applyBorder="1" applyFont="1" applyNumberFormat="1">
      <alignment horizontal="right"/>
    </xf>
    <xf borderId="34" fillId="25" fontId="33" numFmtId="49" xfId="0" applyAlignment="1" applyBorder="1" applyFont="1" applyNumberFormat="1">
      <alignment horizontal="right"/>
    </xf>
    <xf borderId="37" fillId="25" fontId="46" numFmtId="0" xfId="0" applyAlignment="1" applyBorder="1" applyFont="1">
      <alignment horizontal="right"/>
    </xf>
    <xf borderId="37" fillId="25" fontId="46" numFmtId="0" xfId="0" applyAlignment="1" applyBorder="1" applyFont="1">
      <alignment horizontal="center"/>
    </xf>
    <xf borderId="0" fillId="25" fontId="46" numFmtId="3" xfId="0" applyAlignment="1" applyFont="1" applyNumberFormat="1">
      <alignment horizontal="right"/>
    </xf>
    <xf borderId="37" fillId="25" fontId="46" numFmtId="3" xfId="0" applyAlignment="1" applyBorder="1" applyFont="1" applyNumberFormat="1">
      <alignment horizontal="right"/>
    </xf>
    <xf borderId="37" fillId="26" fontId="27" numFmtId="0" xfId="0" applyAlignment="1" applyBorder="1" applyFont="1">
      <alignment horizontal="center" vertical="center"/>
    </xf>
    <xf borderId="37" fillId="25" fontId="33" numFmtId="49" xfId="0" applyAlignment="1" applyBorder="1" applyFont="1" applyNumberFormat="1">
      <alignment horizontal="right"/>
    </xf>
    <xf borderId="0" fillId="25" fontId="33" numFmtId="49" xfId="0" applyFont="1" applyNumberFormat="1"/>
    <xf borderId="34" fillId="25" fontId="33" numFmtId="0" xfId="0" applyAlignment="1" applyBorder="1" applyFont="1">
      <alignment horizontal="center" readingOrder="0"/>
    </xf>
    <xf borderId="0" fillId="30" fontId="33" numFmtId="49" xfId="0" applyFont="1" applyNumberFormat="1"/>
    <xf borderId="37" fillId="30" fontId="33" numFmtId="49" xfId="0" applyAlignment="1" applyBorder="1" applyFont="1" applyNumberFormat="1">
      <alignment horizontal="right"/>
    </xf>
    <xf borderId="37" fillId="31" fontId="56" numFmtId="0" xfId="0" applyAlignment="1" applyBorder="1" applyFont="1">
      <alignment horizontal="center"/>
    </xf>
    <xf borderId="34" fillId="30" fontId="33" numFmtId="0" xfId="0" applyAlignment="1" applyBorder="1" applyFont="1">
      <alignment horizontal="center"/>
    </xf>
    <xf borderId="34" fillId="30" fontId="33" numFmtId="2" xfId="0" applyAlignment="1" applyBorder="1" applyFont="1" applyNumberFormat="1">
      <alignment horizontal="right"/>
    </xf>
    <xf borderId="34" fillId="30" fontId="33" numFmtId="49" xfId="0" applyAlignment="1" applyBorder="1" applyFont="1" applyNumberFormat="1">
      <alignment horizontal="right"/>
    </xf>
    <xf borderId="37" fillId="30" fontId="33" numFmtId="0" xfId="0" applyAlignment="1" applyBorder="1" applyFont="1">
      <alignment horizontal="right"/>
    </xf>
    <xf borderId="37" fillId="30" fontId="46" numFmtId="0" xfId="0" applyAlignment="1" applyBorder="1" applyFont="1">
      <alignment horizontal="right"/>
    </xf>
    <xf borderId="37" fillId="30" fontId="46" numFmtId="0" xfId="0" applyAlignment="1" applyBorder="1" applyFont="1">
      <alignment horizontal="center"/>
    </xf>
    <xf borderId="37" fillId="30" fontId="46" numFmtId="3" xfId="0" applyAlignment="1" applyBorder="1" applyFont="1" applyNumberFormat="1">
      <alignment horizontal="right"/>
    </xf>
    <xf borderId="37" fillId="31" fontId="27" numFmtId="0" xfId="0" applyAlignment="1" applyBorder="1" applyFont="1">
      <alignment horizontal="center" vertical="center"/>
    </xf>
    <xf borderId="0" fillId="30" fontId="33" numFmtId="49" xfId="0" applyAlignment="1" applyFont="1" applyNumberFormat="1">
      <alignment readingOrder="0"/>
    </xf>
    <xf borderId="40" fillId="29" fontId="33" numFmtId="49" xfId="0" applyBorder="1" applyFont="1" applyNumberFormat="1"/>
    <xf borderId="37" fillId="29" fontId="33" numFmtId="190" xfId="0" applyAlignment="1" applyBorder="1" applyFont="1" applyNumberFormat="1">
      <alignment horizontal="right"/>
    </xf>
    <xf borderId="37" fillId="28" fontId="45" numFmtId="0" xfId="0" applyAlignment="1" applyBorder="1" applyFont="1">
      <alignment horizontal="center"/>
    </xf>
    <xf borderId="34" fillId="29" fontId="33" numFmtId="0" xfId="0" applyAlignment="1" applyBorder="1" applyFont="1">
      <alignment horizontal="center"/>
    </xf>
    <xf borderId="34" fillId="29" fontId="33" numFmtId="2" xfId="0" applyAlignment="1" applyBorder="1" applyFont="1" applyNumberFormat="1">
      <alignment horizontal="right"/>
    </xf>
    <xf borderId="34" fillId="29" fontId="33" numFmtId="49" xfId="0" applyAlignment="1" applyBorder="1" applyFont="1" applyNumberFormat="1">
      <alignment horizontal="right"/>
    </xf>
    <xf borderId="37" fillId="29" fontId="33" numFmtId="0" xfId="0" applyAlignment="1" applyBorder="1" applyFont="1">
      <alignment horizontal="right"/>
    </xf>
    <xf borderId="37" fillId="29" fontId="46" numFmtId="0" xfId="0" applyAlignment="1" applyBorder="1" applyFont="1">
      <alignment horizontal="right"/>
    </xf>
    <xf borderId="37" fillId="29" fontId="46" numFmtId="0" xfId="0" applyAlignment="1" applyBorder="1" applyFont="1">
      <alignment horizontal="center"/>
    </xf>
    <xf borderId="37" fillId="29" fontId="46" numFmtId="3" xfId="0" applyAlignment="1" applyBorder="1" applyFont="1" applyNumberFormat="1">
      <alignment horizontal="right"/>
    </xf>
    <xf borderId="37" fillId="29" fontId="33" numFmtId="49" xfId="0" applyAlignment="1" applyBorder="1" applyFont="1" applyNumberFormat="1">
      <alignment horizontal="right"/>
    </xf>
    <xf borderId="37" fillId="28" fontId="27" numFmtId="0" xfId="0" applyAlignment="1" applyBorder="1" applyFont="1">
      <alignment horizontal="center" vertical="center"/>
    </xf>
    <xf borderId="34" fillId="29" fontId="33" numFmtId="0" xfId="0" applyAlignment="1" applyBorder="1" applyFont="1">
      <alignment horizontal="center" readingOrder="0"/>
    </xf>
    <xf borderId="37" fillId="29" fontId="33" numFmtId="11" xfId="0" applyAlignment="1" applyBorder="1" applyFont="1" applyNumberFormat="1">
      <alignment horizontal="right"/>
    </xf>
    <xf borderId="37" fillId="29" fontId="46" numFmtId="11" xfId="0" applyAlignment="1" applyBorder="1" applyFont="1" applyNumberFormat="1">
      <alignment horizontal="right"/>
    </xf>
    <xf borderId="40" fillId="29" fontId="33" numFmtId="2" xfId="0" applyBorder="1" applyFont="1" applyNumberFormat="1"/>
    <xf borderId="40" fillId="29" fontId="33" numFmtId="2" xfId="0" applyAlignment="1" applyBorder="1" applyFont="1" applyNumberFormat="1">
      <alignment readingOrder="0"/>
    </xf>
    <xf borderId="48" fillId="5" fontId="57" numFmtId="0" xfId="0" applyAlignment="1" applyBorder="1" applyFont="1">
      <alignment readingOrder="0"/>
    </xf>
    <xf borderId="49" fillId="17" fontId="36" numFmtId="0" xfId="0" applyAlignment="1" applyBorder="1" applyFont="1">
      <alignment readingOrder="0" shrinkToFit="0" wrapText="1"/>
    </xf>
    <xf borderId="50" fillId="5" fontId="13" numFmtId="0" xfId="0" applyBorder="1" applyFont="1"/>
    <xf borderId="50" fillId="5" fontId="13" numFmtId="0" xfId="0" applyAlignment="1" applyBorder="1" applyFont="1">
      <alignment readingOrder="0"/>
    </xf>
    <xf borderId="50" fillId="5" fontId="58" numFmtId="0" xfId="0" applyAlignment="1" applyBorder="1" applyFont="1">
      <alignment horizontal="right" readingOrder="0"/>
    </xf>
    <xf borderId="51" fillId="5" fontId="13" numFmtId="0" xfId="0" applyBorder="1" applyFont="1"/>
    <xf borderId="52" fillId="16" fontId="36" numFmtId="0" xfId="0" applyAlignment="1" applyBorder="1" applyFont="1">
      <alignment readingOrder="0" shrinkToFit="0" wrapText="1"/>
    </xf>
    <xf borderId="53" fillId="16" fontId="36" numFmtId="0" xfId="0" applyAlignment="1" applyBorder="1" applyFont="1">
      <alignment readingOrder="0" shrinkToFit="0" wrapText="1"/>
    </xf>
    <xf borderId="49" fillId="6" fontId="59" numFmtId="0" xfId="0" applyAlignment="1" applyBorder="1" applyFont="1">
      <alignment horizontal="left" readingOrder="0" shrinkToFit="0" vertical="center" wrapText="0"/>
    </xf>
    <xf borderId="48" fillId="5" fontId="13" numFmtId="0" xfId="0" applyBorder="1" applyFont="1"/>
    <xf borderId="48" fillId="5" fontId="58" numFmtId="0" xfId="0" applyAlignment="1" applyBorder="1" applyFont="1">
      <alignment horizontal="right" readingOrder="0"/>
    </xf>
    <xf borderId="54" fillId="5" fontId="13" numFmtId="0" xfId="0" applyBorder="1" applyFont="1"/>
    <xf borderId="52" fillId="13" fontId="13" numFmtId="0" xfId="0" applyAlignment="1" applyBorder="1" applyFont="1">
      <alignment readingOrder="0" shrinkToFit="0" wrapText="1"/>
    </xf>
    <xf borderId="53" fillId="13" fontId="13" numFmtId="0" xfId="0" applyAlignment="1" applyBorder="1" applyFont="1">
      <alignment readingOrder="0" shrinkToFit="0" wrapText="1"/>
    </xf>
    <xf borderId="49" fillId="15" fontId="36" numFmtId="0" xfId="0" applyAlignment="1" applyBorder="1" applyFont="1">
      <alignment shrinkToFit="0" wrapText="1"/>
    </xf>
    <xf borderId="52" fillId="15" fontId="13" numFmtId="0" xfId="0" applyAlignment="1" applyBorder="1" applyFont="1">
      <alignment readingOrder="0" shrinkToFit="0" wrapText="1"/>
    </xf>
    <xf borderId="53" fillId="15" fontId="13" numFmtId="0" xfId="0" applyAlignment="1" applyBorder="1" applyFont="1">
      <alignment readingOrder="0" shrinkToFit="0" wrapText="1"/>
    </xf>
    <xf borderId="2" fillId="29" fontId="13" numFmtId="0" xfId="0" applyAlignment="1" applyBorder="1" applyFont="1">
      <alignment horizontal="center" vertical="bottom"/>
    </xf>
    <xf borderId="0" fillId="26" fontId="60" numFmtId="0" xfId="0" applyAlignment="1" applyFont="1">
      <alignment horizontal="center" readingOrder="0" shrinkToFit="0" wrapText="0"/>
    </xf>
    <xf borderId="0" fillId="24" fontId="61" numFmtId="0" xfId="0" applyAlignment="1" applyFont="1">
      <alignment readingOrder="0"/>
    </xf>
    <xf borderId="3" fillId="24" fontId="61" numFmtId="0" xfId="0" applyAlignment="1" applyBorder="1" applyFont="1">
      <alignment readingOrder="0"/>
    </xf>
    <xf borderId="35" fillId="24" fontId="13" numFmtId="0" xfId="0" applyAlignment="1" applyBorder="1" applyFont="1">
      <alignment horizontal="center" readingOrder="0" vertical="bottom"/>
    </xf>
    <xf borderId="4" fillId="24" fontId="13" numFmtId="0" xfId="0" applyAlignment="1" applyBorder="1" applyFont="1">
      <alignment horizontal="center" readingOrder="0" vertical="bottom"/>
    </xf>
    <xf borderId="2" fillId="20" fontId="13" numFmtId="0" xfId="0" applyAlignment="1" applyBorder="1" applyFont="1">
      <alignment horizontal="center" readingOrder="0" vertical="bottom"/>
    </xf>
    <xf borderId="0" fillId="0" fontId="13" numFmtId="0" xfId="0" applyAlignment="1" applyFont="1">
      <alignment horizontal="left" vertical="bottom"/>
    </xf>
    <xf borderId="55" fillId="17" fontId="13" numFmtId="46" xfId="0" applyAlignment="1" applyBorder="1" applyFont="1" applyNumberFormat="1">
      <alignment shrinkToFit="0" wrapText="1"/>
    </xf>
    <xf borderId="56" fillId="32" fontId="62" numFmtId="0" xfId="0" applyAlignment="1" applyBorder="1" applyFill="1" applyFont="1">
      <alignment horizontal="center" shrinkToFit="0" vertical="center" wrapText="1"/>
    </xf>
    <xf borderId="57" fillId="0" fontId="6" numFmtId="0" xfId="0" applyBorder="1" applyFont="1"/>
    <xf borderId="58" fillId="0" fontId="6" numFmtId="0" xfId="0" applyBorder="1" applyFont="1"/>
    <xf borderId="52" fillId="16" fontId="63" numFmtId="0" xfId="0" applyAlignment="1" applyBorder="1" applyFont="1">
      <alignment horizontal="right" readingOrder="0" shrinkToFit="0" vertical="center" wrapText="0"/>
    </xf>
    <xf borderId="53" fillId="0" fontId="6" numFmtId="0" xfId="0" applyBorder="1" applyFont="1"/>
    <xf borderId="55" fillId="17" fontId="13" numFmtId="11" xfId="0" applyAlignment="1" applyBorder="1" applyFont="1" applyNumberFormat="1">
      <alignment vertical="bottom"/>
    </xf>
    <xf borderId="59" fillId="17" fontId="13" numFmtId="46" xfId="0" applyAlignment="1" applyBorder="1" applyFont="1" applyNumberFormat="1">
      <alignment vertical="bottom"/>
    </xf>
    <xf borderId="60" fillId="14" fontId="13" numFmtId="0" xfId="0" applyAlignment="1" applyBorder="1" applyFont="1">
      <alignment shrinkToFit="0" wrapText="1"/>
    </xf>
    <xf borderId="56" fillId="6" fontId="62" numFmtId="0" xfId="0" applyAlignment="1" applyBorder="1" applyFont="1">
      <alignment horizontal="center" shrinkToFit="0" vertical="center" wrapText="1"/>
    </xf>
    <xf borderId="56" fillId="13" fontId="63" numFmtId="0" xfId="0" applyAlignment="1" applyBorder="1" applyFont="1">
      <alignment horizontal="right" readingOrder="0" shrinkToFit="0" vertical="center" wrapText="0"/>
    </xf>
    <xf borderId="55" fillId="14" fontId="13" numFmtId="11" xfId="0" applyAlignment="1" applyBorder="1" applyFont="1" applyNumberFormat="1">
      <alignment vertical="bottom"/>
    </xf>
    <xf borderId="59" fillId="14" fontId="13" numFmtId="46" xfId="0" applyAlignment="1" applyBorder="1" applyFont="1" applyNumberFormat="1">
      <alignment vertical="bottom"/>
    </xf>
    <xf borderId="60" fillId="8" fontId="13" numFmtId="0" xfId="0" applyAlignment="1" applyBorder="1" applyFont="1">
      <alignment shrinkToFit="0" wrapText="1"/>
    </xf>
    <xf borderId="56" fillId="33" fontId="62" numFmtId="0" xfId="0" applyAlignment="1" applyBorder="1" applyFill="1" applyFont="1">
      <alignment horizontal="center" shrinkToFit="0" vertical="center" wrapText="1"/>
    </xf>
    <xf borderId="56" fillId="15" fontId="63" numFmtId="0" xfId="0" applyAlignment="1" applyBorder="1" applyFont="1">
      <alignment horizontal="right" readingOrder="0" shrinkToFit="0" vertical="center" wrapText="0"/>
    </xf>
    <xf borderId="55" fillId="8" fontId="13" numFmtId="11" xfId="0" applyAlignment="1" applyBorder="1" applyFont="1" applyNumberFormat="1">
      <alignment vertical="bottom"/>
    </xf>
    <xf borderId="59" fillId="8" fontId="13" numFmtId="46" xfId="0" applyAlignment="1" applyBorder="1" applyFont="1" applyNumberFormat="1">
      <alignment vertical="bottom"/>
    </xf>
    <xf borderId="61" fillId="28" fontId="13" numFmtId="0" xfId="0" applyAlignment="1" applyBorder="1" applyFont="1">
      <alignment horizontal="center" vertical="bottom"/>
    </xf>
    <xf borderId="0" fillId="25" fontId="60" numFmtId="0" xfId="0" applyAlignment="1" applyFont="1">
      <alignment horizontal="center" readingOrder="0" shrinkToFit="0" wrapText="0"/>
    </xf>
    <xf borderId="0" fillId="18" fontId="13" numFmtId="0" xfId="0" applyAlignment="1" applyFont="1">
      <alignment horizontal="left" vertical="bottom"/>
    </xf>
    <xf borderId="62" fillId="0" fontId="6" numFmtId="0" xfId="0" applyBorder="1" applyFont="1"/>
    <xf borderId="63" fillId="0" fontId="6" numFmtId="0" xfId="0" applyBorder="1" applyFont="1"/>
    <xf borderId="64" fillId="0" fontId="6" numFmtId="0" xfId="0" applyBorder="1" applyFont="1"/>
    <xf borderId="60" fillId="16" fontId="63" numFmtId="3" xfId="0" applyAlignment="1" applyBorder="1" applyFont="1" applyNumberFormat="1">
      <alignment horizontal="center" shrinkToFit="0" vertical="center" wrapText="1"/>
    </xf>
    <xf borderId="60" fillId="16" fontId="63" numFmtId="4" xfId="0" applyAlignment="1" applyBorder="1" applyFont="1" applyNumberFormat="1">
      <alignment horizontal="center" shrinkToFit="0" vertical="center" wrapText="1"/>
    </xf>
    <xf borderId="65" fillId="14" fontId="13" numFmtId="0" xfId="0" applyAlignment="1" applyBorder="1" applyFont="1">
      <alignment shrinkToFit="0" wrapText="1"/>
    </xf>
    <xf borderId="60" fillId="13" fontId="63" numFmtId="0" xfId="0" applyAlignment="1" applyBorder="1" applyFont="1">
      <alignment horizontal="center" shrinkToFit="0" vertical="center" wrapText="1"/>
    </xf>
    <xf borderId="65" fillId="8" fontId="13" numFmtId="0" xfId="0" applyAlignment="1" applyBorder="1" applyFont="1">
      <alignment shrinkToFit="0" wrapText="1"/>
    </xf>
    <xf borderId="60" fillId="15" fontId="63" numFmtId="0" xfId="0" applyAlignment="1" applyBorder="1" applyFont="1">
      <alignment horizontal="center" shrinkToFit="0" vertical="center" wrapText="1"/>
    </xf>
    <xf borderId="66" fillId="28" fontId="13" numFmtId="0" xfId="0" applyAlignment="1" applyBorder="1" applyFont="1">
      <alignment horizontal="center" vertical="bottom"/>
    </xf>
    <xf borderId="0" fillId="34" fontId="64" numFmtId="0" xfId="0" applyAlignment="1" applyFill="1" applyFont="1">
      <alignment horizontal="center" readingOrder="0" shrinkToFit="0" wrapText="0"/>
    </xf>
    <xf borderId="49" fillId="32" fontId="65" numFmtId="0" xfId="0" applyAlignment="1" applyBorder="1" applyFont="1">
      <alignment horizontal="left" readingOrder="0" shrinkToFit="0" vertical="center" wrapText="0"/>
    </xf>
    <xf borderId="49" fillId="32" fontId="59" numFmtId="0" xfId="0" applyAlignment="1" applyBorder="1" applyFont="1">
      <alignment horizontal="left" readingOrder="0" shrinkToFit="0" vertical="center" wrapText="0"/>
    </xf>
    <xf borderId="49" fillId="6" fontId="65" numFmtId="0" xfId="0" applyAlignment="1" applyBorder="1" applyFont="1">
      <alignment horizontal="left" shrinkToFit="0" vertical="center" wrapText="0"/>
    </xf>
    <xf borderId="49" fillId="6" fontId="59" numFmtId="0" xfId="0" applyAlignment="1" applyBorder="1" applyFont="1">
      <alignment horizontal="left" shrinkToFit="0" vertical="center" wrapText="0"/>
    </xf>
    <xf borderId="49" fillId="33" fontId="65" numFmtId="0" xfId="0" applyAlignment="1" applyBorder="1" applyFont="1">
      <alignment horizontal="left" readingOrder="0" shrinkToFit="0" vertical="center" wrapText="0"/>
    </xf>
    <xf borderId="49" fillId="33" fontId="65" numFmtId="0" xfId="0" applyAlignment="1" applyBorder="1" applyFont="1">
      <alignment horizontal="left" shrinkToFit="0" vertical="center" wrapText="0"/>
    </xf>
    <xf borderId="49" fillId="33" fontId="59" numFmtId="0" xfId="0" applyAlignment="1" applyBorder="1" applyFont="1">
      <alignment horizontal="left" shrinkToFit="0" vertical="center" wrapText="0"/>
    </xf>
    <xf borderId="49" fillId="33" fontId="59" numFmtId="0" xfId="0" applyAlignment="1" applyBorder="1" applyFont="1">
      <alignment horizontal="left" readingOrder="0" shrinkToFit="0" vertical="center" wrapText="0"/>
    </xf>
    <xf borderId="0" fillId="35" fontId="64" numFmtId="0" xfId="0" applyAlignment="1" applyFill="1" applyFont="1">
      <alignment horizontal="center" readingOrder="0" shrinkToFit="0" wrapText="0"/>
    </xf>
    <xf borderId="0" fillId="0" fontId="13" numFmtId="49" xfId="0" applyAlignment="1" applyFont="1" applyNumberFormat="1">
      <alignment horizontal="left" vertical="bottom"/>
    </xf>
    <xf borderId="67" fillId="17" fontId="13" numFmtId="0" xfId="0" applyAlignment="1" applyBorder="1" applyFont="1">
      <alignment horizontal="center" readingOrder="0" shrinkToFit="0" wrapText="0"/>
    </xf>
    <xf borderId="68" fillId="17" fontId="13" numFmtId="0" xfId="0" applyAlignment="1" applyBorder="1" applyFont="1">
      <alignment horizontal="center" readingOrder="0" shrinkToFit="0" wrapText="0"/>
    </xf>
    <xf borderId="69" fillId="17" fontId="13" numFmtId="0" xfId="0" applyAlignment="1" applyBorder="1" applyFont="1">
      <alignment readingOrder="0" shrinkToFit="0" wrapText="0"/>
    </xf>
    <xf borderId="70" fillId="17" fontId="13" numFmtId="0" xfId="0" applyAlignment="1" applyBorder="1" applyFont="1">
      <alignment shrinkToFit="0" wrapText="1"/>
    </xf>
    <xf borderId="71" fillId="17" fontId="13" numFmtId="0" xfId="0" applyAlignment="1" applyBorder="1" applyFont="1">
      <alignment shrinkToFit="0" vertical="bottom" wrapText="1"/>
    </xf>
    <xf borderId="55" fillId="17" fontId="13" numFmtId="11" xfId="0" applyAlignment="1" applyBorder="1" applyFont="1" applyNumberFormat="1">
      <alignment horizontal="right" shrinkToFit="0" vertical="bottom" wrapText="1"/>
    </xf>
    <xf borderId="59" fillId="17" fontId="13" numFmtId="46" xfId="0" applyAlignment="1" applyBorder="1" applyFont="1" applyNumberFormat="1">
      <alignment horizontal="right" shrinkToFit="0" vertical="bottom" wrapText="1"/>
    </xf>
    <xf borderId="72" fillId="14" fontId="13" numFmtId="0" xfId="0" applyAlignment="1" applyBorder="1" applyFont="1">
      <alignment horizontal="center" readingOrder="0" shrinkToFit="0" wrapText="0"/>
    </xf>
    <xf borderId="73" fillId="14" fontId="13" numFmtId="0" xfId="0" applyAlignment="1" applyBorder="1" applyFont="1">
      <alignment horizontal="center" readingOrder="0" shrinkToFit="0" wrapText="0"/>
    </xf>
    <xf borderId="74" fillId="14" fontId="13" numFmtId="0" xfId="0" applyAlignment="1" applyBorder="1" applyFont="1">
      <alignment readingOrder="0" shrinkToFit="0" wrapText="0"/>
    </xf>
    <xf borderId="75" fillId="14" fontId="13" numFmtId="0" xfId="0" applyAlignment="1" applyBorder="1" applyFont="1">
      <alignment shrinkToFit="0" wrapText="1"/>
    </xf>
    <xf borderId="76" fillId="14" fontId="13" numFmtId="0" xfId="0" applyAlignment="1" applyBorder="1" applyFont="1">
      <alignment shrinkToFit="0" vertical="bottom" wrapText="1"/>
    </xf>
    <xf borderId="55" fillId="14" fontId="13" numFmtId="11" xfId="0" applyAlignment="1" applyBorder="1" applyFont="1" applyNumberFormat="1">
      <alignment horizontal="right" shrinkToFit="0" vertical="bottom" wrapText="1"/>
    </xf>
    <xf borderId="59" fillId="14" fontId="13" numFmtId="46" xfId="0" applyAlignment="1" applyBorder="1" applyFont="1" applyNumberFormat="1">
      <alignment horizontal="right" shrinkToFit="0" vertical="bottom" wrapText="1"/>
    </xf>
    <xf borderId="77" fillId="8" fontId="13" numFmtId="0" xfId="0" applyAlignment="1" applyBorder="1" applyFont="1">
      <alignment horizontal="center" readingOrder="0" shrinkToFit="0" wrapText="0"/>
    </xf>
    <xf borderId="78" fillId="8" fontId="13" numFmtId="0" xfId="0" applyAlignment="1" applyBorder="1" applyFont="1">
      <alignment horizontal="center" readingOrder="0" shrinkToFit="0" wrapText="0"/>
    </xf>
    <xf borderId="79" fillId="8" fontId="13" numFmtId="0" xfId="0" applyAlignment="1" applyBorder="1" applyFont="1">
      <alignment readingOrder="0" shrinkToFit="0" wrapText="0"/>
    </xf>
    <xf borderId="80" fillId="8" fontId="13" numFmtId="0" xfId="0" applyAlignment="1" applyBorder="1" applyFont="1">
      <alignment shrinkToFit="0" wrapText="1"/>
    </xf>
    <xf borderId="81" fillId="8" fontId="13" numFmtId="0" xfId="0" applyAlignment="1" applyBorder="1" applyFont="1">
      <alignment shrinkToFit="0" vertical="bottom" wrapText="1"/>
    </xf>
    <xf borderId="55" fillId="8" fontId="13" numFmtId="11" xfId="0" applyAlignment="1" applyBorder="1" applyFont="1" applyNumberFormat="1">
      <alignment horizontal="right" shrinkToFit="0" vertical="bottom" wrapText="1"/>
    </xf>
    <xf borderId="59" fillId="8" fontId="13" numFmtId="46" xfId="0" applyAlignment="1" applyBorder="1" applyFont="1" applyNumberFormat="1">
      <alignment horizontal="right" shrinkToFit="0" vertical="bottom" wrapText="1"/>
    </xf>
    <xf borderId="0" fillId="36" fontId="64" numFmtId="0" xfId="0" applyAlignment="1" applyFill="1" applyFont="1">
      <alignment horizontal="center" readingOrder="0" shrinkToFit="0" wrapText="0"/>
    </xf>
    <xf borderId="82" fillId="17" fontId="13" numFmtId="0" xfId="0" applyAlignment="1" applyBorder="1" applyFont="1">
      <alignment horizontal="center" readingOrder="0" shrinkToFit="0" wrapText="0"/>
    </xf>
    <xf borderId="83" fillId="17" fontId="13" numFmtId="0" xfId="0" applyAlignment="1" applyBorder="1" applyFont="1">
      <alignment horizontal="center" readingOrder="0" shrinkToFit="0" wrapText="0"/>
    </xf>
    <xf borderId="84" fillId="17" fontId="13" numFmtId="0" xfId="0" applyAlignment="1" applyBorder="1" applyFont="1">
      <alignment readingOrder="0" shrinkToFit="0" wrapText="0"/>
    </xf>
    <xf borderId="85" fillId="14" fontId="13" numFmtId="0" xfId="0" applyAlignment="1" applyBorder="1" applyFont="1">
      <alignment horizontal="center" readingOrder="0" shrinkToFit="0" wrapText="0"/>
    </xf>
    <xf borderId="86" fillId="14" fontId="13" numFmtId="0" xfId="0" applyAlignment="1" applyBorder="1" applyFont="1">
      <alignment horizontal="center" readingOrder="0" shrinkToFit="0" wrapText="0"/>
    </xf>
    <xf borderId="87" fillId="14" fontId="13" numFmtId="0" xfId="0" applyAlignment="1" applyBorder="1" applyFont="1">
      <alignment readingOrder="0" shrinkToFit="0" wrapText="0"/>
    </xf>
    <xf borderId="88" fillId="14" fontId="13" numFmtId="0" xfId="0" applyAlignment="1" applyBorder="1" applyFont="1">
      <alignment shrinkToFit="0" wrapText="1"/>
    </xf>
    <xf borderId="89" fillId="14" fontId="13" numFmtId="0" xfId="0" applyAlignment="1" applyBorder="1" applyFont="1">
      <alignment shrinkToFit="0" vertical="bottom" wrapText="1"/>
    </xf>
    <xf borderId="90" fillId="8" fontId="13" numFmtId="0" xfId="0" applyAlignment="1" applyBorder="1" applyFont="1">
      <alignment horizontal="center" readingOrder="0" shrinkToFit="0" wrapText="0"/>
    </xf>
    <xf borderId="91" fillId="8" fontId="13" numFmtId="0" xfId="0" applyAlignment="1" applyBorder="1" applyFont="1">
      <alignment horizontal="center" shrinkToFit="0" wrapText="0"/>
    </xf>
    <xf borderId="92" fillId="8" fontId="13" numFmtId="0" xfId="0" applyAlignment="1" applyBorder="1" applyFont="1">
      <alignment readingOrder="0" shrinkToFit="0" wrapText="0"/>
    </xf>
    <xf borderId="93" fillId="8" fontId="13" numFmtId="0" xfId="0" applyAlignment="1" applyBorder="1" applyFont="1">
      <alignment shrinkToFit="0" wrapText="1"/>
    </xf>
    <xf borderId="94" fillId="8" fontId="13" numFmtId="0" xfId="0" applyAlignment="1" applyBorder="1" applyFont="1">
      <alignment vertical="bottom"/>
    </xf>
    <xf borderId="0" fillId="37" fontId="64" numFmtId="0" xfId="0" applyAlignment="1" applyFill="1" applyFont="1">
      <alignment horizontal="center" readingOrder="0" shrinkToFit="0" wrapText="0"/>
    </xf>
    <xf borderId="84" fillId="17" fontId="13" numFmtId="0" xfId="0" applyAlignment="1" applyBorder="1" applyFont="1">
      <alignment readingOrder="0"/>
    </xf>
    <xf borderId="71" fillId="17" fontId="13" numFmtId="0" xfId="0" applyAlignment="1" applyBorder="1" applyFont="1">
      <alignment vertical="bottom"/>
    </xf>
    <xf borderId="87" fillId="14" fontId="13" numFmtId="0" xfId="0" applyAlignment="1" applyBorder="1" applyFont="1">
      <alignment shrinkToFit="0" wrapText="0"/>
    </xf>
    <xf borderId="89" fillId="14" fontId="13" numFmtId="0" xfId="0" applyAlignment="1" applyBorder="1" applyFont="1">
      <alignment vertical="bottom"/>
    </xf>
    <xf borderId="90" fillId="8" fontId="13" numFmtId="0" xfId="0" applyAlignment="1" applyBorder="1" applyFont="1">
      <alignment horizontal="center" shrinkToFit="0" wrapText="0"/>
    </xf>
    <xf borderId="0" fillId="12" fontId="60" numFmtId="0" xfId="0" applyAlignment="1" applyFont="1">
      <alignment horizontal="center" readingOrder="0" shrinkToFit="0" wrapText="0"/>
    </xf>
    <xf borderId="0" fillId="0" fontId="13" numFmtId="0" xfId="0" applyAlignment="1" applyFont="1">
      <alignment horizontal="left" readingOrder="0" vertical="bottom"/>
    </xf>
    <xf borderId="85" fillId="14" fontId="13" numFmtId="0" xfId="0" applyAlignment="1" applyBorder="1" applyFont="1">
      <alignment horizontal="center" shrinkToFit="0" wrapText="0"/>
    </xf>
    <xf borderId="86" fillId="14" fontId="13" numFmtId="0" xfId="0" applyAlignment="1" applyBorder="1" applyFont="1">
      <alignment horizontal="center" shrinkToFit="0" wrapText="0"/>
    </xf>
    <xf borderId="91" fillId="8" fontId="13" numFmtId="0" xfId="0" applyAlignment="1" applyBorder="1" applyFont="1">
      <alignment horizontal="center" readingOrder="0" shrinkToFit="0" wrapText="0"/>
    </xf>
    <xf borderId="92" fillId="8" fontId="13" numFmtId="0" xfId="0" applyAlignment="1" applyBorder="1" applyFont="1">
      <alignment shrinkToFit="0" wrapText="0"/>
    </xf>
    <xf borderId="0" fillId="11" fontId="60" numFmtId="0" xfId="0" applyAlignment="1" applyFont="1">
      <alignment horizontal="center" readingOrder="0" shrinkToFit="0" wrapText="0"/>
    </xf>
    <xf borderId="0" fillId="0" fontId="13" numFmtId="49" xfId="0" applyAlignment="1" applyFont="1" applyNumberFormat="1">
      <alignment horizontal="left" readingOrder="0" vertical="bottom"/>
    </xf>
    <xf borderId="82" fillId="17" fontId="13" numFmtId="0" xfId="0" applyAlignment="1" applyBorder="1" applyFont="1">
      <alignment horizontal="center" shrinkToFit="0" wrapText="0"/>
    </xf>
    <xf borderId="87" fillId="14" fontId="13" numFmtId="0" xfId="0" applyBorder="1" applyFont="1"/>
    <xf borderId="88" fillId="14" fontId="13" numFmtId="0" xfId="0" applyBorder="1" applyFont="1"/>
    <xf borderId="0" fillId="38" fontId="60" numFmtId="0" xfId="0" applyAlignment="1" applyFill="1" applyFont="1">
      <alignment horizontal="center" readingOrder="0" shrinkToFit="0" wrapText="0"/>
    </xf>
    <xf borderId="87" fillId="14" fontId="13" numFmtId="0" xfId="0" applyAlignment="1" applyBorder="1" applyFont="1">
      <alignment readingOrder="0"/>
    </xf>
    <xf borderId="93" fillId="8" fontId="13" numFmtId="0" xfId="0" applyBorder="1" applyFont="1"/>
    <xf borderId="95" fillId="28" fontId="13" numFmtId="0" xfId="0" applyAlignment="1" applyBorder="1" applyFont="1">
      <alignment horizontal="center" vertical="bottom"/>
    </xf>
    <xf borderId="0" fillId="39" fontId="64" numFmtId="0" xfId="0" applyAlignment="1" applyFill="1" applyFont="1">
      <alignment horizontal="center" readingOrder="0" shrinkToFit="0" wrapText="0"/>
    </xf>
    <xf borderId="0" fillId="0" fontId="61" numFmtId="0" xfId="0" applyAlignment="1" applyFont="1">
      <alignment horizontal="left"/>
    </xf>
    <xf borderId="0" fillId="0" fontId="61" numFmtId="49" xfId="0" applyAlignment="1" applyFont="1" applyNumberFormat="1">
      <alignment horizontal="left"/>
    </xf>
    <xf borderId="92" fillId="8" fontId="13" numFmtId="0" xfId="0" applyAlignment="1" applyBorder="1" applyFont="1">
      <alignment readingOrder="0"/>
    </xf>
    <xf borderId="0" fillId="40" fontId="64" numFmtId="0" xfId="0" applyAlignment="1" applyFill="1" applyFont="1">
      <alignment horizontal="center" readingOrder="0" shrinkToFit="0" wrapText="0"/>
    </xf>
    <xf borderId="0" fillId="41" fontId="64" numFmtId="0" xfId="0" applyAlignment="1" applyFill="1" applyFont="1">
      <alignment horizontal="center" readingOrder="0" shrinkToFit="0" wrapText="0"/>
    </xf>
    <xf borderId="0" fillId="10" fontId="60" numFmtId="0" xfId="0" applyAlignment="1" applyFont="1">
      <alignment horizontal="center" readingOrder="0" shrinkToFit="0" wrapText="0"/>
    </xf>
    <xf borderId="0" fillId="9" fontId="60" numFmtId="0" xfId="0" applyAlignment="1" applyFont="1">
      <alignment horizontal="center" readingOrder="0" shrinkToFit="0" wrapText="0"/>
    </xf>
    <xf borderId="0" fillId="0" fontId="61" numFmtId="0" xfId="0" applyAlignment="1" applyFont="1">
      <alignment horizontal="left" readingOrder="0"/>
    </xf>
    <xf borderId="0" fillId="0" fontId="61" numFmtId="49" xfId="0" applyAlignment="1" applyFont="1" applyNumberFormat="1">
      <alignment horizontal="left" readingOrder="0"/>
    </xf>
    <xf borderId="83" fillId="17" fontId="13" numFmtId="0" xfId="0" applyAlignment="1" applyBorder="1" applyFont="1">
      <alignment horizontal="center" shrinkToFit="0" wrapText="0"/>
    </xf>
    <xf borderId="96" fillId="17" fontId="13" numFmtId="0" xfId="0" applyBorder="1" applyFont="1"/>
    <xf borderId="89" fillId="14" fontId="13" numFmtId="0" xfId="0" applyBorder="1" applyFont="1"/>
    <xf borderId="94" fillId="8" fontId="13" numFmtId="0" xfId="0" applyBorder="1" applyFont="1"/>
    <xf borderId="0" fillId="42" fontId="60" numFmtId="0" xfId="0" applyAlignment="1" applyFill="1" applyFont="1">
      <alignment horizontal="center" readingOrder="0" shrinkToFit="0" wrapText="0"/>
    </xf>
    <xf borderId="0" fillId="43" fontId="60" numFmtId="0" xfId="0" applyAlignment="1" applyFill="1" applyFont="1">
      <alignment horizontal="center" readingOrder="0" shrinkToFit="0" wrapText="0"/>
    </xf>
    <xf borderId="0" fillId="44" fontId="64" numFmtId="0" xfId="0" applyAlignment="1" applyFill="1" applyFont="1">
      <alignment horizontal="center" readingOrder="0" shrinkToFit="0" wrapText="0"/>
    </xf>
    <xf borderId="0" fillId="45" fontId="64" numFmtId="0" xfId="0" applyAlignment="1" applyFill="1" applyFont="1">
      <alignment horizontal="center" readingOrder="0" shrinkToFit="0" wrapText="0"/>
    </xf>
    <xf borderId="0" fillId="8" fontId="60" numFmtId="0" xfId="0" applyAlignment="1" applyFont="1">
      <alignment horizontal="center" readingOrder="0" shrinkToFit="0" wrapText="0"/>
    </xf>
    <xf borderId="0" fillId="46" fontId="60" numFmtId="0" xfId="0" applyAlignment="1" applyFill="1" applyFont="1">
      <alignment horizontal="center" readingOrder="0" shrinkToFit="0" wrapText="0"/>
    </xf>
    <xf borderId="0" fillId="0" fontId="61" numFmtId="2" xfId="0" applyAlignment="1" applyFont="1" applyNumberFormat="1">
      <alignment horizontal="left"/>
    </xf>
    <xf borderId="2" fillId="13" fontId="13" numFmtId="0" xfId="0" applyAlignment="1" applyBorder="1" applyFont="1">
      <alignment horizontal="center" vertical="bottom"/>
    </xf>
    <xf borderId="0" fillId="47" fontId="60" numFmtId="0" xfId="0" applyAlignment="1" applyFill="1" applyFont="1">
      <alignment horizontal="center" readingOrder="0" shrinkToFit="0" wrapText="0"/>
    </xf>
    <xf borderId="97" fillId="14" fontId="13" numFmtId="0" xfId="0" applyAlignment="1" applyBorder="1" applyFont="1">
      <alignment vertical="bottom"/>
    </xf>
    <xf borderId="0" fillId="48" fontId="60" numFmtId="0" xfId="0" applyAlignment="1" applyFill="1" applyFont="1">
      <alignment horizontal="center" readingOrder="0" shrinkToFit="0" wrapText="0"/>
    </xf>
    <xf borderId="0" fillId="4" fontId="13" numFmtId="0" xfId="0" applyAlignment="1" applyFont="1">
      <alignment horizontal="left" vertical="bottom"/>
    </xf>
    <xf borderId="98" fillId="14" fontId="13" numFmtId="0" xfId="0" applyAlignment="1" applyBorder="1" applyFont="1">
      <alignment vertical="bottom"/>
    </xf>
    <xf borderId="0" fillId="49" fontId="64" numFmtId="0" xfId="0" applyAlignment="1" applyFill="1" applyFont="1">
      <alignment horizontal="center" readingOrder="0" shrinkToFit="0" wrapText="0"/>
    </xf>
    <xf borderId="55" fillId="17" fontId="13" numFmtId="0" xfId="0" applyAlignment="1" applyBorder="1" applyFont="1">
      <alignment horizontal="center" shrinkToFit="0" wrapText="0"/>
    </xf>
    <xf borderId="0" fillId="17" fontId="13" numFmtId="0" xfId="0" applyAlignment="1" applyFont="1">
      <alignment horizontal="center" shrinkToFit="0" wrapText="0"/>
    </xf>
    <xf borderId="99" fillId="17" fontId="13" numFmtId="0" xfId="0" applyAlignment="1" applyBorder="1" applyFont="1">
      <alignment readingOrder="0"/>
    </xf>
    <xf borderId="100" fillId="17" fontId="13" numFmtId="0" xfId="0" applyBorder="1" applyFont="1"/>
    <xf borderId="55" fillId="14" fontId="13" numFmtId="0" xfId="0" applyAlignment="1" applyBorder="1" applyFont="1">
      <alignment horizontal="center" shrinkToFit="0" wrapText="0"/>
    </xf>
    <xf borderId="101" fillId="14" fontId="13" numFmtId="0" xfId="0" applyAlignment="1" applyBorder="1" applyFont="1">
      <alignment horizontal="center" shrinkToFit="0" wrapText="0"/>
    </xf>
    <xf borderId="102" fillId="14" fontId="13" numFmtId="0" xfId="0" applyAlignment="1" applyBorder="1" applyFont="1">
      <alignment readingOrder="0"/>
    </xf>
    <xf borderId="103" fillId="14" fontId="13" numFmtId="0" xfId="0" applyBorder="1" applyFont="1"/>
    <xf borderId="104" fillId="14" fontId="13" numFmtId="0" xfId="0" applyBorder="1" applyFont="1"/>
    <xf borderId="55" fillId="8" fontId="13" numFmtId="0" xfId="0" applyAlignment="1" applyBorder="1" applyFont="1">
      <alignment horizontal="center" shrinkToFit="0" wrapText="0"/>
    </xf>
    <xf borderId="105" fillId="8" fontId="13" numFmtId="0" xfId="0" applyAlignment="1" applyBorder="1" applyFont="1">
      <alignment horizontal="center" shrinkToFit="0" wrapText="0"/>
    </xf>
    <xf borderId="106" fillId="8" fontId="13" numFmtId="0" xfId="0" applyAlignment="1" applyBorder="1" applyFont="1">
      <alignment readingOrder="0"/>
    </xf>
    <xf borderId="107" fillId="8" fontId="13" numFmtId="0" xfId="0" applyBorder="1" applyFont="1"/>
    <xf borderId="108" fillId="8" fontId="13" numFmtId="0" xfId="0" applyBorder="1" applyFont="1"/>
    <xf borderId="109" fillId="14" fontId="13" numFmtId="0" xfId="0" applyAlignment="1" applyBorder="1" applyFont="1">
      <alignment vertical="bottom"/>
    </xf>
    <xf borderId="0" fillId="50" fontId="64" numFmtId="0" xfId="0" applyAlignment="1" applyFill="1" applyFont="1">
      <alignment horizontal="center" readingOrder="0" shrinkToFit="0" wrapText="0"/>
    </xf>
    <xf borderId="62" fillId="17" fontId="13" numFmtId="46" xfId="0" applyAlignment="1" applyBorder="1" applyFont="1" applyNumberFormat="1">
      <alignment shrinkToFit="0" wrapText="1"/>
    </xf>
    <xf borderId="55" fillId="51" fontId="66" numFmtId="0" xfId="0" applyAlignment="1" applyBorder="1" applyFill="1" applyFont="1">
      <alignment horizontal="center" readingOrder="0" vertical="center"/>
    </xf>
    <xf borderId="0" fillId="17" fontId="13" numFmtId="11" xfId="0" applyAlignment="1" applyFont="1" applyNumberFormat="1">
      <alignment vertical="bottom"/>
    </xf>
    <xf borderId="0" fillId="17" fontId="13" numFmtId="46" xfId="0" applyAlignment="1" applyFont="1" applyNumberFormat="1">
      <alignment vertical="bottom"/>
    </xf>
    <xf borderId="0" fillId="14" fontId="13" numFmtId="0" xfId="0" applyAlignment="1" applyFont="1">
      <alignment shrinkToFit="0" wrapText="1"/>
    </xf>
    <xf borderId="0" fillId="51" fontId="66" numFmtId="0" xfId="0" applyAlignment="1" applyFont="1">
      <alignment horizontal="center" readingOrder="0" vertical="center"/>
    </xf>
    <xf borderId="0" fillId="14" fontId="13" numFmtId="11" xfId="0" applyAlignment="1" applyFont="1" applyNumberFormat="1">
      <alignment vertical="bottom"/>
    </xf>
    <xf borderId="0" fillId="14" fontId="13" numFmtId="46" xfId="0" applyAlignment="1" applyFont="1" applyNumberFormat="1">
      <alignment vertical="bottom"/>
    </xf>
    <xf borderId="0" fillId="8" fontId="13" numFmtId="0" xfId="0" applyAlignment="1" applyFont="1">
      <alignment shrinkToFit="0" wrapText="1"/>
    </xf>
    <xf borderId="59" fillId="0" fontId="6" numFmtId="0" xfId="0" applyBorder="1" applyFont="1"/>
    <xf borderId="63" fillId="8" fontId="13" numFmtId="11" xfId="0" applyAlignment="1" applyBorder="1" applyFont="1" applyNumberFormat="1">
      <alignment vertical="bottom"/>
    </xf>
    <xf borderId="64" fillId="8" fontId="13" numFmtId="46" xfId="0" applyAlignment="1" applyBorder="1" applyFont="1" applyNumberFormat="1">
      <alignment vertical="bottom"/>
    </xf>
    <xf borderId="110" fillId="0" fontId="61" numFmtId="0" xfId="0" applyBorder="1" applyFont="1"/>
    <xf borderId="0" fillId="14" fontId="60" numFmtId="0" xfId="0" applyAlignment="1" applyFont="1">
      <alignment horizontal="center" readingOrder="0" shrinkToFit="0" wrapText="0"/>
    </xf>
    <xf borderId="51" fillId="5" fontId="13" numFmtId="0" xfId="0" applyAlignment="1" applyBorder="1" applyFont="1">
      <alignment vertical="bottom"/>
    </xf>
    <xf borderId="62" fillId="17" fontId="67" numFmtId="0" xfId="0" applyAlignment="1" applyBorder="1" applyFont="1">
      <alignment horizontal="center" shrinkToFit="0" vertical="center" wrapText="1"/>
    </xf>
    <xf borderId="111" fillId="5" fontId="13" numFmtId="11" xfId="0" applyBorder="1" applyFont="1" applyNumberFormat="1"/>
    <xf borderId="112" fillId="5" fontId="13" numFmtId="46" xfId="0" applyBorder="1" applyFont="1" applyNumberFormat="1"/>
    <xf borderId="0" fillId="5" fontId="13" numFmtId="0" xfId="0" applyAlignment="1" applyFont="1">
      <alignment vertical="center"/>
    </xf>
    <xf borderId="62" fillId="14" fontId="68" numFmtId="0" xfId="0" applyAlignment="1" applyBorder="1" applyFont="1">
      <alignment horizontal="center" readingOrder="0" shrinkToFit="0" vertical="center" wrapText="1"/>
    </xf>
    <xf borderId="111" fillId="5" fontId="13" numFmtId="46" xfId="0" applyBorder="1" applyFont="1" applyNumberFormat="1"/>
    <xf borderId="0" fillId="5" fontId="69" numFmtId="0" xfId="0" applyAlignment="1" applyFont="1">
      <alignment vertical="center"/>
    </xf>
    <xf borderId="62" fillId="8" fontId="70" numFmtId="0" xfId="0" applyAlignment="1" applyBorder="1" applyFont="1">
      <alignment horizontal="center" readingOrder="0" shrinkToFit="0" vertical="center" wrapText="1"/>
    </xf>
    <xf borderId="111" fillId="5" fontId="13" numFmtId="11" xfId="0" applyAlignment="1" applyBorder="1" applyFont="1" applyNumberFormat="1">
      <alignment vertical="top"/>
    </xf>
    <xf borderId="111" fillId="5" fontId="13" numFmtId="46" xfId="0" applyAlignment="1" applyBorder="1" applyFont="1" applyNumberFormat="1">
      <alignment vertical="top"/>
    </xf>
    <xf borderId="113" fillId="0" fontId="61" numFmtId="0" xfId="0" applyBorder="1" applyFont="1"/>
    <xf borderId="0" fillId="13" fontId="60" numFmtId="0" xfId="0" applyAlignment="1" applyFont="1">
      <alignment horizontal="center" readingOrder="0" shrinkToFit="0" wrapText="0"/>
    </xf>
    <xf borderId="50" fillId="5" fontId="13" numFmtId="11" xfId="0" applyAlignment="1" applyBorder="1" applyFont="1" applyNumberFormat="1">
      <alignment vertical="bottom"/>
    </xf>
    <xf borderId="50" fillId="5" fontId="13" numFmtId="46" xfId="0" applyAlignment="1" applyBorder="1" applyFont="1" applyNumberFormat="1">
      <alignment vertical="bottom"/>
    </xf>
    <xf borderId="0" fillId="0" fontId="13" numFmtId="11" xfId="0" applyAlignment="1" applyFont="1" applyNumberFormat="1">
      <alignment vertical="bottom"/>
    </xf>
    <xf borderId="0" fillId="0" fontId="13" numFmtId="46" xfId="0" applyAlignment="1" applyFont="1" applyNumberFormat="1">
      <alignment vertical="bottom"/>
    </xf>
    <xf borderId="111" fillId="5" fontId="13" numFmtId="0" xfId="0" applyBorder="1" applyFont="1"/>
    <xf borderId="0" fillId="6" fontId="60" numFmtId="0" xfId="0" applyAlignment="1" applyFont="1">
      <alignment horizontal="center" readingOrder="0" shrinkToFit="0" wrapText="0"/>
    </xf>
    <xf borderId="60" fillId="10" fontId="13" numFmtId="0" xfId="0" applyAlignment="1" applyBorder="1" applyFont="1">
      <alignment shrinkToFit="0" wrapText="1"/>
    </xf>
    <xf borderId="56" fillId="52" fontId="62" numFmtId="0" xfId="0" applyAlignment="1" applyBorder="1" applyFill="1" applyFont="1">
      <alignment horizontal="center" shrinkToFit="0" vertical="center" wrapText="1"/>
    </xf>
    <xf borderId="56" fillId="9" fontId="63" numFmtId="0" xfId="0" applyAlignment="1" applyBorder="1" applyFont="1">
      <alignment horizontal="right" readingOrder="0" shrinkToFit="0" vertical="center" wrapText="0"/>
    </xf>
    <xf borderId="55" fillId="10" fontId="13" numFmtId="11" xfId="0" applyAlignment="1" applyBorder="1" applyFont="1" applyNumberFormat="1">
      <alignment vertical="bottom"/>
    </xf>
    <xf borderId="59" fillId="10" fontId="13" numFmtId="46" xfId="0" applyAlignment="1" applyBorder="1" applyFont="1" applyNumberFormat="1">
      <alignment vertical="bottom"/>
    </xf>
    <xf borderId="60" fillId="12" fontId="13" numFmtId="0" xfId="0" applyAlignment="1" applyBorder="1" applyFont="1">
      <alignment shrinkToFit="0" wrapText="1"/>
    </xf>
    <xf borderId="56" fillId="38" fontId="62" numFmtId="0" xfId="0" applyAlignment="1" applyBorder="1" applyFont="1">
      <alignment horizontal="center" shrinkToFit="0" vertical="center" wrapText="1"/>
    </xf>
    <xf borderId="57" fillId="11" fontId="63" numFmtId="0" xfId="0" applyAlignment="1" applyBorder="1" applyFont="1">
      <alignment horizontal="right" readingOrder="0" shrinkToFit="0" vertical="center" wrapText="0"/>
    </xf>
    <xf borderId="55" fillId="12" fontId="13" numFmtId="11" xfId="0" applyAlignment="1" applyBorder="1" applyFont="1" applyNumberFormat="1">
      <alignment vertical="bottom"/>
    </xf>
    <xf borderId="59" fillId="12" fontId="13" numFmtId="46" xfId="0" applyAlignment="1" applyBorder="1" applyFont="1" applyNumberFormat="1">
      <alignment vertical="bottom"/>
    </xf>
    <xf borderId="56" fillId="4" fontId="71" numFmtId="0" xfId="0" applyAlignment="1" applyBorder="1" applyFont="1">
      <alignment horizontal="center" readingOrder="0" vertical="center"/>
    </xf>
    <xf borderId="60" fillId="20" fontId="13" numFmtId="11" xfId="0" applyAlignment="1" applyBorder="1" applyFont="1" applyNumberFormat="1">
      <alignment vertical="bottom"/>
    </xf>
    <xf borderId="48" fillId="5" fontId="13" numFmtId="0" xfId="0" applyAlignment="1" applyBorder="1" applyFont="1">
      <alignment horizontal="center"/>
    </xf>
    <xf borderId="113" fillId="0" fontId="61" numFmtId="0" xfId="0" applyAlignment="1" applyBorder="1" applyFont="1">
      <alignment horizontal="center"/>
    </xf>
    <xf borderId="0" fillId="53" fontId="64" numFmtId="0" xfId="0" applyAlignment="1" applyFill="1" applyFont="1">
      <alignment horizontal="center" readingOrder="0" shrinkToFit="0" wrapText="0"/>
    </xf>
    <xf borderId="0" fillId="0" fontId="61" numFmtId="0" xfId="0" applyAlignment="1" applyFont="1">
      <alignment horizontal="center"/>
    </xf>
    <xf borderId="114" fillId="0" fontId="61" numFmtId="2" xfId="0" applyAlignment="1" applyBorder="1" applyFont="1" applyNumberFormat="1">
      <alignment horizontal="center"/>
    </xf>
    <xf borderId="0" fillId="4" fontId="13" numFmtId="0" xfId="0" applyAlignment="1" applyFont="1">
      <alignment horizontal="center" vertical="bottom"/>
    </xf>
    <xf borderId="65" fillId="10" fontId="13" numFmtId="0" xfId="0" applyAlignment="1" applyBorder="1" applyFont="1">
      <alignment shrinkToFit="0" wrapText="1"/>
    </xf>
    <xf borderId="60" fillId="9" fontId="63" numFmtId="0" xfId="0" applyAlignment="1" applyBorder="1" applyFont="1">
      <alignment horizontal="center" shrinkToFit="0" vertical="center" wrapText="1"/>
    </xf>
    <xf borderId="65" fillId="12" fontId="13" numFmtId="0" xfId="0" applyAlignment="1" applyBorder="1" applyFont="1">
      <alignment shrinkToFit="0" wrapText="1"/>
    </xf>
    <xf borderId="60" fillId="11" fontId="63" numFmtId="0" xfId="0" applyAlignment="1" applyBorder="1" applyFont="1">
      <alignment horizontal="center" shrinkToFit="0" vertical="center" wrapText="1"/>
    </xf>
    <xf borderId="115" fillId="17" fontId="13" numFmtId="0" xfId="0" applyBorder="1" applyFont="1"/>
    <xf borderId="116" fillId="0" fontId="6" numFmtId="0" xfId="0" applyBorder="1" applyFont="1"/>
    <xf borderId="117" fillId="17" fontId="13" numFmtId="0" xfId="0" applyBorder="1" applyFont="1"/>
    <xf borderId="65" fillId="20" fontId="13" numFmtId="11" xfId="0" applyAlignment="1" applyBorder="1" applyFont="1" applyNumberFormat="1">
      <alignment horizontal="right" vertical="bottom"/>
    </xf>
    <xf borderId="0" fillId="54" fontId="64" numFmtId="0" xfId="0" applyAlignment="1" applyFill="1" applyFont="1">
      <alignment horizontal="center" readingOrder="0" shrinkToFit="0" wrapText="0"/>
    </xf>
    <xf borderId="114" fillId="0" fontId="61" numFmtId="0" xfId="0" applyAlignment="1" applyBorder="1" applyFont="1">
      <alignment horizontal="left"/>
    </xf>
    <xf borderId="49" fillId="52" fontId="65" numFmtId="0" xfId="0" applyAlignment="1" applyBorder="1" applyFont="1">
      <alignment horizontal="left" shrinkToFit="0" vertical="center" wrapText="0"/>
    </xf>
    <xf borderId="49" fillId="52" fontId="59" numFmtId="0" xfId="0" applyAlignment="1" applyBorder="1" applyFont="1">
      <alignment horizontal="left" shrinkToFit="0" vertical="center" wrapText="0"/>
    </xf>
    <xf borderId="49" fillId="52" fontId="59" numFmtId="0" xfId="0" applyAlignment="1" applyBorder="1" applyFont="1">
      <alignment horizontal="left" readingOrder="0" shrinkToFit="0" vertical="center" wrapText="0"/>
    </xf>
    <xf borderId="49" fillId="38" fontId="65" numFmtId="0" xfId="0" applyAlignment="1" applyBorder="1" applyFont="1">
      <alignment horizontal="left" shrinkToFit="0" vertical="center" wrapText="0"/>
    </xf>
    <xf borderId="49" fillId="38" fontId="65" numFmtId="0" xfId="0" applyAlignment="1" applyBorder="1" applyFont="1">
      <alignment horizontal="left" readingOrder="0" shrinkToFit="0" vertical="center" wrapText="0"/>
    </xf>
    <xf borderId="49" fillId="38" fontId="59" numFmtId="0" xfId="0" applyAlignment="1" applyBorder="1" applyFont="1">
      <alignment horizontal="left" readingOrder="0" shrinkToFit="0" vertical="center" wrapText="0"/>
    </xf>
    <xf borderId="55" fillId="14" fontId="13" numFmtId="0" xfId="0" applyAlignment="1" applyBorder="1" applyFont="1">
      <alignment readingOrder="0"/>
    </xf>
    <xf borderId="0" fillId="55" fontId="64" numFmtId="0" xfId="0" applyAlignment="1" applyFill="1" applyFont="1">
      <alignment horizontal="center" readingOrder="0" shrinkToFit="0" wrapText="0"/>
    </xf>
    <xf borderId="114" fillId="0" fontId="61" numFmtId="49" xfId="0" applyAlignment="1" applyBorder="1" applyFont="1" applyNumberFormat="1">
      <alignment horizontal="left"/>
    </xf>
    <xf borderId="118" fillId="10" fontId="13" numFmtId="0" xfId="0" applyAlignment="1" applyBorder="1" applyFont="1">
      <alignment horizontal="center" readingOrder="0" shrinkToFit="0" wrapText="0"/>
    </xf>
    <xf borderId="119" fillId="10" fontId="13" numFmtId="0" xfId="0" applyAlignment="1" applyBorder="1" applyFont="1">
      <alignment horizontal="center" readingOrder="0" shrinkToFit="0" wrapText="0"/>
    </xf>
    <xf borderId="120" fillId="10" fontId="13" numFmtId="0" xfId="0" applyAlignment="1" applyBorder="1" applyFont="1">
      <alignment readingOrder="0" shrinkToFit="0" wrapText="0"/>
    </xf>
    <xf borderId="57" fillId="10" fontId="13" numFmtId="0" xfId="0" applyAlignment="1" applyBorder="1" applyFont="1">
      <alignment shrinkToFit="0" wrapText="1"/>
    </xf>
    <xf borderId="121" fillId="10" fontId="13" numFmtId="0" xfId="0" applyAlignment="1" applyBorder="1" applyFont="1">
      <alignment shrinkToFit="0" vertical="bottom" wrapText="1"/>
    </xf>
    <xf borderId="55" fillId="10" fontId="13" numFmtId="11" xfId="0" applyAlignment="1" applyBorder="1" applyFont="1" applyNumberFormat="1">
      <alignment horizontal="right" shrinkToFit="0" vertical="bottom" wrapText="1"/>
    </xf>
    <xf borderId="59" fillId="10" fontId="13" numFmtId="46" xfId="0" applyAlignment="1" applyBorder="1" applyFont="1" applyNumberFormat="1">
      <alignment horizontal="right" shrinkToFit="0" vertical="bottom" wrapText="1"/>
    </xf>
    <xf borderId="122" fillId="12" fontId="13" numFmtId="0" xfId="0" applyAlignment="1" applyBorder="1" applyFont="1">
      <alignment horizontal="center" readingOrder="0" shrinkToFit="0" wrapText="0"/>
    </xf>
    <xf borderId="123" fillId="12" fontId="13" numFmtId="0" xfId="0" applyAlignment="1" applyBorder="1" applyFont="1">
      <alignment horizontal="center" readingOrder="0" shrinkToFit="0" wrapText="0"/>
    </xf>
    <xf borderId="124" fillId="12" fontId="13" numFmtId="0" xfId="0" applyAlignment="1" applyBorder="1" applyFont="1">
      <alignment readingOrder="0"/>
    </xf>
    <xf borderId="125" fillId="12" fontId="13" numFmtId="0" xfId="0" applyAlignment="1" applyBorder="1" applyFont="1">
      <alignment shrinkToFit="0" wrapText="1"/>
    </xf>
    <xf borderId="126" fillId="12" fontId="13" numFmtId="0" xfId="0" applyAlignment="1" applyBorder="1" applyFont="1">
      <alignment shrinkToFit="0" vertical="bottom" wrapText="1"/>
    </xf>
    <xf borderId="55" fillId="12" fontId="13" numFmtId="11" xfId="0" applyAlignment="1" applyBorder="1" applyFont="1" applyNumberFormat="1">
      <alignment horizontal="right" shrinkToFit="0" vertical="bottom" wrapText="1"/>
    </xf>
    <xf borderId="59" fillId="12" fontId="13" numFmtId="46" xfId="0" applyAlignment="1" applyBorder="1" applyFont="1" applyNumberFormat="1">
      <alignment horizontal="right" shrinkToFit="0" vertical="bottom" wrapText="1"/>
    </xf>
    <xf borderId="127" fillId="8" fontId="13" numFmtId="0" xfId="0" applyBorder="1" applyFont="1"/>
    <xf borderId="128" fillId="0" fontId="6" numFmtId="0" xfId="0" applyBorder="1" applyFont="1"/>
    <xf borderId="0" fillId="17" fontId="60" numFmtId="0" xfId="0" applyAlignment="1" applyFont="1">
      <alignment horizontal="center" readingOrder="0" shrinkToFit="0" wrapText="0"/>
    </xf>
    <xf borderId="129" fillId="10" fontId="13" numFmtId="0" xfId="0" applyAlignment="1" applyBorder="1" applyFont="1">
      <alignment horizontal="center" readingOrder="0" shrinkToFit="0" wrapText="0"/>
    </xf>
    <xf borderId="130" fillId="10" fontId="13" numFmtId="0" xfId="0" applyAlignment="1" applyBorder="1" applyFont="1">
      <alignment horizontal="center" readingOrder="0" shrinkToFit="0" wrapText="0"/>
    </xf>
    <xf borderId="131" fillId="10" fontId="13" numFmtId="0" xfId="0" applyAlignment="1" applyBorder="1" applyFont="1">
      <alignment shrinkToFit="0" wrapText="1"/>
    </xf>
    <xf borderId="132" fillId="10" fontId="13" numFmtId="0" xfId="0" applyAlignment="1" applyBorder="1" applyFont="1">
      <alignment shrinkToFit="0" vertical="bottom" wrapText="1"/>
    </xf>
    <xf borderId="133" fillId="12" fontId="13" numFmtId="0" xfId="0" applyAlignment="1" applyBorder="1" applyFont="1">
      <alignment horizontal="center" readingOrder="0" shrinkToFit="0" wrapText="0"/>
    </xf>
    <xf borderId="134" fillId="12" fontId="13" numFmtId="0" xfId="0" applyAlignment="1" applyBorder="1" applyFont="1">
      <alignment horizontal="center" readingOrder="0" shrinkToFit="0" wrapText="0"/>
    </xf>
    <xf borderId="135" fillId="12" fontId="13" numFmtId="0" xfId="0" applyBorder="1" applyFont="1"/>
    <xf borderId="136" fillId="12" fontId="13" numFmtId="0" xfId="0" applyAlignment="1" applyBorder="1" applyFont="1">
      <alignment vertical="bottom"/>
    </xf>
    <xf borderId="137" fillId="10" fontId="13" numFmtId="0" xfId="0" applyAlignment="1" applyBorder="1" applyFont="1">
      <alignment readingOrder="0"/>
    </xf>
    <xf borderId="138" fillId="0" fontId="6" numFmtId="0" xfId="0" applyBorder="1" applyFont="1"/>
    <xf borderId="139" fillId="10" fontId="13" numFmtId="0" xfId="0" applyBorder="1" applyFont="1"/>
    <xf borderId="0" fillId="16" fontId="60" numFmtId="0" xfId="0" applyAlignment="1" applyFont="1">
      <alignment horizontal="center" readingOrder="0" shrinkToFit="0" wrapText="0"/>
    </xf>
    <xf borderId="129" fillId="10" fontId="13" numFmtId="0" xfId="0" applyAlignment="1" applyBorder="1" applyFont="1">
      <alignment horizontal="center" shrinkToFit="0" wrapText="0"/>
    </xf>
    <xf borderId="132" fillId="10" fontId="13" numFmtId="0" xfId="0" applyAlignment="1" applyBorder="1" applyFont="1">
      <alignment vertical="bottom"/>
    </xf>
    <xf borderId="140" fillId="12" fontId="13" numFmtId="0" xfId="0" applyBorder="1" applyFont="1"/>
    <xf borderId="141" fillId="0" fontId="6" numFmtId="0" xfId="0" applyBorder="1" applyFont="1"/>
    <xf borderId="142" fillId="12" fontId="13" numFmtId="0" xfId="0" applyBorder="1" applyFont="1"/>
    <xf borderId="0" fillId="32" fontId="60" numFmtId="0" xfId="0" applyAlignment="1" applyFont="1">
      <alignment horizontal="center" readingOrder="0" shrinkToFit="0" wrapText="0"/>
    </xf>
    <xf borderId="133" fillId="12" fontId="13" numFmtId="0" xfId="0" applyAlignment="1" applyBorder="1" applyFont="1">
      <alignment horizontal="center" shrinkToFit="0" wrapText="0"/>
    </xf>
    <xf borderId="60" fillId="56" fontId="72" numFmtId="0" xfId="0" applyAlignment="1" applyBorder="1" applyFill="1" applyFont="1">
      <alignment horizontal="center" readingOrder="0" vertical="center"/>
    </xf>
    <xf borderId="56" fillId="4" fontId="72" numFmtId="0" xfId="0" applyAlignment="1" applyBorder="1" applyFont="1">
      <alignment horizontal="left" readingOrder="0" vertical="center"/>
    </xf>
    <xf borderId="143" fillId="0" fontId="6" numFmtId="0" xfId="0" applyBorder="1" applyFont="1"/>
    <xf borderId="144" fillId="4" fontId="72" numFmtId="0" xfId="0" applyAlignment="1" applyBorder="1" applyFont="1">
      <alignment horizontal="left" vertical="center"/>
    </xf>
    <xf borderId="65" fillId="20" fontId="13" numFmtId="11" xfId="0" applyAlignment="1" applyBorder="1" applyFont="1" applyNumberFormat="1">
      <alignment vertical="bottom"/>
    </xf>
    <xf borderId="0" fillId="57" fontId="64" numFmtId="0" xfId="0" applyAlignment="1" applyFill="1" applyFont="1">
      <alignment horizontal="center" readingOrder="0" shrinkToFit="0" wrapText="0"/>
    </xf>
    <xf borderId="145" fillId="0" fontId="6" numFmtId="0" xfId="0" applyBorder="1" applyFont="1"/>
    <xf borderId="146" fillId="0" fontId="6" numFmtId="0" xfId="0" applyBorder="1" applyFont="1"/>
    <xf borderId="147" fillId="0" fontId="6" numFmtId="0" xfId="0" applyBorder="1" applyFont="1"/>
    <xf borderId="145" fillId="20" fontId="13" numFmtId="11" xfId="0" applyAlignment="1" applyBorder="1" applyFont="1" applyNumberFormat="1">
      <alignment vertical="bottom"/>
    </xf>
    <xf borderId="0" fillId="58" fontId="64" numFmtId="0" xfId="0" applyAlignment="1" applyFill="1" applyFont="1">
      <alignment horizontal="center" readingOrder="0" shrinkToFit="0" wrapText="0"/>
    </xf>
    <xf borderId="134" fillId="12" fontId="13" numFmtId="0" xfId="0" applyAlignment="1" applyBorder="1" applyFont="1">
      <alignment horizontal="center" shrinkToFit="0" wrapText="0"/>
    </xf>
    <xf borderId="148" fillId="5" fontId="13" numFmtId="0" xfId="0" applyBorder="1" applyFont="1"/>
    <xf borderId="0" fillId="59" fontId="64" numFmtId="0" xfId="0" applyAlignment="1" applyFill="1" applyFont="1">
      <alignment horizontal="center" readingOrder="0" shrinkToFit="0" wrapText="0"/>
    </xf>
    <xf borderId="56" fillId="21" fontId="65" numFmtId="0" xfId="0" applyAlignment="1" applyBorder="1" applyFont="1">
      <alignment horizontal="center" textRotation="45" vertical="center"/>
    </xf>
    <xf borderId="149" fillId="22" fontId="13" numFmtId="0" xfId="0" applyAlignment="1" applyBorder="1" applyFont="1">
      <alignment horizontal="right"/>
    </xf>
    <xf borderId="150" fillId="0" fontId="6" numFmtId="0" xfId="0" applyBorder="1" applyFont="1"/>
    <xf borderId="151" fillId="10" fontId="36" numFmtId="0" xfId="0" applyAlignment="1" applyBorder="1" applyFont="1">
      <alignment horizontal="right" readingOrder="0" vertical="bottom"/>
    </xf>
    <xf borderId="0" fillId="28" fontId="60" numFmtId="0" xfId="0" applyAlignment="1" applyFont="1">
      <alignment horizontal="center" readingOrder="0" shrinkToFit="0" wrapText="0"/>
    </xf>
    <xf borderId="130" fillId="10" fontId="13" numFmtId="0" xfId="0" applyAlignment="1" applyBorder="1" applyFont="1">
      <alignment horizontal="center" shrinkToFit="0" wrapText="0"/>
    </xf>
    <xf borderId="55" fillId="0" fontId="6" numFmtId="0" xfId="0" applyBorder="1" applyFont="1"/>
    <xf borderId="152" fillId="22" fontId="13" numFmtId="0" xfId="0" applyAlignment="1" applyBorder="1" applyFont="1">
      <alignment horizontal="right"/>
    </xf>
    <xf borderId="153" fillId="0" fontId="6" numFmtId="0" xfId="0" applyBorder="1" applyFont="1"/>
    <xf borderId="154" fillId="60" fontId="36" numFmtId="0" xfId="0" applyAlignment="1" applyBorder="1" applyFill="1" applyFont="1">
      <alignment horizontal="right" readingOrder="0"/>
    </xf>
    <xf borderId="0" fillId="29" fontId="60" numFmtId="0" xfId="0" applyAlignment="1" applyFont="1">
      <alignment horizontal="center" readingOrder="0" shrinkToFit="0" wrapText="0"/>
    </xf>
    <xf borderId="152" fillId="22" fontId="13" numFmtId="0" xfId="0" applyAlignment="1" applyBorder="1" applyFont="1">
      <alignment horizontal="right" shrinkToFit="0" wrapText="0"/>
    </xf>
    <xf borderId="154" fillId="61" fontId="36" numFmtId="0" xfId="0" applyAlignment="1" applyBorder="1" applyFill="1" applyFont="1">
      <alignment horizontal="right" readingOrder="0" shrinkToFit="0" wrapText="0"/>
    </xf>
    <xf borderId="0" fillId="27" fontId="60" numFmtId="0" xfId="0" applyAlignment="1" applyFont="1">
      <alignment horizontal="center" readingOrder="0" shrinkToFit="0" wrapText="0"/>
    </xf>
    <xf borderId="155" fillId="22" fontId="13" numFmtId="0" xfId="0" applyAlignment="1" applyBorder="1" applyFont="1">
      <alignment horizontal="right" shrinkToFit="0" wrapText="0"/>
    </xf>
    <xf borderId="156" fillId="21" fontId="36" numFmtId="0" xfId="0" applyAlignment="1" applyBorder="1" applyFont="1">
      <alignment horizontal="center" readingOrder="0" shrinkToFit="0" wrapText="0"/>
    </xf>
    <xf borderId="157" fillId="0" fontId="6" numFmtId="0" xfId="0" applyBorder="1" applyFont="1"/>
    <xf borderId="0" fillId="62" fontId="64" numFmtId="0" xfId="0" applyAlignment="1" applyFill="1" applyFont="1">
      <alignment horizontal="center" readingOrder="0" shrinkToFit="0" wrapText="0"/>
    </xf>
    <xf borderId="120" fillId="10" fontId="13" numFmtId="0" xfId="0" applyAlignment="1" applyBorder="1" applyFont="1">
      <alignment readingOrder="0"/>
    </xf>
    <xf borderId="131" fillId="10" fontId="13" numFmtId="0" xfId="0" applyBorder="1" applyFont="1"/>
    <xf borderId="132" fillId="10" fontId="13" numFmtId="0" xfId="0" applyBorder="1" applyFont="1"/>
    <xf borderId="136" fillId="12" fontId="13" numFmtId="0" xfId="0" applyBorder="1" applyFont="1"/>
    <xf borderId="158" fillId="22" fontId="13" numFmtId="0" xfId="0" applyAlignment="1" applyBorder="1" applyFont="1">
      <alignment horizontal="right" shrinkToFit="0" vertical="center" wrapText="0"/>
    </xf>
    <xf borderId="159" fillId="21" fontId="36" numFmtId="0" xfId="0" applyAlignment="1" applyBorder="1" applyFont="1">
      <alignment horizontal="center" readingOrder="0" shrinkToFit="0" vertical="center" wrapText="0"/>
    </xf>
    <xf borderId="160" fillId="0" fontId="6" numFmtId="0" xfId="0" applyBorder="1" applyFont="1"/>
    <xf borderId="0" fillId="63" fontId="64" numFmtId="0" xfId="0" applyAlignment="1" applyFill="1" applyFont="1">
      <alignment horizontal="center" readingOrder="0" shrinkToFit="0" wrapText="0"/>
    </xf>
    <xf borderId="148" fillId="5" fontId="13" numFmtId="0" xfId="0" applyAlignment="1" applyBorder="1" applyFont="1">
      <alignment vertical="bottom"/>
    </xf>
    <xf borderId="0" fillId="64" fontId="64" numFmtId="0" xfId="0" applyAlignment="1" applyFill="1" applyFont="1">
      <alignment horizontal="center" readingOrder="0" shrinkToFit="0" wrapText="0"/>
    </xf>
    <xf borderId="50" fillId="5" fontId="13" numFmtId="0" xfId="0" applyAlignment="1" applyBorder="1" applyFont="1">
      <alignment vertical="bottom"/>
    </xf>
    <xf borderId="0" fillId="18" fontId="60" numFmtId="0" xfId="0" applyAlignment="1" applyFont="1">
      <alignment horizontal="center" readingOrder="0" shrinkToFit="0" wrapText="0"/>
    </xf>
    <xf borderId="0" fillId="4" fontId="60" numFmtId="0" xfId="0" applyAlignment="1" applyFont="1">
      <alignment horizontal="center" readingOrder="0" shrinkToFit="0" wrapText="0"/>
    </xf>
    <xf borderId="0" fillId="14" fontId="61" numFmtId="0" xfId="0" applyAlignment="1" applyFont="1">
      <alignment horizontal="left"/>
    </xf>
    <xf borderId="0" fillId="65" fontId="60" numFmtId="0" xfId="0" applyAlignment="1" applyFill="1" applyFont="1">
      <alignment horizontal="center" readingOrder="0" shrinkToFit="0" wrapText="0"/>
    </xf>
    <xf borderId="0" fillId="66" fontId="60" numFmtId="0" xfId="0" applyAlignment="1" applyFill="1" applyFont="1">
      <alignment horizontal="center" readingOrder="0" shrinkToFit="0" wrapText="0"/>
    </xf>
    <xf borderId="0" fillId="67" fontId="64" numFmtId="0" xfId="0" applyAlignment="1" applyFill="1" applyFont="1">
      <alignment horizontal="center" readingOrder="0" shrinkToFit="0" wrapText="0"/>
    </xf>
    <xf borderId="114" fillId="0" fontId="61" numFmtId="0" xfId="0" applyBorder="1" applyFont="1"/>
    <xf borderId="0" fillId="56" fontId="64" numFmtId="0" xfId="0" applyAlignment="1" applyFont="1">
      <alignment horizontal="center" readingOrder="0" shrinkToFit="0" wrapText="0"/>
    </xf>
    <xf borderId="114" fillId="0" fontId="61" numFmtId="0" xfId="0" applyAlignment="1" applyBorder="1" applyFont="1">
      <alignment horizontal="left" readingOrder="0"/>
    </xf>
    <xf borderId="114" fillId="0" fontId="61" numFmtId="49" xfId="0" applyAlignment="1" applyBorder="1" applyFont="1" applyNumberFormat="1">
      <alignment horizontal="left" readingOrder="0"/>
    </xf>
    <xf borderId="55" fillId="10" fontId="13" numFmtId="0" xfId="0" applyAlignment="1" applyBorder="1" applyFont="1">
      <alignment horizontal="center" shrinkToFit="0" wrapText="0"/>
    </xf>
    <xf borderId="161" fillId="10" fontId="13" numFmtId="0" xfId="0" applyAlignment="1" applyBorder="1" applyFont="1">
      <alignment horizontal="center" shrinkToFit="0" wrapText="0"/>
    </xf>
    <xf borderId="162" fillId="10" fontId="13" numFmtId="0" xfId="0" applyAlignment="1" applyBorder="1" applyFont="1">
      <alignment readingOrder="0"/>
    </xf>
    <xf borderId="163" fillId="10" fontId="13" numFmtId="0" xfId="0" applyBorder="1" applyFont="1"/>
    <xf borderId="55" fillId="12" fontId="13" numFmtId="0" xfId="0" applyAlignment="1" applyBorder="1" applyFont="1">
      <alignment horizontal="center" shrinkToFit="0" wrapText="0"/>
    </xf>
    <xf borderId="164" fillId="12" fontId="13" numFmtId="0" xfId="0" applyAlignment="1" applyBorder="1" applyFont="1">
      <alignment horizontal="center" shrinkToFit="0" wrapText="0"/>
    </xf>
    <xf borderId="165" fillId="12" fontId="13" numFmtId="0" xfId="0" applyAlignment="1" applyBorder="1" applyFont="1">
      <alignment readingOrder="0"/>
    </xf>
    <xf borderId="166" fillId="12" fontId="13" numFmtId="0" xfId="0" applyBorder="1" applyFont="1"/>
    <xf borderId="62" fillId="10" fontId="13" numFmtId="0" xfId="0" applyAlignment="1" applyBorder="1" applyFont="1">
      <alignment shrinkToFit="0" wrapText="1"/>
    </xf>
    <xf borderId="0" fillId="10" fontId="13" numFmtId="0" xfId="0" applyAlignment="1" applyFont="1">
      <alignment shrinkToFit="0" wrapText="1"/>
    </xf>
    <xf borderId="0" fillId="12" fontId="13" numFmtId="0" xfId="0" applyAlignment="1" applyFont="1">
      <alignment shrinkToFit="0" wrapText="1"/>
    </xf>
    <xf borderId="63" fillId="12" fontId="13" numFmtId="0" xfId="0" applyAlignment="1" applyBorder="1" applyFont="1">
      <alignment shrinkToFit="0" wrapText="1"/>
    </xf>
    <xf borderId="64" fillId="12" fontId="13" numFmtId="0" xfId="0" applyAlignment="1" applyBorder="1" applyFont="1">
      <alignment shrinkToFit="0" wrapText="1"/>
    </xf>
    <xf borderId="0" fillId="22" fontId="60" numFmtId="0" xfId="0" applyAlignment="1" applyFont="1">
      <alignment horizontal="center" readingOrder="0" shrinkToFit="0" wrapText="0"/>
    </xf>
    <xf borderId="0" fillId="5" fontId="73" numFmtId="0" xfId="0" applyAlignment="1" applyFont="1">
      <alignment vertical="top"/>
    </xf>
    <xf borderId="62" fillId="10" fontId="74" numFmtId="0" xfId="0" applyAlignment="1" applyBorder="1" applyFont="1">
      <alignment horizontal="center" readingOrder="0" shrinkToFit="0" vertical="center" wrapText="1"/>
    </xf>
    <xf borderId="111" fillId="5" fontId="75" numFmtId="0" xfId="0" applyAlignment="1" applyBorder="1" applyFont="1">
      <alignment vertical="center"/>
    </xf>
    <xf borderId="62" fillId="26" fontId="76" numFmtId="0" xfId="0" applyAlignment="1" applyBorder="1" applyFont="1">
      <alignment horizontal="center" readingOrder="0" shrinkToFit="0" vertical="center" wrapText="1"/>
    </xf>
    <xf borderId="0" fillId="21" fontId="60" numFmtId="0" xfId="0" applyAlignment="1" applyFont="1">
      <alignment horizontal="center" readingOrder="0" shrinkToFit="0" wrapText="0"/>
    </xf>
    <xf borderId="167" fillId="23" fontId="77" numFmtId="0" xfId="0" applyAlignment="1" applyBorder="1" applyFont="1">
      <alignment horizontal="center" readingOrder="0" vertical="center"/>
    </xf>
    <xf borderId="0" fillId="68" fontId="60" numFmtId="0" xfId="0" applyAlignment="1" applyFill="1" applyFont="1">
      <alignment horizontal="center" readingOrder="0" shrinkToFit="0" wrapText="0"/>
    </xf>
    <xf borderId="52" fillId="23" fontId="77" numFmtId="0" xfId="0" applyAlignment="1" applyBorder="1" applyFont="1">
      <alignment horizontal="center" readingOrder="0" vertical="center"/>
    </xf>
    <xf borderId="167" fillId="0" fontId="6" numFmtId="0" xfId="0" applyBorder="1" applyFont="1"/>
    <xf borderId="0" fillId="69" fontId="64" numFmtId="0" xfId="0" applyAlignment="1" applyFill="1" applyFont="1">
      <alignment horizontal="center" readingOrder="0" shrinkToFit="0" wrapText="0"/>
    </xf>
    <xf borderId="0" fillId="70" fontId="64" numFmtId="0" xfId="0" applyAlignment="1" applyFill="1" applyFont="1">
      <alignment horizontal="center" readingOrder="0" shrinkToFit="0" wrapText="0"/>
    </xf>
    <xf borderId="114" fillId="0" fontId="61" numFmtId="2" xfId="0" applyAlignment="1" applyBorder="1" applyFont="1" applyNumberFormat="1">
      <alignment horizontal="left"/>
    </xf>
    <xf borderId="168" fillId="17" fontId="13" numFmtId="0" xfId="0" applyAlignment="1" applyBorder="1" applyFont="1">
      <alignment horizontal="left" readingOrder="0"/>
    </xf>
    <xf borderId="169" fillId="17" fontId="13" numFmtId="0" xfId="0" applyAlignment="1" applyBorder="1" applyFont="1">
      <alignment horizontal="center" readingOrder="0"/>
    </xf>
    <xf borderId="170" fillId="17" fontId="13" numFmtId="0" xfId="0" applyAlignment="1" applyBorder="1" applyFont="1">
      <alignment horizontal="left" readingOrder="0"/>
    </xf>
    <xf borderId="171" fillId="14" fontId="13" numFmtId="0" xfId="0" applyAlignment="1" applyBorder="1" applyFont="1">
      <alignment readingOrder="0"/>
    </xf>
    <xf borderId="172" fillId="14" fontId="13" numFmtId="0" xfId="0" applyAlignment="1" applyBorder="1" applyFont="1">
      <alignment horizontal="center" readingOrder="0"/>
    </xf>
    <xf borderId="76" fillId="14" fontId="13" numFmtId="0" xfId="0" applyAlignment="1" applyBorder="1" applyFont="1">
      <alignment readingOrder="0"/>
    </xf>
    <xf borderId="173" fillId="8" fontId="13" numFmtId="0" xfId="0" applyAlignment="1" applyBorder="1" applyFont="1">
      <alignment readingOrder="0"/>
    </xf>
    <xf borderId="174" fillId="8" fontId="13" numFmtId="0" xfId="0" applyAlignment="1" applyBorder="1" applyFont="1">
      <alignment horizontal="center" readingOrder="0"/>
    </xf>
    <xf borderId="81" fillId="8" fontId="13" numFmtId="0" xfId="0" applyBorder="1" applyFont="1"/>
    <xf borderId="0" fillId="71" fontId="64" numFmtId="0" xfId="0" applyAlignment="1" applyFill="1" applyFont="1">
      <alignment horizontal="center" readingOrder="0" shrinkToFit="0" wrapText="0"/>
    </xf>
    <xf borderId="175" fillId="17" fontId="13" numFmtId="0" xfId="0" applyAlignment="1" applyBorder="1" applyFont="1">
      <alignment horizontal="left" readingOrder="0"/>
    </xf>
    <xf borderId="176" fillId="17" fontId="13" numFmtId="0" xfId="0" applyAlignment="1" applyBorder="1" applyFont="1">
      <alignment horizontal="center" readingOrder="0"/>
    </xf>
    <xf borderId="96" fillId="17" fontId="13" numFmtId="0" xfId="0" applyAlignment="1" applyBorder="1" applyFont="1">
      <alignment horizontal="left" readingOrder="0"/>
    </xf>
    <xf borderId="177" fillId="14" fontId="13" numFmtId="0" xfId="0" applyAlignment="1" applyBorder="1" applyFont="1">
      <alignment readingOrder="0"/>
    </xf>
    <xf borderId="178" fillId="14" fontId="13" numFmtId="0" xfId="0" applyAlignment="1" applyBorder="1" applyFont="1">
      <alignment horizontal="center"/>
    </xf>
    <xf borderId="89" fillId="14" fontId="13" numFmtId="0" xfId="0" applyAlignment="1" applyBorder="1" applyFont="1">
      <alignment readingOrder="0"/>
    </xf>
    <xf borderId="179" fillId="8" fontId="13" numFmtId="0" xfId="0" applyAlignment="1" applyBorder="1" applyFont="1">
      <alignment readingOrder="0"/>
    </xf>
    <xf borderId="180" fillId="8" fontId="13" numFmtId="0" xfId="0" applyAlignment="1" applyBorder="1" applyFont="1">
      <alignment horizontal="center"/>
    </xf>
    <xf borderId="94" fillId="8" fontId="13" numFmtId="0" xfId="0" applyAlignment="1" applyBorder="1" applyFont="1">
      <alignment readingOrder="0"/>
    </xf>
    <xf borderId="0" fillId="20" fontId="60" numFmtId="0" xfId="0" applyAlignment="1" applyFont="1">
      <alignment horizontal="center" readingOrder="0" shrinkToFit="0" wrapText="0"/>
    </xf>
    <xf borderId="0" fillId="19" fontId="60" numFmtId="0" xfId="0" applyAlignment="1" applyFont="1">
      <alignment horizontal="center" readingOrder="0" shrinkToFit="0" wrapText="0"/>
    </xf>
    <xf borderId="0" fillId="72" fontId="60" numFmtId="0" xfId="0" applyAlignment="1" applyFill="1" applyFont="1">
      <alignment horizontal="center" readingOrder="0" shrinkToFit="0" wrapText="0"/>
    </xf>
    <xf borderId="0" fillId="73" fontId="64" numFmtId="0" xfId="0" applyAlignment="1" applyFill="1" applyFont="1">
      <alignment horizontal="center" readingOrder="0" shrinkToFit="0" wrapText="0"/>
    </xf>
    <xf borderId="0" fillId="74" fontId="64" numFmtId="0" xfId="0" applyAlignment="1" applyFill="1" applyFont="1">
      <alignment horizontal="center" readingOrder="0" shrinkToFit="0" wrapText="0"/>
    </xf>
    <xf borderId="0" fillId="75" fontId="64" numFmtId="0" xfId="0" applyAlignment="1" applyFill="1" applyFont="1">
      <alignment horizontal="center" readingOrder="0" shrinkToFit="0" wrapText="0"/>
    </xf>
    <xf borderId="0" fillId="0" fontId="78" numFmtId="0" xfId="0" applyAlignment="1" applyFont="1">
      <alignment horizontal="left"/>
    </xf>
    <xf borderId="0" fillId="13" fontId="61" numFmtId="0" xfId="0" applyAlignment="1" applyFont="1">
      <alignment horizontal="left"/>
    </xf>
    <xf borderId="181" fillId="17" fontId="13" numFmtId="0" xfId="0" applyAlignment="1" applyBorder="1" applyFont="1">
      <alignment horizontal="left" readingOrder="0"/>
    </xf>
    <xf borderId="182" fillId="17" fontId="13" numFmtId="0" xfId="0" applyAlignment="1" applyBorder="1" applyFont="1">
      <alignment horizontal="center" readingOrder="0"/>
    </xf>
    <xf borderId="183" fillId="17" fontId="13" numFmtId="0" xfId="0" applyAlignment="1" applyBorder="1" applyFont="1">
      <alignment horizontal="left" readingOrder="0"/>
    </xf>
    <xf borderId="184" fillId="14" fontId="13" numFmtId="0" xfId="0" applyAlignment="1" applyBorder="1" applyFont="1">
      <alignment readingOrder="0"/>
    </xf>
    <xf borderId="185" fillId="14" fontId="13" numFmtId="0" xfId="0" applyAlignment="1" applyBorder="1" applyFont="1">
      <alignment horizontal="center"/>
    </xf>
    <xf borderId="186" fillId="14" fontId="13" numFmtId="0" xfId="0" applyAlignment="1" applyBorder="1" applyFont="1">
      <alignment readingOrder="0"/>
    </xf>
    <xf borderId="187" fillId="8" fontId="13" numFmtId="0" xfId="0" applyAlignment="1" applyBorder="1" applyFont="1">
      <alignment readingOrder="0"/>
    </xf>
    <xf borderId="188" fillId="8" fontId="13" numFmtId="0" xfId="0" applyAlignment="1" applyBorder="1" applyFont="1">
      <alignment horizontal="center"/>
    </xf>
    <xf borderId="189" fillId="8" fontId="13" numFmtId="0" xfId="0" applyAlignment="1" applyBorder="1" applyFont="1">
      <alignment readingOrder="0"/>
    </xf>
    <xf borderId="190" fillId="10" fontId="13" numFmtId="0" xfId="0" applyAlignment="1" applyBorder="1" applyFont="1">
      <alignment readingOrder="0"/>
    </xf>
    <xf borderId="191" fillId="10" fontId="13" numFmtId="0" xfId="0" applyAlignment="1" applyBorder="1" applyFont="1">
      <alignment horizontal="center"/>
    </xf>
    <xf borderId="121" fillId="10" fontId="13" numFmtId="0" xfId="0" applyAlignment="1" applyBorder="1" applyFont="1">
      <alignment readingOrder="0"/>
    </xf>
    <xf borderId="192" fillId="12" fontId="13" numFmtId="0" xfId="0" applyAlignment="1" applyBorder="1" applyFont="1">
      <alignment readingOrder="0"/>
    </xf>
    <xf borderId="193" fillId="12" fontId="13" numFmtId="0" xfId="0" applyAlignment="1" applyBorder="1" applyFont="1">
      <alignment horizontal="center"/>
    </xf>
    <xf borderId="126" fillId="12" fontId="13" numFmtId="0" xfId="0" applyAlignment="1" applyBorder="1" applyFont="1">
      <alignment readingOrder="0"/>
    </xf>
    <xf borderId="194" fillId="10" fontId="13" numFmtId="0" xfId="0" applyAlignment="1" applyBorder="1" applyFont="1">
      <alignment readingOrder="0"/>
    </xf>
    <xf borderId="195" fillId="10" fontId="13" numFmtId="0" xfId="0" applyAlignment="1" applyBorder="1" applyFont="1">
      <alignment horizontal="center"/>
    </xf>
    <xf borderId="132" fillId="10" fontId="13" numFmtId="0" xfId="0" applyAlignment="1" applyBorder="1" applyFont="1">
      <alignment readingOrder="0"/>
    </xf>
    <xf borderId="196" fillId="12" fontId="13" numFmtId="0" xfId="0" applyAlignment="1" applyBorder="1" applyFont="1">
      <alignment readingOrder="0"/>
    </xf>
    <xf borderId="197" fillId="12" fontId="13" numFmtId="0" xfId="0" applyAlignment="1" applyBorder="1" applyFont="1">
      <alignment horizontal="center"/>
    </xf>
    <xf borderId="136" fillId="12" fontId="13" numFmtId="0" xfId="0" applyAlignment="1" applyBorder="1" applyFont="1">
      <alignment readingOrder="0"/>
    </xf>
    <xf borderId="60" fillId="52" fontId="79" numFmtId="0" xfId="0" applyAlignment="1" applyBorder="1" applyFont="1">
      <alignment horizontal="center" readingOrder="0" shrinkToFit="0" textRotation="0" vertical="center" wrapText="1"/>
    </xf>
    <xf borderId="56" fillId="9" fontId="80" numFmtId="0" xfId="0" applyAlignment="1" applyBorder="1" applyFont="1">
      <alignment horizontal="center" readingOrder="0" shrinkToFit="0" vertical="center" wrapText="1"/>
    </xf>
    <xf borderId="65" fillId="0" fontId="6" numFmtId="0" xfId="0" applyBorder="1" applyFont="1"/>
    <xf borderId="0" fillId="8" fontId="13" numFmtId="0" xfId="0" applyAlignment="1" applyFont="1">
      <alignment horizontal="left" vertical="bottom"/>
    </xf>
    <xf borderId="198" fillId="10" fontId="13" numFmtId="0" xfId="0" applyAlignment="1" applyBorder="1" applyFont="1">
      <alignment readingOrder="0"/>
    </xf>
    <xf borderId="199" fillId="10" fontId="13" numFmtId="0" xfId="0" applyAlignment="1" applyBorder="1" applyFont="1">
      <alignment horizontal="center"/>
    </xf>
    <xf borderId="200" fillId="10" fontId="13" numFmtId="0" xfId="0" applyAlignment="1" applyBorder="1" applyFont="1">
      <alignment readingOrder="0"/>
    </xf>
    <xf borderId="201" fillId="12" fontId="13" numFmtId="0" xfId="0" applyAlignment="1" applyBorder="1" applyFont="1">
      <alignment readingOrder="0"/>
    </xf>
    <xf borderId="202" fillId="12" fontId="13" numFmtId="0" xfId="0" applyAlignment="1" applyBorder="1" applyFont="1">
      <alignment horizontal="center"/>
    </xf>
    <xf borderId="203" fillId="12" fontId="13" numFmtId="0" xfId="0" applyAlignment="1" applyBorder="1" applyFont="1">
      <alignment readingOrder="0"/>
    </xf>
    <xf borderId="0" fillId="0" fontId="78" numFmtId="0" xfId="0" applyAlignment="1" applyFont="1">
      <alignment horizontal="left" readingOrder="0"/>
    </xf>
    <xf borderId="0" fillId="0" fontId="78" numFmtId="49" xfId="0" applyAlignment="1" applyFont="1" applyNumberFormat="1">
      <alignment horizontal="left"/>
    </xf>
    <xf borderId="0" fillId="15" fontId="13" numFmtId="0" xfId="0" applyAlignment="1" applyFont="1">
      <alignment horizontal="left" vertical="bottom"/>
    </xf>
    <xf borderId="0" fillId="10" fontId="13" numFmtId="0" xfId="0" applyAlignment="1" applyFont="1">
      <alignment horizontal="left" vertical="bottom"/>
    </xf>
    <xf borderId="114" fillId="0" fontId="61" numFmtId="2" xfId="0" applyAlignment="1" applyBorder="1" applyFont="1" applyNumberFormat="1">
      <alignment horizontal="left" readingOrder="0"/>
    </xf>
    <xf borderId="0" fillId="9" fontId="13" numFmtId="0" xfId="0" applyAlignment="1" applyFont="1">
      <alignment horizontal="left" vertical="bottom"/>
    </xf>
    <xf borderId="0" fillId="12" fontId="13" numFmtId="0" xfId="0" applyAlignment="1" applyFont="1">
      <alignment horizontal="left" vertical="bottom"/>
    </xf>
    <xf borderId="0" fillId="0" fontId="78" numFmtId="0" xfId="0" applyAlignment="1" applyFont="1">
      <alignment horizontal="left"/>
    </xf>
    <xf borderId="0" fillId="0" fontId="61" numFmtId="0" xfId="0" applyAlignment="1" applyFont="1">
      <alignment horizontal="left"/>
    </xf>
    <xf borderId="114" fillId="0" fontId="61" numFmtId="0" xfId="0" applyAlignment="1" applyBorder="1" applyFont="1">
      <alignment horizontal="left"/>
    </xf>
    <xf borderId="0" fillId="11" fontId="13" numFmtId="0" xfId="0" applyAlignment="1" applyFont="1">
      <alignment horizontal="left" vertical="bottom"/>
    </xf>
    <xf borderId="204" fillId="51" fontId="81" numFmtId="49" xfId="0" applyAlignment="1" applyBorder="1" applyFont="1" applyNumberFormat="1">
      <alignment vertical="bottom"/>
    </xf>
    <xf borderId="205" fillId="51" fontId="82" numFmtId="49" xfId="0" applyAlignment="1" applyBorder="1" applyFont="1" applyNumberFormat="1">
      <alignment shrinkToFit="0" vertical="bottom" wrapText="1"/>
    </xf>
    <xf borderId="206" fillId="0" fontId="6" numFmtId="0" xfId="0" applyBorder="1" applyFont="1"/>
    <xf borderId="205" fillId="0" fontId="6" numFmtId="0" xfId="0" applyBorder="1" applyFont="1"/>
    <xf borderId="205" fillId="51" fontId="82" numFmtId="49" xfId="0" applyAlignment="1" applyBorder="1" applyFont="1" applyNumberFormat="1">
      <alignment readingOrder="0" shrinkToFit="0" vertical="bottom" wrapText="1"/>
    </xf>
    <xf borderId="205" fillId="51" fontId="83" numFmtId="49" xfId="0" applyAlignment="1" applyBorder="1" applyFont="1" applyNumberFormat="1">
      <alignment shrinkToFit="0" vertical="bottom" wrapText="1"/>
    </xf>
    <xf borderId="205" fillId="51" fontId="84" numFmtId="49" xfId="0" applyAlignment="1" applyBorder="1" applyFont="1" applyNumberFormat="1">
      <alignment shrinkToFit="0" vertical="bottom" wrapText="1"/>
    </xf>
    <xf borderId="205" fillId="51" fontId="84" numFmtId="49" xfId="0" applyAlignment="1" applyBorder="1" applyFont="1" applyNumberFormat="1">
      <alignment readingOrder="0" shrinkToFit="0" vertical="bottom" wrapText="1"/>
    </xf>
    <xf borderId="205" fillId="51" fontId="85" numFmtId="49" xfId="0" applyAlignment="1" applyBorder="1" applyFont="1" applyNumberFormat="1">
      <alignment shrinkToFit="0" vertical="bottom" wrapText="1"/>
    </xf>
    <xf borderId="205" fillId="51" fontId="86" numFmtId="49" xfId="0" applyAlignment="1" applyBorder="1" applyFont="1" applyNumberFormat="1">
      <alignment shrinkToFit="0" vertical="bottom" wrapText="1"/>
    </xf>
    <xf borderId="205" fillId="51" fontId="86" numFmtId="49" xfId="0" applyAlignment="1" applyBorder="1" applyFont="1" applyNumberFormat="1">
      <alignment readingOrder="0" shrinkToFit="0" vertical="bottom" wrapText="1"/>
    </xf>
    <xf borderId="207" fillId="51" fontId="86" numFmtId="49" xfId="0" applyAlignment="1" applyBorder="1" applyFont="1" applyNumberFormat="1">
      <alignment readingOrder="0" shrinkToFit="0" vertical="bottom" wrapText="1"/>
    </xf>
    <xf borderId="207" fillId="51" fontId="86" numFmtId="49" xfId="0" applyAlignment="1" applyBorder="1" applyFont="1" applyNumberFormat="1">
      <alignment shrinkToFit="0" vertical="bottom" wrapText="1"/>
    </xf>
    <xf borderId="205" fillId="51" fontId="87" numFmtId="49" xfId="0" applyAlignment="1" applyBorder="1" applyFont="1" applyNumberFormat="1">
      <alignment shrinkToFit="0" vertical="bottom" wrapText="1"/>
    </xf>
    <xf borderId="206" fillId="51" fontId="87" numFmtId="49" xfId="0" applyAlignment="1" applyBorder="1" applyFont="1" applyNumberFormat="1">
      <alignment shrinkToFit="0" vertical="bottom" wrapText="1"/>
    </xf>
    <xf borderId="206" fillId="51" fontId="13" numFmtId="49" xfId="0" applyAlignment="1" applyBorder="1" applyFont="1" applyNumberFormat="1">
      <alignment vertical="bottom"/>
    </xf>
    <xf borderId="205" fillId="51" fontId="88" numFmtId="49" xfId="0" applyAlignment="1" applyBorder="1" applyFont="1" applyNumberFormat="1">
      <alignment shrinkToFit="0" vertical="bottom" wrapText="1"/>
    </xf>
    <xf borderId="205" fillId="51" fontId="89" numFmtId="49" xfId="0" applyAlignment="1" applyBorder="1" applyFont="1" applyNumberFormat="1">
      <alignment readingOrder="0" shrinkToFit="0" vertical="bottom" wrapText="1"/>
    </xf>
    <xf borderId="205" fillId="51" fontId="89" numFmtId="49" xfId="0" applyAlignment="1" applyBorder="1" applyFont="1" applyNumberFormat="1">
      <alignment shrinkToFit="0" vertical="bottom" wrapText="1"/>
    </xf>
    <xf borderId="205" fillId="51" fontId="89" numFmtId="0" xfId="0" applyAlignment="1" applyBorder="1" applyFont="1">
      <alignment readingOrder="0" shrinkToFit="0" vertical="bottom" wrapText="1"/>
    </xf>
    <xf borderId="205" fillId="51" fontId="90" numFmtId="49" xfId="0" applyAlignment="1" applyBorder="1" applyFont="1" applyNumberFormat="1">
      <alignment shrinkToFit="0" vertical="bottom" wrapText="1"/>
    </xf>
    <xf borderId="205" fillId="51" fontId="90" numFmtId="2" xfId="0" applyAlignment="1" applyBorder="1" applyFont="1" applyNumberFormat="1">
      <alignment shrinkToFit="0" vertical="bottom" wrapText="1"/>
    </xf>
    <xf borderId="205" fillId="51" fontId="90" numFmtId="49" xfId="0" applyAlignment="1" applyBorder="1" applyFont="1" applyNumberFormat="1">
      <alignment readingOrder="0" shrinkToFit="0" vertical="bottom" wrapText="1"/>
    </xf>
    <xf borderId="0" fillId="51" fontId="91" numFmtId="46" xfId="0" applyAlignment="1" applyFont="1" applyNumberFormat="1">
      <alignment shrinkToFit="0" vertical="bottom" wrapText="1"/>
    </xf>
    <xf borderId="0" fillId="51" fontId="91" numFmtId="49" xfId="0" applyAlignment="1" applyFont="1" applyNumberFormat="1">
      <alignment shrinkToFit="0" vertical="bottom" wrapText="1"/>
    </xf>
    <xf borderId="205" fillId="51" fontId="87" numFmtId="2" xfId="0" applyAlignment="1" applyBorder="1" applyFont="1" applyNumberFormat="1">
      <alignment shrinkToFit="0" vertical="bottom" wrapText="1"/>
    </xf>
    <xf borderId="205" fillId="51" fontId="87" numFmtId="2" xfId="0" applyAlignment="1" applyBorder="1" applyFont="1" applyNumberFormat="1">
      <alignment readingOrder="0" shrinkToFit="0" vertical="bottom" wrapText="1"/>
    </xf>
    <xf borderId="204" fillId="51" fontId="92" numFmtId="49" xfId="0" applyAlignment="1" applyBorder="1" applyFont="1" applyNumberFormat="1">
      <alignment horizontal="right" vertical="bottom"/>
    </xf>
    <xf borderId="5" fillId="12" fontId="93" numFmtId="49" xfId="0" applyAlignment="1" applyBorder="1" applyFont="1" applyNumberFormat="1">
      <alignment horizontal="center" vertical="bottom"/>
    </xf>
    <xf borderId="208" fillId="12" fontId="93" numFmtId="3" xfId="0" applyAlignment="1" applyBorder="1" applyFont="1" applyNumberFormat="1">
      <alignment horizontal="center" vertical="bottom"/>
    </xf>
    <xf borderId="5" fillId="12" fontId="93" numFmtId="3" xfId="0" applyAlignment="1" applyBorder="1" applyFont="1" applyNumberFormat="1">
      <alignment horizontal="center" vertical="bottom"/>
    </xf>
    <xf borderId="5" fillId="10" fontId="93" numFmtId="49" xfId="0" applyAlignment="1" applyBorder="1" applyFont="1" applyNumberFormat="1">
      <alignment horizontal="center" vertical="bottom"/>
    </xf>
    <xf borderId="208" fillId="10" fontId="93" numFmtId="3" xfId="0" applyAlignment="1" applyBorder="1" applyFont="1" applyNumberFormat="1">
      <alignment horizontal="center" vertical="bottom"/>
    </xf>
    <xf borderId="5" fillId="8" fontId="93" numFmtId="49" xfId="0" applyAlignment="1" applyBorder="1" applyFont="1" applyNumberFormat="1">
      <alignment horizontal="center" vertical="bottom"/>
    </xf>
    <xf borderId="208" fillId="8" fontId="93" numFmtId="3" xfId="0" applyAlignment="1" applyBorder="1" applyFont="1" applyNumberFormat="1">
      <alignment horizontal="center" vertical="bottom"/>
    </xf>
    <xf borderId="5" fillId="14" fontId="93" numFmtId="49" xfId="0" applyAlignment="1" applyBorder="1" applyFont="1" applyNumberFormat="1">
      <alignment horizontal="center" vertical="bottom"/>
    </xf>
    <xf borderId="208" fillId="14" fontId="93" numFmtId="3" xfId="0" applyAlignment="1" applyBorder="1" applyFont="1" applyNumberFormat="1">
      <alignment horizontal="center" vertical="bottom"/>
    </xf>
    <xf borderId="5" fillId="14" fontId="93" numFmtId="3" xfId="0" applyAlignment="1" applyBorder="1" applyFont="1" applyNumberFormat="1">
      <alignment horizontal="center" vertical="bottom"/>
    </xf>
    <xf borderId="5" fillId="17" fontId="93" numFmtId="49" xfId="0" applyAlignment="1" applyBorder="1" applyFont="1" applyNumberFormat="1">
      <alignment horizontal="center" vertical="bottom"/>
    </xf>
    <xf borderId="208" fillId="17" fontId="93" numFmtId="3" xfId="0" applyAlignment="1" applyBorder="1" applyFont="1" applyNumberFormat="1">
      <alignment horizontal="center" vertical="bottom"/>
    </xf>
    <xf borderId="204" fillId="17" fontId="93" numFmtId="3" xfId="0" applyAlignment="1" applyBorder="1" applyFont="1" applyNumberFormat="1">
      <alignment horizontal="center" vertical="bottom"/>
    </xf>
    <xf borderId="0" fillId="17" fontId="93" numFmtId="49" xfId="0" applyAlignment="1" applyFont="1" applyNumberFormat="1">
      <alignment horizontal="center" vertical="bottom"/>
    </xf>
    <xf borderId="20" fillId="17" fontId="93" numFmtId="49" xfId="0" applyAlignment="1" applyBorder="1" applyFont="1" applyNumberFormat="1">
      <alignment horizontal="center" vertical="bottom"/>
    </xf>
    <xf borderId="0" fillId="17" fontId="93" numFmtId="3" xfId="0" applyAlignment="1" applyFont="1" applyNumberFormat="1">
      <alignment horizontal="center" vertical="bottom"/>
    </xf>
    <xf borderId="5" fillId="28" fontId="93" numFmtId="49" xfId="0" applyAlignment="1" applyBorder="1" applyFont="1" applyNumberFormat="1">
      <alignment horizontal="center" vertical="bottom"/>
    </xf>
    <xf borderId="208" fillId="28" fontId="93" numFmtId="3" xfId="0" applyAlignment="1" applyBorder="1" applyFont="1" applyNumberFormat="1">
      <alignment horizontal="center" vertical="bottom"/>
    </xf>
    <xf borderId="5" fillId="28" fontId="93" numFmtId="3" xfId="0" applyAlignment="1" applyBorder="1" applyFont="1" applyNumberFormat="1">
      <alignment horizontal="center" vertical="bottom"/>
    </xf>
    <xf borderId="5" fillId="20" fontId="93" numFmtId="49" xfId="0" applyAlignment="1" applyBorder="1" applyFont="1" applyNumberFormat="1">
      <alignment horizontal="center" vertical="bottom"/>
    </xf>
    <xf borderId="208" fillId="20" fontId="93" numFmtId="3" xfId="0" applyAlignment="1" applyBorder="1" applyFont="1" applyNumberFormat="1">
      <alignment horizontal="center" vertical="bottom"/>
    </xf>
    <xf borderId="0" fillId="22" fontId="93" numFmtId="49" xfId="0" applyAlignment="1" applyFont="1" applyNumberFormat="1">
      <alignment horizontal="center" vertical="bottom"/>
    </xf>
    <xf borderId="204" fillId="22" fontId="93" numFmtId="3" xfId="0" applyAlignment="1" applyBorder="1" applyFont="1" applyNumberFormat="1">
      <alignment horizontal="center" vertical="bottom"/>
    </xf>
    <xf borderId="5" fillId="22" fontId="93" numFmtId="49" xfId="0" applyAlignment="1" applyBorder="1" applyFont="1" applyNumberFormat="1">
      <alignment horizontal="center" vertical="bottom"/>
    </xf>
    <xf borderId="208" fillId="22" fontId="93" numFmtId="3" xfId="0" applyAlignment="1" applyBorder="1" applyFont="1" applyNumberFormat="1">
      <alignment horizontal="center" vertical="bottom"/>
    </xf>
    <xf borderId="5" fillId="24" fontId="93" numFmtId="49" xfId="0" applyAlignment="1" applyBorder="1" applyFont="1" applyNumberFormat="1">
      <alignment horizontal="center" vertical="bottom"/>
    </xf>
    <xf borderId="208" fillId="24" fontId="93" numFmtId="3" xfId="0" applyAlignment="1" applyBorder="1" applyFont="1" applyNumberFormat="1">
      <alignment horizontal="center" vertical="bottom"/>
    </xf>
    <xf borderId="5" fillId="26" fontId="93" numFmtId="46" xfId="0" applyAlignment="1" applyBorder="1" applyFont="1" applyNumberFormat="1">
      <alignment horizontal="center" vertical="bottom"/>
    </xf>
    <xf borderId="208" fillId="26" fontId="93" numFmtId="3" xfId="0" applyAlignment="1" applyBorder="1" applyFont="1" applyNumberFormat="1">
      <alignment horizontal="center" vertical="bottom"/>
    </xf>
    <xf borderId="0" fillId="26" fontId="93" numFmtId="49" xfId="0" applyAlignment="1" applyFont="1" applyNumberFormat="1">
      <alignment horizontal="center" vertical="bottom"/>
    </xf>
    <xf borderId="204" fillId="26" fontId="93" numFmtId="3" xfId="0" applyAlignment="1" applyBorder="1" applyFont="1" applyNumberFormat="1">
      <alignment horizontal="center" vertical="bottom"/>
    </xf>
    <xf borderId="5" fillId="26" fontId="93" numFmtId="49" xfId="0" applyAlignment="1" applyBorder="1" applyFont="1" applyNumberFormat="1">
      <alignment horizontal="center" vertical="bottom"/>
    </xf>
    <xf borderId="209" fillId="26" fontId="93" numFmtId="49" xfId="0" applyAlignment="1" applyBorder="1" applyFont="1" applyNumberFormat="1">
      <alignment horizontal="center" vertical="bottom"/>
    </xf>
    <xf borderId="204" fillId="51" fontId="90" numFmtId="0" xfId="0" applyAlignment="1" applyBorder="1" applyFont="1">
      <alignment horizontal="right" vertical="bottom"/>
    </xf>
    <xf borderId="0" fillId="12" fontId="94" numFmtId="46" xfId="0" applyAlignment="1" applyFont="1" applyNumberFormat="1">
      <alignment horizontal="right" vertical="bottom"/>
    </xf>
    <xf borderId="204" fillId="12" fontId="94" numFmtId="3" xfId="0" applyAlignment="1" applyBorder="1" applyFont="1" applyNumberFormat="1">
      <alignment horizontal="right" vertical="bottom"/>
    </xf>
    <xf borderId="0" fillId="12" fontId="94" numFmtId="3" xfId="0" applyAlignment="1" applyFont="1" applyNumberFormat="1">
      <alignment horizontal="right" vertical="bottom"/>
    </xf>
    <xf borderId="204" fillId="12" fontId="95" numFmtId="3" xfId="0" applyAlignment="1" applyBorder="1" applyFont="1" applyNumberFormat="1">
      <alignment horizontal="right" vertical="bottom"/>
    </xf>
    <xf borderId="0" fillId="12" fontId="95" numFmtId="46" xfId="0" applyAlignment="1" applyFont="1" applyNumberFormat="1">
      <alignment horizontal="right" vertical="bottom"/>
    </xf>
    <xf borderId="5" fillId="12" fontId="94" numFmtId="46" xfId="0" applyAlignment="1" applyBorder="1" applyFont="1" applyNumberFormat="1">
      <alignment horizontal="right" vertical="bottom"/>
    </xf>
    <xf borderId="208" fillId="12" fontId="94" numFmtId="3" xfId="0" applyAlignment="1" applyBorder="1" applyFont="1" applyNumberFormat="1">
      <alignment horizontal="right" vertical="bottom"/>
    </xf>
    <xf borderId="0" fillId="12" fontId="94" numFmtId="46" xfId="0" applyAlignment="1" applyFont="1" applyNumberFormat="1">
      <alignment horizontal="right" readingOrder="0" vertical="bottom"/>
    </xf>
    <xf borderId="204" fillId="12" fontId="94" numFmtId="46" xfId="0" applyAlignment="1" applyBorder="1" applyFont="1" applyNumberFormat="1">
      <alignment horizontal="right" vertical="bottom"/>
    </xf>
    <xf borderId="0" fillId="10" fontId="94" numFmtId="46" xfId="0" applyAlignment="1" applyFont="1" applyNumberFormat="1">
      <alignment horizontal="right" vertical="bottom"/>
    </xf>
    <xf borderId="204" fillId="10" fontId="94" numFmtId="3" xfId="0" applyAlignment="1" applyBorder="1" applyFont="1" applyNumberFormat="1">
      <alignment horizontal="right" vertical="bottom"/>
    </xf>
    <xf borderId="0" fillId="8" fontId="94" numFmtId="46" xfId="0" applyAlignment="1" applyFont="1" applyNumberFormat="1">
      <alignment horizontal="right" vertical="bottom"/>
    </xf>
    <xf borderId="204" fillId="8" fontId="94" numFmtId="3" xfId="0" applyAlignment="1" applyBorder="1" applyFont="1" applyNumberFormat="1">
      <alignment horizontal="right" vertical="bottom"/>
    </xf>
    <xf borderId="5" fillId="8" fontId="94" numFmtId="46" xfId="0" applyAlignment="1" applyBorder="1" applyFont="1" applyNumberFormat="1">
      <alignment horizontal="right" vertical="bottom"/>
    </xf>
    <xf borderId="208" fillId="8" fontId="94" numFmtId="3" xfId="0" applyAlignment="1" applyBorder="1" applyFont="1" applyNumberFormat="1">
      <alignment horizontal="right" vertical="bottom"/>
    </xf>
    <xf borderId="0" fillId="8" fontId="94" numFmtId="3" xfId="0" applyAlignment="1" applyFont="1" applyNumberFormat="1">
      <alignment horizontal="right" vertical="bottom"/>
    </xf>
    <xf borderId="0" fillId="14" fontId="94" numFmtId="46" xfId="0" applyAlignment="1" applyFont="1" applyNumberFormat="1">
      <alignment horizontal="right" vertical="bottom"/>
    </xf>
    <xf borderId="204" fillId="14" fontId="94" numFmtId="3" xfId="0" applyAlignment="1" applyBorder="1" applyFont="1" applyNumberFormat="1">
      <alignment horizontal="right" vertical="bottom"/>
    </xf>
    <xf borderId="5" fillId="14" fontId="94" numFmtId="46" xfId="0" applyAlignment="1" applyBorder="1" applyFont="1" applyNumberFormat="1">
      <alignment horizontal="right" vertical="bottom"/>
    </xf>
    <xf borderId="208" fillId="14" fontId="94" numFmtId="3" xfId="0" applyAlignment="1" applyBorder="1" applyFont="1" applyNumberFormat="1">
      <alignment horizontal="right" vertical="bottom"/>
    </xf>
    <xf borderId="0" fillId="17" fontId="94" numFmtId="46" xfId="0" applyAlignment="1" applyFont="1" applyNumberFormat="1">
      <alignment horizontal="right" vertical="bottom"/>
    </xf>
    <xf borderId="204" fillId="17" fontId="94" numFmtId="3" xfId="0" applyAlignment="1" applyBorder="1" applyFont="1" applyNumberFormat="1">
      <alignment horizontal="right" vertical="bottom"/>
    </xf>
    <xf borderId="0" fillId="17" fontId="94" numFmtId="3" xfId="0" applyAlignment="1" applyFont="1" applyNumberFormat="1">
      <alignment horizontal="right" vertical="bottom"/>
    </xf>
    <xf borderId="20" fillId="17" fontId="94" numFmtId="46" xfId="0" applyAlignment="1" applyBorder="1" applyFont="1" applyNumberFormat="1">
      <alignment horizontal="right" vertical="bottom"/>
    </xf>
    <xf borderId="20" fillId="17" fontId="94" numFmtId="191" xfId="0" applyAlignment="1" applyBorder="1" applyFont="1" applyNumberFormat="1">
      <alignment horizontal="right" vertical="bottom"/>
    </xf>
    <xf borderId="0" fillId="17" fontId="94" numFmtId="46" xfId="0" applyAlignment="1" applyFont="1" applyNumberFormat="1">
      <alignment horizontal="right" readingOrder="0" vertical="bottom"/>
    </xf>
    <xf borderId="0" fillId="17" fontId="94" numFmtId="3" xfId="0" applyAlignment="1" applyFont="1" applyNumberFormat="1">
      <alignment horizontal="right" readingOrder="0" vertical="bottom"/>
    </xf>
    <xf borderId="0" fillId="17" fontId="94" numFmtId="21" xfId="0" applyAlignment="1" applyFont="1" applyNumberFormat="1">
      <alignment horizontal="right" readingOrder="0" vertical="bottom"/>
    </xf>
    <xf borderId="0" fillId="28" fontId="94" numFmtId="46" xfId="0" applyAlignment="1" applyFont="1" applyNumberFormat="1">
      <alignment horizontal="right" vertical="bottom"/>
    </xf>
    <xf borderId="204" fillId="28" fontId="94" numFmtId="3" xfId="0" applyAlignment="1" applyBorder="1" applyFont="1" applyNumberFormat="1">
      <alignment horizontal="right" vertical="bottom"/>
    </xf>
    <xf borderId="5" fillId="28" fontId="94" numFmtId="46" xfId="0" applyAlignment="1" applyBorder="1" applyFont="1" applyNumberFormat="1">
      <alignment horizontal="right" vertical="bottom"/>
    </xf>
    <xf borderId="208" fillId="28" fontId="94" numFmtId="3" xfId="0" applyAlignment="1" applyBorder="1" applyFont="1" applyNumberFormat="1">
      <alignment horizontal="right" vertical="bottom"/>
    </xf>
    <xf borderId="5" fillId="28" fontId="94" numFmtId="46" xfId="0" applyAlignment="1" applyBorder="1" applyFont="1" applyNumberFormat="1">
      <alignment horizontal="right" readingOrder="0" vertical="bottom"/>
    </xf>
    <xf borderId="0" fillId="28" fontId="94" numFmtId="191" xfId="0" applyAlignment="1" applyFont="1" applyNumberFormat="1">
      <alignment horizontal="right" vertical="bottom"/>
    </xf>
    <xf borderId="0" fillId="28" fontId="94" numFmtId="3" xfId="0" applyAlignment="1" applyFont="1" applyNumberFormat="1">
      <alignment horizontal="right" vertical="bottom"/>
    </xf>
    <xf borderId="0" fillId="20" fontId="94" numFmtId="46" xfId="0" applyAlignment="1" applyFont="1" applyNumberFormat="1">
      <alignment horizontal="right" vertical="bottom"/>
    </xf>
    <xf borderId="204" fillId="20" fontId="94" numFmtId="3" xfId="0" applyAlignment="1" applyBorder="1" applyFont="1" applyNumberFormat="1">
      <alignment horizontal="right" vertical="bottom"/>
    </xf>
    <xf borderId="0" fillId="20" fontId="94" numFmtId="3" xfId="0" applyAlignment="1" applyFont="1" applyNumberFormat="1">
      <alignment horizontal="right" vertical="bottom"/>
    </xf>
    <xf borderId="207" fillId="22" fontId="94" numFmtId="46" xfId="0" applyAlignment="1" applyBorder="1" applyFont="1" applyNumberFormat="1">
      <alignment horizontal="right" vertical="bottom"/>
    </xf>
    <xf borderId="206" fillId="22" fontId="94" numFmtId="3" xfId="0" applyAlignment="1" applyBorder="1" applyFont="1" applyNumberFormat="1">
      <alignment horizontal="right" vertical="bottom"/>
    </xf>
    <xf borderId="207" fillId="22" fontId="94" numFmtId="191" xfId="0" applyAlignment="1" applyBorder="1" applyFont="1" applyNumberFormat="1">
      <alignment horizontal="right" vertical="bottom"/>
    </xf>
    <xf borderId="5" fillId="24" fontId="94" numFmtId="46" xfId="0" applyAlignment="1" applyBorder="1" applyFont="1" applyNumberFormat="1">
      <alignment horizontal="right" vertical="bottom"/>
    </xf>
    <xf borderId="208" fillId="24" fontId="94" numFmtId="3" xfId="0" applyAlignment="1" applyBorder="1" applyFont="1" applyNumberFormat="1">
      <alignment horizontal="right" vertical="bottom"/>
    </xf>
    <xf borderId="208" fillId="24" fontId="94" numFmtId="46" xfId="0" applyAlignment="1" applyBorder="1" applyFont="1" applyNumberFormat="1">
      <alignment horizontal="right" vertical="bottom"/>
    </xf>
    <xf borderId="0" fillId="26" fontId="94" numFmtId="46" xfId="0" applyAlignment="1" applyFont="1" applyNumberFormat="1">
      <alignment horizontal="right" vertical="bottom"/>
    </xf>
    <xf borderId="0" fillId="26" fontId="94" numFmtId="0" xfId="0" applyAlignment="1" applyFont="1">
      <alignment horizontal="right" vertical="bottom"/>
    </xf>
    <xf borderId="207" fillId="26" fontId="94" numFmtId="46" xfId="0" applyAlignment="1" applyBorder="1" applyFont="1" applyNumberFormat="1">
      <alignment horizontal="right" vertical="bottom"/>
    </xf>
    <xf borderId="206" fillId="26" fontId="94" numFmtId="3" xfId="0" applyAlignment="1" applyBorder="1" applyFont="1" applyNumberFormat="1">
      <alignment horizontal="right" vertical="bottom"/>
    </xf>
    <xf borderId="0" fillId="26" fontId="94" numFmtId="3" xfId="0" applyAlignment="1" applyFont="1" applyNumberFormat="1">
      <alignment horizontal="right" vertical="bottom"/>
    </xf>
    <xf borderId="0" fillId="26" fontId="94" numFmtId="191" xfId="0" applyAlignment="1" applyFont="1" applyNumberFormat="1">
      <alignment horizontal="right" vertical="bottom"/>
    </xf>
    <xf borderId="0" fillId="28" fontId="94" numFmtId="46" xfId="0" applyAlignment="1" applyFont="1" applyNumberFormat="1">
      <alignment horizontal="right" readingOrder="0" vertical="bottom"/>
    </xf>
    <xf borderId="204" fillId="28" fontId="94" numFmtId="11" xfId="0" applyAlignment="1" applyBorder="1" applyFont="1" applyNumberFormat="1">
      <alignment horizontal="right" vertical="bottom"/>
    </xf>
    <xf borderId="0" fillId="51" fontId="81" numFmtId="46" xfId="0" applyAlignment="1" applyFont="1" applyNumberFormat="1">
      <alignment vertical="bottom"/>
    </xf>
    <xf borderId="204" fillId="51" fontId="81" numFmtId="3" xfId="0" applyAlignment="1" applyBorder="1" applyFont="1" applyNumberFormat="1">
      <alignment vertical="bottom"/>
    </xf>
    <xf borderId="0" fillId="51" fontId="81" numFmtId="3" xfId="0" applyAlignment="1" applyFont="1" applyNumberFormat="1">
      <alignment vertical="bottom"/>
    </xf>
    <xf borderId="204" fillId="51" fontId="81" numFmtId="4" xfId="0" applyAlignment="1" applyBorder="1" applyFont="1" applyNumberFormat="1">
      <alignment vertical="bottom"/>
    </xf>
    <xf borderId="20" fillId="22" fontId="94" numFmtId="46" xfId="0" applyAlignment="1" applyBorder="1" applyFont="1" applyNumberFormat="1">
      <alignment horizontal="right" vertical="bottom"/>
    </xf>
    <xf borderId="204" fillId="22" fontId="94" numFmtId="3" xfId="0" applyAlignment="1" applyBorder="1" applyFont="1" applyNumberFormat="1">
      <alignment horizontal="right" vertical="bottom"/>
    </xf>
    <xf borderId="20" fillId="22" fontId="94" numFmtId="191" xfId="0" applyAlignment="1" applyBorder="1" applyFont="1" applyNumberFormat="1">
      <alignment horizontal="right" vertical="bottom"/>
    </xf>
    <xf borderId="20" fillId="26" fontId="94" numFmtId="46" xfId="0" applyAlignment="1" applyBorder="1" applyFont="1" applyNumberFormat="1">
      <alignment horizontal="right" vertical="bottom"/>
    </xf>
    <xf borderId="204" fillId="26" fontId="94" numFmtId="3" xfId="0" applyAlignment="1" applyBorder="1" applyFont="1" applyNumberFormat="1">
      <alignment horizontal="right" vertical="bottom"/>
    </xf>
    <xf borderId="0" fillId="51" fontId="13" numFmtId="3" xfId="0" applyAlignment="1" applyFont="1" applyNumberFormat="1">
      <alignment vertical="bottom"/>
    </xf>
    <xf borderId="208" fillId="28" fontId="94" numFmtId="3" xfId="0" applyAlignment="1" applyBorder="1" applyFont="1" applyNumberFormat="1">
      <alignment horizontal="right" readingOrder="0" vertical="bottom"/>
    </xf>
    <xf borderId="0" fillId="26" fontId="13" numFmtId="191" xfId="0" applyAlignment="1" applyFont="1" applyNumberFormat="1">
      <alignment vertical="bottom"/>
    </xf>
    <xf borderId="0" fillId="26" fontId="13" numFmtId="3" xfId="0" applyAlignment="1" applyFont="1" applyNumberFormat="1">
      <alignment vertical="bottom"/>
    </xf>
    <xf borderId="0" fillId="20" fontId="94" numFmtId="191" xfId="0" applyAlignment="1" applyFont="1" applyNumberFormat="1">
      <alignment horizontal="right" vertical="bottom"/>
    </xf>
    <xf borderId="0" fillId="51" fontId="96" numFmtId="3" xfId="0" applyAlignment="1" applyFont="1" applyNumberFormat="1">
      <alignment horizontal="right" vertical="bottom"/>
    </xf>
    <xf borderId="20" fillId="51" fontId="81" numFmtId="3" xfId="0" applyAlignment="1" applyBorder="1" applyFont="1" applyNumberFormat="1">
      <alignment vertical="bottom"/>
    </xf>
    <xf borderId="5" fillId="51" fontId="81" numFmtId="46" xfId="0" applyAlignment="1" applyBorder="1" applyFont="1" applyNumberFormat="1">
      <alignment vertical="bottom"/>
    </xf>
    <xf borderId="208" fillId="51" fontId="81" numFmtId="3" xfId="0" applyAlignment="1" applyBorder="1" applyFont="1" applyNumberFormat="1">
      <alignment vertical="bottom"/>
    </xf>
    <xf borderId="5" fillId="12" fontId="94" numFmtId="3" xfId="0" applyAlignment="1" applyBorder="1" applyFont="1" applyNumberFormat="1">
      <alignment horizontal="right" vertical="bottom"/>
    </xf>
    <xf borderId="208" fillId="12" fontId="95" numFmtId="3" xfId="0" applyAlignment="1" applyBorder="1" applyFont="1" applyNumberFormat="1">
      <alignment horizontal="right" vertical="bottom"/>
    </xf>
    <xf borderId="5" fillId="12" fontId="95" numFmtId="46" xfId="0" applyAlignment="1" applyBorder="1" applyFont="1" applyNumberFormat="1">
      <alignment horizontal="right" vertical="bottom"/>
    </xf>
    <xf borderId="208" fillId="12" fontId="94" numFmtId="46" xfId="0" applyAlignment="1" applyBorder="1" applyFont="1" applyNumberFormat="1">
      <alignment horizontal="right" vertical="bottom"/>
    </xf>
    <xf borderId="5" fillId="10" fontId="94" numFmtId="46" xfId="0" applyAlignment="1" applyBorder="1" applyFont="1" applyNumberFormat="1">
      <alignment horizontal="right" vertical="bottom"/>
    </xf>
    <xf borderId="208" fillId="10" fontId="94" numFmtId="3" xfId="0" applyAlignment="1" applyBorder="1" applyFont="1" applyNumberFormat="1">
      <alignment horizontal="right" vertical="bottom"/>
    </xf>
    <xf borderId="5" fillId="51" fontId="81" numFmtId="3" xfId="0" applyAlignment="1" applyBorder="1" applyFont="1" applyNumberFormat="1">
      <alignment vertical="bottom"/>
    </xf>
    <xf borderId="5" fillId="17" fontId="94" numFmtId="46" xfId="0" applyAlignment="1" applyBorder="1" applyFont="1" applyNumberFormat="1">
      <alignment horizontal="right" vertical="bottom"/>
    </xf>
    <xf borderId="208" fillId="17" fontId="94" numFmtId="3" xfId="0" applyAlignment="1" applyBorder="1" applyFont="1" applyNumberFormat="1">
      <alignment horizontal="right" vertical="bottom"/>
    </xf>
    <xf borderId="208" fillId="51" fontId="81" numFmtId="4" xfId="0" applyAlignment="1" applyBorder="1" applyFont="1" applyNumberFormat="1">
      <alignment vertical="bottom"/>
    </xf>
    <xf borderId="209" fillId="51" fontId="81" numFmtId="3" xfId="0" applyAlignment="1" applyBorder="1" applyFont="1" applyNumberFormat="1">
      <alignment vertical="bottom"/>
    </xf>
    <xf borderId="5" fillId="17" fontId="94" numFmtId="3" xfId="0" applyAlignment="1" applyBorder="1" applyFont="1" applyNumberFormat="1">
      <alignment horizontal="right" vertical="bottom"/>
    </xf>
    <xf borderId="5" fillId="17" fontId="94" numFmtId="46" xfId="0" applyAlignment="1" applyBorder="1" applyFont="1" applyNumberFormat="1">
      <alignment horizontal="right" readingOrder="0" vertical="bottom"/>
    </xf>
    <xf borderId="5" fillId="17" fontId="94" numFmtId="3" xfId="0" applyAlignment="1" applyBorder="1" applyFont="1" applyNumberFormat="1">
      <alignment horizontal="right" readingOrder="0" vertical="bottom"/>
    </xf>
    <xf borderId="5" fillId="51" fontId="13" numFmtId="191" xfId="0" applyAlignment="1" applyBorder="1" applyFont="1" applyNumberFormat="1">
      <alignment vertical="bottom"/>
    </xf>
    <xf borderId="5" fillId="51" fontId="13" numFmtId="3" xfId="0" applyAlignment="1" applyBorder="1" applyFont="1" applyNumberFormat="1">
      <alignment vertical="bottom"/>
    </xf>
    <xf borderId="5" fillId="20" fontId="94" numFmtId="46" xfId="0" applyAlignment="1" applyBorder="1" applyFont="1" applyNumberFormat="1">
      <alignment horizontal="right" vertical="bottom"/>
    </xf>
    <xf borderId="208" fillId="20" fontId="94" numFmtId="3" xfId="0" applyAlignment="1" applyBorder="1" applyFont="1" applyNumberFormat="1">
      <alignment horizontal="right" vertical="bottom"/>
    </xf>
    <xf borderId="5" fillId="20" fontId="94" numFmtId="3" xfId="0" applyAlignment="1" applyBorder="1" applyFont="1" applyNumberFormat="1">
      <alignment horizontal="right" vertical="bottom"/>
    </xf>
    <xf borderId="209" fillId="22" fontId="94" numFmtId="46" xfId="0" applyAlignment="1" applyBorder="1" applyFont="1" applyNumberFormat="1">
      <alignment horizontal="right" vertical="bottom"/>
    </xf>
    <xf borderId="208" fillId="22" fontId="94" numFmtId="3" xfId="0" applyAlignment="1" applyBorder="1" applyFont="1" applyNumberFormat="1">
      <alignment horizontal="right" vertical="bottom"/>
    </xf>
    <xf borderId="209" fillId="22" fontId="94" numFmtId="191" xfId="0" applyAlignment="1" applyBorder="1" applyFont="1" applyNumberFormat="1">
      <alignment horizontal="right" vertical="bottom"/>
    </xf>
    <xf borderId="209" fillId="26" fontId="94" numFmtId="46" xfId="0" applyAlignment="1" applyBorder="1" applyFont="1" applyNumberFormat="1">
      <alignment horizontal="right" vertical="bottom"/>
    </xf>
    <xf borderId="208" fillId="26" fontId="94" numFmtId="3" xfId="0" applyAlignment="1" applyBorder="1" applyFont="1" applyNumberFormat="1">
      <alignment horizontal="right" vertical="bottom"/>
    </xf>
    <xf borderId="208" fillId="28" fontId="94" numFmtId="11" xfId="0" applyAlignment="1" applyBorder="1" applyFont="1" applyNumberFormat="1">
      <alignment horizontal="right" vertical="bottom"/>
    </xf>
    <xf borderId="204" fillId="51" fontId="13" numFmtId="3" xfId="0" applyAlignment="1" applyBorder="1" applyFont="1" applyNumberFormat="1">
      <alignment vertical="bottom"/>
    </xf>
    <xf borderId="0" fillId="51" fontId="13" numFmtId="191" xfId="0" applyAlignment="1" applyFont="1" applyNumberFormat="1">
      <alignment vertical="bottom"/>
    </xf>
    <xf borderId="0" fillId="51" fontId="13" numFmtId="46" xfId="0" applyAlignment="1" applyFont="1" applyNumberFormat="1">
      <alignment vertical="bottom"/>
    </xf>
    <xf borderId="0" fillId="51" fontId="81" numFmtId="0" xfId="0" applyAlignment="1" applyFont="1">
      <alignment readingOrder="0" vertical="bottom"/>
    </xf>
    <xf borderId="208" fillId="51" fontId="13" numFmtId="3" xfId="0" applyAlignment="1" applyBorder="1" applyFont="1" applyNumberFormat="1">
      <alignment vertical="bottom"/>
    </xf>
    <xf borderId="5" fillId="51" fontId="13" numFmtId="46" xfId="0" applyAlignment="1" applyBorder="1" applyFont="1" applyNumberFormat="1">
      <alignment vertical="bottom"/>
    </xf>
    <xf borderId="0" fillId="26" fontId="97" numFmtId="46" xfId="0" applyAlignment="1" applyFont="1" applyNumberFormat="1">
      <alignment horizontal="right" vertical="bottom"/>
    </xf>
    <xf borderId="0" fillId="26" fontId="97" numFmtId="3" xfId="0" applyAlignment="1" applyFont="1" applyNumberFormat="1">
      <alignment horizontal="right" vertical="bottom"/>
    </xf>
    <xf borderId="204" fillId="51" fontId="81" numFmtId="46" xfId="0" applyAlignment="1" applyBorder="1" applyFont="1" applyNumberFormat="1">
      <alignment vertical="bottom"/>
    </xf>
    <xf borderId="208" fillId="51" fontId="81" numFmtId="46" xfId="0" applyAlignment="1" applyBorder="1" applyFont="1" applyNumberFormat="1">
      <alignment vertical="bottom"/>
    </xf>
    <xf borderId="0" fillId="51" fontId="81" numFmtId="4" xfId="0" applyAlignment="1" applyFont="1" applyNumberFormat="1">
      <alignment vertical="bottom"/>
    </xf>
    <xf borderId="20" fillId="51" fontId="81" numFmtId="46" xfId="0" applyAlignment="1" applyBorder="1" applyFont="1" applyNumberFormat="1">
      <alignment vertical="bottom"/>
    </xf>
    <xf borderId="20" fillId="51" fontId="13" numFmtId="3" xfId="0" applyAlignment="1" applyBorder="1" applyFont="1" applyNumberFormat="1">
      <alignment vertical="bottom"/>
    </xf>
    <xf borderId="209" fillId="51" fontId="81" numFmtId="46" xfId="0" applyAlignment="1" applyBorder="1" applyFont="1" applyNumberFormat="1">
      <alignment vertical="bottom"/>
    </xf>
    <xf borderId="209" fillId="51" fontId="13" numFmtId="3" xfId="0" applyAlignment="1" applyBorder="1" applyFont="1" applyNumberFormat="1">
      <alignment vertical="bottom"/>
    </xf>
    <xf borderId="0" fillId="51" fontId="90" numFmtId="0" xfId="0" applyAlignment="1" applyFont="1">
      <alignment horizontal="right" vertical="bottom"/>
    </xf>
    <xf borderId="0" fillId="12" fontId="94" numFmtId="4" xfId="0" applyAlignment="1" applyFont="1" applyNumberFormat="1">
      <alignment horizontal="right" vertical="bottom"/>
    </xf>
    <xf borderId="0" fillId="12" fontId="13" numFmtId="4" xfId="0" applyAlignment="1" applyFont="1" applyNumberFormat="1">
      <alignment vertical="bottom"/>
    </xf>
    <xf borderId="0" fillId="12" fontId="13" numFmtId="46" xfId="0" applyAlignment="1" applyFont="1" applyNumberFormat="1">
      <alignment vertical="bottom"/>
    </xf>
    <xf borderId="0" fillId="0" fontId="61" numFmtId="0" xfId="0" applyAlignment="1" applyFont="1">
      <alignment readingOrder="0"/>
    </xf>
    <xf borderId="0" fillId="0" fontId="61" numFmtId="0" xfId="0" applyFont="1"/>
    <xf borderId="0" fillId="0" fontId="61" numFmtId="0" xfId="0" applyFont="1"/>
    <xf borderId="0" fillId="0" fontId="61" numFmtId="49" xfId="0" applyAlignment="1" applyFont="1" applyNumberFormat="1">
      <alignment readingOrder="0"/>
    </xf>
    <xf borderId="0" fillId="0" fontId="61" numFmtId="49" xfId="0" applyFont="1" applyNumberFormat="1"/>
    <xf borderId="0" fillId="0" fontId="61" numFmtId="2" xfId="0" applyFont="1" applyNumberFormat="1"/>
    <xf borderId="0" fillId="0" fontId="61" numFmtId="2" xfId="0" applyAlignment="1" applyFont="1" applyNumberFormat="1">
      <alignment readingOrder="0"/>
    </xf>
    <xf borderId="0" fillId="7" fontId="98" numFmtId="0" xfId="0" applyAlignment="1" applyFont="1">
      <alignment horizontal="center" readingOrder="0" shrinkToFit="0" vertical="center" wrapText="1"/>
    </xf>
    <xf borderId="156" fillId="76" fontId="99" numFmtId="0" xfId="0" applyAlignment="1" applyBorder="1" applyFill="1" applyFont="1">
      <alignment horizontal="center" shrinkToFit="0" wrapText="1"/>
    </xf>
    <xf borderId="210" fillId="0" fontId="6" numFmtId="0" xfId="0" applyBorder="1" applyFont="1"/>
    <xf borderId="210" fillId="76" fontId="100" numFmtId="0" xfId="0" applyAlignment="1" applyBorder="1" applyFont="1">
      <alignment horizontal="center" readingOrder="0" shrinkToFit="0" vertical="center" wrapText="1"/>
    </xf>
    <xf borderId="0" fillId="7" fontId="99" numFmtId="0" xfId="0" applyAlignment="1" applyFont="1">
      <alignment horizontal="center" readingOrder="0" shrinkToFit="0" vertical="center" wrapText="1"/>
    </xf>
    <xf borderId="211" fillId="76" fontId="101" numFmtId="0" xfId="0" applyAlignment="1" applyBorder="1" applyFont="1">
      <alignment horizontal="center" readingOrder="0" shrinkToFit="0" vertical="center" wrapText="1"/>
    </xf>
    <xf borderId="0" fillId="76" fontId="99" numFmtId="0" xfId="0" applyAlignment="1" applyFont="1">
      <alignment horizontal="center" readingOrder="0" shrinkToFit="0" vertical="center" wrapText="1"/>
    </xf>
    <xf borderId="0" fillId="76" fontId="102" numFmtId="0" xfId="0" applyAlignment="1" applyFont="1">
      <alignment vertical="bottom"/>
    </xf>
    <xf borderId="152" fillId="76" fontId="99" numFmtId="0" xfId="0" applyAlignment="1" applyBorder="1" applyFont="1">
      <alignment horizontal="center" readingOrder="0" shrinkToFit="0" vertical="center" wrapText="1"/>
    </xf>
    <xf borderId="63" fillId="76" fontId="101" numFmtId="0" xfId="0" applyAlignment="1" applyBorder="1" applyFont="1">
      <alignment horizontal="center" readingOrder="0" shrinkToFit="0" vertical="center" wrapText="1"/>
    </xf>
    <xf borderId="0" fillId="76" fontId="101" numFmtId="0" xfId="0" applyAlignment="1" applyFont="1">
      <alignment horizontal="center" readingOrder="0" shrinkToFit="0" vertical="center" wrapText="1"/>
    </xf>
    <xf borderId="0" fillId="76" fontId="103" numFmtId="0" xfId="0" applyAlignment="1" applyFont="1">
      <alignment vertical="bottom"/>
    </xf>
    <xf borderId="152" fillId="76" fontId="101" numFmtId="0" xfId="0" applyAlignment="1" applyBorder="1" applyFont="1">
      <alignment horizontal="center" readingOrder="0" shrinkToFit="0" vertical="center" wrapText="1"/>
    </xf>
    <xf borderId="212" fillId="0" fontId="101" numFmtId="0" xfId="0" applyAlignment="1" applyBorder="1" applyFont="1">
      <alignment horizontal="right" readingOrder="0" vertical="center"/>
    </xf>
    <xf borderId="213" fillId="76" fontId="101" numFmtId="0" xfId="0" applyAlignment="1" applyBorder="1" applyFont="1">
      <alignment horizontal="center" readingOrder="0" shrinkToFit="0" vertical="center" wrapText="1"/>
    </xf>
    <xf borderId="213" fillId="76" fontId="103" numFmtId="0" xfId="0" applyAlignment="1" applyBorder="1" applyFont="1">
      <alignment vertical="bottom"/>
    </xf>
    <xf borderId="214" fillId="76" fontId="101" numFmtId="0" xfId="0" applyAlignment="1" applyBorder="1" applyFont="1">
      <alignment horizontal="center" readingOrder="0" shrinkToFit="0" vertical="center" wrapText="1"/>
    </xf>
    <xf borderId="160" fillId="21" fontId="101" numFmtId="0" xfId="0" applyAlignment="1" applyBorder="1" applyFont="1">
      <alignment horizontal="center" readingOrder="0" vertical="center"/>
    </xf>
    <xf borderId="62" fillId="0" fontId="101" numFmtId="0" xfId="0" applyAlignment="1" applyBorder="1" applyFont="1">
      <alignment horizontal="right" readingOrder="0" vertical="center"/>
    </xf>
    <xf borderId="63" fillId="76" fontId="103" numFmtId="0" xfId="0" applyAlignment="1" applyBorder="1" applyFont="1">
      <alignment vertical="bottom"/>
    </xf>
    <xf borderId="64" fillId="60" fontId="101" numFmtId="0" xfId="0" applyAlignment="1" applyBorder="1" applyFont="1">
      <alignment horizontal="center" readingOrder="0" shrinkToFit="0" vertical="center" wrapText="1"/>
    </xf>
    <xf borderId="62" fillId="0" fontId="101" numFmtId="0" xfId="0" applyAlignment="1" applyBorder="1" applyFont="1">
      <alignment horizontal="right" readingOrder="0"/>
    </xf>
    <xf borderId="64" fillId="21" fontId="101" numFmtId="0" xfId="0" applyAlignment="1" applyBorder="1" applyFont="1">
      <alignment horizontal="center" readingOrder="0" vertical="center"/>
    </xf>
    <xf borderId="0" fillId="21" fontId="101" numFmtId="0" xfId="0" applyAlignment="1" applyFont="1">
      <alignment horizontal="center" readingOrder="0" vertical="center"/>
    </xf>
    <xf borderId="0" fillId="76" fontId="98" numFmtId="0" xfId="0" applyAlignment="1" applyFont="1">
      <alignment horizontal="center" readingOrder="0" shrinkToFit="0" vertical="center" wrapText="1"/>
    </xf>
    <xf borderId="0" fillId="76" fontId="104" numFmtId="0" xfId="0" applyAlignment="1" applyFont="1">
      <alignment vertical="bottom"/>
    </xf>
    <xf borderId="152" fillId="76" fontId="98" numFmtId="0" xfId="0" applyAlignment="1" applyBorder="1" applyFont="1">
      <alignment horizontal="center" readingOrder="0" shrinkToFit="0" vertical="center" wrapText="1"/>
    </xf>
    <xf borderId="59" fillId="7" fontId="98" numFmtId="0" xfId="0" applyAlignment="1" applyBorder="1" applyFont="1">
      <alignment horizontal="center" readingOrder="0" shrinkToFit="0" vertical="center" wrapText="1"/>
    </xf>
    <xf borderId="215" fillId="0" fontId="98" numFmtId="0" xfId="0" applyAlignment="1" applyBorder="1" applyFont="1">
      <alignment horizontal="center" readingOrder="0" shrinkToFit="0" vertical="center" wrapText="1"/>
    </xf>
    <xf borderId="0" fillId="7" fontId="105" numFmtId="0" xfId="0" applyAlignment="1" applyFont="1">
      <alignment horizontal="center" readingOrder="0" shrinkToFit="0" vertical="center" wrapText="1"/>
    </xf>
    <xf borderId="216" fillId="76" fontId="106" numFmtId="0" xfId="0" applyAlignment="1" applyBorder="1" applyFont="1">
      <alignment horizontal="center" shrinkToFit="0" wrapText="1"/>
    </xf>
    <xf borderId="156" fillId="76" fontId="106" numFmtId="0" xfId="0" applyAlignment="1" applyBorder="1" applyFont="1">
      <alignment horizontal="center" shrinkToFit="0" wrapText="1"/>
    </xf>
    <xf borderId="217" fillId="76" fontId="106" numFmtId="0" xfId="0" applyAlignment="1" applyBorder="1" applyFont="1">
      <alignment horizontal="center" shrinkToFit="0" wrapText="1"/>
    </xf>
    <xf borderId="217" fillId="76" fontId="106" numFmtId="0" xfId="0" applyAlignment="1" applyBorder="1" applyFont="1">
      <alignment horizontal="center" readingOrder="0" shrinkToFit="0" vertical="center" wrapText="1"/>
    </xf>
    <xf borderId="156" fillId="76" fontId="106" numFmtId="0" xfId="0" applyAlignment="1" applyBorder="1" applyFont="1">
      <alignment horizontal="center" readingOrder="0" shrinkToFit="0" vertical="center" wrapText="1"/>
    </xf>
    <xf borderId="218" fillId="76" fontId="106" numFmtId="0" xfId="0" applyAlignment="1" applyBorder="1" applyFont="1">
      <alignment horizontal="center" shrinkToFit="0" wrapText="1"/>
    </xf>
    <xf borderId="0" fillId="7" fontId="106" numFmtId="0" xfId="0" applyAlignment="1" applyFont="1">
      <alignment horizontal="center" readingOrder="0" shrinkToFit="0" vertical="center" wrapText="1"/>
    </xf>
    <xf borderId="219" fillId="76" fontId="106" numFmtId="0" xfId="0" applyAlignment="1" applyBorder="1" applyFont="1">
      <alignment horizontal="center" readingOrder="0" shrinkToFit="0" vertical="center" wrapText="1"/>
    </xf>
    <xf borderId="219" fillId="76" fontId="106" numFmtId="0" xfId="0" applyAlignment="1" applyBorder="1" applyFont="1">
      <alignment horizontal="center" shrinkToFit="0" vertical="bottom" wrapText="1"/>
    </xf>
    <xf borderId="60" fillId="76" fontId="106" numFmtId="0" xfId="0" applyAlignment="1" applyBorder="1" applyFont="1">
      <alignment horizontal="center" readingOrder="0" shrinkToFit="0" vertical="center" wrapText="1"/>
    </xf>
    <xf borderId="65" fillId="76" fontId="106" numFmtId="0" xfId="0" applyAlignment="1" applyBorder="1" applyFont="1">
      <alignment horizontal="center" readingOrder="0" shrinkToFit="0" vertical="center" wrapText="1"/>
    </xf>
    <xf borderId="65" fillId="76" fontId="106" numFmtId="0" xfId="0" applyAlignment="1" applyBorder="1" applyFont="1">
      <alignment horizontal="center" shrinkToFit="0" vertical="bottom" wrapText="1"/>
    </xf>
    <xf borderId="59" fillId="76" fontId="106" numFmtId="0" xfId="0" applyAlignment="1" applyBorder="1" applyFont="1">
      <alignment horizontal="center" readingOrder="0" shrinkToFit="0" vertical="center" wrapText="1"/>
    </xf>
    <xf borderId="219" fillId="76" fontId="105" numFmtId="0" xfId="0" applyAlignment="1" applyBorder="1" applyFont="1">
      <alignment horizontal="center" readingOrder="0" shrinkToFit="0" vertical="center" wrapText="1"/>
    </xf>
    <xf borderId="219" fillId="76" fontId="36" numFmtId="0" xfId="0" applyAlignment="1" applyBorder="1" applyFont="1">
      <alignment horizontal="center" shrinkToFit="0" vertical="bottom" wrapText="1"/>
    </xf>
    <xf borderId="60" fillId="76" fontId="105" numFmtId="0" xfId="0" applyAlignment="1" applyBorder="1" applyFont="1">
      <alignment horizontal="center" readingOrder="0" shrinkToFit="0" vertical="center" wrapText="1"/>
    </xf>
    <xf borderId="215" fillId="7" fontId="105" numFmtId="0" xfId="0" applyAlignment="1" applyBorder="1" applyFont="1">
      <alignment horizontal="center" readingOrder="0" shrinkToFit="0" vertical="center" wrapText="1"/>
    </xf>
    <xf borderId="217" fillId="53" fontId="106" numFmtId="0" xfId="0" applyAlignment="1" applyBorder="1" applyFont="1">
      <alignment horizontal="center" shrinkToFit="0" wrapText="1"/>
    </xf>
    <xf borderId="46" fillId="11" fontId="103" numFmtId="0" xfId="0" applyAlignment="1" applyBorder="1" applyFont="1">
      <alignment shrinkToFit="0" wrapText="1"/>
    </xf>
    <xf borderId="220" fillId="77" fontId="106" numFmtId="0" xfId="0" applyAlignment="1" applyBorder="1" applyFill="1" applyFont="1">
      <alignment horizontal="center" shrinkToFit="0" wrapText="1"/>
    </xf>
    <xf borderId="221" fillId="77" fontId="106" numFmtId="0" xfId="0" applyAlignment="1" applyBorder="1" applyFont="1">
      <alignment horizontal="center" shrinkToFit="0" wrapText="1"/>
    </xf>
    <xf borderId="217" fillId="0" fontId="106" numFmtId="0" xfId="0" applyAlignment="1" applyBorder="1" applyFont="1">
      <alignment horizontal="center" readingOrder="0" shrinkToFit="0" wrapText="1"/>
    </xf>
    <xf borderId="216" fillId="60" fontId="106" numFmtId="0" xfId="0" applyAlignment="1" applyBorder="1" applyFont="1">
      <alignment horizontal="center" shrinkToFit="0" wrapText="1"/>
    </xf>
    <xf borderId="156" fillId="0" fontId="106" numFmtId="0" xfId="0" applyAlignment="1" applyBorder="1" applyFont="1">
      <alignment horizontal="center" readingOrder="0" shrinkToFit="0" vertical="center" wrapText="1"/>
    </xf>
    <xf borderId="153" fillId="0" fontId="106" numFmtId="0" xfId="0" applyAlignment="1" applyBorder="1" applyFont="1">
      <alignment horizontal="center" readingOrder="0" shrinkToFit="0" vertical="center" wrapText="1"/>
    </xf>
    <xf borderId="0" fillId="0" fontId="106" numFmtId="0" xfId="0" applyAlignment="1" applyFont="1">
      <alignment horizontal="center" readingOrder="0" shrinkToFit="0" vertical="center" wrapText="1"/>
    </xf>
    <xf borderId="65" fillId="7" fontId="101" numFmtId="0" xfId="0" applyAlignment="1" applyBorder="1" applyFont="1">
      <alignment horizontal="center" readingOrder="0" shrinkToFit="0" vertical="center" wrapText="1"/>
    </xf>
    <xf borderId="65" fillId="7" fontId="12" numFmtId="0" xfId="0" applyAlignment="1" applyBorder="1" applyFont="1">
      <alignment horizontal="center" vertical="center"/>
    </xf>
    <xf borderId="65" fillId="7" fontId="106" numFmtId="0" xfId="0" applyAlignment="1" applyBorder="1" applyFont="1">
      <alignment horizontal="center" shrinkToFit="0" vertical="center" wrapText="1"/>
    </xf>
    <xf borderId="65" fillId="7" fontId="72" numFmtId="0" xfId="0" applyAlignment="1" applyBorder="1" applyFont="1">
      <alignment horizontal="center" readingOrder="0" shrinkToFit="0" vertical="center" wrapText="1"/>
    </xf>
    <xf borderId="65" fillId="7" fontId="13" numFmtId="0" xfId="0" applyAlignment="1" applyBorder="1" applyFont="1">
      <alignment horizontal="center" vertical="center"/>
    </xf>
    <xf borderId="65" fillId="7" fontId="36" numFmtId="0" xfId="0" applyAlignment="1" applyBorder="1" applyFont="1">
      <alignment horizontal="center" shrinkToFit="0" vertical="center" wrapText="1"/>
    </xf>
    <xf borderId="59" fillId="7" fontId="72" numFmtId="0" xfId="0" applyAlignment="1" applyBorder="1" applyFont="1">
      <alignment horizontal="center" readingOrder="0" shrinkToFit="0" vertical="center" wrapText="1"/>
    </xf>
    <xf borderId="65" fillId="0" fontId="72" numFmtId="0" xfId="0" applyAlignment="1" applyBorder="1" applyFont="1">
      <alignment horizontal="center" readingOrder="0" shrinkToFit="0" vertical="center" wrapText="1"/>
    </xf>
    <xf borderId="222" fillId="0" fontId="6" numFmtId="0" xfId="0" applyBorder="1" applyFont="1"/>
    <xf borderId="222" fillId="0" fontId="106" numFmtId="0" xfId="0" applyAlignment="1" applyBorder="1" applyFont="1">
      <alignment horizontal="center" shrinkToFit="0" wrapText="1"/>
    </xf>
    <xf borderId="0" fillId="7" fontId="101" numFmtId="0" xfId="0" applyAlignment="1" applyFont="1">
      <alignment horizontal="center" readingOrder="0" shrinkToFit="0" vertical="center" wrapText="1"/>
    </xf>
    <xf borderId="59" fillId="7" fontId="106" numFmtId="0" xfId="0" applyAlignment="1" applyBorder="1" applyFont="1">
      <alignment horizontal="center" readingOrder="0" shrinkToFit="0" vertical="center" wrapText="1"/>
    </xf>
    <xf borderId="0" fillId="0" fontId="105" numFmtId="0" xfId="0" applyAlignment="1" applyFont="1">
      <alignment horizontal="center" readingOrder="0" shrinkToFit="0" vertical="center" wrapText="1"/>
    </xf>
    <xf borderId="222" fillId="53" fontId="106" numFmtId="0" xfId="0" applyAlignment="1" applyBorder="1" applyFont="1">
      <alignment horizontal="center" shrinkToFit="0" wrapText="1"/>
    </xf>
    <xf borderId="65" fillId="7" fontId="101" numFmtId="49" xfId="0" applyAlignment="1" applyBorder="1" applyFont="1" applyNumberFormat="1">
      <alignment horizontal="center" readingOrder="0" shrinkToFit="0" vertical="center" wrapText="1"/>
    </xf>
    <xf borderId="222" fillId="0" fontId="61" numFmtId="0" xfId="0" applyBorder="1" applyFont="1"/>
    <xf borderId="216" fillId="0" fontId="106" numFmtId="0" xfId="0" applyAlignment="1" applyBorder="1" applyFont="1">
      <alignment horizontal="center" readingOrder="0" vertical="center"/>
    </xf>
    <xf borderId="0" fillId="11" fontId="103" numFmtId="0" xfId="0" applyAlignment="1" applyFont="1">
      <alignment shrinkToFit="0" wrapText="1"/>
    </xf>
    <xf borderId="65" fillId="7" fontId="101" numFmtId="0" xfId="0" applyAlignment="1" applyBorder="1" applyFont="1">
      <alignment horizontal="center" readingOrder="0" shrinkToFit="0" vertical="center" wrapText="0"/>
    </xf>
    <xf borderId="222" fillId="33" fontId="106" numFmtId="0" xfId="0" applyAlignment="1" applyBorder="1" applyFont="1">
      <alignment horizontal="center" shrinkToFit="0" wrapText="1"/>
    </xf>
    <xf borderId="222" fillId="38" fontId="106" numFmtId="0" xfId="0" applyAlignment="1" applyBorder="1" applyFont="1">
      <alignment horizontal="center" shrinkToFit="0" wrapText="1"/>
    </xf>
    <xf borderId="46" fillId="11" fontId="103" numFmtId="49" xfId="0" applyAlignment="1" applyBorder="1" applyFont="1" applyNumberFormat="1">
      <alignment shrinkToFit="0" wrapText="1"/>
    </xf>
    <xf borderId="223" fillId="0" fontId="6" numFmtId="0" xfId="0" applyBorder="1" applyFont="1"/>
    <xf borderId="220" fillId="11" fontId="103" numFmtId="49" xfId="0" applyAlignment="1" applyBorder="1" applyFont="1" applyNumberFormat="1">
      <alignment shrinkToFit="0" wrapText="1"/>
    </xf>
    <xf borderId="223" fillId="0" fontId="106" numFmtId="0" xfId="0" applyAlignment="1" applyBorder="1" applyFont="1">
      <alignment horizontal="center" shrinkToFit="0" wrapText="1"/>
    </xf>
    <xf borderId="0" fillId="7" fontId="12" numFmtId="0" xfId="0" applyFont="1"/>
    <xf borderId="0" fillId="7" fontId="103" numFmtId="0" xfId="0" applyFont="1"/>
    <xf borderId="0" fillId="7" fontId="12" numFmtId="0" xfId="0" applyFont="1"/>
    <xf borderId="210" fillId="7" fontId="12" numFmtId="0" xfId="0" applyBorder="1" applyFont="1"/>
    <xf borderId="210" fillId="0" fontId="12" numFmtId="0" xfId="0" applyAlignment="1" applyBorder="1" applyFont="1">
      <alignment shrinkToFit="0" vertical="center" wrapText="1"/>
    </xf>
    <xf borderId="224" fillId="9" fontId="103" numFmtId="0" xfId="0" applyAlignment="1" applyBorder="1" applyFont="1">
      <alignment shrinkToFit="0" wrapText="1"/>
    </xf>
    <xf borderId="220" fillId="77" fontId="106" numFmtId="0" xfId="0" applyAlignment="1" applyBorder="1" applyFont="1">
      <alignment horizontal="center" shrinkToFit="0" vertical="bottom" wrapText="1"/>
    </xf>
    <xf borderId="221" fillId="7" fontId="12" numFmtId="0" xfId="0" applyAlignment="1" applyBorder="1" applyFont="1">
      <alignment vertical="bottom"/>
    </xf>
    <xf borderId="225" fillId="0" fontId="106" numFmtId="0" xfId="0" applyAlignment="1" applyBorder="1" applyFont="1">
      <alignment horizontal="center" shrinkToFit="0" wrapText="1"/>
    </xf>
    <xf borderId="46" fillId="9" fontId="103" numFmtId="0" xfId="0" applyAlignment="1" applyBorder="1" applyFont="1">
      <alignment shrinkToFit="0" wrapText="1"/>
    </xf>
    <xf borderId="45" fillId="0" fontId="106" numFmtId="0" xfId="0" applyAlignment="1" applyBorder="1" applyFont="1">
      <alignment horizontal="center" shrinkToFit="0" wrapText="1"/>
    </xf>
    <xf borderId="45" fillId="0" fontId="6" numFmtId="0" xfId="0" applyBorder="1" applyFont="1"/>
    <xf borderId="223" fillId="53" fontId="106" numFmtId="0" xfId="0" applyAlignment="1" applyBorder="1" applyFont="1">
      <alignment horizontal="center" shrinkToFit="0" wrapText="1"/>
    </xf>
    <xf borderId="220" fillId="9" fontId="103" numFmtId="0" xfId="0" applyAlignment="1" applyBorder="1" applyFont="1">
      <alignment shrinkToFit="0" wrapText="1"/>
    </xf>
    <xf borderId="221" fillId="0" fontId="106" numFmtId="0" xfId="0" applyAlignment="1" applyBorder="1" applyFont="1">
      <alignment horizontal="center" shrinkToFit="0" wrapText="1"/>
    </xf>
    <xf borderId="0" fillId="7" fontId="103" numFmtId="0" xfId="0" applyFont="1"/>
    <xf borderId="224" fillId="15" fontId="103" numFmtId="0" xfId="0" applyAlignment="1" applyBorder="1" applyFont="1">
      <alignment shrinkToFit="0" wrapText="1"/>
    </xf>
    <xf borderId="46" fillId="15" fontId="103" numFmtId="0" xfId="0" applyAlignment="1" applyBorder="1" applyFont="1">
      <alignment shrinkToFit="0" wrapText="1"/>
    </xf>
    <xf borderId="45" fillId="0" fontId="106" numFmtId="0" xfId="0" applyAlignment="1" applyBorder="1" applyFont="1">
      <alignment horizontal="center" readingOrder="0" shrinkToFit="0" wrapText="1"/>
    </xf>
    <xf borderId="65" fillId="7" fontId="101" numFmtId="2" xfId="0" applyAlignment="1" applyBorder="1" applyFont="1" applyNumberFormat="1">
      <alignment horizontal="center" readingOrder="0" shrinkToFit="0" vertical="center" wrapText="1"/>
    </xf>
    <xf borderId="156" fillId="0" fontId="106" numFmtId="0" xfId="0" applyAlignment="1" applyBorder="1" applyFont="1">
      <alignment horizontal="center" readingOrder="0" vertical="center"/>
    </xf>
    <xf borderId="220" fillId="15" fontId="103" numFmtId="0" xfId="0" applyAlignment="1" applyBorder="1" applyFont="1">
      <alignment shrinkToFit="0" wrapText="1"/>
    </xf>
    <xf borderId="210" fillId="7" fontId="12" numFmtId="0" xfId="0" applyBorder="1" applyFont="1"/>
    <xf borderId="210" fillId="0" fontId="106" numFmtId="0" xfId="0" applyAlignment="1" applyBorder="1" applyFont="1">
      <alignment horizontal="center" readingOrder="0" shrinkToFit="0" vertical="center" wrapText="1"/>
    </xf>
    <xf borderId="224" fillId="13" fontId="103" numFmtId="0" xfId="0" applyAlignment="1" applyBorder="1" applyFont="1">
      <alignment shrinkToFit="0" wrapText="1"/>
    </xf>
    <xf borderId="46" fillId="13" fontId="103" numFmtId="0" xfId="0" applyAlignment="1" applyBorder="1" applyFont="1">
      <alignment shrinkToFit="0" wrapText="1"/>
    </xf>
    <xf borderId="45" fillId="0" fontId="61" numFmtId="0" xfId="0" applyBorder="1" applyFont="1"/>
    <xf borderId="220" fillId="13" fontId="103" numFmtId="0" xfId="0" applyAlignment="1" applyBorder="1" applyFont="1">
      <alignment shrinkToFit="0" wrapText="1"/>
    </xf>
    <xf borderId="221" fillId="0" fontId="61" numFmtId="0" xfId="0" applyBorder="1" applyFont="1"/>
    <xf borderId="224" fillId="16" fontId="103" numFmtId="0" xfId="0" applyAlignment="1" applyBorder="1" applyFont="1">
      <alignment shrinkToFit="0" wrapText="1"/>
    </xf>
    <xf borderId="46" fillId="16" fontId="103" numFmtId="0" xfId="0" applyAlignment="1" applyBorder="1" applyFont="1">
      <alignment shrinkToFit="0" wrapText="1"/>
    </xf>
    <xf borderId="0" fillId="7" fontId="13" numFmtId="0" xfId="0" applyAlignment="1" applyFont="1">
      <alignment shrinkToFit="0" vertical="center" wrapText="1"/>
    </xf>
    <xf borderId="0" fillId="7" fontId="12" numFmtId="0" xfId="0" applyAlignment="1" applyFont="1">
      <alignment shrinkToFit="0" vertical="center" wrapText="1"/>
    </xf>
    <xf borderId="65" fillId="7" fontId="101" numFmtId="0" xfId="0" applyAlignment="1" applyBorder="1" applyFont="1">
      <alignment horizontal="center" shrinkToFit="0" vertical="center" wrapText="1"/>
    </xf>
    <xf borderId="59" fillId="7" fontId="106" numFmtId="0" xfId="0" applyAlignment="1" applyBorder="1" applyFont="1">
      <alignment horizontal="center" shrinkToFit="0" vertical="center" wrapText="1"/>
    </xf>
    <xf borderId="65" fillId="7" fontId="59" numFmtId="0" xfId="0" applyAlignment="1" applyBorder="1" applyFont="1">
      <alignment horizontal="center" shrinkToFit="0" vertical="center" wrapText="1"/>
    </xf>
    <xf borderId="0" fillId="5" fontId="13" numFmtId="0" xfId="0" applyAlignment="1" applyFont="1">
      <alignment shrinkToFit="0" vertical="center" wrapText="1"/>
    </xf>
    <xf borderId="223" fillId="16" fontId="103" numFmtId="0" xfId="0" applyAlignment="1" applyBorder="1" applyFont="1">
      <alignment shrinkToFit="0" wrapText="1"/>
    </xf>
    <xf borderId="224" fillId="4" fontId="103" numFmtId="0" xfId="0" applyAlignment="1" applyBorder="1" applyFont="1">
      <alignment shrinkToFit="0" wrapText="1"/>
    </xf>
    <xf borderId="46" fillId="4" fontId="103" numFmtId="0" xfId="0" applyAlignment="1" applyBorder="1" applyFont="1">
      <alignment shrinkToFit="0" wrapText="1"/>
    </xf>
    <xf borderId="220" fillId="4" fontId="103" numFmtId="0" xfId="0" applyAlignment="1" applyBorder="1" applyFont="1">
      <alignment shrinkToFit="0" wrapText="1"/>
    </xf>
    <xf borderId="210" fillId="5" fontId="12" numFmtId="0" xfId="0" applyAlignment="1" applyBorder="1" applyFont="1">
      <alignment shrinkToFit="0" vertical="center" wrapText="1"/>
    </xf>
    <xf borderId="224" fillId="19" fontId="103" numFmtId="0" xfId="0" applyAlignment="1" applyBorder="1" applyFont="1">
      <alignment shrinkToFit="0" wrapText="1"/>
    </xf>
    <xf borderId="46" fillId="19" fontId="103" numFmtId="0" xfId="0" applyAlignment="1" applyBorder="1" applyFont="1">
      <alignment shrinkToFit="0" wrapText="1"/>
    </xf>
    <xf borderId="220" fillId="19" fontId="103" numFmtId="0" xfId="0" applyAlignment="1" applyBorder="1" applyFont="1">
      <alignment shrinkToFit="0" wrapText="1"/>
    </xf>
    <xf borderId="224" fillId="21" fontId="103" numFmtId="0" xfId="0" applyAlignment="1" applyBorder="1" applyFont="1">
      <alignment shrinkToFit="0" wrapText="1"/>
    </xf>
    <xf borderId="217" fillId="0" fontId="106" numFmtId="0" xfId="0" applyAlignment="1" applyBorder="1" applyFont="1">
      <alignment horizontal="center" shrinkToFit="0" wrapText="1"/>
    </xf>
    <xf borderId="216" fillId="11" fontId="106" numFmtId="0" xfId="0" applyAlignment="1" applyBorder="1" applyFont="1">
      <alignment horizontal="center" shrinkToFit="0" wrapText="1"/>
    </xf>
    <xf borderId="46" fillId="21" fontId="103" numFmtId="0" xfId="0" applyAlignment="1" applyBorder="1" applyFont="1">
      <alignment shrinkToFit="0" wrapText="1"/>
    </xf>
    <xf borderId="220" fillId="21" fontId="103" numFmtId="0" xfId="0" applyAlignment="1" applyBorder="1" applyFont="1">
      <alignment shrinkToFit="0" wrapText="1"/>
    </xf>
    <xf borderId="224" fillId="23" fontId="103" numFmtId="0" xfId="0" applyAlignment="1" applyBorder="1" applyFont="1">
      <alignment shrinkToFit="0" wrapText="1"/>
    </xf>
    <xf borderId="46" fillId="23" fontId="103" numFmtId="0" xfId="0" applyAlignment="1" applyBorder="1" applyFont="1">
      <alignment shrinkToFit="0" wrapText="1"/>
    </xf>
    <xf borderId="222" fillId="23" fontId="103" numFmtId="0" xfId="0" applyAlignment="1" applyBorder="1" applyFont="1">
      <alignment shrinkToFit="0" wrapText="1"/>
    </xf>
    <xf borderId="223" fillId="0" fontId="106" numFmtId="0" xfId="0" applyAlignment="1" applyBorder="1" applyFont="1">
      <alignment horizontal="center" shrinkToFit="0" wrapText="1"/>
    </xf>
    <xf borderId="223" fillId="0" fontId="61" numFmtId="0" xfId="0" applyBorder="1" applyFont="1"/>
    <xf borderId="223" fillId="33" fontId="106" numFmtId="0" xfId="0" applyAlignment="1" applyBorder="1" applyFont="1">
      <alignment horizontal="center" shrinkToFit="0" wrapText="1"/>
    </xf>
    <xf borderId="223" fillId="23" fontId="103" numFmtId="0" xfId="0" applyAlignment="1" applyBorder="1" applyFont="1">
      <alignment shrinkToFit="0" wrapText="1"/>
    </xf>
    <xf borderId="216" fillId="0" fontId="106" numFmtId="0" xfId="0" applyAlignment="1" applyBorder="1" applyFont="1">
      <alignment horizontal="center" shrinkToFit="0" wrapText="1"/>
    </xf>
    <xf borderId="217" fillId="25" fontId="103" numFmtId="0" xfId="0" applyAlignment="1" applyBorder="1" applyFont="1">
      <alignment shrinkToFit="0" wrapText="1"/>
    </xf>
    <xf borderId="222" fillId="25" fontId="103" numFmtId="0" xfId="0" applyAlignment="1" applyBorder="1" applyFont="1">
      <alignment shrinkToFit="0" wrapText="1"/>
    </xf>
    <xf borderId="145" fillId="7" fontId="101" numFmtId="0" xfId="0" applyAlignment="1" applyBorder="1" applyFont="1">
      <alignment horizontal="center" readingOrder="0" shrinkToFit="0" vertical="center" wrapText="1"/>
    </xf>
    <xf borderId="64" fillId="7" fontId="106" numFmtId="0" xfId="0" applyAlignment="1" applyBorder="1" applyFont="1">
      <alignment horizontal="center" readingOrder="0" shrinkToFit="0" vertical="center" wrapText="1"/>
    </xf>
    <xf borderId="145" fillId="7" fontId="72" numFmtId="0" xfId="0" applyAlignment="1" applyBorder="1" applyFont="1">
      <alignment horizontal="center" readingOrder="0" shrinkToFit="0" vertical="center" wrapText="1"/>
    </xf>
    <xf borderId="0" fillId="7" fontId="12" numFmtId="0" xfId="0" applyAlignment="1" applyFont="1">
      <alignment horizontal="center" vertical="center"/>
    </xf>
    <xf borderId="0" fillId="7" fontId="13" numFmtId="0" xfId="0" applyAlignment="1" applyFont="1">
      <alignment horizontal="center" vertical="center"/>
    </xf>
    <xf borderId="222" fillId="25" fontId="103" numFmtId="0" xfId="0" applyAlignment="1" applyBorder="1" applyFont="1">
      <alignment shrinkToFit="0" vertical="bottom" wrapText="1"/>
    </xf>
    <xf borderId="223" fillId="25" fontId="103" numFmtId="0" xfId="0" applyAlignment="1" applyBorder="1" applyFont="1">
      <alignment shrinkToFit="0" vertical="bottom" wrapText="1"/>
    </xf>
    <xf borderId="217" fillId="38" fontId="106" numFmtId="0" xfId="0" applyAlignment="1" applyBorder="1" applyFont="1">
      <alignment horizontal="center" shrinkToFit="0" wrapText="1"/>
    </xf>
    <xf borderId="217" fillId="27" fontId="103" numFmtId="49" xfId="0" applyAlignment="1" applyBorder="1" applyFont="1" applyNumberFormat="1">
      <alignment shrinkToFit="0" wrapText="1"/>
    </xf>
    <xf borderId="0" fillId="7" fontId="72" numFmtId="0" xfId="0" applyAlignment="1" applyFont="1">
      <alignment horizontal="center" readingOrder="0" shrinkToFit="0" vertical="center" wrapText="1"/>
    </xf>
    <xf borderId="222" fillId="27" fontId="103" numFmtId="49" xfId="0" applyAlignment="1" applyBorder="1" applyFont="1" applyNumberFormat="1">
      <alignment shrinkToFit="0" wrapText="1"/>
    </xf>
    <xf borderId="222" fillId="27" fontId="103" numFmtId="2" xfId="0" applyAlignment="1" applyBorder="1" applyFont="1" applyNumberFormat="1">
      <alignment shrinkToFit="0" wrapText="1"/>
    </xf>
    <xf borderId="222" fillId="27" fontId="103" numFmtId="2" xfId="0" applyAlignment="1" applyBorder="1" applyFont="1" applyNumberFormat="1">
      <alignment readingOrder="0" shrinkToFit="0" wrapText="1"/>
    </xf>
    <xf borderId="223" fillId="27" fontId="103" numFmtId="2" xfId="0" applyAlignment="1" applyBorder="1" applyFont="1" applyNumberFormat="1">
      <alignment shrinkToFit="0" wrapText="1"/>
    </xf>
    <xf borderId="0" fillId="7" fontId="103" numFmtId="2" xfId="0" applyFont="1" applyNumberFormat="1"/>
    <xf borderId="0" fillId="7" fontId="103" numFmtId="2" xfId="0" applyAlignment="1" applyFont="1" applyNumberFormat="1">
      <alignment shrinkToFit="0" vertical="center" wrapText="1"/>
    </xf>
    <xf borderId="0" fillId="7" fontId="13" numFmtId="0" xfId="0" applyFont="1"/>
    <xf borderId="0" fillId="7" fontId="12" numFmtId="0" xfId="0" applyAlignment="1" applyFont="1">
      <alignment vertical="bottom"/>
    </xf>
    <xf borderId="0" fillId="7" fontId="13" numFmtId="0" xfId="0" applyAlignment="1" applyFont="1">
      <alignment vertical="bottom"/>
    </xf>
    <xf borderId="0" fillId="0" fontId="61" numFmtId="0" xfId="0" applyAlignment="1" applyFont="1">
      <alignment shrinkToFit="0" wrapText="0"/>
    </xf>
    <xf borderId="226" fillId="2" fontId="13" numFmtId="0" xfId="0" applyAlignment="1" applyBorder="1" applyFont="1">
      <alignment vertical="bottom"/>
    </xf>
    <xf borderId="0" fillId="0" fontId="104" numFmtId="0" xfId="0" applyAlignment="1" applyFont="1">
      <alignment horizontal="center" shrinkToFit="0" vertical="bottom" wrapText="1"/>
    </xf>
    <xf borderId="227" fillId="0" fontId="6" numFmtId="0" xfId="0" applyBorder="1" applyFont="1"/>
    <xf borderId="228" fillId="0" fontId="6" numFmtId="0" xfId="0" applyBorder="1" applyFont="1"/>
    <xf borderId="31" fillId="0" fontId="6" numFmtId="0" xfId="0" applyBorder="1" applyFont="1"/>
    <xf borderId="227" fillId="2" fontId="13" numFmtId="0" xfId="0" applyAlignment="1" applyBorder="1" applyFont="1">
      <alignment vertical="bottom"/>
    </xf>
    <xf borderId="227" fillId="2" fontId="13" numFmtId="0" xfId="0" applyAlignment="1" applyBorder="1" applyFont="1">
      <alignment vertical="bottom"/>
    </xf>
    <xf borderId="0" fillId="2" fontId="13" numFmtId="0" xfId="0" applyAlignment="1" applyFont="1">
      <alignment vertical="bottom"/>
    </xf>
    <xf borderId="42" fillId="45" fontId="107" numFmtId="0" xfId="0" applyAlignment="1" applyBorder="1" applyFont="1">
      <alignment horizontal="center" vertical="bottom"/>
    </xf>
    <xf borderId="24" fillId="0" fontId="6" numFmtId="0" xfId="0" applyBorder="1" applyFont="1"/>
    <xf borderId="42" fillId="45" fontId="107" numFmtId="0" xfId="0" applyAlignment="1" applyBorder="1" applyFont="1">
      <alignment horizontal="center" vertical="bottom"/>
    </xf>
    <xf borderId="229" fillId="2" fontId="107" numFmtId="0" xfId="0" applyAlignment="1" applyBorder="1" applyFont="1">
      <alignment vertical="bottom"/>
    </xf>
    <xf borderId="230" fillId="2" fontId="13" numFmtId="0" xfId="0" applyAlignment="1" applyBorder="1" applyFont="1">
      <alignment vertical="bottom"/>
    </xf>
    <xf borderId="42" fillId="9" fontId="13" numFmtId="192" xfId="0" applyAlignment="1" applyBorder="1" applyFont="1" applyNumberFormat="1">
      <alignment horizontal="center" vertical="bottom"/>
    </xf>
    <xf borderId="27" fillId="0" fontId="6" numFmtId="0" xfId="0" applyBorder="1" applyFont="1"/>
    <xf borderId="42" fillId="9" fontId="13" numFmtId="193" xfId="0" applyAlignment="1" applyBorder="1" applyFont="1" applyNumberFormat="1">
      <alignment horizontal="center" readingOrder="0" vertical="bottom"/>
    </xf>
    <xf borderId="28" fillId="0" fontId="104" numFmtId="193" xfId="0" applyAlignment="1" applyBorder="1" applyFont="1" applyNumberFormat="1">
      <alignment horizontal="right" vertical="bottom"/>
    </xf>
    <xf borderId="28" fillId="0" fontId="104" numFmtId="3" xfId="0" applyAlignment="1" applyBorder="1" applyFont="1" applyNumberFormat="1">
      <alignment horizontal="right" vertical="bottom"/>
    </xf>
    <xf borderId="42" fillId="9" fontId="13" numFmtId="192" xfId="0" applyAlignment="1" applyBorder="1" applyFont="1" applyNumberFormat="1">
      <alignment horizontal="center" readingOrder="0" vertical="bottom"/>
    </xf>
    <xf borderId="231" fillId="2" fontId="13" numFmtId="0" xfId="0" applyAlignment="1" applyBorder="1" applyFont="1">
      <alignment vertical="bottom"/>
    </xf>
    <xf borderId="5" fillId="2" fontId="13" numFmtId="0" xfId="0" applyAlignment="1" applyBorder="1" applyFont="1">
      <alignment vertical="bottom"/>
    </xf>
    <xf borderId="232" fillId="2" fontId="107" numFmtId="0" xfId="0" applyAlignment="1" applyBorder="1" applyFont="1">
      <alignment vertical="bottom"/>
    </xf>
    <xf borderId="233" fillId="0" fontId="6" numFmtId="0" xfId="0" applyBorder="1" applyFont="1"/>
    <xf borderId="234" fillId="0" fontId="6" numFmtId="0" xfId="0" applyBorder="1" applyFont="1"/>
    <xf borderId="235" fillId="2" fontId="107" numFmtId="0" xfId="0" applyAlignment="1" applyBorder="1" applyFont="1">
      <alignment vertical="bottom"/>
    </xf>
    <xf borderId="236" fillId="2" fontId="13" numFmtId="0" xfId="0" applyAlignment="1" applyBorder="1" applyFont="1">
      <alignment vertical="bottom"/>
    </xf>
    <xf borderId="237" fillId="2" fontId="107" numFmtId="0" xfId="0" applyAlignment="1" applyBorder="1" applyFont="1">
      <alignment shrinkToFit="0" vertical="bottom" wrapText="1"/>
    </xf>
    <xf borderId="28" fillId="78" fontId="104" numFmtId="185" xfId="0" applyAlignment="1" applyBorder="1" applyFill="1" applyFont="1" applyNumberFormat="1">
      <alignment horizontal="right" vertical="bottom"/>
    </xf>
    <xf borderId="28" fillId="78" fontId="104" numFmtId="193" xfId="0" applyAlignment="1" applyBorder="1" applyFont="1" applyNumberFormat="1">
      <alignment horizontal="right" vertical="bottom"/>
    </xf>
    <xf borderId="28" fillId="78" fontId="108" numFmtId="9" xfId="0" applyAlignment="1" applyBorder="1" applyFont="1" applyNumberFormat="1">
      <alignment horizontal="right" vertical="bottom"/>
    </xf>
    <xf borderId="28" fillId="78" fontId="13" numFmtId="194" xfId="0" applyAlignment="1" applyBorder="1" applyFont="1" applyNumberFormat="1">
      <alignment vertical="bottom"/>
    </xf>
    <xf borderId="28" fillId="78" fontId="13" numFmtId="1" xfId="0" applyAlignment="1" applyBorder="1" applyFont="1" applyNumberFormat="1">
      <alignment vertical="bottom"/>
    </xf>
    <xf borderId="28" fillId="0" fontId="104" numFmtId="1" xfId="0" applyAlignment="1" applyBorder="1" applyFont="1" applyNumberFormat="1">
      <alignment horizontal="right" vertical="bottom"/>
    </xf>
    <xf borderId="28" fillId="0" fontId="104" numFmtId="0" xfId="0" applyAlignment="1" applyBorder="1" applyFont="1">
      <alignment horizontal="right" vertical="bottom"/>
    </xf>
    <xf borderId="28" fillId="0" fontId="108" numFmtId="193" xfId="0" applyAlignment="1" applyBorder="1" applyFont="1" applyNumberFormat="1">
      <alignment horizontal="right" vertical="bottom"/>
    </xf>
    <xf borderId="238" fillId="0" fontId="6" numFmtId="0" xfId="0" applyBorder="1" applyFont="1"/>
    <xf borderId="2" fillId="78" fontId="104" numFmtId="195" xfId="0" applyAlignment="1" applyBorder="1" applyFont="1" applyNumberFormat="1">
      <alignment horizontal="right" vertical="bottom"/>
    </xf>
    <xf borderId="2" fillId="78" fontId="104" numFmtId="193" xfId="0" applyAlignment="1" applyBorder="1" applyFont="1" applyNumberFormat="1">
      <alignment horizontal="right" vertical="bottom"/>
    </xf>
    <xf borderId="2" fillId="78" fontId="108" numFmtId="9" xfId="0" applyAlignment="1" applyBorder="1" applyFont="1" applyNumberFormat="1">
      <alignment horizontal="right" vertical="bottom"/>
    </xf>
    <xf borderId="2" fillId="78" fontId="108" numFmtId="194" xfId="0" applyAlignment="1" applyBorder="1" applyFont="1" applyNumberFormat="1">
      <alignment horizontal="right" vertical="bottom"/>
    </xf>
    <xf borderId="2" fillId="0" fontId="104" numFmtId="1" xfId="0" applyAlignment="1" applyBorder="1" applyFont="1" applyNumberFormat="1">
      <alignment horizontal="right" vertical="bottom"/>
    </xf>
    <xf borderId="235" fillId="0" fontId="6" numFmtId="0" xfId="0" applyBorder="1" applyFont="1"/>
    <xf borderId="25" fillId="0" fontId="108" numFmtId="193" xfId="0" applyAlignment="1" applyBorder="1" applyFont="1" applyNumberFormat="1">
      <alignment horizontal="right" vertical="bottom"/>
    </xf>
    <xf borderId="229" fillId="2" fontId="107" numFmtId="193" xfId="0" applyAlignment="1" applyBorder="1" applyFont="1" applyNumberFormat="1">
      <alignment horizontal="right" vertical="bottom"/>
    </xf>
    <xf borderId="2" fillId="78" fontId="104" numFmtId="195" xfId="0" applyAlignment="1" applyBorder="1" applyFont="1" applyNumberFormat="1">
      <alignment horizontal="right" readingOrder="0" vertical="bottom"/>
    </xf>
    <xf borderId="2" fillId="78" fontId="104" numFmtId="193" xfId="0" applyAlignment="1" applyBorder="1" applyFont="1" applyNumberFormat="1">
      <alignment horizontal="right" readingOrder="0" vertical="bottom"/>
    </xf>
    <xf borderId="0" fillId="2" fontId="107" numFmtId="0" xfId="0" applyAlignment="1" applyFont="1">
      <alignment vertical="bottom"/>
    </xf>
    <xf borderId="0" fillId="2" fontId="107" numFmtId="0" xfId="0" applyAlignment="1" applyFont="1">
      <alignment vertical="bottom"/>
    </xf>
    <xf borderId="3" fillId="0" fontId="104" numFmtId="193" xfId="0" applyAlignment="1" applyBorder="1" applyFont="1" applyNumberFormat="1">
      <alignment horizontal="right" vertical="bottom"/>
    </xf>
    <xf borderId="3" fillId="0" fontId="104" numFmtId="196" xfId="0" applyAlignment="1" applyBorder="1" applyFont="1" applyNumberFormat="1">
      <alignment horizontal="right" vertical="bottom"/>
    </xf>
    <xf borderId="0" fillId="51" fontId="13" numFmtId="0" xfId="0" applyAlignment="1" applyFont="1">
      <alignment vertical="bottom"/>
    </xf>
    <xf borderId="0" fillId="51" fontId="109" numFmtId="46" xfId="0" applyAlignment="1" applyFont="1" applyNumberFormat="1">
      <alignment horizontal="center" vertical="bottom"/>
    </xf>
    <xf borderId="0" fillId="51" fontId="107" numFmtId="0" xfId="0" applyAlignment="1" applyFont="1">
      <alignment horizontal="center" vertical="bottom"/>
    </xf>
    <xf borderId="0" fillId="51" fontId="107" numFmtId="0" xfId="0" applyAlignment="1" applyFont="1">
      <alignment vertical="bottom"/>
    </xf>
    <xf borderId="0" fillId="51" fontId="107" numFmtId="197" xfId="0" applyAlignment="1" applyFont="1" applyNumberFormat="1">
      <alignment horizontal="center" vertical="bottom"/>
    </xf>
    <xf borderId="0" fillId="51" fontId="107" numFmtId="3" xfId="0" applyAlignment="1" applyFont="1" applyNumberFormat="1">
      <alignment horizontal="center" vertical="bottom"/>
    </xf>
    <xf borderId="24" fillId="2" fontId="13" numFmtId="9" xfId="0" applyAlignment="1" applyBorder="1" applyFont="1" applyNumberFormat="1">
      <alignment vertical="bottom"/>
    </xf>
    <xf borderId="231" fillId="2" fontId="13" numFmtId="3" xfId="0" applyAlignment="1" applyBorder="1" applyFont="1" applyNumberFormat="1">
      <alignment vertical="bottom"/>
    </xf>
    <xf borderId="27" fillId="2" fontId="107" numFmtId="9" xfId="0" applyAlignment="1" applyBorder="1" applyFont="1" applyNumberFormat="1">
      <alignment vertical="bottom"/>
    </xf>
    <xf borderId="239" fillId="2" fontId="109" numFmtId="46" xfId="0" applyAlignment="1" applyBorder="1" applyFont="1" applyNumberFormat="1">
      <alignment horizontal="center" vertical="bottom"/>
    </xf>
    <xf borderId="231" fillId="2" fontId="13" numFmtId="9" xfId="0" applyAlignment="1" applyBorder="1" applyFont="1" applyNumberFormat="1">
      <alignment vertical="bottom"/>
    </xf>
    <xf borderId="0" fillId="2" fontId="107" numFmtId="0" xfId="0" applyAlignment="1" applyFont="1">
      <alignment horizontal="center" vertical="bottom"/>
    </xf>
    <xf borderId="0" fillId="2" fontId="107" numFmtId="197" xfId="0" applyAlignment="1" applyFont="1" applyNumberFormat="1">
      <alignment horizontal="center" vertical="bottom"/>
    </xf>
    <xf borderId="0" fillId="2" fontId="107" numFmtId="3" xfId="0" applyAlignment="1" applyFont="1" applyNumberFormat="1">
      <alignment horizontal="center" vertical="bottom"/>
    </xf>
    <xf borderId="27" fillId="2" fontId="13" numFmtId="9" xfId="0" applyAlignment="1" applyBorder="1" applyFont="1" applyNumberFormat="1">
      <alignment vertical="bottom"/>
    </xf>
    <xf borderId="0" fillId="13" fontId="110" numFmtId="3" xfId="0" applyAlignment="1" applyFont="1" applyNumberFormat="1">
      <alignment readingOrder="0" vertical="bottom"/>
    </xf>
    <xf borderId="25" fillId="2" fontId="32" numFmtId="0" xfId="0" applyAlignment="1" applyBorder="1" applyFont="1">
      <alignment horizontal="right" readingOrder="0" textRotation="90" vertical="top"/>
    </xf>
    <xf borderId="240" fillId="23" fontId="13" numFmtId="0" xfId="0" applyAlignment="1" applyBorder="1" applyFont="1">
      <alignment vertical="bottom"/>
    </xf>
    <xf borderId="241" fillId="0" fontId="6" numFmtId="0" xfId="0" applyBorder="1" applyFont="1"/>
    <xf borderId="0" fillId="2" fontId="109" numFmtId="46" xfId="0" applyAlignment="1" applyFont="1" applyNumberFormat="1">
      <alignment horizontal="center" vertical="bottom"/>
    </xf>
    <xf borderId="0" fillId="2" fontId="13" numFmtId="9" xfId="0" applyAlignment="1" applyFont="1" applyNumberFormat="1">
      <alignment vertical="bottom"/>
    </xf>
    <xf borderId="2" fillId="79" fontId="111" numFmtId="0" xfId="0" applyAlignment="1" applyBorder="1" applyFill="1" applyFont="1">
      <alignment horizontal="center" readingOrder="0"/>
    </xf>
    <xf borderId="0" fillId="29" fontId="110" numFmtId="3" xfId="0" applyAlignment="1" applyFont="1" applyNumberFormat="1">
      <alignment readingOrder="0" vertical="bottom"/>
    </xf>
    <xf borderId="25" fillId="23" fontId="112" numFmtId="1" xfId="0" applyAlignment="1" applyBorder="1" applyFont="1" applyNumberFormat="1">
      <alignment horizontal="center" vertical="bottom"/>
    </xf>
    <xf borderId="25" fillId="23" fontId="112" numFmtId="1" xfId="0" applyAlignment="1" applyBorder="1" applyFont="1" applyNumberFormat="1">
      <alignment horizontal="center" readingOrder="0" vertical="bottom"/>
    </xf>
    <xf borderId="0" fillId="2" fontId="13" numFmtId="1" xfId="0" applyAlignment="1" applyFont="1" applyNumberFormat="1">
      <alignment vertical="bottom"/>
    </xf>
    <xf borderId="25" fillId="79" fontId="64" numFmtId="0" xfId="0" applyAlignment="1" applyBorder="1" applyFont="1">
      <alignment horizontal="center" readingOrder="0" shrinkToFit="0" vertical="center" wrapText="1"/>
    </xf>
    <xf borderId="31" fillId="2" fontId="13" numFmtId="1" xfId="0" applyAlignment="1" applyBorder="1" applyFont="1" applyNumberFormat="1">
      <alignment vertical="bottom"/>
    </xf>
    <xf borderId="0" fillId="2" fontId="113" numFmtId="0" xfId="0" applyAlignment="1" applyFont="1">
      <alignment horizontal="center" readingOrder="0" vertical="bottom"/>
    </xf>
    <xf borderId="0" fillId="2" fontId="114" numFmtId="0" xfId="0" applyAlignment="1" applyFont="1">
      <alignment readingOrder="0" vertical="bottom"/>
    </xf>
    <xf borderId="0" fillId="2" fontId="115" numFmtId="197" xfId="0" applyAlignment="1" applyFont="1" applyNumberFormat="1">
      <alignment horizontal="center" readingOrder="0" vertical="bottom"/>
    </xf>
    <xf borderId="0" fillId="2" fontId="107" numFmtId="3" xfId="0" applyAlignment="1" applyFont="1" applyNumberFormat="1">
      <alignment horizontal="center" readingOrder="0" vertical="bottom"/>
    </xf>
    <xf borderId="0" fillId="11" fontId="110" numFmtId="3" xfId="0" applyAlignment="1" applyFont="1" applyNumberFormat="1">
      <alignment readingOrder="0" vertical="bottom"/>
    </xf>
    <xf borderId="28" fillId="0" fontId="6" numFmtId="0" xfId="0" applyBorder="1" applyFont="1"/>
    <xf borderId="0" fillId="2" fontId="107" numFmtId="46" xfId="0" applyAlignment="1" applyFont="1" applyNumberFormat="1">
      <alignment horizontal="center" vertical="bottom"/>
    </xf>
    <xf borderId="0" fillId="2" fontId="107" numFmtId="0" xfId="0" applyAlignment="1" applyFont="1">
      <alignment horizontal="center" readingOrder="0" vertical="bottom"/>
    </xf>
    <xf borderId="0" fillId="2" fontId="107" numFmtId="0" xfId="0" applyAlignment="1" applyFont="1">
      <alignment horizontal="right" vertical="bottom"/>
    </xf>
    <xf borderId="0" fillId="2" fontId="107" numFmtId="174" xfId="0" applyAlignment="1" applyFont="1" applyNumberFormat="1">
      <alignment horizontal="center" vertical="bottom"/>
    </xf>
    <xf borderId="0" fillId="2" fontId="107" numFmtId="0" xfId="0" applyAlignment="1" applyFont="1">
      <alignment horizontal="center" vertical="bottom"/>
    </xf>
    <xf borderId="0" fillId="2" fontId="107" numFmtId="3" xfId="0" applyAlignment="1" applyFont="1" applyNumberFormat="1">
      <alignment vertical="bottom"/>
    </xf>
    <xf borderId="0" fillId="18" fontId="110" numFmtId="3" xfId="0" applyAlignment="1" applyFont="1" applyNumberFormat="1">
      <alignment readingOrder="0" vertical="bottom"/>
    </xf>
    <xf borderId="31" fillId="2" fontId="116" numFmtId="0" xfId="0" applyAlignment="1" applyBorder="1" applyFont="1">
      <alignment horizontal="right" vertical="bottom"/>
    </xf>
    <xf borderId="2" fillId="0" fontId="117" numFmtId="1" xfId="0" applyAlignment="1" applyBorder="1" applyFont="1" applyNumberFormat="1">
      <alignment vertical="bottom"/>
    </xf>
    <xf borderId="2" fillId="0" fontId="117" numFmtId="198" xfId="0" applyAlignment="1" applyBorder="1" applyFont="1" applyNumberFormat="1">
      <alignment horizontal="center" readingOrder="0" vertical="bottom"/>
    </xf>
    <xf borderId="2" fillId="0" fontId="117" numFmtId="46" xfId="0" applyAlignment="1" applyBorder="1" applyFont="1" applyNumberFormat="1">
      <alignment horizontal="center" vertical="bottom"/>
    </xf>
    <xf borderId="2" fillId="0" fontId="117" numFmtId="0" xfId="0" applyAlignment="1" applyBorder="1" applyFont="1">
      <alignment horizontal="center" vertical="bottom"/>
    </xf>
    <xf borderId="228" fillId="2" fontId="13" numFmtId="1" xfId="0" applyAlignment="1" applyBorder="1" applyFont="1" applyNumberFormat="1">
      <alignment vertical="bottom"/>
    </xf>
    <xf borderId="31" fillId="2" fontId="107" numFmtId="1" xfId="0" applyAlignment="1" applyBorder="1" applyFont="1" applyNumberFormat="1">
      <alignment vertical="bottom"/>
    </xf>
    <xf borderId="0" fillId="12" fontId="110" numFmtId="3" xfId="0" applyAlignment="1" applyFont="1" applyNumberFormat="1">
      <alignment readingOrder="0" vertical="bottom"/>
    </xf>
    <xf borderId="2" fillId="0" fontId="117" numFmtId="198" xfId="0" applyAlignment="1" applyBorder="1" applyFont="1" applyNumberFormat="1">
      <alignment horizontal="center" vertical="bottom"/>
    </xf>
    <xf borderId="0" fillId="2" fontId="107" numFmtId="1" xfId="0" applyAlignment="1" applyFont="1" applyNumberFormat="1">
      <alignment horizontal="center" vertical="bottom"/>
    </xf>
    <xf borderId="0" fillId="15" fontId="110" numFmtId="3" xfId="0" applyAlignment="1" applyFont="1" applyNumberFormat="1">
      <alignment readingOrder="0" vertical="bottom"/>
    </xf>
    <xf borderId="0" fillId="2" fontId="107" numFmtId="49" xfId="0" applyAlignment="1" applyFont="1" applyNumberFormat="1">
      <alignment horizontal="center" vertical="bottom"/>
    </xf>
    <xf borderId="227" fillId="2" fontId="41" numFmtId="1" xfId="0" applyAlignment="1" applyBorder="1" applyFont="1" applyNumberFormat="1">
      <alignment shrinkToFit="0" wrapText="1"/>
    </xf>
    <xf borderId="0" fillId="9" fontId="110" numFmtId="3" xfId="0" applyAlignment="1" applyFont="1" applyNumberFormat="1">
      <alignment readingOrder="0" vertical="bottom"/>
    </xf>
    <xf borderId="242" fillId="46" fontId="110" numFmtId="0" xfId="0" applyAlignment="1" applyBorder="1" applyFont="1">
      <alignment horizontal="center" readingOrder="0" vertical="bottom"/>
    </xf>
    <xf borderId="0" fillId="80" fontId="110" numFmtId="3" xfId="0" applyAlignment="1" applyFill="1" applyFont="1" applyNumberFormat="1">
      <alignment readingOrder="0" vertical="bottom"/>
    </xf>
    <xf borderId="243" fillId="81" fontId="110" numFmtId="0" xfId="0" applyAlignment="1" applyBorder="1" applyFill="1" applyFont="1">
      <alignment horizontal="center" readingOrder="0" vertical="bottom"/>
    </xf>
    <xf borderId="0" fillId="21" fontId="110" numFmtId="3" xfId="0" applyAlignment="1" applyFont="1" applyNumberFormat="1">
      <alignment readingOrder="0" vertical="bottom"/>
    </xf>
    <xf borderId="0" fillId="2" fontId="107" numFmtId="0" xfId="0" applyAlignment="1" applyFont="1">
      <alignment horizontal="right" vertical="bottom"/>
    </xf>
    <xf borderId="0" fillId="2" fontId="107" numFmtId="164" xfId="0" applyAlignment="1" applyFont="1" applyNumberFormat="1">
      <alignment horizontal="center" vertical="bottom"/>
    </xf>
    <xf borderId="31" fillId="2" fontId="41" numFmtId="1" xfId="0" applyAlignment="1" applyBorder="1" applyFont="1" applyNumberFormat="1">
      <alignment shrinkToFit="0" wrapText="1"/>
    </xf>
    <xf borderId="0" fillId="33" fontId="110" numFmtId="3" xfId="0" applyAlignment="1" applyFont="1" applyNumberFormat="1">
      <alignment readingOrder="0" vertical="bottom"/>
    </xf>
    <xf quotePrefix="1" borderId="216" fillId="46" fontId="110" numFmtId="0" xfId="0" applyAlignment="1" applyBorder="1" applyFont="1">
      <alignment horizontal="center" readingOrder="0" vertical="bottom"/>
    </xf>
    <xf borderId="0" fillId="49" fontId="110" numFmtId="3" xfId="0" applyAlignment="1" applyFont="1" applyNumberFormat="1">
      <alignment readingOrder="0" vertical="bottom"/>
    </xf>
    <xf borderId="31" fillId="81" fontId="110" numFmtId="1" xfId="0" applyAlignment="1" applyBorder="1" applyFont="1" applyNumberFormat="1">
      <alignment horizontal="center" readingOrder="0"/>
    </xf>
    <xf borderId="24" fillId="2" fontId="13" numFmtId="3" xfId="0" applyAlignment="1" applyBorder="1" applyFont="1" applyNumberFormat="1">
      <alignment vertical="bottom"/>
    </xf>
    <xf borderId="34" fillId="2" fontId="13" numFmtId="46" xfId="0" applyAlignment="1" applyBorder="1" applyFont="1" applyNumberFormat="1">
      <alignment vertical="bottom"/>
    </xf>
    <xf borderId="216" fillId="46" fontId="110" numFmtId="1" xfId="0" applyAlignment="1" applyBorder="1" applyFont="1" applyNumberFormat="1">
      <alignment horizontal="center" readingOrder="0" vertical="bottom"/>
    </xf>
    <xf borderId="0" fillId="2" fontId="13" numFmtId="3" xfId="0" applyAlignment="1" applyFont="1" applyNumberFormat="1">
      <alignment vertical="bottom"/>
    </xf>
    <xf borderId="31" fillId="81" fontId="118" numFmtId="1" xfId="0" applyAlignment="1" applyBorder="1" applyFont="1" applyNumberFormat="1">
      <alignment horizontal="center" readingOrder="0"/>
    </xf>
    <xf borderId="31" fillId="2" fontId="13" numFmtId="1" xfId="0" applyAlignment="1" applyBorder="1" applyFont="1" applyNumberFormat="1">
      <alignment readingOrder="0" vertical="bottom"/>
    </xf>
    <xf borderId="0" fillId="2" fontId="116" numFmtId="0" xfId="0" applyAlignment="1" applyFont="1">
      <alignment horizontal="right" vertical="bottom"/>
    </xf>
    <xf borderId="0" fillId="2" fontId="13" numFmtId="46" xfId="0" applyAlignment="1" applyFont="1" applyNumberFormat="1">
      <alignment vertical="bottom"/>
    </xf>
    <xf borderId="0" fillId="51" fontId="107" numFmtId="48" xfId="0" applyAlignment="1" applyFont="1" applyNumberFormat="1">
      <alignment horizontal="center" vertical="bottom"/>
    </xf>
    <xf borderId="0" fillId="2" fontId="107" numFmtId="48" xfId="0" applyAlignment="1" applyFont="1" applyNumberFormat="1">
      <alignment horizontal="center" vertical="bottom"/>
    </xf>
    <xf borderId="25" fillId="23" fontId="112" numFmtId="1" xfId="0" applyAlignment="1" applyBorder="1" applyFont="1" applyNumberFormat="1">
      <alignment horizontal="center" shrinkToFit="0" vertical="bottom" wrapText="1"/>
    </xf>
    <xf borderId="25" fillId="23" fontId="112" numFmtId="1" xfId="0" applyAlignment="1" applyBorder="1" applyFont="1" applyNumberFormat="1">
      <alignment horizontal="center" readingOrder="0" shrinkToFit="0" vertical="bottom" wrapText="1"/>
    </xf>
    <xf borderId="0" fillId="2" fontId="119" numFmtId="0" xfId="0" applyAlignment="1" applyFont="1">
      <alignment horizontal="center" vertical="bottom"/>
    </xf>
    <xf borderId="0" fillId="2" fontId="120" numFmtId="48" xfId="0" applyAlignment="1" applyFont="1" applyNumberFormat="1">
      <alignment horizontal="center" readingOrder="0" vertical="bottom"/>
    </xf>
    <xf borderId="31" fillId="2" fontId="116" numFmtId="46" xfId="0" applyAlignment="1" applyBorder="1" applyFont="1" applyNumberFormat="1">
      <alignment horizontal="right" vertical="bottom"/>
    </xf>
    <xf borderId="2" fillId="82" fontId="117" numFmtId="1" xfId="0" applyAlignment="1" applyBorder="1" applyFill="1" applyFont="1" applyNumberFormat="1">
      <alignment vertical="bottom"/>
    </xf>
    <xf borderId="2" fillId="82" fontId="117" numFmtId="46" xfId="0" applyAlignment="1" applyBorder="1" applyFont="1" applyNumberFormat="1">
      <alignment horizontal="center" vertical="bottom"/>
    </xf>
    <xf borderId="2" fillId="82" fontId="117" numFmtId="0" xfId="0" applyAlignment="1" applyBorder="1" applyFont="1">
      <alignment horizontal="center" vertical="bottom"/>
    </xf>
    <xf borderId="2" fillId="82" fontId="117" numFmtId="48" xfId="0" applyAlignment="1" applyBorder="1" applyFont="1" applyNumberFormat="1">
      <alignment horizontal="center" vertical="bottom"/>
    </xf>
    <xf borderId="2" fillId="0" fontId="117" numFmtId="48" xfId="0" applyAlignment="1" applyBorder="1" applyFont="1" applyNumberFormat="1">
      <alignment horizontal="center" vertical="bottom"/>
    </xf>
    <xf borderId="2" fillId="4" fontId="117" numFmtId="0" xfId="0" applyAlignment="1" applyBorder="1" applyFont="1">
      <alignment horizontal="center" vertical="bottom"/>
    </xf>
    <xf borderId="34" fillId="79" fontId="64" numFmtId="172" xfId="0" applyAlignment="1" applyBorder="1" applyFont="1" applyNumberFormat="1">
      <alignment horizontal="center" readingOrder="0" shrinkToFit="0" vertical="center" wrapText="1"/>
    </xf>
    <xf borderId="2" fillId="8" fontId="117" numFmtId="0" xfId="0" applyAlignment="1" applyBorder="1" applyFont="1">
      <alignment horizontal="center" vertical="bottom"/>
    </xf>
    <xf borderId="2" fillId="83" fontId="117" numFmtId="0" xfId="0" applyAlignment="1" applyBorder="1" applyFill="1" applyFont="1">
      <alignment horizontal="center" vertical="bottom"/>
    </xf>
    <xf borderId="2" fillId="11" fontId="117" numFmtId="0" xfId="0" applyAlignment="1" applyBorder="1" applyFont="1">
      <alignment horizontal="center" vertical="bottom"/>
    </xf>
    <xf borderId="223" fillId="81" fontId="110" numFmtId="1" xfId="0" applyAlignment="1" applyBorder="1" applyFont="1" applyNumberFormat="1">
      <alignment horizontal="center" readingOrder="0"/>
    </xf>
    <xf borderId="2" fillId="84" fontId="117" numFmtId="0" xfId="0" applyAlignment="1" applyBorder="1" applyFill="1" applyFont="1">
      <alignment horizontal="center" vertical="bottom"/>
    </xf>
    <xf borderId="227" fillId="2" fontId="13" numFmtId="1" xfId="0" applyAlignment="1" applyBorder="1" applyFont="1" applyNumberFormat="1">
      <alignment vertical="bottom"/>
    </xf>
    <xf borderId="0" fillId="2" fontId="107" numFmtId="0" xfId="0" applyAlignment="1" applyFont="1">
      <alignment horizontal="center" textRotation="90" vertical="bottom"/>
    </xf>
    <xf borderId="2" fillId="9" fontId="117" numFmtId="0" xfId="0" applyAlignment="1" applyBorder="1" applyFont="1">
      <alignment horizontal="center" vertical="bottom"/>
    </xf>
    <xf borderId="223" fillId="81" fontId="118" numFmtId="1" xfId="0" applyAlignment="1" applyBorder="1" applyFont="1" applyNumberFormat="1">
      <alignment horizontal="center" readingOrder="0"/>
    </xf>
    <xf borderId="216" fillId="46" fontId="110" numFmtId="1" xfId="0" applyAlignment="1" applyBorder="1" applyFont="1" applyNumberFormat="1">
      <alignment horizontal="center" vertical="bottom"/>
    </xf>
    <xf borderId="2" fillId="21" fontId="117" numFmtId="0" xfId="0" applyAlignment="1" applyBorder="1" applyFont="1">
      <alignment horizontal="center" vertical="bottom"/>
    </xf>
    <xf borderId="223" fillId="81" fontId="110" numFmtId="1" xfId="0" applyAlignment="1" applyBorder="1" applyFont="1" applyNumberFormat="1">
      <alignment horizontal="center" vertical="bottom"/>
    </xf>
    <xf borderId="2" fillId="85" fontId="117" numFmtId="0" xfId="0" applyAlignment="1" applyBorder="1" applyFill="1" applyFont="1">
      <alignment horizontal="center" vertical="bottom"/>
    </xf>
    <xf borderId="2" fillId="19" fontId="117" numFmtId="0" xfId="0" applyAlignment="1" applyBorder="1" applyFont="1">
      <alignment horizontal="center" vertical="bottom"/>
    </xf>
    <xf borderId="0" fillId="2" fontId="121" numFmtId="0" xfId="0" applyAlignment="1" applyFont="1">
      <alignment vertical="bottom"/>
    </xf>
    <xf borderId="0" fillId="2" fontId="121" numFmtId="46" xfId="0" applyAlignment="1" applyFont="1" applyNumberFormat="1">
      <alignment horizontal="center" vertical="bottom"/>
    </xf>
    <xf borderId="0" fillId="2" fontId="121" numFmtId="46" xfId="0" applyAlignment="1" applyFont="1" applyNumberFormat="1">
      <alignment vertical="bottom"/>
    </xf>
    <xf borderId="0" fillId="2" fontId="122" numFmtId="46" xfId="0" applyAlignment="1" applyFont="1" applyNumberFormat="1">
      <alignment horizontal="center" vertical="bottom"/>
    </xf>
    <xf borderId="2" fillId="78" fontId="13" numFmtId="0" xfId="0" applyAlignment="1" applyBorder="1" applyFont="1">
      <alignment vertical="bottom"/>
    </xf>
    <xf borderId="226" fillId="2" fontId="107" numFmtId="0" xfId="0" applyAlignment="1" applyBorder="1" applyFont="1">
      <alignment vertical="bottom"/>
    </xf>
    <xf borderId="0" fillId="0" fontId="123" numFmtId="0" xfId="0" applyAlignment="1" applyFont="1">
      <alignment horizontal="center" readingOrder="0" shrinkToFit="0" wrapText="1"/>
    </xf>
    <xf borderId="230" fillId="2" fontId="107" numFmtId="0" xfId="0" applyAlignment="1" applyBorder="1" applyFont="1">
      <alignment vertical="bottom"/>
    </xf>
    <xf borderId="244" fillId="2" fontId="107" numFmtId="0" xfId="0" applyAlignment="1" applyBorder="1" applyFont="1">
      <alignment vertical="bottom"/>
    </xf>
    <xf borderId="42" fillId="24" fontId="60" numFmtId="0" xfId="0" applyAlignment="1" applyBorder="1" applyFont="1">
      <alignment horizontal="right" readingOrder="0" vertical="center"/>
    </xf>
    <xf borderId="42" fillId="2" fontId="124" numFmtId="0" xfId="0" applyAlignment="1" applyBorder="1" applyFont="1">
      <alignment horizontal="center" readingOrder="0" vertical="bottom"/>
    </xf>
    <xf borderId="245" fillId="2" fontId="107" numFmtId="0" xfId="0" applyAlignment="1" applyBorder="1" applyFont="1">
      <alignment vertical="bottom"/>
    </xf>
    <xf borderId="42" fillId="45" fontId="107" numFmtId="0" xfId="0" applyAlignment="1" applyBorder="1" applyFont="1">
      <alignment horizontal="center" readingOrder="0" vertical="bottom"/>
    </xf>
    <xf borderId="236" fillId="45" fontId="107" numFmtId="0" xfId="0" applyAlignment="1" applyBorder="1" applyFont="1">
      <alignment horizontal="center" vertical="bottom"/>
    </xf>
    <xf borderId="231" fillId="0" fontId="6" numFmtId="0" xfId="0" applyBorder="1" applyFont="1"/>
    <xf borderId="42" fillId="9" fontId="125" numFmtId="9" xfId="0" applyAlignment="1" applyBorder="1" applyFont="1" applyNumberFormat="1">
      <alignment horizontal="center" vertical="bottom"/>
    </xf>
    <xf borderId="42" fillId="9" fontId="125" numFmtId="9" xfId="0" applyAlignment="1" applyBorder="1" applyFont="1" applyNumberFormat="1">
      <alignment horizontal="center" readingOrder="0" vertical="bottom"/>
    </xf>
    <xf borderId="42" fillId="9" fontId="125" numFmtId="9" xfId="0" applyAlignment="1" applyBorder="1" applyFont="1" applyNumberFormat="1">
      <alignment readingOrder="0" vertical="bottom"/>
    </xf>
    <xf borderId="24" fillId="9" fontId="125" numFmtId="9" xfId="0" applyAlignment="1" applyBorder="1" applyFont="1" applyNumberFormat="1">
      <alignment horizontal="center" readingOrder="0" vertical="bottom"/>
    </xf>
    <xf borderId="246" fillId="9" fontId="125" numFmtId="9" xfId="0" applyAlignment="1" applyBorder="1" applyFont="1" applyNumberFormat="1">
      <alignment horizontal="right" vertical="bottom"/>
    </xf>
    <xf borderId="247" fillId="0" fontId="6" numFmtId="0" xfId="0" applyBorder="1" applyFont="1"/>
    <xf borderId="27" fillId="10" fontId="126" numFmtId="9" xfId="0" applyAlignment="1" applyBorder="1" applyFont="1" applyNumberFormat="1">
      <alignment horizontal="center" readingOrder="0" vertical="bottom"/>
    </xf>
    <xf borderId="27" fillId="10" fontId="126" numFmtId="0" xfId="0" applyAlignment="1" applyBorder="1" applyFont="1">
      <alignment horizontal="center" readingOrder="0" vertical="bottom"/>
    </xf>
    <xf borderId="230" fillId="2" fontId="127" numFmtId="0" xfId="0" applyAlignment="1" applyBorder="1" applyFont="1">
      <alignment vertical="bottom"/>
    </xf>
    <xf borderId="226" fillId="2" fontId="107" numFmtId="0" xfId="0" applyAlignment="1" applyBorder="1" applyFont="1">
      <alignment horizontal="right" readingOrder="0" vertical="bottom"/>
    </xf>
    <xf borderId="42" fillId="2" fontId="107" numFmtId="0" xfId="0" applyAlignment="1" applyBorder="1" applyFont="1">
      <alignment vertical="bottom"/>
    </xf>
    <xf borderId="2" fillId="2" fontId="107" numFmtId="9" xfId="0" applyAlignment="1" applyBorder="1" applyFont="1" applyNumberFormat="1">
      <alignment horizontal="center" vertical="bottom"/>
    </xf>
    <xf borderId="24" fillId="2" fontId="107" numFmtId="0" xfId="0" applyAlignment="1" applyBorder="1" applyFont="1">
      <alignment vertical="bottom"/>
    </xf>
    <xf borderId="226" fillId="2" fontId="32" numFmtId="0" xfId="0" applyAlignment="1" applyBorder="1" applyFont="1">
      <alignment horizontal="right" vertical="bottom"/>
    </xf>
    <xf borderId="230" fillId="2" fontId="128" numFmtId="9" xfId="0" applyAlignment="1" applyBorder="1" applyFont="1" applyNumberFormat="1">
      <alignment horizontal="right" textRotation="90" vertical="center"/>
    </xf>
    <xf borderId="241" fillId="0" fontId="108" numFmtId="1" xfId="0" applyAlignment="1" applyBorder="1" applyFont="1" applyNumberFormat="1">
      <alignment horizontal="right" vertical="bottom"/>
    </xf>
    <xf borderId="241" fillId="86" fontId="108" numFmtId="1" xfId="0" applyAlignment="1" applyBorder="1" applyFill="1" applyFont="1" applyNumberFormat="1">
      <alignment horizontal="right" vertical="bottom"/>
    </xf>
    <xf borderId="241" fillId="87" fontId="108" numFmtId="1" xfId="0" applyAlignment="1" applyBorder="1" applyFill="1" applyFont="1" applyNumberFormat="1">
      <alignment horizontal="right" vertical="bottom"/>
    </xf>
    <xf borderId="241" fillId="88" fontId="108" numFmtId="1" xfId="0" applyAlignment="1" applyBorder="1" applyFill="1" applyFont="1" applyNumberFormat="1">
      <alignment horizontal="right" vertical="bottom"/>
    </xf>
    <xf borderId="241" fillId="89" fontId="108" numFmtId="1" xfId="0" applyAlignment="1" applyBorder="1" applyFill="1" applyFont="1" applyNumberFormat="1">
      <alignment horizontal="right" vertical="bottom"/>
    </xf>
    <xf borderId="241" fillId="90" fontId="108" numFmtId="1" xfId="0" applyAlignment="1" applyBorder="1" applyFill="1" applyFont="1" applyNumberFormat="1">
      <alignment horizontal="right" vertical="bottom"/>
    </xf>
    <xf borderId="241" fillId="91" fontId="108" numFmtId="1" xfId="0" applyAlignment="1" applyBorder="1" applyFill="1" applyFont="1" applyNumberFormat="1">
      <alignment horizontal="right" vertical="bottom"/>
    </xf>
    <xf borderId="241" fillId="92" fontId="108" numFmtId="1" xfId="0" applyAlignment="1" applyBorder="1" applyFill="1" applyFont="1" applyNumberFormat="1">
      <alignment horizontal="right" vertical="bottom"/>
    </xf>
    <xf borderId="241" fillId="93" fontId="108" numFmtId="1" xfId="0" applyAlignment="1" applyBorder="1" applyFill="1" applyFont="1" applyNumberFormat="1">
      <alignment horizontal="right" vertical="bottom"/>
    </xf>
    <xf borderId="241" fillId="94" fontId="108" numFmtId="1" xfId="0" applyAlignment="1" applyBorder="1" applyFill="1" applyFont="1" applyNumberFormat="1">
      <alignment horizontal="right" vertical="bottom"/>
    </xf>
    <xf borderId="241" fillId="95" fontId="108" numFmtId="1" xfId="0" applyAlignment="1" applyBorder="1" applyFill="1" applyFont="1" applyNumberFormat="1">
      <alignment horizontal="right" vertical="bottom"/>
    </xf>
    <xf borderId="241" fillId="96" fontId="108" numFmtId="1" xfId="0" applyAlignment="1" applyBorder="1" applyFill="1" applyFont="1" applyNumberFormat="1">
      <alignment horizontal="right" vertical="bottom"/>
    </xf>
    <xf borderId="244" fillId="0" fontId="6" numFmtId="0" xfId="0" applyBorder="1" applyFont="1"/>
    <xf borderId="241" fillId="78" fontId="108" numFmtId="1" xfId="0" applyAlignment="1" applyBorder="1" applyFont="1" applyNumberFormat="1">
      <alignment horizontal="right" vertical="bottom"/>
    </xf>
    <xf borderId="241" fillId="97" fontId="108" numFmtId="1" xfId="0" applyAlignment="1" applyBorder="1" applyFill="1" applyFont="1" applyNumberFormat="1">
      <alignment horizontal="right" vertical="bottom"/>
    </xf>
    <xf borderId="241" fillId="98" fontId="108" numFmtId="1" xfId="0" applyAlignment="1" applyBorder="1" applyFill="1" applyFont="1" applyNumberFormat="1">
      <alignment horizontal="right" vertical="bottom"/>
    </xf>
    <xf borderId="241" fillId="99" fontId="108" numFmtId="1" xfId="0" applyAlignment="1" applyBorder="1" applyFill="1" applyFont="1" applyNumberFormat="1">
      <alignment horizontal="right" vertical="bottom"/>
    </xf>
    <xf borderId="241" fillId="100" fontId="108" numFmtId="1" xfId="0" applyAlignment="1" applyBorder="1" applyFill="1" applyFont="1" applyNumberFormat="1">
      <alignment horizontal="right" vertical="bottom"/>
    </xf>
    <xf borderId="241" fillId="101" fontId="108" numFmtId="1" xfId="0" applyAlignment="1" applyBorder="1" applyFill="1" applyFont="1" applyNumberFormat="1">
      <alignment horizontal="right" vertical="bottom"/>
    </xf>
    <xf borderId="241" fillId="102" fontId="108" numFmtId="1" xfId="0" applyAlignment="1" applyBorder="1" applyFill="1" applyFont="1" applyNumberFormat="1">
      <alignment horizontal="right" vertical="bottom"/>
    </xf>
    <xf borderId="241" fillId="103" fontId="108" numFmtId="1" xfId="0" applyAlignment="1" applyBorder="1" applyFill="1" applyFont="1" applyNumberFormat="1">
      <alignment horizontal="right" vertical="bottom"/>
    </xf>
    <xf borderId="241" fillId="104" fontId="108" numFmtId="1" xfId="0" applyAlignment="1" applyBorder="1" applyFill="1" applyFont="1" applyNumberFormat="1">
      <alignment horizontal="right" vertical="bottom"/>
    </xf>
    <xf borderId="241" fillId="105" fontId="108" numFmtId="1" xfId="0" applyAlignment="1" applyBorder="1" applyFill="1" applyFont="1" applyNumberFormat="1">
      <alignment horizontal="right" vertical="bottom"/>
    </xf>
    <xf borderId="241" fillId="106" fontId="108" numFmtId="1" xfId="0" applyAlignment="1" applyBorder="1" applyFill="1" applyFont="1" applyNumberFormat="1">
      <alignment horizontal="right" vertical="bottom"/>
    </xf>
    <xf borderId="241" fillId="107" fontId="108" numFmtId="1" xfId="0" applyAlignment="1" applyBorder="1" applyFill="1" applyFont="1" applyNumberFormat="1">
      <alignment horizontal="right" vertical="bottom"/>
    </xf>
    <xf borderId="241" fillId="108" fontId="108" numFmtId="1" xfId="0" applyAlignment="1" applyBorder="1" applyFill="1" applyFont="1" applyNumberFormat="1">
      <alignment horizontal="right" vertical="bottom"/>
    </xf>
    <xf borderId="26" fillId="108" fontId="108" numFmtId="1" xfId="0" applyAlignment="1" applyBorder="1" applyFont="1" applyNumberFormat="1">
      <alignment horizontal="right" vertical="bottom"/>
    </xf>
    <xf borderId="245" fillId="0" fontId="6" numFmtId="0" xfId="0" applyBorder="1" applyFont="1"/>
    <xf borderId="35" fillId="0" fontId="108" numFmtId="1" xfId="0" applyAlignment="1" applyBorder="1" applyFont="1" applyNumberFormat="1">
      <alignment horizontal="right" vertical="bottom"/>
    </xf>
    <xf borderId="35" fillId="86" fontId="108" numFmtId="1" xfId="0" applyAlignment="1" applyBorder="1" applyFont="1" applyNumberFormat="1">
      <alignment horizontal="right" vertical="bottom"/>
    </xf>
    <xf borderId="35" fillId="109" fontId="108" numFmtId="1" xfId="0" applyAlignment="1" applyBorder="1" applyFill="1" applyFont="1" applyNumberFormat="1">
      <alignment horizontal="right" vertical="bottom"/>
    </xf>
    <xf borderId="35" fillId="110" fontId="108" numFmtId="1" xfId="0" applyAlignment="1" applyBorder="1" applyFill="1" applyFont="1" applyNumberFormat="1">
      <alignment horizontal="right" vertical="bottom"/>
    </xf>
    <xf borderId="35" fillId="111" fontId="108" numFmtId="1" xfId="0" applyAlignment="1" applyBorder="1" applyFill="1" applyFont="1" applyNumberFormat="1">
      <alignment horizontal="right" vertical="bottom"/>
    </xf>
    <xf borderId="35" fillId="112" fontId="108" numFmtId="1" xfId="0" applyAlignment="1" applyBorder="1" applyFill="1" applyFont="1" applyNumberFormat="1">
      <alignment horizontal="right" vertical="bottom"/>
    </xf>
    <xf borderId="35" fillId="113" fontId="108" numFmtId="1" xfId="0" applyAlignment="1" applyBorder="1" applyFill="1" applyFont="1" applyNumberFormat="1">
      <alignment horizontal="right" vertical="bottom"/>
    </xf>
    <xf borderId="35" fillId="114" fontId="108" numFmtId="1" xfId="0" applyAlignment="1" applyBorder="1" applyFill="1" applyFont="1" applyNumberFormat="1">
      <alignment horizontal="right" vertical="bottom"/>
    </xf>
    <xf borderId="35" fillId="115" fontId="108" numFmtId="1" xfId="0" applyAlignment="1" applyBorder="1" applyFill="1" applyFont="1" applyNumberFormat="1">
      <alignment horizontal="right" vertical="bottom"/>
    </xf>
    <xf borderId="35" fillId="116" fontId="108" numFmtId="1" xfId="0" applyAlignment="1" applyBorder="1" applyFill="1" applyFont="1" applyNumberFormat="1">
      <alignment horizontal="right" vertical="bottom"/>
    </xf>
    <xf borderId="35" fillId="108" fontId="108" numFmtId="1" xfId="0" applyAlignment="1" applyBorder="1" applyFont="1" applyNumberFormat="1">
      <alignment horizontal="right" vertical="bottom"/>
    </xf>
    <xf borderId="4" fillId="108" fontId="108" numFmtId="1" xfId="0" applyAlignment="1" applyBorder="1" applyFont="1" applyNumberFormat="1">
      <alignment horizontal="right" vertical="bottom"/>
    </xf>
    <xf borderId="248" fillId="2" fontId="32" numFmtId="0" xfId="0" applyAlignment="1" applyBorder="1" applyFont="1">
      <alignment horizontal="left" vertical="bottom"/>
    </xf>
    <xf borderId="249" fillId="0" fontId="6" numFmtId="0" xfId="0" applyBorder="1" applyFont="1"/>
    <xf borderId="250" fillId="0" fontId="6" numFmtId="0" xfId="0" applyBorder="1" applyFont="1"/>
    <xf borderId="245" fillId="2" fontId="107" numFmtId="0" xfId="0" applyAlignment="1" applyBorder="1" applyFont="1">
      <alignment horizontal="right" vertical="bottom"/>
    </xf>
    <xf borderId="43" fillId="2" fontId="13" numFmtId="9" xfId="0" applyAlignment="1" applyBorder="1" applyFont="1" applyNumberFormat="1">
      <alignment vertical="bottom"/>
    </xf>
    <xf borderId="28" fillId="2" fontId="107" numFmtId="9" xfId="0" applyAlignment="1" applyBorder="1" applyFont="1" applyNumberFormat="1">
      <alignment horizontal="center" vertical="bottom"/>
    </xf>
    <xf borderId="241" fillId="117" fontId="108" numFmtId="1" xfId="0" applyAlignment="1" applyBorder="1" applyFill="1" applyFont="1" applyNumberFormat="1">
      <alignment horizontal="right" vertical="bottom"/>
    </xf>
    <xf borderId="241" fillId="118" fontId="108" numFmtId="1" xfId="0" applyAlignment="1" applyBorder="1" applyFill="1" applyFont="1" applyNumberFormat="1">
      <alignment horizontal="right" vertical="bottom"/>
    </xf>
    <xf borderId="241" fillId="119" fontId="108" numFmtId="1" xfId="0" applyAlignment="1" applyBorder="1" applyFill="1" applyFont="1" applyNumberFormat="1">
      <alignment horizontal="right" vertical="bottom"/>
    </xf>
    <xf borderId="241" fillId="120" fontId="108" numFmtId="1" xfId="0" applyAlignment="1" applyBorder="1" applyFill="1" applyFont="1" applyNumberFormat="1">
      <alignment horizontal="right" vertical="bottom"/>
    </xf>
    <xf borderId="241" fillId="115" fontId="108" numFmtId="1" xfId="0" applyAlignment="1" applyBorder="1" applyFont="1" applyNumberFormat="1">
      <alignment horizontal="right" vertical="bottom"/>
    </xf>
    <xf borderId="241" fillId="121" fontId="108" numFmtId="1" xfId="0" applyAlignment="1" applyBorder="1" applyFill="1" applyFont="1" applyNumberFormat="1">
      <alignment horizontal="right" vertical="bottom"/>
    </xf>
    <xf borderId="241" fillId="116" fontId="108" numFmtId="1" xfId="0" applyAlignment="1" applyBorder="1" applyFont="1" applyNumberFormat="1">
      <alignment horizontal="right" vertical="bottom"/>
    </xf>
    <xf borderId="241" fillId="122" fontId="108" numFmtId="1" xfId="0" applyAlignment="1" applyBorder="1" applyFill="1" applyFont="1" applyNumberFormat="1">
      <alignment horizontal="right" vertical="bottom"/>
    </xf>
    <xf borderId="241" fillId="123" fontId="108" numFmtId="1" xfId="0" applyAlignment="1" applyBorder="1" applyFill="1" applyFont="1" applyNumberFormat="1">
      <alignment horizontal="right" vertical="bottom"/>
    </xf>
    <xf borderId="241" fillId="124" fontId="108" numFmtId="1" xfId="0" applyAlignment="1" applyBorder="1" applyFill="1" applyFont="1" applyNumberFormat="1">
      <alignment horizontal="right" vertical="bottom"/>
    </xf>
    <xf borderId="241" fillId="125" fontId="108" numFmtId="1" xfId="0" applyAlignment="1" applyBorder="1" applyFill="1" applyFont="1" applyNumberFormat="1">
      <alignment horizontal="right" vertical="bottom"/>
    </xf>
    <xf borderId="241" fillId="126" fontId="108" numFmtId="1" xfId="0" applyAlignment="1" applyBorder="1" applyFill="1" applyFont="1" applyNumberFormat="1">
      <alignment horizontal="right" vertical="bottom"/>
    </xf>
    <xf borderId="241" fillId="127" fontId="108" numFmtId="1" xfId="0" applyAlignment="1" applyBorder="1" applyFill="1" applyFont="1" applyNumberFormat="1">
      <alignment horizontal="right" vertical="bottom"/>
    </xf>
    <xf borderId="241" fillId="128" fontId="108" numFmtId="1" xfId="0" applyAlignment="1" applyBorder="1" applyFill="1" applyFont="1" applyNumberFormat="1">
      <alignment horizontal="right" vertical="bottom"/>
    </xf>
    <xf borderId="241" fillId="129" fontId="108" numFmtId="1" xfId="0" applyAlignment="1" applyBorder="1" applyFill="1" applyFont="1" applyNumberFormat="1">
      <alignment horizontal="right" vertical="bottom"/>
    </xf>
    <xf borderId="248" fillId="2" fontId="32" numFmtId="0" xfId="0" applyAlignment="1" applyBorder="1" applyFont="1">
      <alignment horizontal="left" readingOrder="0" vertical="bottom"/>
    </xf>
    <xf borderId="3" fillId="24" fontId="77" numFmtId="49" xfId="0" applyAlignment="1" applyBorder="1" applyFont="1" applyNumberFormat="1">
      <alignment horizontal="center" vertical="bottom"/>
    </xf>
    <xf borderId="35" fillId="130" fontId="129" numFmtId="0" xfId="0" applyAlignment="1" applyBorder="1" applyFill="1" applyFont="1">
      <alignment horizontal="center" vertical="bottom"/>
    </xf>
    <xf borderId="41" fillId="24" fontId="77" numFmtId="0" xfId="0" applyAlignment="1" applyBorder="1" applyFont="1">
      <alignment horizontal="center"/>
    </xf>
    <xf borderId="47" fillId="0" fontId="6" numFmtId="0" xfId="0" applyBorder="1" applyFont="1"/>
    <xf borderId="47" fillId="24" fontId="129" numFmtId="9" xfId="0" applyAlignment="1" applyBorder="1" applyFont="1" applyNumberFormat="1">
      <alignment horizontal="center"/>
    </xf>
    <xf borderId="40" fillId="131" fontId="65" numFmtId="0" xfId="0" applyAlignment="1" applyBorder="1" applyFill="1" applyFont="1">
      <alignment horizontal="center"/>
    </xf>
    <xf borderId="0" fillId="131" fontId="65" numFmtId="0" xfId="0" applyAlignment="1" applyFont="1">
      <alignment horizontal="center"/>
    </xf>
    <xf borderId="0" fillId="132" fontId="65" numFmtId="0" xfId="0" applyAlignment="1" applyFill="1" applyFont="1">
      <alignment horizontal="center"/>
    </xf>
    <xf borderId="37" fillId="132" fontId="65" numFmtId="0" xfId="0" applyAlignment="1" applyBorder="1" applyFont="1">
      <alignment horizontal="center"/>
    </xf>
    <xf borderId="40" fillId="78" fontId="13" numFmtId="0" xfId="0" applyAlignment="1" applyBorder="1" applyFont="1">
      <alignment horizontal="center" vertical="bottom"/>
    </xf>
    <xf borderId="0" fillId="78" fontId="13" numFmtId="0" xfId="0" applyAlignment="1" applyFont="1">
      <alignment horizontal="center" vertical="bottom"/>
    </xf>
    <xf borderId="0" fillId="78" fontId="13" numFmtId="10" xfId="0" applyAlignment="1" applyFont="1" applyNumberFormat="1">
      <alignment horizontal="center" vertical="bottom"/>
    </xf>
    <xf borderId="37" fillId="78" fontId="13" numFmtId="10" xfId="0" applyAlignment="1" applyBorder="1" applyFont="1" applyNumberFormat="1">
      <alignment horizontal="center" vertical="bottom"/>
    </xf>
    <xf borderId="40" fillId="133" fontId="13" numFmtId="0" xfId="0" applyAlignment="1" applyBorder="1" applyFill="1" applyFont="1">
      <alignment horizontal="center" vertical="bottom"/>
    </xf>
    <xf borderId="0" fillId="133" fontId="13" numFmtId="0" xfId="0" applyAlignment="1" applyFont="1">
      <alignment horizontal="center" vertical="bottom"/>
    </xf>
    <xf borderId="0" fillId="133" fontId="13" numFmtId="10" xfId="0" applyAlignment="1" applyFont="1" applyNumberFormat="1">
      <alignment horizontal="center" vertical="bottom"/>
    </xf>
    <xf borderId="0" fillId="134" fontId="13" numFmtId="0" xfId="0" applyAlignment="1" applyFill="1" applyFont="1">
      <alignment horizontal="center" vertical="bottom"/>
    </xf>
    <xf borderId="37" fillId="134" fontId="13" numFmtId="10" xfId="0" applyAlignment="1" applyBorder="1" applyFont="1" applyNumberFormat="1">
      <alignment horizontal="center" vertical="bottom"/>
    </xf>
    <xf borderId="41" fillId="135" fontId="13" numFmtId="0" xfId="0" applyAlignment="1" applyBorder="1" applyFill="1" applyFont="1">
      <alignment horizontal="center" vertical="bottom"/>
    </xf>
    <xf borderId="47" fillId="135" fontId="13" numFmtId="0" xfId="0" applyAlignment="1" applyBorder="1" applyFont="1">
      <alignment horizontal="center" vertical="bottom"/>
    </xf>
    <xf borderId="47" fillId="135" fontId="13" numFmtId="10" xfId="0" applyAlignment="1" applyBorder="1" applyFont="1" applyNumberFormat="1">
      <alignment horizontal="center" vertical="bottom"/>
    </xf>
    <xf borderId="47" fillId="136" fontId="13" numFmtId="0" xfId="0" applyAlignment="1" applyBorder="1" applyFill="1" applyFont="1">
      <alignment horizontal="center" vertical="bottom"/>
    </xf>
    <xf borderId="29" fillId="136" fontId="13" numFmtId="10" xfId="0" applyAlignment="1" applyBorder="1" applyFont="1" applyNumberFormat="1">
      <alignment horizontal="center" vertical="bottom"/>
    </xf>
    <xf borderId="24" fillId="2" fontId="130" numFmtId="0" xfId="0" applyAlignment="1" applyBorder="1" applyFont="1">
      <alignment vertical="bottom"/>
    </xf>
    <xf borderId="31" fillId="2" fontId="130" numFmtId="0" xfId="0" applyAlignment="1" applyBorder="1" applyFont="1">
      <alignment vertical="bottom"/>
    </xf>
    <xf borderId="231" fillId="2" fontId="130" numFmtId="0" xfId="0" applyAlignment="1" applyBorder="1" applyFont="1">
      <alignment vertical="bottom"/>
    </xf>
    <xf borderId="228" fillId="2" fontId="130" numFmtId="0" xfId="0" applyAlignment="1" applyBorder="1" applyFont="1">
      <alignment vertical="bottom"/>
    </xf>
    <xf borderId="35" fillId="33" fontId="131" numFmtId="0" xfId="0" applyAlignment="1" applyBorder="1" applyFont="1">
      <alignment horizontal="center" vertical="bottom"/>
    </xf>
    <xf borderId="0" fillId="33" fontId="131" numFmtId="0" xfId="0" applyAlignment="1" applyFont="1">
      <alignment horizontal="center" vertical="bottom"/>
    </xf>
    <xf borderId="27" fillId="2" fontId="130" numFmtId="0" xfId="0" applyAlignment="1" applyBorder="1" applyFont="1">
      <alignment vertical="bottom"/>
    </xf>
    <xf borderId="0" fillId="19" fontId="31" numFmtId="0" xfId="0" applyAlignment="1" applyFont="1">
      <alignment horizontal="center" readingOrder="0" vertical="bottom"/>
    </xf>
    <xf borderId="0" fillId="11" fontId="31" numFmtId="0" xfId="0" applyAlignment="1" applyFont="1">
      <alignment horizontal="center" readingOrder="0" vertical="bottom"/>
    </xf>
    <xf borderId="0" fillId="15" fontId="31" numFmtId="0" xfId="0" applyAlignment="1" applyFont="1">
      <alignment horizontal="center" readingOrder="0" vertical="bottom"/>
    </xf>
    <xf borderId="40" fillId="11" fontId="31" numFmtId="0" xfId="0" applyAlignment="1" applyBorder="1" applyFont="1">
      <alignment horizontal="center" readingOrder="0" vertical="bottom"/>
    </xf>
    <xf borderId="240" fillId="20" fontId="29" numFmtId="0" xfId="0" applyAlignment="1" applyBorder="1" applyFont="1">
      <alignment horizontal="center" vertical="bottom"/>
    </xf>
    <xf borderId="26" fillId="0" fontId="6" numFmtId="0" xfId="0" applyBorder="1" applyFont="1"/>
    <xf borderId="241" fillId="12" fontId="29" numFmtId="0" xfId="0" applyAlignment="1" applyBorder="1" applyFont="1">
      <alignment horizontal="center" vertical="bottom"/>
    </xf>
    <xf borderId="241" fillId="8" fontId="34" numFmtId="0" xfId="0" applyAlignment="1" applyBorder="1" applyFont="1">
      <alignment horizontal="center" vertical="bottom"/>
    </xf>
    <xf borderId="240" fillId="11" fontId="126" numFmtId="46" xfId="0" applyAlignment="1" applyBorder="1" applyFont="1" applyNumberFormat="1">
      <alignment horizontal="center" vertical="bottom"/>
    </xf>
    <xf borderId="24" fillId="2" fontId="107" numFmtId="0" xfId="0" applyAlignment="1" applyBorder="1" applyFont="1">
      <alignment readingOrder="0" vertical="bottom"/>
    </xf>
    <xf borderId="2" fillId="15" fontId="132" numFmtId="199" xfId="0" applyAlignment="1" applyBorder="1" applyFont="1" applyNumberFormat="1">
      <alignment horizontal="center" readingOrder="0"/>
    </xf>
    <xf borderId="0" fillId="15" fontId="132" numFmtId="199" xfId="0" applyAlignment="1" applyFont="1" applyNumberFormat="1">
      <alignment horizontal="center" readingOrder="0"/>
    </xf>
    <xf borderId="29" fillId="15" fontId="29" numFmtId="0" xfId="0" applyAlignment="1" applyBorder="1" applyFont="1">
      <alignment horizontal="center" vertical="bottom"/>
    </xf>
    <xf borderId="2" fillId="8" fontId="133" numFmtId="3" xfId="0" applyAlignment="1" applyBorder="1" applyFont="1" applyNumberFormat="1">
      <alignment horizontal="center" readingOrder="0"/>
    </xf>
    <xf borderId="0" fillId="8" fontId="133" numFmtId="3" xfId="0" applyAlignment="1" applyFont="1" applyNumberFormat="1">
      <alignment horizontal="center" readingOrder="0"/>
    </xf>
    <xf borderId="4" fillId="15" fontId="29" numFmtId="0" xfId="0" applyAlignment="1" applyBorder="1" applyFont="1">
      <alignment horizontal="center" vertical="bottom"/>
    </xf>
    <xf borderId="2" fillId="8" fontId="61" numFmtId="2" xfId="0" applyBorder="1" applyFont="1" applyNumberFormat="1"/>
    <xf borderId="0" fillId="8" fontId="61" numFmtId="2" xfId="0" applyFont="1" applyNumberFormat="1"/>
    <xf borderId="28" fillId="8" fontId="61" numFmtId="2" xfId="0" applyBorder="1" applyFont="1" applyNumberFormat="1"/>
    <xf borderId="2" fillId="8" fontId="134" numFmtId="46" xfId="0" applyBorder="1" applyFont="1" applyNumberFormat="1"/>
    <xf borderId="0" fillId="8" fontId="134" numFmtId="0" xfId="0" applyFont="1"/>
    <xf borderId="26" fillId="15" fontId="29" numFmtId="0" xfId="0" applyAlignment="1" applyBorder="1" applyFont="1">
      <alignment horizontal="center" vertical="bottom"/>
    </xf>
    <xf borderId="29" fillId="15" fontId="29" numFmtId="9" xfId="0" applyAlignment="1" applyBorder="1" applyFont="1" applyNumberFormat="1">
      <alignment horizontal="center" vertical="bottom"/>
    </xf>
    <xf borderId="34" fillId="8" fontId="133" numFmtId="2" xfId="0" applyAlignment="1" applyBorder="1" applyFont="1" applyNumberFormat="1">
      <alignment horizontal="center" readingOrder="0"/>
    </xf>
    <xf borderId="0" fillId="8" fontId="133" numFmtId="1" xfId="0" applyAlignment="1" applyFont="1" applyNumberFormat="1">
      <alignment horizontal="center" readingOrder="0"/>
    </xf>
    <xf borderId="4" fillId="15" fontId="29" numFmtId="9" xfId="0" applyAlignment="1" applyBorder="1" applyFont="1" applyNumberFormat="1">
      <alignment horizontal="center" vertical="bottom"/>
    </xf>
    <xf borderId="2" fillId="8" fontId="135" numFmtId="0" xfId="0" applyAlignment="1" applyBorder="1" applyFont="1">
      <alignment readingOrder="0"/>
    </xf>
    <xf borderId="26" fillId="15" fontId="29" numFmtId="9" xfId="0" applyAlignment="1" applyBorder="1" applyFont="1" applyNumberFormat="1">
      <alignment horizontal="center" vertical="bottom"/>
    </xf>
    <xf borderId="0" fillId="2" fontId="107" numFmtId="0" xfId="0" applyAlignment="1" applyFont="1">
      <alignment readingOrder="0" vertical="bottom"/>
    </xf>
    <xf borderId="25" fillId="12" fontId="29" numFmtId="0" xfId="0" applyAlignment="1" applyBorder="1" applyFont="1">
      <alignment horizontal="center" vertical="bottom"/>
    </xf>
    <xf borderId="25" fillId="12" fontId="29" numFmtId="9" xfId="0" applyAlignment="1" applyBorder="1" applyFont="1" applyNumberFormat="1">
      <alignment horizontal="center" vertical="bottom"/>
    </xf>
    <xf borderId="34" fillId="12" fontId="13" numFmtId="0" xfId="0" applyAlignment="1" applyBorder="1" applyFont="1">
      <alignment vertical="bottom"/>
    </xf>
    <xf borderId="37" fillId="11" fontId="31" numFmtId="0" xfId="0" applyAlignment="1" applyBorder="1" applyFont="1">
      <alignment vertical="bottom"/>
    </xf>
    <xf borderId="37" fillId="11" fontId="31" numFmtId="49" xfId="0" applyAlignment="1" applyBorder="1" applyFont="1" applyNumberFormat="1">
      <alignment vertical="bottom"/>
    </xf>
    <xf borderId="29" fillId="11" fontId="31" numFmtId="49" xfId="0" applyAlignment="1" applyBorder="1" applyFont="1" applyNumberFormat="1">
      <alignment vertical="bottom"/>
    </xf>
    <xf borderId="28" fillId="12" fontId="29" numFmtId="0" xfId="0" applyAlignment="1" applyBorder="1" applyFont="1">
      <alignment horizontal="center" vertical="bottom"/>
    </xf>
    <xf borderId="28" fillId="12" fontId="13" numFmtId="0" xfId="0" applyAlignment="1" applyBorder="1" applyFont="1">
      <alignment vertical="bottom"/>
    </xf>
    <xf borderId="28" fillId="11" fontId="31" numFmtId="0" xfId="0" applyAlignment="1" applyBorder="1" applyFont="1">
      <alignment horizontal="center" vertical="bottom"/>
    </xf>
    <xf borderId="34" fillId="10" fontId="13" numFmtId="0" xfId="0" applyAlignment="1" applyBorder="1" applyFont="1">
      <alignment vertical="bottom"/>
    </xf>
    <xf borderId="34" fillId="10" fontId="34" numFmtId="0" xfId="0" applyAlignment="1" applyBorder="1" applyFont="1">
      <alignment horizontal="center" vertical="bottom"/>
    </xf>
    <xf borderId="29" fillId="9" fontId="31" numFmtId="0" xfId="0" applyAlignment="1" applyBorder="1" applyFont="1">
      <alignment vertical="bottom"/>
    </xf>
    <xf borderId="28" fillId="10" fontId="13" numFmtId="0" xfId="0" applyAlignment="1" applyBorder="1" applyFont="1">
      <alignment vertical="bottom"/>
    </xf>
    <xf borderId="28" fillId="9" fontId="31" numFmtId="0" xfId="0" applyAlignment="1" applyBorder="1" applyFont="1">
      <alignment horizontal="center" vertical="bottom"/>
    </xf>
    <xf borderId="34" fillId="8" fontId="13" numFmtId="0" xfId="0" applyAlignment="1" applyBorder="1" applyFont="1">
      <alignment vertical="bottom"/>
    </xf>
    <xf borderId="34" fillId="8" fontId="34" numFmtId="0" xfId="0" applyAlignment="1" applyBorder="1" applyFont="1">
      <alignment horizontal="center" vertical="bottom"/>
    </xf>
    <xf borderId="37" fillId="15" fontId="31" numFmtId="0" xfId="0" applyAlignment="1" applyBorder="1" applyFont="1">
      <alignment vertical="bottom"/>
    </xf>
    <xf borderId="34" fillId="8" fontId="13" numFmtId="0" xfId="0" applyAlignment="1" applyBorder="1" applyFont="1">
      <alignment vertical="bottom"/>
    </xf>
    <xf borderId="34" fillId="15" fontId="31" numFmtId="0" xfId="0" applyAlignment="1" applyBorder="1" applyFont="1">
      <alignment horizontal="center" vertical="bottom"/>
    </xf>
    <xf borderId="29" fillId="15" fontId="31" numFmtId="0" xfId="0" applyAlignment="1" applyBorder="1" applyFont="1">
      <alignment vertical="bottom"/>
    </xf>
    <xf borderId="28" fillId="8" fontId="29" numFmtId="0" xfId="0" applyAlignment="1" applyBorder="1" applyFont="1">
      <alignment horizontal="center" vertical="bottom"/>
    </xf>
    <xf borderId="28" fillId="8" fontId="13" numFmtId="0" xfId="0" applyAlignment="1" applyBorder="1" applyFont="1">
      <alignment vertical="bottom"/>
    </xf>
    <xf borderId="28" fillId="15" fontId="31" numFmtId="0" xfId="0" applyAlignment="1" applyBorder="1" applyFont="1">
      <alignment horizontal="center" vertical="bottom"/>
    </xf>
    <xf borderId="34" fillId="14" fontId="13" numFmtId="0" xfId="0" applyAlignment="1" applyBorder="1" applyFont="1">
      <alignment vertical="bottom"/>
    </xf>
    <xf borderId="34" fillId="14" fontId="34" numFmtId="0" xfId="0" applyAlignment="1" applyBorder="1" applyFont="1">
      <alignment horizontal="center" vertical="bottom"/>
    </xf>
    <xf borderId="29" fillId="13" fontId="31" numFmtId="0" xfId="0" applyAlignment="1" applyBorder="1" applyFont="1">
      <alignment vertical="bottom"/>
    </xf>
    <xf borderId="28" fillId="14" fontId="29" numFmtId="0" xfId="0" applyAlignment="1" applyBorder="1" applyFont="1">
      <alignment horizontal="center" vertical="bottom"/>
    </xf>
    <xf borderId="28" fillId="14" fontId="13" numFmtId="0" xfId="0" applyAlignment="1" applyBorder="1" applyFont="1">
      <alignment vertical="bottom"/>
    </xf>
    <xf borderId="28" fillId="13" fontId="31" numFmtId="0" xfId="0" applyAlignment="1" applyBorder="1" applyFont="1">
      <alignment horizontal="center" vertical="bottom"/>
    </xf>
    <xf borderId="34" fillId="17" fontId="13" numFmtId="0" xfId="0" applyAlignment="1" applyBorder="1" applyFont="1">
      <alignment vertical="bottom"/>
    </xf>
    <xf borderId="34" fillId="17" fontId="13" numFmtId="0" xfId="0" applyAlignment="1" applyBorder="1" applyFont="1">
      <alignment vertical="bottom"/>
    </xf>
    <xf borderId="37" fillId="16" fontId="31" numFmtId="49" xfId="0" applyAlignment="1" applyBorder="1" applyFont="1" applyNumberFormat="1">
      <alignment vertical="bottom"/>
    </xf>
    <xf borderId="28" fillId="17" fontId="13" numFmtId="0" xfId="0" applyAlignment="1" applyBorder="1" applyFont="1">
      <alignment vertical="bottom"/>
    </xf>
    <xf borderId="28" fillId="16" fontId="31" numFmtId="0" xfId="0" applyAlignment="1" applyBorder="1" applyFont="1">
      <alignment horizontal="center" vertical="bottom"/>
    </xf>
    <xf borderId="34" fillId="18" fontId="13" numFmtId="0" xfId="0" applyAlignment="1" applyBorder="1" applyFont="1">
      <alignment vertical="bottom"/>
    </xf>
    <xf borderId="34" fillId="18" fontId="34" numFmtId="0" xfId="0" applyAlignment="1" applyBorder="1" applyFont="1">
      <alignment horizontal="center" vertical="bottom"/>
    </xf>
    <xf borderId="29" fillId="4" fontId="31" numFmtId="0" xfId="0" applyAlignment="1" applyBorder="1" applyFont="1">
      <alignment vertical="bottom"/>
    </xf>
    <xf borderId="28" fillId="18" fontId="13" numFmtId="0" xfId="0" applyAlignment="1" applyBorder="1" applyFont="1">
      <alignment vertical="bottom"/>
    </xf>
    <xf borderId="34" fillId="20" fontId="13" numFmtId="0" xfId="0" applyAlignment="1" applyBorder="1" applyFont="1">
      <alignment vertical="bottom"/>
    </xf>
    <xf borderId="34" fillId="20" fontId="34" numFmtId="0" xfId="0" applyAlignment="1" applyBorder="1" applyFont="1">
      <alignment horizontal="center" vertical="bottom"/>
    </xf>
    <xf borderId="40" fillId="20" fontId="13" numFmtId="0" xfId="0" applyAlignment="1" applyBorder="1" applyFont="1">
      <alignment vertical="bottom"/>
    </xf>
    <xf borderId="37" fillId="19" fontId="31" numFmtId="0" xfId="0" applyAlignment="1" applyBorder="1" applyFont="1">
      <alignment vertical="bottom"/>
    </xf>
    <xf borderId="28" fillId="20" fontId="13" numFmtId="0" xfId="0" applyAlignment="1" applyBorder="1" applyFont="1">
      <alignment vertical="bottom"/>
    </xf>
    <xf borderId="34" fillId="22" fontId="13" numFmtId="0" xfId="0" applyAlignment="1" applyBorder="1" applyFont="1">
      <alignment vertical="bottom"/>
    </xf>
    <xf borderId="37" fillId="21" fontId="31" numFmtId="0" xfId="0" applyAlignment="1" applyBorder="1" applyFont="1">
      <alignment vertical="bottom"/>
    </xf>
    <xf borderId="29" fillId="21" fontId="31" numFmtId="0" xfId="0" applyAlignment="1" applyBorder="1" applyFont="1">
      <alignment vertical="bottom"/>
    </xf>
    <xf borderId="28" fillId="22" fontId="13" numFmtId="0" xfId="0" applyAlignment="1" applyBorder="1" applyFont="1">
      <alignment vertical="bottom"/>
    </xf>
    <xf borderId="44" fillId="2" fontId="13" numFmtId="0" xfId="0" applyAlignment="1" applyBorder="1" applyFont="1">
      <alignment vertical="bottom"/>
    </xf>
    <xf borderId="34" fillId="24" fontId="13" numFmtId="0" xfId="0" applyAlignment="1" applyBorder="1" applyFont="1">
      <alignment vertical="bottom"/>
    </xf>
    <xf borderId="34" fillId="24" fontId="29" numFmtId="0" xfId="0" applyAlignment="1" applyBorder="1" applyFont="1">
      <alignment horizontal="center" vertical="bottom"/>
    </xf>
    <xf borderId="36" fillId="2" fontId="13" numFmtId="0" xfId="0" applyAlignment="1" applyBorder="1" applyFont="1">
      <alignment vertical="bottom"/>
    </xf>
    <xf borderId="28" fillId="23" fontId="31" numFmtId="0" xfId="0" applyAlignment="1" applyBorder="1" applyFont="1">
      <alignment vertical="bottom"/>
    </xf>
    <xf borderId="28" fillId="24" fontId="29" numFmtId="0" xfId="0" applyAlignment="1" applyBorder="1" applyFont="1">
      <alignment horizontal="center" vertical="bottom"/>
    </xf>
    <xf borderId="28" fillId="24" fontId="13" numFmtId="0" xfId="0" applyAlignment="1" applyBorder="1" applyFont="1">
      <alignment vertical="bottom"/>
    </xf>
    <xf borderId="28" fillId="23" fontId="31" numFmtId="0" xfId="0" applyAlignment="1" applyBorder="1" applyFont="1">
      <alignment horizontal="center" vertical="bottom"/>
    </xf>
    <xf borderId="34" fillId="26" fontId="13" numFmtId="0" xfId="0" applyAlignment="1" applyBorder="1" applyFont="1">
      <alignment vertical="bottom"/>
    </xf>
    <xf borderId="34" fillId="25" fontId="31" numFmtId="49" xfId="0" applyAlignment="1" applyBorder="1" applyFont="1" applyNumberFormat="1">
      <alignment vertical="bottom"/>
    </xf>
    <xf borderId="28" fillId="25" fontId="31" numFmtId="49" xfId="0" applyAlignment="1" applyBorder="1" applyFont="1" applyNumberFormat="1">
      <alignment vertical="bottom"/>
    </xf>
    <xf borderId="28" fillId="26" fontId="29" numFmtId="0" xfId="0" applyAlignment="1" applyBorder="1" applyFont="1">
      <alignment horizontal="center" vertical="bottom"/>
    </xf>
    <xf borderId="28" fillId="26" fontId="13" numFmtId="0" xfId="0" applyAlignment="1" applyBorder="1" applyFont="1">
      <alignment vertical="bottom"/>
    </xf>
    <xf borderId="28" fillId="25" fontId="31" numFmtId="0" xfId="0" applyAlignment="1" applyBorder="1" applyFont="1">
      <alignment horizontal="center" vertical="bottom"/>
    </xf>
    <xf borderId="34" fillId="31" fontId="13" numFmtId="0" xfId="0" applyAlignment="1" applyBorder="1" applyFont="1">
      <alignment vertical="bottom"/>
    </xf>
    <xf borderId="34" fillId="30" fontId="31" numFmtId="0" xfId="0" applyAlignment="1" applyBorder="1" applyFont="1">
      <alignment horizontal="center" vertical="bottom"/>
    </xf>
    <xf borderId="28" fillId="30" fontId="31" numFmtId="49" xfId="0" applyAlignment="1" applyBorder="1" applyFont="1" applyNumberFormat="1">
      <alignment vertical="bottom"/>
    </xf>
    <xf borderId="28" fillId="31" fontId="29" numFmtId="0" xfId="0" applyAlignment="1" applyBorder="1" applyFont="1">
      <alignment horizontal="center" vertical="bottom"/>
    </xf>
    <xf borderId="28" fillId="31" fontId="13" numFmtId="0" xfId="0" applyAlignment="1" applyBorder="1" applyFont="1">
      <alignment vertical="bottom"/>
    </xf>
    <xf borderId="28" fillId="30" fontId="31" numFmtId="0" xfId="0" applyAlignment="1" applyBorder="1" applyFont="1">
      <alignment horizontal="center" vertical="bottom"/>
    </xf>
    <xf borderId="34" fillId="28" fontId="29" numFmtId="0" xfId="0" applyAlignment="1" applyBorder="1" applyFont="1">
      <alignment horizontal="center" vertical="bottom"/>
    </xf>
    <xf borderId="34" fillId="28" fontId="13" numFmtId="0" xfId="0" applyAlignment="1" applyBorder="1" applyFont="1">
      <alignment vertical="bottom"/>
    </xf>
    <xf borderId="34" fillId="28" fontId="29" numFmtId="0" xfId="0" applyAlignment="1" applyBorder="1" applyFont="1">
      <alignment horizontal="center" vertical="bottom"/>
    </xf>
    <xf borderId="244" fillId="2" fontId="13" numFmtId="0" xfId="0" applyAlignment="1" applyBorder="1" applyFont="1">
      <alignment horizontal="center" vertical="bottom"/>
    </xf>
    <xf borderId="0" fillId="2" fontId="13" numFmtId="0" xfId="0" applyAlignment="1" applyFont="1">
      <alignment horizontal="center" vertical="bottom"/>
    </xf>
  </cellXfs>
  <cellStyles count="1">
    <cellStyle xfId="0" name="Normal" builtinId="0"/>
  </cellStyles>
  <dxfs count="62">
    <dxf>
      <font>
        <color rgb="FF000000"/>
      </font>
      <fill>
        <patternFill patternType="solid">
          <fgColor rgb="FF3C78D8"/>
          <bgColor rgb="FF3C78D8"/>
        </patternFill>
      </fill>
      <border/>
    </dxf>
    <dxf>
      <font>
        <b/>
        <u/>
      </font>
      <fill>
        <patternFill patternType="solid">
          <fgColor rgb="FF00FFFF"/>
          <bgColor rgb="FF00FFFF"/>
        </patternFill>
      </fill>
      <border/>
    </dxf>
    <dxf>
      <font/>
      <fill>
        <patternFill patternType="solid">
          <fgColor rgb="FF93C47D"/>
          <bgColor rgb="FF93C47D"/>
        </patternFill>
      </fill>
      <border/>
    </dxf>
    <dxf>
      <font/>
      <fill>
        <patternFill patternType="solid">
          <fgColor rgb="FFE06666"/>
          <bgColor rgb="FFE06666"/>
        </patternFill>
      </fill>
      <border/>
    </dxf>
    <dxf>
      <font>
        <color rgb="FF000000"/>
      </font>
      <fill>
        <patternFill patternType="solid">
          <fgColor rgb="FFF6B26B"/>
          <bgColor rgb="FFF6B26B"/>
        </patternFill>
      </fill>
      <border/>
    </dxf>
    <dxf>
      <font/>
      <fill>
        <patternFill patternType="solid">
          <fgColor rgb="FFFFD966"/>
          <bgColor rgb="FFFFD966"/>
        </patternFill>
      </fill>
      <border/>
    </dxf>
    <dxf>
      <font/>
      <fill>
        <patternFill patternType="solid">
          <fgColor rgb="FF76A5AF"/>
          <bgColor rgb="FF76A5AF"/>
        </patternFill>
      </fill>
      <border/>
    </dxf>
    <dxf>
      <font/>
      <fill>
        <patternFill patternType="solid">
          <fgColor rgb="FF6FA8DC"/>
          <bgColor rgb="FF6FA8DC"/>
        </patternFill>
      </fill>
      <border/>
    </dxf>
    <dxf>
      <font/>
      <fill>
        <patternFill patternType="solid">
          <fgColor rgb="FFC27BA0"/>
          <bgColor rgb="FFC27BA0"/>
        </patternFill>
      </fill>
      <border/>
    </dxf>
    <dxf>
      <font/>
      <fill>
        <patternFill patternType="solid">
          <fgColor rgb="FF8E7CC3"/>
          <bgColor rgb="FF8E7CC3"/>
        </patternFill>
      </fill>
      <border/>
    </dxf>
    <dxf>
      <font/>
      <fill>
        <patternFill patternType="solid">
          <fgColor rgb="FFCCCCCC"/>
          <bgColor rgb="FFCCCCCC"/>
        </patternFill>
      </fill>
      <border/>
    </dxf>
    <dxf>
      <font>
        <color rgb="FF000000"/>
      </font>
      <fill>
        <patternFill patternType="solid">
          <fgColor rgb="FFCC4125"/>
          <bgColor rgb="FFCC4125"/>
        </patternFill>
      </fill>
      <border/>
    </dxf>
    <dxf>
      <font/>
      <fill>
        <patternFill patternType="solid">
          <fgColor rgb="FF62A743"/>
          <bgColor rgb="FF62A743"/>
        </patternFill>
      </fill>
      <border/>
    </dxf>
    <dxf>
      <font>
        <color rgb="FF666666"/>
      </font>
      <fill>
        <patternFill patternType="none"/>
      </fill>
      <border/>
    </dxf>
    <dxf>
      <font>
        <b/>
        <u/>
        <color rgb="FF000000"/>
      </font>
      <fill>
        <patternFill patternType="none"/>
      </fill>
      <border/>
    </dxf>
    <dxf>
      <font>
        <color rgb="FF000000"/>
      </font>
      <fill>
        <patternFill patternType="none"/>
      </fill>
      <border/>
    </dxf>
    <dxf>
      <font>
        <b/>
        <i/>
        <u/>
        <color rgb="FFFFFFFF"/>
      </font>
      <fill>
        <patternFill patternType="solid">
          <fgColor rgb="FF5DA282"/>
          <bgColor rgb="FF5DA282"/>
        </patternFill>
      </fill>
      <border/>
    </dxf>
    <dxf>
      <font>
        <b/>
        <u/>
      </font>
      <fill>
        <patternFill patternType="none"/>
      </fill>
      <border/>
    </dxf>
    <dxf>
      <font>
        <b/>
        <color rgb="FFCFFEBE"/>
      </font>
      <fill>
        <patternFill patternType="solid">
          <fgColor rgb="FF62A743"/>
          <bgColor rgb="FF62A743"/>
        </patternFill>
      </fill>
      <border/>
    </dxf>
    <dxf>
      <font>
        <b/>
        <color rgb="FF000000"/>
      </font>
      <fill>
        <patternFill patternType="solid">
          <fgColor rgb="FFF1C232"/>
          <bgColor rgb="FFF1C232"/>
        </patternFill>
      </fill>
      <border/>
    </dxf>
    <dxf>
      <font>
        <b/>
      </font>
      <fill>
        <patternFill patternType="solid">
          <fgColor rgb="FFFF0000"/>
          <bgColor rgb="FFFF0000"/>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A2F8FF"/>
          <bgColor rgb="FFA2F8FF"/>
        </patternFill>
      </fill>
      <border/>
    </dxf>
    <dxf>
      <font>
        <b/>
        <u/>
      </font>
      <fill>
        <patternFill patternType="solid">
          <fgColor rgb="FFA2C4C9"/>
          <bgColor rgb="FFA2C4C9"/>
        </patternFill>
      </fill>
      <border/>
    </dxf>
    <dxf>
      <font>
        <b/>
        <u/>
      </font>
      <fill>
        <patternFill patternType="solid">
          <fgColor rgb="FFB6D7A8"/>
          <bgColor rgb="FFB6D7A8"/>
        </patternFill>
      </fill>
      <border/>
    </dxf>
    <dxf>
      <font>
        <b/>
        <u/>
      </font>
      <fill>
        <patternFill patternType="solid">
          <fgColor rgb="FFFFE599"/>
          <bgColor rgb="FFFFE599"/>
        </patternFill>
      </fill>
      <border/>
    </dxf>
    <dxf>
      <font>
        <b/>
        <u/>
      </font>
      <fill>
        <patternFill patternType="solid">
          <fgColor rgb="FFF9CB9C"/>
          <bgColor rgb="FFF9CB9C"/>
        </patternFill>
      </fill>
      <border/>
    </dxf>
    <dxf>
      <font>
        <b/>
        <u/>
      </font>
      <fill>
        <patternFill patternType="solid">
          <fgColor rgb="FFEA9999"/>
          <bgColor rgb="FFEA9999"/>
        </patternFill>
      </fill>
      <border/>
    </dxf>
    <dxf>
      <font>
        <b/>
        <i/>
      </font>
      <fill>
        <patternFill patternType="none"/>
      </fill>
      <border/>
    </dxf>
    <dxf>
      <font/>
      <fill>
        <patternFill patternType="solid">
          <fgColor rgb="FFB7E1CD"/>
          <bgColor rgb="FFB7E1CD"/>
        </patternFill>
      </fill>
      <border/>
    </dxf>
    <dxf>
      <font>
        <color rgb="FFFFFFFF"/>
      </font>
      <fill>
        <patternFill patternType="solid">
          <fgColor rgb="FF274E13"/>
          <bgColor rgb="FF274E13"/>
        </patternFill>
      </fill>
      <border/>
    </dxf>
    <dxf>
      <font/>
      <fill>
        <patternFill patternType="solid">
          <fgColor rgb="FFEA9999"/>
          <bgColor rgb="FFEA9999"/>
        </patternFill>
      </fill>
      <border/>
    </dxf>
    <dxf>
      <font/>
      <fill>
        <patternFill patternType="solid">
          <fgColor rgb="FFD9D9D9"/>
          <bgColor rgb="FFD9D9D9"/>
        </patternFill>
      </fill>
      <border/>
    </dxf>
    <dxf>
      <font/>
      <fill>
        <patternFill patternType="solid">
          <fgColor rgb="FF00FFFF"/>
          <bgColor rgb="FF00FFFF"/>
        </patternFill>
      </fill>
      <border/>
    </dxf>
    <dxf>
      <font/>
      <fill>
        <patternFill patternType="solid">
          <fgColor rgb="FF4A86E8"/>
          <bgColor rgb="FF4A86E8"/>
        </patternFill>
      </fill>
      <border/>
    </dxf>
    <dxf>
      <font/>
      <fill>
        <patternFill patternType="solid">
          <fgColor rgb="FF76ED41"/>
          <bgColor rgb="FF76ED41"/>
        </patternFill>
      </fill>
      <border/>
    </dxf>
    <dxf>
      <font/>
      <fill>
        <patternFill patternType="solid">
          <fgColor rgb="FFD2FF00"/>
          <bgColor rgb="FFD2FF00"/>
        </patternFill>
      </fill>
      <border/>
    </dxf>
    <dxf>
      <font/>
      <fill>
        <patternFill patternType="solid">
          <fgColor rgb="FFFFE100"/>
          <bgColor rgb="FFFFE100"/>
        </patternFill>
      </fill>
      <border/>
    </dxf>
    <dxf>
      <font/>
      <fill>
        <patternFill patternType="solid">
          <fgColor rgb="FFFF6D01"/>
          <bgColor rgb="FFFF6D01"/>
        </patternFill>
      </fill>
      <border/>
    </dxf>
    <dxf>
      <font>
        <color rgb="FFFFFFFF"/>
      </font>
      <fill>
        <patternFill patternType="solid">
          <fgColor rgb="FF990000"/>
          <bgColor rgb="FF990000"/>
        </patternFill>
      </fill>
      <border/>
    </dxf>
    <dxf>
      <font/>
      <fill>
        <patternFill patternType="solid">
          <fgColor rgb="FFB4A7D6"/>
          <bgColor rgb="FFB4A7D6"/>
        </patternFill>
      </fill>
      <border/>
    </dxf>
    <dxf>
      <font/>
      <fill>
        <patternFill patternType="solid">
          <fgColor rgb="FF6AA84F"/>
          <bgColor rgb="FF6AA84F"/>
        </patternFill>
      </fill>
      <border/>
    </dxf>
    <dxf>
      <font/>
      <fill>
        <patternFill patternType="solid">
          <fgColor rgb="FFF9CB9C"/>
          <bgColor rgb="FFF9CB9C"/>
        </patternFill>
      </fill>
      <border/>
    </dxf>
    <dxf>
      <font/>
      <fill>
        <patternFill patternType="solid">
          <fgColor rgb="FFFFE599"/>
          <bgColor rgb="FFFFE599"/>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9FC5E8"/>
          <bgColor rgb="FF9FC5E8"/>
        </patternFill>
      </fill>
      <border/>
    </dxf>
    <dxf>
      <font/>
      <fill>
        <patternFill patternType="solid">
          <fgColor rgb="FFD5A6BD"/>
          <bgColor rgb="FFD5A6BD"/>
        </patternFill>
      </fill>
      <border/>
    </dxf>
    <dxf>
      <font/>
      <fill>
        <patternFill patternType="solid">
          <fgColor rgb="FFDD7E6B"/>
          <bgColor rgb="FFDD7E6B"/>
        </patternFill>
      </fill>
      <border/>
    </dxf>
    <dxf>
      <font/>
      <fill>
        <patternFill patternType="solid">
          <fgColor rgb="FF6D9EEB"/>
          <bgColor rgb="FF6D9EEB"/>
        </patternFill>
      </fill>
      <border/>
    </dxf>
    <dxf>
      <font>
        <color rgb="FFFFFFFF"/>
      </font>
      <fill>
        <patternFill patternType="solid">
          <fgColor rgb="FFFFFFFF"/>
          <bgColor rgb="FFFFFFFF"/>
        </patternFill>
      </fill>
      <border/>
    </dxf>
    <dxf>
      <font/>
      <fill>
        <patternFill patternType="solid">
          <fgColor rgb="FFE8F0FE"/>
          <bgColor rgb="FFE8F0FE"/>
        </patternFill>
      </fill>
      <border/>
    </dxf>
    <dxf>
      <font/>
      <fill>
        <patternFill patternType="solid">
          <fgColor rgb="FFFFE6DD"/>
          <bgColor rgb="FFFFE6DD"/>
        </patternFill>
      </fill>
      <border/>
    </dxf>
    <dxf>
      <font/>
      <fill>
        <patternFill patternType="solid">
          <fgColor rgb="FFFFF2CC"/>
          <bgColor rgb="FFFFF2CC"/>
        </patternFill>
      </fill>
      <border/>
    </dxf>
    <dxf>
      <font/>
      <fill>
        <patternFill patternType="solid">
          <fgColor rgb="FFFFD666"/>
          <bgColor rgb="FFFFD666"/>
        </patternFill>
      </fill>
      <border/>
    </dxf>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3D85C6"/>
          <bgColor rgb="FF3D85C6"/>
        </patternFill>
      </fill>
      <border/>
    </dxf>
    <dxf>
      <font>
        <u/>
        <color rgb="FF000000"/>
      </font>
      <fill>
        <patternFill patternType="none"/>
      </fill>
      <border/>
    </dxf>
    <dxf>
      <font/>
      <fill>
        <patternFill patternType="solid">
          <fgColor rgb="FFFFE6DD"/>
          <bgColor rgb="FFFFE6DD"/>
        </patternFill>
      </fill>
      <border/>
    </dxf>
  </dxfs>
  <tableStyles count="4">
    <tableStyle count="2" pivot="0" name="Goldbox Path-style">
      <tableStyleElement dxfId="57" type="firstRowStripe"/>
      <tableStyleElement dxfId="58" type="secondRowStripe"/>
    </tableStyle>
    <tableStyle count="2" pivot="0" name="Elites Spawncap-style">
      <tableStyleElement dxfId="61" type="firstRowStripe"/>
      <tableStyleElement dxfId="57" type="secondRowStripe"/>
    </tableStyle>
    <tableStyle count="2" pivot="0" name="Elites Spawncap-style 2">
      <tableStyleElement dxfId="57" type="firstRowStripe"/>
      <tableStyleElement dxfId="61" type="secondRowStripe"/>
    </tableStyle>
    <tableStyle count="2" pivot="0" name="Elites Spawncap-style 3">
      <tableStyleElement dxfId="57" type="firstRowStripe"/>
      <tableStyleElement dxfId="6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9</xdr:row>
      <xdr:rowOff>0</xdr:rowOff>
    </xdr:from>
    <xdr:ext cx="6858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11</xdr:row>
      <xdr:rowOff>0</xdr:rowOff>
    </xdr:from>
    <xdr:ext cx="15716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14</xdr:row>
      <xdr:rowOff>0</xdr:rowOff>
    </xdr:from>
    <xdr:ext cx="400050"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S28:T58" displayName="Table_1" name="Table_1" id="1">
  <tableColumns count="2">
    <tableColumn name="Column1" id="1"/>
    <tableColumn name="Column2" id="2"/>
  </tableColumns>
  <tableStyleInfo name="Goldbox Path-style" showColumnStripes="0" showFirstColumn="1" showLastColumn="1" showRowStripes="1"/>
</table>
</file>

<file path=xl/tables/table2.xml><?xml version="1.0" encoding="utf-8"?>
<table xmlns="http://schemas.openxmlformats.org/spreadsheetml/2006/main" headerRowCount="0" ref="A18:W18" displayName="Table_2" name="Table_2" id="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Elites Spawncap-style" showColumnStripes="0" showFirstColumn="1" showLastColumn="1" showRowStripes="1"/>
</table>
</file>

<file path=xl/tables/table3.xml><?xml version="1.0" encoding="utf-8"?>
<table xmlns="http://schemas.openxmlformats.org/spreadsheetml/2006/main" headerRowCount="0" ref="A19:A24" displayName="Table_3" name="Table_3" id="3">
  <tableColumns count="1">
    <tableColumn name="Column1" id="1"/>
  </tableColumns>
  <tableStyleInfo name="Elites Spawncap-style 2" showColumnStripes="0" showFirstColumn="1" showLastColumn="1" showRowStripes="1"/>
</table>
</file>

<file path=xl/tables/table4.xml><?xml version="1.0" encoding="utf-8"?>
<table xmlns="http://schemas.openxmlformats.org/spreadsheetml/2006/main" headerRowCount="0" ref="A26" displayName="Table_4" name="Table_4" id="4">
  <tableColumns count="1">
    <tableColumn name="Column1" id="1"/>
  </tableColumns>
  <tableStyleInfo name="Elites Spawncap-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r8p3rO6RD7KEepG_8HmQNQlVRl89Ot_Mkao3QwcF7sA/edit?gid=0" TargetMode="External"/><Relationship Id="rId3" Type="http://schemas.openxmlformats.org/officeDocument/2006/relationships/hyperlink" Target="https://docs.google.com/spreadsheets/d/1eCPPuQOE3Pyh8HhnApEMK3RFIutkUjWd61ppVImwWk8/edit?gid=234968364"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jojOg_XIJCzm1LCYWu2F4KCtErjUIdKuFL1PiKzA0OE/edit" TargetMode="External"/><Relationship Id="rId2" Type="http://schemas.openxmlformats.org/officeDocument/2006/relationships/hyperlink" Target="https://docs.google.com/spreadsheets/d/1huHJMcyg1uRJEeRYqAgWzMc5TodPPplVZEFhwBiIeEs/edit" TargetMode="External"/><Relationship Id="rId3" Type="http://schemas.openxmlformats.org/officeDocument/2006/relationships/hyperlink" Target="https://docs.google.com/spreadsheets/d/1VTRhVyt28cxrjCRcgVkQr2R_u4g9irfJTHy1cfftlIE/edit" TargetMode="External"/><Relationship Id="rId4" Type="http://schemas.openxmlformats.org/officeDocument/2006/relationships/hyperlink" Target="https://docs.google.com/spreadsheets/d/1HMQwNLTvcw7aXmjjL7cXmZSdjAF_62ehWpwDIdjqEGs/edit" TargetMode="External"/><Relationship Id="rId11" Type="http://schemas.openxmlformats.org/officeDocument/2006/relationships/drawing" Target="../drawings/drawing4.xml"/><Relationship Id="rId10" Type="http://schemas.openxmlformats.org/officeDocument/2006/relationships/hyperlink" Target="https://docs.google.com/spreadsheets/d/1NpLNfHLQFsJ_WyMnxP9jMtzg3gVaMfOxydrTUG0YsuM/edit" TargetMode="External"/><Relationship Id="rId9" Type="http://schemas.openxmlformats.org/officeDocument/2006/relationships/hyperlink" Target="https://docs.google.com/spreadsheets/d/1J4UPKzR9MLY_zzM7u7SzmyclgTEYX_PUvBcua4EbsSU/edit" TargetMode="External"/><Relationship Id="rId5" Type="http://schemas.openxmlformats.org/officeDocument/2006/relationships/hyperlink" Target="https://docs.google.com/spreadsheets/d/1Dll0IofJTWYkzhzhRWx1aA-_xtO3i_1iD65nAP6R_Ec/edit" TargetMode="External"/><Relationship Id="rId6" Type="http://schemas.openxmlformats.org/officeDocument/2006/relationships/hyperlink" Target="https://docs.google.com/spreadsheets/d/1H3PYvtIH7kId6WswEeMmrx7u5_g1GlkNPJtJhkASrbs/edit" TargetMode="External"/><Relationship Id="rId7" Type="http://schemas.openxmlformats.org/officeDocument/2006/relationships/hyperlink" Target="https://docs.google.com/spreadsheets/d/19KliigQhAeXztRPa9cSGZ7n9Q-REp4dyqMNI9d-UB0k/edit" TargetMode="External"/><Relationship Id="rId8" Type="http://schemas.openxmlformats.org/officeDocument/2006/relationships/hyperlink" Target="https://docs.google.com/spreadsheets/d/1rOoSY6TK918myJ6Mn6zO4rmUaFbPu6qJnGI17kc9DzQ/edit"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3.xml"/><Relationship Id="rId3" Type="http://schemas.openxmlformats.org/officeDocument/2006/relationships/vmlDrawing" Target="../drawings/vmlDrawing7.vml"/><Relationship Id="rId5"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4.xml"/><Relationship Id="rId3"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5" Type="http://schemas.openxmlformats.org/officeDocument/2006/relationships/table" Target="../tables/table2.xml"/><Relationship Id="rId6" Type="http://schemas.openxmlformats.org/officeDocument/2006/relationships/table" Target="../tables/table3.xml"/><Relationship Id="rId7"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1" max="1" width="3.25"/>
    <col customWidth="1" min="2" max="2" width="6.63"/>
    <col customWidth="1" min="3" max="3" width="10.13"/>
    <col customWidth="1" min="4" max="5" width="16.88"/>
    <col customWidth="1" min="6" max="6" width="3.25"/>
    <col customWidth="1" min="7" max="7" width="24.25"/>
    <col customWidth="1" min="8" max="8" width="22.63"/>
    <col customWidth="1" min="9" max="11" width="20.38"/>
    <col customWidth="1" min="12" max="12" width="3.25"/>
    <col customWidth="1" min="13" max="13" width="140.0"/>
  </cols>
  <sheetData>
    <row r="1">
      <c r="A1" s="1"/>
      <c r="B1" s="1"/>
      <c r="C1" s="1"/>
      <c r="D1" s="1"/>
      <c r="E1" s="1"/>
      <c r="F1" s="1"/>
      <c r="G1" s="1"/>
      <c r="H1" s="1"/>
      <c r="I1" s="1"/>
      <c r="J1" s="1"/>
      <c r="K1" s="1"/>
      <c r="L1" s="1"/>
      <c r="M1" s="1"/>
    </row>
    <row r="2" ht="33.0" customHeight="1">
      <c r="A2" s="1"/>
      <c r="B2" s="2" t="s">
        <v>0</v>
      </c>
      <c r="L2" s="1"/>
      <c r="M2" s="1"/>
    </row>
    <row r="3" ht="14.25" customHeight="1">
      <c r="A3" s="1"/>
      <c r="B3" s="1"/>
      <c r="C3" s="1"/>
      <c r="D3" s="1"/>
      <c r="E3" s="1"/>
      <c r="F3" s="1"/>
      <c r="G3" s="1"/>
      <c r="H3" s="1"/>
      <c r="I3" s="1"/>
      <c r="J3" s="1"/>
      <c r="K3" s="1"/>
      <c r="L3" s="1"/>
      <c r="M3" s="1"/>
    </row>
    <row r="4">
      <c r="A4" s="1"/>
      <c r="B4" s="3" t="str">
        <f>HYPERLINK("https://docs.google.com/spreadsheets/d/165-JujisYPpKi3RWew9O5gptDJ6rgr-71BbyoQafoaU/copy", "Laboratory Initial Link")</f>
        <v>Laboratory Initial Link</v>
      </c>
      <c r="F4" s="1"/>
      <c r="G4" s="4" t="s">
        <v>1</v>
      </c>
      <c r="H4" s="5" t="s">
        <v>2</v>
      </c>
      <c r="I4" s="4" t="s">
        <v>3</v>
      </c>
      <c r="J4" s="4" t="s">
        <v>4</v>
      </c>
      <c r="L4" s="1"/>
      <c r="M4" s="1"/>
    </row>
    <row r="5">
      <c r="A5" s="1"/>
      <c r="F5" s="1"/>
      <c r="L5" s="1"/>
      <c r="M5" s="1"/>
    </row>
    <row r="6">
      <c r="A6" s="1"/>
      <c r="B6" s="1"/>
      <c r="C6" s="1"/>
      <c r="D6" s="1"/>
      <c r="E6" s="1"/>
      <c r="F6" s="1"/>
      <c r="G6" s="6" t="s">
        <v>5</v>
      </c>
      <c r="H6" s="7" t="s">
        <v>6</v>
      </c>
      <c r="I6" s="7" t="s">
        <v>6</v>
      </c>
      <c r="J6" s="8" t="s">
        <v>7</v>
      </c>
      <c r="K6" s="9"/>
      <c r="L6" s="1"/>
      <c r="M6" s="1"/>
    </row>
    <row r="7">
      <c r="A7" s="1"/>
      <c r="B7" s="10" t="s">
        <v>8</v>
      </c>
      <c r="C7" s="11"/>
      <c r="D7" s="11"/>
      <c r="E7" s="11"/>
      <c r="F7" s="1"/>
      <c r="G7" s="6" t="s">
        <v>9</v>
      </c>
      <c r="H7" s="12" t="s">
        <v>10</v>
      </c>
      <c r="I7" s="7" t="s">
        <v>6</v>
      </c>
      <c r="J7" s="13"/>
      <c r="K7" s="9"/>
      <c r="L7" s="1"/>
      <c r="M7" s="1"/>
    </row>
    <row r="8">
      <c r="A8" s="1"/>
      <c r="B8" s="1" t="str">
        <f>IFERROR(__xludf.DUMMYFUNCTION("IMPORTRANGE(""165-JujisYPpKi3RWew9O5gptDJ6rgr-71BbyoQafoaU"", ""'Home Page'!B12:C13"")"),"v2.5.7")</f>
        <v>v2.5.7</v>
      </c>
      <c r="C8" s="1" t="str">
        <f>IFERROR(__xludf.DUMMYFUNCTION("""COMPUTED_VALUE"""),"fix: Add x7 and x8 Boost to Lab Planner")</f>
        <v>fix: Add x7 and x8 Boost to Lab Planner</v>
      </c>
      <c r="D8" s="1"/>
      <c r="E8" s="1"/>
      <c r="F8" s="1"/>
      <c r="G8" s="14" t="s">
        <v>11</v>
      </c>
      <c r="H8" s="12" t="s">
        <v>12</v>
      </c>
      <c r="I8" s="7" t="s">
        <v>6</v>
      </c>
      <c r="J8" s="13" t="s">
        <v>10</v>
      </c>
      <c r="K8" s="9"/>
      <c r="L8" s="1"/>
      <c r="M8" s="1"/>
    </row>
    <row r="9">
      <c r="A9" s="1"/>
      <c r="B9" s="1" t="str">
        <f>IFERROR(__xludf.DUMMYFUNCTION("""COMPUTED_VALUE"""),"v2.5.6")</f>
        <v>v2.5.6</v>
      </c>
      <c r="C9" s="1" t="str">
        <f>IFERROR(__xludf.DUMMYFUNCTION("""COMPUTED_VALUE"""),"fix: Tier List Speed Boost not hidden")</f>
        <v>fix: Tier List Speed Boost not hidden</v>
      </c>
      <c r="D9" s="1"/>
      <c r="E9" s="1"/>
      <c r="F9" s="1"/>
      <c r="G9" s="15" t="s">
        <v>13</v>
      </c>
      <c r="H9" s="7" t="s">
        <v>14</v>
      </c>
      <c r="I9" s="7" t="s">
        <v>14</v>
      </c>
      <c r="J9" s="13"/>
      <c r="K9" s="9"/>
      <c r="L9" s="1"/>
      <c r="M9" s="1"/>
    </row>
    <row r="10">
      <c r="A10" s="1"/>
      <c r="B10" s="1"/>
      <c r="C10" s="1"/>
      <c r="D10" s="1"/>
      <c r="E10" s="1"/>
      <c r="F10" s="1"/>
      <c r="G10" s="15" t="s">
        <v>15</v>
      </c>
      <c r="H10" s="7" t="s">
        <v>16</v>
      </c>
      <c r="I10" s="7" t="s">
        <v>17</v>
      </c>
      <c r="J10" s="13" t="s">
        <v>18</v>
      </c>
      <c r="K10" s="9"/>
      <c r="L10" s="1"/>
      <c r="M10" s="1"/>
    </row>
    <row r="11">
      <c r="A11" s="1"/>
      <c r="B11" s="10" t="s">
        <v>19</v>
      </c>
      <c r="C11" s="11"/>
      <c r="D11" s="11"/>
      <c r="E11" s="11"/>
      <c r="F11" s="1"/>
      <c r="G11" s="15" t="s">
        <v>20</v>
      </c>
      <c r="H11" s="7" t="s">
        <v>21</v>
      </c>
      <c r="I11" s="7" t="s">
        <v>21</v>
      </c>
      <c r="J11" s="13"/>
      <c r="K11" s="9"/>
      <c r="L11" s="1"/>
      <c r="M11" s="1"/>
    </row>
    <row r="12">
      <c r="A12" s="1"/>
      <c r="B12" s="16" t="s">
        <v>22</v>
      </c>
      <c r="C12" s="17" t="s">
        <v>23</v>
      </c>
      <c r="D12" s="18"/>
      <c r="E12" s="18"/>
      <c r="F12" s="1"/>
      <c r="G12" s="15" t="s">
        <v>24</v>
      </c>
      <c r="H12" s="7" t="s">
        <v>25</v>
      </c>
      <c r="I12" s="7" t="s">
        <v>25</v>
      </c>
      <c r="J12" s="13" t="s">
        <v>6</v>
      </c>
      <c r="K12" s="9"/>
      <c r="L12" s="1"/>
      <c r="M12" s="1"/>
    </row>
    <row r="13">
      <c r="A13" s="1"/>
      <c r="B13" s="16" t="s">
        <v>26</v>
      </c>
      <c r="C13" s="17" t="s">
        <v>27</v>
      </c>
      <c r="D13" s="18"/>
      <c r="E13" s="18"/>
      <c r="F13" s="1"/>
      <c r="G13" s="15" t="s">
        <v>28</v>
      </c>
      <c r="H13" s="7" t="s">
        <v>29</v>
      </c>
      <c r="I13" s="7" t="s">
        <v>29</v>
      </c>
      <c r="J13" s="13"/>
      <c r="K13" s="9"/>
      <c r="L13" s="1"/>
      <c r="M13" s="1"/>
    </row>
    <row r="14">
      <c r="A14" s="1"/>
      <c r="B14" s="16" t="s">
        <v>30</v>
      </c>
      <c r="C14" s="17" t="s">
        <v>31</v>
      </c>
      <c r="D14" s="18"/>
      <c r="E14" s="18"/>
      <c r="F14" s="1"/>
      <c r="G14" s="19" t="s">
        <v>32</v>
      </c>
      <c r="H14" s="20" t="s">
        <v>33</v>
      </c>
      <c r="I14" s="20" t="s">
        <v>33</v>
      </c>
      <c r="J14" s="13" t="s">
        <v>34</v>
      </c>
      <c r="K14" s="9"/>
      <c r="L14" s="1"/>
      <c r="M14" s="1"/>
    </row>
    <row r="15">
      <c r="A15" s="1"/>
      <c r="B15" s="16" t="s">
        <v>35</v>
      </c>
      <c r="C15" s="17" t="s">
        <v>36</v>
      </c>
      <c r="D15" s="18"/>
      <c r="E15" s="18"/>
      <c r="F15" s="1"/>
      <c r="G15" s="19" t="s">
        <v>37</v>
      </c>
      <c r="H15" s="20" t="s">
        <v>38</v>
      </c>
      <c r="I15" s="20" t="s">
        <v>38</v>
      </c>
      <c r="J15" s="13"/>
      <c r="K15" s="9"/>
      <c r="L15" s="1"/>
      <c r="M15" s="1"/>
    </row>
    <row r="16">
      <c r="A16" s="1"/>
      <c r="B16" s="16" t="s">
        <v>39</v>
      </c>
      <c r="C16" s="17" t="s">
        <v>40</v>
      </c>
      <c r="D16" s="18"/>
      <c r="E16" s="18"/>
      <c r="F16" s="1"/>
      <c r="G16" s="21" t="s">
        <v>41</v>
      </c>
      <c r="H16" s="22"/>
      <c r="I16" s="22"/>
      <c r="J16" s="13" t="s">
        <v>6</v>
      </c>
      <c r="K16" s="9"/>
      <c r="L16" s="1"/>
      <c r="M16" s="1"/>
    </row>
    <row r="17">
      <c r="A17" s="1"/>
      <c r="B17" s="16" t="s">
        <v>42</v>
      </c>
      <c r="C17" s="17" t="s">
        <v>43</v>
      </c>
      <c r="D17" s="18"/>
      <c r="E17" s="18"/>
      <c r="F17" s="1"/>
      <c r="G17" s="1"/>
      <c r="H17" s="1"/>
      <c r="I17" s="1"/>
      <c r="J17" s="1"/>
      <c r="K17" s="1"/>
      <c r="L17" s="1"/>
      <c r="M17" s="1"/>
    </row>
    <row r="18">
      <c r="A18" s="1"/>
      <c r="B18" s="16" t="s">
        <v>44</v>
      </c>
      <c r="C18" s="17" t="s">
        <v>45</v>
      </c>
      <c r="D18" s="18"/>
      <c r="E18" s="18"/>
      <c r="F18" s="1"/>
      <c r="G18" s="23" t="s">
        <v>46</v>
      </c>
      <c r="H18" s="11"/>
      <c r="I18" s="11"/>
      <c r="J18" s="11"/>
      <c r="K18" s="24"/>
      <c r="L18" s="1"/>
      <c r="M18" s="1"/>
    </row>
    <row r="19">
      <c r="A19" s="1"/>
      <c r="B19" s="16" t="s">
        <v>47</v>
      </c>
      <c r="C19" s="17" t="s">
        <v>48</v>
      </c>
      <c r="D19" s="18"/>
      <c r="E19" s="18"/>
      <c r="F19" s="1"/>
      <c r="G19" s="25"/>
      <c r="H19" s="25"/>
      <c r="I19" s="25"/>
      <c r="J19" s="25"/>
      <c r="K19" s="25"/>
      <c r="L19" s="1"/>
      <c r="M19" s="1"/>
    </row>
    <row r="20">
      <c r="A20" s="1"/>
      <c r="B20" s="16" t="s">
        <v>49</v>
      </c>
      <c r="C20" s="17" t="s">
        <v>50</v>
      </c>
      <c r="D20" s="18"/>
      <c r="E20" s="18"/>
      <c r="F20" s="1"/>
      <c r="G20" s="26" t="s">
        <v>51</v>
      </c>
      <c r="H20" s="27" t="s">
        <v>52</v>
      </c>
      <c r="I20" s="28" t="s">
        <v>53</v>
      </c>
      <c r="J20" s="29" t="s">
        <v>54</v>
      </c>
      <c r="K20" s="24"/>
      <c r="L20" s="1"/>
      <c r="M20" s="1"/>
    </row>
    <row r="21">
      <c r="A21" s="1"/>
      <c r="B21" s="16" t="s">
        <v>55</v>
      </c>
      <c r="C21" s="17" t="s">
        <v>56</v>
      </c>
      <c r="D21" s="18"/>
      <c r="E21" s="18"/>
      <c r="F21" s="1"/>
      <c r="G21" s="1"/>
      <c r="H21" s="1"/>
      <c r="I21" s="1"/>
      <c r="J21" s="1"/>
      <c r="K21" s="1"/>
      <c r="L21" s="1"/>
      <c r="M21" s="1"/>
    </row>
    <row r="22">
      <c r="A22" s="1"/>
      <c r="B22" s="16" t="s">
        <v>57</v>
      </c>
      <c r="C22" s="17" t="s">
        <v>58</v>
      </c>
      <c r="D22" s="18"/>
      <c r="E22" s="18"/>
      <c r="F22" s="1"/>
      <c r="G22" s="1"/>
      <c r="H22" s="30"/>
      <c r="I22" s="1"/>
      <c r="J22" s="1"/>
      <c r="K22" s="1"/>
      <c r="L22" s="1"/>
      <c r="M22" s="1"/>
    </row>
    <row r="23">
      <c r="A23" s="1"/>
      <c r="B23" s="16" t="s">
        <v>59</v>
      </c>
      <c r="C23" s="17" t="s">
        <v>60</v>
      </c>
      <c r="D23" s="18"/>
      <c r="E23" s="18"/>
      <c r="F23" s="1"/>
      <c r="G23" s="31" t="s">
        <v>61</v>
      </c>
      <c r="H23" s="32"/>
      <c r="I23" s="33"/>
      <c r="J23" s="1"/>
      <c r="K23" s="1"/>
      <c r="L23" s="1"/>
      <c r="M23" s="1"/>
    </row>
    <row r="24">
      <c r="A24" s="1"/>
      <c r="B24" s="16" t="s">
        <v>62</v>
      </c>
      <c r="C24" s="17" t="s">
        <v>63</v>
      </c>
      <c r="D24" s="18"/>
      <c r="E24" s="18"/>
      <c r="F24" s="1"/>
      <c r="G24" s="34"/>
      <c r="I24" s="35"/>
      <c r="J24" s="36"/>
      <c r="K24" s="36"/>
      <c r="L24" s="1"/>
      <c r="M24" s="1"/>
    </row>
    <row r="25">
      <c r="A25" s="1"/>
      <c r="B25" s="16" t="s">
        <v>64</v>
      </c>
      <c r="C25" s="17" t="s">
        <v>65</v>
      </c>
      <c r="D25" s="18"/>
      <c r="E25" s="18"/>
      <c r="F25" s="1"/>
      <c r="G25" s="34"/>
      <c r="I25" s="35"/>
      <c r="J25" s="36"/>
      <c r="K25" s="36"/>
      <c r="L25" s="1"/>
      <c r="M25" s="1"/>
    </row>
    <row r="26">
      <c r="A26" s="1"/>
      <c r="B26" s="16" t="s">
        <v>66</v>
      </c>
      <c r="C26" s="17" t="s">
        <v>67</v>
      </c>
      <c r="D26" s="18"/>
      <c r="E26" s="18"/>
      <c r="F26" s="1"/>
      <c r="G26" s="34"/>
      <c r="I26" s="35"/>
      <c r="J26" s="36"/>
      <c r="K26" s="36"/>
      <c r="L26" s="1"/>
      <c r="M26" s="1"/>
    </row>
    <row r="27">
      <c r="A27" s="1"/>
      <c r="B27" s="16" t="s">
        <v>68</v>
      </c>
      <c r="C27" s="17" t="s">
        <v>69</v>
      </c>
      <c r="D27" s="18"/>
      <c r="E27" s="18"/>
      <c r="F27" s="1"/>
      <c r="G27" s="37"/>
      <c r="H27" s="38"/>
      <c r="I27" s="39"/>
      <c r="J27" s="36"/>
      <c r="K27" s="36"/>
      <c r="L27" s="1"/>
      <c r="M27" s="1"/>
    </row>
    <row r="28">
      <c r="A28" s="1"/>
      <c r="B28" s="16" t="s">
        <v>70</v>
      </c>
      <c r="C28" s="17" t="s">
        <v>71</v>
      </c>
      <c r="D28" s="18"/>
      <c r="E28" s="18"/>
      <c r="F28" s="1"/>
      <c r="G28" s="40" t="s">
        <v>72</v>
      </c>
      <c r="J28" s="36"/>
      <c r="K28" s="36"/>
      <c r="L28" s="1"/>
      <c r="M28" s="1"/>
    </row>
    <row r="29">
      <c r="A29" s="1"/>
      <c r="B29" s="16" t="s">
        <v>70</v>
      </c>
      <c r="C29" s="17" t="s">
        <v>73</v>
      </c>
      <c r="D29" s="18"/>
      <c r="E29" s="18"/>
      <c r="F29" s="1"/>
      <c r="G29" s="1"/>
      <c r="H29" s="1"/>
      <c r="I29" s="1"/>
      <c r="J29" s="41"/>
      <c r="K29" s="41"/>
      <c r="L29" s="1"/>
      <c r="M29" s="1"/>
    </row>
    <row r="30">
      <c r="A30" s="1"/>
      <c r="B30" s="16" t="s">
        <v>74</v>
      </c>
      <c r="C30" s="18" t="s">
        <v>75</v>
      </c>
      <c r="F30" s="1"/>
      <c r="G30" s="42" t="str">
        <f>IFERROR(__xludf.DUMMYFUNCTION("IMPORTRANGE(""1eCPPuQOE3Pyh8HhnApEMK3RFIutkUjWd61ppVImwWk8"", ""_Giveaway_summary!A1:A2"")"),"⚠️ 1 Giveaway(s) running - 22 Mar")</f>
        <v>⚠️ 1 Giveaway(s) running - 22 Mar</v>
      </c>
      <c r="H30" s="11"/>
      <c r="I30" s="11"/>
      <c r="J30" s="1"/>
      <c r="K30" s="1"/>
      <c r="L30" s="1"/>
      <c r="M30" s="1"/>
    </row>
    <row r="31">
      <c r="A31" s="1"/>
      <c r="B31" s="16" t="s">
        <v>76</v>
      </c>
      <c r="C31" s="18" t="s">
        <v>77</v>
      </c>
      <c r="F31" s="1"/>
      <c r="G31" s="43" t="str">
        <f>IFERROR(__xludf.DUMMYFUNCTION("""COMPUTED_VALUE"""),"Giveaway Details")</f>
        <v>Giveaway Details</v>
      </c>
      <c r="J31" s="44"/>
      <c r="K31" s="44"/>
      <c r="L31" s="1"/>
      <c r="M31" s="1"/>
    </row>
    <row r="32">
      <c r="A32" s="1"/>
      <c r="B32" s="16" t="s">
        <v>78</v>
      </c>
      <c r="C32" s="18" t="s">
        <v>79</v>
      </c>
      <c r="F32" s="1"/>
      <c r="G32" s="1"/>
      <c r="H32" s="1"/>
      <c r="I32" s="1"/>
      <c r="J32" s="1"/>
      <c r="K32" s="1"/>
      <c r="L32" s="1"/>
      <c r="M32" s="1"/>
    </row>
    <row r="33">
      <c r="A33" s="1"/>
      <c r="B33" s="16" t="s">
        <v>80</v>
      </c>
      <c r="C33" s="18" t="s">
        <v>81</v>
      </c>
      <c r="F33" s="1"/>
      <c r="G33" s="1"/>
      <c r="H33" s="1"/>
      <c r="I33" s="1"/>
      <c r="J33" s="1"/>
      <c r="K33" s="1"/>
      <c r="L33" s="1"/>
      <c r="M33" s="1"/>
    </row>
    <row r="34">
      <c r="A34" s="1"/>
      <c r="B34" s="16" t="s">
        <v>82</v>
      </c>
      <c r="C34" s="45" t="s">
        <v>83</v>
      </c>
      <c r="F34" s="1"/>
      <c r="G34" s="1"/>
      <c r="H34" s="1"/>
      <c r="I34" s="1"/>
      <c r="J34" s="1"/>
      <c r="K34" s="1"/>
      <c r="L34" s="1"/>
      <c r="M34" s="1"/>
    </row>
    <row r="35">
      <c r="A35" s="1"/>
      <c r="B35" s="16" t="s">
        <v>84</v>
      </c>
      <c r="C35" s="45" t="s">
        <v>85</v>
      </c>
      <c r="F35" s="1"/>
      <c r="G35" s="1"/>
      <c r="H35" s="1"/>
      <c r="I35" s="1"/>
      <c r="J35" s="1"/>
      <c r="K35" s="1"/>
      <c r="L35" s="1"/>
      <c r="M35" s="1"/>
    </row>
    <row r="36">
      <c r="A36" s="1"/>
      <c r="B36" s="16" t="s">
        <v>86</v>
      </c>
      <c r="C36" s="45" t="s">
        <v>87</v>
      </c>
      <c r="F36" s="1"/>
      <c r="G36" s="1"/>
      <c r="H36" s="1"/>
      <c r="I36" s="1"/>
      <c r="J36" s="1"/>
      <c r="K36" s="1"/>
      <c r="L36" s="1"/>
      <c r="M36" s="1"/>
    </row>
    <row r="37">
      <c r="A37" s="1"/>
      <c r="B37" s="46" t="s">
        <v>88</v>
      </c>
      <c r="C37" s="45" t="s">
        <v>89</v>
      </c>
      <c r="F37" s="1"/>
      <c r="G37" s="1"/>
      <c r="H37" s="1"/>
      <c r="I37" s="1"/>
      <c r="J37" s="1"/>
      <c r="K37" s="1"/>
      <c r="L37" s="1"/>
      <c r="M37" s="1"/>
    </row>
    <row r="38">
      <c r="A38" s="1"/>
      <c r="B38" s="46" t="s">
        <v>90</v>
      </c>
      <c r="C38" s="45" t="s">
        <v>91</v>
      </c>
      <c r="F38" s="1"/>
      <c r="G38" s="1"/>
      <c r="H38" s="1"/>
      <c r="I38" s="1"/>
      <c r="J38" s="1"/>
      <c r="K38" s="1"/>
      <c r="L38" s="1"/>
      <c r="M38" s="1"/>
    </row>
    <row r="39">
      <c r="A39" s="1"/>
      <c r="B39" s="46" t="s">
        <v>92</v>
      </c>
      <c r="C39" s="45" t="s">
        <v>93</v>
      </c>
      <c r="F39" s="1"/>
      <c r="G39" s="1"/>
      <c r="H39" s="1"/>
      <c r="I39" s="1"/>
      <c r="J39" s="1"/>
      <c r="K39" s="1"/>
      <c r="L39" s="1"/>
      <c r="M39" s="1"/>
    </row>
    <row r="40">
      <c r="A40" s="1"/>
      <c r="B40" s="46" t="s">
        <v>94</v>
      </c>
      <c r="C40" s="45" t="s">
        <v>95</v>
      </c>
      <c r="F40" s="1"/>
      <c r="G40" s="1"/>
      <c r="H40" s="1"/>
      <c r="I40" s="1"/>
      <c r="J40" s="1"/>
      <c r="K40" s="1"/>
      <c r="L40" s="1"/>
      <c r="M40" s="1"/>
    </row>
    <row r="41">
      <c r="A41" s="1"/>
      <c r="B41" s="46" t="s">
        <v>96</v>
      </c>
      <c r="C41" s="45" t="s">
        <v>97</v>
      </c>
      <c r="F41" s="1"/>
      <c r="G41" s="1"/>
      <c r="H41" s="1"/>
      <c r="I41" s="1"/>
      <c r="J41" s="1"/>
      <c r="K41" s="1"/>
      <c r="L41" s="1"/>
      <c r="M41" s="1"/>
    </row>
    <row r="42">
      <c r="A42" s="1"/>
      <c r="B42" s="46" t="s">
        <v>98</v>
      </c>
      <c r="C42" s="45" t="s">
        <v>99</v>
      </c>
      <c r="F42" s="1"/>
      <c r="G42" s="1"/>
      <c r="H42" s="1"/>
      <c r="I42" s="1"/>
      <c r="J42" s="1"/>
      <c r="K42" s="1"/>
      <c r="L42" s="1"/>
      <c r="M42" s="1"/>
    </row>
    <row r="43">
      <c r="A43" s="1"/>
      <c r="B43" s="46" t="s">
        <v>100</v>
      </c>
      <c r="C43" s="45" t="s">
        <v>101</v>
      </c>
      <c r="F43" s="1"/>
      <c r="G43" s="1"/>
      <c r="H43" s="1"/>
      <c r="I43" s="1"/>
      <c r="J43" s="1"/>
      <c r="K43" s="1"/>
      <c r="L43" s="1"/>
      <c r="M43" s="1"/>
    </row>
    <row r="44">
      <c r="A44" s="1"/>
      <c r="B44" s="46" t="s">
        <v>102</v>
      </c>
      <c r="C44" s="45" t="s">
        <v>103</v>
      </c>
      <c r="F44" s="1"/>
      <c r="G44" s="1"/>
      <c r="H44" s="1"/>
      <c r="I44" s="1"/>
      <c r="J44" s="1"/>
      <c r="K44" s="1"/>
      <c r="L44" s="1"/>
      <c r="M44" s="1"/>
    </row>
    <row r="45">
      <c r="A45" s="1"/>
      <c r="B45" s="46" t="s">
        <v>104</v>
      </c>
      <c r="C45" s="45" t="s">
        <v>105</v>
      </c>
      <c r="F45" s="1"/>
      <c r="G45" s="1"/>
      <c r="H45" s="1"/>
      <c r="I45" s="1"/>
      <c r="J45" s="1"/>
      <c r="K45" s="1"/>
      <c r="L45" s="1"/>
      <c r="M45" s="1"/>
    </row>
    <row r="46">
      <c r="A46" s="1"/>
      <c r="B46" s="46" t="s">
        <v>106</v>
      </c>
      <c r="C46" s="45" t="s">
        <v>107</v>
      </c>
      <c r="F46" s="1"/>
      <c r="G46" s="1"/>
      <c r="H46" s="1"/>
      <c r="I46" s="1"/>
      <c r="J46" s="1"/>
      <c r="K46" s="1"/>
      <c r="L46" s="1"/>
      <c r="M46" s="1"/>
    </row>
    <row r="47">
      <c r="A47" s="1"/>
      <c r="B47" s="46" t="s">
        <v>108</v>
      </c>
      <c r="C47" s="45" t="s">
        <v>109</v>
      </c>
      <c r="F47" s="1"/>
      <c r="G47" s="1"/>
      <c r="H47" s="1"/>
      <c r="I47" s="1"/>
      <c r="J47" s="1"/>
      <c r="K47" s="1"/>
      <c r="L47" s="1"/>
      <c r="M47" s="1"/>
    </row>
    <row r="48">
      <c r="A48" s="1"/>
      <c r="B48" s="46" t="s">
        <v>110</v>
      </c>
      <c r="C48" s="45" t="s">
        <v>111</v>
      </c>
      <c r="F48" s="1"/>
      <c r="G48" s="1"/>
      <c r="H48" s="1"/>
      <c r="I48" s="1"/>
      <c r="J48" s="1"/>
      <c r="K48" s="1"/>
      <c r="L48" s="1"/>
      <c r="M48" s="1"/>
    </row>
    <row r="49">
      <c r="A49" s="1"/>
      <c r="B49" s="46" t="s">
        <v>112</v>
      </c>
      <c r="C49" s="45" t="s">
        <v>113</v>
      </c>
      <c r="F49" s="1"/>
      <c r="G49" s="1"/>
      <c r="H49" s="1"/>
      <c r="I49" s="1"/>
      <c r="J49" s="1"/>
      <c r="K49" s="1"/>
      <c r="L49" s="1"/>
      <c r="M49" s="1"/>
    </row>
    <row r="50">
      <c r="A50" s="1"/>
      <c r="B50" s="46" t="s">
        <v>114</v>
      </c>
      <c r="C50" s="45" t="s">
        <v>115</v>
      </c>
      <c r="F50" s="1"/>
      <c r="G50" s="1"/>
      <c r="H50" s="1"/>
      <c r="I50" s="1"/>
      <c r="J50" s="1"/>
      <c r="K50" s="1"/>
      <c r="L50" s="1"/>
      <c r="M50" s="1"/>
    </row>
    <row r="51">
      <c r="A51" s="1"/>
      <c r="B51" s="46" t="s">
        <v>116</v>
      </c>
      <c r="C51" s="45" t="s">
        <v>117</v>
      </c>
      <c r="F51" s="1"/>
      <c r="G51" s="1"/>
      <c r="H51" s="1"/>
      <c r="I51" s="1"/>
      <c r="J51" s="1"/>
      <c r="K51" s="1"/>
      <c r="L51" s="1"/>
      <c r="M51" s="1"/>
    </row>
    <row r="52">
      <c r="A52" s="1"/>
      <c r="B52" s="46" t="s">
        <v>118</v>
      </c>
      <c r="C52" s="45" t="s">
        <v>119</v>
      </c>
      <c r="F52" s="1"/>
      <c r="G52" s="1"/>
      <c r="H52" s="1"/>
      <c r="I52" s="1"/>
      <c r="J52" s="1"/>
      <c r="K52" s="1"/>
      <c r="L52" s="1"/>
      <c r="M52" s="1"/>
    </row>
    <row r="53">
      <c r="A53" s="1"/>
      <c r="B53" s="46" t="s">
        <v>120</v>
      </c>
      <c r="C53" s="45" t="s">
        <v>121</v>
      </c>
      <c r="F53" s="1"/>
      <c r="G53" s="1"/>
      <c r="H53" s="1"/>
      <c r="I53" s="1"/>
      <c r="J53" s="1"/>
      <c r="K53" s="1"/>
      <c r="L53" s="1"/>
      <c r="M53" s="1"/>
    </row>
    <row r="54">
      <c r="A54" s="1"/>
      <c r="B54" s="46" t="s">
        <v>122</v>
      </c>
      <c r="C54" s="45" t="s">
        <v>123</v>
      </c>
      <c r="F54" s="1"/>
      <c r="G54" s="1"/>
      <c r="H54" s="1"/>
      <c r="I54" s="1"/>
      <c r="J54" s="1"/>
      <c r="K54" s="1"/>
      <c r="L54" s="1"/>
      <c r="M54" s="1"/>
    </row>
    <row r="55">
      <c r="A55" s="1"/>
      <c r="B55" s="46" t="s">
        <v>124</v>
      </c>
      <c r="C55" s="45" t="s">
        <v>125</v>
      </c>
      <c r="F55" s="1"/>
      <c r="G55" s="1"/>
      <c r="H55" s="1"/>
      <c r="I55" s="1"/>
      <c r="J55" s="1"/>
      <c r="K55" s="1"/>
      <c r="L55" s="1"/>
      <c r="M55" s="1"/>
    </row>
    <row r="56">
      <c r="A56" s="1"/>
      <c r="B56" s="46" t="s">
        <v>126</v>
      </c>
      <c r="C56" s="45" t="s">
        <v>127</v>
      </c>
      <c r="F56" s="1"/>
      <c r="G56" s="1"/>
      <c r="H56" s="1"/>
      <c r="I56" s="1"/>
      <c r="J56" s="1"/>
      <c r="K56" s="1"/>
      <c r="L56" s="1"/>
      <c r="M56" s="1"/>
    </row>
    <row r="57">
      <c r="A57" s="1"/>
      <c r="B57" s="46" t="s">
        <v>128</v>
      </c>
      <c r="C57" s="45" t="s">
        <v>129</v>
      </c>
      <c r="F57" s="1"/>
      <c r="G57" s="1"/>
      <c r="H57" s="1"/>
      <c r="I57" s="1"/>
      <c r="J57" s="1"/>
      <c r="K57" s="1"/>
      <c r="L57" s="1"/>
      <c r="M57" s="1"/>
    </row>
  </sheetData>
  <mergeCells count="52">
    <mergeCell ref="B11:E11"/>
    <mergeCell ref="J11:K11"/>
    <mergeCell ref="B2:K2"/>
    <mergeCell ref="B4:E5"/>
    <mergeCell ref="G4:G5"/>
    <mergeCell ref="H4:H5"/>
    <mergeCell ref="I4:I5"/>
    <mergeCell ref="J4:K5"/>
    <mergeCell ref="B7:E7"/>
    <mergeCell ref="J6:K6"/>
    <mergeCell ref="J7:K7"/>
    <mergeCell ref="J8:K8"/>
    <mergeCell ref="J9:K9"/>
    <mergeCell ref="J10:K10"/>
    <mergeCell ref="J12:K12"/>
    <mergeCell ref="J13:K13"/>
    <mergeCell ref="J14:K14"/>
    <mergeCell ref="J15:K15"/>
    <mergeCell ref="J16:K16"/>
    <mergeCell ref="G18:J18"/>
    <mergeCell ref="G23:I27"/>
    <mergeCell ref="G28:I28"/>
    <mergeCell ref="G30:I30"/>
    <mergeCell ref="G31:I31"/>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51:E51"/>
    <mergeCell ref="C52:E52"/>
    <mergeCell ref="C53:E53"/>
    <mergeCell ref="C54:E54"/>
    <mergeCell ref="C55:E55"/>
    <mergeCell ref="C56:E56"/>
    <mergeCell ref="C57:E57"/>
    <mergeCell ref="C44:E44"/>
    <mergeCell ref="C45:E45"/>
    <mergeCell ref="C46:E46"/>
    <mergeCell ref="C47:E47"/>
    <mergeCell ref="C48:E48"/>
    <mergeCell ref="C49:E49"/>
    <mergeCell ref="C50:E50"/>
  </mergeCells>
  <hyperlinks>
    <hyperlink display="IDS" location="IDS!A1" ref="G6"/>
    <hyperlink display="Master Sheet" location="'Master Sheet'!A1" ref="G7"/>
    <hyperlink display="Lab Calculator" location="'Lab Calculator'!A1" ref="G8"/>
    <hyperlink display="Lab Planner" location="null!A1" ref="G9"/>
    <hyperlink display="Tier List" location="'Tier List'!A1" ref="G10"/>
    <hyperlink display="Lab Boost Calculator" location="'Lab Boost Calculator'!A1" ref="G11"/>
    <hyperlink display="Short Lab Path" location="'Short Lab Path'!A1" ref="G12"/>
    <hyperlink display="Goldbox Path" location="'Short Lab Path'!A1" ref="G13"/>
    <hyperlink display="Interactive Thorns" location="'Interactive Thorns'!A1" ref="G14"/>
    <hyperlink display="ELS BC Reduction" location="'ELS BC Reduction'!A1" ref="G15"/>
    <hyperlink display="Elites Spawncap" location="'Elites Spawncap'!A1" ref="G16"/>
    <hyperlink r:id="rId2" location="gid=0" ref="G28"/>
    <hyperlink r:id="rId3" location="gid=234968364" ref="G31"/>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outlineLevelCol="1"/>
  <cols>
    <col customWidth="1" min="1" max="1" width="3.13"/>
    <col customWidth="1" min="2" max="2" width="21.88"/>
    <col customWidth="1" min="3" max="3" width="43.38"/>
    <col customWidth="1" hidden="1" min="4" max="4" width="15.88"/>
    <col collapsed="1" customWidth="1" min="5" max="5" width="21.25"/>
    <col customWidth="1" hidden="1" min="6" max="6" width="5.0" outlineLevel="1"/>
    <col customWidth="1" min="7" max="8" width="3.0"/>
    <col customWidth="1" min="9" max="9" width="56.38"/>
    <col customWidth="1" min="10" max="10" width="162.5"/>
  </cols>
  <sheetData>
    <row r="1">
      <c r="A1" s="47"/>
      <c r="B1" s="47"/>
      <c r="C1" s="47"/>
      <c r="D1" s="47"/>
      <c r="E1" s="47"/>
      <c r="F1" s="48"/>
      <c r="G1" s="47"/>
      <c r="H1" s="47"/>
      <c r="I1" s="47"/>
      <c r="J1" s="47"/>
    </row>
    <row r="2" ht="30.75" customHeight="1">
      <c r="A2" s="47"/>
      <c r="B2" s="49" t="s">
        <v>130</v>
      </c>
      <c r="F2" s="48"/>
      <c r="G2" s="47"/>
      <c r="H2" s="50"/>
      <c r="I2" s="51" t="s">
        <v>131</v>
      </c>
      <c r="J2" s="47"/>
    </row>
    <row r="3">
      <c r="A3" s="47"/>
      <c r="B3" s="47"/>
      <c r="C3" s="47"/>
      <c r="D3" s="47"/>
      <c r="E3" s="47"/>
      <c r="F3" s="48"/>
      <c r="G3" s="47"/>
      <c r="H3" s="50"/>
    </row>
    <row r="4">
      <c r="A4" s="47"/>
      <c r="B4" s="52" t="s">
        <v>132</v>
      </c>
      <c r="C4" s="53" t="s">
        <v>133</v>
      </c>
      <c r="D4" s="54"/>
      <c r="E4" s="55"/>
      <c r="F4" s="56"/>
      <c r="G4" s="47"/>
      <c r="H4" s="50"/>
      <c r="J4" s="47"/>
    </row>
    <row r="5">
      <c r="A5" s="47"/>
      <c r="B5" s="47"/>
      <c r="C5" s="47"/>
      <c r="D5" s="47"/>
      <c r="E5" s="47"/>
      <c r="F5" s="56"/>
      <c r="G5" s="47"/>
      <c r="H5" s="50"/>
      <c r="I5" s="57"/>
      <c r="J5" s="47"/>
    </row>
    <row r="6">
      <c r="A6" s="58"/>
      <c r="B6" s="59" t="s">
        <v>134</v>
      </c>
      <c r="C6" s="60" t="s">
        <v>135</v>
      </c>
      <c r="D6" s="61" t="str">
        <f>IFERROR(__xludf.DUMMYFUNCTION("IFERROR(C6.url, IFS(LEFT(C6,8)=""https://"", C6, LEN(C6)=44, ""https://docs.google.com/spreadsheets/d/"" &amp; C6 &amp; ""/edit"", TRUE, C6))"),"https://docs.google.com/spreadsheets/d/1HOIkxWbbciTIAzVruaahEGADlM8rS0-w86uBXj4PwNQ/edit")</f>
        <v>https://docs.google.com/spreadsheets/d/1HOIkxWbbciTIAzVruaahEGADlM8rS0-w86uBXj4PwNQ/edit</v>
      </c>
      <c r="E6" s="62" t="str">
        <f>IFERROR(__xludf.DUMMYFUNCTION("IF(D6&lt;&gt;"""", IF(IMPORTRANGE(D6,""EXPORT!A1"") = F6, ""✅"", ""Wrong ID or Version""), """")"),"✅")</f>
        <v>✅</v>
      </c>
      <c r="F6" s="60" t="s">
        <v>136</v>
      </c>
      <c r="G6" s="63"/>
      <c r="H6" s="50"/>
      <c r="I6" s="47"/>
      <c r="J6" s="47"/>
    </row>
    <row r="7">
      <c r="A7" s="47"/>
      <c r="B7" s="64" t="str">
        <f>HYPERLINK("https://docs.google.com/spreadsheets/d/1osjoqKmMwtOWs7Up3e21-3ofN1RHOjsgKV6y3dc6rgE/copy", "1️⃣ Copy Me")</f>
        <v>1️⃣ Copy Me</v>
      </c>
      <c r="C7" s="65" t="str">
        <f>IFS(
  ISERROR(E6), "3️⃣ Click on #REF! and then AUTHORISE ↗",
  E6="", "2️⃣ Please input your IDS Master's ID here ⤴️",
  E6="✅", HYPERLINK(D6, "Go to my IDS Master Sheet"),
  TRUE, "")</f>
        <v>Go to my IDS Master Sheet</v>
      </c>
      <c r="D7" s="66"/>
      <c r="E7" s="67" t="s">
        <v>137</v>
      </c>
      <c r="F7" s="68"/>
      <c r="G7" s="69"/>
      <c r="H7" s="70"/>
      <c r="I7" s="71" t="s">
        <v>138</v>
      </c>
      <c r="J7" s="69"/>
    </row>
    <row r="8">
      <c r="A8" s="47"/>
      <c r="B8" s="72"/>
      <c r="C8" s="72"/>
      <c r="D8" s="72"/>
      <c r="E8" s="72"/>
      <c r="F8" s="48"/>
      <c r="G8" s="73"/>
      <c r="H8" s="74"/>
      <c r="I8" s="75" t="s">
        <v>139</v>
      </c>
      <c r="J8" s="73"/>
    </row>
    <row r="9">
      <c r="A9" s="47"/>
      <c r="B9" s="76" t="s">
        <v>140</v>
      </c>
      <c r="C9" s="11"/>
      <c r="D9" s="11"/>
      <c r="E9" s="11"/>
      <c r="F9" s="48"/>
      <c r="H9" s="74"/>
      <c r="J9" s="73"/>
    </row>
    <row r="10">
      <c r="A10" s="47"/>
      <c r="B10" s="75" t="s">
        <v>141</v>
      </c>
      <c r="D10" s="75"/>
      <c r="E10" s="77"/>
      <c r="F10" s="48"/>
      <c r="G10" s="73"/>
      <c r="H10" s="74"/>
      <c r="J10" s="73"/>
    </row>
    <row r="11">
      <c r="A11" s="47"/>
      <c r="D11" s="75"/>
      <c r="F11" s="48"/>
      <c r="H11" s="74"/>
      <c r="J11" s="73"/>
    </row>
    <row r="12">
      <c r="A12" s="47"/>
      <c r="D12" s="75"/>
      <c r="E12" s="77"/>
      <c r="F12" s="48"/>
      <c r="G12" s="47"/>
      <c r="H12" s="50"/>
      <c r="J12" s="47"/>
    </row>
    <row r="13">
      <c r="A13" s="47"/>
      <c r="D13" s="75"/>
      <c r="F13" s="48"/>
      <c r="G13" s="73"/>
      <c r="H13" s="74"/>
      <c r="J13" s="73"/>
    </row>
    <row r="14">
      <c r="A14" s="47"/>
      <c r="D14" s="75"/>
      <c r="F14" s="48"/>
      <c r="H14" s="74"/>
      <c r="J14" s="73"/>
    </row>
    <row r="15">
      <c r="A15" s="47"/>
      <c r="D15" s="75"/>
      <c r="E15" s="78"/>
      <c r="F15" s="48"/>
      <c r="G15" s="47"/>
      <c r="H15" s="50"/>
      <c r="J15" s="47"/>
    </row>
    <row r="16">
      <c r="A16" s="47"/>
      <c r="D16" s="75"/>
      <c r="F16" s="48"/>
      <c r="G16" s="47"/>
      <c r="H16" s="50"/>
      <c r="I16" s="47"/>
      <c r="J16" s="47"/>
    </row>
    <row r="17">
      <c r="A17" s="47"/>
      <c r="D17" s="75"/>
      <c r="F17" s="48"/>
      <c r="G17" s="47"/>
      <c r="H17" s="50"/>
      <c r="I17" s="47"/>
      <c r="J17" s="47"/>
    </row>
    <row r="18">
      <c r="A18" s="47"/>
      <c r="D18" s="75"/>
      <c r="F18" s="48"/>
      <c r="G18" s="47"/>
      <c r="H18" s="50"/>
      <c r="I18" s="47"/>
      <c r="J18" s="47"/>
    </row>
    <row r="19">
      <c r="A19" s="47"/>
      <c r="B19" s="79" t="s">
        <v>142</v>
      </c>
      <c r="F19" s="48"/>
      <c r="G19" s="47"/>
      <c r="H19" s="50"/>
      <c r="I19" s="47"/>
      <c r="J19" s="47"/>
    </row>
    <row r="20">
      <c r="A20" s="47"/>
      <c r="F20" s="48"/>
      <c r="G20" s="47"/>
      <c r="H20" s="50"/>
      <c r="I20" s="47"/>
      <c r="J20" s="47"/>
    </row>
    <row r="21">
      <c r="A21" s="47"/>
      <c r="F21" s="48"/>
      <c r="G21" s="47"/>
      <c r="H21" s="50"/>
      <c r="I21" s="47"/>
      <c r="J21" s="47"/>
    </row>
    <row r="22">
      <c r="A22" s="47"/>
      <c r="B22" s="75"/>
      <c r="C22" s="75"/>
      <c r="D22" s="75"/>
      <c r="E22" s="75"/>
      <c r="F22" s="48"/>
      <c r="G22" s="47"/>
      <c r="H22" s="50"/>
      <c r="I22" s="47"/>
      <c r="J22" s="47"/>
    </row>
    <row r="23">
      <c r="A23" s="47"/>
      <c r="B23" s="80" t="s">
        <v>143</v>
      </c>
      <c r="C23" s="11"/>
      <c r="D23" s="11"/>
      <c r="E23" s="11"/>
      <c r="F23" s="48"/>
      <c r="G23" s="47"/>
      <c r="H23" s="50"/>
      <c r="I23" s="47"/>
      <c r="J23" s="47"/>
    </row>
    <row r="24">
      <c r="A24" s="47"/>
      <c r="B24" s="81" t="s">
        <v>144</v>
      </c>
      <c r="F24" s="48"/>
      <c r="G24" s="47"/>
      <c r="H24" s="50"/>
      <c r="I24" s="47"/>
      <c r="J24" s="47"/>
    </row>
    <row r="25">
      <c r="A25" s="47"/>
      <c r="F25" s="48"/>
      <c r="G25" s="47"/>
      <c r="H25" s="47"/>
      <c r="I25" s="47"/>
      <c r="J25" s="47"/>
    </row>
    <row r="26" ht="414.75" customHeight="1">
      <c r="A26" s="47"/>
      <c r="F26" s="48"/>
      <c r="G26" s="47"/>
      <c r="H26" s="47"/>
      <c r="I26" s="47"/>
      <c r="J26" s="47"/>
    </row>
  </sheetData>
  <mergeCells count="15">
    <mergeCell ref="G8:G9"/>
    <mergeCell ref="G10:G11"/>
    <mergeCell ref="E12:E14"/>
    <mergeCell ref="G13:G14"/>
    <mergeCell ref="E15:E18"/>
    <mergeCell ref="B19:E21"/>
    <mergeCell ref="B23:E23"/>
    <mergeCell ref="B24:E26"/>
    <mergeCell ref="B2:E2"/>
    <mergeCell ref="I2:I4"/>
    <mergeCell ref="J2:J3"/>
    <mergeCell ref="I8:I15"/>
    <mergeCell ref="B9:E9"/>
    <mergeCell ref="B10:C18"/>
    <mergeCell ref="E10:E11"/>
  </mergeCells>
  <dataValidations>
    <dataValidation type="custom" allowBlank="1" showDropDown="1" showInputMessage="1" showErrorMessage="1" prompt="Value should start with http or be 44 characters long." sqref="C6">
      <formula1>OR(IFERROR(ISURL(C6.url), FALSE), ISURL(C6), LEN(C6)=44)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3.75"/>
    <col customWidth="1" min="2" max="2" width="29.38" outlineLevel="1"/>
    <col customWidth="1" min="3" max="3" width="4.88" outlineLevel="1"/>
    <col customWidth="1" min="4" max="4" width="5.38" outlineLevel="1"/>
    <col customWidth="1" min="5" max="5" width="4.38" outlineLevel="1"/>
    <col customWidth="1" min="6" max="6" width="3.75"/>
    <col customWidth="1" min="7" max="7" width="27.25" outlineLevel="1"/>
    <col customWidth="1" min="8" max="8" width="4.88" outlineLevel="1"/>
    <col customWidth="1" min="9" max="9" width="5.38" outlineLevel="1"/>
    <col customWidth="1" min="10" max="10" width="4.38" outlineLevel="1"/>
    <col customWidth="1" min="11" max="11" width="3.75"/>
    <col customWidth="1" min="12" max="12" width="27.25" outlineLevel="1"/>
    <col customWidth="1" min="13" max="13" width="4.88" outlineLevel="1"/>
    <col customWidth="1" min="14" max="14" width="5.38" outlineLevel="1"/>
    <col customWidth="1" min="15" max="15" width="4.38" outlineLevel="1"/>
    <col customWidth="1" min="16" max="16" width="3.75"/>
    <col customWidth="1" min="17" max="17" width="27.25" outlineLevel="1"/>
    <col customWidth="1" min="18" max="18" width="4.88" outlineLevel="1"/>
    <col customWidth="1" min="19" max="19" width="5.38" outlineLevel="1"/>
    <col customWidth="1" min="20" max="20" width="4.38" outlineLevel="1"/>
    <col customWidth="1" min="21" max="21" width="3.75"/>
    <col customWidth="1" min="22" max="22" width="27.25" outlineLevel="1"/>
    <col customWidth="1" min="23" max="23" width="4.88" outlineLevel="1"/>
    <col customWidth="1" min="24" max="24" width="5.38" outlineLevel="1"/>
    <col customWidth="1" min="25" max="25" width="4.38" outlineLevel="1"/>
    <col customWidth="1" min="26" max="26" width="3.75"/>
    <col customWidth="1" min="27" max="27" width="27.25" outlineLevel="1"/>
    <col customWidth="1" min="28" max="28" width="4.88" outlineLevel="1"/>
    <col customWidth="1" min="29" max="29" width="5.38" outlineLevel="1"/>
    <col customWidth="1" min="30" max="30" width="4.38" outlineLevel="1"/>
    <col customWidth="1" min="31" max="31" width="3.75"/>
    <col customWidth="1" min="32" max="32" width="27.25" outlineLevel="1"/>
    <col customWidth="1" min="33" max="33" width="4.88" outlineLevel="1"/>
    <col customWidth="1" min="34" max="34" width="5.38" outlineLevel="1"/>
    <col customWidth="1" min="35" max="35" width="4.38" outlineLevel="1"/>
    <col customWidth="1" min="36" max="36" width="3.75"/>
    <col customWidth="1" min="37" max="37" width="27.25" outlineLevel="1"/>
    <col customWidth="1" min="38" max="38" width="4.88" outlineLevel="1"/>
    <col customWidth="1" min="39" max="39" width="5.38" outlineLevel="1"/>
    <col customWidth="1" min="40" max="40" width="4.38" outlineLevel="1"/>
    <col customWidth="1" min="41" max="41" width="3.75"/>
    <col customWidth="1" min="42" max="42" width="27.25" outlineLevel="1"/>
    <col customWidth="1" min="43" max="43" width="4.88" outlineLevel="1"/>
    <col customWidth="1" min="44" max="44" width="5.38" outlineLevel="1"/>
    <col customWidth="1" min="45" max="45" width="4.38" outlineLevel="1"/>
    <col customWidth="1" min="46" max="46" width="3.75"/>
    <col customWidth="1" min="47" max="47" width="27.25" outlineLevel="1"/>
    <col customWidth="1" min="48" max="48" width="4.88" outlineLevel="1"/>
    <col customWidth="1" min="49" max="49" width="5.38" outlineLevel="1"/>
    <col customWidth="1" min="50" max="50" width="4.38" outlineLevel="1"/>
    <col customWidth="1" min="51" max="51" width="3.75"/>
    <col customWidth="1" min="52" max="52" width="27.25" outlineLevel="1"/>
    <col customWidth="1" min="53" max="53" width="4.88" outlineLevel="1"/>
    <col customWidth="1" min="54" max="54" width="5.38" outlineLevel="1"/>
    <col customWidth="1" min="55" max="55" width="4.38" outlineLevel="1"/>
    <col customWidth="1" min="56" max="56" width="3.75"/>
    <col customWidth="1" min="57" max="57" width="27.38" outlineLevel="1"/>
    <col customWidth="1" min="58" max="59" width="6.25" outlineLevel="1"/>
    <col customWidth="1" min="60" max="60" width="4.75" outlineLevel="1"/>
    <col customWidth="1" min="61" max="61" width="3.75" outlineLevel="1"/>
    <col customWidth="1" min="62" max="62" width="19.0" outlineLevel="1"/>
    <col customWidth="1" min="63" max="63" width="10.63" outlineLevel="1"/>
    <col customWidth="1" min="64" max="64" width="7.25" outlineLevel="1"/>
    <col customWidth="1" min="65" max="65" width="3.75"/>
  </cols>
  <sheetData>
    <row r="1">
      <c r="A1" s="82"/>
      <c r="B1" s="83" t="s">
        <v>145</v>
      </c>
      <c r="C1" s="84" t="s">
        <v>146</v>
      </c>
      <c r="D1" s="84" t="s">
        <v>147</v>
      </c>
      <c r="E1" s="84" t="s">
        <v>148</v>
      </c>
      <c r="F1" s="85"/>
      <c r="G1" s="83" t="s">
        <v>145</v>
      </c>
      <c r="H1" s="84" t="s">
        <v>146</v>
      </c>
      <c r="I1" s="84" t="s">
        <v>147</v>
      </c>
      <c r="J1" s="84" t="s">
        <v>148</v>
      </c>
      <c r="K1" s="82"/>
      <c r="L1" s="83" t="s">
        <v>145</v>
      </c>
      <c r="M1" s="84" t="s">
        <v>146</v>
      </c>
      <c r="N1" s="84" t="s">
        <v>147</v>
      </c>
      <c r="O1" s="84" t="s">
        <v>148</v>
      </c>
      <c r="P1" s="82"/>
      <c r="Q1" s="83" t="s">
        <v>145</v>
      </c>
      <c r="R1" s="84" t="s">
        <v>146</v>
      </c>
      <c r="S1" s="84" t="s">
        <v>147</v>
      </c>
      <c r="T1" s="84" t="s">
        <v>148</v>
      </c>
      <c r="U1" s="82"/>
      <c r="V1" s="83" t="s">
        <v>145</v>
      </c>
      <c r="W1" s="84" t="s">
        <v>146</v>
      </c>
      <c r="X1" s="84" t="s">
        <v>147</v>
      </c>
      <c r="Y1" s="84" t="s">
        <v>148</v>
      </c>
      <c r="Z1" s="82"/>
      <c r="AA1" s="83" t="s">
        <v>145</v>
      </c>
      <c r="AB1" s="84" t="s">
        <v>146</v>
      </c>
      <c r="AC1" s="84" t="s">
        <v>147</v>
      </c>
      <c r="AD1" s="84" t="s">
        <v>148</v>
      </c>
      <c r="AE1" s="82"/>
      <c r="AF1" s="83" t="s">
        <v>145</v>
      </c>
      <c r="AG1" s="84" t="s">
        <v>146</v>
      </c>
      <c r="AH1" s="84" t="s">
        <v>147</v>
      </c>
      <c r="AI1" s="84" t="s">
        <v>148</v>
      </c>
      <c r="AJ1" s="82"/>
      <c r="AK1" s="83" t="s">
        <v>145</v>
      </c>
      <c r="AL1" s="84" t="s">
        <v>146</v>
      </c>
      <c r="AM1" s="84" t="s">
        <v>147</v>
      </c>
      <c r="AN1" s="84" t="s">
        <v>148</v>
      </c>
      <c r="AO1" s="82"/>
      <c r="AP1" s="83" t="s">
        <v>145</v>
      </c>
      <c r="AQ1" s="84" t="s">
        <v>146</v>
      </c>
      <c r="AR1" s="84" t="s">
        <v>147</v>
      </c>
      <c r="AS1" s="84" t="s">
        <v>148</v>
      </c>
      <c r="AT1" s="82"/>
      <c r="AU1" s="83" t="s">
        <v>145</v>
      </c>
      <c r="AV1" s="84" t="s">
        <v>146</v>
      </c>
      <c r="AW1" s="84" t="s">
        <v>147</v>
      </c>
      <c r="AX1" s="84" t="s">
        <v>148</v>
      </c>
      <c r="AY1" s="82"/>
      <c r="AZ1" s="83" t="s">
        <v>145</v>
      </c>
      <c r="BA1" s="84" t="s">
        <v>146</v>
      </c>
      <c r="BB1" s="84" t="s">
        <v>147</v>
      </c>
      <c r="BC1" s="84" t="s">
        <v>148</v>
      </c>
      <c r="BD1" s="86"/>
      <c r="BE1" s="87" t="s">
        <v>149</v>
      </c>
      <c r="BF1" s="87" t="s">
        <v>150</v>
      </c>
      <c r="BG1" s="87" t="s">
        <v>151</v>
      </c>
      <c r="BH1" s="87" t="s">
        <v>148</v>
      </c>
      <c r="BI1" s="82"/>
      <c r="BJ1" s="83" t="s">
        <v>152</v>
      </c>
      <c r="BK1" s="88" t="s">
        <v>146</v>
      </c>
      <c r="BL1" s="88" t="s">
        <v>153</v>
      </c>
      <c r="BM1" s="25"/>
    </row>
    <row r="2">
      <c r="A2" s="89" t="str">
        <f>"("&amp;ROUND(C43/E43*100,0)&amp;"%)"</f>
        <v>(31%)</v>
      </c>
      <c r="B2" s="90" t="s">
        <v>154</v>
      </c>
      <c r="C2" s="91">
        <v>7.0</v>
      </c>
      <c r="D2" s="91">
        <v>7.0</v>
      </c>
      <c r="E2" s="92">
        <f>COUNTA(OFFSET(DVT_Laboratory!$B$3, 0, MATCH(B2,DVT_Laboratory!$B$1:BM$1, 0)-1, 100, 1))</f>
        <v>7</v>
      </c>
      <c r="F2" s="89" t="str">
        <f>"("&amp;ROUND(H43/J43*100,0)&amp;"%)"</f>
        <v>(50%)</v>
      </c>
      <c r="G2" s="93" t="s">
        <v>155</v>
      </c>
      <c r="H2" s="94">
        <v>69.0</v>
      </c>
      <c r="I2" s="95"/>
      <c r="J2" s="96">
        <f>COUNTA(OFFSET(DVT_Laboratory!$B$3, 0, MATCH(G2,DVT_Laboratory!$B$1:BM$1, 0)-1, 100, 1))</f>
        <v>100</v>
      </c>
      <c r="K2" s="89" t="str">
        <f>"("&amp;ROUND(M43/O43*100,0)&amp;"%)"</f>
        <v>(58%)</v>
      </c>
      <c r="L2" s="97" t="s">
        <v>156</v>
      </c>
      <c r="M2" s="98">
        <v>68.0</v>
      </c>
      <c r="N2" s="99"/>
      <c r="O2" s="100">
        <f>COUNTA(OFFSET(DVT_Laboratory!$B$3, 0, MATCH(L2,DVT_Laboratory!$B$1:BM$1, 0)-1, 100, 1))</f>
        <v>100</v>
      </c>
      <c r="P2" s="89" t="str">
        <f>"("&amp;ROUND(R43/T43*100,0)&amp;"%)"</f>
        <v>(35%)</v>
      </c>
      <c r="Q2" s="101" t="s">
        <v>157</v>
      </c>
      <c r="R2" s="102">
        <v>33.0</v>
      </c>
      <c r="S2" s="103"/>
      <c r="T2" s="104">
        <f>COUNTA(OFFSET(DVT_Laboratory!$B$3, 0, MATCH(Q2,DVT_Laboratory!$B$1:BM$1, 0)-1, 100, 1))</f>
        <v>99</v>
      </c>
      <c r="U2" s="89" t="str">
        <f>"("&amp;ROUND(W43/Y43*100,0)&amp;"%)"</f>
        <v>(42%)</v>
      </c>
      <c r="V2" s="105" t="s">
        <v>158</v>
      </c>
      <c r="W2" s="106">
        <v>0.0</v>
      </c>
      <c r="X2" s="107"/>
      <c r="Y2" s="108">
        <f>COUNTA(OFFSET(DVT_Laboratory!$B$3, 0, MATCH(V2,DVT_Laboratory!$B$1:BM$1, 0)-1, 100, 1))</f>
        <v>20</v>
      </c>
      <c r="Z2" s="89" t="str">
        <f>"("&amp;ROUND(AB43/AD43*100,0)&amp;"%)"</f>
        <v>(9%)</v>
      </c>
      <c r="AA2" s="109" t="s">
        <v>159</v>
      </c>
      <c r="AB2" s="110">
        <v>4.0</v>
      </c>
      <c r="AC2" s="111"/>
      <c r="AD2" s="112">
        <f>COUNTA(OFFSET(DVT_Laboratory!$B$3, 0, MATCH(AA2,DVT_Laboratory!$B$1:BM$1, 0)-1, 100, 1))</f>
        <v>4</v>
      </c>
      <c r="AE2" s="89" t="str">
        <f>"("&amp;ROUND(AG43/AI43*100,0)&amp;"%)"</f>
        <v>(39%)</v>
      </c>
      <c r="AF2" s="113" t="s">
        <v>160</v>
      </c>
      <c r="AG2" s="114">
        <v>1.0</v>
      </c>
      <c r="AH2" s="115"/>
      <c r="AI2" s="116">
        <f>COUNTA(OFFSET(DVT_Laboratory!$B$3, 0, MATCH(AF2,DVT_Laboratory!$B$1:BM$1, 0)-1, 100, 1))</f>
        <v>1</v>
      </c>
      <c r="AJ2" s="89" t="str">
        <f>"("&amp;ROUND(AL43/AN43*100,0)&amp;"%)"</f>
        <v>(35%)</v>
      </c>
      <c r="AK2" s="117" t="s">
        <v>161</v>
      </c>
      <c r="AL2" s="118">
        <v>25.0</v>
      </c>
      <c r="AM2" s="119"/>
      <c r="AN2" s="120">
        <f>COUNTA(OFFSET(DVT_Laboratory!$B$3, 0, MATCH(AK2,DVT_Laboratory!$B$1:BM$1, 0)-1, 100, 1))</f>
        <v>25</v>
      </c>
      <c r="AO2" s="89" t="str">
        <f>"("&amp;ROUND(AQ43/AS43*100,0)&amp;"%)"</f>
        <v>(0%)</v>
      </c>
      <c r="AP2" s="121" t="s">
        <v>162</v>
      </c>
      <c r="AQ2" s="122">
        <v>0.0</v>
      </c>
      <c r="AR2" s="123"/>
      <c r="AS2" s="124">
        <f>COUNTA(OFFSET(DVT_Laboratory!$B$3, 0, MATCH(AP2,DVT_Laboratory!$B$1:BM$1, 0)-1, 100, 1))</f>
        <v>30</v>
      </c>
      <c r="AT2" s="89" t="str">
        <f>"("&amp;ROUND(AV43/AX43*100,0)&amp;"%)"</f>
        <v>(48%)</v>
      </c>
      <c r="AU2" s="125" t="s">
        <v>163</v>
      </c>
      <c r="AV2" s="126">
        <v>10.0</v>
      </c>
      <c r="AW2" s="127"/>
      <c r="AX2" s="128">
        <f>COUNTA(OFFSET(DVT_Laboratory!$B$3, 0, MATCH(AU2,DVT_Laboratory!$B$1:BM$1, 0)-1, 100, 1))</f>
        <v>10</v>
      </c>
      <c r="AY2" s="89" t="str">
        <f>"("&amp;ROUND(BA43/BC43*100,0)&amp;"%)"</f>
        <v>(0%)</v>
      </c>
      <c r="AZ2" s="129" t="s">
        <v>164</v>
      </c>
      <c r="BA2" s="130">
        <v>0.0</v>
      </c>
      <c r="BB2" s="130"/>
      <c r="BC2" s="131">
        <f>COUNTA(OFFSET(DVT_Laboratory!$B$3, 0, MATCH(AZ2,DVT_Laboratory!$B$1:BM$1, 0)-1, 100, 1))</f>
        <v>10</v>
      </c>
      <c r="BD2" s="132" t="s">
        <v>165</v>
      </c>
      <c r="BE2" s="133" t="s">
        <v>166</v>
      </c>
      <c r="BF2" s="134">
        <f>IDS_WS_COIN_LEVEL(BE2)</f>
        <v>99</v>
      </c>
      <c r="BG2" s="134">
        <f>IDS_WS_CASH_LEVEL(BE2)</f>
        <v>99</v>
      </c>
      <c r="BH2" s="135">
        <v>99.0</v>
      </c>
      <c r="BI2" s="132" t="s">
        <v>167</v>
      </c>
      <c r="BJ2" s="136" t="s">
        <v>168</v>
      </c>
      <c r="BK2" s="137">
        <f>IDS_CARD_LEVEL(BJ2)</f>
        <v>7</v>
      </c>
      <c r="BL2" s="138" t="b">
        <f>IDS_CARD_MASTERY(BJ2)</f>
        <v>0</v>
      </c>
      <c r="BM2" s="139"/>
    </row>
    <row r="3">
      <c r="A3" s="140"/>
      <c r="B3" s="90" t="s">
        <v>169</v>
      </c>
      <c r="C3" s="91">
        <v>6.0</v>
      </c>
      <c r="D3" s="141"/>
      <c r="E3" s="92">
        <f>COUNTA(OFFSET(DVT_Laboratory!$B$3, 0, MATCH(B3,DVT_Laboratory!$B$1:BM$1, 0)-1, 100, 1))</f>
        <v>99</v>
      </c>
      <c r="F3" s="140"/>
      <c r="G3" s="93" t="s">
        <v>170</v>
      </c>
      <c r="H3" s="94">
        <v>75.0</v>
      </c>
      <c r="I3" s="94"/>
      <c r="J3" s="96">
        <f>COUNTA(OFFSET(DVT_Laboratory!$B$3, 0, MATCH(G3,DVT_Laboratory!$B$1:BM$1, 0)-1, 100, 1))</f>
        <v>99</v>
      </c>
      <c r="K3" s="140"/>
      <c r="L3" s="97" t="s">
        <v>171</v>
      </c>
      <c r="M3" s="98">
        <v>68.0</v>
      </c>
      <c r="N3" s="99"/>
      <c r="O3" s="100">
        <f>COUNTA(OFFSET(DVT_Laboratory!$B$3, 0, MATCH(L3,DVT_Laboratory!$B$1:BM$1, 0)-1, 100, 1))</f>
        <v>100</v>
      </c>
      <c r="P3" s="140"/>
      <c r="Q3" s="101" t="s">
        <v>172</v>
      </c>
      <c r="R3" s="102">
        <v>8.0</v>
      </c>
      <c r="S3" s="103"/>
      <c r="T3" s="104">
        <f>COUNTA(OFFSET(DVT_Laboratory!$B$3, 0, MATCH(Q3,DVT_Laboratory!$B$1:BM$1, 0)-1, 100, 1))</f>
        <v>99</v>
      </c>
      <c r="U3" s="140"/>
      <c r="V3" s="105" t="s">
        <v>173</v>
      </c>
      <c r="W3" s="142">
        <v>0.0</v>
      </c>
      <c r="X3" s="143"/>
      <c r="Y3" s="108">
        <f>COUNTA(OFFSET(DVT_Laboratory!$B$3, 0, MATCH(V3,DVT_Laboratory!$B$1:BM$1, 0)-1, 100, 1))</f>
        <v>1</v>
      </c>
      <c r="Z3" s="140"/>
      <c r="AA3" s="109" t="s">
        <v>174</v>
      </c>
      <c r="AB3" s="110">
        <v>6.0</v>
      </c>
      <c r="AC3" s="111"/>
      <c r="AD3" s="112">
        <f>COUNTA(OFFSET(DVT_Laboratory!$B$3, 0, MATCH(AA3,DVT_Laboratory!$B$1:BM$1, 0)-1, 100, 1))</f>
        <v>30</v>
      </c>
      <c r="AE3" s="140"/>
      <c r="AF3" s="113" t="s">
        <v>175</v>
      </c>
      <c r="AG3" s="114">
        <v>13.0</v>
      </c>
      <c r="AH3" s="114">
        <v>17.0</v>
      </c>
      <c r="AI3" s="116">
        <f>COUNTA(OFFSET(DVT_Laboratory!$B$3, 0, MATCH(AF3,DVT_Laboratory!$B$1:BM$1, 0)-1, 100, 1))</f>
        <v>100</v>
      </c>
      <c r="AJ3" s="140"/>
      <c r="AK3" s="117" t="s">
        <v>176</v>
      </c>
      <c r="AL3" s="118">
        <v>0.0</v>
      </c>
      <c r="AM3" s="119"/>
      <c r="AN3" s="120">
        <f>COUNTA(OFFSET(DVT_Laboratory!$B$3, 0, MATCH(AK3,DVT_Laboratory!$B$1:BM$1, 0)-1, 100, 1))</f>
        <v>25</v>
      </c>
      <c r="AO3" s="140"/>
      <c r="AP3" s="121" t="s">
        <v>177</v>
      </c>
      <c r="AQ3" s="122">
        <v>0.0</v>
      </c>
      <c r="AR3" s="123"/>
      <c r="AS3" s="124">
        <f>COUNTA(OFFSET(DVT_Laboratory!$B$3, 0, MATCH(AP3,DVT_Laboratory!$B$1:BM$1, 0)-1, 100, 1))</f>
        <v>30</v>
      </c>
      <c r="AT3" s="140"/>
      <c r="AU3" s="125" t="s">
        <v>178</v>
      </c>
      <c r="AV3" s="126">
        <v>100.0</v>
      </c>
      <c r="AW3" s="126">
        <v>100.0</v>
      </c>
      <c r="AX3" s="128">
        <f>COUNTA(OFFSET(DVT_Laboratory!$B$3, 0, MATCH(AU3,DVT_Laboratory!$B$1:BM$1, 0)-1, 100, 1))</f>
        <v>100</v>
      </c>
      <c r="AY3" s="140"/>
      <c r="AZ3" s="129" t="s">
        <v>179</v>
      </c>
      <c r="BA3" s="130">
        <v>0.0</v>
      </c>
      <c r="BB3" s="130"/>
      <c r="BC3" s="144">
        <f>COUNTA(OFFSET(DVT_Laboratory!$B$3, 0, MATCH(AZ3,DVT_Laboratory!$B$1:BM$1, 0)-1, 100, 1))</f>
        <v>20</v>
      </c>
      <c r="BD3" s="140"/>
      <c r="BE3" s="145"/>
      <c r="BF3" s="145"/>
      <c r="BG3" s="145"/>
      <c r="BH3" s="145"/>
      <c r="BI3" s="140"/>
      <c r="BJ3" s="139"/>
      <c r="BK3" s="139"/>
      <c r="BL3" s="139"/>
      <c r="BM3" s="139"/>
    </row>
    <row r="4">
      <c r="A4" s="140"/>
      <c r="B4" s="90" t="s">
        <v>180</v>
      </c>
      <c r="C4" s="91">
        <v>27.0</v>
      </c>
      <c r="D4" s="141"/>
      <c r="E4" s="92">
        <f>COUNTA(OFFSET(DVT_Laboratory!$B$3, 0, MATCH(B4,DVT_Laboratory!$B$1:BM$1, 0)-1, 100, 1))</f>
        <v>99</v>
      </c>
      <c r="F4" s="140"/>
      <c r="G4" s="93" t="s">
        <v>181</v>
      </c>
      <c r="H4" s="94">
        <v>83.0</v>
      </c>
      <c r="I4" s="95"/>
      <c r="J4" s="96">
        <f>COUNTA(OFFSET(DVT_Laboratory!$B$3, 0, MATCH(G4,DVT_Laboratory!$B$1:BM$1, 0)-1, 100, 1))</f>
        <v>99</v>
      </c>
      <c r="K4" s="140"/>
      <c r="L4" s="97" t="s">
        <v>182</v>
      </c>
      <c r="M4" s="98">
        <v>14.0</v>
      </c>
      <c r="N4" s="98">
        <v>14.0</v>
      </c>
      <c r="O4" s="100">
        <f>COUNTA(OFFSET(DVT_Laboratory!$B$3, 0, MATCH(L4,DVT_Laboratory!$B$1:BM$1, 0)-1, 100, 1))</f>
        <v>100</v>
      </c>
      <c r="P4" s="140"/>
      <c r="Q4" s="101" t="s">
        <v>183</v>
      </c>
      <c r="R4" s="102">
        <v>87.0</v>
      </c>
      <c r="S4" s="103"/>
      <c r="T4" s="104">
        <f>COUNTA(OFFSET(DVT_Laboratory!$B$3, 0, MATCH(Q4,DVT_Laboratory!$B$1:BM$1, 0)-1, 100, 1))</f>
        <v>99</v>
      </c>
      <c r="U4" s="140"/>
      <c r="V4" s="105" t="s">
        <v>184</v>
      </c>
      <c r="W4" s="142">
        <v>0.0</v>
      </c>
      <c r="X4" s="143"/>
      <c r="Y4" s="108">
        <f>COUNTA(OFFSET(DVT_Laboratory!$B$3, 0, MATCH(V4,DVT_Laboratory!$B$1:BM$1, 0)-1, 100, 1))</f>
        <v>20</v>
      </c>
      <c r="Z4" s="140"/>
      <c r="AA4" s="109" t="s">
        <v>185</v>
      </c>
      <c r="AB4" s="110">
        <v>1.0</v>
      </c>
      <c r="AC4" s="111"/>
      <c r="AD4" s="112">
        <f>COUNTA(OFFSET(DVT_Laboratory!$B$3, 0, MATCH(AA4,DVT_Laboratory!$B$1:BM$1, 0)-1, 100, 1))</f>
        <v>1</v>
      </c>
      <c r="AE4" s="140"/>
      <c r="AF4" s="113" t="s">
        <v>186</v>
      </c>
      <c r="AG4" s="146">
        <v>1.0</v>
      </c>
      <c r="AH4" s="147"/>
      <c r="AI4" s="116">
        <f>COUNTA(OFFSET(DVT_Laboratory!$B$3, 0, MATCH(AF4,DVT_Laboratory!$B$1:BM$1, 0)-1, 100, 1))</f>
        <v>1</v>
      </c>
      <c r="AJ4" s="140"/>
      <c r="AK4" s="117" t="s">
        <v>187</v>
      </c>
      <c r="AL4" s="148">
        <v>21.0</v>
      </c>
      <c r="AM4" s="149"/>
      <c r="AN4" s="120">
        <f>COUNTA(OFFSET(DVT_Laboratory!$B$3, 0, MATCH(AK4,DVT_Laboratory!$B$1:BM$1, 0)-1, 100, 1))</f>
        <v>25</v>
      </c>
      <c r="AO4" s="140"/>
      <c r="AP4" s="121" t="s">
        <v>188</v>
      </c>
      <c r="AQ4" s="122">
        <v>0.0</v>
      </c>
      <c r="AR4" s="123"/>
      <c r="AS4" s="124">
        <f>COUNTA(OFFSET(DVT_Laboratory!$B$3, 0, MATCH(AP4,DVT_Laboratory!$B$1:BM$1, 0)-1, 100, 1))</f>
        <v>30</v>
      </c>
      <c r="AT4" s="140"/>
      <c r="AU4" s="125" t="s">
        <v>189</v>
      </c>
      <c r="AV4" s="126">
        <v>50.0</v>
      </c>
      <c r="AW4" s="126">
        <v>50.0</v>
      </c>
      <c r="AX4" s="128">
        <f>COUNTA(OFFSET(DVT_Laboratory!$B$3, 0, MATCH(AU4,DVT_Laboratory!$B$1:BM$1, 0)-1, 100, 1))</f>
        <v>50</v>
      </c>
      <c r="AY4" s="140"/>
      <c r="AZ4" s="129" t="s">
        <v>190</v>
      </c>
      <c r="BA4" s="130">
        <v>0.0</v>
      </c>
      <c r="BB4" s="130"/>
      <c r="BC4" s="144">
        <f>COUNTA(OFFSET(DVT_Laboratory!$B$3, 0, MATCH(AZ4,DVT_Laboratory!$B$1:BM$1, 0)-1, 100, 1))</f>
        <v>20</v>
      </c>
      <c r="BD4" s="140"/>
      <c r="BE4" s="145"/>
      <c r="BF4" s="145"/>
      <c r="BG4" s="145"/>
      <c r="BH4" s="145"/>
      <c r="BI4" s="140"/>
      <c r="BJ4" s="150" t="str">
        <f>IF('_IDS'!AH1="✅", HYPERLINK('_IDS'!AG1, "Go to my Relic Sheet"), "Relic")</f>
        <v>Relic</v>
      </c>
      <c r="BK4" s="151" t="s">
        <v>191</v>
      </c>
      <c r="BL4" s="9"/>
      <c r="BM4" s="139"/>
    </row>
    <row r="5">
      <c r="A5" s="152" t="s">
        <v>192</v>
      </c>
      <c r="B5" s="90" t="s">
        <v>193</v>
      </c>
      <c r="C5" s="91">
        <v>28.0</v>
      </c>
      <c r="D5" s="141"/>
      <c r="E5" s="92">
        <f>COUNTA(OFFSET(DVT_Laboratory!$B$3, 0, MATCH(B5,DVT_Laboratory!$B$1:BM$1, 0)-1, 100, 1))</f>
        <v>99</v>
      </c>
      <c r="F5" s="152" t="s">
        <v>194</v>
      </c>
      <c r="G5" s="93" t="s">
        <v>195</v>
      </c>
      <c r="H5" s="94">
        <v>33.0</v>
      </c>
      <c r="I5" s="95"/>
      <c r="J5" s="96">
        <f>COUNTA(OFFSET(DVT_Laboratory!$B$3, 0, MATCH(G5,DVT_Laboratory!$B$1:BM$1, 0)-1, 100, 1))</f>
        <v>80</v>
      </c>
      <c r="K5" s="152" t="s">
        <v>196</v>
      </c>
      <c r="L5" s="97" t="s">
        <v>197</v>
      </c>
      <c r="M5" s="98">
        <v>28.0</v>
      </c>
      <c r="N5" s="98">
        <v>28.0</v>
      </c>
      <c r="O5" s="100">
        <f>COUNTA(OFFSET(DVT_Laboratory!$B$3, 0, MATCH(L5,DVT_Laboratory!$B$1:BM$1, 0)-1, 100, 1))</f>
        <v>50</v>
      </c>
      <c r="P5" s="152" t="s">
        <v>198</v>
      </c>
      <c r="Q5" s="101" t="s">
        <v>199</v>
      </c>
      <c r="R5" s="102">
        <v>6.0</v>
      </c>
      <c r="S5" s="103"/>
      <c r="T5" s="104">
        <f>COUNTA(OFFSET(DVT_Laboratory!$B$3, 0, MATCH(Q5,DVT_Laboratory!$B$1:BM$1, 0)-1, 100, 1))</f>
        <v>99</v>
      </c>
      <c r="U5" s="152" t="s">
        <v>200</v>
      </c>
      <c r="V5" s="105" t="s">
        <v>201</v>
      </c>
      <c r="W5" s="142">
        <v>30.0</v>
      </c>
      <c r="X5" s="143"/>
      <c r="Y5" s="108">
        <f>COUNTA(OFFSET(DVT_Laboratory!$B$3, 0, MATCH(V5,DVT_Laboratory!$B$1:BM$1, 0)-1, 100, 1))</f>
        <v>30</v>
      </c>
      <c r="Z5" s="152" t="s">
        <v>202</v>
      </c>
      <c r="AA5" s="109" t="s">
        <v>203</v>
      </c>
      <c r="AB5" s="110">
        <v>2.0</v>
      </c>
      <c r="AC5" s="111"/>
      <c r="AD5" s="112">
        <f>COUNTA(OFFSET(DVT_Laboratory!$B$3, 0, MATCH(AA5,DVT_Laboratory!$B$1:BM$1, 0)-1, 100, 1))</f>
        <v>2</v>
      </c>
      <c r="AE5" s="152" t="s">
        <v>204</v>
      </c>
      <c r="AF5" s="113" t="s">
        <v>205</v>
      </c>
      <c r="AG5" s="114">
        <v>25.0</v>
      </c>
      <c r="AH5" s="115"/>
      <c r="AI5" s="116">
        <f>COUNTA(OFFSET(DVT_Laboratory!$B$3, 0, MATCH(AF5,DVT_Laboratory!$B$1:BM$1, 0)-1, 100, 1))</f>
        <v>25</v>
      </c>
      <c r="AJ5" s="152" t="s">
        <v>206</v>
      </c>
      <c r="AK5" s="117" t="s">
        <v>207</v>
      </c>
      <c r="AL5" s="118">
        <v>0.0</v>
      </c>
      <c r="AM5" s="119"/>
      <c r="AN5" s="120">
        <f>COUNTA(OFFSET(DVT_Laboratory!$B$3, 0, MATCH(AK5,DVT_Laboratory!$B$1:BM$1, 0)-1, 100, 1))</f>
        <v>25</v>
      </c>
      <c r="AO5" s="152" t="s">
        <v>208</v>
      </c>
      <c r="AP5" s="121" t="s">
        <v>209</v>
      </c>
      <c r="AQ5" s="122">
        <v>0.0</v>
      </c>
      <c r="AR5" s="123"/>
      <c r="AS5" s="124">
        <f>COUNTA(OFFSET(DVT_Laboratory!$B$3, 0, MATCH(AP5,DVT_Laboratory!$B$1:BM$1, 0)-1, 100, 1))</f>
        <v>30</v>
      </c>
      <c r="AT5" s="152" t="s">
        <v>210</v>
      </c>
      <c r="AU5" s="153" t="s">
        <v>211</v>
      </c>
      <c r="AV5" s="126">
        <v>30.0</v>
      </c>
      <c r="AW5" s="127"/>
      <c r="AX5" s="128">
        <f>COUNTA(OFFSET(DVT_Laboratory!$B$3, 0, MATCH(AU5,DVT_Laboratory!$B$1:BM$1, 0)-1, 100, 1))</f>
        <v>30</v>
      </c>
      <c r="AY5" s="145" t="s">
        <v>212</v>
      </c>
      <c r="AZ5" s="129" t="s">
        <v>213</v>
      </c>
      <c r="BA5" s="130">
        <v>0.0</v>
      </c>
      <c r="BB5" s="130"/>
      <c r="BC5" s="144">
        <f>COUNTA(OFFSET(DVT_Laboratory!$B$3, 0, MATCH(AZ5,DVT_Laboratory!$B$1:BM$1, 0)-1, 100, 1))</f>
        <v>20</v>
      </c>
      <c r="BD5" s="140"/>
      <c r="BE5" s="145"/>
      <c r="BF5" s="145"/>
      <c r="BG5" s="145"/>
      <c r="BH5" s="145"/>
      <c r="BI5" s="140"/>
      <c r="BJ5" s="154" t="s">
        <v>214</v>
      </c>
      <c r="BK5" s="155">
        <f t="shared" ref="BK5:BK6" si="1">IDS_RELIC_STAT(BJ5)</f>
        <v>0.395</v>
      </c>
      <c r="BL5" s="156"/>
      <c r="BM5" s="139"/>
    </row>
    <row r="6">
      <c r="A6" s="140"/>
      <c r="B6" s="90" t="s">
        <v>215</v>
      </c>
      <c r="C6" s="91">
        <v>41.0</v>
      </c>
      <c r="D6" s="141"/>
      <c r="E6" s="92">
        <f>COUNTA(OFFSET(DVT_Laboratory!$B$3, 0, MATCH(B6,DVT_Laboratory!$B$1:BM$1, 0)-1, 100, 1))</f>
        <v>99</v>
      </c>
      <c r="F6" s="140"/>
      <c r="G6" s="93" t="s">
        <v>216</v>
      </c>
      <c r="H6" s="94">
        <v>16.0</v>
      </c>
      <c r="I6" s="95"/>
      <c r="J6" s="96">
        <f>COUNTA(OFFSET(DVT_Laboratory!$B$3, 0, MATCH(G6,DVT_Laboratory!$B$1:BM$1, 0)-1, 100, 1))</f>
        <v>99</v>
      </c>
      <c r="K6" s="140"/>
      <c r="L6" s="97" t="s">
        <v>217</v>
      </c>
      <c r="M6" s="98">
        <v>20.0</v>
      </c>
      <c r="N6" s="99"/>
      <c r="O6" s="100">
        <f>COUNTA(OFFSET(DVT_Laboratory!$B$3, 0, MATCH(L6,DVT_Laboratory!$B$1:BM$1, 0)-1, 100, 1))</f>
        <v>20</v>
      </c>
      <c r="P6" s="140"/>
      <c r="Q6" s="101" t="s">
        <v>218</v>
      </c>
      <c r="R6" s="102">
        <v>11.0</v>
      </c>
      <c r="S6" s="103"/>
      <c r="T6" s="104">
        <f>COUNTA(OFFSET(DVT_Laboratory!$B$3, 0, MATCH(Q6,DVT_Laboratory!$B$1:BM$1, 0)-1, 100, 1))</f>
        <v>99</v>
      </c>
      <c r="U6" s="140"/>
      <c r="V6" s="105" t="s">
        <v>219</v>
      </c>
      <c r="W6" s="106">
        <v>1.0</v>
      </c>
      <c r="X6" s="107"/>
      <c r="Y6" s="108">
        <f>COUNTA(OFFSET(DVT_Laboratory!$B$3, 0, MATCH(V6,DVT_Laboratory!$B$1:BM$1, 0)-1, 100, 1))</f>
        <v>1</v>
      </c>
      <c r="Z6" s="140"/>
      <c r="AA6" s="109" t="s">
        <v>220</v>
      </c>
      <c r="AB6" s="110">
        <v>2.0</v>
      </c>
      <c r="AC6" s="111"/>
      <c r="AD6" s="112">
        <f>COUNTA(OFFSET(DVT_Laboratory!$B$3, 0, MATCH(AA6,DVT_Laboratory!$B$1:BM$1, 0)-1, 100, 1))</f>
        <v>2</v>
      </c>
      <c r="AE6" s="140"/>
      <c r="AF6" s="113" t="s">
        <v>221</v>
      </c>
      <c r="AG6" s="146">
        <v>2.0</v>
      </c>
      <c r="AH6" s="147"/>
      <c r="AI6" s="116">
        <f>COUNTA(OFFSET(DVT_Laboratory!$B$3, 0, MATCH(AF6,DVT_Laboratory!$B$1:BM$1, 0)-1, 100, 1))</f>
        <v>2</v>
      </c>
      <c r="AJ6" s="140"/>
      <c r="AK6" s="117" t="s">
        <v>222</v>
      </c>
      <c r="AL6" s="118">
        <v>0.0</v>
      </c>
      <c r="AM6" s="119"/>
      <c r="AN6" s="120">
        <f>COUNTA(OFFSET(DVT_Laboratory!$B$3, 0, MATCH(AK6,DVT_Laboratory!$B$1:BM$1, 0)-1, 100, 1))</f>
        <v>5</v>
      </c>
      <c r="AO6" s="140"/>
      <c r="AP6" s="121" t="s">
        <v>223</v>
      </c>
      <c r="AQ6" s="122">
        <v>0.0</v>
      </c>
      <c r="AR6" s="123"/>
      <c r="AS6" s="124">
        <f>COUNTA(OFFSET(DVT_Laboratory!$B$3, 0, MATCH(AP6,DVT_Laboratory!$B$1:BM$1, 0)-1, 100, 1))</f>
        <v>30</v>
      </c>
      <c r="AT6" s="140"/>
      <c r="AU6" s="125" t="s">
        <v>224</v>
      </c>
      <c r="AV6" s="126">
        <v>23.0</v>
      </c>
      <c r="AW6" s="127"/>
      <c r="AX6" s="128">
        <f>COUNTA(OFFSET(DVT_Laboratory!$B$3, 0, MATCH(AU6,DVT_Laboratory!$B$1:BM$1, 0)-1, 100, 1))</f>
        <v>30</v>
      </c>
      <c r="AY6" s="140"/>
      <c r="AZ6" s="129" t="s">
        <v>225</v>
      </c>
      <c r="BA6" s="130">
        <v>0.0</v>
      </c>
      <c r="BB6" s="130"/>
      <c r="BC6" s="144">
        <f>COUNTA(OFFSET(DVT_Laboratory!$B$3, 0, MATCH(AZ6,DVT_Laboratory!$B$1:BM$1, 0)-1, 100, 1))</f>
        <v>20</v>
      </c>
      <c r="BD6" s="140"/>
      <c r="BE6" s="145"/>
      <c r="BF6" s="145"/>
      <c r="BG6" s="145"/>
      <c r="BH6" s="145"/>
      <c r="BI6" s="140"/>
      <c r="BJ6" s="157" t="s">
        <v>226</v>
      </c>
      <c r="BK6" s="158">
        <f t="shared" si="1"/>
        <v>0.09</v>
      </c>
      <c r="BL6" s="156"/>
      <c r="BM6" s="139"/>
    </row>
    <row r="7">
      <c r="A7" s="140"/>
      <c r="B7" s="90" t="s">
        <v>227</v>
      </c>
      <c r="C7" s="91">
        <v>68.0</v>
      </c>
      <c r="D7" s="141"/>
      <c r="E7" s="92">
        <f>COUNTA(OFFSET(DVT_Laboratory!$B$3, 0, MATCH(B7,DVT_Laboratory!$B$1:BM$1, 0)-1, 100, 1))</f>
        <v>99</v>
      </c>
      <c r="F7" s="140"/>
      <c r="G7" s="93" t="s">
        <v>228</v>
      </c>
      <c r="H7" s="94">
        <v>9.0</v>
      </c>
      <c r="I7" s="95"/>
      <c r="J7" s="96">
        <f>COUNTA(OFFSET(DVT_Laboratory!$B$3, 0, MATCH(G7,DVT_Laboratory!$B$1:BM$1, 0)-1, 100, 1))</f>
        <v>50</v>
      </c>
      <c r="K7" s="140"/>
      <c r="L7" s="97" t="s">
        <v>229</v>
      </c>
      <c r="M7" s="98">
        <v>0.0</v>
      </c>
      <c r="N7" s="99"/>
      <c r="O7" s="100">
        <f>COUNTA(OFFSET(DVT_Laboratory!$B$3, 0, MATCH(L7,DVT_Laboratory!$B$1:BM$1, 0)-1, 100, 1))</f>
        <v>20</v>
      </c>
      <c r="P7" s="140"/>
      <c r="Q7" s="101" t="s">
        <v>230</v>
      </c>
      <c r="R7" s="102">
        <v>8.0</v>
      </c>
      <c r="S7" s="103"/>
      <c r="T7" s="104">
        <f>COUNTA(OFFSET(DVT_Laboratory!$B$3, 0, MATCH(Q7,DVT_Laboratory!$B$1:BM$1, 0)-1, 100, 1))</f>
        <v>15</v>
      </c>
      <c r="U7" s="140"/>
      <c r="V7" s="105" t="s">
        <v>231</v>
      </c>
      <c r="W7" s="106">
        <v>20.0</v>
      </c>
      <c r="X7" s="107"/>
      <c r="Y7" s="108">
        <f>COUNTA(OFFSET(DVT_Laboratory!$B$3, 0, MATCH(V7,DVT_Laboratory!$B$1:BM$1, 0)-1, 100, 1))</f>
        <v>30</v>
      </c>
      <c r="Z7" s="140"/>
      <c r="AA7" s="109" t="s">
        <v>232</v>
      </c>
      <c r="AB7" s="110">
        <v>0.0</v>
      </c>
      <c r="AC7" s="111"/>
      <c r="AD7" s="112">
        <f>COUNTA(OFFSET(DVT_Laboratory!$B$3, 0, MATCH(AA7,DVT_Laboratory!$B$1:BM$1, 0)-1, 100, 1))</f>
        <v>30</v>
      </c>
      <c r="AE7" s="140"/>
      <c r="AF7" s="113" t="s">
        <v>233</v>
      </c>
      <c r="AG7" s="146">
        <v>1.0</v>
      </c>
      <c r="AH7" s="147"/>
      <c r="AI7" s="116">
        <f>COUNTA(OFFSET(DVT_Laboratory!$B$3, 0, MATCH(AF7,DVT_Laboratory!$B$1:BM$1, 0)-1, 100, 1))</f>
        <v>1</v>
      </c>
      <c r="AJ7" s="140"/>
      <c r="AK7" s="117" t="s">
        <v>234</v>
      </c>
      <c r="AL7" s="118">
        <v>0.0</v>
      </c>
      <c r="AM7" s="119"/>
      <c r="AN7" s="120">
        <f>COUNTA(OFFSET(DVT_Laboratory!$B$3, 0, MATCH(AK7,DVT_Laboratory!$B$1:BM$1, 0)-1, 100, 1))</f>
        <v>20</v>
      </c>
      <c r="AO7" s="140"/>
      <c r="AP7" s="121" t="s">
        <v>235</v>
      </c>
      <c r="AQ7" s="122">
        <v>0.0</v>
      </c>
      <c r="AR7" s="123"/>
      <c r="AS7" s="124">
        <f>COUNTA(OFFSET(DVT_Laboratory!$B$3, 0, MATCH(AP7,DVT_Laboratory!$B$1:BM$1, 0)-1, 100, 1))</f>
        <v>30</v>
      </c>
      <c r="AT7" s="140"/>
      <c r="AU7" s="153" t="s">
        <v>236</v>
      </c>
      <c r="AV7" s="126">
        <v>10.0</v>
      </c>
      <c r="AW7" s="126">
        <v>10.0</v>
      </c>
      <c r="AX7" s="128">
        <f>COUNTA(OFFSET(DVT_Laboratory!$B$3, 0, MATCH(AU7,DVT_Laboratory!$B$1:BM$1, 0)-1, 100, 1))</f>
        <v>10</v>
      </c>
      <c r="AY7" s="140"/>
      <c r="AZ7" s="129" t="s">
        <v>237</v>
      </c>
      <c r="BA7" s="130">
        <v>0.0</v>
      </c>
      <c r="BB7" s="130"/>
      <c r="BC7" s="144">
        <f>COUNTA(OFFSET(DVT_Laboratory!$B$3, 0, MATCH(AZ7,DVT_Laboratory!$B$1:BM$1, 0)-1, 100, 1))</f>
        <v>20</v>
      </c>
      <c r="BD7" s="140"/>
      <c r="BE7" s="145"/>
      <c r="BF7" s="145"/>
      <c r="BG7" s="145"/>
      <c r="BH7" s="145"/>
      <c r="BI7" s="140"/>
      <c r="BJ7" s="159"/>
      <c r="BK7" s="160"/>
      <c r="BL7" s="139"/>
      <c r="BM7" s="139"/>
    </row>
    <row r="8">
      <c r="A8" s="140"/>
      <c r="B8" s="90" t="s">
        <v>238</v>
      </c>
      <c r="C8" s="91">
        <v>91.0</v>
      </c>
      <c r="D8" s="141"/>
      <c r="E8" s="92">
        <f>COUNTA(OFFSET(DVT_Laboratory!$B$3, 0, MATCH(B8,DVT_Laboratory!$B$1:BM$1, 0)-1, 100, 1))</f>
        <v>99</v>
      </c>
      <c r="F8" s="140"/>
      <c r="G8" s="93" t="s">
        <v>239</v>
      </c>
      <c r="H8" s="94">
        <v>13.0</v>
      </c>
      <c r="I8" s="95"/>
      <c r="J8" s="96">
        <f>COUNTA(OFFSET(DVT_Laboratory!$B$3, 0, MATCH(G8,DVT_Laboratory!$B$1:BM$1, 0)-1, 100, 1))</f>
        <v>40</v>
      </c>
      <c r="K8" s="140"/>
      <c r="L8" s="97" t="s">
        <v>240</v>
      </c>
      <c r="M8" s="98">
        <v>13.0</v>
      </c>
      <c r="N8" s="99"/>
      <c r="O8" s="100">
        <f>COUNTA(OFFSET(DVT_Laboratory!$B$3, 0, MATCH(L8,DVT_Laboratory!$B$1:BM$1, 0)-1, 100, 1))</f>
        <v>35</v>
      </c>
      <c r="P8" s="140"/>
      <c r="Q8" s="101" t="s">
        <v>241</v>
      </c>
      <c r="R8" s="102">
        <v>1.0</v>
      </c>
      <c r="S8" s="103"/>
      <c r="T8" s="104">
        <f>COUNTA(OFFSET(DVT_Laboratory!$B$3, 0, MATCH(Q8,DVT_Laboratory!$B$1:BM$1, 0)-1, 100, 1))</f>
        <v>1</v>
      </c>
      <c r="U8" s="140"/>
      <c r="V8" s="105" t="s">
        <v>242</v>
      </c>
      <c r="W8" s="142">
        <v>0.0</v>
      </c>
      <c r="X8" s="143"/>
      <c r="Y8" s="108">
        <f>COUNTA(OFFSET(DVT_Laboratory!$B$3, 0, MATCH(V8,DVT_Laboratory!$B$1:BM$1, 0)-1, 100, 1))</f>
        <v>30</v>
      </c>
      <c r="Z8" s="140"/>
      <c r="AA8" s="161" t="s">
        <v>243</v>
      </c>
      <c r="AB8" s="110">
        <v>7.0</v>
      </c>
      <c r="AC8" s="111"/>
      <c r="AD8" s="112">
        <f>COUNTA(OFFSET(DVT_Laboratory!$B$3, 0, MATCH(AA8,DVT_Laboratory!$B$1:BM$1, 0)-1, 100, 1))</f>
        <v>7</v>
      </c>
      <c r="AE8" s="140"/>
      <c r="AF8" s="113" t="s">
        <v>244</v>
      </c>
      <c r="AG8" s="146">
        <v>6.0</v>
      </c>
      <c r="AH8" s="147"/>
      <c r="AI8" s="116">
        <f>COUNTA(OFFSET(DVT_Laboratory!$B$3, 0, MATCH(AF8,DVT_Laboratory!$B$1:BM$1, 0)-1, 100, 1))</f>
        <v>8</v>
      </c>
      <c r="AJ8" s="140"/>
      <c r="AK8" s="117" t="s">
        <v>245</v>
      </c>
      <c r="AL8" s="118">
        <v>12.0</v>
      </c>
      <c r="AM8" s="119"/>
      <c r="AN8" s="120">
        <f>COUNTA(OFFSET(DVT_Laboratory!$B$3, 0, MATCH(AK8,DVT_Laboratory!$B$1:BM$1, 0)-1, 100, 1))</f>
        <v>20</v>
      </c>
      <c r="AO8" s="140"/>
      <c r="AP8" s="121" t="s">
        <v>246</v>
      </c>
      <c r="AQ8" s="122">
        <v>0.0</v>
      </c>
      <c r="AR8" s="123"/>
      <c r="AS8" s="124">
        <f>COUNTA(OFFSET(DVT_Laboratory!$B$3, 0, MATCH(AP8,DVT_Laboratory!$B$1:BM$1, 0)-1, 100, 1))</f>
        <v>30</v>
      </c>
      <c r="AT8" s="140"/>
      <c r="AU8" s="153" t="s">
        <v>247</v>
      </c>
      <c r="AV8" s="126">
        <v>1.0</v>
      </c>
      <c r="AW8" s="127"/>
      <c r="AX8" s="128">
        <f>COUNTA(OFFSET(DVT_Laboratory!$B$3, 0, MATCH(AU8,DVT_Laboratory!$B$1:BM$1, 0)-1, 100, 1))</f>
        <v>1</v>
      </c>
      <c r="AY8" s="140"/>
      <c r="AZ8" s="129" t="s">
        <v>248</v>
      </c>
      <c r="BA8" s="130">
        <v>0.0</v>
      </c>
      <c r="BB8" s="130"/>
      <c r="BC8" s="144">
        <f>COUNTA(OFFSET(DVT_Laboratory!$B$3, 0, MATCH(AZ8,DVT_Laboratory!$B$1:BM$1, 0)-1, 100, 1))</f>
        <v>20</v>
      </c>
      <c r="BD8" s="140"/>
      <c r="BE8" s="145"/>
      <c r="BF8" s="145"/>
      <c r="BG8" s="145"/>
      <c r="BH8" s="145"/>
      <c r="BI8" s="140"/>
      <c r="BJ8" s="150" t="str">
        <f>IF('_IDS'!$AK$1="✅", HYPERLINK('_IDS'!AJ1, "Go to my Vault Sheet"), "Vault")</f>
        <v>Vault</v>
      </c>
      <c r="BK8" s="151" t="s">
        <v>191</v>
      </c>
      <c r="BL8" s="9"/>
      <c r="BM8" s="139"/>
    </row>
    <row r="9">
      <c r="A9" s="140"/>
      <c r="B9" s="90" t="s">
        <v>249</v>
      </c>
      <c r="C9" s="91">
        <v>4.0</v>
      </c>
      <c r="D9" s="141"/>
      <c r="E9" s="92">
        <f>COUNTA(OFFSET(DVT_Laboratory!$B$3, 0, MATCH(B9,DVT_Laboratory!$B$1:BM$1, 0)-1, 100, 1))</f>
        <v>4</v>
      </c>
      <c r="F9" s="140"/>
      <c r="G9" s="93" t="s">
        <v>250</v>
      </c>
      <c r="H9" s="94">
        <v>0.0</v>
      </c>
      <c r="I9" s="95"/>
      <c r="J9" s="96">
        <f>COUNTA(OFFSET(DVT_Laboratory!$B$3, 0, MATCH(G9,DVT_Laboratory!$B$1:BM$1, 0)-1, 100, 1))</f>
        <v>30</v>
      </c>
      <c r="K9" s="140"/>
      <c r="L9" s="97" t="s">
        <v>251</v>
      </c>
      <c r="M9" s="98">
        <v>10.0</v>
      </c>
      <c r="N9" s="99"/>
      <c r="O9" s="100">
        <f>COUNTA(OFFSET(DVT_Laboratory!$B$3, 0, MATCH(L9,DVT_Laboratory!$B$1:BM$1, 0)-1, 100, 1))</f>
        <v>20</v>
      </c>
      <c r="P9" s="140"/>
      <c r="Q9" s="101" t="s">
        <v>252</v>
      </c>
      <c r="R9" s="102">
        <v>0.0</v>
      </c>
      <c r="S9" s="103"/>
      <c r="T9" s="104">
        <f>COUNTA(OFFSET(DVT_Laboratory!$B$3, 0, MATCH(Q9,DVT_Laboratory!$B$1:BM$1, 0)-1, 100, 1))</f>
        <v>20</v>
      </c>
      <c r="U9" s="140"/>
      <c r="V9" s="105" t="s">
        <v>253</v>
      </c>
      <c r="W9" s="106">
        <v>0.0</v>
      </c>
      <c r="X9" s="107"/>
      <c r="Y9" s="108">
        <f>COUNTA(OFFSET(DVT_Laboratory!$B$3, 0, MATCH(V9,DVT_Laboratory!$B$1:BM$1, 0)-1, 100, 1))</f>
        <v>1</v>
      </c>
      <c r="Z9" s="140"/>
      <c r="AA9" s="161" t="s">
        <v>254</v>
      </c>
      <c r="AB9" s="110">
        <v>4.0</v>
      </c>
      <c r="AC9" s="111"/>
      <c r="AD9" s="112">
        <f>COUNTA(OFFSET(DVT_Laboratory!$B$3, 0, MATCH(AA9,DVT_Laboratory!$B$1:BM$1, 0)-1, 100, 1))</f>
        <v>7</v>
      </c>
      <c r="AE9" s="140"/>
      <c r="AF9" s="113" t="s">
        <v>255</v>
      </c>
      <c r="AG9" s="146">
        <v>10.0</v>
      </c>
      <c r="AH9" s="147"/>
      <c r="AI9" s="116">
        <f>COUNTA(OFFSET(DVT_Laboratory!$B$3, 0, MATCH(AF9,DVT_Laboratory!$B$1:BM$1, 0)-1, 100, 1))</f>
        <v>10</v>
      </c>
      <c r="AJ9" s="140"/>
      <c r="AK9" s="162" t="s">
        <v>256</v>
      </c>
      <c r="AL9" s="163">
        <v>0.0</v>
      </c>
      <c r="AM9" s="164"/>
      <c r="AN9" s="165">
        <f>COUNTA(OFFSET(DVT_Laboratory!$B$3, 0, MATCH(AK9,DVT_Laboratory!$B$1:BM$1, 0)-1, 100, 1))</f>
        <v>20</v>
      </c>
      <c r="AO9" s="140"/>
      <c r="AP9" s="121" t="s">
        <v>257</v>
      </c>
      <c r="AQ9" s="122">
        <v>0.0</v>
      </c>
      <c r="AR9" s="123"/>
      <c r="AS9" s="124">
        <f>COUNTA(OFFSET(DVT_Laboratory!$B$3, 0, MATCH(AP9,DVT_Laboratory!$B$1:BM$1, 0)-1, 100, 1))</f>
        <v>30</v>
      </c>
      <c r="AT9" s="140"/>
      <c r="AU9" s="153" t="s">
        <v>258</v>
      </c>
      <c r="AV9" s="126">
        <v>5.0</v>
      </c>
      <c r="AW9" s="127"/>
      <c r="AX9" s="128">
        <f>COUNTA(OFFSET(DVT_Laboratory!$B$3, 0, MATCH(AU9,DVT_Laboratory!$B$1:BM$1, 0)-1, 100, 1))</f>
        <v>5</v>
      </c>
      <c r="AY9" s="140"/>
      <c r="AZ9" s="129" t="s">
        <v>259</v>
      </c>
      <c r="BA9" s="130">
        <v>0.0</v>
      </c>
      <c r="BB9" s="130"/>
      <c r="BC9" s="144">
        <f>COUNTA(OFFSET(DVT_Laboratory!$B$3, 0, MATCH(AZ9,DVT_Laboratory!$B$1:BM$1, 0)-1, 100, 1))</f>
        <v>20</v>
      </c>
      <c r="BD9" s="140"/>
      <c r="BE9" s="145"/>
      <c r="BF9" s="145"/>
      <c r="BG9" s="145"/>
      <c r="BH9" s="145"/>
      <c r="BI9" s="140"/>
      <c r="BJ9" s="157" t="s">
        <v>166</v>
      </c>
      <c r="BK9" s="166">
        <f>IDS_VAULT_STAT(BJ9)</f>
        <v>0</v>
      </c>
      <c r="BL9" s="167"/>
      <c r="BM9" s="139"/>
    </row>
    <row r="10">
      <c r="A10" s="140"/>
      <c r="B10" s="90" t="s">
        <v>260</v>
      </c>
      <c r="C10" s="91">
        <v>1.0</v>
      </c>
      <c r="D10" s="141"/>
      <c r="E10" s="92">
        <f>COUNTA(OFFSET(DVT_Laboratory!$B$3, 0, MATCH(B10,DVT_Laboratory!$B$1:BM$1, 0)-1, 100, 1))</f>
        <v>1</v>
      </c>
      <c r="F10" s="140"/>
      <c r="G10" s="93" t="s">
        <v>261</v>
      </c>
      <c r="H10" s="94">
        <v>1.0</v>
      </c>
      <c r="I10" s="95"/>
      <c r="J10" s="96">
        <f>COUNTA(OFFSET(DVT_Laboratory!$B$3, 0, MATCH(G10,DVT_Laboratory!$B$1:BM$1, 0)-1, 100, 1))</f>
        <v>1</v>
      </c>
      <c r="K10" s="140"/>
      <c r="L10" s="97" t="s">
        <v>262</v>
      </c>
      <c r="M10" s="98">
        <v>10.0</v>
      </c>
      <c r="N10" s="99"/>
      <c r="O10" s="100">
        <f>COUNTA(OFFSET(DVT_Laboratory!$B$3, 0, MATCH(L10,DVT_Laboratory!$B$1:BM$1, 0)-1, 100, 1))</f>
        <v>10</v>
      </c>
      <c r="P10" s="140"/>
      <c r="Q10" s="101" t="s">
        <v>263</v>
      </c>
      <c r="R10" s="102">
        <v>0.0</v>
      </c>
      <c r="S10" s="103"/>
      <c r="T10" s="104">
        <f>COUNTA(OFFSET(DVT_Laboratory!$B$3, 0, MATCH(Q10,DVT_Laboratory!$B$1:BM$1, 0)-1, 100, 1))</f>
        <v>20</v>
      </c>
      <c r="U10" s="140"/>
      <c r="V10" s="105" t="s">
        <v>264</v>
      </c>
      <c r="W10" s="106">
        <v>0.0</v>
      </c>
      <c r="X10" s="107"/>
      <c r="Y10" s="108">
        <f>COUNTA(OFFSET(DVT_Laboratory!$B$3, 0, MATCH(V10,DVT_Laboratory!$B$1:BM$1, 0)-1, 100, 1))</f>
        <v>30</v>
      </c>
      <c r="Z10" s="140"/>
      <c r="AA10" s="168" t="s">
        <v>265</v>
      </c>
      <c r="AB10" s="169">
        <v>2.0</v>
      </c>
      <c r="AC10" s="170"/>
      <c r="AD10" s="171">
        <f>COUNTA(OFFSET(DVT_Laboratory!$B$3, 0, MATCH(AA10,DVT_Laboratory!$B$1:BM$1, 0)-1, 100, 1))</f>
        <v>7</v>
      </c>
      <c r="AE10" s="140"/>
      <c r="AF10" s="172" t="s">
        <v>266</v>
      </c>
      <c r="AG10" s="173">
        <v>12.0</v>
      </c>
      <c r="AH10" s="174"/>
      <c r="AI10" s="175">
        <f>COUNTA(OFFSET(DVT_Laboratory!$B$3, 0, MATCH(AF10,DVT_Laboratory!$B$1:BM$1, 0)-1, 100, 1))</f>
        <v>32</v>
      </c>
      <c r="AJ10" s="140"/>
      <c r="AK10" s="176"/>
      <c r="AL10" s="25"/>
      <c r="AM10" s="25"/>
      <c r="AN10" s="177"/>
      <c r="AO10" s="140"/>
      <c r="AP10" s="121" t="s">
        <v>267</v>
      </c>
      <c r="AQ10" s="122">
        <v>0.0</v>
      </c>
      <c r="AR10" s="123"/>
      <c r="AS10" s="124">
        <f>COUNTA(OFFSET(DVT_Laboratory!$B$3, 0, MATCH(AP10,DVT_Laboratory!$B$1:BM$1, 0)-1, 100, 1))</f>
        <v>30</v>
      </c>
      <c r="AT10" s="140"/>
      <c r="AU10" s="153" t="s">
        <v>268</v>
      </c>
      <c r="AV10" s="126">
        <v>0.0</v>
      </c>
      <c r="AW10" s="127"/>
      <c r="AX10" s="128">
        <f>COUNTA(OFFSET(DVT_Laboratory!$B$3, 0, MATCH(AU10,DVT_Laboratory!$B$1:BM$1, 0)-1, 100, 1))</f>
        <v>4</v>
      </c>
      <c r="AY10" s="140"/>
      <c r="AZ10" s="178" t="s">
        <v>269</v>
      </c>
      <c r="BA10" s="130">
        <v>0.0</v>
      </c>
      <c r="BB10" s="130"/>
      <c r="BC10" s="144">
        <f>COUNTA(OFFSET(DVT_Laboratory!$B$3, 0, MATCH(AZ10,DVT_Laboratory!$B$1:BM$1, 0)-1, 100, 1))</f>
        <v>20</v>
      </c>
      <c r="BD10" s="140"/>
      <c r="BE10" s="145"/>
      <c r="BF10" s="145"/>
      <c r="BG10" s="145"/>
      <c r="BH10" s="145"/>
      <c r="BI10" s="140"/>
      <c r="BJ10" s="159"/>
      <c r="BK10" s="159"/>
      <c r="BL10" s="139"/>
      <c r="BM10" s="139"/>
    </row>
    <row r="11">
      <c r="A11" s="140"/>
      <c r="B11" s="90" t="s">
        <v>270</v>
      </c>
      <c r="C11" s="91">
        <v>2.0</v>
      </c>
      <c r="D11" s="91"/>
      <c r="E11" s="92">
        <f>COUNTA(OFFSET(DVT_Laboratory!$B$3, 0, MATCH(B11,DVT_Laboratory!$B$1:BM$1, 0)-1, 100, 1))</f>
        <v>2</v>
      </c>
      <c r="F11" s="140"/>
      <c r="G11" s="176"/>
      <c r="H11" s="25"/>
      <c r="I11" s="25"/>
      <c r="J11" s="177"/>
      <c r="K11" s="140"/>
      <c r="L11" s="97" t="s">
        <v>271</v>
      </c>
      <c r="M11" s="98">
        <v>50.0</v>
      </c>
      <c r="N11" s="99"/>
      <c r="O11" s="100">
        <f>COUNTA(OFFSET(DVT_Laboratory!$B$3, 0, MATCH(L11,DVT_Laboratory!$B$1:BM$1, 0)-1, 100, 1))</f>
        <v>50</v>
      </c>
      <c r="P11" s="140"/>
      <c r="Q11" s="101" t="s">
        <v>272</v>
      </c>
      <c r="R11" s="102">
        <v>20.0</v>
      </c>
      <c r="S11" s="103"/>
      <c r="T11" s="104">
        <f>COUNTA(OFFSET(DVT_Laboratory!$B$3, 0, MATCH(Q11,DVT_Laboratory!$B$1:BM$1, 0)-1, 100, 1))</f>
        <v>20</v>
      </c>
      <c r="U11" s="140"/>
      <c r="V11" s="105" t="s">
        <v>273</v>
      </c>
      <c r="W11" s="106">
        <v>0.0</v>
      </c>
      <c r="X11" s="107"/>
      <c r="Y11" s="108">
        <f>COUNTA(OFFSET(DVT_Laboratory!$B$3, 0, MATCH(V11,DVT_Laboratory!$B$1:BM$1, 0)-1, 100, 1))</f>
        <v>30</v>
      </c>
      <c r="Z11" s="140"/>
      <c r="AA11" s="179" t="s">
        <v>274</v>
      </c>
      <c r="AB11" s="180">
        <v>0.0</v>
      </c>
      <c r="AC11" s="181"/>
      <c r="AD11" s="182">
        <f>COUNTA(OFFSET(DVT_Laboratory!$B$3, 0, MATCH("Card Mastery",DVT_Laboratory!$B$1:BM$1, 0)-1, 100, 1))</f>
        <v>9</v>
      </c>
      <c r="AE11" s="140"/>
      <c r="AF11" s="176"/>
      <c r="AG11" s="25"/>
      <c r="AH11" s="25"/>
      <c r="AI11" s="177"/>
      <c r="AJ11" s="140"/>
      <c r="AK11" s="176"/>
      <c r="AL11" s="25"/>
      <c r="AM11" s="25"/>
      <c r="AN11" s="177"/>
      <c r="AO11" s="140"/>
      <c r="AP11" s="121" t="s">
        <v>275</v>
      </c>
      <c r="AQ11" s="122">
        <v>0.0</v>
      </c>
      <c r="AR11" s="123"/>
      <c r="AS11" s="124">
        <f>COUNTA(OFFSET(DVT_Laboratory!$B$3, 0, MATCH(AP11,DVT_Laboratory!$B$1:BM$1, 0)-1, 100, 1))</f>
        <v>30</v>
      </c>
      <c r="AT11" s="140"/>
      <c r="AU11" s="153" t="s">
        <v>276</v>
      </c>
      <c r="AV11" s="126">
        <v>2.0</v>
      </c>
      <c r="AW11" s="127"/>
      <c r="AX11" s="128">
        <f>COUNTA(OFFSET(DVT_Laboratory!$B$3, 0, MATCH(AU11,DVT_Laboratory!$B$1:BM$1, 0)-1, 100, 1))</f>
        <v>4</v>
      </c>
      <c r="AY11" s="140"/>
      <c r="AZ11" s="178" t="s">
        <v>277</v>
      </c>
      <c r="BA11" s="130">
        <v>0.0</v>
      </c>
      <c r="BB11" s="130"/>
      <c r="BC11" s="144">
        <f>COUNTA(OFFSET(DVT_Laboratory!$B$3, 0, MATCH(AZ11,DVT_Laboratory!$B$1:BM$1, 0)-1, 100, 1))</f>
        <v>20</v>
      </c>
      <c r="BD11" s="140"/>
      <c r="BE11" s="145"/>
      <c r="BF11" s="145"/>
      <c r="BG11" s="145"/>
      <c r="BH11" s="145"/>
      <c r="BI11" s="140"/>
      <c r="BJ11" s="159"/>
      <c r="BK11" s="159"/>
      <c r="BL11" s="139"/>
      <c r="BM11" s="139"/>
    </row>
    <row r="12">
      <c r="A12" s="140"/>
      <c r="B12" s="90" t="s">
        <v>278</v>
      </c>
      <c r="C12" s="91">
        <v>1.0</v>
      </c>
      <c r="D12" s="141"/>
      <c r="E12" s="92">
        <f>COUNTA(OFFSET(DVT_Laboratory!$B$3, 0, MATCH(B12,DVT_Laboratory!$B$1:BM$1, 0)-1, 100, 1))</f>
        <v>1</v>
      </c>
      <c r="F12" s="140"/>
      <c r="G12" s="176"/>
      <c r="H12" s="25"/>
      <c r="I12" s="25"/>
      <c r="J12" s="177"/>
      <c r="K12" s="140"/>
      <c r="L12" s="97" t="s">
        <v>279</v>
      </c>
      <c r="M12" s="98">
        <v>9.0</v>
      </c>
      <c r="N12" s="99"/>
      <c r="O12" s="100">
        <f>COUNTA(OFFSET(DVT_Laboratory!$B$3, 0, MATCH(L12,DVT_Laboratory!$B$1:BM$1, 0)-1, 100, 1))</f>
        <v>20</v>
      </c>
      <c r="P12" s="140"/>
      <c r="Q12" s="101" t="s">
        <v>280</v>
      </c>
      <c r="R12" s="102">
        <v>20.0</v>
      </c>
      <c r="S12" s="103"/>
      <c r="T12" s="104">
        <f>COUNTA(OFFSET(DVT_Laboratory!$B$3, 0, MATCH(Q12,DVT_Laboratory!$B$1:BM$1, 0)-1, 100, 1))</f>
        <v>20</v>
      </c>
      <c r="U12" s="140"/>
      <c r="V12" s="105" t="s">
        <v>281</v>
      </c>
      <c r="W12" s="142">
        <v>22.0</v>
      </c>
      <c r="X12" s="143"/>
      <c r="Y12" s="108">
        <f>COUNTA(OFFSET(DVT_Laboratory!$B$3, 0, MATCH(V12,DVT_Laboratory!$B$1:BM$1, 0)-1, 100, 1))</f>
        <v>25</v>
      </c>
      <c r="Z12" s="140"/>
      <c r="AA12" s="179" t="s">
        <v>282</v>
      </c>
      <c r="AB12" s="180">
        <v>0.0</v>
      </c>
      <c r="AC12" s="181"/>
      <c r="AD12" s="182">
        <f>COUNTA(OFFSET(DVT_Laboratory!$B$3, 0, MATCH("Card Mastery",DVT_Laboratory!$B$1:BM$1, 0)-1, 100, 1))</f>
        <v>9</v>
      </c>
      <c r="AE12" s="140"/>
      <c r="AF12" s="176"/>
      <c r="AG12" s="25"/>
      <c r="AH12" s="25"/>
      <c r="AI12" s="177"/>
      <c r="AJ12" s="140"/>
      <c r="AK12" s="176"/>
      <c r="AL12" s="25"/>
      <c r="AM12" s="25"/>
      <c r="AN12" s="177"/>
      <c r="AO12" s="140"/>
      <c r="AP12" s="121" t="s">
        <v>283</v>
      </c>
      <c r="AQ12" s="122">
        <v>0.0</v>
      </c>
      <c r="AR12" s="123"/>
      <c r="AS12" s="124">
        <f>COUNTA(OFFSET(DVT_Laboratory!$B$3, 0, MATCH(AP12,DVT_Laboratory!$B$1:BM$1, 0)-1, 100, 1))</f>
        <v>30</v>
      </c>
      <c r="AT12" s="140"/>
      <c r="AU12" s="153" t="s">
        <v>284</v>
      </c>
      <c r="AV12" s="126">
        <v>1.0</v>
      </c>
      <c r="AW12" s="127"/>
      <c r="AX12" s="128">
        <f>COUNTA(OFFSET(DVT_Laboratory!$B$3, 0, MATCH(AU12,DVT_Laboratory!$B$1:BM$1, 0)-1, 100, 1))</f>
        <v>3</v>
      </c>
      <c r="AY12" s="140"/>
      <c r="AZ12" s="178" t="s">
        <v>285</v>
      </c>
      <c r="BA12" s="130">
        <v>0.0</v>
      </c>
      <c r="BB12" s="130"/>
      <c r="BC12" s="144">
        <f>COUNTA(OFFSET(DVT_Laboratory!$B$3, 0, MATCH(AZ12,DVT_Laboratory!$B$1:BM$1, 0)-1, 100, 1))</f>
        <v>10</v>
      </c>
      <c r="BD12" s="140"/>
      <c r="BE12" s="145"/>
      <c r="BF12" s="145"/>
      <c r="BG12" s="145"/>
      <c r="BH12" s="145"/>
      <c r="BI12" s="140"/>
      <c r="BJ12" s="159"/>
      <c r="BK12" s="159"/>
      <c r="BL12" s="139"/>
      <c r="BM12" s="139"/>
    </row>
    <row r="13">
      <c r="A13" s="140"/>
      <c r="B13" s="90" t="s">
        <v>286</v>
      </c>
      <c r="C13" s="91">
        <v>1.0</v>
      </c>
      <c r="D13" s="141"/>
      <c r="E13" s="92">
        <f>COUNTA(OFFSET(DVT_Laboratory!$B$3, 0, MATCH(B13,DVT_Laboratory!$B$1:BM$1, 0)-1, 100, 1))</f>
        <v>1</v>
      </c>
      <c r="F13" s="140"/>
      <c r="G13" s="176"/>
      <c r="H13" s="25"/>
      <c r="I13" s="25"/>
      <c r="J13" s="177"/>
      <c r="K13" s="140"/>
      <c r="L13" s="97" t="s">
        <v>287</v>
      </c>
      <c r="M13" s="98">
        <v>21.0</v>
      </c>
      <c r="N13" s="99"/>
      <c r="O13" s="100">
        <f>COUNTA(OFFSET(DVT_Laboratory!$B$3, 0, MATCH(L13,DVT_Laboratory!$B$1:BM$1, 0)-1, 100, 1))</f>
        <v>30</v>
      </c>
      <c r="P13" s="140"/>
      <c r="Q13" s="101" t="s">
        <v>288</v>
      </c>
      <c r="R13" s="102">
        <v>20.0</v>
      </c>
      <c r="S13" s="103"/>
      <c r="T13" s="104">
        <f>COUNTA(OFFSET(DVT_Laboratory!$B$3, 0, MATCH(Q13,DVT_Laboratory!$B$1:BM$1, 0)-1, 100, 1))</f>
        <v>20</v>
      </c>
      <c r="U13" s="140"/>
      <c r="V13" s="105" t="s">
        <v>289</v>
      </c>
      <c r="W13" s="106">
        <v>19.0</v>
      </c>
      <c r="X13" s="107"/>
      <c r="Y13" s="108">
        <f>COUNTA(OFFSET(DVT_Laboratory!$B$3, 0, MATCH(V13,DVT_Laboratory!$B$1:BM$1, 0)-1, 100, 1))</f>
        <v>20</v>
      </c>
      <c r="Z13" s="140"/>
      <c r="AA13" s="179" t="s">
        <v>290</v>
      </c>
      <c r="AB13" s="180">
        <v>0.0</v>
      </c>
      <c r="AC13" s="181"/>
      <c r="AD13" s="182">
        <f>COUNTA(OFFSET(DVT_Laboratory!$B$3, 0, MATCH("Card Mastery",DVT_Laboratory!$B$1:BM$1, 0)-1, 100, 1))</f>
        <v>9</v>
      </c>
      <c r="AE13" s="140"/>
      <c r="AF13" s="176"/>
      <c r="AG13" s="25"/>
      <c r="AH13" s="25"/>
      <c r="AI13" s="177"/>
      <c r="AJ13" s="140"/>
      <c r="AK13" s="176"/>
      <c r="AL13" s="25"/>
      <c r="AM13" s="25"/>
      <c r="AN13" s="177"/>
      <c r="AO13" s="140"/>
      <c r="AP13" s="121" t="s">
        <v>291</v>
      </c>
      <c r="AQ13" s="122">
        <v>0.0</v>
      </c>
      <c r="AR13" s="123"/>
      <c r="AS13" s="124">
        <f>COUNTA(OFFSET(DVT_Laboratory!$B$3, 0, MATCH(AP13,DVT_Laboratory!$B$1:BM$1, 0)-1, 100, 1))</f>
        <v>30</v>
      </c>
      <c r="AT13" s="140"/>
      <c r="AU13" s="153" t="s">
        <v>292</v>
      </c>
      <c r="AV13" s="126">
        <v>4.0</v>
      </c>
      <c r="AW13" s="127"/>
      <c r="AX13" s="128">
        <f>COUNTA(OFFSET(DVT_Laboratory!$B$3, 0, MATCH(AU13,DVT_Laboratory!$B$1:BM$1, 0)-1, 100, 1))</f>
        <v>7</v>
      </c>
      <c r="AY13" s="140"/>
      <c r="AZ13" s="178" t="s">
        <v>293</v>
      </c>
      <c r="BA13" s="130">
        <v>0.0</v>
      </c>
      <c r="BB13" s="130"/>
      <c r="BC13" s="144">
        <f>COUNTA(OFFSET(DVT_Laboratory!$B$3, 0, MATCH(AZ13,DVT_Laboratory!$B$1:BM$1, 0)-1, 100, 1))</f>
        <v>10</v>
      </c>
      <c r="BD13" s="140"/>
      <c r="BE13" s="145"/>
      <c r="BF13" s="145"/>
      <c r="BG13" s="145"/>
      <c r="BH13" s="145"/>
      <c r="BI13" s="140"/>
      <c r="BJ13" s="159"/>
      <c r="BK13" s="159"/>
      <c r="BL13" s="139"/>
      <c r="BM13" s="139"/>
    </row>
    <row r="14">
      <c r="A14" s="140"/>
      <c r="B14" s="90" t="s">
        <v>294</v>
      </c>
      <c r="C14" s="91">
        <v>1.0</v>
      </c>
      <c r="D14" s="141"/>
      <c r="E14" s="92">
        <f>COUNTA(OFFSET(DVT_Laboratory!$B$3, 0, MATCH(B14,DVT_Laboratory!$B$1:BM$1, 0)-1, 100, 1))</f>
        <v>1</v>
      </c>
      <c r="F14" s="140"/>
      <c r="G14" s="176"/>
      <c r="H14" s="25"/>
      <c r="I14" s="25"/>
      <c r="J14" s="177"/>
      <c r="K14" s="140"/>
      <c r="L14" s="97" t="s">
        <v>295</v>
      </c>
      <c r="M14" s="98">
        <v>15.0</v>
      </c>
      <c r="N14" s="99"/>
      <c r="O14" s="100">
        <f>COUNTA(OFFSET(DVT_Laboratory!$B$3, 0, MATCH(L14,DVT_Laboratory!$B$1:BM$1, 0)-1, 100, 1))</f>
        <v>20</v>
      </c>
      <c r="P14" s="140"/>
      <c r="Q14" s="176"/>
      <c r="R14" s="25"/>
      <c r="S14" s="25"/>
      <c r="T14" s="177"/>
      <c r="U14" s="140"/>
      <c r="V14" s="105" t="s">
        <v>296</v>
      </c>
      <c r="W14" s="142">
        <v>1.0</v>
      </c>
      <c r="X14" s="143"/>
      <c r="Y14" s="108">
        <f>COUNTA(OFFSET(DVT_Laboratory!$B$3, 0, MATCH(V14,DVT_Laboratory!$B$1:BM$1, 0)-1, 100, 1))</f>
        <v>1</v>
      </c>
      <c r="Z14" s="140"/>
      <c r="AA14" s="179" t="s">
        <v>297</v>
      </c>
      <c r="AB14" s="180">
        <v>0.0</v>
      </c>
      <c r="AC14" s="181"/>
      <c r="AD14" s="182">
        <f>COUNTA(OFFSET(DVT_Laboratory!$B$3, 0, MATCH("Card Mastery",DVT_Laboratory!$B$1:BM$1, 0)-1, 100, 1))</f>
        <v>9</v>
      </c>
      <c r="AE14" s="140"/>
      <c r="AF14" s="176"/>
      <c r="AG14" s="25"/>
      <c r="AH14" s="25"/>
      <c r="AI14" s="177"/>
      <c r="AJ14" s="140"/>
      <c r="AK14" s="176"/>
      <c r="AL14" s="25"/>
      <c r="AM14" s="25"/>
      <c r="AN14" s="177"/>
      <c r="AO14" s="140"/>
      <c r="AP14" s="121" t="s">
        <v>298</v>
      </c>
      <c r="AQ14" s="122">
        <v>0.0</v>
      </c>
      <c r="AR14" s="123"/>
      <c r="AS14" s="124">
        <f>COUNTA(OFFSET(DVT_Laboratory!$B$3, 0, MATCH(AP14,DVT_Laboratory!$B$1:BM$1, 0)-1, 100, 1))</f>
        <v>30</v>
      </c>
      <c r="AT14" s="140"/>
      <c r="AU14" s="153" t="s">
        <v>299</v>
      </c>
      <c r="AV14" s="126">
        <v>0.0</v>
      </c>
      <c r="AW14" s="127"/>
      <c r="AX14" s="128">
        <f>COUNTA(OFFSET(DVT_Laboratory!$B$3, 0, MATCH(AU14,DVT_Laboratory!$B$1:BM$1, 0)-1, 100, 1))</f>
        <v>30</v>
      </c>
      <c r="AY14" s="140"/>
      <c r="AZ14" s="178" t="s">
        <v>300</v>
      </c>
      <c r="BA14" s="130">
        <v>0.0</v>
      </c>
      <c r="BB14" s="130"/>
      <c r="BC14" s="144">
        <f>COUNTA(OFFSET(DVT_Laboratory!$B$3, 0, MATCH(AZ14,DVT_Laboratory!$B$1:BM$1, 0)-1, 100, 1))</f>
        <v>10</v>
      </c>
      <c r="BD14" s="140"/>
      <c r="BE14" s="183"/>
      <c r="BF14" s="183"/>
      <c r="BG14" s="183"/>
      <c r="BH14" s="183"/>
      <c r="BI14" s="140"/>
      <c r="BJ14" s="159"/>
      <c r="BK14" s="159"/>
      <c r="BL14" s="139"/>
      <c r="BM14" s="139"/>
    </row>
    <row r="15">
      <c r="A15" s="140"/>
      <c r="B15" s="90" t="s">
        <v>301</v>
      </c>
      <c r="C15" s="91">
        <v>1.0</v>
      </c>
      <c r="D15" s="141"/>
      <c r="E15" s="92">
        <f>COUNTA(OFFSET(DVT_Laboratory!$B$3, 0, MATCH(B15,DVT_Laboratory!$B$1:BM$1, 0)-1, 100, 1))</f>
        <v>1</v>
      </c>
      <c r="F15" s="140"/>
      <c r="G15" s="176"/>
      <c r="H15" s="25"/>
      <c r="I15" s="25"/>
      <c r="J15" s="177"/>
      <c r="K15" s="140"/>
      <c r="L15" s="97" t="s">
        <v>302</v>
      </c>
      <c r="M15" s="98">
        <v>0.0</v>
      </c>
      <c r="N15" s="99"/>
      <c r="O15" s="100">
        <f>COUNTA(OFFSET(DVT_Laboratory!$B$3, 0, MATCH(L15,DVT_Laboratory!$B$1:BM$1, 0)-1, 100, 1))</f>
        <v>10</v>
      </c>
      <c r="P15" s="140"/>
      <c r="Q15" s="176"/>
      <c r="R15" s="25"/>
      <c r="S15" s="25"/>
      <c r="T15" s="177"/>
      <c r="U15" s="140"/>
      <c r="V15" s="105" t="s">
        <v>303</v>
      </c>
      <c r="W15" s="142">
        <v>14.0</v>
      </c>
      <c r="X15" s="143"/>
      <c r="Y15" s="108">
        <f>COUNTA(OFFSET(DVT_Laboratory!$B$3, 0, MATCH(V15,DVT_Laboratory!$B$1:BM$1, 0)-1, 100, 1))</f>
        <v>30</v>
      </c>
      <c r="Z15" s="140"/>
      <c r="AA15" s="179" t="s">
        <v>304</v>
      </c>
      <c r="AB15" s="180">
        <v>0.0</v>
      </c>
      <c r="AC15" s="181"/>
      <c r="AD15" s="182">
        <f>COUNTA(OFFSET(DVT_Laboratory!$B$3, 0, MATCH("Card Mastery",DVT_Laboratory!$B$1:BM$1, 0)-1, 100, 1))</f>
        <v>9</v>
      </c>
      <c r="AE15" s="140"/>
      <c r="AF15" s="176"/>
      <c r="AG15" s="25"/>
      <c r="AH15" s="25"/>
      <c r="AI15" s="177"/>
      <c r="AJ15" s="140"/>
      <c r="AK15" s="176"/>
      <c r="AL15" s="25"/>
      <c r="AM15" s="25"/>
      <c r="AN15" s="177"/>
      <c r="AO15" s="140"/>
      <c r="AP15" s="121" t="s">
        <v>305</v>
      </c>
      <c r="AQ15" s="122">
        <v>0.0</v>
      </c>
      <c r="AR15" s="123"/>
      <c r="AS15" s="124">
        <f>COUNTA(OFFSET(DVT_Laboratory!$B$3, 0, MATCH(AP15,DVT_Laboratory!$B$1:BM$1, 0)-1, 100, 1))</f>
        <v>20</v>
      </c>
      <c r="AT15" s="140"/>
      <c r="AU15" s="153" t="s">
        <v>306</v>
      </c>
      <c r="AV15" s="126">
        <v>0.0</v>
      </c>
      <c r="AW15" s="127"/>
      <c r="AX15" s="128">
        <f>COUNTA(OFFSET(DVT_Laboratory!$B$3, 0, MATCH(AU15,DVT_Laboratory!$B$1:BM$1, 0)-1, 100, 1))</f>
        <v>30</v>
      </c>
      <c r="AY15" s="140"/>
      <c r="AZ15" s="178" t="s">
        <v>307</v>
      </c>
      <c r="BA15" s="130">
        <v>0.0</v>
      </c>
      <c r="BB15" s="130"/>
      <c r="BC15" s="144">
        <f>COUNTA(OFFSET(DVT_Laboratory!$B$3, 0, MATCH(AZ15,DVT_Laboratory!$B$1:BM$1, 0)-1, 100, 1))</f>
        <v>10</v>
      </c>
      <c r="BD15" s="140"/>
      <c r="BE15" s="183"/>
      <c r="BF15" s="183"/>
      <c r="BG15" s="183"/>
      <c r="BH15" s="183"/>
      <c r="BI15" s="140"/>
      <c r="BJ15" s="159"/>
      <c r="BK15" s="159"/>
      <c r="BL15" s="139"/>
      <c r="BM15" s="139"/>
    </row>
    <row r="16">
      <c r="A16" s="152"/>
      <c r="B16" s="184" t="s">
        <v>308</v>
      </c>
      <c r="C16" s="91">
        <v>0.0</v>
      </c>
      <c r="D16" s="141"/>
      <c r="E16" s="92">
        <f>COUNTA(OFFSET(DVT_Laboratory!$B$3, 0, MATCH(B16,DVT_Laboratory!$B$1:BM$1, 0)-1, 100, 1))</f>
        <v>100</v>
      </c>
      <c r="F16" s="152"/>
      <c r="G16" s="176"/>
      <c r="H16" s="25"/>
      <c r="I16" s="25"/>
      <c r="J16" s="177"/>
      <c r="K16" s="152"/>
      <c r="L16" s="97" t="s">
        <v>309</v>
      </c>
      <c r="M16" s="98">
        <v>47.0</v>
      </c>
      <c r="N16" s="99"/>
      <c r="O16" s="100">
        <f>COUNTA(OFFSET(DVT_Laboratory!$B$3, 0, MATCH(L16,DVT_Laboratory!$B$1:BM$1, 0)-1, 100, 1))</f>
        <v>60</v>
      </c>
      <c r="P16" s="152"/>
      <c r="Q16" s="176"/>
      <c r="R16" s="25"/>
      <c r="S16" s="25"/>
      <c r="T16" s="177"/>
      <c r="U16" s="152"/>
      <c r="V16" s="105" t="s">
        <v>310</v>
      </c>
      <c r="W16" s="142">
        <v>14.0</v>
      </c>
      <c r="X16" s="143"/>
      <c r="Y16" s="108">
        <f>COUNTA(OFFSET(DVT_Laboratory!$B$3, 0, MATCH(V16,DVT_Laboratory!$B$1:BM$1, 0)-1, 100, 1))</f>
        <v>14</v>
      </c>
      <c r="Z16" s="152"/>
      <c r="AA16" s="179" t="s">
        <v>311</v>
      </c>
      <c r="AB16" s="180">
        <v>1.0</v>
      </c>
      <c r="AC16" s="181"/>
      <c r="AD16" s="182">
        <f>COUNTA(OFFSET(DVT_Laboratory!$B$3, 0, MATCH("Card Mastery",DVT_Laboratory!$B$1:BM$1, 0)-1, 100, 1))</f>
        <v>9</v>
      </c>
      <c r="AE16" s="152"/>
      <c r="AF16" s="176"/>
      <c r="AG16" s="25"/>
      <c r="AH16" s="25"/>
      <c r="AI16" s="177"/>
      <c r="AJ16" s="152"/>
      <c r="AK16" s="176"/>
      <c r="AL16" s="25"/>
      <c r="AM16" s="25"/>
      <c r="AN16" s="177"/>
      <c r="AO16" s="152"/>
      <c r="AP16" s="121" t="s">
        <v>312</v>
      </c>
      <c r="AQ16" s="122">
        <v>0.0</v>
      </c>
      <c r="AR16" s="123"/>
      <c r="AS16" s="124">
        <f>COUNTA(OFFSET(DVT_Laboratory!$B$3, 0, MATCH(AP16,DVT_Laboratory!$B$1:BM$1, 0)-1, 100, 1))</f>
        <v>30</v>
      </c>
      <c r="AT16" s="152"/>
      <c r="AU16" s="153" t="s">
        <v>313</v>
      </c>
      <c r="AV16" s="126">
        <v>0.0</v>
      </c>
      <c r="AW16" s="127"/>
      <c r="AX16" s="128">
        <f>COUNTA(OFFSET(DVT_Laboratory!$B$3, 0, MATCH(AU16,DVT_Laboratory!$B$1:BM$1, 0)-1, 100, 1))</f>
        <v>30</v>
      </c>
      <c r="AY16" s="152"/>
      <c r="AZ16" s="178" t="s">
        <v>314</v>
      </c>
      <c r="BA16" s="130">
        <v>0.0</v>
      </c>
      <c r="BB16" s="130"/>
      <c r="BC16" s="144">
        <f>COUNTA(OFFSET(DVT_Laboratory!$B$3, 0, MATCH(AZ16,DVT_Laboratory!$B$1:BM$1, 0)-1, 100, 1))</f>
        <v>10</v>
      </c>
      <c r="BD16" s="140"/>
      <c r="BE16" s="183"/>
      <c r="BF16" s="183"/>
      <c r="BG16" s="183"/>
      <c r="BH16" s="183"/>
      <c r="BI16" s="140"/>
      <c r="BJ16" s="159"/>
      <c r="BK16" s="159"/>
      <c r="BL16" s="139"/>
      <c r="BM16" s="139"/>
    </row>
    <row r="17">
      <c r="A17" s="152"/>
      <c r="B17" s="184" t="s">
        <v>315</v>
      </c>
      <c r="C17" s="91">
        <v>0.0</v>
      </c>
      <c r="D17" s="141"/>
      <c r="E17" s="92">
        <f>COUNTA(OFFSET(DVT_Laboratory!$B$3, 0, MATCH(B17,DVT_Laboratory!$B$1:BM$1, 0)-1, 100, 1))</f>
        <v>100</v>
      </c>
      <c r="F17" s="185"/>
      <c r="G17" s="176"/>
      <c r="H17" s="25"/>
      <c r="I17" s="25"/>
      <c r="J17" s="177"/>
      <c r="K17" s="185"/>
      <c r="L17" s="97" t="s">
        <v>316</v>
      </c>
      <c r="M17" s="98">
        <v>10.0</v>
      </c>
      <c r="N17" s="99"/>
      <c r="O17" s="100">
        <f>COUNTA(OFFSET(DVT_Laboratory!$B$3, 0, MATCH(L17,DVT_Laboratory!$B$1:BM$1, 0)-1, 100, 1))</f>
        <v>10</v>
      </c>
      <c r="P17" s="185"/>
      <c r="Q17" s="176"/>
      <c r="R17" s="25"/>
      <c r="S17" s="25"/>
      <c r="T17" s="177"/>
      <c r="U17" s="185"/>
      <c r="V17" s="105" t="s">
        <v>317</v>
      </c>
      <c r="W17" s="106">
        <v>30.0</v>
      </c>
      <c r="X17" s="107"/>
      <c r="Y17" s="108">
        <f>COUNTA(OFFSET(DVT_Laboratory!$B$3, 0, MATCH(V17,DVT_Laboratory!$B$1:BM$1, 0)-1, 100, 1))</f>
        <v>30</v>
      </c>
      <c r="Z17" s="185"/>
      <c r="AA17" s="179" t="s">
        <v>318</v>
      </c>
      <c r="AB17" s="180">
        <v>0.0</v>
      </c>
      <c r="AC17" s="181"/>
      <c r="AD17" s="182">
        <f>COUNTA(OFFSET(DVT_Laboratory!$B$3, 0, MATCH("Card Mastery",DVT_Laboratory!$B$1:BM$1, 0)-1, 100, 1))</f>
        <v>9</v>
      </c>
      <c r="AE17" s="185"/>
      <c r="AF17" s="176"/>
      <c r="AG17" s="25"/>
      <c r="AH17" s="25"/>
      <c r="AI17" s="177"/>
      <c r="AJ17" s="185"/>
      <c r="AK17" s="176"/>
      <c r="AL17" s="25"/>
      <c r="AM17" s="25"/>
      <c r="AN17" s="177"/>
      <c r="AO17" s="185"/>
      <c r="AP17" s="186" t="s">
        <v>319</v>
      </c>
      <c r="AQ17" s="122">
        <v>0.0</v>
      </c>
      <c r="AR17" s="123"/>
      <c r="AS17" s="124">
        <f>COUNTA(OFFSET(DVT_Laboratory!$B$3, 0, MATCH(AP17,DVT_Laboratory!$B$1:BM$1, 0)-1, 100, 1))</f>
        <v>30</v>
      </c>
      <c r="AT17" s="185"/>
      <c r="AU17" s="125" t="s">
        <v>320</v>
      </c>
      <c r="AV17" s="126">
        <v>0.0</v>
      </c>
      <c r="AW17" s="127"/>
      <c r="AX17" s="187">
        <f>COUNTA(OFFSET(DVT_Laboratory!$B$3, 0, MATCH(AU17,DVT_Laboratory!$B$1:BM$1, 0)-1, 100, 1))</f>
        <v>30</v>
      </c>
      <c r="AY17" s="185"/>
      <c r="AZ17" s="178" t="s">
        <v>321</v>
      </c>
      <c r="BA17" s="130">
        <v>0.0</v>
      </c>
      <c r="BB17" s="130"/>
      <c r="BC17" s="144">
        <f>COUNTA(OFFSET(DVT_Laboratory!$B$3, 0, MATCH(AZ17,DVT_Laboratory!$B$1:BM$1, 0)-1, 100, 1))</f>
        <v>10</v>
      </c>
      <c r="BD17" s="140"/>
      <c r="BE17" s="183"/>
      <c r="BF17" s="183"/>
      <c r="BG17" s="183"/>
      <c r="BH17" s="183"/>
      <c r="BI17" s="140"/>
      <c r="BJ17" s="159"/>
      <c r="BK17" s="159"/>
      <c r="BL17" s="139"/>
      <c r="BM17" s="139"/>
    </row>
    <row r="18">
      <c r="A18" s="152"/>
      <c r="B18" s="184" t="s">
        <v>322</v>
      </c>
      <c r="C18" s="91">
        <v>0.0</v>
      </c>
      <c r="D18" s="188"/>
      <c r="E18" s="92">
        <f>COUNTA(OFFSET(DVT_Laboratory!$B$3, 0, MATCH(B18,DVT_Laboratory!$B$1:BM$1, 0)-1, 100, 1))</f>
        <v>100</v>
      </c>
      <c r="F18" s="140"/>
      <c r="G18" s="176"/>
      <c r="H18" s="25"/>
      <c r="I18" s="25"/>
      <c r="J18" s="177"/>
      <c r="K18" s="140"/>
      <c r="L18" s="176"/>
      <c r="M18" s="25"/>
      <c r="N18" s="25"/>
      <c r="O18" s="177"/>
      <c r="P18" s="140"/>
      <c r="Q18" s="176"/>
      <c r="R18" s="25"/>
      <c r="S18" s="25"/>
      <c r="T18" s="177"/>
      <c r="U18" s="140"/>
      <c r="V18" s="105" t="s">
        <v>323</v>
      </c>
      <c r="W18" s="106">
        <v>20.0</v>
      </c>
      <c r="X18" s="107"/>
      <c r="Y18" s="108">
        <f>COUNTA(OFFSET(DVT_Laboratory!$B$3, 0, MATCH(V18,DVT_Laboratory!$B$1:BM$1, 0)-1, 100, 1))</f>
        <v>20</v>
      </c>
      <c r="Z18" s="140"/>
      <c r="AA18" s="179" t="s">
        <v>324</v>
      </c>
      <c r="AB18" s="180">
        <v>0.0</v>
      </c>
      <c r="AC18" s="181"/>
      <c r="AD18" s="182">
        <f>COUNTA(OFFSET(DVT_Laboratory!$B$3, 0, MATCH("Card Mastery",DVT_Laboratory!$B$1:BM$1, 0)-1, 100, 1))</f>
        <v>9</v>
      </c>
      <c r="AE18" s="140"/>
      <c r="AF18" s="176"/>
      <c r="AG18" s="25"/>
      <c r="AH18" s="25"/>
      <c r="AI18" s="177"/>
      <c r="AJ18" s="140"/>
      <c r="AK18" s="176"/>
      <c r="AL18" s="25"/>
      <c r="AM18" s="25"/>
      <c r="AN18" s="177"/>
      <c r="AO18" s="140"/>
      <c r="AP18" s="121" t="s">
        <v>325</v>
      </c>
      <c r="AQ18" s="122">
        <v>0.0</v>
      </c>
      <c r="AR18" s="123"/>
      <c r="AS18" s="124">
        <f>COUNTA(OFFSET(DVT_Laboratory!$B$3, 0, MATCH(AP18,DVT_Laboratory!$B$1:BM$1, 0)-1, 100, 1))</f>
        <v>30</v>
      </c>
      <c r="AT18" s="140"/>
      <c r="AU18" s="125" t="s">
        <v>326</v>
      </c>
      <c r="AV18" s="126">
        <v>0.0</v>
      </c>
      <c r="AW18" s="127"/>
      <c r="AX18" s="187">
        <f>COUNTA(OFFSET(DVT_Laboratory!$B$3, 0, MATCH(AU18,DVT_Laboratory!$B$1:BM$1, 0)-1, 100, 1))</f>
        <v>30</v>
      </c>
      <c r="AY18" s="140"/>
      <c r="AZ18" s="189" t="s">
        <v>327</v>
      </c>
      <c r="BA18" s="130">
        <v>0.0</v>
      </c>
      <c r="BB18" s="130"/>
      <c r="BC18" s="144">
        <f>COUNTA(OFFSET(DVT_Laboratory!$B$3, 0, MATCH(AZ18,DVT_Laboratory!$B$1:BM$1, 0)-1, 100, 1))</f>
        <v>10</v>
      </c>
      <c r="BD18" s="140"/>
      <c r="BE18" s="183"/>
      <c r="BF18" s="183"/>
      <c r="BG18" s="183"/>
      <c r="BH18" s="183"/>
      <c r="BI18" s="140"/>
      <c r="BJ18" s="159"/>
      <c r="BK18" s="159"/>
      <c r="BL18" s="139"/>
      <c r="BM18" s="139"/>
    </row>
    <row r="19">
      <c r="A19" s="152"/>
      <c r="B19" s="176"/>
      <c r="C19" s="25"/>
      <c r="D19" s="25"/>
      <c r="E19" s="177"/>
      <c r="F19" s="140"/>
      <c r="G19" s="176"/>
      <c r="H19" s="25"/>
      <c r="I19" s="25"/>
      <c r="J19" s="177"/>
      <c r="K19" s="140"/>
      <c r="L19" s="176"/>
      <c r="M19" s="25"/>
      <c r="N19" s="25"/>
      <c r="O19" s="177"/>
      <c r="P19" s="140"/>
      <c r="Q19" s="176"/>
      <c r="R19" s="25"/>
      <c r="S19" s="25"/>
      <c r="T19" s="177"/>
      <c r="U19" s="140"/>
      <c r="V19" s="105" t="s">
        <v>328</v>
      </c>
      <c r="W19" s="106">
        <v>0.0</v>
      </c>
      <c r="X19" s="107"/>
      <c r="Y19" s="108">
        <f>COUNTA(OFFSET(DVT_Laboratory!$B$3, 0, MATCH(V19,DVT_Laboratory!$B$1:BM$1, 0)-1, 100, 1))</f>
        <v>20</v>
      </c>
      <c r="Z19" s="140"/>
      <c r="AA19" s="179" t="s">
        <v>329</v>
      </c>
      <c r="AB19" s="180">
        <v>0.0</v>
      </c>
      <c r="AC19" s="181"/>
      <c r="AD19" s="182">
        <f>COUNTA(OFFSET(DVT_Laboratory!$B$3, 0, MATCH("Card Mastery",DVT_Laboratory!$B$1:BM$1, 0)-1, 100, 1))</f>
        <v>9</v>
      </c>
      <c r="AE19" s="140"/>
      <c r="AF19" s="176"/>
      <c r="AG19" s="25"/>
      <c r="AH19" s="25"/>
      <c r="AI19" s="177"/>
      <c r="AJ19" s="140"/>
      <c r="AK19" s="176"/>
      <c r="AL19" s="25"/>
      <c r="AM19" s="25"/>
      <c r="AN19" s="177"/>
      <c r="AO19" s="140"/>
      <c r="AP19" s="186" t="s">
        <v>330</v>
      </c>
      <c r="AQ19" s="122">
        <v>0.0</v>
      </c>
      <c r="AR19" s="123"/>
      <c r="AS19" s="124">
        <f>COUNTA(OFFSET(DVT_Laboratory!$B$3, 0, MATCH(AP19,DVT_Laboratory!$B$1:BM$1, 0)-1, 100, 1))</f>
        <v>30</v>
      </c>
      <c r="AT19" s="140"/>
      <c r="AU19" s="125" t="s">
        <v>331</v>
      </c>
      <c r="AV19" s="126">
        <v>0.0</v>
      </c>
      <c r="AW19" s="127"/>
      <c r="AX19" s="187">
        <f>COUNTA(OFFSET(DVT_Laboratory!$B$3, 0, MATCH(AU19,DVT_Laboratory!$B$1:BM$1, 0)-1, 100, 1))</f>
        <v>30</v>
      </c>
      <c r="AY19" s="140"/>
      <c r="AZ19" s="178" t="s">
        <v>332</v>
      </c>
      <c r="BA19" s="130">
        <v>0.0</v>
      </c>
      <c r="BB19" s="130"/>
      <c r="BC19" s="144">
        <f>COUNTA(OFFSET(DVT_Laboratory!$B$3, 0, MATCH(AZ19,DVT_Laboratory!$B$1:BM$1, 0)-1, 100, 1))</f>
        <v>10</v>
      </c>
      <c r="BD19" s="140"/>
      <c r="BE19" s="183"/>
      <c r="BF19" s="183"/>
      <c r="BG19" s="183"/>
      <c r="BH19" s="183"/>
      <c r="BI19" s="140"/>
      <c r="BJ19" s="159"/>
      <c r="BK19" s="159"/>
      <c r="BL19" s="139"/>
      <c r="BM19" s="139"/>
    </row>
    <row r="20">
      <c r="A20" s="152"/>
      <c r="B20" s="176"/>
      <c r="C20" s="25"/>
      <c r="D20" s="25"/>
      <c r="E20" s="177"/>
      <c r="F20" s="140"/>
      <c r="G20" s="176"/>
      <c r="H20" s="25"/>
      <c r="I20" s="25"/>
      <c r="J20" s="177"/>
      <c r="K20" s="140"/>
      <c r="L20" s="176"/>
      <c r="M20" s="25"/>
      <c r="N20" s="25"/>
      <c r="O20" s="177"/>
      <c r="P20" s="140"/>
      <c r="Q20" s="176"/>
      <c r="R20" s="25"/>
      <c r="S20" s="25"/>
      <c r="T20" s="177"/>
      <c r="U20" s="140"/>
      <c r="V20" s="105" t="s">
        <v>333</v>
      </c>
      <c r="W20" s="106">
        <v>0.0</v>
      </c>
      <c r="X20" s="107"/>
      <c r="Y20" s="108">
        <f>COUNTA(OFFSET(DVT_Laboratory!$B$3, 0, MATCH(V20,DVT_Laboratory!$B$1:BM$1, 0)-1, 100, 1))</f>
        <v>20</v>
      </c>
      <c r="Z20" s="140"/>
      <c r="AA20" s="179" t="s">
        <v>334</v>
      </c>
      <c r="AB20" s="180">
        <v>0.0</v>
      </c>
      <c r="AC20" s="181"/>
      <c r="AD20" s="182">
        <f>COUNTA(OFFSET(DVT_Laboratory!$B$3, 0, MATCH("Card Mastery",DVT_Laboratory!$B$1:BM$1, 0)-1, 100, 1))</f>
        <v>9</v>
      </c>
      <c r="AE20" s="140"/>
      <c r="AF20" s="176"/>
      <c r="AG20" s="25"/>
      <c r="AH20" s="25"/>
      <c r="AI20" s="177"/>
      <c r="AJ20" s="140"/>
      <c r="AK20" s="176"/>
      <c r="AL20" s="25"/>
      <c r="AM20" s="25"/>
      <c r="AN20" s="177"/>
      <c r="AO20" s="140"/>
      <c r="AP20" s="121" t="s">
        <v>335</v>
      </c>
      <c r="AQ20" s="122">
        <v>0.0</v>
      </c>
      <c r="AR20" s="123"/>
      <c r="AS20" s="124">
        <f>COUNTA(OFFSET(DVT_Laboratory!$B$3, 0, MATCH(AP20,DVT_Laboratory!$B$1:BM$1, 0)-1, 100, 1))</f>
        <v>30</v>
      </c>
      <c r="AT20" s="140"/>
      <c r="AU20" s="125" t="s">
        <v>336</v>
      </c>
      <c r="AV20" s="126">
        <v>0.0</v>
      </c>
      <c r="AW20" s="127"/>
      <c r="AX20" s="187">
        <f>COUNTA(OFFSET(DVT_Laboratory!$B$3, 0, MATCH(AU20,DVT_Laboratory!$B$1:BM$1, 0)-1, 100, 1))</f>
        <v>30</v>
      </c>
      <c r="AY20" s="140"/>
      <c r="AZ20" s="178" t="s">
        <v>337</v>
      </c>
      <c r="BA20" s="130">
        <v>0.0</v>
      </c>
      <c r="BB20" s="130"/>
      <c r="BC20" s="144">
        <f>COUNTA(OFFSET(DVT_Laboratory!$B$3, 0, MATCH(AZ20,DVT_Laboratory!$B$1:BM$1, 0)-1, 100, 1))</f>
        <v>10</v>
      </c>
      <c r="BD20" s="140"/>
      <c r="BE20" s="183"/>
      <c r="BF20" s="183"/>
      <c r="BG20" s="183"/>
      <c r="BH20" s="183"/>
      <c r="BI20" s="140"/>
      <c r="BJ20" s="159"/>
      <c r="BK20" s="159"/>
      <c r="BL20" s="139"/>
      <c r="BM20" s="139"/>
    </row>
    <row r="21">
      <c r="A21" s="152"/>
      <c r="B21" s="176"/>
      <c r="C21" s="25"/>
      <c r="D21" s="25"/>
      <c r="E21" s="177"/>
      <c r="F21" s="140"/>
      <c r="G21" s="176"/>
      <c r="H21" s="25"/>
      <c r="I21" s="25"/>
      <c r="J21" s="177"/>
      <c r="K21" s="140"/>
      <c r="L21" s="176"/>
      <c r="M21" s="25"/>
      <c r="N21" s="25"/>
      <c r="O21" s="177"/>
      <c r="P21" s="140"/>
      <c r="Q21" s="176"/>
      <c r="R21" s="25"/>
      <c r="S21" s="25"/>
      <c r="T21" s="177"/>
      <c r="U21" s="140"/>
      <c r="V21" s="105" t="s">
        <v>338</v>
      </c>
      <c r="W21" s="142">
        <v>17.0</v>
      </c>
      <c r="X21" s="143"/>
      <c r="Y21" s="108">
        <f>COUNTA(OFFSET(DVT_Laboratory!$B$3, 0, MATCH(V21,DVT_Laboratory!$B$1:BM$1, 0)-1, 100, 1))</f>
        <v>20</v>
      </c>
      <c r="Z21" s="140"/>
      <c r="AA21" s="179" t="s">
        <v>339</v>
      </c>
      <c r="AB21" s="180">
        <v>0.0</v>
      </c>
      <c r="AC21" s="181"/>
      <c r="AD21" s="182">
        <f>COUNTA(OFFSET(DVT_Laboratory!$B$3, 0, MATCH("Card Mastery",DVT_Laboratory!$B$1:BM$1, 0)-1, 100, 1))</f>
        <v>9</v>
      </c>
      <c r="AE21" s="140"/>
      <c r="AF21" s="176"/>
      <c r="AG21" s="25"/>
      <c r="AH21" s="25"/>
      <c r="AI21" s="177"/>
      <c r="AJ21" s="140"/>
      <c r="AK21" s="176"/>
      <c r="AL21" s="25"/>
      <c r="AM21" s="25"/>
      <c r="AN21" s="177"/>
      <c r="AO21" s="140"/>
      <c r="AP21" s="186" t="s">
        <v>340</v>
      </c>
      <c r="AQ21" s="122">
        <v>0.0</v>
      </c>
      <c r="AR21" s="123"/>
      <c r="AS21" s="124">
        <f>COUNTA(OFFSET(DVT_Laboratory!$B$3, 0, MATCH(AP21,DVT_Laboratory!$B$1:BM$1, 0)-1, 100, 1))</f>
        <v>30</v>
      </c>
      <c r="AT21" s="140"/>
      <c r="AU21" s="190" t="s">
        <v>341</v>
      </c>
      <c r="AV21" s="191">
        <v>0.0</v>
      </c>
      <c r="AW21" s="127"/>
      <c r="AX21" s="192">
        <f>COUNTA(OFFSET(DVT_Laboratory!$B$3, 0, MATCH(AU21,DVT_Laboratory!$B$1:BM$1, 0)-1, 100, 1))</f>
        <v>30</v>
      </c>
      <c r="AY21" s="140"/>
      <c r="AZ21" s="178" t="s">
        <v>342</v>
      </c>
      <c r="BA21" s="130">
        <v>0.0</v>
      </c>
      <c r="BB21" s="130"/>
      <c r="BC21" s="144">
        <f>COUNTA(OFFSET(DVT_Laboratory!$B$3, 0, MATCH(AZ21,DVT_Laboratory!$B$1:BM$1, 0)-1, 100, 1))</f>
        <v>10</v>
      </c>
      <c r="BD21" s="140"/>
      <c r="BE21" s="183"/>
      <c r="BF21" s="183"/>
      <c r="BG21" s="183"/>
      <c r="BH21" s="183"/>
      <c r="BI21" s="140"/>
      <c r="BJ21" s="159"/>
      <c r="BK21" s="159"/>
      <c r="BL21" s="139"/>
      <c r="BM21" s="139"/>
    </row>
    <row r="22">
      <c r="A22" s="152"/>
      <c r="B22" s="176"/>
      <c r="C22" s="25"/>
      <c r="D22" s="25"/>
      <c r="E22" s="177"/>
      <c r="F22" s="140"/>
      <c r="G22" s="176"/>
      <c r="H22" s="25"/>
      <c r="I22" s="25"/>
      <c r="J22" s="177"/>
      <c r="K22" s="140"/>
      <c r="L22" s="176"/>
      <c r="M22" s="25"/>
      <c r="N22" s="25"/>
      <c r="O22" s="177"/>
      <c r="P22" s="140"/>
      <c r="Q22" s="176"/>
      <c r="R22" s="25"/>
      <c r="S22" s="25"/>
      <c r="T22" s="177"/>
      <c r="U22" s="140"/>
      <c r="V22" s="105" t="s">
        <v>343</v>
      </c>
      <c r="W22" s="142">
        <v>0.0</v>
      </c>
      <c r="X22" s="143"/>
      <c r="Y22" s="108">
        <f>COUNTA(OFFSET(DVT_Laboratory!$B$3, 0, MATCH(V22,DVT_Laboratory!$B$1:BM$1, 0)-1, 100, 1))</f>
        <v>25</v>
      </c>
      <c r="Z22" s="140"/>
      <c r="AA22" s="179" t="s">
        <v>344</v>
      </c>
      <c r="AB22" s="180">
        <v>0.0</v>
      </c>
      <c r="AC22" s="181"/>
      <c r="AD22" s="182">
        <f>COUNTA(OFFSET(DVT_Laboratory!$B$3, 0, MATCH("Card Mastery",DVT_Laboratory!$B$1:BM$1, 0)-1, 100, 1))</f>
        <v>9</v>
      </c>
      <c r="AE22" s="140"/>
      <c r="AF22" s="176"/>
      <c r="AG22" s="25"/>
      <c r="AH22" s="25"/>
      <c r="AI22" s="177"/>
      <c r="AJ22" s="140"/>
      <c r="AK22" s="176"/>
      <c r="AL22" s="25"/>
      <c r="AM22" s="25"/>
      <c r="AN22" s="177"/>
      <c r="AO22" s="140"/>
      <c r="AP22" s="121" t="s">
        <v>345</v>
      </c>
      <c r="AQ22" s="122">
        <v>0.0</v>
      </c>
      <c r="AR22" s="123"/>
      <c r="AS22" s="124">
        <f>COUNTA(OFFSET(DVT_Laboratory!$B$3, 0, MATCH(AP22,DVT_Laboratory!$B$1:BM$1, 0)-1, 100, 1))</f>
        <v>30</v>
      </c>
      <c r="AT22" s="140"/>
      <c r="AU22" s="176"/>
      <c r="AV22" s="25"/>
      <c r="AW22" s="25"/>
      <c r="AX22" s="177"/>
      <c r="AY22" s="140"/>
      <c r="AZ22" s="193"/>
      <c r="BA22" s="25"/>
      <c r="BB22" s="25"/>
      <c r="BC22" s="177"/>
      <c r="BD22" s="140"/>
      <c r="BE22" s="183"/>
      <c r="BF22" s="183"/>
      <c r="BG22" s="183"/>
      <c r="BH22" s="183"/>
      <c r="BI22" s="140"/>
      <c r="BJ22" s="194"/>
      <c r="BK22" s="195"/>
      <c r="BL22" s="139"/>
      <c r="BM22" s="139"/>
    </row>
    <row r="23">
      <c r="A23" s="152"/>
      <c r="B23" s="176"/>
      <c r="C23" s="25"/>
      <c r="D23" s="25"/>
      <c r="E23" s="177"/>
      <c r="F23" s="140"/>
      <c r="G23" s="176"/>
      <c r="H23" s="25"/>
      <c r="I23" s="25"/>
      <c r="J23" s="177"/>
      <c r="K23" s="140"/>
      <c r="L23" s="176"/>
      <c r="M23" s="25"/>
      <c r="N23" s="25"/>
      <c r="O23" s="177"/>
      <c r="P23" s="140"/>
      <c r="Q23" s="176"/>
      <c r="R23" s="25"/>
      <c r="S23" s="25"/>
      <c r="T23" s="177"/>
      <c r="U23" s="140"/>
      <c r="V23" s="105" t="s">
        <v>346</v>
      </c>
      <c r="W23" s="106">
        <v>0.0</v>
      </c>
      <c r="X23" s="107"/>
      <c r="Y23" s="108">
        <f>COUNTA(OFFSET(DVT_Laboratory!$B$3, 0, MATCH(V23,DVT_Laboratory!$B$1:BM$1, 0)-1, 100, 1))</f>
        <v>1</v>
      </c>
      <c r="Z23" s="140"/>
      <c r="AA23" s="179" t="s">
        <v>347</v>
      </c>
      <c r="AB23" s="180">
        <v>0.0</v>
      </c>
      <c r="AC23" s="181"/>
      <c r="AD23" s="182">
        <f>COUNTA(OFFSET(DVT_Laboratory!$B$3, 0, MATCH("Card Mastery",DVT_Laboratory!$B$1:BM$1, 0)-1, 100, 1))</f>
        <v>9</v>
      </c>
      <c r="AE23" s="140"/>
      <c r="AF23" s="176"/>
      <c r="AG23" s="25"/>
      <c r="AH23" s="25"/>
      <c r="AI23" s="177"/>
      <c r="AJ23" s="140"/>
      <c r="AK23" s="176"/>
      <c r="AL23" s="25"/>
      <c r="AM23" s="25"/>
      <c r="AN23" s="177"/>
      <c r="AO23" s="140"/>
      <c r="AP23" s="176"/>
      <c r="AQ23" s="25"/>
      <c r="AR23" s="25"/>
      <c r="AS23" s="177"/>
      <c r="AT23" s="140"/>
      <c r="AU23" s="176"/>
      <c r="AV23" s="25"/>
      <c r="AW23" s="25"/>
      <c r="AX23" s="177"/>
      <c r="AY23" s="140"/>
      <c r="AZ23" s="193"/>
      <c r="BA23" s="25"/>
      <c r="BB23" s="25"/>
      <c r="BC23" s="177"/>
      <c r="BD23" s="140"/>
      <c r="BE23" s="183"/>
      <c r="BF23" s="183"/>
      <c r="BG23" s="183"/>
      <c r="BH23" s="183"/>
      <c r="BI23" s="140"/>
      <c r="BJ23" s="194"/>
      <c r="BK23" s="195"/>
      <c r="BL23" s="139"/>
      <c r="BM23" s="139"/>
    </row>
    <row r="24">
      <c r="A24" s="152"/>
      <c r="B24" s="176"/>
      <c r="C24" s="25"/>
      <c r="D24" s="25"/>
      <c r="E24" s="177"/>
      <c r="F24" s="140"/>
      <c r="G24" s="176"/>
      <c r="H24" s="25"/>
      <c r="I24" s="25"/>
      <c r="J24" s="177"/>
      <c r="K24" s="140"/>
      <c r="L24" s="176"/>
      <c r="M24" s="25"/>
      <c r="N24" s="25"/>
      <c r="O24" s="177"/>
      <c r="P24" s="140"/>
      <c r="Q24" s="176"/>
      <c r="R24" s="25"/>
      <c r="S24" s="25"/>
      <c r="T24" s="177"/>
      <c r="U24" s="140"/>
      <c r="V24" s="105" t="s">
        <v>348</v>
      </c>
      <c r="W24" s="106">
        <v>0.0</v>
      </c>
      <c r="X24" s="107"/>
      <c r="Y24" s="108">
        <f>COUNTA(OFFSET(DVT_Laboratory!$B$3, 0, MATCH(V24,DVT_Laboratory!$B$1:BM$1, 0)-1, 100, 1))</f>
        <v>6</v>
      </c>
      <c r="Z24" s="140"/>
      <c r="AA24" s="179" t="s">
        <v>349</v>
      </c>
      <c r="AB24" s="180">
        <v>0.0</v>
      </c>
      <c r="AC24" s="181"/>
      <c r="AD24" s="182">
        <f>COUNTA(OFFSET(DVT_Laboratory!$B$3, 0, MATCH("Card Mastery",DVT_Laboratory!$B$1:BM$1, 0)-1, 100, 1))</f>
        <v>9</v>
      </c>
      <c r="AE24" s="140"/>
      <c r="AF24" s="176"/>
      <c r="AG24" s="25"/>
      <c r="AH24" s="25"/>
      <c r="AI24" s="177"/>
      <c r="AJ24" s="140"/>
      <c r="AK24" s="176"/>
      <c r="AL24" s="25"/>
      <c r="AM24" s="25"/>
      <c r="AN24" s="177"/>
      <c r="AO24" s="140"/>
      <c r="AP24" s="176"/>
      <c r="AQ24" s="25"/>
      <c r="AR24" s="25"/>
      <c r="AS24" s="177"/>
      <c r="AT24" s="140"/>
      <c r="AU24" s="176"/>
      <c r="AV24" s="25"/>
      <c r="AW24" s="25"/>
      <c r="AX24" s="177"/>
      <c r="AY24" s="140"/>
      <c r="AZ24" s="193"/>
      <c r="BA24" s="25"/>
      <c r="BB24" s="25"/>
      <c r="BC24" s="177"/>
      <c r="BD24" s="140"/>
      <c r="BE24" s="183"/>
      <c r="BF24" s="183"/>
      <c r="BG24" s="183"/>
      <c r="BH24" s="183"/>
      <c r="BI24" s="140"/>
      <c r="BJ24" s="194"/>
      <c r="BK24" s="195"/>
      <c r="BL24" s="139"/>
      <c r="BM24" s="139"/>
    </row>
    <row r="25">
      <c r="A25" s="152"/>
      <c r="B25" s="176"/>
      <c r="C25" s="25"/>
      <c r="D25" s="25"/>
      <c r="E25" s="177"/>
      <c r="F25" s="140"/>
      <c r="G25" s="176"/>
      <c r="H25" s="25"/>
      <c r="I25" s="25"/>
      <c r="J25" s="177"/>
      <c r="K25" s="140"/>
      <c r="L25" s="176"/>
      <c r="M25" s="25"/>
      <c r="N25" s="25"/>
      <c r="O25" s="177"/>
      <c r="P25" s="140"/>
      <c r="Q25" s="176"/>
      <c r="R25" s="25"/>
      <c r="S25" s="25"/>
      <c r="T25" s="177"/>
      <c r="U25" s="140"/>
      <c r="V25" s="105" t="s">
        <v>350</v>
      </c>
      <c r="W25" s="106">
        <v>0.0</v>
      </c>
      <c r="X25" s="107"/>
      <c r="Y25" s="108">
        <f>COUNTA(OFFSET(DVT_Laboratory!$B$3, 0, MATCH(V25,DVT_Laboratory!$B$1:BM$1, 0)-1, 100, 1))</f>
        <v>1</v>
      </c>
      <c r="Z25" s="140"/>
      <c r="AA25" s="179" t="s">
        <v>351</v>
      </c>
      <c r="AB25" s="180">
        <v>0.0</v>
      </c>
      <c r="AC25" s="181"/>
      <c r="AD25" s="182">
        <f>COUNTA(OFFSET(DVT_Laboratory!$B$3, 0, MATCH("Card Mastery",DVT_Laboratory!$B$1:BM$1, 0)-1, 100, 1))</f>
        <v>9</v>
      </c>
      <c r="AE25" s="140"/>
      <c r="AF25" s="176"/>
      <c r="AG25" s="25"/>
      <c r="AH25" s="25"/>
      <c r="AI25" s="177"/>
      <c r="AJ25" s="140"/>
      <c r="AK25" s="176"/>
      <c r="AL25" s="25"/>
      <c r="AM25" s="25"/>
      <c r="AN25" s="177"/>
      <c r="AO25" s="140"/>
      <c r="AP25" s="176"/>
      <c r="AQ25" s="25"/>
      <c r="AR25" s="25"/>
      <c r="AS25" s="177"/>
      <c r="AT25" s="140"/>
      <c r="AU25" s="176"/>
      <c r="AV25" s="25"/>
      <c r="AW25" s="25"/>
      <c r="AX25" s="177"/>
      <c r="AY25" s="140"/>
      <c r="AZ25" s="193"/>
      <c r="BA25" s="25"/>
      <c r="BB25" s="25"/>
      <c r="BC25" s="177"/>
      <c r="BD25" s="140"/>
      <c r="BE25" s="183"/>
      <c r="BF25" s="183"/>
      <c r="BG25" s="183"/>
      <c r="BH25" s="183"/>
      <c r="BI25" s="140"/>
      <c r="BJ25" s="194"/>
      <c r="BK25" s="195"/>
      <c r="BL25" s="139"/>
      <c r="BM25" s="139"/>
    </row>
    <row r="26">
      <c r="A26" s="152"/>
      <c r="B26" s="176"/>
      <c r="C26" s="25"/>
      <c r="D26" s="25"/>
      <c r="E26" s="177"/>
      <c r="F26" s="140"/>
      <c r="G26" s="176"/>
      <c r="H26" s="25"/>
      <c r="I26" s="25"/>
      <c r="J26" s="177"/>
      <c r="K26" s="140"/>
      <c r="L26" s="176"/>
      <c r="M26" s="25"/>
      <c r="N26" s="25"/>
      <c r="O26" s="177"/>
      <c r="P26" s="140"/>
      <c r="Q26" s="176"/>
      <c r="R26" s="25"/>
      <c r="S26" s="25"/>
      <c r="T26" s="177"/>
      <c r="U26" s="140"/>
      <c r="V26" s="105" t="s">
        <v>352</v>
      </c>
      <c r="W26" s="106">
        <v>10.0</v>
      </c>
      <c r="X26" s="107"/>
      <c r="Y26" s="108">
        <f>COUNTA(OFFSET(DVT_Laboratory!$B$3, 0, MATCH(V26,DVT_Laboratory!$B$1:BM$1, 0)-1, 100, 1))</f>
        <v>10</v>
      </c>
      <c r="Z26" s="140"/>
      <c r="AA26" s="179" t="s">
        <v>353</v>
      </c>
      <c r="AB26" s="180">
        <v>0.0</v>
      </c>
      <c r="AC26" s="181"/>
      <c r="AD26" s="182">
        <f>COUNTA(OFFSET(DVT_Laboratory!$B$3, 0, MATCH("Card Mastery",DVT_Laboratory!$B$1:BM$1, 0)-1, 100, 1))</f>
        <v>9</v>
      </c>
      <c r="AE26" s="140"/>
      <c r="AF26" s="176"/>
      <c r="AG26" s="25"/>
      <c r="AH26" s="25"/>
      <c r="AI26" s="177"/>
      <c r="AJ26" s="140"/>
      <c r="AK26" s="176"/>
      <c r="AL26" s="25"/>
      <c r="AM26" s="25"/>
      <c r="AN26" s="177"/>
      <c r="AO26" s="140"/>
      <c r="AP26" s="176"/>
      <c r="AQ26" s="25"/>
      <c r="AR26" s="25"/>
      <c r="AS26" s="177"/>
      <c r="AT26" s="140"/>
      <c r="AU26" s="176"/>
      <c r="AV26" s="25"/>
      <c r="AW26" s="25"/>
      <c r="AX26" s="177"/>
      <c r="AY26" s="140"/>
      <c r="AZ26" s="193"/>
      <c r="BA26" s="25"/>
      <c r="BB26" s="25"/>
      <c r="BC26" s="177"/>
      <c r="BD26" s="140"/>
      <c r="BE26" s="183"/>
      <c r="BF26" s="183"/>
      <c r="BG26" s="183"/>
      <c r="BH26" s="183"/>
      <c r="BI26" s="140"/>
      <c r="BJ26" s="194"/>
      <c r="BK26" s="195"/>
      <c r="BL26" s="139"/>
      <c r="BM26" s="139"/>
    </row>
    <row r="27">
      <c r="A27" s="152"/>
      <c r="B27" s="176"/>
      <c r="C27" s="25"/>
      <c r="D27" s="25"/>
      <c r="E27" s="177"/>
      <c r="F27" s="140"/>
      <c r="G27" s="176"/>
      <c r="H27" s="25"/>
      <c r="I27" s="25"/>
      <c r="J27" s="177"/>
      <c r="K27" s="140"/>
      <c r="L27" s="176"/>
      <c r="M27" s="25"/>
      <c r="N27" s="25"/>
      <c r="O27" s="177"/>
      <c r="P27" s="140"/>
      <c r="Q27" s="176"/>
      <c r="R27" s="25"/>
      <c r="S27" s="25"/>
      <c r="T27" s="177"/>
      <c r="U27" s="140"/>
      <c r="V27" s="105" t="s">
        <v>354</v>
      </c>
      <c r="W27" s="106">
        <v>1.0</v>
      </c>
      <c r="X27" s="107"/>
      <c r="Y27" s="108">
        <f>COUNTA(OFFSET(DVT_Laboratory!$B$3, 0, MATCH(V27,DVT_Laboratory!$B$1:BM$1, 0)-1, 100, 1))</f>
        <v>1</v>
      </c>
      <c r="Z27" s="140"/>
      <c r="AA27" s="179" t="s">
        <v>355</v>
      </c>
      <c r="AB27" s="180">
        <v>0.0</v>
      </c>
      <c r="AC27" s="181"/>
      <c r="AD27" s="182">
        <f>COUNTA(OFFSET(DVT_Laboratory!$B$3, 0, MATCH("Card Mastery",DVT_Laboratory!$B$1:BM$1, 0)-1, 100, 1))</f>
        <v>9</v>
      </c>
      <c r="AE27" s="140"/>
      <c r="AF27" s="176"/>
      <c r="AG27" s="25"/>
      <c r="AH27" s="25"/>
      <c r="AI27" s="177"/>
      <c r="AJ27" s="140"/>
      <c r="AK27" s="176"/>
      <c r="AL27" s="25"/>
      <c r="AM27" s="25"/>
      <c r="AN27" s="177"/>
      <c r="AO27" s="140"/>
      <c r="AP27" s="176"/>
      <c r="AQ27" s="25"/>
      <c r="AR27" s="25"/>
      <c r="AS27" s="177"/>
      <c r="AT27" s="140"/>
      <c r="AU27" s="176"/>
      <c r="AV27" s="25"/>
      <c r="AW27" s="25"/>
      <c r="AX27" s="177"/>
      <c r="AY27" s="140"/>
      <c r="AZ27" s="193"/>
      <c r="BA27" s="25"/>
      <c r="BB27" s="25"/>
      <c r="BC27" s="177"/>
      <c r="BD27" s="140"/>
      <c r="BE27" s="183"/>
      <c r="BF27" s="183"/>
      <c r="BG27" s="183"/>
      <c r="BH27" s="183"/>
      <c r="BI27" s="140"/>
      <c r="BJ27" s="194"/>
      <c r="BK27" s="195"/>
      <c r="BL27" s="139"/>
      <c r="BM27" s="139"/>
    </row>
    <row r="28">
      <c r="A28" s="152"/>
      <c r="B28" s="176"/>
      <c r="C28" s="25"/>
      <c r="D28" s="25"/>
      <c r="E28" s="177"/>
      <c r="F28" s="152"/>
      <c r="G28" s="176"/>
      <c r="H28" s="25"/>
      <c r="I28" s="25"/>
      <c r="J28" s="177"/>
      <c r="K28" s="152"/>
      <c r="L28" s="176"/>
      <c r="M28" s="25"/>
      <c r="N28" s="25"/>
      <c r="O28" s="177"/>
      <c r="P28" s="152"/>
      <c r="Q28" s="176"/>
      <c r="R28" s="25"/>
      <c r="S28" s="25"/>
      <c r="T28" s="177"/>
      <c r="U28" s="152"/>
      <c r="V28" s="105" t="s">
        <v>356</v>
      </c>
      <c r="W28" s="106">
        <v>20.0</v>
      </c>
      <c r="X28" s="107"/>
      <c r="Y28" s="108">
        <f>COUNTA(OFFSET(DVT_Laboratory!$B$3, 0, MATCH(V28,DVT_Laboratory!$B$1:BM$1, 0)-1, 100, 1))</f>
        <v>20</v>
      </c>
      <c r="Z28" s="152"/>
      <c r="AA28" s="179" t="s">
        <v>357</v>
      </c>
      <c r="AB28" s="180">
        <v>0.0</v>
      </c>
      <c r="AC28" s="181"/>
      <c r="AD28" s="182">
        <f>COUNTA(OFFSET(DVT_Laboratory!$B$3, 0, MATCH("Card Mastery",DVT_Laboratory!$B$1:BM$1, 0)-1, 100, 1))</f>
        <v>9</v>
      </c>
      <c r="AE28" s="152"/>
      <c r="AF28" s="176"/>
      <c r="AG28" s="25"/>
      <c r="AH28" s="25"/>
      <c r="AI28" s="177"/>
      <c r="AJ28" s="152"/>
      <c r="AK28" s="176"/>
      <c r="AL28" s="25"/>
      <c r="AM28" s="25"/>
      <c r="AN28" s="177"/>
      <c r="AO28" s="152"/>
      <c r="AP28" s="176"/>
      <c r="AQ28" s="25"/>
      <c r="AR28" s="25"/>
      <c r="AS28" s="177"/>
      <c r="AT28" s="152"/>
      <c r="AU28" s="176"/>
      <c r="AV28" s="25"/>
      <c r="AW28" s="25"/>
      <c r="AX28" s="177"/>
      <c r="AY28" s="152"/>
      <c r="AZ28" s="193"/>
      <c r="BA28" s="25"/>
      <c r="BB28" s="25"/>
      <c r="BC28" s="177"/>
      <c r="BD28" s="140"/>
      <c r="BE28" s="183"/>
      <c r="BF28" s="183"/>
      <c r="BG28" s="183"/>
      <c r="BH28" s="183"/>
      <c r="BI28" s="140"/>
      <c r="BJ28" s="194"/>
      <c r="BK28" s="195"/>
      <c r="BL28" s="139"/>
      <c r="BM28" s="139"/>
    </row>
    <row r="29">
      <c r="A29" s="152"/>
      <c r="B29" s="176"/>
      <c r="C29" s="25"/>
      <c r="D29" s="25"/>
      <c r="E29" s="177"/>
      <c r="F29" s="152"/>
      <c r="G29" s="176"/>
      <c r="H29" s="25"/>
      <c r="I29" s="25"/>
      <c r="J29" s="177"/>
      <c r="K29" s="152"/>
      <c r="L29" s="176"/>
      <c r="M29" s="25"/>
      <c r="N29" s="25"/>
      <c r="O29" s="177"/>
      <c r="P29" s="152"/>
      <c r="Q29" s="176"/>
      <c r="R29" s="25"/>
      <c r="S29" s="25"/>
      <c r="T29" s="177"/>
      <c r="U29" s="152"/>
      <c r="V29" s="105" t="s">
        <v>358</v>
      </c>
      <c r="W29" s="106">
        <v>20.0</v>
      </c>
      <c r="X29" s="107"/>
      <c r="Y29" s="108">
        <f>COUNTA(OFFSET(DVT_Laboratory!$B$3, 0, MATCH(V29,DVT_Laboratory!$B$1:BM$1, 0)-1, 100, 1))</f>
        <v>20</v>
      </c>
      <c r="Z29" s="152"/>
      <c r="AA29" s="179" t="s">
        <v>359</v>
      </c>
      <c r="AB29" s="180">
        <v>0.0</v>
      </c>
      <c r="AC29" s="181"/>
      <c r="AD29" s="182">
        <f>COUNTA(OFFSET(DVT_Laboratory!$B$3, 0, MATCH("Card Mastery",DVT_Laboratory!$B$1:BM$1, 0)-1, 100, 1))</f>
        <v>9</v>
      </c>
      <c r="AE29" s="152"/>
      <c r="AF29" s="176"/>
      <c r="AG29" s="25"/>
      <c r="AH29" s="25"/>
      <c r="AI29" s="177"/>
      <c r="AJ29" s="152"/>
      <c r="AK29" s="176"/>
      <c r="AL29" s="25"/>
      <c r="AM29" s="25"/>
      <c r="AN29" s="177"/>
      <c r="AO29" s="152"/>
      <c r="AP29" s="176"/>
      <c r="AQ29" s="25"/>
      <c r="AR29" s="25"/>
      <c r="AS29" s="177"/>
      <c r="AT29" s="152"/>
      <c r="AU29" s="176"/>
      <c r="AV29" s="25"/>
      <c r="AW29" s="25"/>
      <c r="AX29" s="177"/>
      <c r="AY29" s="152"/>
      <c r="AZ29" s="193"/>
      <c r="BA29" s="25"/>
      <c r="BB29" s="25"/>
      <c r="BC29" s="177"/>
      <c r="BD29" s="140"/>
      <c r="BE29" s="183"/>
      <c r="BF29" s="183"/>
      <c r="BG29" s="183"/>
      <c r="BH29" s="183"/>
      <c r="BI29" s="140"/>
      <c r="BJ29" s="194"/>
      <c r="BK29" s="195"/>
      <c r="BL29" s="139"/>
      <c r="BM29" s="139"/>
    </row>
    <row r="30">
      <c r="A30" s="152"/>
      <c r="B30" s="176"/>
      <c r="C30" s="25"/>
      <c r="D30" s="25"/>
      <c r="E30" s="177"/>
      <c r="F30" s="152"/>
      <c r="G30" s="176"/>
      <c r="H30" s="25"/>
      <c r="I30" s="25"/>
      <c r="J30" s="177"/>
      <c r="K30" s="152"/>
      <c r="L30" s="176"/>
      <c r="M30" s="25"/>
      <c r="N30" s="25"/>
      <c r="O30" s="177"/>
      <c r="P30" s="152"/>
      <c r="Q30" s="176"/>
      <c r="R30" s="25"/>
      <c r="S30" s="25"/>
      <c r="T30" s="177"/>
      <c r="U30" s="152"/>
      <c r="V30" s="105" t="s">
        <v>360</v>
      </c>
      <c r="W30" s="106">
        <v>1.0</v>
      </c>
      <c r="X30" s="107"/>
      <c r="Y30" s="108">
        <f>COUNTA(OFFSET(DVT_Laboratory!$B$3, 0, MATCH(V30,DVT_Laboratory!$B$1:BM$1, 0)-1, 100, 1))</f>
        <v>18</v>
      </c>
      <c r="Z30" s="152"/>
      <c r="AA30" s="179" t="s">
        <v>361</v>
      </c>
      <c r="AB30" s="180">
        <v>3.0</v>
      </c>
      <c r="AC30" s="181"/>
      <c r="AD30" s="182">
        <f>COUNTA(OFFSET(DVT_Laboratory!$B$3, 0, MATCH("Card Mastery",DVT_Laboratory!$B$1:BM$1, 0)-1, 100, 1))</f>
        <v>9</v>
      </c>
      <c r="AE30" s="152"/>
      <c r="AF30" s="176"/>
      <c r="AG30" s="25"/>
      <c r="AH30" s="25"/>
      <c r="AI30" s="177"/>
      <c r="AJ30" s="152"/>
      <c r="AK30" s="176"/>
      <c r="AL30" s="25"/>
      <c r="AM30" s="25"/>
      <c r="AN30" s="177"/>
      <c r="AO30" s="152"/>
      <c r="AP30" s="176"/>
      <c r="AQ30" s="25"/>
      <c r="AR30" s="25"/>
      <c r="AS30" s="177"/>
      <c r="AT30" s="152"/>
      <c r="AU30" s="176"/>
      <c r="AV30" s="25"/>
      <c r="AW30" s="25"/>
      <c r="AX30" s="177"/>
      <c r="AY30" s="152"/>
      <c r="AZ30" s="193"/>
      <c r="BA30" s="25"/>
      <c r="BB30" s="25"/>
      <c r="BC30" s="177"/>
      <c r="BD30" s="140"/>
      <c r="BE30" s="183"/>
      <c r="BF30" s="183"/>
      <c r="BG30" s="183"/>
      <c r="BH30" s="183"/>
      <c r="BI30" s="140"/>
      <c r="BJ30" s="194"/>
      <c r="BK30" s="195"/>
      <c r="BL30" s="139"/>
      <c r="BM30" s="139"/>
    </row>
    <row r="31">
      <c r="A31" s="152"/>
      <c r="B31" s="176"/>
      <c r="C31" s="25"/>
      <c r="D31" s="25"/>
      <c r="E31" s="177"/>
      <c r="F31" s="152"/>
      <c r="G31" s="176"/>
      <c r="H31" s="25"/>
      <c r="I31" s="25"/>
      <c r="J31" s="177"/>
      <c r="K31" s="152"/>
      <c r="L31" s="176"/>
      <c r="M31" s="25"/>
      <c r="N31" s="25"/>
      <c r="O31" s="177"/>
      <c r="P31" s="152"/>
      <c r="Q31" s="176"/>
      <c r="R31" s="25"/>
      <c r="S31" s="25"/>
      <c r="T31" s="177"/>
      <c r="U31" s="152"/>
      <c r="V31" s="105" t="s">
        <v>362</v>
      </c>
      <c r="W31" s="106">
        <v>1.0</v>
      </c>
      <c r="X31" s="107"/>
      <c r="Y31" s="108">
        <f>COUNTA(OFFSET(DVT_Laboratory!$B$3, 0, MATCH(V31,DVT_Laboratory!$B$1:BM$1, 0)-1, 100, 1))</f>
        <v>1</v>
      </c>
      <c r="Z31" s="152"/>
      <c r="AA31" s="179" t="s">
        <v>363</v>
      </c>
      <c r="AB31" s="180">
        <v>0.0</v>
      </c>
      <c r="AC31" s="181"/>
      <c r="AD31" s="182">
        <f>COUNTA(OFFSET(DVT_Laboratory!$B$3, 0, MATCH("Card Mastery",DVT_Laboratory!$B$1:BM$1, 0)-1, 100, 1))</f>
        <v>9</v>
      </c>
      <c r="AE31" s="152"/>
      <c r="AF31" s="176"/>
      <c r="AG31" s="25"/>
      <c r="AH31" s="25"/>
      <c r="AI31" s="177"/>
      <c r="AJ31" s="152"/>
      <c r="AK31" s="176"/>
      <c r="AL31" s="25"/>
      <c r="AM31" s="25"/>
      <c r="AN31" s="177"/>
      <c r="AO31" s="152"/>
      <c r="AP31" s="176"/>
      <c r="AQ31" s="25"/>
      <c r="AR31" s="25"/>
      <c r="AS31" s="177"/>
      <c r="AT31" s="152"/>
      <c r="AU31" s="176"/>
      <c r="AV31" s="25"/>
      <c r="AW31" s="25"/>
      <c r="AX31" s="177"/>
      <c r="AY31" s="152"/>
      <c r="AZ31" s="196"/>
      <c r="BA31" s="25"/>
      <c r="BB31" s="25"/>
      <c r="BC31" s="177"/>
      <c r="BD31" s="140"/>
      <c r="BE31" s="183"/>
      <c r="BF31" s="183"/>
      <c r="BG31" s="183"/>
      <c r="BH31" s="183"/>
      <c r="BI31" s="140"/>
      <c r="BJ31" s="194"/>
      <c r="BK31" s="195"/>
      <c r="BL31" s="139"/>
      <c r="BM31" s="139"/>
    </row>
    <row r="32">
      <c r="A32" s="152"/>
      <c r="B32" s="176"/>
      <c r="C32" s="25"/>
      <c r="D32" s="25"/>
      <c r="E32" s="177"/>
      <c r="F32" s="152"/>
      <c r="G32" s="176"/>
      <c r="H32" s="25"/>
      <c r="I32" s="25"/>
      <c r="J32" s="177"/>
      <c r="K32" s="152"/>
      <c r="L32" s="176"/>
      <c r="M32" s="25"/>
      <c r="N32" s="25"/>
      <c r="O32" s="177"/>
      <c r="P32" s="152"/>
      <c r="Q32" s="176"/>
      <c r="R32" s="25"/>
      <c r="S32" s="25"/>
      <c r="T32" s="177"/>
      <c r="U32" s="152"/>
      <c r="V32" s="197" t="s">
        <v>364</v>
      </c>
      <c r="W32" s="106">
        <v>0.0</v>
      </c>
      <c r="X32" s="107"/>
      <c r="Y32" s="108">
        <f>COUNTA(OFFSET(DVT_Laboratory!$B$3, 0, MATCH(V32,DVT_Laboratory!$B$1:BM$1, 0)-1, 100, 1))</f>
        <v>7</v>
      </c>
      <c r="Z32" s="152"/>
      <c r="AA32" s="179" t="s">
        <v>365</v>
      </c>
      <c r="AB32" s="180">
        <v>0.0</v>
      </c>
      <c r="AC32" s="181"/>
      <c r="AD32" s="182">
        <f>COUNTA(OFFSET(DVT_Laboratory!$B$3, 0, MATCH("Card Mastery",DVT_Laboratory!$B$1:BM$1, 0)-1, 100, 1))</f>
        <v>9</v>
      </c>
      <c r="AE32" s="152"/>
      <c r="AF32" s="176"/>
      <c r="AG32" s="25"/>
      <c r="AH32" s="25"/>
      <c r="AI32" s="177"/>
      <c r="AJ32" s="152"/>
      <c r="AK32" s="176"/>
      <c r="AL32" s="25"/>
      <c r="AM32" s="25"/>
      <c r="AN32" s="177"/>
      <c r="AO32" s="152"/>
      <c r="AP32" s="176"/>
      <c r="AQ32" s="25"/>
      <c r="AR32" s="25"/>
      <c r="AS32" s="177"/>
      <c r="AT32" s="152"/>
      <c r="AU32" s="176"/>
      <c r="AV32" s="25"/>
      <c r="AW32" s="25"/>
      <c r="AX32" s="177"/>
      <c r="AY32" s="152"/>
      <c r="AZ32" s="196"/>
      <c r="BA32" s="25"/>
      <c r="BB32" s="25"/>
      <c r="BC32" s="177"/>
      <c r="BD32" s="140"/>
      <c r="BE32" s="183"/>
      <c r="BF32" s="183"/>
      <c r="BG32" s="183"/>
      <c r="BH32" s="183"/>
      <c r="BI32" s="140"/>
      <c r="BJ32" s="194"/>
      <c r="BK32" s="195"/>
      <c r="BL32" s="139"/>
      <c r="BM32" s="139"/>
    </row>
    <row r="33">
      <c r="A33" s="152"/>
      <c r="B33" s="176"/>
      <c r="C33" s="25"/>
      <c r="D33" s="25"/>
      <c r="E33" s="177"/>
      <c r="F33" s="152"/>
      <c r="G33" s="176"/>
      <c r="H33" s="25"/>
      <c r="I33" s="25"/>
      <c r="J33" s="177"/>
      <c r="K33" s="152"/>
      <c r="L33" s="176"/>
      <c r="M33" s="25"/>
      <c r="N33" s="25"/>
      <c r="O33" s="177"/>
      <c r="P33" s="152"/>
      <c r="Q33" s="176"/>
      <c r="R33" s="25"/>
      <c r="S33" s="25"/>
      <c r="T33" s="177"/>
      <c r="U33" s="152"/>
      <c r="V33" s="197" t="s">
        <v>366</v>
      </c>
      <c r="W33" s="106">
        <v>0.0</v>
      </c>
      <c r="X33" s="107"/>
      <c r="Y33" s="108">
        <f>COUNTA(OFFSET(DVT_Laboratory!$B$3, 0, MATCH(V33,DVT_Laboratory!$B$1:BM$1, 0)-1, 100, 1))</f>
        <v>30</v>
      </c>
      <c r="Z33" s="152"/>
      <c r="AA33" s="179" t="s">
        <v>367</v>
      </c>
      <c r="AB33" s="180">
        <v>0.0</v>
      </c>
      <c r="AC33" s="181"/>
      <c r="AD33" s="182">
        <f>COUNTA(OFFSET(DVT_Laboratory!$B$3, 0, MATCH("Card Mastery",DVT_Laboratory!$B$1:BM$1, 0)-1, 100, 1))</f>
        <v>9</v>
      </c>
      <c r="AE33" s="152"/>
      <c r="AF33" s="176"/>
      <c r="AG33" s="25"/>
      <c r="AH33" s="25"/>
      <c r="AI33" s="177"/>
      <c r="AJ33" s="152"/>
      <c r="AK33" s="176"/>
      <c r="AL33" s="25"/>
      <c r="AM33" s="25"/>
      <c r="AN33" s="177"/>
      <c r="AO33" s="152"/>
      <c r="AP33" s="176"/>
      <c r="AQ33" s="25"/>
      <c r="AR33" s="25"/>
      <c r="AS33" s="177"/>
      <c r="AT33" s="152"/>
      <c r="AU33" s="176"/>
      <c r="AV33" s="25"/>
      <c r="AW33" s="25"/>
      <c r="AX33" s="177"/>
      <c r="AY33" s="152"/>
      <c r="AZ33" s="196"/>
      <c r="BA33" s="25"/>
      <c r="BB33" s="25"/>
      <c r="BC33" s="177"/>
      <c r="BD33" s="140"/>
      <c r="BE33" s="183"/>
      <c r="BF33" s="183"/>
      <c r="BG33" s="183"/>
      <c r="BH33" s="183"/>
      <c r="BI33" s="140"/>
      <c r="BJ33" s="194"/>
      <c r="BK33" s="195"/>
      <c r="BL33" s="139"/>
      <c r="BM33" s="139"/>
    </row>
    <row r="34">
      <c r="A34" s="152"/>
      <c r="B34" s="176"/>
      <c r="C34" s="25"/>
      <c r="D34" s="25"/>
      <c r="E34" s="177"/>
      <c r="F34" s="152"/>
      <c r="G34" s="176"/>
      <c r="H34" s="25"/>
      <c r="I34" s="25"/>
      <c r="J34" s="177"/>
      <c r="K34" s="152"/>
      <c r="L34" s="176"/>
      <c r="M34" s="25"/>
      <c r="N34" s="25"/>
      <c r="O34" s="177"/>
      <c r="P34" s="152"/>
      <c r="Q34" s="176"/>
      <c r="R34" s="25"/>
      <c r="S34" s="25"/>
      <c r="T34" s="177"/>
      <c r="U34" s="152"/>
      <c r="V34" s="197" t="s">
        <v>368</v>
      </c>
      <c r="W34" s="106">
        <v>0.0</v>
      </c>
      <c r="X34" s="107"/>
      <c r="Y34" s="108">
        <f>COUNTA(OFFSET(DVT_Laboratory!$B$3, 0, MATCH(V34,DVT_Laboratory!$B$1:BM$1, 0)-1, 100, 1))</f>
        <v>6</v>
      </c>
      <c r="Z34" s="152"/>
      <c r="AA34" s="179" t="s">
        <v>369</v>
      </c>
      <c r="AB34" s="180">
        <v>0.0</v>
      </c>
      <c r="AC34" s="181"/>
      <c r="AD34" s="182">
        <f>COUNTA(OFFSET(DVT_Laboratory!$B$3, 0, MATCH("Card Mastery",DVT_Laboratory!$B$1:BM$1, 0)-1, 100, 1))</f>
        <v>9</v>
      </c>
      <c r="AE34" s="152"/>
      <c r="AF34" s="176"/>
      <c r="AG34" s="25"/>
      <c r="AH34" s="25"/>
      <c r="AI34" s="177"/>
      <c r="AJ34" s="152"/>
      <c r="AK34" s="176"/>
      <c r="AL34" s="25"/>
      <c r="AM34" s="25"/>
      <c r="AN34" s="177"/>
      <c r="AO34" s="152"/>
      <c r="AP34" s="176"/>
      <c r="AQ34" s="25"/>
      <c r="AR34" s="25"/>
      <c r="AS34" s="177"/>
      <c r="AT34" s="152"/>
      <c r="AU34" s="176"/>
      <c r="AV34" s="25"/>
      <c r="AW34" s="25"/>
      <c r="AX34" s="177"/>
      <c r="AY34" s="152"/>
      <c r="AZ34" s="196"/>
      <c r="BA34" s="25"/>
      <c r="BB34" s="25"/>
      <c r="BC34" s="177"/>
      <c r="BD34" s="140"/>
      <c r="BE34" s="183"/>
      <c r="BF34" s="183"/>
      <c r="BG34" s="183"/>
      <c r="BH34" s="183"/>
      <c r="BI34" s="140"/>
      <c r="BJ34" s="194"/>
      <c r="BK34" s="195"/>
      <c r="BL34" s="139"/>
      <c r="BM34" s="139"/>
    </row>
    <row r="35">
      <c r="A35" s="152"/>
      <c r="B35" s="176"/>
      <c r="C35" s="25"/>
      <c r="D35" s="25"/>
      <c r="E35" s="177"/>
      <c r="F35" s="152"/>
      <c r="G35" s="176"/>
      <c r="H35" s="25"/>
      <c r="I35" s="25"/>
      <c r="J35" s="177"/>
      <c r="K35" s="152"/>
      <c r="L35" s="176"/>
      <c r="M35" s="25"/>
      <c r="N35" s="25"/>
      <c r="O35" s="177"/>
      <c r="P35" s="152"/>
      <c r="Q35" s="176"/>
      <c r="R35" s="25"/>
      <c r="S35" s="25"/>
      <c r="T35" s="177"/>
      <c r="U35" s="152"/>
      <c r="V35" s="197" t="s">
        <v>370</v>
      </c>
      <c r="W35" s="106">
        <v>12.0</v>
      </c>
      <c r="X35" s="107"/>
      <c r="Y35" s="108">
        <f>COUNTA(OFFSET(DVT_Laboratory!$B$3, 0, MATCH(V35,DVT_Laboratory!$B$1:BM$1, 0)-1, 100, 1))</f>
        <v>30</v>
      </c>
      <c r="Z35" s="152"/>
      <c r="AA35" s="179" t="s">
        <v>371</v>
      </c>
      <c r="AB35" s="180">
        <v>0.0</v>
      </c>
      <c r="AC35" s="181"/>
      <c r="AD35" s="182">
        <f>COUNTA(OFFSET(DVT_Laboratory!$B$3, 0, MATCH("Card Mastery",DVT_Laboratory!$B$1:BM$1, 0)-1, 100, 1))</f>
        <v>9</v>
      </c>
      <c r="AE35" s="152"/>
      <c r="AF35" s="176"/>
      <c r="AG35" s="25"/>
      <c r="AH35" s="25"/>
      <c r="AI35" s="177"/>
      <c r="AJ35" s="152"/>
      <c r="AK35" s="176"/>
      <c r="AL35" s="25"/>
      <c r="AM35" s="25"/>
      <c r="AN35" s="177"/>
      <c r="AO35" s="152"/>
      <c r="AP35" s="176"/>
      <c r="AQ35" s="25"/>
      <c r="AR35" s="25"/>
      <c r="AS35" s="177"/>
      <c r="AT35" s="152"/>
      <c r="AU35" s="176"/>
      <c r="AV35" s="25"/>
      <c r="AW35" s="25"/>
      <c r="AX35" s="177"/>
      <c r="AY35" s="152"/>
      <c r="AZ35" s="196"/>
      <c r="BA35" s="25"/>
      <c r="BB35" s="25"/>
      <c r="BC35" s="177"/>
      <c r="BD35" s="140"/>
      <c r="BE35" s="183"/>
      <c r="BF35" s="183"/>
      <c r="BG35" s="183"/>
      <c r="BH35" s="183"/>
      <c r="BI35" s="140"/>
      <c r="BJ35" s="194"/>
      <c r="BK35" s="195"/>
      <c r="BL35" s="139"/>
      <c r="BM35" s="139"/>
    </row>
    <row r="36">
      <c r="A36" s="152"/>
      <c r="B36" s="176"/>
      <c r="C36" s="25"/>
      <c r="D36" s="25"/>
      <c r="E36" s="177"/>
      <c r="F36" s="152"/>
      <c r="G36" s="176"/>
      <c r="H36" s="25"/>
      <c r="I36" s="25"/>
      <c r="J36" s="177"/>
      <c r="K36" s="152"/>
      <c r="L36" s="176"/>
      <c r="M36" s="25"/>
      <c r="N36" s="25"/>
      <c r="O36" s="177"/>
      <c r="P36" s="152"/>
      <c r="Q36" s="176"/>
      <c r="R36" s="25"/>
      <c r="S36" s="25"/>
      <c r="T36" s="177"/>
      <c r="U36" s="152"/>
      <c r="V36" s="197" t="s">
        <v>372</v>
      </c>
      <c r="W36" s="106">
        <v>9.0</v>
      </c>
      <c r="X36" s="107"/>
      <c r="Y36" s="108">
        <f>COUNTA(OFFSET(DVT_Laboratory!$B$3, 0, MATCH(V36,DVT_Laboratory!$B$1:BM$1, 0)-1, 100, 1))</f>
        <v>30</v>
      </c>
      <c r="Z36" s="152"/>
      <c r="AA36" s="179" t="s">
        <v>373</v>
      </c>
      <c r="AB36" s="180">
        <v>0.0</v>
      </c>
      <c r="AC36" s="181"/>
      <c r="AD36" s="182">
        <f>COUNTA(OFFSET(DVT_Laboratory!$B$3, 0, MATCH("Card Mastery",DVT_Laboratory!$B$1:BM$1, 0)-1, 100, 1))</f>
        <v>9</v>
      </c>
      <c r="AE36" s="152"/>
      <c r="AF36" s="176"/>
      <c r="AG36" s="25"/>
      <c r="AH36" s="25"/>
      <c r="AI36" s="177"/>
      <c r="AJ36" s="152"/>
      <c r="AK36" s="176"/>
      <c r="AL36" s="25"/>
      <c r="AM36" s="25"/>
      <c r="AN36" s="177"/>
      <c r="AO36" s="152"/>
      <c r="AP36" s="176"/>
      <c r="AQ36" s="25"/>
      <c r="AR36" s="25"/>
      <c r="AS36" s="177"/>
      <c r="AT36" s="152"/>
      <c r="AU36" s="176"/>
      <c r="AV36" s="25"/>
      <c r="AW36" s="25"/>
      <c r="AX36" s="177"/>
      <c r="AY36" s="152"/>
      <c r="AZ36" s="196"/>
      <c r="BA36" s="25"/>
      <c r="BB36" s="25"/>
      <c r="BC36" s="177"/>
      <c r="BD36" s="140"/>
      <c r="BE36" s="183"/>
      <c r="BF36" s="183"/>
      <c r="BG36" s="183"/>
      <c r="BH36" s="183"/>
      <c r="BI36" s="140"/>
      <c r="BJ36" s="194"/>
      <c r="BK36" s="195"/>
      <c r="BL36" s="139"/>
      <c r="BM36" s="139"/>
    </row>
    <row r="37">
      <c r="A37" s="152"/>
      <c r="B37" s="176"/>
      <c r="C37" s="25"/>
      <c r="D37" s="25"/>
      <c r="E37" s="177"/>
      <c r="F37" s="152"/>
      <c r="G37" s="176"/>
      <c r="H37" s="25"/>
      <c r="I37" s="25"/>
      <c r="J37" s="177"/>
      <c r="K37" s="152"/>
      <c r="L37" s="176"/>
      <c r="M37" s="25"/>
      <c r="N37" s="25"/>
      <c r="O37" s="177"/>
      <c r="P37" s="152"/>
      <c r="Q37" s="176"/>
      <c r="R37" s="25"/>
      <c r="S37" s="25"/>
      <c r="T37" s="177"/>
      <c r="U37" s="152"/>
      <c r="V37" s="105" t="s">
        <v>374</v>
      </c>
      <c r="W37" s="106">
        <v>20.0</v>
      </c>
      <c r="X37" s="107"/>
      <c r="Y37" s="198">
        <f>COUNTA(OFFSET(DVT_Laboratory!$B$3, 0, MATCH(V37,DVT_Laboratory!$B$1:BM$1, 0)-1, 100, 1))</f>
        <v>20</v>
      </c>
      <c r="Z37" s="152"/>
      <c r="AA37" s="179" t="s">
        <v>375</v>
      </c>
      <c r="AB37" s="180">
        <v>0.0</v>
      </c>
      <c r="AC37" s="181"/>
      <c r="AD37" s="182">
        <f>COUNTA(OFFSET(DVT_Laboratory!$B$3, 0, MATCH("Card Mastery",DVT_Laboratory!$B$1:BM$1, 0)-1, 100, 1))</f>
        <v>9</v>
      </c>
      <c r="AE37" s="152"/>
      <c r="AF37" s="176"/>
      <c r="AG37" s="25"/>
      <c r="AH37" s="25"/>
      <c r="AI37" s="177"/>
      <c r="AJ37" s="152"/>
      <c r="AK37" s="176"/>
      <c r="AL37" s="25"/>
      <c r="AM37" s="25"/>
      <c r="AN37" s="177"/>
      <c r="AO37" s="152"/>
      <c r="AP37" s="176"/>
      <c r="AQ37" s="25"/>
      <c r="AR37" s="25"/>
      <c r="AS37" s="177"/>
      <c r="AT37" s="152"/>
      <c r="AU37" s="176"/>
      <c r="AV37" s="25"/>
      <c r="AW37" s="25"/>
      <c r="AX37" s="177"/>
      <c r="AY37" s="152"/>
      <c r="AZ37" s="196"/>
      <c r="BA37" s="25"/>
      <c r="BB37" s="25"/>
      <c r="BC37" s="177"/>
      <c r="BD37" s="140"/>
      <c r="BE37" s="183"/>
      <c r="BF37" s="183"/>
      <c r="BG37" s="183"/>
      <c r="BH37" s="183"/>
      <c r="BI37" s="140"/>
      <c r="BJ37" s="194"/>
      <c r="BK37" s="195"/>
      <c r="BL37" s="139"/>
      <c r="BM37" s="139"/>
    </row>
    <row r="38">
      <c r="A38" s="152"/>
      <c r="B38" s="176"/>
      <c r="C38" s="25"/>
      <c r="D38" s="25"/>
      <c r="E38" s="177"/>
      <c r="F38" s="152"/>
      <c r="G38" s="176"/>
      <c r="H38" s="25"/>
      <c r="I38" s="25"/>
      <c r="J38" s="177"/>
      <c r="K38" s="152"/>
      <c r="L38" s="176"/>
      <c r="M38" s="25"/>
      <c r="N38" s="25"/>
      <c r="O38" s="177"/>
      <c r="P38" s="152"/>
      <c r="Q38" s="176"/>
      <c r="R38" s="25"/>
      <c r="S38" s="25"/>
      <c r="T38" s="177"/>
      <c r="U38" s="152"/>
      <c r="V38" s="105" t="s">
        <v>376</v>
      </c>
      <c r="W38" s="106">
        <v>2.0</v>
      </c>
      <c r="X38" s="107"/>
      <c r="Y38" s="198">
        <f>COUNTA(OFFSET(DVT_Laboratory!$B$3, 0, MATCH(V38,DVT_Laboratory!$B$1:BM$1, 0)-1, 100, 1))</f>
        <v>30</v>
      </c>
      <c r="Z38" s="152"/>
      <c r="AA38" s="179" t="s">
        <v>377</v>
      </c>
      <c r="AB38" s="180">
        <v>0.0</v>
      </c>
      <c r="AC38" s="181"/>
      <c r="AD38" s="182">
        <f>COUNTA(OFFSET(DVT_Laboratory!$B$3, 0, MATCH("Card Mastery",DVT_Laboratory!$B$1:BM$1, 0)-1, 100, 1))</f>
        <v>9</v>
      </c>
      <c r="AE38" s="152"/>
      <c r="AF38" s="176"/>
      <c r="AG38" s="25"/>
      <c r="AH38" s="25"/>
      <c r="AI38" s="177"/>
      <c r="AJ38" s="152"/>
      <c r="AK38" s="176"/>
      <c r="AL38" s="25"/>
      <c r="AM38" s="25"/>
      <c r="AN38" s="177"/>
      <c r="AO38" s="152"/>
      <c r="AP38" s="176"/>
      <c r="AQ38" s="25"/>
      <c r="AR38" s="25"/>
      <c r="AS38" s="177"/>
      <c r="AT38" s="152"/>
      <c r="AU38" s="176"/>
      <c r="AV38" s="25"/>
      <c r="AW38" s="25"/>
      <c r="AX38" s="177"/>
      <c r="AY38" s="152"/>
      <c r="AZ38" s="196"/>
      <c r="BA38" s="25"/>
      <c r="BB38" s="25"/>
      <c r="BC38" s="177"/>
      <c r="BD38" s="140"/>
      <c r="BE38" s="183"/>
      <c r="BF38" s="183"/>
      <c r="BG38" s="183"/>
      <c r="BH38" s="183"/>
      <c r="BI38" s="140"/>
      <c r="BJ38" s="194"/>
      <c r="BK38" s="195"/>
      <c r="BL38" s="139"/>
      <c r="BM38" s="139"/>
    </row>
    <row r="39">
      <c r="A39" s="199"/>
      <c r="B39" s="176"/>
      <c r="C39" s="25"/>
      <c r="D39" s="25"/>
      <c r="E39" s="177"/>
      <c r="F39" s="199"/>
      <c r="G39" s="176"/>
      <c r="H39" s="25"/>
      <c r="I39" s="25"/>
      <c r="J39" s="177"/>
      <c r="K39" s="199"/>
      <c r="L39" s="176"/>
      <c r="M39" s="25"/>
      <c r="N39" s="25"/>
      <c r="O39" s="177"/>
      <c r="P39" s="199"/>
      <c r="Q39" s="176"/>
      <c r="R39" s="25"/>
      <c r="S39" s="25"/>
      <c r="T39" s="177"/>
      <c r="U39" s="199"/>
      <c r="V39" s="105" t="s">
        <v>378</v>
      </c>
      <c r="W39" s="106">
        <v>0.0</v>
      </c>
      <c r="X39" s="107"/>
      <c r="Y39" s="198">
        <f>COUNTA(OFFSET(DVT_Laboratory!$B$3, 0, MATCH(V39,DVT_Laboratory!$B$1:BM$1, 0)-1, 100, 1))</f>
        <v>10</v>
      </c>
      <c r="Z39" s="199"/>
      <c r="AA39" s="179" t="s">
        <v>379</v>
      </c>
      <c r="AB39" s="180">
        <v>0.0</v>
      </c>
      <c r="AC39" s="181"/>
      <c r="AD39" s="182">
        <f>COUNTA(OFFSET(DVT_Laboratory!$B$3, 0, MATCH("Card Mastery",DVT_Laboratory!$B$1:BM$1, 0)-1, 100, 1))</f>
        <v>9</v>
      </c>
      <c r="AE39" s="199"/>
      <c r="AF39" s="176"/>
      <c r="AG39" s="25"/>
      <c r="AH39" s="25"/>
      <c r="AI39" s="177"/>
      <c r="AJ39" s="199"/>
      <c r="AK39" s="176"/>
      <c r="AL39" s="25"/>
      <c r="AM39" s="25"/>
      <c r="AN39" s="177"/>
      <c r="AO39" s="199"/>
      <c r="AP39" s="176"/>
      <c r="AQ39" s="25"/>
      <c r="AR39" s="25"/>
      <c r="AS39" s="177"/>
      <c r="AT39" s="199"/>
      <c r="AU39" s="176"/>
      <c r="AV39" s="25"/>
      <c r="AW39" s="25"/>
      <c r="AX39" s="177"/>
      <c r="AY39" s="199"/>
      <c r="AZ39" s="196"/>
      <c r="BA39" s="25"/>
      <c r="BB39" s="25"/>
      <c r="BC39" s="177"/>
      <c r="BD39" s="200"/>
      <c r="BE39" s="183"/>
      <c r="BF39" s="183"/>
      <c r="BG39" s="183"/>
      <c r="BH39" s="183"/>
      <c r="BI39" s="200"/>
      <c r="BJ39" s="194"/>
      <c r="BK39" s="195"/>
      <c r="BL39" s="139"/>
      <c r="BM39" s="139"/>
    </row>
    <row r="40">
      <c r="A40" s="201"/>
      <c r="B40" s="176"/>
      <c r="C40" s="25"/>
      <c r="D40" s="25"/>
      <c r="E40" s="177"/>
      <c r="F40" s="201"/>
      <c r="G40" s="176"/>
      <c r="H40" s="25"/>
      <c r="I40" s="25"/>
      <c r="J40" s="177"/>
      <c r="K40" s="201"/>
      <c r="L40" s="176"/>
      <c r="M40" s="25"/>
      <c r="N40" s="25"/>
      <c r="O40" s="177"/>
      <c r="P40" s="201"/>
      <c r="Q40" s="176"/>
      <c r="R40" s="25"/>
      <c r="S40" s="25"/>
      <c r="T40" s="177"/>
      <c r="U40" s="201"/>
      <c r="V40" s="202" t="s">
        <v>380</v>
      </c>
      <c r="W40" s="203">
        <v>0.0</v>
      </c>
      <c r="X40" s="204"/>
      <c r="Y40" s="205">
        <f>COUNTA(OFFSET(DVT_Laboratory!$B$3, 0, MATCH(V40,DVT_Laboratory!$B$1:BM$1, 0)-1, 100, 1))</f>
        <v>10</v>
      </c>
      <c r="Z40" s="201"/>
      <c r="AA40" s="179" t="s">
        <v>381</v>
      </c>
      <c r="AB40" s="180">
        <v>0.0</v>
      </c>
      <c r="AC40" s="181"/>
      <c r="AD40" s="182">
        <f>COUNTA(OFFSET(DVT_Laboratory!$B$3, 0, MATCH("Card Mastery",DVT_Laboratory!$B$1:BM$1, 0)-1, 100, 1))</f>
        <v>9</v>
      </c>
      <c r="AE40" s="201"/>
      <c r="AF40" s="176"/>
      <c r="AG40" s="25"/>
      <c r="AH40" s="25"/>
      <c r="AI40" s="177"/>
      <c r="AJ40" s="201"/>
      <c r="AK40" s="176"/>
      <c r="AL40" s="25"/>
      <c r="AM40" s="25"/>
      <c r="AN40" s="177"/>
      <c r="AO40" s="201"/>
      <c r="AP40" s="176"/>
      <c r="AQ40" s="25"/>
      <c r="AR40" s="25"/>
      <c r="AS40" s="177"/>
      <c r="AT40" s="201"/>
      <c r="AU40" s="176"/>
      <c r="AV40" s="25"/>
      <c r="AW40" s="25"/>
      <c r="AX40" s="177"/>
      <c r="AY40" s="201"/>
      <c r="AZ40" s="196"/>
      <c r="BA40" s="25"/>
      <c r="BB40" s="25"/>
      <c r="BC40" s="177"/>
      <c r="BD40" s="206"/>
      <c r="BE40" s="207"/>
      <c r="BF40" s="207"/>
      <c r="BG40" s="207"/>
      <c r="BH40" s="207"/>
      <c r="BI40" s="201"/>
      <c r="BJ40" s="194"/>
      <c r="BK40" s="195"/>
      <c r="BL40" s="139"/>
      <c r="BM40" s="139"/>
    </row>
    <row r="41">
      <c r="A41" s="207"/>
      <c r="B41" s="25"/>
      <c r="C41" s="25"/>
      <c r="D41" s="25"/>
      <c r="E41" s="25"/>
      <c r="F41" s="206"/>
      <c r="G41" s="25"/>
      <c r="H41" s="25"/>
      <c r="I41" s="25"/>
      <c r="J41" s="25"/>
      <c r="K41" s="206"/>
      <c r="L41" s="25"/>
      <c r="M41" s="25"/>
      <c r="N41" s="25"/>
      <c r="O41" s="25"/>
      <c r="P41" s="206"/>
      <c r="Q41" s="25"/>
      <c r="R41" s="25"/>
      <c r="S41" s="25"/>
      <c r="T41" s="25"/>
      <c r="U41" s="86"/>
      <c r="V41" s="25"/>
      <c r="W41" s="25"/>
      <c r="X41" s="25"/>
      <c r="Y41" s="25"/>
      <c r="Z41" s="86"/>
      <c r="AA41" s="208" t="s">
        <v>382</v>
      </c>
      <c r="AB41" s="180">
        <v>0.0</v>
      </c>
      <c r="AC41" s="181"/>
      <c r="AD41" s="182">
        <f>COUNTA(OFFSET(DVT_Laboratory!$B$3, 0, MATCH("Card Mastery",DVT_Laboratory!$B$1:BM$1, 0)-1, 100, 1))</f>
        <v>9</v>
      </c>
      <c r="AE41" s="86"/>
      <c r="AF41" s="25"/>
      <c r="AG41" s="25"/>
      <c r="AH41" s="25"/>
      <c r="AI41" s="25"/>
      <c r="AJ41" s="86"/>
      <c r="AK41" s="25"/>
      <c r="AL41" s="25"/>
      <c r="AM41" s="25"/>
      <c r="AN41" s="25"/>
      <c r="AO41" s="86"/>
      <c r="AP41" s="25"/>
      <c r="AQ41" s="25"/>
      <c r="AR41" s="25"/>
      <c r="AS41" s="25"/>
      <c r="AT41" s="86"/>
      <c r="AU41" s="25"/>
      <c r="AV41" s="25"/>
      <c r="AW41" s="25"/>
      <c r="AX41" s="25"/>
      <c r="AY41" s="86"/>
      <c r="AZ41" s="196"/>
      <c r="BA41" s="25"/>
      <c r="BB41" s="25"/>
      <c r="BC41" s="25"/>
      <c r="BD41" s="86"/>
      <c r="BE41" s="25"/>
      <c r="BF41" s="25"/>
      <c r="BG41" s="25"/>
      <c r="BH41" s="25"/>
      <c r="BI41" s="25"/>
      <c r="BJ41" s="25"/>
      <c r="BK41" s="25"/>
      <c r="BL41" s="25"/>
      <c r="BM41" s="25"/>
    </row>
    <row r="42">
      <c r="A42" s="207"/>
      <c r="B42" s="139"/>
      <c r="C42" s="139"/>
      <c r="D42" s="139"/>
      <c r="E42" s="139"/>
      <c r="F42" s="206"/>
      <c r="G42" s="139"/>
      <c r="H42" s="139"/>
      <c r="I42" s="139"/>
      <c r="J42" s="139"/>
      <c r="K42" s="206"/>
      <c r="L42" s="139"/>
      <c r="M42" s="139"/>
      <c r="N42" s="139"/>
      <c r="O42" s="139"/>
      <c r="P42" s="206"/>
      <c r="Q42" s="139"/>
      <c r="R42" s="139"/>
      <c r="S42" s="139"/>
      <c r="T42" s="139"/>
      <c r="U42" s="206"/>
      <c r="V42" s="139"/>
      <c r="W42" s="139"/>
      <c r="X42" s="139"/>
      <c r="Y42" s="139"/>
      <c r="Z42" s="206"/>
      <c r="AA42" s="139"/>
      <c r="AB42" s="139"/>
      <c r="AC42" s="139"/>
      <c r="AD42" s="139"/>
      <c r="AE42" s="206"/>
      <c r="AF42" s="139"/>
      <c r="AG42" s="139"/>
      <c r="AH42" s="139"/>
      <c r="AI42" s="139"/>
      <c r="AJ42" s="206"/>
      <c r="AK42" s="139"/>
      <c r="AL42" s="139"/>
      <c r="AM42" s="139"/>
      <c r="AN42" s="139"/>
      <c r="AO42" s="206"/>
      <c r="AP42" s="139"/>
      <c r="AQ42" s="139"/>
      <c r="AR42" s="139"/>
      <c r="AS42" s="139"/>
      <c r="AT42" s="206"/>
      <c r="AU42" s="139"/>
      <c r="AV42" s="139"/>
      <c r="AW42" s="139"/>
      <c r="AX42" s="139"/>
      <c r="AY42" s="206"/>
      <c r="AZ42" s="139"/>
      <c r="BA42" s="139"/>
      <c r="BB42" s="139"/>
      <c r="BC42" s="139"/>
      <c r="BD42" s="206"/>
      <c r="BE42" s="139"/>
      <c r="BF42" s="139"/>
      <c r="BG42" s="139"/>
      <c r="BH42" s="139"/>
      <c r="BI42" s="139"/>
      <c r="BJ42" s="139"/>
      <c r="BK42" s="139"/>
      <c r="BL42" s="139"/>
      <c r="BM42" s="139"/>
    </row>
    <row r="43">
      <c r="A43" s="207"/>
      <c r="B43" s="209"/>
      <c r="C43" s="210">
        <f t="shared" ref="C43:E43" si="2">SUM(C2:C42)</f>
        <v>279</v>
      </c>
      <c r="D43" s="210">
        <f t="shared" si="2"/>
        <v>7</v>
      </c>
      <c r="E43" s="211">
        <f t="shared" si="2"/>
        <v>912</v>
      </c>
      <c r="F43" s="212"/>
      <c r="G43" s="213"/>
      <c r="H43" s="214">
        <f t="shared" ref="H43:J43" si="3">SUM(H2:H42)</f>
        <v>299</v>
      </c>
      <c r="I43" s="214">
        <f t="shared" si="3"/>
        <v>0</v>
      </c>
      <c r="J43" s="215">
        <f t="shared" si="3"/>
        <v>598</v>
      </c>
      <c r="K43" s="212"/>
      <c r="L43" s="216"/>
      <c r="M43" s="217">
        <f t="shared" ref="M43:O43" si="4">SUM(M2:M42)</f>
        <v>383</v>
      </c>
      <c r="N43" s="217">
        <f t="shared" si="4"/>
        <v>42</v>
      </c>
      <c r="O43" s="218">
        <f t="shared" si="4"/>
        <v>655</v>
      </c>
      <c r="P43" s="212"/>
      <c r="Q43" s="219"/>
      <c r="R43" s="220">
        <f t="shared" ref="R43:T43" si="5">SUM(R2:R42)</f>
        <v>214</v>
      </c>
      <c r="S43" s="220">
        <f t="shared" si="5"/>
        <v>0</v>
      </c>
      <c r="T43" s="221">
        <f t="shared" si="5"/>
        <v>611</v>
      </c>
      <c r="U43" s="212"/>
      <c r="V43" s="222"/>
      <c r="W43" s="223">
        <f t="shared" ref="W43:Y43" si="6">SUM(W2:W42)</f>
        <v>284</v>
      </c>
      <c r="X43" s="223">
        <f t="shared" si="6"/>
        <v>0</v>
      </c>
      <c r="Y43" s="224">
        <f t="shared" si="6"/>
        <v>669</v>
      </c>
      <c r="Z43" s="212"/>
      <c r="AA43" s="225"/>
      <c r="AB43" s="226">
        <f t="shared" ref="AB43:AD43" si="7">SUM(AB2:AB42)</f>
        <v>32</v>
      </c>
      <c r="AC43" s="226">
        <f t="shared" si="7"/>
        <v>0</v>
      </c>
      <c r="AD43" s="227">
        <f t="shared" si="7"/>
        <v>369</v>
      </c>
      <c r="AE43" s="212"/>
      <c r="AF43" s="228"/>
      <c r="AG43" s="229">
        <f t="shared" ref="AG43:AI43" si="8">SUM(AG2:AG42)</f>
        <v>71</v>
      </c>
      <c r="AH43" s="229">
        <f t="shared" si="8"/>
        <v>17</v>
      </c>
      <c r="AI43" s="230">
        <f t="shared" si="8"/>
        <v>180</v>
      </c>
      <c r="AJ43" s="212"/>
      <c r="AK43" s="231"/>
      <c r="AL43" s="232">
        <f t="shared" ref="AL43:AN43" si="9">SUM(AL2:AL42)</f>
        <v>58</v>
      </c>
      <c r="AM43" s="232">
        <f t="shared" si="9"/>
        <v>0</v>
      </c>
      <c r="AN43" s="233">
        <f t="shared" si="9"/>
        <v>165</v>
      </c>
      <c r="AO43" s="212"/>
      <c r="AP43" s="234"/>
      <c r="AQ43" s="235">
        <f t="shared" ref="AQ43:AS43" si="10">SUM(AQ2:AQ42)</f>
        <v>0</v>
      </c>
      <c r="AR43" s="235">
        <f t="shared" si="10"/>
        <v>0</v>
      </c>
      <c r="AS43" s="236">
        <f t="shared" si="10"/>
        <v>620</v>
      </c>
      <c r="AT43" s="212"/>
      <c r="AU43" s="237"/>
      <c r="AV43" s="238">
        <f t="shared" ref="AV43:AX43" si="11">SUM(AV2:AV42)</f>
        <v>236</v>
      </c>
      <c r="AW43" s="238">
        <f t="shared" si="11"/>
        <v>160</v>
      </c>
      <c r="AX43" s="239">
        <f t="shared" si="11"/>
        <v>494</v>
      </c>
      <c r="AY43" s="212"/>
      <c r="AZ43" s="240"/>
      <c r="BA43" s="241">
        <f t="shared" ref="BA43:BC43" si="12">SUM(BA2:BA42)</f>
        <v>0</v>
      </c>
      <c r="BB43" s="241">
        <f t="shared" si="12"/>
        <v>0</v>
      </c>
      <c r="BC43" s="242">
        <f t="shared" si="12"/>
        <v>290</v>
      </c>
      <c r="BD43" s="86"/>
      <c r="BE43" s="25"/>
      <c r="BF43" s="25"/>
      <c r="BG43" s="25"/>
      <c r="BH43" s="25"/>
      <c r="BI43" s="25"/>
      <c r="BJ43" s="25"/>
      <c r="BK43" s="25"/>
      <c r="BL43" s="25"/>
      <c r="BM43" s="25"/>
    </row>
  </sheetData>
  <mergeCells count="39">
    <mergeCell ref="AT2:AT4"/>
    <mergeCell ref="AT5:AT15"/>
    <mergeCell ref="BK5:BL5"/>
    <mergeCell ref="BK6:BL6"/>
    <mergeCell ref="BK8:BL8"/>
    <mergeCell ref="BK9:BL9"/>
    <mergeCell ref="F2:F4"/>
    <mergeCell ref="K2:K4"/>
    <mergeCell ref="P2:P4"/>
    <mergeCell ref="U2:U4"/>
    <mergeCell ref="Z2:Z4"/>
    <mergeCell ref="AE2:AE4"/>
    <mergeCell ref="BK4:BL4"/>
    <mergeCell ref="F5:F15"/>
    <mergeCell ref="F17:F27"/>
    <mergeCell ref="K17:K27"/>
    <mergeCell ref="P17:P27"/>
    <mergeCell ref="U17:U27"/>
    <mergeCell ref="Z17:Z27"/>
    <mergeCell ref="AE17:AE27"/>
    <mergeCell ref="A2:A4"/>
    <mergeCell ref="A5:A15"/>
    <mergeCell ref="K5:K15"/>
    <mergeCell ref="P5:P15"/>
    <mergeCell ref="U5:U15"/>
    <mergeCell ref="Z5:Z15"/>
    <mergeCell ref="AE5:AE15"/>
    <mergeCell ref="AJ5:AJ15"/>
    <mergeCell ref="AJ17:AJ27"/>
    <mergeCell ref="AO17:AO27"/>
    <mergeCell ref="AT17:AT27"/>
    <mergeCell ref="AJ2:AJ4"/>
    <mergeCell ref="AO2:AO4"/>
    <mergeCell ref="AY2:AY4"/>
    <mergeCell ref="BD2:BD39"/>
    <mergeCell ref="BI2:BI39"/>
    <mergeCell ref="AO5:AO15"/>
    <mergeCell ref="AY5:AY15"/>
    <mergeCell ref="AY17:AY27"/>
  </mergeCells>
  <conditionalFormatting sqref="AZ2:AZ21">
    <cfRule type="expression" dxfId="0" priority="1">
      <formula>EQ(BA2,BC2)</formula>
    </cfRule>
  </conditionalFormatting>
  <conditionalFormatting sqref="B2:B41 G2:G41 L2:L41 Q2:Q41 V2:V41 AA2:AA41 AF2:AF41 AK2:AK41 AP2:AP41 AU2:AU41 B43 G43 L43 Q43 V43 AA43 AF43 AK43 AP43 AU43 AZ2:AZ41 AZ43">
    <cfRule type="expression" dxfId="1" priority="2">
      <formula>IF(ISNUMBER(MATCH(B2, INDIRECT("'Lab Planner'!$T$29:$T$33"), 0)), TRUE)</formula>
    </cfRule>
  </conditionalFormatting>
  <conditionalFormatting sqref="BE2">
    <cfRule type="expression" dxfId="2" priority="3">
      <formula>EQ(MAX(BF2,BG2), BH2)</formula>
    </cfRule>
  </conditionalFormatting>
  <conditionalFormatting sqref="G2:G10 G43">
    <cfRule type="expression" dxfId="3" priority="4">
      <formula>EQ(H2, J2)</formula>
    </cfRule>
  </conditionalFormatting>
  <conditionalFormatting sqref="B2:B16 B43">
    <cfRule type="expression" dxfId="4" priority="5">
      <formula>EQ(C2,E2)</formula>
    </cfRule>
  </conditionalFormatting>
  <conditionalFormatting sqref="Q2:Q13 Q43">
    <cfRule type="expression" dxfId="5" priority="6">
      <formula>EQ(R2,T2)</formula>
    </cfRule>
  </conditionalFormatting>
  <conditionalFormatting sqref="L2:L17 L43">
    <cfRule type="expression" dxfId="2" priority="7">
      <formula>EQ(M2,O2)</formula>
    </cfRule>
  </conditionalFormatting>
  <conditionalFormatting sqref="V2:V40 Q13 V43">
    <cfRule type="expression" dxfId="6" priority="8">
      <formula>EQ(W2,Y2)</formula>
    </cfRule>
  </conditionalFormatting>
  <conditionalFormatting sqref="AA2:AA10 V39:V40 AA43">
    <cfRule type="expression" dxfId="7" priority="9">
      <formula>EQ(AB2,AD2)</formula>
    </cfRule>
  </conditionalFormatting>
  <conditionalFormatting sqref="AF2:AF10 AA10 AF43">
    <cfRule type="expression" dxfId="8" priority="10">
      <formula>EQ(AG2,AI2)</formula>
    </cfRule>
  </conditionalFormatting>
  <conditionalFormatting sqref="AK2:AK9 AF10 AK43">
    <cfRule type="expression" dxfId="9" priority="11">
      <formula>EQ(AL2, AN2)</formula>
    </cfRule>
  </conditionalFormatting>
  <conditionalFormatting sqref="AP2:AP22 AK9 AP43">
    <cfRule type="expression" dxfId="10" priority="12">
      <formula>EQ(AQ2,AS2)</formula>
    </cfRule>
  </conditionalFormatting>
  <conditionalFormatting sqref="AU2:AU21 AU43">
    <cfRule type="expression" dxfId="11" priority="13">
      <formula>EQ(AV2,AX2)</formula>
    </cfRule>
  </conditionalFormatting>
  <conditionalFormatting sqref="AA11:AA41 AU13 AU16">
    <cfRule type="expression" dxfId="12" priority="14">
      <formula>EQ(AB11,AD11)</formula>
    </cfRule>
  </conditionalFormatting>
  <conditionalFormatting sqref="BF2:BG2 BK2 BK5:BK6 BK9">
    <cfRule type="expression" dxfId="13" priority="15">
      <formula>ISFORMULA(BF2)</formula>
    </cfRule>
  </conditionalFormatting>
  <dataValidations>
    <dataValidation type="list" allowBlank="1" showErrorMessage="1" sqref="BK2">
      <formula1>"Locked,1,2,3,4,5,6,7"</formula1>
    </dataValidation>
    <dataValidation type="decimal" allowBlank="1" showDropDown="1" showInputMessage="1" prompt="Between 0 and Max Level" sqref="AL6:AL8 H2:H10 AG2:AG10 R2:R13 C2:C15 M2:M17 AV2:AV21 BA2:BA21 AQ2:AQ22 W2:W36 AB2:AB41">
      <formula1>0.0</formula1>
      <formula2>E2</formula2>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3" t="str">
        <f>IFERROR(__xludf.DUMMYFUNCTION("IMPORTRANGE(IF(IDS!E6=""✅"", IDS!D6, ""1osjoqKmMwtOWs7Up3e21-3ofN1RHOjsgKV6y3dc6rgE""), ""_IDS!A1:CE212"")"),"Labs")</f>
        <v>Labs</v>
      </c>
      <c r="B1" s="244" t="str">
        <f>IFERROR(__xludf.DUMMYFUNCTION("""COMPUTED_VALUE"""),"https://docs.google.com/spreadsheets/d/1jojOg_XIJCzm1LCYWu2F4KCtErjUIdKuFL1PiKzA0OE/edit")</f>
        <v>https://docs.google.com/spreadsheets/d/1jojOg_XIJCzm1LCYWu2F4KCtErjUIdKuFL1PiKzA0OE/edit</v>
      </c>
      <c r="C1" s="245" t="str">
        <f>IFERROR(__xludf.DUMMYFUNCTION("""COMPUTED_VALUE"""),"✅")</f>
        <v>✅</v>
      </c>
      <c r="D1" s="246" t="str">
        <f>IFERROR(__xludf.DUMMYFUNCTION("""COMPUTED_VALUE"""),"v2.5.7")</f>
        <v>v2.5.7</v>
      </c>
      <c r="E1" s="243" t="str">
        <f>IFERROR(__xludf.DUMMYFUNCTION("""COMPUTED_VALUE"""),"WS")</f>
        <v>WS</v>
      </c>
      <c r="F1" s="244" t="str">
        <f>IFERROR(__xludf.DUMMYFUNCTION("""COMPUTED_VALUE"""),"https://docs.google.com/spreadsheets/d/1huHJMcyg1uRJEeRYqAgWzMc5TodPPplVZEFhwBiIeEs/edit")</f>
        <v>https://docs.google.com/spreadsheets/d/1huHJMcyg1uRJEeRYqAgWzMc5TodPPplVZEFhwBiIeEs/edit</v>
      </c>
      <c r="G1" s="245" t="str">
        <f>IFERROR(__xludf.DUMMYFUNCTION("""COMPUTED_VALUE"""),"✅")</f>
        <v>✅</v>
      </c>
      <c r="H1" s="245" t="str">
        <f>IFERROR(__xludf.DUMMYFUNCTION("""COMPUTED_VALUE"""),"v2.3.1")</f>
        <v>v2.3.1</v>
      </c>
      <c r="I1" s="245"/>
      <c r="J1" s="245"/>
      <c r="K1" s="245"/>
      <c r="L1" s="245"/>
      <c r="M1" s="245"/>
      <c r="N1" s="245"/>
      <c r="O1" s="245"/>
      <c r="P1" s="245"/>
      <c r="Q1" s="247"/>
      <c r="R1" s="248" t="str">
        <f>IFERROR(__xludf.DUMMYFUNCTION("""COMPUTED_VALUE"""),"WS+")</f>
        <v>WS+</v>
      </c>
      <c r="S1" s="245"/>
      <c r="T1" s="245"/>
      <c r="U1" s="245"/>
      <c r="V1" s="245"/>
      <c r="W1" s="245"/>
      <c r="X1" s="245"/>
      <c r="Y1" s="249"/>
      <c r="Z1" s="248" t="str">
        <f>IFERROR(__xludf.DUMMYFUNCTION("""COMPUTED_VALUE"""),"UWs")</f>
        <v>UWs</v>
      </c>
      <c r="AA1" s="244" t="str">
        <f>IFERROR(__xludf.DUMMYFUNCTION("""COMPUTED_VALUE"""),"https://docs.google.com/spreadsheets/d/1VTRhVyt28cxrjCRcgVkQr2R_u4g9irfJTHy1cfftlIE/edit")</f>
        <v>https://docs.google.com/spreadsheets/d/1VTRhVyt28cxrjCRcgVkQr2R_u4g9irfJTHy1cfftlIE/edit</v>
      </c>
      <c r="AB1" s="245" t="str">
        <f>IFERROR(__xludf.DUMMYFUNCTION("""COMPUTED_VALUE"""),"✅")</f>
        <v>✅</v>
      </c>
      <c r="AC1" s="250" t="str">
        <f>IFERROR(__xludf.DUMMYFUNCTION("""COMPUTED_VALUE"""),"v2.1.3")</f>
        <v>v2.1.3</v>
      </c>
      <c r="AD1" s="246"/>
      <c r="AE1" s="248" t="str">
        <f>IFERROR(__xludf.DUMMYFUNCTION("""COMPUTED_VALUE"""),"Cards")</f>
        <v>Cards</v>
      </c>
      <c r="AF1" s="251" t="str">
        <f>IFERROR(__xludf.DUMMYFUNCTION("""COMPUTED_VALUE"""),"https://docs.google.com/spreadsheets/d/1HMQwNLTvcw7aXmjjL7cXmZSdjAF_62ehWpwDIdjqEGs/edit")</f>
        <v>https://docs.google.com/spreadsheets/d/1HMQwNLTvcw7aXmjjL7cXmZSdjAF_62ehWpwDIdjqEGs/edit</v>
      </c>
      <c r="AG1" s="252" t="str">
        <f>IFERROR(__xludf.DUMMYFUNCTION("""COMPUTED_VALUE"""),"✅")</f>
        <v>✅</v>
      </c>
      <c r="AH1" s="253" t="str">
        <f>IFERROR(__xludf.DUMMYFUNCTION("""COMPUTED_VALUE"""),"Cards Presets")</f>
        <v>Cards Presets</v>
      </c>
      <c r="AI1" s="254" t="str">
        <f>IFERROR(__xludf.DUMMYFUNCTION("""COMPUTED_VALUE"""),"v2.2.3")</f>
        <v>v2.2.3</v>
      </c>
      <c r="AJ1" s="245">
        <f>IFERROR(__xludf.DUMMYFUNCTION("""COMPUTED_VALUE"""),17.0)</f>
        <v>17</v>
      </c>
      <c r="AK1" s="245"/>
      <c r="AL1" s="246"/>
      <c r="AM1" s="243" t="str">
        <f>IFERROR(__xludf.DUMMYFUNCTION("""COMPUTED_VALUE"""),"Relics")</f>
        <v>Relics</v>
      </c>
      <c r="AN1" s="244" t="str">
        <f>IFERROR(__xludf.DUMMYFUNCTION("""COMPUTED_VALUE"""),"https://docs.google.com/spreadsheets/d/1Dll0IofJTWYkzhzhRWx1aA-_xtO3i_1iD65nAP6R_Ec/edit")</f>
        <v>https://docs.google.com/spreadsheets/d/1Dll0IofJTWYkzhzhRWx1aA-_xtO3i_1iD65nAP6R_Ec/edit</v>
      </c>
      <c r="AO1" s="246" t="str">
        <f>IFERROR(__xludf.DUMMYFUNCTION("""COMPUTED_VALUE"""),"✅")</f>
        <v>✅</v>
      </c>
      <c r="AP1" s="243" t="str">
        <f>IFERROR(__xludf.DUMMYFUNCTION("""COMPUTED_VALUE"""),"Vault")</f>
        <v>Vault</v>
      </c>
      <c r="AQ1" s="255"/>
      <c r="AR1" s="246" t="str">
        <f>IFERROR(__xludf.DUMMYFUNCTION("""COMPUTED_VALUE"""),"")</f>
        <v/>
      </c>
      <c r="AS1" s="243" t="str">
        <f>IFERROR(__xludf.DUMMYFUNCTION("""COMPUTED_VALUE"""),"Bots")</f>
        <v>Bots</v>
      </c>
      <c r="AT1" s="244" t="str">
        <f>IFERROR(__xludf.DUMMYFUNCTION("""COMPUTED_VALUE"""),"https://docs.google.com/spreadsheets/d/1H3PYvtIH7kId6WswEeMmrx7u5_g1GlkNPJtJhkASrbs/edit")</f>
        <v>https://docs.google.com/spreadsheets/d/1H3PYvtIH7kId6WswEeMmrx7u5_g1GlkNPJtJhkASrbs/edit</v>
      </c>
      <c r="AU1" s="245" t="str">
        <f>IFERROR(__xludf.DUMMYFUNCTION("""COMPUTED_VALUE"""),"✅")</f>
        <v>✅</v>
      </c>
      <c r="AV1" s="245" t="str">
        <f>IFERROR(__xludf.DUMMYFUNCTION("""COMPUTED_VALUE"""),"v2.2.1")</f>
        <v>v2.2.1</v>
      </c>
      <c r="AW1" s="245"/>
      <c r="AX1" s="246"/>
      <c r="AY1" s="243" t="str">
        <f>IFERROR(__xludf.DUMMYFUNCTION("""COMPUTED_VALUE"""),"Themes &amp; Songs")</f>
        <v>Themes &amp; Songs</v>
      </c>
      <c r="AZ1" s="244" t="str">
        <f>IFERROR(__xludf.DUMMYFUNCTION("""COMPUTED_VALUE"""),"https://docs.google.com/spreadsheets/d/19KliigQhAeXztRPa9cSGZ7n9Q-REp4dyqMNI9d-UB0k/edit")</f>
        <v>https://docs.google.com/spreadsheets/d/19KliigQhAeXztRPa9cSGZ7n9Q-REp4dyqMNI9d-UB0k/edit</v>
      </c>
      <c r="BA1" s="246" t="str">
        <f>IFERROR(__xludf.DUMMYFUNCTION("""COMPUTED_VALUE"""),"✅")</f>
        <v>✅</v>
      </c>
      <c r="BB1" s="256" t="str">
        <f>IFERROR(__xludf.DUMMYFUNCTION("""COMPUTED_VALUE"""),"Modules")</f>
        <v>Modules</v>
      </c>
      <c r="BC1" s="244" t="str">
        <f>IFERROR(__xludf.DUMMYFUNCTION("""COMPUTED_VALUE"""),"https://docs.google.com/spreadsheets/d/1rOoSY6TK918myJ6Mn6zO4rmUaFbPu6qJnGI17kc9DzQ/edit")</f>
        <v>https://docs.google.com/spreadsheets/d/1rOoSY6TK918myJ6Mn6zO4rmUaFbPu6qJnGI17kc9DzQ/edit</v>
      </c>
      <c r="BD1" s="245" t="str">
        <f>IFERROR(__xludf.DUMMYFUNCTION("""COMPUTED_VALUE"""),"✅")</f>
        <v>✅</v>
      </c>
      <c r="BE1" s="245" t="str">
        <f>IFERROR(__xludf.DUMMYFUNCTION("""COMPUTED_VALUE"""),"v5.13")</f>
        <v>v5.13</v>
      </c>
      <c r="BF1" s="245"/>
      <c r="BG1" s="245"/>
      <c r="BH1" s="245"/>
      <c r="BI1" s="245"/>
      <c r="BJ1" s="245"/>
      <c r="BK1" s="245"/>
      <c r="BL1" s="245"/>
      <c r="BM1" s="245"/>
      <c r="BN1" s="245"/>
      <c r="BO1" s="245"/>
      <c r="BP1" s="245"/>
      <c r="BQ1" s="245"/>
      <c r="BR1" s="245"/>
      <c r="BS1" s="245"/>
      <c r="BT1" s="246"/>
      <c r="BU1" s="256" t="str">
        <f>IFERROR(__xludf.DUMMYFUNCTION("""COMPUTED_VALUE"""),"Guardians")</f>
        <v>Guardians</v>
      </c>
      <c r="BV1" s="244" t="str">
        <f>IFERROR(__xludf.DUMMYFUNCTION("""COMPUTED_VALUE"""),"https://docs.google.com/spreadsheets/d/1J4UPKzR9MLY_zzM7u7SzmyclgTEYX_PUvBcua4EbsSU/edit")</f>
        <v>https://docs.google.com/spreadsheets/d/1J4UPKzR9MLY_zzM7u7SzmyclgTEYX_PUvBcua4EbsSU/edit</v>
      </c>
      <c r="BW1" s="245" t="str">
        <f>IFERROR(__xludf.DUMMYFUNCTION("""COMPUTED_VALUE"""),"✅")</f>
        <v>✅</v>
      </c>
      <c r="BX1" s="245" t="str">
        <f>IFERROR(__xludf.DUMMYFUNCTION("""COMPUTED_VALUE"""),"v2.3.6")</f>
        <v>v2.3.6</v>
      </c>
      <c r="BY1" s="245"/>
      <c r="BZ1" s="257" t="str">
        <f>IFERROR(__xludf.DUMMYFUNCTION("""COMPUTED_VALUE"""),"Player &amp; Stuff")</f>
        <v>Player &amp; Stuff</v>
      </c>
      <c r="CA1" s="258" t="str">
        <f>IFERROR(__xludf.DUMMYFUNCTION("""COMPUTED_VALUE"""),"https://docs.google.com/spreadsheets/d/1NpLNfHLQFsJ_WyMnxP9jMtzg3gVaMfOxydrTUG0YsuM/edit")</f>
        <v>https://docs.google.com/spreadsheets/d/1NpLNfHLQFsJ_WyMnxP9jMtzg3gVaMfOxydrTUG0YsuM/edit</v>
      </c>
      <c r="CB1" s="245" t="str">
        <f>IFERROR(__xludf.DUMMYFUNCTION("""COMPUTED_VALUE"""),"✅")</f>
        <v>✅</v>
      </c>
      <c r="CC1" s="245" t="str">
        <f>IFERROR(__xludf.DUMMYFUNCTION("""COMPUTED_VALUE"""),"v3.5.3")</f>
        <v>v3.5.3</v>
      </c>
      <c r="CD1" s="245"/>
      <c r="CE1" s="245"/>
      <c r="CF1" s="245"/>
    </row>
    <row r="2">
      <c r="A2" s="259" t="str">
        <f>IFERROR(__xludf.DUMMYFUNCTION("""COMPUTED_VALUE"""),"Game Speed")</f>
        <v>Game Speed</v>
      </c>
      <c r="B2" s="260">
        <f>IFERROR(__xludf.DUMMYFUNCTION("""COMPUTED_VALUE"""),7.0)</f>
        <v>7</v>
      </c>
      <c r="C2" s="245">
        <f>IFERROR(__xludf.DUMMYFUNCTION("""COMPUTED_VALUE"""),7.0)</f>
        <v>7</v>
      </c>
      <c r="D2" s="261">
        <f>IFERROR(__xludf.DUMMYFUNCTION("""COMPUTED_VALUE"""),7.0)</f>
        <v>7</v>
      </c>
      <c r="E2" s="245" t="str">
        <f>IFERROR(__xludf.DUMMYFUNCTION("""COMPUTED_VALUE"""),"U")</f>
        <v>U</v>
      </c>
      <c r="F2" s="245" t="str">
        <f>IFERROR(__xludf.DUMMYFUNCTION("""COMPUTED_VALUE"""),"Workshop Upgrade")</f>
        <v>Workshop Upgrade</v>
      </c>
      <c r="G2" s="262" t="str">
        <f>IFERROR(__xludf.DUMMYFUNCTION("""COMPUTED_VALUE"""),"Farming")</f>
        <v>Farming</v>
      </c>
      <c r="H2" s="245"/>
      <c r="I2" s="262" t="str">
        <f>IFERROR(__xludf.DUMMYFUNCTION("""COMPUTED_VALUE"""),"Tourney")</f>
        <v>Tourney</v>
      </c>
      <c r="J2" s="245"/>
      <c r="K2" s="263" t="str">
        <f>IFERROR(__xludf.DUMMYFUNCTION("""COMPUTED_VALUE"""),"Preset 3")</f>
        <v>Preset 3</v>
      </c>
      <c r="L2" s="245"/>
      <c r="M2" s="262" t="str">
        <f>IFERROR(__xludf.DUMMYFUNCTION("""COMPUTED_VALUE"""),"Preset 4")</f>
        <v>Preset 4</v>
      </c>
      <c r="N2" s="245"/>
      <c r="O2" s="262" t="str">
        <f>IFERROR(__xludf.DUMMYFUNCTION("""COMPUTED_VALUE"""),"Preset 5")</f>
        <v>Preset 5</v>
      </c>
      <c r="P2" s="245"/>
      <c r="Q2" s="264"/>
      <c r="R2" s="254" t="str">
        <f>IFERROR(__xludf.DUMMYFUNCTION("""COMPUTED_VALUE"""),"Workshop Enhancement")</f>
        <v>Workshop Enhancement</v>
      </c>
      <c r="S2" s="265"/>
      <c r="T2" s="262" t="str">
        <f>IFERROR(__xludf.DUMMYFUNCTION("""COMPUTED_VALUE"""),"Farming")</f>
        <v>Farming</v>
      </c>
      <c r="U2" s="262" t="str">
        <f>IFERROR(__xludf.DUMMYFUNCTION("""COMPUTED_VALUE"""),"Tourney")</f>
        <v>Tourney</v>
      </c>
      <c r="V2" s="262" t="str">
        <f>IFERROR(__xludf.DUMMYFUNCTION("""COMPUTED_VALUE"""),"Preset 3")</f>
        <v>Preset 3</v>
      </c>
      <c r="W2" s="262" t="str">
        <f>IFERROR(__xludf.DUMMYFUNCTION("""COMPUTED_VALUE"""),"Preset 4")</f>
        <v>Preset 4</v>
      </c>
      <c r="X2" s="262" t="str">
        <f>IFERROR(__xludf.DUMMYFUNCTION("""COMPUTED_VALUE"""),"Preset 5")</f>
        <v>Preset 5</v>
      </c>
      <c r="Y2" s="264" t="str">
        <f>IFERROR(__xludf.DUMMYFUNCTION("""COMPUTED_VALUE"""),"7 q")</f>
        <v>7 q</v>
      </c>
      <c r="Z2" s="266" t="str">
        <f>IFERROR(__xludf.DUMMYFUNCTION("""COMPUTED_VALUE"""),"Chain Lightning")</f>
        <v>Chain Lightning</v>
      </c>
      <c r="AA2" s="245"/>
      <c r="AB2" s="266" t="str">
        <f>IFERROR(__xludf.DUMMYFUNCTION("""COMPUTED_VALUE"""),"Damage")</f>
        <v>Damage</v>
      </c>
      <c r="AC2" s="267">
        <f>IFERROR(__xludf.DUMMYFUNCTION("""COMPUTED_VALUE"""),898.0)</f>
        <v>898</v>
      </c>
      <c r="AD2" s="268" t="str">
        <f>IFERROR(__xludf.DUMMYFUNCTION("""COMPUTED_VALUE"""),"19 | x898 | Cost 302 ⧌ | Next 362 ⧌")</f>
        <v>19 | x898 | Cost 302 ⧌ | Next 362 ⧌</v>
      </c>
      <c r="AE2" s="269" t="str">
        <f>IFERROR(__xludf.DUMMYFUNCTION("""COMPUTED_VALUE"""),"Damage")</f>
        <v>Damage</v>
      </c>
      <c r="AF2" s="270">
        <f>IFERROR(__xludf.DUMMYFUNCTION("""COMPUTED_VALUE"""),7.0)</f>
        <v>7</v>
      </c>
      <c r="AG2" s="252" t="b">
        <f>IFERROR(__xludf.DUMMYFUNCTION("""COMPUTED_VALUE"""),FALSE)</f>
        <v>0</v>
      </c>
      <c r="AH2" s="266" t="str">
        <f>IFERROR(__xludf.DUMMYFUNCTION("""COMPUTED_VALUE"""),"Farming")</f>
        <v>Farming</v>
      </c>
      <c r="AI2" s="271" t="str">
        <f>IFERROR(__xludf.DUMMYFUNCTION("""COMPUTED_VALUE"""),"Tourney")</f>
        <v>Tourney</v>
      </c>
      <c r="AJ2" s="272" t="str">
        <f>IFERROR(__xludf.DUMMYFUNCTION("""COMPUTED_VALUE"""),"Preset 3")</f>
        <v>Preset 3</v>
      </c>
      <c r="AK2" s="266" t="str">
        <f>IFERROR(__xludf.DUMMYFUNCTION("""COMPUTED_VALUE"""),"Preset 4")</f>
        <v>Preset 4</v>
      </c>
      <c r="AL2" s="273" t="str">
        <f>IFERROR(__xludf.DUMMYFUNCTION("""COMPUTED_VALUE"""),"Preset 5")</f>
        <v>Preset 5</v>
      </c>
      <c r="AM2" s="259" t="str">
        <f>IFERROR(__xludf.DUMMYFUNCTION("""COMPUTED_VALUE"""),"Relics")</f>
        <v>Relics</v>
      </c>
      <c r="AN2" s="266" t="str">
        <f>IFERROR(__xludf.DUMMYFUNCTION("""COMPUTED_VALUE"""),"Owned")</f>
        <v>Owned</v>
      </c>
      <c r="AO2" s="274" t="str">
        <f>IFERROR(__xludf.DUMMYFUNCTION("""COMPUTED_VALUE"""),"v2.3.7")</f>
        <v>v2.3.7</v>
      </c>
      <c r="AP2" s="259" t="str">
        <f>IFERROR(__xludf.DUMMYFUNCTION("""COMPUTED_VALUE"""),"Keys spent")</f>
        <v>Keys spent</v>
      </c>
      <c r="AQ2" s="275">
        <f>IFERROR(__xludf.DUMMYFUNCTION("""COMPUTED_VALUE"""),0.0)</f>
        <v>0</v>
      </c>
      <c r="AR2" s="246"/>
      <c r="AS2" s="276" t="str">
        <f>IFERROR(__xludf.DUMMYFUNCTION("""COMPUTED_VALUE"""),"Flame Bot")</f>
        <v>Flame Bot</v>
      </c>
      <c r="AT2" s="276"/>
      <c r="AU2" s="245" t="str">
        <f>IFERROR(__xludf.DUMMYFUNCTION("""COMPUTED_VALUE"""),"Damage R.")</f>
        <v>Damage R.</v>
      </c>
      <c r="AV2" s="277">
        <f>IFERROR(__xludf.DUMMYFUNCTION("""COMPUTED_VALUE"""),0.3500000000000001)</f>
        <v>0.35</v>
      </c>
      <c r="AW2" s="278" t="str">
        <f>IFERROR(__xludf.DUMMYFUNCTION("""COMPUTED_VALUE"""),"05 | 35% | Cost 260 ⧓ | Next 300 ⧓")</f>
        <v>05 | 35% | Cost 260 ⧓ | Next 300 ⧓</v>
      </c>
      <c r="AX2" s="246"/>
      <c r="AY2" s="279">
        <f>IFERROR(__xludf.DUMMYFUNCTION("""COMPUTED_VALUE"""),1.682)</f>
        <v>1.682</v>
      </c>
      <c r="AZ2" s="245"/>
      <c r="BA2" s="274" t="str">
        <f>IFERROR(__xludf.DUMMYFUNCTION("""COMPUTED_VALUE"""),"v2.2.3")</f>
        <v>v2.2.3</v>
      </c>
      <c r="BB2" s="245" t="str">
        <f>IFERROR(__xludf.DUMMYFUNCTION("""COMPUTED_VALUE"""),"Assist Slot")</f>
        <v>Assist Slot</v>
      </c>
      <c r="BC2" s="280" t="b">
        <f>IFERROR(__xludf.DUMMYFUNCTION("""COMPUTED_VALUE"""),FALSE)</f>
        <v>0</v>
      </c>
      <c r="BD2" s="279">
        <f>IFERROR(__xludf.DUMMYFUNCTION("""COMPUTED_VALUE"""),0.0)</f>
        <v>0</v>
      </c>
      <c r="BE2" s="245"/>
      <c r="BF2" s="245"/>
      <c r="BG2" s="245" t="str">
        <f>IFERROR(__xludf.DUMMYFUNCTION("""COMPUTED_VALUE"""),"Assist Slot")</f>
        <v>Assist Slot</v>
      </c>
      <c r="BH2" s="280" t="b">
        <f>IFERROR(__xludf.DUMMYFUNCTION("""COMPUTED_VALUE"""),TRUE)</f>
        <v>1</v>
      </c>
      <c r="BI2" s="279">
        <f>IFERROR(__xludf.DUMMYFUNCTION("""COMPUTED_VALUE"""),41.0)</f>
        <v>41</v>
      </c>
      <c r="BJ2" s="245"/>
      <c r="BK2" s="245"/>
      <c r="BL2" s="245" t="str">
        <f>IFERROR(__xludf.DUMMYFUNCTION("""COMPUTED_VALUE"""),"Assist Slot")</f>
        <v>Assist Slot</v>
      </c>
      <c r="BM2" s="280" t="b">
        <f>IFERROR(__xludf.DUMMYFUNCTION("""COMPUTED_VALUE"""),TRUE)</f>
        <v>1</v>
      </c>
      <c r="BN2" s="279">
        <f>IFERROR(__xludf.DUMMYFUNCTION("""COMPUTED_VALUE"""),97.0)</f>
        <v>97</v>
      </c>
      <c r="BO2" s="245"/>
      <c r="BP2" s="245"/>
      <c r="BQ2" s="245" t="str">
        <f>IFERROR(__xludf.DUMMYFUNCTION("""COMPUTED_VALUE"""),"Assist Slot")</f>
        <v>Assist Slot</v>
      </c>
      <c r="BR2" s="280" t="b">
        <f>IFERROR(__xludf.DUMMYFUNCTION("""COMPUTED_VALUE"""),TRUE)</f>
        <v>1</v>
      </c>
      <c r="BS2" s="279">
        <f>IFERROR(__xludf.DUMMYFUNCTION("""COMPUTED_VALUE"""),101.0)</f>
        <v>101</v>
      </c>
      <c r="BT2" s="246"/>
      <c r="BU2" s="245" t="str">
        <f>IFERROR(__xludf.DUMMYFUNCTION("""COMPUTED_VALUE"""),"Attack")</f>
        <v>Attack</v>
      </c>
      <c r="BV2" s="245"/>
      <c r="BW2" s="245" t="str">
        <f>IFERROR(__xludf.DUMMYFUNCTION("""COMPUTED_VALUE"""),"Percentage")</f>
        <v>Percentage</v>
      </c>
      <c r="BX2" s="277">
        <f>IFERROR(__xludf.DUMMYFUNCTION("""COMPUTED_VALUE"""),0.01)</f>
        <v>0.01</v>
      </c>
      <c r="BY2" s="281" t="str">
        <f>IFERROR(__xludf.DUMMYFUNCTION("""COMPUTED_VALUE"""),"00 | 1% | Cost 0 ⧈ | Next 25 ⧈")</f>
        <v>00 | 1% | Cost 0 ⧈ | Next 25 ⧈</v>
      </c>
      <c r="BZ2" s="282" t="str">
        <f>IFERROR(__xludf.DUMMYFUNCTION("""COMPUTED_VALUE"""),"Tier")</f>
        <v>Tier</v>
      </c>
      <c r="CA2" s="245" t="str">
        <f>IFERROR(__xludf.DUMMYFUNCTION("""COMPUTED_VALUE"""),"Wave")</f>
        <v>Wave</v>
      </c>
      <c r="CB2" s="245" t="str">
        <f>IFERROR(__xludf.DUMMYFUNCTION("""COMPUTED_VALUE"""),"P")</f>
        <v>P</v>
      </c>
      <c r="CC2" s="245"/>
      <c r="CD2" s="245" t="str">
        <f>IFERROR(__xludf.DUMMYFUNCTION("""COMPUTED_VALUE"""),"Stat")</f>
        <v>Stat</v>
      </c>
      <c r="CE2" s="245" t="str">
        <f>IFERROR(__xludf.DUMMYFUNCTION("""COMPUTED_VALUE"""),"Value")</f>
        <v>Value</v>
      </c>
      <c r="CF2" s="245"/>
    </row>
    <row r="3">
      <c r="A3" s="259" t="str">
        <f>IFERROR(__xludf.DUMMYFUNCTION("""COMPUTED_VALUE"""),"Starting Cash")</f>
        <v>Starting Cash</v>
      </c>
      <c r="B3" s="260">
        <f>IFERROR(__xludf.DUMMYFUNCTION("""COMPUTED_VALUE"""),6.0)</f>
        <v>6</v>
      </c>
      <c r="C3" s="245"/>
      <c r="D3" s="261">
        <f>IFERROR(__xludf.DUMMYFUNCTION("""COMPUTED_VALUE"""),99.0)</f>
        <v>99</v>
      </c>
      <c r="E3" s="245"/>
      <c r="F3" s="245"/>
      <c r="G3" s="262" t="str">
        <f>IFERROR(__xludf.DUMMYFUNCTION("""COMPUTED_VALUE"""),"¢ Level")</f>
        <v>¢ Level</v>
      </c>
      <c r="H3" s="262" t="str">
        <f>IFERROR(__xludf.DUMMYFUNCTION("""COMPUTED_VALUE"""),"$ Level")</f>
        <v>$ Level</v>
      </c>
      <c r="I3" s="262" t="str">
        <f>IFERROR(__xludf.DUMMYFUNCTION("""COMPUTED_VALUE"""),"¢ Level")</f>
        <v>¢ Level</v>
      </c>
      <c r="J3" s="262" t="str">
        <f>IFERROR(__xludf.DUMMYFUNCTION("""COMPUTED_VALUE"""),"$ Level")</f>
        <v>$ Level</v>
      </c>
      <c r="K3" s="263" t="str">
        <f>IFERROR(__xludf.DUMMYFUNCTION("""COMPUTED_VALUE"""),"¢ Level")</f>
        <v>¢ Level</v>
      </c>
      <c r="L3" s="263" t="str">
        <f>IFERROR(__xludf.DUMMYFUNCTION("""COMPUTED_VALUE"""),"$ Level")</f>
        <v>$ Level</v>
      </c>
      <c r="M3" s="262" t="str">
        <f>IFERROR(__xludf.DUMMYFUNCTION("""COMPUTED_VALUE"""),"¢ Level")</f>
        <v>¢ Level</v>
      </c>
      <c r="N3" s="262" t="str">
        <f>IFERROR(__xludf.DUMMYFUNCTION("""COMPUTED_VALUE"""),"$ Level")</f>
        <v>$ Level</v>
      </c>
      <c r="O3" s="262" t="str">
        <f>IFERROR(__xludf.DUMMYFUNCTION("""COMPUTED_VALUE"""),"¢ Level")</f>
        <v>¢ Level</v>
      </c>
      <c r="P3" s="262" t="str">
        <f>IFERROR(__xludf.DUMMYFUNCTION("""COMPUTED_VALUE"""),"$ Level")</f>
        <v>$ Level</v>
      </c>
      <c r="Q3" s="283" t="str">
        <f>IFERROR(__xludf.DUMMYFUNCTION("""COMPUTED_VALUE"""),"Max")</f>
        <v>Max</v>
      </c>
      <c r="R3" s="254"/>
      <c r="S3" s="265"/>
      <c r="T3" s="262" t="str">
        <f>IFERROR(__xludf.DUMMYFUNCTION("""COMPUTED_VALUE"""),"WS+")</f>
        <v>WS+</v>
      </c>
      <c r="U3" s="262" t="str">
        <f>IFERROR(__xludf.DUMMYFUNCTION("""COMPUTED_VALUE"""),"WS+")</f>
        <v>WS+</v>
      </c>
      <c r="V3" s="262" t="str">
        <f>IFERROR(__xludf.DUMMYFUNCTION("""COMPUTED_VALUE"""),"WS+")</f>
        <v>WS+</v>
      </c>
      <c r="W3" s="262" t="str">
        <f>IFERROR(__xludf.DUMMYFUNCTION("""COMPUTED_VALUE"""),"WS+")</f>
        <v>WS+</v>
      </c>
      <c r="X3" s="262" t="str">
        <f>IFERROR(__xludf.DUMMYFUNCTION("""COMPUTED_VALUE"""),"WS+")</f>
        <v>WS+</v>
      </c>
      <c r="Y3" s="284" t="str">
        <f>IFERROR(__xludf.DUMMYFUNCTION("""COMPUTED_VALUE"""),"Max")</f>
        <v>Max</v>
      </c>
      <c r="Z3" s="276"/>
      <c r="AA3" s="245"/>
      <c r="AB3" s="266" t="str">
        <f>IFERROR(__xludf.DUMMYFUNCTION("""COMPUTED_VALUE"""),"Quantity")</f>
        <v>Quantity</v>
      </c>
      <c r="AC3" s="285">
        <f>IFERROR(__xludf.DUMMYFUNCTION("""COMPUTED_VALUE"""),4.0)</f>
        <v>4</v>
      </c>
      <c r="AD3" s="268" t="str">
        <f>IFERROR(__xludf.DUMMYFUNCTION("""COMPUTED_VALUE"""),"03 | #4 | Cost 150 ⧌ | Next 400 ⧌")</f>
        <v>03 | #4 | Cost 150 ⧌ | Next 400 ⧌</v>
      </c>
      <c r="AE3" s="269" t="str">
        <f>IFERROR(__xludf.DUMMYFUNCTION("""COMPUTED_VALUE"""),"Attack Speed")</f>
        <v>Attack Speed</v>
      </c>
      <c r="AF3" s="270">
        <f>IFERROR(__xludf.DUMMYFUNCTION("""COMPUTED_VALUE"""),7.0)</f>
        <v>7</v>
      </c>
      <c r="AG3" s="252" t="b">
        <f>IFERROR(__xludf.DUMMYFUNCTION("""COMPUTED_VALUE"""),FALSE)</f>
        <v>0</v>
      </c>
      <c r="AH3" s="286" t="str">
        <f>IFERROR(__xludf.DUMMYFUNCTION("""COMPUTED_VALUE"""),"Enemy Balance")</f>
        <v>Enemy Balance</v>
      </c>
      <c r="AI3" s="254" t="str">
        <f>IFERROR(__xludf.DUMMYFUNCTION("""COMPUTED_VALUE"""),"Attack Speed")</f>
        <v>Attack Speed</v>
      </c>
      <c r="AJ3" s="287"/>
      <c r="AK3" s="278"/>
      <c r="AL3" s="246"/>
      <c r="AM3" s="259" t="str">
        <f>IFERROR(__xludf.DUMMYFUNCTION("""COMPUTED_VALUE"""),"Event Relics")</f>
        <v>Event Relics</v>
      </c>
      <c r="AN3" s="288">
        <f>IFERROR(__xludf.DUMMYFUNCTION("""COMPUTED_VALUE"""),112.0)</f>
        <v>112</v>
      </c>
      <c r="AO3" s="274"/>
      <c r="AP3" s="245"/>
      <c r="AQ3" s="289"/>
      <c r="AR3" s="246"/>
      <c r="AS3" s="289"/>
      <c r="AT3" s="289"/>
      <c r="AU3" s="245" t="str">
        <f>IFERROR(__xludf.DUMMYFUNCTION("""COMPUTED_VALUE"""),"Cooldown")</f>
        <v>Cooldown</v>
      </c>
      <c r="AV3" s="290">
        <f>IFERROR(__xludf.DUMMYFUNCTION("""COMPUTED_VALUE"""),51.0)</f>
        <v>51</v>
      </c>
      <c r="AW3" s="291" t="str">
        <f>IFERROR(__xludf.DUMMYFUNCTION("""COMPUTED_VALUE"""),"08 | 51s | Cost 380 ⧓ | Next 420 ⧓")</f>
        <v>08 | 51s | Cost 380 ⧓ | Next 420 ⧓</v>
      </c>
      <c r="AX3" s="246"/>
      <c r="AY3" s="245"/>
      <c r="AZ3" s="245"/>
      <c r="BA3" s="292"/>
      <c r="BB3" s="291" t="str">
        <f>IFERROR(__xludf.DUMMYFUNCTION("""COMPUTED_VALUE"""),"Rarity Cap")</f>
        <v>Rarity Cap</v>
      </c>
      <c r="BC3" s="245" t="str">
        <f>IFERROR(__xludf.DUMMYFUNCTION("""COMPUTED_VALUE"""),"Epic")</f>
        <v>Epic</v>
      </c>
      <c r="BD3" s="245"/>
      <c r="BE3" s="245"/>
      <c r="BF3" s="245"/>
      <c r="BG3" s="245" t="str">
        <f>IFERROR(__xludf.DUMMYFUNCTION("""COMPUTED_VALUE"""),"Rarity Cap")</f>
        <v>Rarity Cap</v>
      </c>
      <c r="BH3" s="245" t="str">
        <f>IFERROR(__xludf.DUMMYFUNCTION("""COMPUTED_VALUE"""),"Epic")</f>
        <v>Epic</v>
      </c>
      <c r="BI3" s="245"/>
      <c r="BJ3" s="245"/>
      <c r="BK3" s="245"/>
      <c r="BL3" s="245" t="str">
        <f>IFERROR(__xludf.DUMMYFUNCTION("""COMPUTED_VALUE"""),"Rarity Cap")</f>
        <v>Rarity Cap</v>
      </c>
      <c r="BM3" s="245" t="str">
        <f>IFERROR(__xludf.DUMMYFUNCTION("""COMPUTED_VALUE"""),"Epic")</f>
        <v>Epic</v>
      </c>
      <c r="BN3" s="245"/>
      <c r="BO3" s="245"/>
      <c r="BP3" s="245"/>
      <c r="BQ3" s="245" t="str">
        <f>IFERROR(__xludf.DUMMYFUNCTION("""COMPUTED_VALUE"""),"Rarity Cap")</f>
        <v>Rarity Cap</v>
      </c>
      <c r="BR3" s="245" t="str">
        <f>IFERROR(__xludf.DUMMYFUNCTION("""COMPUTED_VALUE"""),"Epic")</f>
        <v>Epic</v>
      </c>
      <c r="BS3" s="245"/>
      <c r="BT3" s="246"/>
      <c r="BU3" s="245"/>
      <c r="BV3" s="245"/>
      <c r="BW3" s="245" t="str">
        <f>IFERROR(__xludf.DUMMYFUNCTION("""COMPUTED_VALUE"""),"Cooldown")</f>
        <v>Cooldown</v>
      </c>
      <c r="BX3" s="293">
        <f>IFERROR(__xludf.DUMMYFUNCTION("""COMPUTED_VALUE"""),120.0)</f>
        <v>120</v>
      </c>
      <c r="BY3" s="279" t="str">
        <f>IFERROR(__xludf.DUMMYFUNCTION("""COMPUTED_VALUE"""),"00 | 120s | Cost 0 ⧈ | Next 1 ⧈")</f>
        <v>00 | 120s | Cost 0 ⧈ | Next 1 ⧈</v>
      </c>
      <c r="BZ3" s="282" t="str">
        <f>IFERROR(__xludf.DUMMYFUNCTION("""COMPUTED_VALUE"""),"Tier 1")</f>
        <v>Tier 1</v>
      </c>
      <c r="CA3" s="245">
        <f>IFERROR(__xludf.DUMMYFUNCTION("""COMPUTED_VALUE"""),10210.0)</f>
        <v>10210</v>
      </c>
      <c r="CB3" s="245" t="b">
        <f>IFERROR(__xludf.DUMMYFUNCTION("""COMPUTED_VALUE"""),TRUE)</f>
        <v>1</v>
      </c>
      <c r="CC3" s="245"/>
      <c r="CD3" s="245" t="str">
        <f>IFERROR(__xludf.DUMMYFUNCTION("""COMPUTED_VALUE"""),"Player ID")</f>
        <v>Player ID</v>
      </c>
      <c r="CE3" s="245" t="str">
        <f>IFERROR(__xludf.DUMMYFUNCTION("""COMPUTED_VALUE"""),"4C64DCF66976FD33")</f>
        <v>4C64DCF66976FD33</v>
      </c>
      <c r="CF3" s="245"/>
    </row>
    <row r="4">
      <c r="A4" s="259" t="str">
        <f>IFERROR(__xludf.DUMMYFUNCTION("""COMPUTED_VALUE"""),"Workshop Attack Discount")</f>
        <v>Workshop Attack Discount</v>
      </c>
      <c r="B4" s="260">
        <f>IFERROR(__xludf.DUMMYFUNCTION("""COMPUTED_VALUE"""),27.0)</f>
        <v>27</v>
      </c>
      <c r="C4" s="245"/>
      <c r="D4" s="261">
        <f>IFERROR(__xludf.DUMMYFUNCTION("""COMPUTED_VALUE"""),99.0)</f>
        <v>99</v>
      </c>
      <c r="E4" s="245"/>
      <c r="F4" s="259" t="str">
        <f>IFERROR(__xludf.DUMMYFUNCTION("""COMPUTED_VALUE"""),"Damage")</f>
        <v>Damage</v>
      </c>
      <c r="G4" s="260">
        <f>IFERROR(__xludf.DUMMYFUNCTION("""COMPUTED_VALUE"""),5750.0)</f>
        <v>5750</v>
      </c>
      <c r="H4" s="260">
        <f>IFERROR(__xludf.DUMMYFUNCTION("""COMPUTED_VALUE"""),6000.0)</f>
        <v>6000</v>
      </c>
      <c r="I4" s="245">
        <f>IFERROR(__xludf.DUMMYFUNCTION("""COMPUTED_VALUE"""),5750.0)</f>
        <v>5750</v>
      </c>
      <c r="J4" s="245">
        <f>IFERROR(__xludf.DUMMYFUNCTION("""COMPUTED_VALUE"""),6000.0)</f>
        <v>6000</v>
      </c>
      <c r="K4" s="265"/>
      <c r="L4" s="245"/>
      <c r="M4" s="245"/>
      <c r="N4" s="245"/>
      <c r="O4" s="245"/>
      <c r="P4" s="245"/>
      <c r="Q4" s="294">
        <f>IFERROR(__xludf.DUMMYFUNCTION("""COMPUTED_VALUE"""),6000.0)</f>
        <v>6000</v>
      </c>
      <c r="R4" s="271" t="str">
        <f>IFERROR(__xludf.DUMMYFUNCTION("""COMPUTED_VALUE"""),"Damage +")</f>
        <v>Damage +</v>
      </c>
      <c r="S4" s="295">
        <f>IFERROR(__xludf.DUMMYFUNCTION("""COMPUTED_VALUE"""),1.56)</f>
        <v>1.56</v>
      </c>
      <c r="T4" s="260">
        <f>IFERROR(__xludf.DUMMYFUNCTION("""COMPUTED_VALUE"""),56.0)</f>
        <v>56</v>
      </c>
      <c r="U4" s="245">
        <f>IFERROR(__xludf.DUMMYFUNCTION("""COMPUTED_VALUE"""),56.0)</f>
        <v>56</v>
      </c>
      <c r="V4" s="245"/>
      <c r="W4" s="245"/>
      <c r="X4" s="245"/>
      <c r="Y4" s="296">
        <f>IFERROR(__xludf.DUMMYFUNCTION("""COMPUTED_VALUE"""),400.0)</f>
        <v>400</v>
      </c>
      <c r="Z4" s="297" t="b">
        <f>IFERROR(__xludf.DUMMYFUNCTION("""COMPUTED_VALUE"""),TRUE)</f>
        <v>1</v>
      </c>
      <c r="AA4" s="259" t="str">
        <f>IFERROR(__xludf.DUMMYFUNCTION("""COMPUTED_VALUE"""),"UW Unlocked")</f>
        <v>UW Unlocked</v>
      </c>
      <c r="AB4" s="266" t="str">
        <f>IFERROR(__xludf.DUMMYFUNCTION("""COMPUTED_VALUE"""),"Chance")</f>
        <v>Chance</v>
      </c>
      <c r="AC4" s="298">
        <f>IFERROR(__xludf.DUMMYFUNCTION("""COMPUTED_VALUE"""),0.17)</f>
        <v>0.17</v>
      </c>
      <c r="AD4" s="268" t="str">
        <f>IFERROR(__xludf.DUMMYFUNCTION("""COMPUTED_VALUE"""),"08 | 17.0% | Cost 134 ⧌ | Next 152 ⧌")</f>
        <v>08 | 17.0% | Cost 134 ⧌ | Next 152 ⧌</v>
      </c>
      <c r="AE4" s="269" t="str">
        <f>IFERROR(__xludf.DUMMYFUNCTION("""COMPUTED_VALUE"""),"Health")</f>
        <v>Health</v>
      </c>
      <c r="AF4" s="299">
        <f>IFERROR(__xludf.DUMMYFUNCTION("""COMPUTED_VALUE"""),7.0)</f>
        <v>7</v>
      </c>
      <c r="AG4" s="252" t="b">
        <f>IFERROR(__xludf.DUMMYFUNCTION("""COMPUTED_VALUE"""),FALSE)</f>
        <v>0</v>
      </c>
      <c r="AH4" s="276" t="str">
        <f>IFERROR(__xludf.DUMMYFUNCTION("""COMPUTED_VALUE"""),"Extra Defense")</f>
        <v>Extra Defense</v>
      </c>
      <c r="AI4" s="254" t="str">
        <f>IFERROR(__xludf.DUMMYFUNCTION("""COMPUTED_VALUE"""),"Damage")</f>
        <v>Damage</v>
      </c>
      <c r="AJ4" s="287"/>
      <c r="AK4" s="278"/>
      <c r="AL4" s="246"/>
      <c r="AM4" s="259" t="str">
        <f>IFERROR(__xludf.DUMMYFUNCTION("""COMPUTED_VALUE"""),"Guild Relics")</f>
        <v>Guild Relics</v>
      </c>
      <c r="AN4" s="288">
        <f>IFERROR(__xludf.DUMMYFUNCTION("""COMPUTED_VALUE"""),13.0)</f>
        <v>13</v>
      </c>
      <c r="AO4" s="274"/>
      <c r="AP4" s="259" t="str">
        <f>IFERROR(__xludf.DUMMYFUNCTION("""COMPUTED_VALUE"""),"Total Bonuses")</f>
        <v>Total Bonuses</v>
      </c>
      <c r="AQ4" s="300" t="str">
        <f>IFERROR(__xludf.DUMMYFUNCTION("""COMPUTED_VALUE"""),"Active")</f>
        <v>Active</v>
      </c>
      <c r="AR4" s="246"/>
      <c r="AS4" s="289"/>
      <c r="AT4" s="289"/>
      <c r="AU4" s="245" t="str">
        <f>IFERROR(__xludf.DUMMYFUNCTION("""COMPUTED_VALUE"""),"Damage")</f>
        <v>Damage</v>
      </c>
      <c r="AV4" s="301">
        <f>IFERROR(__xludf.DUMMYFUNCTION("""COMPUTED_VALUE"""),50.0)</f>
        <v>50</v>
      </c>
      <c r="AW4" s="302" t="str">
        <f>IFERROR(__xludf.DUMMYFUNCTION("""COMPUTED_VALUE"""),"00 | x50 | Cost 0 ⧓ | Next 100 ⧓")</f>
        <v>00 | x50 | Cost 0 ⧓ | Next 100 ⧓</v>
      </c>
      <c r="AX4" s="246"/>
      <c r="AY4" s="245"/>
      <c r="AZ4" s="245"/>
      <c r="BA4" s="264"/>
      <c r="BB4" s="302" t="str">
        <f>IFERROR(__xludf.DUMMYFUNCTION("""COMPUTED_VALUE"""),"Multiplier Cap")</f>
        <v>Multiplier Cap</v>
      </c>
      <c r="BC4" s="277">
        <f>IFERROR(__xludf.DUMMYFUNCTION("""COMPUTED_VALUE"""),0.01)</f>
        <v>0.01</v>
      </c>
      <c r="BD4" s="245" t="str">
        <f>IFERROR(__xludf.DUMMYFUNCTION("""COMPUTED_VALUE"""),"00 | 1% | Cost 0 ⧌ | Next 15 ⧌")</f>
        <v>00 | 1% | Cost 0 ⧌ | Next 15 ⧌</v>
      </c>
      <c r="BE4" s="245"/>
      <c r="BF4" s="245"/>
      <c r="BG4" s="245" t="str">
        <f>IFERROR(__xludf.DUMMYFUNCTION("""COMPUTED_VALUE"""),"Multiplier Cap")</f>
        <v>Multiplier Cap</v>
      </c>
      <c r="BH4" s="277">
        <f>IFERROR(__xludf.DUMMYFUNCTION("""COMPUTED_VALUE"""),0.01)</f>
        <v>0.01</v>
      </c>
      <c r="BI4" s="245" t="str">
        <f>IFERROR(__xludf.DUMMYFUNCTION("""COMPUTED_VALUE"""),"00 | 1% | Cost 0 ⧌ | Next 15 ⧌")</f>
        <v>00 | 1% | Cost 0 ⧌ | Next 15 ⧌</v>
      </c>
      <c r="BJ4" s="303"/>
      <c r="BK4" s="245"/>
      <c r="BL4" s="245" t="str">
        <f>IFERROR(__xludf.DUMMYFUNCTION("""COMPUTED_VALUE"""),"Multiplier Cap")</f>
        <v>Multiplier Cap</v>
      </c>
      <c r="BM4" s="277">
        <f>IFERROR(__xludf.DUMMYFUNCTION("""COMPUTED_VALUE"""),0.1)</f>
        <v>0.1</v>
      </c>
      <c r="BN4" s="245" t="str">
        <f>IFERROR(__xludf.DUMMYFUNCTION("""COMPUTED_VALUE"""),"09 | 10% | Cost 39 ⧌ | Next 42 ⧌")</f>
        <v>09 | 10% | Cost 39 ⧌ | Next 42 ⧌</v>
      </c>
      <c r="BO4" s="303"/>
      <c r="BP4" s="245"/>
      <c r="BQ4" s="245" t="str">
        <f>IFERROR(__xludf.DUMMYFUNCTION("""COMPUTED_VALUE"""),"Multiplier Cap")</f>
        <v>Multiplier Cap</v>
      </c>
      <c r="BR4" s="277">
        <f>IFERROR(__xludf.DUMMYFUNCTION("""COMPUTED_VALUE"""),0.1)</f>
        <v>0.1</v>
      </c>
      <c r="BS4" s="245" t="str">
        <f>IFERROR(__xludf.DUMMYFUNCTION("""COMPUTED_VALUE"""),"09 | 10% | Cost 39 ⧌ | Next 42 ⧌")</f>
        <v>09 | 10% | Cost 39 ⧌ | Next 42 ⧌</v>
      </c>
      <c r="BT4" s="304"/>
      <c r="BU4" s="245" t="b">
        <f>IFERROR(__xludf.DUMMYFUNCTION("""COMPUTED_VALUE"""),TRUE)</f>
        <v>1</v>
      </c>
      <c r="BV4" s="305" t="str">
        <f>IFERROR(__xludf.DUMMYFUNCTION("""COMPUTED_VALUE"""),"Unlocked")</f>
        <v>Unlocked</v>
      </c>
      <c r="BW4" s="245" t="str">
        <f>IFERROR(__xludf.DUMMYFUNCTION("""COMPUTED_VALUE"""),"Targets")</f>
        <v>Targets</v>
      </c>
      <c r="BX4" s="279">
        <f>IFERROR(__xludf.DUMMYFUNCTION("""COMPUTED_VALUE"""),1.0)</f>
        <v>1</v>
      </c>
      <c r="BY4" s="306" t="str">
        <f>IFERROR(__xludf.DUMMYFUNCTION("""COMPUTED_VALUE"""),"00 | 1 | Cost 0 ⧈ | Next 100 ⧈")</f>
        <v>00 | 1 | Cost 0 ⧈ | Next 100 ⧈</v>
      </c>
      <c r="BZ4" s="282" t="str">
        <f>IFERROR(__xludf.DUMMYFUNCTION("""COMPUTED_VALUE"""),"Tier 2")</f>
        <v>Tier 2</v>
      </c>
      <c r="CA4" s="245">
        <f>IFERROR(__xludf.DUMMYFUNCTION("""COMPUTED_VALUE"""),5628.0)</f>
        <v>5628</v>
      </c>
      <c r="CB4" s="245"/>
      <c r="CC4" s="245"/>
      <c r="CD4" s="245" t="str">
        <f>IFERROR(__xludf.DUMMYFUNCTION("""COMPUTED_VALUE"""),"Farming Tier")</f>
        <v>Farming Tier</v>
      </c>
      <c r="CE4" s="307" t="str">
        <f>IFERROR(__xludf.DUMMYFUNCTION("""COMPUTED_VALUE"""),"Tier 14")</f>
        <v>Tier 14</v>
      </c>
      <c r="CF4" s="245"/>
    </row>
    <row r="5">
      <c r="A5" s="259" t="str">
        <f>IFERROR(__xludf.DUMMYFUNCTION("""COMPUTED_VALUE"""),"Workshop Defense Discount")</f>
        <v>Workshop Defense Discount</v>
      </c>
      <c r="B5" s="260">
        <f>IFERROR(__xludf.DUMMYFUNCTION("""COMPUTED_VALUE"""),28.0)</f>
        <v>28</v>
      </c>
      <c r="C5" s="245"/>
      <c r="D5" s="261">
        <f>IFERROR(__xludf.DUMMYFUNCTION("""COMPUTED_VALUE"""),99.0)</f>
        <v>99</v>
      </c>
      <c r="E5" s="245"/>
      <c r="F5" s="259" t="str">
        <f>IFERROR(__xludf.DUMMYFUNCTION("""COMPUTED_VALUE"""),"Attack Speed")</f>
        <v>Attack Speed</v>
      </c>
      <c r="G5" s="260">
        <f>IFERROR(__xludf.DUMMYFUNCTION("""COMPUTED_VALUE"""),99.0)</f>
        <v>99</v>
      </c>
      <c r="H5" s="245">
        <f>IFERROR(__xludf.DUMMYFUNCTION("""COMPUTED_VALUE"""),99.0)</f>
        <v>99</v>
      </c>
      <c r="I5" s="245">
        <f>IFERROR(__xludf.DUMMYFUNCTION("""COMPUTED_VALUE"""),99.0)</f>
        <v>99</v>
      </c>
      <c r="J5" s="245">
        <f>IFERROR(__xludf.DUMMYFUNCTION("""COMPUTED_VALUE"""),99.0)</f>
        <v>99</v>
      </c>
      <c r="K5" s="265"/>
      <c r="L5" s="245"/>
      <c r="M5" s="245"/>
      <c r="N5" s="245"/>
      <c r="O5" s="245"/>
      <c r="P5" s="245"/>
      <c r="Q5" s="294">
        <f>IFERROR(__xludf.DUMMYFUNCTION("""COMPUTED_VALUE"""),99.0)</f>
        <v>99</v>
      </c>
      <c r="R5" s="271" t="str">
        <f>IFERROR(__xludf.DUMMYFUNCTION("""COMPUTED_VALUE"""),"Rend Armor Mult +")</f>
        <v>Rend Armor Mult +</v>
      </c>
      <c r="S5" s="295">
        <f>IFERROR(__xludf.DUMMYFUNCTION("""COMPUTED_VALUE"""),1.21)</f>
        <v>1.21</v>
      </c>
      <c r="T5" s="260">
        <f>IFERROR(__xludf.DUMMYFUNCTION("""COMPUTED_VALUE"""),21.0)</f>
        <v>21</v>
      </c>
      <c r="U5" s="245">
        <f>IFERROR(__xludf.DUMMYFUNCTION("""COMPUTED_VALUE"""),21.0)</f>
        <v>21</v>
      </c>
      <c r="V5" s="245"/>
      <c r="W5" s="245"/>
      <c r="X5" s="245"/>
      <c r="Y5" s="296">
        <f>IFERROR(__xludf.DUMMYFUNCTION("""COMPUTED_VALUE"""),400.0)</f>
        <v>400</v>
      </c>
      <c r="Z5" s="266" t="str">
        <f>IFERROR(__xludf.DUMMYFUNCTION("""COMPUTED_VALUE"""),"UW+")</f>
        <v>UW+</v>
      </c>
      <c r="AA5" s="245"/>
      <c r="AB5" s="266" t="str">
        <f>IFERROR(__xludf.DUMMYFUNCTION("""COMPUTED_VALUE"""),"Smite")</f>
        <v>Smite</v>
      </c>
      <c r="AC5" s="308" t="str">
        <f>IFERROR(__xludf.DUMMYFUNCTION("""COMPUTED_VALUE"""),"Locked")</f>
        <v>Locked</v>
      </c>
      <c r="AD5" s="268" t="str">
        <f>IFERROR(__xludf.DUMMYFUNCTION("""COMPUTED_VALUE"""),"Lo | Locked")</f>
        <v>Lo | Locked</v>
      </c>
      <c r="AE5" s="269" t="str">
        <f>IFERROR(__xludf.DUMMYFUNCTION("""COMPUTED_VALUE"""),"Health Regen")</f>
        <v>Health Regen</v>
      </c>
      <c r="AF5" s="299">
        <f>IFERROR(__xludf.DUMMYFUNCTION("""COMPUTED_VALUE"""),7.0)</f>
        <v>7</v>
      </c>
      <c r="AG5" s="252" t="b">
        <f>IFERROR(__xludf.DUMMYFUNCTION("""COMPUTED_VALUE"""),FALSE)</f>
        <v>0</v>
      </c>
      <c r="AH5" s="309" t="str">
        <f>IFERROR(__xludf.DUMMYFUNCTION("""COMPUTED_VALUE"""),"Health")</f>
        <v>Health</v>
      </c>
      <c r="AI5" s="254" t="str">
        <f>IFERROR(__xludf.DUMMYFUNCTION("""COMPUTED_VALUE"""),"Berserker")</f>
        <v>Berserker</v>
      </c>
      <c r="AJ5" s="287"/>
      <c r="AK5" s="278"/>
      <c r="AL5" s="246"/>
      <c r="AM5" s="259" t="str">
        <f>IFERROR(__xludf.DUMMYFUNCTION("""COMPUTED_VALUE"""),"Other Relics")</f>
        <v>Other Relics</v>
      </c>
      <c r="AN5" s="288">
        <f>IFERROR(__xludf.DUMMYFUNCTION("""COMPUTED_VALUE"""),22.0)</f>
        <v>22</v>
      </c>
      <c r="AO5" s="274"/>
      <c r="AP5" s="310" t="str">
        <f>IFERROR(__xludf.DUMMYFUNCTION("""COMPUTED_VALUE"""),"Misc.")</f>
        <v>Misc.</v>
      </c>
      <c r="AQ5" s="289"/>
      <c r="AR5" s="246"/>
      <c r="AS5" s="311" t="b">
        <f>IFERROR(__xludf.DUMMYFUNCTION("""COMPUTED_VALUE"""),TRUE)</f>
        <v>1</v>
      </c>
      <c r="AT5" s="305" t="str">
        <f>IFERROR(__xludf.DUMMYFUNCTION("""COMPUTED_VALUE"""),"Unlocked")</f>
        <v>Unlocked</v>
      </c>
      <c r="AU5" s="245" t="str">
        <f>IFERROR(__xludf.DUMMYFUNCTION("""COMPUTED_VALUE"""),"Range")</f>
        <v>Range</v>
      </c>
      <c r="AV5" s="312">
        <f>IFERROR(__xludf.DUMMYFUNCTION("""COMPUTED_VALUE"""),46.0)</f>
        <v>46</v>
      </c>
      <c r="AW5" s="313" t="str">
        <f>IFERROR(__xludf.DUMMYFUNCTION("""COMPUTED_VALUE"""),"04 | 46m | Cost 220 ⧓ | Next 260 ⧓")</f>
        <v>04 | 46m | Cost 220 ⧓ | Next 260 ⧓</v>
      </c>
      <c r="AX5" s="246"/>
      <c r="AY5" s="305"/>
      <c r="AZ5" s="245"/>
      <c r="BA5" s="314"/>
      <c r="BB5" s="313" t="str">
        <f>IFERROR(__xludf.DUMMYFUNCTION("""COMPUTED_VALUE"""),"Substat Cap")</f>
        <v>Substat Cap</v>
      </c>
      <c r="BC5" s="277">
        <f>IFERROR(__xludf.DUMMYFUNCTION("""COMPUTED_VALUE"""),0.01)</f>
        <v>0.01</v>
      </c>
      <c r="BD5" s="245" t="str">
        <f>IFERROR(__xludf.DUMMYFUNCTION("""COMPUTED_VALUE"""),"00 | 1% | Cost 0 ⧌ | Next 15 ⧌")</f>
        <v>00 | 1% | Cost 0 ⧌ | Next 15 ⧌</v>
      </c>
      <c r="BE5" s="245"/>
      <c r="BF5" s="245"/>
      <c r="BG5" s="245" t="str">
        <f>IFERROR(__xludf.DUMMYFUNCTION("""COMPUTED_VALUE"""),"Substat Cap")</f>
        <v>Substat Cap</v>
      </c>
      <c r="BH5" s="277">
        <f>IFERROR(__xludf.DUMMYFUNCTION("""COMPUTED_VALUE"""),0.1)</f>
        <v>0.1</v>
      </c>
      <c r="BI5" s="245" t="str">
        <f>IFERROR(__xludf.DUMMYFUNCTION("""COMPUTED_VALUE"""),"09 | 10% | Cost 39 ⧌ | Next 42 ⧌")</f>
        <v>09 | 10% | Cost 39 ⧌ | Next 42 ⧌</v>
      </c>
      <c r="BJ5" s="245"/>
      <c r="BK5" s="245"/>
      <c r="BL5" s="245" t="str">
        <f>IFERROR(__xludf.DUMMYFUNCTION("""COMPUTED_VALUE"""),"Substat Cap")</f>
        <v>Substat Cap</v>
      </c>
      <c r="BM5" s="277">
        <f>IFERROR(__xludf.DUMMYFUNCTION("""COMPUTED_VALUE"""),0.1)</f>
        <v>0.1</v>
      </c>
      <c r="BN5" s="245" t="str">
        <f>IFERROR(__xludf.DUMMYFUNCTION("""COMPUTED_VALUE"""),"09 | 10% | Cost 39 ⧌ | Next 42 ⧌")</f>
        <v>09 | 10% | Cost 39 ⧌ | Next 42 ⧌</v>
      </c>
      <c r="BO5" s="245"/>
      <c r="BP5" s="245"/>
      <c r="BQ5" s="245" t="str">
        <f>IFERROR(__xludf.DUMMYFUNCTION("""COMPUTED_VALUE"""),"Substat Cap")</f>
        <v>Substat Cap</v>
      </c>
      <c r="BR5" s="277">
        <f>IFERROR(__xludf.DUMMYFUNCTION("""COMPUTED_VALUE"""),0.1)</f>
        <v>0.1</v>
      </c>
      <c r="BS5" s="245" t="str">
        <f>IFERROR(__xludf.DUMMYFUNCTION("""COMPUTED_VALUE"""),"09 | 10% | Cost 39 ⧌ | Next 42 ⧌")</f>
        <v>09 | 10% | Cost 39 ⧌ | Next 42 ⧌</v>
      </c>
      <c r="BT5" s="246"/>
      <c r="BU5" s="245" t="str">
        <f>IFERROR(__xludf.DUMMYFUNCTION("""COMPUTED_VALUE"""),"Ally")</f>
        <v>Ally</v>
      </c>
      <c r="BV5" s="245"/>
      <c r="BW5" s="245" t="str">
        <f>IFERROR(__xludf.DUMMYFUNCTION("""COMPUTED_VALUE"""),"Recovery Amount")</f>
        <v>Recovery Amount</v>
      </c>
      <c r="BX5" s="277">
        <f>IFERROR(__xludf.DUMMYFUNCTION("""COMPUTED_VALUE"""),0.01)</f>
        <v>0.01</v>
      </c>
      <c r="BY5" s="279" t="str">
        <f>IFERROR(__xludf.DUMMYFUNCTION("""COMPUTED_VALUE"""),"00 | 1% | Cost 0 ⧈ | Next 10 ⧈")</f>
        <v>00 | 1% | Cost 0 ⧈ | Next 10 ⧈</v>
      </c>
      <c r="BZ5" s="282" t="str">
        <f>IFERROR(__xludf.DUMMYFUNCTION("""COMPUTED_VALUE"""),"Tier 3")</f>
        <v>Tier 3</v>
      </c>
      <c r="CA5" s="245">
        <f>IFERROR(__xludf.DUMMYFUNCTION("""COMPUTED_VALUE"""),5402.0)</f>
        <v>5402</v>
      </c>
      <c r="CB5" s="245"/>
      <c r="CC5" s="245"/>
      <c r="CD5" s="245" t="str">
        <f>IFERROR(__xludf.DUMMYFUNCTION("""COMPUTED_VALUE"""),"Tourney League")</f>
        <v>Tourney League</v>
      </c>
      <c r="CE5" s="245" t="str">
        <f>IFERROR(__xludf.DUMMYFUNCTION("""COMPUTED_VALUE"""),"Legends")</f>
        <v>Legends</v>
      </c>
      <c r="CF5" s="245"/>
    </row>
    <row r="6">
      <c r="A6" s="259" t="str">
        <f>IFERROR(__xludf.DUMMYFUNCTION("""COMPUTED_VALUE"""),"Workshop Utility Discount")</f>
        <v>Workshop Utility Discount</v>
      </c>
      <c r="B6" s="260">
        <f>IFERROR(__xludf.DUMMYFUNCTION("""COMPUTED_VALUE"""),41.0)</f>
        <v>41</v>
      </c>
      <c r="C6" s="245"/>
      <c r="D6" s="261">
        <f>IFERROR(__xludf.DUMMYFUNCTION("""COMPUTED_VALUE"""),99.0)</f>
        <v>99</v>
      </c>
      <c r="E6" s="245"/>
      <c r="F6" s="259" t="str">
        <f>IFERROR(__xludf.DUMMYFUNCTION("""COMPUTED_VALUE"""),"Critical Chance")</f>
        <v>Critical Chance</v>
      </c>
      <c r="G6" s="260">
        <f>IFERROR(__xludf.DUMMYFUNCTION("""COMPUTED_VALUE"""),79.0)</f>
        <v>79</v>
      </c>
      <c r="H6" s="245">
        <f>IFERROR(__xludf.DUMMYFUNCTION("""COMPUTED_VALUE"""),79.0)</f>
        <v>79</v>
      </c>
      <c r="I6" s="245">
        <f>IFERROR(__xludf.DUMMYFUNCTION("""COMPUTED_VALUE"""),79.0)</f>
        <v>79</v>
      </c>
      <c r="J6" s="245">
        <f>IFERROR(__xludf.DUMMYFUNCTION("""COMPUTED_VALUE"""),79.0)</f>
        <v>79</v>
      </c>
      <c r="K6" s="265"/>
      <c r="L6" s="245"/>
      <c r="M6" s="245"/>
      <c r="N6" s="245"/>
      <c r="O6" s="245"/>
      <c r="P6" s="245"/>
      <c r="Q6" s="294">
        <f>IFERROR(__xludf.DUMMYFUNCTION("""COMPUTED_VALUE"""),79.0)</f>
        <v>79</v>
      </c>
      <c r="R6" s="271" t="str">
        <f>IFERROR(__xludf.DUMMYFUNCTION("""COMPUTED_VALUE"""),"Critical Factor +")</f>
        <v>Critical Factor +</v>
      </c>
      <c r="S6" s="295">
        <f>IFERROR(__xludf.DUMMYFUNCTION("""COMPUTED_VALUE"""),1.6)</f>
        <v>1.6</v>
      </c>
      <c r="T6" s="260">
        <f>IFERROR(__xludf.DUMMYFUNCTION("""COMPUTED_VALUE"""),60.0)</f>
        <v>60</v>
      </c>
      <c r="U6" s="245">
        <f>IFERROR(__xludf.DUMMYFUNCTION("""COMPUTED_VALUE"""),60.0)</f>
        <v>60</v>
      </c>
      <c r="V6" s="245"/>
      <c r="W6" s="245"/>
      <c r="X6" s="245"/>
      <c r="Y6" s="296">
        <f>IFERROR(__xludf.DUMMYFUNCTION("""COMPUTED_VALUE"""),400.0)</f>
        <v>400</v>
      </c>
      <c r="Z6" s="266" t="str">
        <f>IFERROR(__xludf.DUMMYFUNCTION("""COMPUTED_VALUE"""),"Smart Missiles")</f>
        <v>Smart Missiles</v>
      </c>
      <c r="AA6" s="245"/>
      <c r="AB6" s="266" t="str">
        <f>IFERROR(__xludf.DUMMYFUNCTION("""COMPUTED_VALUE"""),"Damage")</f>
        <v>Damage</v>
      </c>
      <c r="AC6" s="315">
        <f>IFERROR(__xludf.DUMMYFUNCTION("""COMPUTED_VALUE"""),10.0)</f>
        <v>10</v>
      </c>
      <c r="AD6" s="268" t="str">
        <f>IFERROR(__xludf.DUMMYFUNCTION("""COMPUTED_VALUE"""),"00 | x10 | Cost 0 ⧌ | Next 5 ⧌")</f>
        <v>00 | x10 | Cost 0 ⧌ | Next 5 ⧌</v>
      </c>
      <c r="AE6" s="316" t="str">
        <f>IFERROR(__xludf.DUMMYFUNCTION("""COMPUTED_VALUE"""),"Range")</f>
        <v>Range</v>
      </c>
      <c r="AF6" s="299">
        <f>IFERROR(__xludf.DUMMYFUNCTION("""COMPUTED_VALUE"""),7.0)</f>
        <v>7</v>
      </c>
      <c r="AG6" s="252" t="b">
        <f>IFERROR(__xludf.DUMMYFUNCTION("""COMPUTED_VALUE"""),FALSE)</f>
        <v>0</v>
      </c>
      <c r="AH6" s="317" t="str">
        <f>IFERROR(__xludf.DUMMYFUNCTION("""COMPUTED_VALUE"""),"Coins")</f>
        <v>Coins</v>
      </c>
      <c r="AI6" s="254" t="str">
        <f>IFERROR(__xludf.DUMMYFUNCTION("""COMPUTED_VALUE"""),"Critical Chance")</f>
        <v>Critical Chance</v>
      </c>
      <c r="AJ6" s="287"/>
      <c r="AK6" s="278"/>
      <c r="AL6" s="246"/>
      <c r="AM6" s="259" t="str">
        <f>IFERROR(__xludf.DUMMYFUNCTION("""COMPUTED_VALUE"""),"Total Relics")</f>
        <v>Total Relics</v>
      </c>
      <c r="AN6" s="288">
        <f>IFERROR(__xludf.DUMMYFUNCTION("""COMPUTED_VALUE"""),147.0)</f>
        <v>147</v>
      </c>
      <c r="AO6" s="274"/>
      <c r="AP6" s="259" t="str">
        <f>IFERROR(__xludf.DUMMYFUNCTION("""COMPUTED_VALUE"""),"Bot Range")</f>
        <v>Bot Range</v>
      </c>
      <c r="AQ6" s="318">
        <f>IFERROR(__xludf.DUMMYFUNCTION("""COMPUTED_VALUE"""),0.0)</f>
        <v>0</v>
      </c>
      <c r="AR6" s="246"/>
      <c r="AS6" s="319" t="str">
        <f>IFERROR(__xludf.DUMMYFUNCTION("""COMPUTED_VALUE"""),"Thunder Bot")</f>
        <v>Thunder Bot</v>
      </c>
      <c r="AT6" s="289"/>
      <c r="AU6" s="245" t="str">
        <f>IFERROR(__xludf.DUMMYFUNCTION("""COMPUTED_VALUE"""),"Duration")</f>
        <v>Duration</v>
      </c>
      <c r="AV6" s="320">
        <f>IFERROR(__xludf.DUMMYFUNCTION("""COMPUTED_VALUE"""),5.0)</f>
        <v>5</v>
      </c>
      <c r="AW6" s="319" t="str">
        <f>IFERROR(__xludf.DUMMYFUNCTION("""COMPUTED_VALUE"""),"00 | 5.0s | Cost 0 ⧓ | Next 100 ⧓")</f>
        <v>00 | 5.0s | Cost 0 ⧓ | Next 100 ⧓</v>
      </c>
      <c r="AX6" s="246"/>
      <c r="AY6" s="245"/>
      <c r="AZ6" s="245"/>
      <c r="BA6" s="321"/>
      <c r="BB6" s="319"/>
      <c r="BC6" s="245"/>
      <c r="BD6" s="245"/>
      <c r="BE6" s="245">
        <f>IFERROR(__xludf.DUMMYFUNCTION("""COMPUTED_VALUE"""),0.4444444444444444)</f>
        <v>0.4444444444</v>
      </c>
      <c r="BF6" s="245"/>
      <c r="BG6" s="245"/>
      <c r="BH6" s="245"/>
      <c r="BI6" s="245"/>
      <c r="BJ6" s="245"/>
      <c r="BK6" s="245"/>
      <c r="BL6" s="245"/>
      <c r="BM6" s="245"/>
      <c r="BN6" s="245"/>
      <c r="BO6" s="245"/>
      <c r="BP6" s="245"/>
      <c r="BQ6" s="245"/>
      <c r="BR6" s="245"/>
      <c r="BS6" s="245"/>
      <c r="BT6" s="246"/>
      <c r="BU6" s="245"/>
      <c r="BV6" s="245"/>
      <c r="BW6" s="245" t="str">
        <f>IFERROR(__xludf.DUMMYFUNCTION("""COMPUTED_VALUE"""),"Max Recovery")</f>
        <v>Max Recovery</v>
      </c>
      <c r="BX6" s="293">
        <f>IFERROR(__xludf.DUMMYFUNCTION("""COMPUTED_VALUE"""),1.1)</f>
        <v>1.1</v>
      </c>
      <c r="BY6" s="279" t="str">
        <f>IFERROR(__xludf.DUMMYFUNCTION("""COMPUTED_VALUE"""),"00 | 1.1x | Cost 0 ⧈ | Next 1 ⧈")</f>
        <v>00 | 1.1x | Cost 0 ⧈ | Next 1 ⧈</v>
      </c>
      <c r="BZ6" s="282" t="str">
        <f>IFERROR(__xludf.DUMMYFUNCTION("""COMPUTED_VALUE"""),"Tier 4")</f>
        <v>Tier 4</v>
      </c>
      <c r="CA6" s="245">
        <f>IFERROR(__xludf.DUMMYFUNCTION("""COMPUTED_VALUE"""),6310.0)</f>
        <v>6310</v>
      </c>
      <c r="CB6" s="245" t="b">
        <f>IFERROR(__xludf.DUMMYFUNCTION("""COMPUTED_VALUE"""),TRUE)</f>
        <v>1</v>
      </c>
      <c r="CC6" s="245"/>
      <c r="CD6" s="245" t="str">
        <f>IFERROR(__xludf.DUMMYFUNCTION("""COMPUTED_VALUE"""),"Lifetime Coins")</f>
        <v>Lifetime Coins</v>
      </c>
      <c r="CE6" s="322">
        <f>IFERROR(__xludf.DUMMYFUNCTION("""COMPUTED_VALUE"""),3.57E12)</f>
        <v>3570000000000</v>
      </c>
      <c r="CF6" s="245"/>
    </row>
    <row r="7">
      <c r="A7" s="259" t="str">
        <f>IFERROR(__xludf.DUMMYFUNCTION("""COMPUTED_VALUE"""),"Labs Coin Discount")</f>
        <v>Labs Coin Discount</v>
      </c>
      <c r="B7" s="260">
        <f>IFERROR(__xludf.DUMMYFUNCTION("""COMPUTED_VALUE"""),68.0)</f>
        <v>68</v>
      </c>
      <c r="C7" s="245"/>
      <c r="D7" s="261">
        <f>IFERROR(__xludf.DUMMYFUNCTION("""COMPUTED_VALUE"""),99.0)</f>
        <v>99</v>
      </c>
      <c r="E7" s="245"/>
      <c r="F7" s="259" t="str">
        <f>IFERROR(__xludf.DUMMYFUNCTION("""COMPUTED_VALUE"""),"Critical Factor")</f>
        <v>Critical Factor</v>
      </c>
      <c r="G7" s="260">
        <f>IFERROR(__xludf.DUMMYFUNCTION("""COMPUTED_VALUE"""),150.0)</f>
        <v>150</v>
      </c>
      <c r="H7" s="245">
        <f>IFERROR(__xludf.DUMMYFUNCTION("""COMPUTED_VALUE"""),150.0)</f>
        <v>150</v>
      </c>
      <c r="I7" s="245">
        <f>IFERROR(__xludf.DUMMYFUNCTION("""COMPUTED_VALUE"""),150.0)</f>
        <v>150</v>
      </c>
      <c r="J7" s="245">
        <f>IFERROR(__xludf.DUMMYFUNCTION("""COMPUTED_VALUE"""),150.0)</f>
        <v>150</v>
      </c>
      <c r="K7" s="265"/>
      <c r="L7" s="245"/>
      <c r="M7" s="245"/>
      <c r="N7" s="245"/>
      <c r="O7" s="245"/>
      <c r="P7" s="245"/>
      <c r="Q7" s="294">
        <f>IFERROR(__xludf.DUMMYFUNCTION("""COMPUTED_VALUE"""),150.0)</f>
        <v>150</v>
      </c>
      <c r="R7" s="271" t="str">
        <f>IFERROR(__xludf.DUMMYFUNCTION("""COMPUTED_VALUE"""),"Damage / Meter +")</f>
        <v>Damage / Meter +</v>
      </c>
      <c r="S7" s="295">
        <f>IFERROR(__xludf.DUMMYFUNCTION("""COMPUTED_VALUE"""),1.17)</f>
        <v>1.17</v>
      </c>
      <c r="T7" s="260">
        <f>IFERROR(__xludf.DUMMYFUNCTION("""COMPUTED_VALUE"""),17.0)</f>
        <v>17</v>
      </c>
      <c r="U7" s="245">
        <f>IFERROR(__xludf.DUMMYFUNCTION("""COMPUTED_VALUE"""),17.0)</f>
        <v>17</v>
      </c>
      <c r="V7" s="245"/>
      <c r="W7" s="245"/>
      <c r="X7" s="245"/>
      <c r="Y7" s="296">
        <f>IFERROR(__xludf.DUMMYFUNCTION("""COMPUTED_VALUE"""),400.0)</f>
        <v>400</v>
      </c>
      <c r="Z7" s="276"/>
      <c r="AA7" s="245"/>
      <c r="AB7" s="266" t="str">
        <f>IFERROR(__xludf.DUMMYFUNCTION("""COMPUTED_VALUE"""),"Quantity")</f>
        <v>Quantity</v>
      </c>
      <c r="AC7" s="285">
        <f>IFERROR(__xludf.DUMMYFUNCTION("""COMPUTED_VALUE"""),5.0)</f>
        <v>5</v>
      </c>
      <c r="AD7" s="323" t="str">
        <f>IFERROR(__xludf.DUMMYFUNCTION("""COMPUTED_VALUE"""),"00 | #5 | Cost 0 ⧌ | Next 4 ⧌")</f>
        <v>00 | #5 | Cost 0 ⧌ | Next 4 ⧌</v>
      </c>
      <c r="AE7" s="276" t="str">
        <f>IFERROR(__xludf.DUMMYFUNCTION("""COMPUTED_VALUE"""),"Cash")</f>
        <v>Cash</v>
      </c>
      <c r="AF7" s="299">
        <f>IFERROR(__xludf.DUMMYFUNCTION("""COMPUTED_VALUE"""),7.0)</f>
        <v>7</v>
      </c>
      <c r="AG7" s="252" t="b">
        <f>IFERROR(__xludf.DUMMYFUNCTION("""COMPUTED_VALUE"""),TRUE)</f>
        <v>1</v>
      </c>
      <c r="AH7" s="286" t="str">
        <f>IFERROR(__xludf.DUMMYFUNCTION("""COMPUTED_VALUE"""),"Plasma Cannon")</f>
        <v>Plasma Cannon</v>
      </c>
      <c r="AI7" s="245" t="str">
        <f>IFERROR(__xludf.DUMMYFUNCTION("""COMPUTED_VALUE"""),"Health")</f>
        <v>Health</v>
      </c>
      <c r="AJ7" s="287"/>
      <c r="AK7" s="278"/>
      <c r="AL7" s="246"/>
      <c r="AM7" s="245"/>
      <c r="AN7" s="245"/>
      <c r="AO7" s="274"/>
      <c r="AP7" s="259" t="str">
        <f>IFERROR(__xludf.DUMMYFUNCTION("""COMPUTED_VALUE"""),"Discount Enhancements")</f>
        <v>Discount Enhancements</v>
      </c>
      <c r="AQ7" s="298">
        <f>IFERROR(__xludf.DUMMYFUNCTION("""COMPUTED_VALUE"""),0.0)</f>
        <v>0</v>
      </c>
      <c r="AR7" s="246"/>
      <c r="AS7" s="245"/>
      <c r="AT7" s="245"/>
      <c r="AU7" s="245" t="str">
        <f>IFERROR(__xludf.DUMMYFUNCTION("""COMPUTED_VALUE"""),"Cooldown")</f>
        <v>Cooldown</v>
      </c>
      <c r="AV7" s="293">
        <f>IFERROR(__xludf.DUMMYFUNCTION("""COMPUTED_VALUE"""),120.0)</f>
        <v>120</v>
      </c>
      <c r="AW7" s="324" t="str">
        <f>IFERROR(__xludf.DUMMYFUNCTION("""COMPUTED_VALUE"""),"00 | 120s | Cost 0 ⧓ | Next 100 ⧓")</f>
        <v>00 | 120s | Cost 0 ⧓ | Next 100 ⧓</v>
      </c>
      <c r="AX7" s="246"/>
      <c r="AY7" s="245"/>
      <c r="AZ7" s="245"/>
      <c r="BA7" s="325"/>
      <c r="BB7" s="324" t="str">
        <f>IFERROR(__xludf.DUMMYFUNCTION("""COMPUTED_VALUE"""),"Farming")</f>
        <v>Farming</v>
      </c>
      <c r="BC7" s="245"/>
      <c r="BD7" s="245"/>
      <c r="BE7" s="245"/>
      <c r="BF7" s="245"/>
      <c r="BG7" s="245" t="str">
        <f>IFERROR(__xludf.DUMMYFUNCTION("""COMPUTED_VALUE"""),"Farming")</f>
        <v>Farming</v>
      </c>
      <c r="BH7" s="245"/>
      <c r="BI7" s="245"/>
      <c r="BJ7" s="245"/>
      <c r="BK7" s="245"/>
      <c r="BL7" s="245" t="str">
        <f>IFERROR(__xludf.DUMMYFUNCTION("""COMPUTED_VALUE"""),"Farming")</f>
        <v>Farming</v>
      </c>
      <c r="BM7" s="245"/>
      <c r="BN7" s="245"/>
      <c r="BO7" s="245"/>
      <c r="BP7" s="245"/>
      <c r="BQ7" s="245" t="str">
        <f>IFERROR(__xludf.DUMMYFUNCTION("""COMPUTED_VALUE"""),"Farming")</f>
        <v>Farming</v>
      </c>
      <c r="BR7" s="245"/>
      <c r="BS7" s="245"/>
      <c r="BT7" s="246"/>
      <c r="BU7" s="245" t="b">
        <f>IFERROR(__xludf.DUMMYFUNCTION("""COMPUTED_VALUE"""),TRUE)</f>
        <v>1</v>
      </c>
      <c r="BV7" s="245" t="str">
        <f>IFERROR(__xludf.DUMMYFUNCTION("""COMPUTED_VALUE"""),"Unlocked")</f>
        <v>Unlocked</v>
      </c>
      <c r="BW7" s="245" t="str">
        <f>IFERROR(__xludf.DUMMYFUNCTION("""COMPUTED_VALUE"""),"Cooldown")</f>
        <v>Cooldown</v>
      </c>
      <c r="BX7" s="293">
        <f>IFERROR(__xludf.DUMMYFUNCTION("""COMPUTED_VALUE"""),120.0)</f>
        <v>120</v>
      </c>
      <c r="BY7" s="279" t="str">
        <f>IFERROR(__xludf.DUMMYFUNCTION("""COMPUTED_VALUE"""),"00 | 120s | Cost 0 ⧈ | Next 1 ⧈")</f>
        <v>00 | 120s | Cost 0 ⧈ | Next 1 ⧈</v>
      </c>
      <c r="BZ7" s="282" t="str">
        <f>IFERROR(__xludf.DUMMYFUNCTION("""COMPUTED_VALUE"""),"Tier 5")</f>
        <v>Tier 5</v>
      </c>
      <c r="CA7" s="245">
        <f>IFERROR(__xludf.DUMMYFUNCTION("""COMPUTED_VALUE"""),7593.0)</f>
        <v>7593</v>
      </c>
      <c r="CB7" s="245"/>
      <c r="CC7" s="245"/>
      <c r="CD7" s="245" t="str">
        <f>IFERROR(__xludf.DUMMYFUNCTION("""COMPUTED_VALUE"""),"Stones")</f>
        <v>Stones</v>
      </c>
      <c r="CE7" s="307">
        <f>IFERROR(__xludf.DUMMYFUNCTION("""COMPUTED_VALUE"""),200.0)</f>
        <v>200</v>
      </c>
      <c r="CF7" s="245"/>
    </row>
    <row r="8">
      <c r="A8" s="259" t="str">
        <f>IFERROR(__xludf.DUMMYFUNCTION("""COMPUTED_VALUE"""),"Labs Speed")</f>
        <v>Labs Speed</v>
      </c>
      <c r="B8" s="260">
        <f>IFERROR(__xludf.DUMMYFUNCTION("""COMPUTED_VALUE"""),91.0)</f>
        <v>91</v>
      </c>
      <c r="C8" s="245"/>
      <c r="D8" s="261">
        <f>IFERROR(__xludf.DUMMYFUNCTION("""COMPUTED_VALUE"""),99.0)</f>
        <v>99</v>
      </c>
      <c r="E8" s="280" t="b">
        <f>IFERROR(__xludf.DUMMYFUNCTION("""COMPUTED_VALUE"""),TRUE)</f>
        <v>1</v>
      </c>
      <c r="F8" s="259" t="str">
        <f>IFERROR(__xludf.DUMMYFUNCTION("""COMPUTED_VALUE"""),"Range")</f>
        <v>Range</v>
      </c>
      <c r="G8" s="260">
        <f>IFERROR(__xludf.DUMMYFUNCTION("""COMPUTED_VALUE"""),79.0)</f>
        <v>79</v>
      </c>
      <c r="H8" s="245">
        <f>IFERROR(__xludf.DUMMYFUNCTION("""COMPUTED_VALUE"""),79.0)</f>
        <v>79</v>
      </c>
      <c r="I8" s="245">
        <f>IFERROR(__xludf.DUMMYFUNCTION("""COMPUTED_VALUE"""),79.0)</f>
        <v>79</v>
      </c>
      <c r="J8" s="245">
        <f>IFERROR(__xludf.DUMMYFUNCTION("""COMPUTED_VALUE"""),79.0)</f>
        <v>79</v>
      </c>
      <c r="K8" s="265"/>
      <c r="L8" s="245"/>
      <c r="M8" s="245"/>
      <c r="N8" s="245"/>
      <c r="O8" s="245"/>
      <c r="P8" s="245"/>
      <c r="Q8" s="294">
        <f>IFERROR(__xludf.DUMMYFUNCTION("""COMPUTED_VALUE"""),79.0)</f>
        <v>79</v>
      </c>
      <c r="R8" s="271" t="str">
        <f>IFERROR(__xludf.DUMMYFUNCTION("""COMPUTED_VALUE"""),"Super Crit Multi +")</f>
        <v>Super Crit Multi +</v>
      </c>
      <c r="S8" s="295">
        <f>IFERROR(__xludf.DUMMYFUNCTION("""COMPUTED_VALUE"""),1.57)</f>
        <v>1.57</v>
      </c>
      <c r="T8" s="260">
        <f>IFERROR(__xludf.DUMMYFUNCTION("""COMPUTED_VALUE"""),57.0)</f>
        <v>57</v>
      </c>
      <c r="U8" s="245">
        <f>IFERROR(__xludf.DUMMYFUNCTION("""COMPUTED_VALUE"""),57.0)</f>
        <v>57</v>
      </c>
      <c r="V8" s="245"/>
      <c r="W8" s="245"/>
      <c r="X8" s="245"/>
      <c r="Y8" s="296">
        <f>IFERROR(__xludf.DUMMYFUNCTION("""COMPUTED_VALUE"""),400.0)</f>
        <v>400</v>
      </c>
      <c r="Z8" s="297" t="b">
        <f>IFERROR(__xludf.DUMMYFUNCTION("""COMPUTED_VALUE"""),FALSE)</f>
        <v>0</v>
      </c>
      <c r="AA8" s="259" t="str">
        <f>IFERROR(__xludf.DUMMYFUNCTION("""COMPUTED_VALUE"""),"UW Locked")</f>
        <v>UW Locked</v>
      </c>
      <c r="AB8" s="266" t="str">
        <f>IFERROR(__xludf.DUMMYFUNCTION("""COMPUTED_VALUE"""),"Cooldown")</f>
        <v>Cooldown</v>
      </c>
      <c r="AC8" s="326">
        <f>IFERROR(__xludf.DUMMYFUNCTION("""COMPUTED_VALUE"""),180.0)</f>
        <v>180</v>
      </c>
      <c r="AD8" s="268" t="str">
        <f>IFERROR(__xludf.DUMMYFUNCTION("""COMPUTED_VALUE"""),"00 | 180s | Cost 0 ⧌ | Next 8 ⧌")</f>
        <v>00 | 180s | Cost 0 ⧌ | Next 8 ⧌</v>
      </c>
      <c r="AE8" s="266" t="str">
        <f>IFERROR(__xludf.DUMMYFUNCTION("""COMPUTED_VALUE"""),"Coins")</f>
        <v>Coins</v>
      </c>
      <c r="AF8" s="299">
        <f>IFERROR(__xludf.DUMMYFUNCTION("""COMPUTED_VALUE"""),7.0)</f>
        <v>7</v>
      </c>
      <c r="AG8" s="252" t="b">
        <f>IFERROR(__xludf.DUMMYFUNCTION("""COMPUTED_VALUE"""),FALSE)</f>
        <v>0</v>
      </c>
      <c r="AH8" s="327" t="str">
        <f>IFERROR(__xludf.DUMMYFUNCTION("""COMPUTED_VALUE"""),"Attack Speed")</f>
        <v>Attack Speed</v>
      </c>
      <c r="AI8" s="254" t="str">
        <f>IFERROR(__xludf.DUMMYFUNCTION("""COMPUTED_VALUE"""),"Health Regen")</f>
        <v>Health Regen</v>
      </c>
      <c r="AJ8" s="287"/>
      <c r="AK8" s="278"/>
      <c r="AL8" s="246"/>
      <c r="AM8" s="259" t="str">
        <f>IFERROR(__xludf.DUMMYFUNCTION("""COMPUTED_VALUE"""),"Total Bonuses")</f>
        <v>Total Bonuses</v>
      </c>
      <c r="AN8" s="266" t="str">
        <f>IFERROR(__xludf.DUMMYFUNCTION("""COMPUTED_VALUE"""),"Active")</f>
        <v>Active</v>
      </c>
      <c r="AO8" s="274"/>
      <c r="AP8" s="259" t="str">
        <f>IFERROR(__xludf.DUMMYFUNCTION("""COMPUTED_VALUE"""),"Discount Rerolls")</f>
        <v>Discount Rerolls</v>
      </c>
      <c r="AQ8" s="298">
        <f>IFERROR(__xludf.DUMMYFUNCTION("""COMPUTED_VALUE"""),0.0)</f>
        <v>0</v>
      </c>
      <c r="AR8" s="246"/>
      <c r="AS8" s="276"/>
      <c r="AT8" s="276"/>
      <c r="AU8" s="245" t="str">
        <f>IFERROR(__xludf.DUMMYFUNCTION("""COMPUTED_VALUE"""),"Linger")</f>
        <v>Linger</v>
      </c>
      <c r="AV8" s="277">
        <f>IFERROR(__xludf.DUMMYFUNCTION("""COMPUTED_VALUE"""),0.2)</f>
        <v>0.2</v>
      </c>
      <c r="AW8" s="276" t="str">
        <f>IFERROR(__xludf.DUMMYFUNCTION("""COMPUTED_VALUE"""),"00 | 20% | Cost 0 ⧓ | Next 100 ⧓")</f>
        <v>00 | 20% | Cost 0 ⧓ | Next 100 ⧓</v>
      </c>
      <c r="AX8" s="246"/>
      <c r="AY8" s="245"/>
      <c r="AZ8" s="245"/>
      <c r="BA8" s="274"/>
      <c r="BB8" s="245" t="str">
        <f>IFERROR(__xludf.DUMMYFUNCTION("""COMPUTED_VALUE"""),"Primary Slot")</f>
        <v>Primary Slot</v>
      </c>
      <c r="BC8" s="245" t="str">
        <f>IFERROR(__xludf.DUMMYFUNCTION("""COMPUTED_VALUE"""),"Amplifying Strike")</f>
        <v>Amplifying Strike</v>
      </c>
      <c r="BD8" s="245"/>
      <c r="BE8" s="245"/>
      <c r="BF8" s="245"/>
      <c r="BG8" s="245" t="str">
        <f>IFERROR(__xludf.DUMMYFUNCTION("""COMPUTED_VALUE"""),"Primary Slot")</f>
        <v>Primary Slot</v>
      </c>
      <c r="BH8" s="245" t="str">
        <f>IFERROR(__xludf.DUMMYFUNCTION("""COMPUTED_VALUE"""),"Sharp Fortitude")</f>
        <v>Sharp Fortitude</v>
      </c>
      <c r="BI8" s="245"/>
      <c r="BJ8" s="245"/>
      <c r="BK8" s="245"/>
      <c r="BL8" s="245" t="str">
        <f>IFERROR(__xludf.DUMMYFUNCTION("""COMPUTED_VALUE"""),"Primary Slot")</f>
        <v>Primary Slot</v>
      </c>
      <c r="BM8" s="245" t="str">
        <f>IFERROR(__xludf.DUMMYFUNCTION("""COMPUTED_VALUE"""),"Singularity Harness")</f>
        <v>Singularity Harness</v>
      </c>
      <c r="BN8" s="245"/>
      <c r="BO8" s="245"/>
      <c r="BP8" s="245"/>
      <c r="BQ8" s="245" t="str">
        <f>IFERROR(__xludf.DUMMYFUNCTION("""COMPUTED_VALUE"""),"Primary Slot")</f>
        <v>Primary Slot</v>
      </c>
      <c r="BR8" s="245" t="str">
        <f>IFERROR(__xludf.DUMMYFUNCTION("""COMPUTED_VALUE"""),"Primordial Collapse")</f>
        <v>Primordial Collapse</v>
      </c>
      <c r="BS8" s="245"/>
      <c r="BT8" s="246"/>
      <c r="BU8" s="245" t="str">
        <f>IFERROR(__xludf.DUMMYFUNCTION("""COMPUTED_VALUE"""),"Bounty")</f>
        <v>Bounty</v>
      </c>
      <c r="BV8" s="245"/>
      <c r="BW8" s="245" t="str">
        <f>IFERROR(__xludf.DUMMYFUNCTION("""COMPUTED_VALUE"""),"Multiplier")</f>
        <v>Multiplier</v>
      </c>
      <c r="BX8" s="328">
        <f>IFERROR(__xludf.DUMMYFUNCTION("""COMPUTED_VALUE"""),0.01)</f>
        <v>0.01</v>
      </c>
      <c r="BY8" s="329" t="str">
        <f>IFERROR(__xludf.DUMMYFUNCTION("""COMPUTED_VALUE"""),"00 | 0.01x | Cost 0 ⧈ | Next 1 ⧈")</f>
        <v>00 | 0.01x | Cost 0 ⧈ | Next 1 ⧈</v>
      </c>
      <c r="BZ8" s="282" t="str">
        <f>IFERROR(__xludf.DUMMYFUNCTION("""COMPUTED_VALUE"""),"Tier 6")</f>
        <v>Tier 6</v>
      </c>
      <c r="CA8" s="245">
        <f>IFERROR(__xludf.DUMMYFUNCTION("""COMPUTED_VALUE"""),8252.0)</f>
        <v>8252</v>
      </c>
      <c r="CB8" s="245"/>
      <c r="CC8" s="245"/>
      <c r="CD8" s="245" t="str">
        <f>IFERROR(__xludf.DUMMYFUNCTION("""COMPUTED_VALUE"""),"Gems")</f>
        <v>Gems</v>
      </c>
      <c r="CE8" s="245">
        <f>IFERROR(__xludf.DUMMYFUNCTION("""COMPUTED_VALUE"""),326.0)</f>
        <v>326</v>
      </c>
      <c r="CF8" s="245"/>
    </row>
    <row r="9">
      <c r="A9" s="259" t="str">
        <f>IFERROR(__xludf.DUMMYFUNCTION("""COMPUTED_VALUE"""),"Buy Multiplier")</f>
        <v>Buy Multiplier</v>
      </c>
      <c r="B9" s="260">
        <f>IFERROR(__xludf.DUMMYFUNCTION("""COMPUTED_VALUE"""),4.0)</f>
        <v>4</v>
      </c>
      <c r="C9" s="245"/>
      <c r="D9" s="261">
        <f>IFERROR(__xludf.DUMMYFUNCTION("""COMPUTED_VALUE"""),4.0)</f>
        <v>4</v>
      </c>
      <c r="E9" s="245"/>
      <c r="F9" s="259" t="str">
        <f>IFERROR(__xludf.DUMMYFUNCTION("""COMPUTED_VALUE"""),"Damage / Meter")</f>
        <v>Damage / Meter</v>
      </c>
      <c r="G9" s="260">
        <f>IFERROR(__xludf.DUMMYFUNCTION("""COMPUTED_VALUE"""),180.0)</f>
        <v>180</v>
      </c>
      <c r="H9" s="260">
        <f>IFERROR(__xludf.DUMMYFUNCTION("""COMPUTED_VALUE"""),200.0)</f>
        <v>200</v>
      </c>
      <c r="I9" s="245">
        <f>IFERROR(__xludf.DUMMYFUNCTION("""COMPUTED_VALUE"""),180.0)</f>
        <v>180</v>
      </c>
      <c r="J9" s="245">
        <f>IFERROR(__xludf.DUMMYFUNCTION("""COMPUTED_VALUE"""),200.0)</f>
        <v>200</v>
      </c>
      <c r="K9" s="265"/>
      <c r="L9" s="245"/>
      <c r="M9" s="245"/>
      <c r="N9" s="245"/>
      <c r="O9" s="245"/>
      <c r="P9" s="245"/>
      <c r="Q9" s="294">
        <f>IFERROR(__xludf.DUMMYFUNCTION("""COMPUTED_VALUE"""),200.0)</f>
        <v>200</v>
      </c>
      <c r="R9" s="271" t="str">
        <f>IFERROR(__xludf.DUMMYFUNCTION("""COMPUTED_VALUE"""),"Attack Speed +")</f>
        <v>Attack Speed +</v>
      </c>
      <c r="S9" s="295">
        <f>IFERROR(__xludf.DUMMYFUNCTION("""COMPUTED_VALUE"""),1.13)</f>
        <v>1.13</v>
      </c>
      <c r="T9" s="260">
        <f>IFERROR(__xludf.DUMMYFUNCTION("""COMPUTED_VALUE"""),13.0)</f>
        <v>13</v>
      </c>
      <c r="U9" s="245">
        <f>IFERROR(__xludf.DUMMYFUNCTION("""COMPUTED_VALUE"""),13.0)</f>
        <v>13</v>
      </c>
      <c r="V9" s="245"/>
      <c r="W9" s="245"/>
      <c r="X9" s="245"/>
      <c r="Y9" s="296">
        <f>IFERROR(__xludf.DUMMYFUNCTION("""COMPUTED_VALUE"""),75.0)</f>
        <v>75</v>
      </c>
      <c r="Z9" s="266" t="str">
        <f>IFERROR(__xludf.DUMMYFUNCTION("""COMPUTED_VALUE"""),"UW+")</f>
        <v>UW+</v>
      </c>
      <c r="AA9" s="245"/>
      <c r="AB9" s="266" t="str">
        <f>IFERROR(__xludf.DUMMYFUNCTION("""COMPUTED_VALUE"""),"Cover Fire")</f>
        <v>Cover Fire</v>
      </c>
      <c r="AC9" s="330" t="str">
        <f>IFERROR(__xludf.DUMMYFUNCTION("""COMPUTED_VALUE"""),"Locked")</f>
        <v>Locked</v>
      </c>
      <c r="AD9" s="268" t="str">
        <f>IFERROR(__xludf.DUMMYFUNCTION("""COMPUTED_VALUE"""),"Lo | Locked")</f>
        <v>Lo | Locked</v>
      </c>
      <c r="AE9" s="269" t="str">
        <f>IFERROR(__xludf.DUMMYFUNCTION("""COMPUTED_VALUE"""),"Slow Aura")</f>
        <v>Slow Aura</v>
      </c>
      <c r="AF9" s="299">
        <f>IFERROR(__xludf.DUMMYFUNCTION("""COMPUTED_VALUE"""),7.0)</f>
        <v>7</v>
      </c>
      <c r="AG9" s="252" t="b">
        <f>IFERROR(__xludf.DUMMYFUNCTION("""COMPUTED_VALUE"""),FALSE)</f>
        <v>0</v>
      </c>
      <c r="AH9" s="327" t="str">
        <f>IFERROR(__xludf.DUMMYFUNCTION("""COMPUTED_VALUE"""),"Wave Skip")</f>
        <v>Wave Skip</v>
      </c>
      <c r="AI9" s="254" t="str">
        <f>IFERROR(__xludf.DUMMYFUNCTION("""COMPUTED_VALUE"""),"Plasma Cannon")</f>
        <v>Plasma Cannon</v>
      </c>
      <c r="AJ9" s="287"/>
      <c r="AK9" s="278"/>
      <c r="AL9" s="246"/>
      <c r="AM9" s="259" t="str">
        <f>IFERROR(__xludf.DUMMYFUNCTION("""COMPUTED_VALUE"""),"Misc.")</f>
        <v>Misc.</v>
      </c>
      <c r="AN9" s="245"/>
      <c r="AO9" s="274"/>
      <c r="AP9" s="259" t="str">
        <f>IFERROR(__xludf.DUMMYFUNCTION("""COMPUTED_VALUE"""),"Additional Card Slot")</f>
        <v>Additional Card Slot</v>
      </c>
      <c r="AQ9" s="331">
        <f>IFERROR(__xludf.DUMMYFUNCTION("""COMPUTED_VALUE"""),0.0)</f>
        <v>0</v>
      </c>
      <c r="AR9" s="246"/>
      <c r="AS9" s="311" t="b">
        <f>IFERROR(__xludf.DUMMYFUNCTION("""COMPUTED_VALUE"""),FALSE)</f>
        <v>0</v>
      </c>
      <c r="AT9" s="245" t="str">
        <f>IFERROR(__xludf.DUMMYFUNCTION("""COMPUTED_VALUE"""),"Locked")</f>
        <v>Locked</v>
      </c>
      <c r="AU9" s="245" t="str">
        <f>IFERROR(__xludf.DUMMYFUNCTION("""COMPUTED_VALUE"""),"Range")</f>
        <v>Range</v>
      </c>
      <c r="AV9" s="332">
        <f>IFERROR(__xludf.DUMMYFUNCTION("""COMPUTED_VALUE"""),25.0)</f>
        <v>25</v>
      </c>
      <c r="AW9" s="313" t="str">
        <f>IFERROR(__xludf.DUMMYFUNCTION("""COMPUTED_VALUE"""),"00 | 25m | Cost 0 ⧓ | Next 100 ⧓")</f>
        <v>00 | 25m | Cost 0 ⧓ | Next 100 ⧓</v>
      </c>
      <c r="AX9" s="246"/>
      <c r="AY9" s="245"/>
      <c r="AZ9" s="245"/>
      <c r="BA9" s="333"/>
      <c r="BB9" s="313" t="str">
        <f>IFERROR(__xludf.DUMMYFUNCTION("""COMPUTED_VALUE"""),"Assist Slot")</f>
        <v>Assist Slot</v>
      </c>
      <c r="BC9" s="245"/>
      <c r="BD9" s="245"/>
      <c r="BE9" s="245"/>
      <c r="BF9" s="245"/>
      <c r="BG9" s="245" t="str">
        <f>IFERROR(__xludf.DUMMYFUNCTION("""COMPUTED_VALUE"""),"Assist Slot")</f>
        <v>Assist Slot</v>
      </c>
      <c r="BH9" s="245" t="str">
        <f>IFERROR(__xludf.DUMMYFUNCTION("""COMPUTED_VALUE"""),"Orbital Augment")</f>
        <v>Orbital Augment</v>
      </c>
      <c r="BI9" s="245"/>
      <c r="BJ9" s="245"/>
      <c r="BK9" s="245"/>
      <c r="BL9" s="245" t="str">
        <f>IFERROR(__xludf.DUMMYFUNCTION("""COMPUTED_VALUE"""),"Assist Slot")</f>
        <v>Assist Slot</v>
      </c>
      <c r="BM9" s="245" t="str">
        <f>IFERROR(__xludf.DUMMYFUNCTION("""COMPUTED_VALUE"""),"Pulsar Harvester")</f>
        <v>Pulsar Harvester</v>
      </c>
      <c r="BN9" s="245"/>
      <c r="BO9" s="245"/>
      <c r="BP9" s="245"/>
      <c r="BQ9" s="245" t="str">
        <f>IFERROR(__xludf.DUMMYFUNCTION("""COMPUTED_VALUE"""),"Assist Slot")</f>
        <v>Assist Slot</v>
      </c>
      <c r="BR9" s="245" t="str">
        <f>IFERROR(__xludf.DUMMYFUNCTION("""COMPUTED_VALUE"""),"Dimension Core")</f>
        <v>Dimension Core</v>
      </c>
      <c r="BS9" s="245"/>
      <c r="BT9" s="246"/>
      <c r="BU9" s="245"/>
      <c r="BV9" s="245"/>
      <c r="BW9" s="245" t="str">
        <f>IFERROR(__xludf.DUMMYFUNCTION("""COMPUTED_VALUE"""),"Cooldown")</f>
        <v>Cooldown</v>
      </c>
      <c r="BX9" s="293">
        <f>IFERROR(__xludf.DUMMYFUNCTION("""COMPUTED_VALUE"""),120.0)</f>
        <v>120</v>
      </c>
      <c r="BY9" s="329" t="str">
        <f>IFERROR(__xludf.DUMMYFUNCTION("""COMPUTED_VALUE"""),"00 | 120s | Cost 0 ⧈ | Next 2 ⧈")</f>
        <v>00 | 120s | Cost 0 ⧈ | Next 2 ⧈</v>
      </c>
      <c r="BZ9" s="282" t="str">
        <f>IFERROR(__xludf.DUMMYFUNCTION("""COMPUTED_VALUE"""),"Tier 7")</f>
        <v>Tier 7</v>
      </c>
      <c r="CA9" s="245">
        <f>IFERROR(__xludf.DUMMYFUNCTION("""COMPUTED_VALUE"""),7854.0)</f>
        <v>7854</v>
      </c>
      <c r="CB9" s="245" t="b">
        <f>IFERROR(__xludf.DUMMYFUNCTION("""COMPUTED_VALUE"""),TRUE)</f>
        <v>1</v>
      </c>
      <c r="CC9" s="245"/>
      <c r="CD9" s="245"/>
      <c r="CE9" s="245"/>
      <c r="CF9" s="245"/>
    </row>
    <row r="10">
      <c r="A10" s="259" t="str">
        <f>IFERROR(__xludf.DUMMYFUNCTION("""COMPUTED_VALUE"""),"More Round Stats")</f>
        <v>More Round Stats</v>
      </c>
      <c r="B10" s="260">
        <f>IFERROR(__xludf.DUMMYFUNCTION("""COMPUTED_VALUE"""),1.0)</f>
        <v>1</v>
      </c>
      <c r="C10" s="245"/>
      <c r="D10" s="261">
        <f>IFERROR(__xludf.DUMMYFUNCTION("""COMPUTED_VALUE"""),1.0)</f>
        <v>1</v>
      </c>
      <c r="E10" s="280" t="b">
        <f>IFERROR(__xludf.DUMMYFUNCTION("""COMPUTED_VALUE"""),TRUE)</f>
        <v>1</v>
      </c>
      <c r="F10" s="259" t="str">
        <f>IFERROR(__xludf.DUMMYFUNCTION("""COMPUTED_VALUE"""),"Multishot Chance")</f>
        <v>Multishot Chance</v>
      </c>
      <c r="G10" s="260">
        <f>IFERROR(__xludf.DUMMYFUNCTION("""COMPUTED_VALUE"""),99.0)</f>
        <v>99</v>
      </c>
      <c r="H10" s="245">
        <f>IFERROR(__xludf.DUMMYFUNCTION("""COMPUTED_VALUE"""),99.0)</f>
        <v>99</v>
      </c>
      <c r="I10" s="245">
        <f>IFERROR(__xludf.DUMMYFUNCTION("""COMPUTED_VALUE"""),99.0)</f>
        <v>99</v>
      </c>
      <c r="J10" s="245">
        <f>IFERROR(__xludf.DUMMYFUNCTION("""COMPUTED_VALUE"""),99.0)</f>
        <v>99</v>
      </c>
      <c r="K10" s="265"/>
      <c r="L10" s="245"/>
      <c r="M10" s="245"/>
      <c r="N10" s="245"/>
      <c r="O10" s="245"/>
      <c r="P10" s="245"/>
      <c r="Q10" s="294">
        <f>IFERROR(__xludf.DUMMYFUNCTION("""COMPUTED_VALUE"""),99.0)</f>
        <v>99</v>
      </c>
      <c r="R10" s="271" t="str">
        <f>IFERROR(__xludf.DUMMYFUNCTION("""COMPUTED_VALUE"""),"Health +")</f>
        <v>Health +</v>
      </c>
      <c r="S10" s="295">
        <f>IFERROR(__xludf.DUMMYFUNCTION("""COMPUTED_VALUE"""),1.62)</f>
        <v>1.62</v>
      </c>
      <c r="T10" s="260">
        <f>IFERROR(__xludf.DUMMYFUNCTION("""COMPUTED_VALUE"""),62.0)</f>
        <v>62</v>
      </c>
      <c r="U10" s="245">
        <f>IFERROR(__xludf.DUMMYFUNCTION("""COMPUTED_VALUE"""),62.0)</f>
        <v>62</v>
      </c>
      <c r="V10" s="245"/>
      <c r="W10" s="245"/>
      <c r="X10" s="245"/>
      <c r="Y10" s="296">
        <f>IFERROR(__xludf.DUMMYFUNCTION("""COMPUTED_VALUE"""),400.0)</f>
        <v>400</v>
      </c>
      <c r="Z10" s="266" t="str">
        <f>IFERROR(__xludf.DUMMYFUNCTION("""COMPUTED_VALUE"""),"Death Wave")</f>
        <v>Death Wave</v>
      </c>
      <c r="AA10" s="245"/>
      <c r="AB10" s="266" t="str">
        <f>IFERROR(__xludf.DUMMYFUNCTION("""COMPUTED_VALUE"""),"Damage")</f>
        <v>Damage</v>
      </c>
      <c r="AC10" s="267">
        <f>IFERROR(__xludf.DUMMYFUNCTION("""COMPUTED_VALUE"""),63.0)</f>
        <v>63</v>
      </c>
      <c r="AD10" s="273" t="str">
        <f>IFERROR(__xludf.DUMMYFUNCTION("""COMPUTED_VALUE"""),"08 | x63 | Cost 47 ⧌ | Next 53 ⧌")</f>
        <v>08 | x63 | Cost 47 ⧌ | Next 53 ⧌</v>
      </c>
      <c r="AE10" s="266" t="str">
        <f>IFERROR(__xludf.DUMMYFUNCTION("""COMPUTED_VALUE"""),"Critical Chance")</f>
        <v>Critical Chance</v>
      </c>
      <c r="AF10" s="299">
        <f>IFERROR(__xludf.DUMMYFUNCTION("""COMPUTED_VALUE"""),7.0)</f>
        <v>7</v>
      </c>
      <c r="AG10" s="252" t="b">
        <f>IFERROR(__xludf.DUMMYFUNCTION("""COMPUTED_VALUE"""),FALSE)</f>
        <v>0</v>
      </c>
      <c r="AH10" s="250" t="str">
        <f>IFERROR(__xludf.DUMMYFUNCTION("""COMPUTED_VALUE"""),"Health Regen")</f>
        <v>Health Regen</v>
      </c>
      <c r="AI10" s="245" t="str">
        <f>IFERROR(__xludf.DUMMYFUNCTION("""COMPUTED_VALUE"""),"Wave Skip")</f>
        <v>Wave Skip</v>
      </c>
      <c r="AJ10" s="287"/>
      <c r="AK10" s="278"/>
      <c r="AL10" s="246"/>
      <c r="AM10" s="266" t="str">
        <f>IFERROR(__xludf.DUMMYFUNCTION("""COMPUTED_VALUE"""),"Lab Speed")</f>
        <v>Lab Speed</v>
      </c>
      <c r="AN10" s="298">
        <f>IFERROR(__xludf.DUMMYFUNCTION("""COMPUTED_VALUE"""),0.395)</f>
        <v>0.395</v>
      </c>
      <c r="AO10" s="274"/>
      <c r="AP10" s="266" t="str">
        <f>IFERROR(__xludf.DUMMYFUNCTION("""COMPUTED_VALUE"""),"Workshop Respec Discount")</f>
        <v>Workshop Respec Discount</v>
      </c>
      <c r="AQ10" s="298">
        <f>IFERROR(__xludf.DUMMYFUNCTION("""COMPUTED_VALUE"""),0.0)</f>
        <v>0</v>
      </c>
      <c r="AR10" s="246"/>
      <c r="AS10" s="254" t="str">
        <f>IFERROR(__xludf.DUMMYFUNCTION("""COMPUTED_VALUE"""),"Golden Bot")</f>
        <v>Golden Bot</v>
      </c>
      <c r="AT10" s="276"/>
      <c r="AU10" s="276" t="str">
        <f>IFERROR(__xludf.DUMMYFUNCTION("""COMPUTED_VALUE"""),"Duration")</f>
        <v>Duration</v>
      </c>
      <c r="AV10" s="334">
        <f>IFERROR(__xludf.DUMMYFUNCTION("""COMPUTED_VALUE"""),26.0)</f>
        <v>26</v>
      </c>
      <c r="AW10" s="254" t="str">
        <f>IFERROR(__xludf.DUMMYFUNCTION("""COMPUTED_VALUE"""),"12 | 26.0s | Cost 540 ⧓ | Next 580 ⧓")</f>
        <v>12 | 26.0s | Cost 540 ⧓ | Next 580 ⧓</v>
      </c>
      <c r="AX10" s="246"/>
      <c r="AY10" s="245"/>
      <c r="AZ10" s="245"/>
      <c r="BA10" s="335"/>
      <c r="BB10" s="254"/>
      <c r="BC10" s="245"/>
      <c r="BD10" s="245"/>
      <c r="BE10" s="245"/>
      <c r="BF10" s="245"/>
      <c r="BG10" s="245"/>
      <c r="BH10" s="245"/>
      <c r="BI10" s="245"/>
      <c r="BJ10" s="245"/>
      <c r="BK10" s="245"/>
      <c r="BL10" s="245"/>
      <c r="BM10" s="245"/>
      <c r="BN10" s="245"/>
      <c r="BO10" s="245"/>
      <c r="BP10" s="245"/>
      <c r="BQ10" s="245"/>
      <c r="BR10" s="245"/>
      <c r="BS10" s="245"/>
      <c r="BT10" s="246"/>
      <c r="BU10" s="280" t="b">
        <f>IFERROR(__xludf.DUMMYFUNCTION("""COMPUTED_VALUE"""),FALSE)</f>
        <v>0</v>
      </c>
      <c r="BV10" s="305" t="str">
        <f>IFERROR(__xludf.DUMMYFUNCTION("""COMPUTED_VALUE"""),"Locked")</f>
        <v>Locked</v>
      </c>
      <c r="BW10" s="245" t="str">
        <f>IFERROR(__xludf.DUMMYFUNCTION("""COMPUTED_VALUE"""),"Targets")</f>
        <v>Targets</v>
      </c>
      <c r="BX10" s="329">
        <f>IFERROR(__xludf.DUMMYFUNCTION("""COMPUTED_VALUE"""),1.0)</f>
        <v>1</v>
      </c>
      <c r="BY10" s="329" t="str">
        <f>IFERROR(__xludf.DUMMYFUNCTION("""COMPUTED_VALUE"""),"00 | 1 | Cost 0 ⧈ | Next 100 ⧈")</f>
        <v>00 | 1 | Cost 0 ⧈ | Next 100 ⧈</v>
      </c>
      <c r="BZ10" s="282" t="str">
        <f>IFERROR(__xludf.DUMMYFUNCTION("""COMPUTED_VALUE"""),"Tier 8")</f>
        <v>Tier 8</v>
      </c>
      <c r="CA10" s="245">
        <f>IFERROR(__xludf.DUMMYFUNCTION("""COMPUTED_VALUE"""),8119.0)</f>
        <v>8119</v>
      </c>
      <c r="CB10" s="245"/>
      <c r="CC10" s="245"/>
      <c r="CD10" s="245" t="str">
        <f>IFERROR(__xludf.DUMMYFUNCTION("""COMPUTED_VALUE"""),"Premium Packs")</f>
        <v>Premium Packs</v>
      </c>
      <c r="CE10" s="245" t="str">
        <f>IFERROR(__xludf.DUMMYFUNCTION("""COMPUTED_VALUE"""),"Unlocked")</f>
        <v>Unlocked</v>
      </c>
      <c r="CF10" s="245"/>
    </row>
    <row r="11">
      <c r="A11" s="259" t="str">
        <f>IFERROR(__xludf.DUMMYFUNCTION("""COMPUTED_VALUE"""),"Target Priority")</f>
        <v>Target Priority</v>
      </c>
      <c r="B11" s="260">
        <f>IFERROR(__xludf.DUMMYFUNCTION("""COMPUTED_VALUE"""),2.0)</f>
        <v>2</v>
      </c>
      <c r="C11" s="245"/>
      <c r="D11" s="261">
        <f>IFERROR(__xludf.DUMMYFUNCTION("""COMPUTED_VALUE"""),2.0)</f>
        <v>2</v>
      </c>
      <c r="E11" s="245"/>
      <c r="F11" s="259" t="str">
        <f>IFERROR(__xludf.DUMMYFUNCTION("""COMPUTED_VALUE"""),"Multishot Targets")</f>
        <v>Multishot Targets</v>
      </c>
      <c r="G11" s="260">
        <f>IFERROR(__xludf.DUMMYFUNCTION("""COMPUTED_VALUE"""),7.0)</f>
        <v>7</v>
      </c>
      <c r="H11" s="245">
        <f>IFERROR(__xludf.DUMMYFUNCTION("""COMPUTED_VALUE"""),7.0)</f>
        <v>7</v>
      </c>
      <c r="I11" s="245">
        <f>IFERROR(__xludf.DUMMYFUNCTION("""COMPUTED_VALUE"""),7.0)</f>
        <v>7</v>
      </c>
      <c r="J11" s="245">
        <f>IFERROR(__xludf.DUMMYFUNCTION("""COMPUTED_VALUE"""),7.0)</f>
        <v>7</v>
      </c>
      <c r="K11" s="265"/>
      <c r="L11" s="245"/>
      <c r="M11" s="245"/>
      <c r="N11" s="245"/>
      <c r="O11" s="245"/>
      <c r="P11" s="245"/>
      <c r="Q11" s="294">
        <f>IFERROR(__xludf.DUMMYFUNCTION("""COMPUTED_VALUE"""),7.0)</f>
        <v>7</v>
      </c>
      <c r="R11" s="271" t="str">
        <f>IFERROR(__xludf.DUMMYFUNCTION("""COMPUTED_VALUE"""),"Health Regen +")</f>
        <v>Health Regen +</v>
      </c>
      <c r="S11" s="295">
        <f>IFERROR(__xludf.DUMMYFUNCTION("""COMPUTED_VALUE"""),1.6)</f>
        <v>1.6</v>
      </c>
      <c r="T11" s="260">
        <f>IFERROR(__xludf.DUMMYFUNCTION("""COMPUTED_VALUE"""),60.0)</f>
        <v>60</v>
      </c>
      <c r="U11" s="245">
        <f>IFERROR(__xludf.DUMMYFUNCTION("""COMPUTED_VALUE"""),60.0)</f>
        <v>60</v>
      </c>
      <c r="V11" s="245"/>
      <c r="W11" s="245"/>
      <c r="X11" s="245"/>
      <c r="Y11" s="296">
        <f>IFERROR(__xludf.DUMMYFUNCTION("""COMPUTED_VALUE"""),400.0)</f>
        <v>400</v>
      </c>
      <c r="Z11" s="276"/>
      <c r="AA11" s="245"/>
      <c r="AB11" s="266" t="str">
        <f>IFERROR(__xludf.DUMMYFUNCTION("""COMPUTED_VALUE"""),"Quantity")</f>
        <v>Quantity</v>
      </c>
      <c r="AC11" s="336">
        <f>IFERROR(__xludf.DUMMYFUNCTION("""COMPUTED_VALUE"""),3.0)</f>
        <v>3</v>
      </c>
      <c r="AD11" s="323" t="str">
        <f>IFERROR(__xludf.DUMMYFUNCTION("""COMPUTED_VALUE"""),"02 | #3 | Cost 500 ⧌ | Next 850 ⧌")</f>
        <v>02 | #3 | Cost 500 ⧌ | Next 850 ⧌</v>
      </c>
      <c r="AE11" s="269" t="str">
        <f>IFERROR(__xludf.DUMMYFUNCTION("""COMPUTED_VALUE"""),"Enemy Balance")</f>
        <v>Enemy Balance</v>
      </c>
      <c r="AF11" s="299">
        <f>IFERROR(__xludf.DUMMYFUNCTION("""COMPUTED_VALUE"""),7.0)</f>
        <v>7</v>
      </c>
      <c r="AG11" s="252" t="b">
        <f>IFERROR(__xludf.DUMMYFUNCTION("""COMPUTED_VALUE"""),FALSE)</f>
        <v>0</v>
      </c>
      <c r="AH11" s="337" t="str">
        <f>IFERROR(__xludf.DUMMYFUNCTION("""COMPUTED_VALUE"""),"Wave Accelerator")</f>
        <v>Wave Accelerator</v>
      </c>
      <c r="AI11" s="245" t="str">
        <f>IFERROR(__xludf.DUMMYFUNCTION("""COMPUTED_VALUE"""),"Energy Shield")</f>
        <v>Energy Shield</v>
      </c>
      <c r="AJ11" s="287"/>
      <c r="AK11" s="278"/>
      <c r="AL11" s="246"/>
      <c r="AM11" s="259" t="str">
        <f>IFERROR(__xludf.DUMMYFUNCTION("""COMPUTED_VALUE"""),"Bot Range")</f>
        <v>Bot Range</v>
      </c>
      <c r="AN11" s="338">
        <f>IFERROR(__xludf.DUMMYFUNCTION("""COMPUTED_VALUE"""),9.0)</f>
        <v>9</v>
      </c>
      <c r="AO11" s="274"/>
      <c r="AP11" s="266" t="str">
        <f>IFERROR(__xludf.DUMMYFUNCTION("""COMPUTED_VALUE"""),"Bot Respec Discount")</f>
        <v>Bot Respec Discount</v>
      </c>
      <c r="AQ11" s="318">
        <f>IFERROR(__xludf.DUMMYFUNCTION("""COMPUTED_VALUE"""),0.0)</f>
        <v>0</v>
      </c>
      <c r="AR11" s="246"/>
      <c r="AS11" s="339"/>
      <c r="AT11" s="313"/>
      <c r="AU11" s="245" t="str">
        <f>IFERROR(__xludf.DUMMYFUNCTION("""COMPUTED_VALUE"""),"Cooldown")</f>
        <v>Cooldown</v>
      </c>
      <c r="AV11" s="340">
        <f>IFERROR(__xludf.DUMMYFUNCTION("""COMPUTED_VALUE"""),111.0)</f>
        <v>111</v>
      </c>
      <c r="AW11" s="254" t="str">
        <f>IFERROR(__xludf.DUMMYFUNCTION("""COMPUTED_VALUE"""),"03 | 111s | Cost 180 ⧓ | Next 220 ⧓")</f>
        <v>03 | 111s | Cost 180 ⧓ | Next 220 ⧓</v>
      </c>
      <c r="AX11" s="246"/>
      <c r="AY11" s="245"/>
      <c r="AZ11" s="245"/>
      <c r="BA11" s="341"/>
      <c r="BB11" s="254" t="str">
        <f>IFERROR(__xludf.DUMMYFUNCTION("""COMPUTED_VALUE"""),"Tourney")</f>
        <v>Tourney</v>
      </c>
      <c r="BC11" s="245"/>
      <c r="BD11" s="245"/>
      <c r="BE11" s="245"/>
      <c r="BF11" s="245"/>
      <c r="BG11" s="245" t="str">
        <f>IFERROR(__xludf.DUMMYFUNCTION("""COMPUTED_VALUE"""),"Tourney")</f>
        <v>Tourney</v>
      </c>
      <c r="BH11" s="245"/>
      <c r="BI11" s="245"/>
      <c r="BJ11" s="245"/>
      <c r="BK11" s="245"/>
      <c r="BL11" s="245" t="str">
        <f>IFERROR(__xludf.DUMMYFUNCTION("""COMPUTED_VALUE"""),"Tourney")</f>
        <v>Tourney</v>
      </c>
      <c r="BM11" s="245"/>
      <c r="BN11" s="245"/>
      <c r="BO11" s="245"/>
      <c r="BP11" s="245"/>
      <c r="BQ11" s="245" t="str">
        <f>IFERROR(__xludf.DUMMYFUNCTION("""COMPUTED_VALUE"""),"Tourney")</f>
        <v>Tourney</v>
      </c>
      <c r="BR11" s="245"/>
      <c r="BS11" s="245"/>
      <c r="BT11" s="246"/>
      <c r="BU11" s="245" t="str">
        <f>IFERROR(__xludf.DUMMYFUNCTION("""COMPUTED_VALUE"""),"Fetch")</f>
        <v>Fetch</v>
      </c>
      <c r="BV11" s="245"/>
      <c r="BW11" s="245" t="str">
        <f>IFERROR(__xludf.DUMMYFUNCTION("""COMPUTED_VALUE"""),"Cooldown")</f>
        <v>Cooldown</v>
      </c>
      <c r="BX11" s="293">
        <f>IFERROR(__xludf.DUMMYFUNCTION("""COMPUTED_VALUE"""),88.0)</f>
        <v>88</v>
      </c>
      <c r="BY11" s="329" t="str">
        <f>IFERROR(__xludf.DUMMYFUNCTION("""COMPUTED_VALUE"""),"32 | 88.0s | Cost 64 ⧈ | Next 66 ⧈")</f>
        <v>32 | 88.0s | Cost 64 ⧈ | Next 66 ⧈</v>
      </c>
      <c r="BZ11" s="282" t="str">
        <f>IFERROR(__xludf.DUMMYFUNCTION("""COMPUTED_VALUE"""),"Tier 9")</f>
        <v>Tier 9</v>
      </c>
      <c r="CA11" s="245">
        <f>IFERROR(__xludf.DUMMYFUNCTION("""COMPUTED_VALUE"""),6985.0)</f>
        <v>6985</v>
      </c>
      <c r="CB11" s="245"/>
      <c r="CC11" s="245"/>
      <c r="CD11" s="245" t="str">
        <f>IFERROR(__xludf.DUMMYFUNCTION("""COMPUTED_VALUE"""),"Disable Ads")</f>
        <v>Disable Ads</v>
      </c>
      <c r="CE11" s="245" t="b">
        <f>IFERROR(__xludf.DUMMYFUNCTION("""COMPUTED_VALUE"""),TRUE)</f>
        <v>1</v>
      </c>
      <c r="CF11" s="245"/>
    </row>
    <row r="12">
      <c r="A12" s="259" t="str">
        <f>IFERROR(__xludf.DUMMYFUNCTION("""COMPUTED_VALUE"""),"Card Presets")</f>
        <v>Card Presets</v>
      </c>
      <c r="B12" s="260">
        <f>IFERROR(__xludf.DUMMYFUNCTION("""COMPUTED_VALUE"""),1.0)</f>
        <v>1</v>
      </c>
      <c r="C12" s="245"/>
      <c r="D12" s="261">
        <f>IFERROR(__xludf.DUMMYFUNCTION("""COMPUTED_VALUE"""),1.0)</f>
        <v>1</v>
      </c>
      <c r="E12" s="280" t="b">
        <f>IFERROR(__xludf.DUMMYFUNCTION("""COMPUTED_VALUE"""),TRUE)</f>
        <v>1</v>
      </c>
      <c r="F12" s="259" t="str">
        <f>IFERROR(__xludf.DUMMYFUNCTION("""COMPUTED_VALUE"""),"Rapid Fire Chance")</f>
        <v>Rapid Fire Chance</v>
      </c>
      <c r="G12" s="260">
        <f>IFERROR(__xludf.DUMMYFUNCTION("""COMPUTED_VALUE"""),85.0)</f>
        <v>85</v>
      </c>
      <c r="H12" s="245">
        <f>IFERROR(__xludf.DUMMYFUNCTION("""COMPUTED_VALUE"""),85.0)</f>
        <v>85</v>
      </c>
      <c r="I12" s="245">
        <f>IFERROR(__xludf.DUMMYFUNCTION("""COMPUTED_VALUE"""),85.0)</f>
        <v>85</v>
      </c>
      <c r="J12" s="245">
        <f>IFERROR(__xludf.DUMMYFUNCTION("""COMPUTED_VALUE"""),85.0)</f>
        <v>85</v>
      </c>
      <c r="K12" s="265"/>
      <c r="L12" s="245"/>
      <c r="M12" s="245"/>
      <c r="N12" s="245"/>
      <c r="O12" s="245"/>
      <c r="P12" s="245"/>
      <c r="Q12" s="294">
        <f>IFERROR(__xludf.DUMMYFUNCTION("""COMPUTED_VALUE"""),85.0)</f>
        <v>85</v>
      </c>
      <c r="R12" s="271" t="str">
        <f>IFERROR(__xludf.DUMMYFUNCTION("""COMPUTED_VALUE"""),"Defense Absolute +")</f>
        <v>Defense Absolute +</v>
      </c>
      <c r="S12" s="295">
        <f>IFERROR(__xludf.DUMMYFUNCTION("""COMPUTED_VALUE"""),1.0)</f>
        <v>1</v>
      </c>
      <c r="T12" s="260">
        <f>IFERROR(__xludf.DUMMYFUNCTION("""COMPUTED_VALUE"""),0.0)</f>
        <v>0</v>
      </c>
      <c r="U12" s="245">
        <f>IFERROR(__xludf.DUMMYFUNCTION("""COMPUTED_VALUE"""),0.0)</f>
        <v>0</v>
      </c>
      <c r="V12" s="245"/>
      <c r="W12" s="245"/>
      <c r="X12" s="245"/>
      <c r="Y12" s="296">
        <f>IFERROR(__xludf.DUMMYFUNCTION("""COMPUTED_VALUE"""),400.0)</f>
        <v>400</v>
      </c>
      <c r="Z12" s="342" t="b">
        <f>IFERROR(__xludf.DUMMYFUNCTION("""COMPUTED_VALUE"""),TRUE)</f>
        <v>1</v>
      </c>
      <c r="AA12" s="310" t="str">
        <f>IFERROR(__xludf.DUMMYFUNCTION("""COMPUTED_VALUE"""),"UW Unlocked")</f>
        <v>UW Unlocked</v>
      </c>
      <c r="AB12" s="266" t="str">
        <f>IFERROR(__xludf.DUMMYFUNCTION("""COMPUTED_VALUE"""),"Cooldown")</f>
        <v>Cooldown</v>
      </c>
      <c r="AC12" s="343">
        <f>IFERROR(__xludf.DUMMYFUNCTION("""COMPUTED_VALUE"""),180.0)</f>
        <v>180</v>
      </c>
      <c r="AD12" s="323" t="str">
        <f>IFERROR(__xludf.DUMMYFUNCTION("""COMPUTED_VALUE"""),"12 | 180s | Cost 184 ⧌ | Next 200 ⧌")</f>
        <v>12 | 180s | Cost 184 ⧌ | Next 200 ⧌</v>
      </c>
      <c r="AE12" s="269" t="str">
        <f>IFERROR(__xludf.DUMMYFUNCTION("""COMPUTED_VALUE"""),"Extra Defense")</f>
        <v>Extra Defense</v>
      </c>
      <c r="AF12" s="299">
        <f>IFERROR(__xludf.DUMMYFUNCTION("""COMPUTED_VALUE"""),7.0)</f>
        <v>7</v>
      </c>
      <c r="AG12" s="252" t="b">
        <f>IFERROR(__xludf.DUMMYFUNCTION("""COMPUTED_VALUE"""),FALSE)</f>
        <v>0</v>
      </c>
      <c r="AH12" s="291" t="str">
        <f>IFERROR(__xludf.DUMMYFUNCTION("""COMPUTED_VALUE"""),"Critical Coin")</f>
        <v>Critical Coin</v>
      </c>
      <c r="AI12" s="245" t="str">
        <f>IFERROR(__xludf.DUMMYFUNCTION("""COMPUTED_VALUE"""),"Ultimate Crit")</f>
        <v>Ultimate Crit</v>
      </c>
      <c r="AJ12" s="287"/>
      <c r="AK12" s="278"/>
      <c r="AL12" s="246"/>
      <c r="AM12" s="259" t="str">
        <f>IFERROR(__xludf.DUMMYFUNCTION("""COMPUTED_VALUE"""),"Damage‎ ")</f>
        <v>Damage‎ </v>
      </c>
      <c r="AN12" s="245"/>
      <c r="AO12" s="274"/>
      <c r="AP12" s="259" t="str">
        <f>IFERROR(__xludf.DUMMYFUNCTION("""COMPUTED_VALUE"""),"Ad Gems Stack")</f>
        <v>Ad Gems Stack</v>
      </c>
      <c r="AQ12" s="245">
        <f>IFERROR(__xludf.DUMMYFUNCTION("""COMPUTED_VALUE"""),1.0)</f>
        <v>1</v>
      </c>
      <c r="AR12" s="246"/>
      <c r="AS12" s="245"/>
      <c r="AT12" s="245"/>
      <c r="AU12" s="245" t="str">
        <f>IFERROR(__xludf.DUMMYFUNCTION("""COMPUTED_VALUE"""),"Bonus")</f>
        <v>Bonus</v>
      </c>
      <c r="AV12" s="344">
        <f>IFERROR(__xludf.DUMMYFUNCTION("""COMPUTED_VALUE"""),6.200000000000004)</f>
        <v>6.2</v>
      </c>
      <c r="AW12" s="254" t="str">
        <f>IFERROR(__xludf.DUMMYFUNCTION("""COMPUTED_VALUE"""),"21 | x6.2 | Cost 900 ⧓ | Next 940 ⧓")</f>
        <v>21 | x6.2 | Cost 900 ⧓ | Next 940 ⧓</v>
      </c>
      <c r="AX12" s="246"/>
      <c r="AY12" s="245"/>
      <c r="AZ12" s="245"/>
      <c r="BA12" s="345"/>
      <c r="BB12" s="254" t="str">
        <f>IFERROR(__xludf.DUMMYFUNCTION("""COMPUTED_VALUE"""),"Primary Slot")</f>
        <v>Primary Slot</v>
      </c>
      <c r="BC12" s="245" t="str">
        <f>IFERROR(__xludf.DUMMYFUNCTION("""COMPUTED_VALUE"""),"Amplifying Strike")</f>
        <v>Amplifying Strike</v>
      </c>
      <c r="BD12" s="245"/>
      <c r="BE12" s="245"/>
      <c r="BF12" s="245"/>
      <c r="BG12" s="245" t="str">
        <f>IFERROR(__xludf.DUMMYFUNCTION("""COMPUTED_VALUE"""),"Primary Slot")</f>
        <v>Primary Slot</v>
      </c>
      <c r="BH12" s="245" t="str">
        <f>IFERROR(__xludf.DUMMYFUNCTION("""COMPUTED_VALUE"""),"Sharp Fortitude")</f>
        <v>Sharp Fortitude</v>
      </c>
      <c r="BI12" s="245"/>
      <c r="BJ12" s="245"/>
      <c r="BK12" s="245"/>
      <c r="BL12" s="245" t="str">
        <f>IFERROR(__xludf.DUMMYFUNCTION("""COMPUTED_VALUE"""),"Primary Slot")</f>
        <v>Primary Slot</v>
      </c>
      <c r="BM12" s="245" t="str">
        <f>IFERROR(__xludf.DUMMYFUNCTION("""COMPUTED_VALUE"""),"Project Funding")</f>
        <v>Project Funding</v>
      </c>
      <c r="BN12" s="245"/>
      <c r="BO12" s="245"/>
      <c r="BP12" s="245"/>
      <c r="BQ12" s="245" t="str">
        <f>IFERROR(__xludf.DUMMYFUNCTION("""COMPUTED_VALUE"""),"Primary Slot")</f>
        <v>Primary Slot</v>
      </c>
      <c r="BR12" s="245" t="str">
        <f>IFERROR(__xludf.DUMMYFUNCTION("""COMPUTED_VALUE"""),"Primordial Collapse")</f>
        <v>Primordial Collapse</v>
      </c>
      <c r="BS12" s="245"/>
      <c r="BT12" s="246"/>
      <c r="BU12" s="245"/>
      <c r="BV12" s="245"/>
      <c r="BW12" s="245" t="str">
        <f>IFERROR(__xludf.DUMMYFUNCTION("""COMPUTED_VALUE"""),"Find Chance")</f>
        <v>Find Chance</v>
      </c>
      <c r="BX12" s="277">
        <f>IFERROR(__xludf.DUMMYFUNCTION("""COMPUTED_VALUE"""),0.3700000000000002)</f>
        <v>0.37</v>
      </c>
      <c r="BY12" s="329" t="str">
        <f>IFERROR(__xludf.DUMMYFUNCTION("""COMPUTED_VALUE"""),"27 | 37% | Cost 150 ⧈ | Next 155 ⧈")</f>
        <v>27 | 37% | Cost 150 ⧈ | Next 155 ⧈</v>
      </c>
      <c r="BZ12" s="282" t="str">
        <f>IFERROR(__xludf.DUMMYFUNCTION("""COMPUTED_VALUE"""),"Tier 10")</f>
        <v>Tier 10</v>
      </c>
      <c r="CA12" s="245">
        <f>IFERROR(__xludf.DUMMYFUNCTION("""COMPUTED_VALUE"""),11300.0)</f>
        <v>11300</v>
      </c>
      <c r="CB12" s="245" t="b">
        <f>IFERROR(__xludf.DUMMYFUNCTION("""COMPUTED_VALUE"""),TRUE)</f>
        <v>1</v>
      </c>
      <c r="CC12" s="245"/>
      <c r="CD12" s="245" t="str">
        <f>IFERROR(__xludf.DUMMYFUNCTION("""COMPUTED_VALUE"""),"Starter Pack")</f>
        <v>Starter Pack</v>
      </c>
      <c r="CE12" s="245" t="b">
        <f>IFERROR(__xludf.DUMMYFUNCTION("""COMPUTED_VALUE"""),TRUE)</f>
        <v>1</v>
      </c>
      <c r="CF12" s="245"/>
    </row>
    <row r="13">
      <c r="A13" s="259" t="str">
        <f>IFERROR(__xludf.DUMMYFUNCTION("""COMPUTED_VALUE"""),"Workshop Respec")</f>
        <v>Workshop Respec</v>
      </c>
      <c r="B13" s="260">
        <f>IFERROR(__xludf.DUMMYFUNCTION("""COMPUTED_VALUE"""),1.0)</f>
        <v>1</v>
      </c>
      <c r="C13" s="245"/>
      <c r="D13" s="261">
        <f>IFERROR(__xludf.DUMMYFUNCTION("""COMPUTED_VALUE"""),1.0)</f>
        <v>1</v>
      </c>
      <c r="E13" s="245"/>
      <c r="F13" s="259" t="str">
        <f>IFERROR(__xludf.DUMMYFUNCTION("""COMPUTED_VALUE"""),"Rapid Fire Duration")</f>
        <v>Rapid Fire Duration</v>
      </c>
      <c r="G13" s="260">
        <f>IFERROR(__xludf.DUMMYFUNCTION("""COMPUTED_VALUE"""),99.0)</f>
        <v>99</v>
      </c>
      <c r="H13" s="245">
        <f>IFERROR(__xludf.DUMMYFUNCTION("""COMPUTED_VALUE"""),99.0)</f>
        <v>99</v>
      </c>
      <c r="I13" s="245">
        <f>IFERROR(__xludf.DUMMYFUNCTION("""COMPUTED_VALUE"""),99.0)</f>
        <v>99</v>
      </c>
      <c r="J13" s="245">
        <f>IFERROR(__xludf.DUMMYFUNCTION("""COMPUTED_VALUE"""),99.0)</f>
        <v>99</v>
      </c>
      <c r="K13" s="265"/>
      <c r="L13" s="245"/>
      <c r="M13" s="245"/>
      <c r="N13" s="245"/>
      <c r="O13" s="245"/>
      <c r="P13" s="245"/>
      <c r="Q13" s="294">
        <f>IFERROR(__xludf.DUMMYFUNCTION("""COMPUTED_VALUE"""),99.0)</f>
        <v>99</v>
      </c>
      <c r="R13" s="271" t="str">
        <f>IFERROR(__xludf.DUMMYFUNCTION("""COMPUTED_VALUE"""),"Land Mine Damage +")</f>
        <v>Land Mine Damage +</v>
      </c>
      <c r="S13" s="295">
        <f>IFERROR(__xludf.DUMMYFUNCTION("""COMPUTED_VALUE"""),2.08)</f>
        <v>2.08</v>
      </c>
      <c r="T13" s="260">
        <f>IFERROR(__xludf.DUMMYFUNCTION("""COMPUTED_VALUE"""),18.0)</f>
        <v>18</v>
      </c>
      <c r="U13" s="245">
        <f>IFERROR(__xludf.DUMMYFUNCTION("""COMPUTED_VALUE"""),18.0)</f>
        <v>18</v>
      </c>
      <c r="V13" s="245"/>
      <c r="W13" s="245"/>
      <c r="X13" s="245"/>
      <c r="Y13" s="296">
        <f>IFERROR(__xludf.DUMMYFUNCTION("""COMPUTED_VALUE"""),400.0)</f>
        <v>400</v>
      </c>
      <c r="Z13" s="266" t="str">
        <f>IFERROR(__xludf.DUMMYFUNCTION("""COMPUTED_VALUE"""),"UW+")</f>
        <v>UW+</v>
      </c>
      <c r="AA13" s="245"/>
      <c r="AB13" s="266" t="str">
        <f>IFERROR(__xludf.DUMMYFUNCTION("""COMPUTED_VALUE"""),"Kill Wall")</f>
        <v>Kill Wall</v>
      </c>
      <c r="AC13" s="346" t="str">
        <f>IFERROR(__xludf.DUMMYFUNCTION("""COMPUTED_VALUE"""),"Locked")</f>
        <v>Locked</v>
      </c>
      <c r="AD13" s="323" t="str">
        <f>IFERROR(__xludf.DUMMYFUNCTION("""COMPUTED_VALUE"""),"Lo | Locked")</f>
        <v>Lo | Locked</v>
      </c>
      <c r="AE13" s="272" t="str">
        <f>IFERROR(__xludf.DUMMYFUNCTION("""COMPUTED_VALUE"""),"Fortress")</f>
        <v>Fortress</v>
      </c>
      <c r="AF13" s="299">
        <f>IFERROR(__xludf.DUMMYFUNCTION("""COMPUTED_VALUE"""),7.0)</f>
        <v>7</v>
      </c>
      <c r="AG13" s="252" t="b">
        <f>IFERROR(__xludf.DUMMYFUNCTION("""COMPUTED_VALUE"""),FALSE)</f>
        <v>0</v>
      </c>
      <c r="AH13" s="347" t="str">
        <f>IFERROR(__xludf.DUMMYFUNCTION("""COMPUTED_VALUE"""),"Second Wind")</f>
        <v>Second Wind</v>
      </c>
      <c r="AI13" s="245" t="str">
        <f>IFERROR(__xludf.DUMMYFUNCTION("""COMPUTED_VALUE"""),"Extra Orb")</f>
        <v>Extra Orb</v>
      </c>
      <c r="AJ13" s="287"/>
      <c r="AK13" s="278"/>
      <c r="AL13" s="246"/>
      <c r="AM13" s="259" t="str">
        <f>IFERROR(__xludf.DUMMYFUNCTION("""COMPUTED_VALUE"""),"Damage")</f>
        <v>Damage</v>
      </c>
      <c r="AN13" s="298">
        <f>IFERROR(__xludf.DUMMYFUNCTION("""COMPUTED_VALUE"""),0.5399999999999999)</f>
        <v>0.54</v>
      </c>
      <c r="AO13" s="274"/>
      <c r="AP13" s="310" t="str">
        <f>IFERROR(__xludf.DUMMYFUNCTION("""COMPUTED_VALUE"""),"Attack")</f>
        <v>Attack</v>
      </c>
      <c r="AQ13" s="348"/>
      <c r="AR13" s="246"/>
      <c r="AS13" s="349" t="b">
        <f>IFERROR(__xludf.DUMMYFUNCTION("""COMPUTED_VALUE"""),TRUE)</f>
        <v>1</v>
      </c>
      <c r="AT13" s="305" t="str">
        <f>IFERROR(__xludf.DUMMYFUNCTION("""COMPUTED_VALUE"""),"Unlocked")</f>
        <v>Unlocked</v>
      </c>
      <c r="AU13" s="245" t="str">
        <f>IFERROR(__xludf.DUMMYFUNCTION("""COMPUTED_VALUE"""),"Range")</f>
        <v>Range</v>
      </c>
      <c r="AV13" s="332">
        <f>IFERROR(__xludf.DUMMYFUNCTION("""COMPUTED_VALUE"""),50.0)</f>
        <v>50</v>
      </c>
      <c r="AW13" s="254" t="str">
        <f>IFERROR(__xludf.DUMMYFUNCTION("""COMPUTED_VALUE"""),"15 | 50m | Cost 660 ⧓ | Maxed")</f>
        <v>15 | 50m | Cost 660 ⧓ | Maxed</v>
      </c>
      <c r="AX13" s="246"/>
      <c r="AY13" s="305"/>
      <c r="AZ13" s="245"/>
      <c r="BA13" s="333"/>
      <c r="BB13" s="254" t="str">
        <f>IFERROR(__xludf.DUMMYFUNCTION("""COMPUTED_VALUE"""),"Assist Slot")</f>
        <v>Assist Slot</v>
      </c>
      <c r="BC13" s="245"/>
      <c r="BD13" s="245"/>
      <c r="BE13" s="245"/>
      <c r="BF13" s="245"/>
      <c r="BG13" s="245" t="str">
        <f>IFERROR(__xludf.DUMMYFUNCTION("""COMPUTED_VALUE"""),"Assist Slot")</f>
        <v>Assist Slot</v>
      </c>
      <c r="BH13" s="245" t="str">
        <f>IFERROR(__xludf.DUMMYFUNCTION("""COMPUTED_VALUE"""),"Anti-Cube Portal")</f>
        <v>Anti-Cube Portal</v>
      </c>
      <c r="BI13" s="245"/>
      <c r="BJ13" s="245"/>
      <c r="BK13" s="245"/>
      <c r="BL13" s="245" t="str">
        <f>IFERROR(__xludf.DUMMYFUNCTION("""COMPUTED_VALUE"""),"Assist Slot")</f>
        <v>Assist Slot</v>
      </c>
      <c r="BM13" s="245" t="str">
        <f>IFERROR(__xludf.DUMMYFUNCTION("""COMPUTED_VALUE"""),"Galaxy Compressor")</f>
        <v>Galaxy Compressor</v>
      </c>
      <c r="BN13" s="245"/>
      <c r="BO13" s="245"/>
      <c r="BP13" s="245"/>
      <c r="BQ13" s="245" t="str">
        <f>IFERROR(__xludf.DUMMYFUNCTION("""COMPUTED_VALUE"""),"Assist Slot")</f>
        <v>Assist Slot</v>
      </c>
      <c r="BR13" s="245" t="str">
        <f>IFERROR(__xludf.DUMMYFUNCTION("""COMPUTED_VALUE"""),"Dimension Core")</f>
        <v>Dimension Core</v>
      </c>
      <c r="BS13" s="245"/>
      <c r="BT13" s="246"/>
      <c r="BU13" s="280" t="b">
        <f>IFERROR(__xludf.DUMMYFUNCTION("""COMPUTED_VALUE"""),TRUE)</f>
        <v>1</v>
      </c>
      <c r="BV13" s="305" t="str">
        <f>IFERROR(__xludf.DUMMYFUNCTION("""COMPUTED_VALUE"""),"Unlocked")</f>
        <v>Unlocked</v>
      </c>
      <c r="BW13" s="245" t="str">
        <f>IFERROR(__xludf.DUMMYFUNCTION("""COMPUTED_VALUE"""),"Double Find Chance")</f>
        <v>Double Find Chance</v>
      </c>
      <c r="BX13" s="277">
        <f>IFERROR(__xludf.DUMMYFUNCTION("""COMPUTED_VALUE"""),0.10999999999999999)</f>
        <v>0.11</v>
      </c>
      <c r="BY13" s="329" t="str">
        <f>IFERROR(__xludf.DUMMYFUNCTION("""COMPUTED_VALUE"""),"09 | 11% | Cost 50 ⧈ | Next 55 ⧈")</f>
        <v>09 | 11% | Cost 50 ⧈ | Next 55 ⧈</v>
      </c>
      <c r="BZ13" s="282" t="str">
        <f>IFERROR(__xludf.DUMMYFUNCTION("""COMPUTED_VALUE"""),"Tier 11")</f>
        <v>Tier 11</v>
      </c>
      <c r="CA13" s="245">
        <f>IFERROR(__xludf.DUMMYFUNCTION("""COMPUTED_VALUE"""),11538.0)</f>
        <v>11538</v>
      </c>
      <c r="CB13" s="245"/>
      <c r="CC13" s="245"/>
      <c r="CD13" s="245" t="str">
        <f>IFERROR(__xludf.DUMMYFUNCTION("""COMPUTED_VALUE"""),"Epic Pack")</f>
        <v>Epic Pack</v>
      </c>
      <c r="CE13" s="245" t="b">
        <f>IFERROR(__xludf.DUMMYFUNCTION("""COMPUTED_VALUE"""),TRUE)</f>
        <v>1</v>
      </c>
      <c r="CF13" s="245"/>
    </row>
    <row r="14">
      <c r="A14" s="259" t="str">
        <f>IFERROR(__xludf.DUMMYFUNCTION("""COMPUTED_VALUE"""),"Reroll Daily Mission")</f>
        <v>Reroll Daily Mission</v>
      </c>
      <c r="B14" s="260">
        <f>IFERROR(__xludf.DUMMYFUNCTION("""COMPUTED_VALUE"""),1.0)</f>
        <v>1</v>
      </c>
      <c r="C14" s="245"/>
      <c r="D14" s="261">
        <f>IFERROR(__xludf.DUMMYFUNCTION("""COMPUTED_VALUE"""),1.0)</f>
        <v>1</v>
      </c>
      <c r="E14" s="280" t="b">
        <f>IFERROR(__xludf.DUMMYFUNCTION("""COMPUTED_VALUE"""),TRUE)</f>
        <v>1</v>
      </c>
      <c r="F14" s="259" t="str">
        <f>IFERROR(__xludf.DUMMYFUNCTION("""COMPUTED_VALUE"""),"Bounce Shot Chance")</f>
        <v>Bounce Shot Chance</v>
      </c>
      <c r="G14" s="260">
        <f>IFERROR(__xludf.DUMMYFUNCTION("""COMPUTED_VALUE"""),85.0)</f>
        <v>85</v>
      </c>
      <c r="H14" s="245">
        <f>IFERROR(__xludf.DUMMYFUNCTION("""COMPUTED_VALUE"""),85.0)</f>
        <v>85</v>
      </c>
      <c r="I14" s="245">
        <f>IFERROR(__xludf.DUMMYFUNCTION("""COMPUTED_VALUE"""),85.0)</f>
        <v>85</v>
      </c>
      <c r="J14" s="245">
        <f>IFERROR(__xludf.DUMMYFUNCTION("""COMPUTED_VALUE"""),85.0)</f>
        <v>85</v>
      </c>
      <c r="K14" s="265"/>
      <c r="L14" s="245"/>
      <c r="M14" s="245"/>
      <c r="N14" s="245"/>
      <c r="O14" s="245"/>
      <c r="P14" s="245"/>
      <c r="Q14" s="294">
        <f>IFERROR(__xludf.DUMMYFUNCTION("""COMPUTED_VALUE"""),85.0)</f>
        <v>85</v>
      </c>
      <c r="R14" s="271" t="str">
        <f>IFERROR(__xludf.DUMMYFUNCTION("""COMPUTED_VALUE"""),"Wall Health +")</f>
        <v>Wall Health +</v>
      </c>
      <c r="S14" s="295">
        <f>IFERROR(__xludf.DUMMYFUNCTION("""COMPUTED_VALUE"""),1.5899999999999999)</f>
        <v>1.59</v>
      </c>
      <c r="T14" s="260">
        <f>IFERROR(__xludf.DUMMYFUNCTION("""COMPUTED_VALUE"""),59.0)</f>
        <v>59</v>
      </c>
      <c r="U14" s="245">
        <f>IFERROR(__xludf.DUMMYFUNCTION("""COMPUTED_VALUE"""),59.0)</f>
        <v>59</v>
      </c>
      <c r="V14" s="245"/>
      <c r="W14" s="245"/>
      <c r="X14" s="245"/>
      <c r="Y14" s="296">
        <f>IFERROR(__xludf.DUMMYFUNCTION("""COMPUTED_VALUE"""),400.0)</f>
        <v>400</v>
      </c>
      <c r="Z14" s="266" t="str">
        <f>IFERROR(__xludf.DUMMYFUNCTION("""COMPUTED_VALUE"""),"Chrono Field")</f>
        <v>Chrono Field</v>
      </c>
      <c r="AA14" s="245"/>
      <c r="AB14" s="266" t="str">
        <f>IFERROR(__xludf.DUMMYFUNCTION("""COMPUTED_VALUE"""),"Duration")</f>
        <v>Duration</v>
      </c>
      <c r="AC14" s="326">
        <f>IFERROR(__xludf.DUMMYFUNCTION("""COMPUTED_VALUE"""),20.0)</f>
        <v>20</v>
      </c>
      <c r="AD14" s="268" t="str">
        <f>IFERROR(__xludf.DUMMYFUNCTION("""COMPUTED_VALUE"""),"15 | 20s | Cost 131 ⧌ | Next 140 ⧌")</f>
        <v>15 | 20s | Cost 131 ⧌ | Next 140 ⧌</v>
      </c>
      <c r="AE14" s="272" t="str">
        <f>IFERROR(__xludf.DUMMYFUNCTION("""COMPUTED_VALUE"""),"Free Upgrades")</f>
        <v>Free Upgrades</v>
      </c>
      <c r="AF14" s="299">
        <f>IFERROR(__xludf.DUMMYFUNCTION("""COMPUTED_VALUE"""),7.0)</f>
        <v>7</v>
      </c>
      <c r="AG14" s="252" t="b">
        <f>IFERROR(__xludf.DUMMYFUNCTION("""COMPUTED_VALUE"""),FALSE)</f>
        <v>0</v>
      </c>
      <c r="AH14" s="327" t="str">
        <f>IFERROR(__xludf.DUMMYFUNCTION("""COMPUTED_VALUE"""),"Energy Shield")</f>
        <v>Energy Shield</v>
      </c>
      <c r="AI14" s="254" t="str">
        <f>IFERROR(__xludf.DUMMYFUNCTION("""COMPUTED_VALUE"""),"Recovery Package Chance")</f>
        <v>Recovery Package Chance</v>
      </c>
      <c r="AJ14" s="287"/>
      <c r="AK14" s="278"/>
      <c r="AL14" s="246"/>
      <c r="AM14" s="259" t="str">
        <f>IFERROR(__xludf.DUMMYFUNCTION("""COMPUTED_VALUE"""),"Ultimate Damage")</f>
        <v>Ultimate Damage</v>
      </c>
      <c r="AN14" s="298">
        <f>IFERROR(__xludf.DUMMYFUNCTION("""COMPUTED_VALUE"""),0.22000000000000003)</f>
        <v>0.22</v>
      </c>
      <c r="AO14" s="274"/>
      <c r="AP14" s="259" t="str">
        <f>IFERROR(__xludf.DUMMYFUNCTION("""COMPUTED_VALUE"""),"Damage")</f>
        <v>Damage</v>
      </c>
      <c r="AQ14" s="348">
        <f>IFERROR(__xludf.DUMMYFUNCTION("""COMPUTED_VALUE"""),0.0)</f>
        <v>0</v>
      </c>
      <c r="AR14" s="246"/>
      <c r="AS14" s="254" t="str">
        <f>IFERROR(__xludf.DUMMYFUNCTION("""COMPUTED_VALUE"""),"Amplify Bot")</f>
        <v>Amplify Bot</v>
      </c>
      <c r="AT14" s="276"/>
      <c r="AU14" s="245" t="str">
        <f>IFERROR(__xludf.DUMMYFUNCTION("""COMPUTED_VALUE"""),"Duration")</f>
        <v>Duration</v>
      </c>
      <c r="AV14" s="334">
        <f>IFERROR(__xludf.DUMMYFUNCTION("""COMPUTED_VALUE"""),20.0)</f>
        <v>20</v>
      </c>
      <c r="AW14" s="254" t="str">
        <f>IFERROR(__xludf.DUMMYFUNCTION("""COMPUTED_VALUE"""),"00 | 20.0s | Cost 0 ⧓ | Next 100 ⧓")</f>
        <v>00 | 20.0s | Cost 0 ⧓ | Next 100 ⧓</v>
      </c>
      <c r="AX14" s="246"/>
      <c r="AY14" s="245"/>
      <c r="AZ14" s="245"/>
      <c r="BA14" s="335"/>
      <c r="BB14" s="254"/>
      <c r="BC14" s="245"/>
      <c r="BD14" s="245"/>
      <c r="BE14" s="245"/>
      <c r="BF14" s="245"/>
      <c r="BG14" s="245"/>
      <c r="BH14" s="245"/>
      <c r="BI14" s="245"/>
      <c r="BJ14" s="245"/>
      <c r="BK14" s="245"/>
      <c r="BL14" s="245"/>
      <c r="BM14" s="245"/>
      <c r="BN14" s="245"/>
      <c r="BO14" s="245"/>
      <c r="BP14" s="245"/>
      <c r="BQ14" s="245"/>
      <c r="BR14" s="245"/>
      <c r="BS14" s="245"/>
      <c r="BT14" s="246"/>
      <c r="BU14" s="245" t="str">
        <f>IFERROR(__xludf.DUMMYFUNCTION("""COMPUTED_VALUE"""),"Summon")</f>
        <v>Summon</v>
      </c>
      <c r="BV14" s="245"/>
      <c r="BW14" s="245" t="str">
        <f>IFERROR(__xludf.DUMMYFUNCTION("""COMPUTED_VALUE"""),"Cooldown")</f>
        <v>Cooldown</v>
      </c>
      <c r="BX14" s="350">
        <f>IFERROR(__xludf.DUMMYFUNCTION("""COMPUTED_VALUE"""),90.0)</f>
        <v>90</v>
      </c>
      <c r="BY14" s="254" t="str">
        <f>IFERROR(__xludf.DUMMYFUNCTION("""COMPUTED_VALUE"""),"50 | 90s | Cost 99 ⧈ | Next 101 ⧈")</f>
        <v>50 | 90s | Cost 99 ⧈ | Next 101 ⧈</v>
      </c>
      <c r="BZ14" s="282" t="str">
        <f>IFERROR(__xludf.DUMMYFUNCTION("""COMPUTED_VALUE"""),"Tier 12")</f>
        <v>Tier 12</v>
      </c>
      <c r="CA14" s="245">
        <f>IFERROR(__xludf.DUMMYFUNCTION("""COMPUTED_VALUE"""),10006.0)</f>
        <v>10006</v>
      </c>
      <c r="CB14" s="245"/>
      <c r="CC14" s="245"/>
      <c r="CD14" s="245" t="str">
        <f>IFERROR(__xludf.DUMMYFUNCTION("""COMPUTED_VALUE"""),"Coin Multiplier")</f>
        <v>Coin Multiplier</v>
      </c>
      <c r="CE14" s="245" t="str">
        <f>IFERROR(__xludf.DUMMYFUNCTION("""COMPUTED_VALUE"""),"x9")</f>
        <v>x9</v>
      </c>
      <c r="CF14" s="245"/>
    </row>
    <row r="15">
      <c r="A15" s="259" t="str">
        <f>IFERROR(__xludf.DUMMYFUNCTION("""COMPUTED_VALUE"""),"Workshop Enhancements")</f>
        <v>Workshop Enhancements</v>
      </c>
      <c r="B15" s="260">
        <f>IFERROR(__xludf.DUMMYFUNCTION("""COMPUTED_VALUE"""),1.0)</f>
        <v>1</v>
      </c>
      <c r="C15" s="245"/>
      <c r="D15" s="261">
        <f>IFERROR(__xludf.DUMMYFUNCTION("""COMPUTED_VALUE"""),1.0)</f>
        <v>1</v>
      </c>
      <c r="E15" s="245"/>
      <c r="F15" s="259" t="str">
        <f>IFERROR(__xludf.DUMMYFUNCTION("""COMPUTED_VALUE"""),"Bounce Shot Targets")</f>
        <v>Bounce Shot Targets</v>
      </c>
      <c r="G15" s="260">
        <f>IFERROR(__xludf.DUMMYFUNCTION("""COMPUTED_VALUE"""),5.0)</f>
        <v>5</v>
      </c>
      <c r="H15" s="245">
        <f>IFERROR(__xludf.DUMMYFUNCTION("""COMPUTED_VALUE"""),7.0)</f>
        <v>7</v>
      </c>
      <c r="I15" s="245">
        <f>IFERROR(__xludf.DUMMYFUNCTION("""COMPUTED_VALUE"""),5.0)</f>
        <v>5</v>
      </c>
      <c r="J15" s="245">
        <f>IFERROR(__xludf.DUMMYFUNCTION("""COMPUTED_VALUE"""),7.0)</f>
        <v>7</v>
      </c>
      <c r="K15" s="265"/>
      <c r="L15" s="245"/>
      <c r="M15" s="245"/>
      <c r="N15" s="245"/>
      <c r="O15" s="245"/>
      <c r="P15" s="245"/>
      <c r="Q15" s="294">
        <f>IFERROR(__xludf.DUMMYFUNCTION("""COMPUTED_VALUE"""),7.0)</f>
        <v>7</v>
      </c>
      <c r="R15" s="271" t="str">
        <f>IFERROR(__xludf.DUMMYFUNCTION("""COMPUTED_VALUE"""),"Orb Size +")</f>
        <v>Orb Size +</v>
      </c>
      <c r="S15" s="295">
        <f>IFERROR(__xludf.DUMMYFUNCTION("""COMPUTED_VALUE"""),1.2)</f>
        <v>1.2</v>
      </c>
      <c r="T15" s="260">
        <f>IFERROR(__xludf.DUMMYFUNCTION("""COMPUTED_VALUE"""),20.0)</f>
        <v>20</v>
      </c>
      <c r="U15" s="245">
        <f>IFERROR(__xludf.DUMMYFUNCTION("""COMPUTED_VALUE"""),20.0)</f>
        <v>20</v>
      </c>
      <c r="V15" s="245"/>
      <c r="W15" s="245"/>
      <c r="X15" s="245"/>
      <c r="Y15" s="296">
        <f>IFERROR(__xludf.DUMMYFUNCTION("""COMPUTED_VALUE"""),200.0)</f>
        <v>200</v>
      </c>
      <c r="Z15" s="276"/>
      <c r="AA15" s="245"/>
      <c r="AB15" s="266" t="str">
        <f>IFERROR(__xludf.DUMMYFUNCTION("""COMPUTED_VALUE"""),"Speed Reduction")</f>
        <v>Speed Reduction</v>
      </c>
      <c r="AC15" s="348">
        <f>IFERROR(__xludf.DUMMYFUNCTION("""COMPUTED_VALUE"""),0.5)</f>
        <v>0.5</v>
      </c>
      <c r="AD15" s="268" t="str">
        <f>IFERROR(__xludf.DUMMYFUNCTION("""COMPUTED_VALUE"""),"06 | 50% | Cost 150 ⧌ | Next 200 ⧌")</f>
        <v>06 | 50% | Cost 150 ⧌ | Next 200 ⧌</v>
      </c>
      <c r="AE15" s="272" t="str">
        <f>IFERROR(__xludf.DUMMYFUNCTION("""COMPUTED_VALUE"""),"Extra Orb")</f>
        <v>Extra Orb</v>
      </c>
      <c r="AF15" s="299">
        <f>IFERROR(__xludf.DUMMYFUNCTION("""COMPUTED_VALUE"""),7.0)</f>
        <v>7</v>
      </c>
      <c r="AG15" s="252" t="b">
        <f>IFERROR(__xludf.DUMMYFUNCTION("""COMPUTED_VALUE"""),FALSE)</f>
        <v>0</v>
      </c>
      <c r="AH15" s="287" t="str">
        <f>IFERROR(__xludf.DUMMYFUNCTION("""COMPUTED_VALUE"""),"Recovery Package Chance")</f>
        <v>Recovery Package Chance</v>
      </c>
      <c r="AI15" s="254" t="str">
        <f>IFERROR(__xludf.DUMMYFUNCTION("""COMPUTED_VALUE"""),"Extra Defense")</f>
        <v>Extra Defense</v>
      </c>
      <c r="AJ15" s="287"/>
      <c r="AK15" s="278"/>
      <c r="AL15" s="246"/>
      <c r="AM15" s="259" t="str">
        <f>IFERROR(__xludf.DUMMYFUNCTION("""COMPUTED_VALUE"""),"Attack Speed")</f>
        <v>Attack Speed</v>
      </c>
      <c r="AN15" s="298">
        <f>IFERROR(__xludf.DUMMYFUNCTION("""COMPUTED_VALUE"""),0.05)</f>
        <v>0.05</v>
      </c>
      <c r="AO15" s="274"/>
      <c r="AP15" s="259" t="str">
        <f>IFERROR(__xludf.DUMMYFUNCTION("""COMPUTED_VALUE"""),"Ultimate Weapon Damage")</f>
        <v>Ultimate Weapon Damage</v>
      </c>
      <c r="AQ15" s="348">
        <f>IFERROR(__xludf.DUMMYFUNCTION("""COMPUTED_VALUE"""),0.0)</f>
        <v>0</v>
      </c>
      <c r="AR15" s="246"/>
      <c r="AS15" s="276"/>
      <c r="AT15" s="276"/>
      <c r="AU15" s="245" t="str">
        <f>IFERROR(__xludf.DUMMYFUNCTION("""COMPUTED_VALUE"""),"Cooldown")</f>
        <v>Cooldown</v>
      </c>
      <c r="AV15" s="351">
        <f>IFERROR(__xludf.DUMMYFUNCTION("""COMPUTED_VALUE"""),120.0)</f>
        <v>120</v>
      </c>
      <c r="AW15" s="254" t="str">
        <f>IFERROR(__xludf.DUMMYFUNCTION("""COMPUTED_VALUE"""),"00 | 120s | Cost 0 ⧓ | Next 100 ⧓")</f>
        <v>00 | 120s | Cost 0 ⧓ | Next 100 ⧓</v>
      </c>
      <c r="AX15" s="246"/>
      <c r="AY15" s="245"/>
      <c r="AZ15" s="245"/>
      <c r="BA15" s="352"/>
      <c r="BB15" s="254" t="str">
        <f>IFERROR(__xludf.DUMMYFUNCTION("""COMPUTED_VALUE"""),"Testing")</f>
        <v>Testing</v>
      </c>
      <c r="BC15" s="245"/>
      <c r="BD15" s="245"/>
      <c r="BE15" s="245"/>
      <c r="BF15" s="245"/>
      <c r="BG15" s="245" t="str">
        <f>IFERROR(__xludf.DUMMYFUNCTION("""COMPUTED_VALUE"""),"Testing")</f>
        <v>Testing</v>
      </c>
      <c r="BH15" s="245"/>
      <c r="BI15" s="245"/>
      <c r="BJ15" s="245"/>
      <c r="BK15" s="245"/>
      <c r="BL15" s="245" t="str">
        <f>IFERROR(__xludf.DUMMYFUNCTION("""COMPUTED_VALUE"""),"Testing")</f>
        <v>Testing</v>
      </c>
      <c r="BM15" s="245"/>
      <c r="BN15" s="245"/>
      <c r="BO15" s="245"/>
      <c r="BP15" s="245"/>
      <c r="BQ15" s="245" t="str">
        <f>IFERROR(__xludf.DUMMYFUNCTION("""COMPUTED_VALUE"""),"Testing")</f>
        <v>Testing</v>
      </c>
      <c r="BR15" s="245"/>
      <c r="BS15" s="245"/>
      <c r="BT15" s="246"/>
      <c r="BU15" s="245"/>
      <c r="BV15" s="245"/>
      <c r="BW15" s="245" t="str">
        <f>IFERROR(__xludf.DUMMYFUNCTION("""COMPUTED_VALUE"""),"Duration")</f>
        <v>Duration</v>
      </c>
      <c r="BX15" s="350">
        <f>IFERROR(__xludf.DUMMYFUNCTION("""COMPUTED_VALUE"""),24.0)</f>
        <v>24</v>
      </c>
      <c r="BY15" s="254" t="str">
        <f>IFERROR(__xludf.DUMMYFUNCTION("""COMPUTED_VALUE"""),"19 | 24s| Cost 195 ⧈ | Next 205 ⧈")</f>
        <v>19 | 24s| Cost 195 ⧈ | Next 205 ⧈</v>
      </c>
      <c r="BZ15" s="282" t="str">
        <f>IFERROR(__xludf.DUMMYFUNCTION("""COMPUTED_VALUE"""),"Tier 13")</f>
        <v>Tier 13</v>
      </c>
      <c r="CA15" s="245">
        <f>IFERROR(__xludf.DUMMYFUNCTION("""COMPUTED_VALUE"""),6908.0)</f>
        <v>6908</v>
      </c>
      <c r="CB15" s="245" t="b">
        <f>IFERROR(__xludf.DUMMYFUNCTION("""COMPUTED_VALUE"""),TRUE)</f>
        <v>1</v>
      </c>
      <c r="CC15" s="245"/>
      <c r="CD15" s="245"/>
      <c r="CE15" s="245"/>
      <c r="CF15" s="245"/>
    </row>
    <row r="16">
      <c r="A16" s="310" t="str">
        <f>IFERROR(__xludf.DUMMYFUNCTION("""COMPUTED_VALUE"""),"Enhancement Attack - Coin Discount")</f>
        <v>Enhancement Attack - Coin Discount</v>
      </c>
      <c r="B16" s="260">
        <f>IFERROR(__xludf.DUMMYFUNCTION("""COMPUTED_VALUE"""),0.0)</f>
        <v>0</v>
      </c>
      <c r="C16" s="245"/>
      <c r="D16" s="261">
        <f>IFERROR(__xludf.DUMMYFUNCTION("""COMPUTED_VALUE"""),100.0)</f>
        <v>100</v>
      </c>
      <c r="E16" s="245"/>
      <c r="F16" s="259" t="str">
        <f>IFERROR(__xludf.DUMMYFUNCTION("""COMPUTED_VALUE"""),"Bounce Shot Range")</f>
        <v>Bounce Shot Range</v>
      </c>
      <c r="G16" s="260">
        <f>IFERROR(__xludf.DUMMYFUNCTION("""COMPUTED_VALUE"""),60.0)</f>
        <v>60</v>
      </c>
      <c r="H16" s="245">
        <f>IFERROR(__xludf.DUMMYFUNCTION("""COMPUTED_VALUE"""),60.0)</f>
        <v>60</v>
      </c>
      <c r="I16" s="245">
        <f>IFERROR(__xludf.DUMMYFUNCTION("""COMPUTED_VALUE"""),60.0)</f>
        <v>60</v>
      </c>
      <c r="J16" s="245">
        <f>IFERROR(__xludf.DUMMYFUNCTION("""COMPUTED_VALUE"""),60.0)</f>
        <v>60</v>
      </c>
      <c r="K16" s="265"/>
      <c r="L16" s="245"/>
      <c r="M16" s="245"/>
      <c r="N16" s="245"/>
      <c r="O16" s="245"/>
      <c r="P16" s="245"/>
      <c r="Q16" s="294">
        <f>IFERROR(__xludf.DUMMYFUNCTION("""COMPUTED_VALUE"""),60.0)</f>
        <v>60</v>
      </c>
      <c r="R16" s="271" t="str">
        <f>IFERROR(__xludf.DUMMYFUNCTION("""COMPUTED_VALUE"""),"Cash Bonus +")</f>
        <v>Cash Bonus +</v>
      </c>
      <c r="S16" s="295">
        <f>IFERROR(__xludf.DUMMYFUNCTION("""COMPUTED_VALUE"""),1.44)</f>
        <v>1.44</v>
      </c>
      <c r="T16" s="260">
        <f>IFERROR(__xludf.DUMMYFUNCTION("""COMPUTED_VALUE"""),44.0)</f>
        <v>44</v>
      </c>
      <c r="U16" s="245">
        <f>IFERROR(__xludf.DUMMYFUNCTION("""COMPUTED_VALUE"""),44.0)</f>
        <v>44</v>
      </c>
      <c r="V16" s="245"/>
      <c r="W16" s="245"/>
      <c r="X16" s="245"/>
      <c r="Y16" s="296">
        <f>IFERROR(__xludf.DUMMYFUNCTION("""COMPUTED_VALUE"""),400.0)</f>
        <v>400</v>
      </c>
      <c r="Z16" s="297" t="b">
        <f>IFERROR(__xludf.DUMMYFUNCTION("""COMPUTED_VALUE"""),TRUE)</f>
        <v>1</v>
      </c>
      <c r="AA16" s="259" t="str">
        <f>IFERROR(__xludf.DUMMYFUNCTION("""COMPUTED_VALUE"""),"UW Unlocked")</f>
        <v>UW Unlocked</v>
      </c>
      <c r="AB16" s="266" t="str">
        <f>IFERROR(__xludf.DUMMYFUNCTION("""COMPUTED_VALUE"""),"Cooldown")</f>
        <v>Cooldown</v>
      </c>
      <c r="AC16" s="326">
        <f>IFERROR(__xludf.DUMMYFUNCTION("""COMPUTED_VALUE"""),60.0)</f>
        <v>60</v>
      </c>
      <c r="AD16" s="268" t="str">
        <f>IFERROR(__xludf.DUMMYFUNCTION("""COMPUTED_VALUE"""),"12 | 60s | Cost 241 ⧌ | Maxed")</f>
        <v>12 | 60s | Cost 241 ⧌ | Maxed</v>
      </c>
      <c r="AE16" s="272" t="str">
        <f>IFERROR(__xludf.DUMMYFUNCTION("""COMPUTED_VALUE"""),"Plasma Cannon")</f>
        <v>Plasma Cannon</v>
      </c>
      <c r="AF16" s="299">
        <f>IFERROR(__xludf.DUMMYFUNCTION("""COMPUTED_VALUE"""),7.0)</f>
        <v>7</v>
      </c>
      <c r="AG16" s="252" t="b">
        <f>IFERROR(__xludf.DUMMYFUNCTION("""COMPUTED_VALUE"""),FALSE)</f>
        <v>0</v>
      </c>
      <c r="AH16" s="327" t="str">
        <f>IFERROR(__xludf.DUMMYFUNCTION("""COMPUTED_VALUE"""),"Intro Sprint")</f>
        <v>Intro Sprint</v>
      </c>
      <c r="AI16" s="254" t="str">
        <f>IFERROR(__xludf.DUMMYFUNCTION("""COMPUTED_VALUE"""),"Slow Aura")</f>
        <v>Slow Aura</v>
      </c>
      <c r="AJ16" s="287"/>
      <c r="AK16" s="278"/>
      <c r="AL16" s="246"/>
      <c r="AM16" s="259" t="str">
        <f>IFERROR(__xludf.DUMMYFUNCTION("""COMPUTED_VALUE"""),"Crit Chance")</f>
        <v>Crit Chance</v>
      </c>
      <c r="AN16" s="298">
        <f>IFERROR(__xludf.DUMMYFUNCTION("""COMPUTED_VALUE"""),0.06)</f>
        <v>0.06</v>
      </c>
      <c r="AO16" s="274"/>
      <c r="AP16" s="259" t="str">
        <f>IFERROR(__xludf.DUMMYFUNCTION("""COMPUTED_VALUE"""),"Attack Speed")</f>
        <v>Attack Speed</v>
      </c>
      <c r="AQ16" s="348">
        <f>IFERROR(__xludf.DUMMYFUNCTION("""COMPUTED_VALUE"""),0.0)</f>
        <v>0</v>
      </c>
      <c r="AR16" s="246"/>
      <c r="AS16" s="276"/>
      <c r="AT16" s="276"/>
      <c r="AU16" s="245" t="str">
        <f>IFERROR(__xludf.DUMMYFUNCTION("""COMPUTED_VALUE"""),"Bonus")</f>
        <v>Bonus</v>
      </c>
      <c r="AV16" s="344">
        <f>IFERROR(__xludf.DUMMYFUNCTION("""COMPUTED_VALUE"""),3.5)</f>
        <v>3.5</v>
      </c>
      <c r="AW16" s="254" t="str">
        <f>IFERROR(__xludf.DUMMYFUNCTION("""COMPUTED_VALUE"""),"00 | x3.5 | Cost 0 ⧓ | Next 100 ⧓")</f>
        <v>00 | x3.5 | Cost 0 ⧓ | Next 100 ⧓</v>
      </c>
      <c r="AX16" s="246"/>
      <c r="AY16" s="245"/>
      <c r="AZ16" s="245"/>
      <c r="BA16" s="345"/>
      <c r="BB16" s="254" t="str">
        <f>IFERROR(__xludf.DUMMYFUNCTION("""COMPUTED_VALUE"""),"Primary Slot")</f>
        <v>Primary Slot</v>
      </c>
      <c r="BC16" s="245" t="str">
        <f>IFERROR(__xludf.DUMMYFUNCTION("""COMPUTED_VALUE"""),"Being Annihilator")</f>
        <v>Being Annihilator</v>
      </c>
      <c r="BD16" s="245"/>
      <c r="BE16" s="245"/>
      <c r="BF16" s="245"/>
      <c r="BG16" s="245" t="str">
        <f>IFERROR(__xludf.DUMMYFUNCTION("""COMPUTED_VALUE"""),"Primary Slot")</f>
        <v>Primary Slot</v>
      </c>
      <c r="BH16" s="245" t="str">
        <f>IFERROR(__xludf.DUMMYFUNCTION("""COMPUTED_VALUE"""),"Sharp Fortitude")</f>
        <v>Sharp Fortitude</v>
      </c>
      <c r="BI16" s="245"/>
      <c r="BJ16" s="245"/>
      <c r="BK16" s="245"/>
      <c r="BL16" s="245" t="str">
        <f>IFERROR(__xludf.DUMMYFUNCTION("""COMPUTED_VALUE"""),"Primary Slot")</f>
        <v>Primary Slot</v>
      </c>
      <c r="BM16" s="245" t="str">
        <f>IFERROR(__xludf.DUMMYFUNCTION("""COMPUTED_VALUE"""),"Galaxy Compressor")</f>
        <v>Galaxy Compressor</v>
      </c>
      <c r="BN16" s="245"/>
      <c r="BO16" s="245"/>
      <c r="BP16" s="245"/>
      <c r="BQ16" s="245" t="str">
        <f>IFERROR(__xludf.DUMMYFUNCTION("""COMPUTED_VALUE"""),"Primary Slot")</f>
        <v>Primary Slot</v>
      </c>
      <c r="BR16" s="245" t="str">
        <f>IFERROR(__xludf.DUMMYFUNCTION("""COMPUTED_VALUE"""),"Dimension Core")</f>
        <v>Dimension Core</v>
      </c>
      <c r="BS16" s="245"/>
      <c r="BT16" s="246"/>
      <c r="BU16" s="245" t="b">
        <f>IFERROR(__xludf.DUMMYFUNCTION("""COMPUTED_VALUE"""),TRUE)</f>
        <v>1</v>
      </c>
      <c r="BV16" s="305" t="str">
        <f>IFERROR(__xludf.DUMMYFUNCTION("""COMPUTED_VALUE"""),"Unlocked")</f>
        <v>Unlocked</v>
      </c>
      <c r="BW16" s="245" t="str">
        <f>IFERROR(__xludf.DUMMYFUNCTION("""COMPUTED_VALUE"""),"Cash Bonus")</f>
        <v>Cash Bonus</v>
      </c>
      <c r="BX16" s="353">
        <f>IFERROR(__xludf.DUMMYFUNCTION("""COMPUTED_VALUE"""),1.0)</f>
        <v>1</v>
      </c>
      <c r="BY16" s="254" t="str">
        <f>IFERROR(__xludf.DUMMYFUNCTION("""COMPUTED_VALUE"""),"00 | 1.0x | Cost 0 ⧈ | Next 100 ⧈")</f>
        <v>00 | 1.0x | Cost 0 ⧈ | Next 100 ⧈</v>
      </c>
      <c r="BZ16" s="282" t="str">
        <f>IFERROR(__xludf.DUMMYFUNCTION("""COMPUTED_VALUE"""),"Tier 14")</f>
        <v>Tier 14</v>
      </c>
      <c r="CA16" s="245">
        <f>IFERROR(__xludf.DUMMYFUNCTION("""COMPUTED_VALUE"""),5761.0)</f>
        <v>5761</v>
      </c>
      <c r="CB16" s="245"/>
      <c r="CC16" s="245"/>
      <c r="CD16" s="245"/>
      <c r="CE16" s="245"/>
      <c r="CF16" s="245"/>
    </row>
    <row r="17">
      <c r="A17" s="259" t="str">
        <f>IFERROR(__xludf.DUMMYFUNCTION("""COMPUTED_VALUE"""),"Enhancement Defense - Coin Discount")</f>
        <v>Enhancement Defense - Coin Discount</v>
      </c>
      <c r="B17" s="260">
        <f>IFERROR(__xludf.DUMMYFUNCTION("""COMPUTED_VALUE"""),0.0)</f>
        <v>0</v>
      </c>
      <c r="C17" s="245"/>
      <c r="D17" s="261">
        <f>IFERROR(__xludf.DUMMYFUNCTION("""COMPUTED_VALUE"""),100.0)</f>
        <v>100</v>
      </c>
      <c r="E17" s="280" t="b">
        <f>IFERROR(__xludf.DUMMYFUNCTION("""COMPUTED_VALUE"""),TRUE)</f>
        <v>1</v>
      </c>
      <c r="F17" s="259" t="str">
        <f>IFERROR(__xludf.DUMMYFUNCTION("""COMPUTED_VALUE"""),"Super Critical Chance")</f>
        <v>Super Critical Chance</v>
      </c>
      <c r="G17" s="260">
        <f>IFERROR(__xludf.DUMMYFUNCTION("""COMPUTED_VALUE"""),100.0)</f>
        <v>100</v>
      </c>
      <c r="H17" s="245">
        <f>IFERROR(__xludf.DUMMYFUNCTION("""COMPUTED_VALUE"""),100.0)</f>
        <v>100</v>
      </c>
      <c r="I17" s="245">
        <f>IFERROR(__xludf.DUMMYFUNCTION("""COMPUTED_VALUE"""),100.0)</f>
        <v>100</v>
      </c>
      <c r="J17" s="245">
        <f>IFERROR(__xludf.DUMMYFUNCTION("""COMPUTED_VALUE"""),100.0)</f>
        <v>100</v>
      </c>
      <c r="K17" s="265"/>
      <c r="L17" s="245"/>
      <c r="M17" s="245"/>
      <c r="N17" s="245"/>
      <c r="O17" s="245"/>
      <c r="P17" s="245"/>
      <c r="Q17" s="294">
        <f>IFERROR(__xludf.DUMMYFUNCTION("""COMPUTED_VALUE"""),100.0)</f>
        <v>100</v>
      </c>
      <c r="R17" s="271" t="str">
        <f>IFERROR(__xludf.DUMMYFUNCTION("""COMPUTED_VALUE"""),"Coin Bonus +")</f>
        <v>Coin Bonus +</v>
      </c>
      <c r="S17" s="295">
        <f>IFERROR(__xludf.DUMMYFUNCTION("""COMPUTED_VALUE"""),1.33)</f>
        <v>1.33</v>
      </c>
      <c r="T17" s="260">
        <f>IFERROR(__xludf.DUMMYFUNCTION("""COMPUTED_VALUE"""),33.0)</f>
        <v>33</v>
      </c>
      <c r="U17" s="245">
        <f>IFERROR(__xludf.DUMMYFUNCTION("""COMPUTED_VALUE"""),33.0)</f>
        <v>33</v>
      </c>
      <c r="V17" s="245"/>
      <c r="W17" s="245"/>
      <c r="X17" s="245"/>
      <c r="Y17" s="296">
        <f>IFERROR(__xludf.DUMMYFUNCTION("""COMPUTED_VALUE"""),200.0)</f>
        <v>200</v>
      </c>
      <c r="Z17" s="266" t="str">
        <f>IFERROR(__xludf.DUMMYFUNCTION("""COMPUTED_VALUE"""),"UW+")</f>
        <v>UW+</v>
      </c>
      <c r="AA17" s="245"/>
      <c r="AB17" s="266" t="str">
        <f>IFERROR(__xludf.DUMMYFUNCTION("""COMPUTED_VALUE"""),"Chrono Loop")</f>
        <v>Chrono Loop</v>
      </c>
      <c r="AC17" s="348" t="str">
        <f>IFERROR(__xludf.DUMMYFUNCTION("""COMPUTED_VALUE"""),"Locked")</f>
        <v>Locked</v>
      </c>
      <c r="AD17" s="268" t="str">
        <f>IFERROR(__xludf.DUMMYFUNCTION("""COMPUTED_VALUE"""),"Lo | Locked")</f>
        <v>Lo | Locked</v>
      </c>
      <c r="AE17" s="272" t="str">
        <f>IFERROR(__xludf.DUMMYFUNCTION("""COMPUTED_VALUE"""),"Critical Coin")</f>
        <v>Critical Coin</v>
      </c>
      <c r="AF17" s="299">
        <f>IFERROR(__xludf.DUMMYFUNCTION("""COMPUTED_VALUE"""),7.0)</f>
        <v>7</v>
      </c>
      <c r="AG17" s="252" t="b">
        <f>IFERROR(__xludf.DUMMYFUNCTION("""COMPUTED_VALUE"""),FALSE)</f>
        <v>0</v>
      </c>
      <c r="AH17" s="287" t="str">
        <f>IFERROR(__xludf.DUMMYFUNCTION("""COMPUTED_VALUE"""),"Extra Orb")</f>
        <v>Extra Orb</v>
      </c>
      <c r="AI17" s="254" t="str">
        <f>IFERROR(__xludf.DUMMYFUNCTION("""COMPUTED_VALUE"""),"Energy Net")</f>
        <v>Energy Net</v>
      </c>
      <c r="AJ17" s="287"/>
      <c r="AK17" s="278"/>
      <c r="AL17" s="246"/>
      <c r="AM17" s="259" t="str">
        <f>IFERROR(__xludf.DUMMYFUNCTION("""COMPUTED_VALUE"""),"Crit Factor")</f>
        <v>Crit Factor</v>
      </c>
      <c r="AN17" s="298">
        <f>IFERROR(__xludf.DUMMYFUNCTION("""COMPUTED_VALUE"""),0.5)</f>
        <v>0.5</v>
      </c>
      <c r="AO17" s="274"/>
      <c r="AP17" s="259" t="str">
        <f>IFERROR(__xludf.DUMMYFUNCTION("""COMPUTED_VALUE"""),"Critical Chance")</f>
        <v>Critical Chance</v>
      </c>
      <c r="AQ17" s="348">
        <f>IFERROR(__xludf.DUMMYFUNCTION("""COMPUTED_VALUE"""),0.0)</f>
        <v>0</v>
      </c>
      <c r="AR17" s="246"/>
      <c r="AS17" s="349" t="b">
        <f>IFERROR(__xludf.DUMMYFUNCTION("""COMPUTED_VALUE"""),FALSE)</f>
        <v>0</v>
      </c>
      <c r="AT17" s="276" t="str">
        <f>IFERROR(__xludf.DUMMYFUNCTION("""COMPUTED_VALUE"""),"Locked")</f>
        <v>Locked</v>
      </c>
      <c r="AU17" s="245" t="str">
        <f>IFERROR(__xludf.DUMMYFUNCTION("""COMPUTED_VALUE"""),"Range")</f>
        <v>Range</v>
      </c>
      <c r="AV17" s="332">
        <f>IFERROR(__xludf.DUMMYFUNCTION("""COMPUTED_VALUE"""),25.0)</f>
        <v>25</v>
      </c>
      <c r="AW17" s="254" t="str">
        <f>IFERROR(__xludf.DUMMYFUNCTION("""COMPUTED_VALUE"""),"00 | 25m | Cost 0 ⧓ | Next 100 ⧓")</f>
        <v>00 | 25m | Cost 0 ⧓ | Next 100 ⧓</v>
      </c>
      <c r="AX17" s="246"/>
      <c r="AY17" s="245"/>
      <c r="AZ17" s="245"/>
      <c r="BA17" s="333"/>
      <c r="BB17" s="254" t="str">
        <f>IFERROR(__xludf.DUMMYFUNCTION("""COMPUTED_VALUE"""),"Assist Slot")</f>
        <v>Assist Slot</v>
      </c>
      <c r="BC17" s="245"/>
      <c r="BD17" s="245"/>
      <c r="BE17" s="245"/>
      <c r="BF17" s="245"/>
      <c r="BG17" s="245" t="str">
        <f>IFERROR(__xludf.DUMMYFUNCTION("""COMPUTED_VALUE"""),"Assist Slot")</f>
        <v>Assist Slot</v>
      </c>
      <c r="BH17" s="245"/>
      <c r="BI17" s="245"/>
      <c r="BJ17" s="303"/>
      <c r="BK17" s="245"/>
      <c r="BL17" s="245" t="str">
        <f>IFERROR(__xludf.DUMMYFUNCTION("""COMPUTED_VALUE"""),"Assist Slot")</f>
        <v>Assist Slot</v>
      </c>
      <c r="BM17" s="245" t="str">
        <f>IFERROR(__xludf.DUMMYFUNCTION("""COMPUTED_VALUE"""),"Restorative Bonus")</f>
        <v>Restorative Bonus</v>
      </c>
      <c r="BN17" s="245"/>
      <c r="BO17" s="303"/>
      <c r="BP17" s="245"/>
      <c r="BQ17" s="245" t="str">
        <f>IFERROR(__xludf.DUMMYFUNCTION("""COMPUTED_VALUE"""),"Assist Slot")</f>
        <v>Assist Slot</v>
      </c>
      <c r="BR17" s="245" t="str">
        <f>IFERROR(__xludf.DUMMYFUNCTION("""COMPUTED_VALUE"""),"Om Chip")</f>
        <v>Om Chip</v>
      </c>
      <c r="BS17" s="245"/>
      <c r="BT17" s="304"/>
      <c r="BU17" s="245" t="str">
        <f>IFERROR(__xludf.DUMMYFUNCTION("""COMPUTED_VALUE"""),"Scout")</f>
        <v>Scout</v>
      </c>
      <c r="BV17" s="245"/>
      <c r="BW17" s="245" t="str">
        <f>IFERROR(__xludf.DUMMYFUNCTION("""COMPUTED_VALUE"""),"Cooldown")</f>
        <v>Cooldown</v>
      </c>
      <c r="BX17" s="350">
        <f>IFERROR(__xludf.DUMMYFUNCTION("""COMPUTED_VALUE"""),105.0)</f>
        <v>105</v>
      </c>
      <c r="BY17" s="303" t="str">
        <f>IFERROR(__xludf.DUMMYFUNCTION("""COMPUTED_VALUE"""),"00 | 105s | Cost 0 ⧈ | Next 1 ⧈")</f>
        <v>00 | 105s | Cost 0 ⧈ | Next 1 ⧈</v>
      </c>
      <c r="BZ17" s="354" t="str">
        <f>IFERROR(__xludf.DUMMYFUNCTION("""COMPUTED_VALUE"""),"Tier 15")</f>
        <v>Tier 15</v>
      </c>
      <c r="CA17" s="245">
        <f>IFERROR(__xludf.DUMMYFUNCTION("""COMPUTED_VALUE"""),4859.0)</f>
        <v>4859</v>
      </c>
      <c r="CB17" s="245"/>
      <c r="CC17" s="245"/>
      <c r="CD17" s="245"/>
      <c r="CE17" s="245"/>
      <c r="CF17" s="245"/>
    </row>
    <row r="18">
      <c r="A18" s="310" t="str">
        <f>IFERROR(__xludf.DUMMYFUNCTION("""COMPUTED_VALUE"""),"Enhancement Utility - Coin Discount")</f>
        <v>Enhancement Utility - Coin Discount</v>
      </c>
      <c r="B18" s="260">
        <f>IFERROR(__xludf.DUMMYFUNCTION("""COMPUTED_VALUE"""),0.0)</f>
        <v>0</v>
      </c>
      <c r="C18" s="245"/>
      <c r="D18" s="261">
        <f>IFERROR(__xludf.DUMMYFUNCTION("""COMPUTED_VALUE"""),100.0)</f>
        <v>100</v>
      </c>
      <c r="E18" s="245"/>
      <c r="F18" s="259" t="str">
        <f>IFERROR(__xludf.DUMMYFUNCTION("""COMPUTED_VALUE"""),"Super Critical Mult")</f>
        <v>Super Critical Mult</v>
      </c>
      <c r="G18" s="260">
        <f>IFERROR(__xludf.DUMMYFUNCTION("""COMPUTED_VALUE"""),100.0)</f>
        <v>100</v>
      </c>
      <c r="H18" s="260">
        <f>IFERROR(__xludf.DUMMYFUNCTION("""COMPUTED_VALUE"""),120.0)</f>
        <v>120</v>
      </c>
      <c r="I18" s="245">
        <f>IFERROR(__xludf.DUMMYFUNCTION("""COMPUTED_VALUE"""),100.0)</f>
        <v>100</v>
      </c>
      <c r="J18" s="245">
        <f>IFERROR(__xludf.DUMMYFUNCTION("""COMPUTED_VALUE"""),120.0)</f>
        <v>120</v>
      </c>
      <c r="K18" s="265"/>
      <c r="L18" s="245"/>
      <c r="M18" s="245"/>
      <c r="N18" s="245"/>
      <c r="O18" s="245"/>
      <c r="P18" s="245"/>
      <c r="Q18" s="294">
        <f>IFERROR(__xludf.DUMMYFUNCTION("""COMPUTED_VALUE"""),120.0)</f>
        <v>120</v>
      </c>
      <c r="R18" s="271" t="str">
        <f>IFERROR(__xludf.DUMMYFUNCTION("""COMPUTED_VALUE"""),"Cells / Kill Bonus +")</f>
        <v>Cells / Kill Bonus +</v>
      </c>
      <c r="S18" s="295">
        <f>IFERROR(__xludf.DUMMYFUNCTION("""COMPUTED_VALUE"""),1.25)</f>
        <v>1.25</v>
      </c>
      <c r="T18" s="260">
        <f>IFERROR(__xludf.DUMMYFUNCTION("""COMPUTED_VALUE"""),25.0)</f>
        <v>25</v>
      </c>
      <c r="U18" s="245">
        <f>IFERROR(__xludf.DUMMYFUNCTION("""COMPUTED_VALUE"""),25.0)</f>
        <v>25</v>
      </c>
      <c r="V18" s="245"/>
      <c r="W18" s="245"/>
      <c r="X18" s="245"/>
      <c r="Y18" s="296">
        <f>IFERROR(__xludf.DUMMYFUNCTION("""COMPUTED_VALUE"""),200.0)</f>
        <v>200</v>
      </c>
      <c r="Z18" s="266" t="str">
        <f>IFERROR(__xludf.DUMMYFUNCTION("""COMPUTED_VALUE"""),"Inner Land Mines")</f>
        <v>Inner Land Mines</v>
      </c>
      <c r="AA18" s="245"/>
      <c r="AB18" s="266" t="str">
        <f>IFERROR(__xludf.DUMMYFUNCTION("""COMPUTED_VALUE"""),"Damage")</f>
        <v>Damage</v>
      </c>
      <c r="AC18" s="315">
        <f>IFERROR(__xludf.DUMMYFUNCTION("""COMPUTED_VALUE"""),10.0)</f>
        <v>10</v>
      </c>
      <c r="AD18" s="268" t="str">
        <f>IFERROR(__xludf.DUMMYFUNCTION("""COMPUTED_VALUE"""),"00 | x10 | Cost 0 ⧌ | Next 5 ⧌")</f>
        <v>00 | x10 | Cost 0 ⧌ | Next 5 ⧌</v>
      </c>
      <c r="AE18" s="272" t="str">
        <f>IFERROR(__xludf.DUMMYFUNCTION("""COMPUTED_VALUE"""),"Wave Skip")</f>
        <v>Wave Skip</v>
      </c>
      <c r="AF18" s="299">
        <f>IFERROR(__xludf.DUMMYFUNCTION("""COMPUTED_VALUE"""),7.0)</f>
        <v>7</v>
      </c>
      <c r="AG18" s="252" t="b">
        <f>IFERROR(__xludf.DUMMYFUNCTION("""COMPUTED_VALUE"""),FALSE)</f>
        <v>0</v>
      </c>
      <c r="AH18" s="317" t="str">
        <f>IFERROR(__xludf.DUMMYFUNCTION("""COMPUTED_VALUE"""),"Cash")</f>
        <v>Cash</v>
      </c>
      <c r="AI18" s="254" t="str">
        <f>IFERROR(__xludf.DUMMYFUNCTION("""COMPUTED_VALUE"""),"Land Mine Stun")</f>
        <v>Land Mine Stun</v>
      </c>
      <c r="AJ18" s="287"/>
      <c r="AK18" s="278"/>
      <c r="AL18" s="246"/>
      <c r="AM18" s="259" t="str">
        <f>IFERROR(__xludf.DUMMYFUNCTION("""COMPUTED_VALUE"""),"Damage / Meter")</f>
        <v>Damage / Meter</v>
      </c>
      <c r="AN18" s="298">
        <f>IFERROR(__xludf.DUMMYFUNCTION("""COMPUTED_VALUE"""),0.42999999999999994)</f>
        <v>0.43</v>
      </c>
      <c r="AO18" s="274"/>
      <c r="AP18" s="259" t="str">
        <f>IFERROR(__xludf.DUMMYFUNCTION("""COMPUTED_VALUE"""),"Critical Factor")</f>
        <v>Critical Factor</v>
      </c>
      <c r="AQ18" s="348">
        <f>IFERROR(__xludf.DUMMYFUNCTION("""COMPUTED_VALUE"""),0.0)</f>
        <v>0</v>
      </c>
      <c r="AR18" s="246"/>
      <c r="AS18" s="276"/>
      <c r="AT18" s="276"/>
      <c r="AU18" s="245"/>
      <c r="AV18" s="287"/>
      <c r="AW18" s="287"/>
      <c r="AX18" s="246"/>
      <c r="AY18" s="245"/>
      <c r="AZ18" s="245"/>
      <c r="BA18" s="246"/>
      <c r="BB18" s="245"/>
      <c r="BC18" s="245"/>
      <c r="BD18" s="245"/>
      <c r="BE18" s="245"/>
      <c r="BF18" s="245"/>
      <c r="BG18" s="245"/>
      <c r="BH18" s="245"/>
      <c r="BI18" s="245"/>
      <c r="BJ18" s="245"/>
      <c r="BK18" s="245"/>
      <c r="BL18" s="245"/>
      <c r="BM18" s="245"/>
      <c r="BN18" s="245"/>
      <c r="BO18" s="245"/>
      <c r="BP18" s="245"/>
      <c r="BQ18" s="245"/>
      <c r="BR18" s="245"/>
      <c r="BS18" s="245"/>
      <c r="BT18" s="246"/>
      <c r="BU18" s="245"/>
      <c r="BV18" s="245"/>
      <c r="BW18" s="245" t="str">
        <f>IFERROR(__xludf.DUMMYFUNCTION("""COMPUTED_VALUE"""),"Range Bonus")</f>
        <v>Range Bonus</v>
      </c>
      <c r="BX18" s="353">
        <f>IFERROR(__xludf.DUMMYFUNCTION("""COMPUTED_VALUE"""),2.0)</f>
        <v>2</v>
      </c>
      <c r="BY18" s="254" t="str">
        <f>IFERROR(__xludf.DUMMYFUNCTION("""COMPUTED_VALUE"""),"00 | 2.0x | Cost 0 ⧈ | Next 10 ⧈")</f>
        <v>00 | 2.0x | Cost 0 ⧈ | Next 10 ⧈</v>
      </c>
      <c r="BZ18" s="354" t="str">
        <f>IFERROR(__xludf.DUMMYFUNCTION("""COMPUTED_VALUE"""),"Tier 16")</f>
        <v>Tier 16</v>
      </c>
      <c r="CA18" s="245">
        <f>IFERROR(__xludf.DUMMYFUNCTION("""COMPUTED_VALUE"""),3578.0)</f>
        <v>3578</v>
      </c>
      <c r="CB18" s="245" t="b">
        <f>IFERROR(__xludf.DUMMYFUNCTION("""COMPUTED_VALUE"""),TRUE)</f>
        <v>1</v>
      </c>
      <c r="CC18" s="245"/>
      <c r="CD18" s="245"/>
      <c r="CE18" s="245"/>
      <c r="CF18" s="245"/>
    </row>
    <row r="19">
      <c r="A19" s="259" t="str">
        <f>IFERROR(__xludf.DUMMYFUNCTION("""COMPUTED_VALUE"""),"Damage")</f>
        <v>Damage</v>
      </c>
      <c r="B19" s="260">
        <f>IFERROR(__xludf.DUMMYFUNCTION("""COMPUTED_VALUE"""),69.0)</f>
        <v>69</v>
      </c>
      <c r="C19" s="245"/>
      <c r="D19" s="261">
        <f>IFERROR(__xludf.DUMMYFUNCTION("""COMPUTED_VALUE"""),100.0)</f>
        <v>100</v>
      </c>
      <c r="E19" s="280" t="b">
        <f>IFERROR(__xludf.DUMMYFUNCTION("""COMPUTED_VALUE"""),TRUE)</f>
        <v>1</v>
      </c>
      <c r="F19" s="259" t="str">
        <f>IFERROR(__xludf.DUMMYFUNCTION("""COMPUTED_VALUE"""),"Rend Armor Chance")</f>
        <v>Rend Armor Chance</v>
      </c>
      <c r="G19" s="260">
        <f>IFERROR(__xludf.DUMMYFUNCTION("""COMPUTED_VALUE"""),80.0)</f>
        <v>80</v>
      </c>
      <c r="H19" s="245">
        <f>IFERROR(__xludf.DUMMYFUNCTION("""COMPUTED_VALUE"""),299.0)</f>
        <v>299</v>
      </c>
      <c r="I19" s="245">
        <f>IFERROR(__xludf.DUMMYFUNCTION("""COMPUTED_VALUE"""),80.0)</f>
        <v>80</v>
      </c>
      <c r="J19" s="245">
        <f>IFERROR(__xludf.DUMMYFUNCTION("""COMPUTED_VALUE"""),299.0)</f>
        <v>299</v>
      </c>
      <c r="K19" s="265"/>
      <c r="L19" s="245"/>
      <c r="M19" s="245"/>
      <c r="N19" s="245"/>
      <c r="O19" s="245"/>
      <c r="P19" s="245"/>
      <c r="Q19" s="294">
        <f>IFERROR(__xludf.DUMMYFUNCTION("""COMPUTED_VALUE"""),299.0)</f>
        <v>299</v>
      </c>
      <c r="R19" s="271" t="str">
        <f>IFERROR(__xludf.DUMMYFUNCTION("""COMPUTED_VALUE"""),"Free Upgrades +")</f>
        <v>Free Upgrades +</v>
      </c>
      <c r="S19" s="295">
        <f>IFERROR(__xludf.DUMMYFUNCTION("""COMPUTED_VALUE"""),1.12)</f>
        <v>1.12</v>
      </c>
      <c r="T19" s="260">
        <f>IFERROR(__xludf.DUMMYFUNCTION("""COMPUTED_VALUE"""),12.0)</f>
        <v>12</v>
      </c>
      <c r="U19" s="245">
        <f>IFERROR(__xludf.DUMMYFUNCTION("""COMPUTED_VALUE"""),12.0)</f>
        <v>12</v>
      </c>
      <c r="V19" s="245"/>
      <c r="W19" s="245"/>
      <c r="X19" s="245"/>
      <c r="Y19" s="296">
        <f>IFERROR(__xludf.DUMMYFUNCTION("""COMPUTED_VALUE"""),100.0)</f>
        <v>100</v>
      </c>
      <c r="Z19" s="276"/>
      <c r="AA19" s="245"/>
      <c r="AB19" s="266" t="str">
        <f>IFERROR(__xludf.DUMMYFUNCTION("""COMPUTED_VALUE"""),"Quantity")</f>
        <v>Quantity</v>
      </c>
      <c r="AC19" s="285">
        <f>IFERROR(__xludf.DUMMYFUNCTION("""COMPUTED_VALUE"""),3.0)</f>
        <v>3</v>
      </c>
      <c r="AD19" s="268" t="str">
        <f>IFERROR(__xludf.DUMMYFUNCTION("""COMPUTED_VALUE"""),"00 | #3 | Cost 0 ⧌ | Next 50 ⧌")</f>
        <v>00 | #3 | Cost 0 ⧌ | Next 50 ⧌</v>
      </c>
      <c r="AE19" s="272" t="str">
        <f>IFERROR(__xludf.DUMMYFUNCTION("""COMPUTED_VALUE"""),"Intro Sprint")</f>
        <v>Intro Sprint</v>
      </c>
      <c r="AF19" s="299">
        <f>IFERROR(__xludf.DUMMYFUNCTION("""COMPUTED_VALUE"""),7.0)</f>
        <v>7</v>
      </c>
      <c r="AG19" s="252" t="b">
        <f>IFERROR(__xludf.DUMMYFUNCTION("""COMPUTED_VALUE"""),TRUE)</f>
        <v>1</v>
      </c>
      <c r="AH19" s="286" t="str">
        <f>IFERROR(__xludf.DUMMYFUNCTION("""COMPUTED_VALUE"""),"Free Upgrades")</f>
        <v>Free Upgrades</v>
      </c>
      <c r="AI19" s="254" t="str">
        <f>IFERROR(__xludf.DUMMYFUNCTION("""COMPUTED_VALUE"""),"Second Wind")</f>
        <v>Second Wind</v>
      </c>
      <c r="AJ19" s="287"/>
      <c r="AK19" s="278"/>
      <c r="AL19" s="246"/>
      <c r="AM19" s="259" t="str">
        <f>IFERROR(__xludf.DUMMYFUNCTION("""COMPUTED_VALUE"""),"Super Critical Chance")</f>
        <v>Super Critical Chance</v>
      </c>
      <c r="AN19" s="298">
        <f>IFERROR(__xludf.DUMMYFUNCTION("""COMPUTED_VALUE"""),0.04)</f>
        <v>0.04</v>
      </c>
      <c r="AO19" s="274"/>
      <c r="AP19" s="259" t="str">
        <f>IFERROR(__xludf.DUMMYFUNCTION("""COMPUTED_VALUE"""),"Damage / Meter")</f>
        <v>Damage / Meter</v>
      </c>
      <c r="AQ19" s="348">
        <f>IFERROR(__xludf.DUMMYFUNCTION("""COMPUTED_VALUE"""),0.0)</f>
        <v>0</v>
      </c>
      <c r="AR19" s="246"/>
      <c r="AS19" s="276"/>
      <c r="AT19" s="276"/>
      <c r="AU19" s="245"/>
      <c r="AV19" s="287"/>
      <c r="AW19" s="287"/>
      <c r="AX19" s="246"/>
      <c r="AY19" s="245"/>
      <c r="AZ19" s="245"/>
      <c r="BA19" s="246"/>
      <c r="BB19" s="245" t="str">
        <f>IFERROR(__xludf.DUMMYFUNCTION("""COMPUTED_VALUE"""),"Placeholder 4th preset")</f>
        <v>Placeholder 4th preset</v>
      </c>
      <c r="BC19" s="245"/>
      <c r="BD19" s="245"/>
      <c r="BE19" s="245"/>
      <c r="BF19" s="245"/>
      <c r="BG19" s="245" t="str">
        <f>IFERROR(__xludf.DUMMYFUNCTION("""COMPUTED_VALUE"""),"Placeholder 4th preset")</f>
        <v>Placeholder 4th preset</v>
      </c>
      <c r="BH19" s="245"/>
      <c r="BI19" s="245"/>
      <c r="BJ19" s="245"/>
      <c r="BK19" s="245"/>
      <c r="BL19" s="245" t="str">
        <f>IFERROR(__xludf.DUMMYFUNCTION("""COMPUTED_VALUE"""),"Placeholder 4th preset")</f>
        <v>Placeholder 4th preset</v>
      </c>
      <c r="BM19" s="245"/>
      <c r="BN19" s="245"/>
      <c r="BO19" s="245"/>
      <c r="BP19" s="245"/>
      <c r="BQ19" s="245" t="str">
        <f>IFERROR(__xludf.DUMMYFUNCTION("""COMPUTED_VALUE"""),"Placeholder 4th preset")</f>
        <v>Placeholder 4th preset</v>
      </c>
      <c r="BR19" s="245"/>
      <c r="BS19" s="245"/>
      <c r="BT19" s="246"/>
      <c r="BU19" s="245" t="b">
        <f>IFERROR(__xludf.DUMMYFUNCTION("""COMPUTED_VALUE"""),FALSE)</f>
        <v>0</v>
      </c>
      <c r="BV19" s="305" t="str">
        <f>IFERROR(__xludf.DUMMYFUNCTION("""COMPUTED_VALUE"""),"Locked")</f>
        <v>Locked</v>
      </c>
      <c r="BW19" s="245" t="str">
        <f>IFERROR(__xludf.DUMMYFUNCTION("""COMPUTED_VALUE"""),"Duration")</f>
        <v>Duration</v>
      </c>
      <c r="BX19" s="355">
        <f>IFERROR(__xludf.DUMMYFUNCTION("""COMPUTED_VALUE"""),5.0)</f>
        <v>5</v>
      </c>
      <c r="BY19" s="254" t="str">
        <f>IFERROR(__xludf.DUMMYFUNCTION("""COMPUTED_VALUE"""),"00 | 5s | Cost 0 ⧈ | Next 10 ⧈")</f>
        <v>00 | 5s | Cost 0 ⧈ | Next 10 ⧈</v>
      </c>
      <c r="BZ19" s="282" t="str">
        <f>IFERROR(__xludf.DUMMYFUNCTION("""COMPUTED_VALUE"""),"Tier 17")</f>
        <v>Tier 17</v>
      </c>
      <c r="CA19" s="245">
        <f>IFERROR(__xludf.DUMMYFUNCTION("""COMPUTED_VALUE"""),2010.0)</f>
        <v>2010</v>
      </c>
      <c r="CB19" s="245"/>
      <c r="CC19" s="245"/>
      <c r="CD19" s="245"/>
      <c r="CE19" s="245"/>
      <c r="CF19" s="245"/>
    </row>
    <row r="20">
      <c r="A20" s="259" t="str">
        <f>IFERROR(__xludf.DUMMYFUNCTION("""COMPUTED_VALUE"""),"Attack Speed")</f>
        <v>Attack Speed</v>
      </c>
      <c r="B20" s="260">
        <f>IFERROR(__xludf.DUMMYFUNCTION("""COMPUTED_VALUE"""),75.0)</f>
        <v>75</v>
      </c>
      <c r="C20" s="245"/>
      <c r="D20" s="261">
        <f>IFERROR(__xludf.DUMMYFUNCTION("""COMPUTED_VALUE"""),99.0)</f>
        <v>99</v>
      </c>
      <c r="E20" s="245"/>
      <c r="F20" s="259" t="str">
        <f>IFERROR(__xludf.DUMMYFUNCTION("""COMPUTED_VALUE"""),"Rend Armor Mult")</f>
        <v>Rend Armor Mult</v>
      </c>
      <c r="G20" s="260">
        <f>IFERROR(__xludf.DUMMYFUNCTION("""COMPUTED_VALUE"""),70.0)</f>
        <v>70</v>
      </c>
      <c r="H20" s="245">
        <f>IFERROR(__xludf.DUMMYFUNCTION("""COMPUTED_VALUE"""),299.0)</f>
        <v>299</v>
      </c>
      <c r="I20" s="245">
        <f>IFERROR(__xludf.DUMMYFUNCTION("""COMPUTED_VALUE"""),70.0)</f>
        <v>70</v>
      </c>
      <c r="J20" s="245">
        <f>IFERROR(__xludf.DUMMYFUNCTION("""COMPUTED_VALUE"""),299.0)</f>
        <v>299</v>
      </c>
      <c r="K20" s="265"/>
      <c r="L20" s="245"/>
      <c r="M20" s="245"/>
      <c r="N20" s="245"/>
      <c r="O20" s="245"/>
      <c r="P20" s="245"/>
      <c r="Q20" s="294">
        <f>IFERROR(__xludf.DUMMYFUNCTION("""COMPUTED_VALUE"""),299.0)</f>
        <v>299</v>
      </c>
      <c r="R20" s="254" t="str">
        <f>IFERROR(__xludf.DUMMYFUNCTION("""COMPUTED_VALUE"""),"Recovery Package +")</f>
        <v>Recovery Package +</v>
      </c>
      <c r="S20" s="356">
        <f>IFERROR(__xludf.DUMMYFUNCTION("""COMPUTED_VALUE"""),1.42)</f>
        <v>1.42</v>
      </c>
      <c r="T20" s="260">
        <f>IFERROR(__xludf.DUMMYFUNCTION("""COMPUTED_VALUE"""),42.0)</f>
        <v>42</v>
      </c>
      <c r="U20" s="245">
        <f>IFERROR(__xludf.DUMMYFUNCTION("""COMPUTED_VALUE"""),42.0)</f>
        <v>42</v>
      </c>
      <c r="V20" s="245"/>
      <c r="W20" s="245"/>
      <c r="X20" s="245"/>
      <c r="Y20" s="296">
        <f>IFERROR(__xludf.DUMMYFUNCTION("""COMPUTED_VALUE"""),300.0)</f>
        <v>300</v>
      </c>
      <c r="Z20" s="297" t="b">
        <f>IFERROR(__xludf.DUMMYFUNCTION("""COMPUTED_VALUE"""),FALSE)</f>
        <v>0</v>
      </c>
      <c r="AA20" s="259" t="str">
        <f>IFERROR(__xludf.DUMMYFUNCTION("""COMPUTED_VALUE"""),"UW Locked")</f>
        <v>UW Locked</v>
      </c>
      <c r="AB20" s="266" t="str">
        <f>IFERROR(__xludf.DUMMYFUNCTION("""COMPUTED_VALUE"""),"Cooldown")</f>
        <v>Cooldown</v>
      </c>
      <c r="AC20" s="326">
        <f>IFERROR(__xludf.DUMMYFUNCTION("""COMPUTED_VALUE"""),200.0)</f>
        <v>200</v>
      </c>
      <c r="AD20" s="268" t="str">
        <f>IFERROR(__xludf.DUMMYFUNCTION("""COMPUTED_VALUE"""),"00 | 200s | Cost 0 ⧌ | Next 8 ⧌")</f>
        <v>00 | 200s | Cost 0 ⧌ | Next 8 ⧌</v>
      </c>
      <c r="AE20" s="272" t="str">
        <f>IFERROR(__xludf.DUMMYFUNCTION("""COMPUTED_VALUE"""),"Land Mine Stun")</f>
        <v>Land Mine Stun</v>
      </c>
      <c r="AF20" s="299">
        <f>IFERROR(__xludf.DUMMYFUNCTION("""COMPUTED_VALUE"""),7.0)</f>
        <v>7</v>
      </c>
      <c r="AG20" s="252" t="b">
        <f>IFERROR(__xludf.DUMMYFUNCTION("""COMPUTED_VALUE"""),FALSE)</f>
        <v>0</v>
      </c>
      <c r="AH20" s="327"/>
      <c r="AI20" s="254"/>
      <c r="AJ20" s="287"/>
      <c r="AK20" s="278"/>
      <c r="AL20" s="246"/>
      <c r="AM20" s="259" t="str">
        <f>IFERROR(__xludf.DUMMYFUNCTION("""COMPUTED_VALUE"""),"Super Critical Mult")</f>
        <v>Super Critical Mult</v>
      </c>
      <c r="AN20" s="298">
        <f>IFERROR(__xludf.DUMMYFUNCTION("""COMPUTED_VALUE"""),0.05)</f>
        <v>0.05</v>
      </c>
      <c r="AO20" s="274"/>
      <c r="AP20" s="259" t="str">
        <f>IFERROR(__xludf.DUMMYFUNCTION("""COMPUTED_VALUE"""),"Multishot Chance")</f>
        <v>Multishot Chance</v>
      </c>
      <c r="AQ20" s="348">
        <f>IFERROR(__xludf.DUMMYFUNCTION("""COMPUTED_VALUE"""),0.0)</f>
        <v>0</v>
      </c>
      <c r="AR20" s="246"/>
      <c r="AS20" s="276"/>
      <c r="AT20" s="276"/>
      <c r="AU20" s="245"/>
      <c r="AV20" s="287"/>
      <c r="AW20" s="287"/>
      <c r="AX20" s="246"/>
      <c r="AY20" s="245"/>
      <c r="AZ20" s="245"/>
      <c r="BA20" s="246"/>
      <c r="BB20" s="245"/>
      <c r="BC20" s="245"/>
      <c r="BD20" s="245"/>
      <c r="BE20" s="245"/>
      <c r="BF20" s="245"/>
      <c r="BG20" s="245"/>
      <c r="BH20" s="245"/>
      <c r="BI20" s="245"/>
      <c r="BJ20" s="245"/>
      <c r="BK20" s="245"/>
      <c r="BL20" s="245"/>
      <c r="BM20" s="245"/>
      <c r="BN20" s="245"/>
      <c r="BO20" s="245"/>
      <c r="BP20" s="245"/>
      <c r="BQ20" s="245"/>
      <c r="BR20" s="245"/>
      <c r="BS20" s="245"/>
      <c r="BT20" s="246"/>
      <c r="BU20" s="245"/>
      <c r="BV20" s="245"/>
      <c r="BW20" s="245"/>
      <c r="BX20" s="245"/>
      <c r="BY20" s="245"/>
      <c r="BZ20" s="282" t="str">
        <f>IFERROR(__xludf.DUMMYFUNCTION("""COMPUTED_VALUE"""),"Tier 18")</f>
        <v>Tier 18</v>
      </c>
      <c r="CA20" s="245">
        <f>IFERROR(__xludf.DUMMYFUNCTION("""COMPUTED_VALUE"""),348.0)</f>
        <v>348</v>
      </c>
      <c r="CB20" s="245"/>
      <c r="CC20" s="245"/>
      <c r="CD20" s="245"/>
      <c r="CE20" s="245"/>
      <c r="CF20" s="245"/>
    </row>
    <row r="21">
      <c r="A21" s="259" t="str">
        <f>IFERROR(__xludf.DUMMYFUNCTION("""COMPUTED_VALUE"""),"Critical Factor")</f>
        <v>Critical Factor</v>
      </c>
      <c r="B21" s="260">
        <f>IFERROR(__xludf.DUMMYFUNCTION("""COMPUTED_VALUE"""),83.0)</f>
        <v>83</v>
      </c>
      <c r="C21" s="245"/>
      <c r="D21" s="261">
        <f>IFERROR(__xludf.DUMMYFUNCTION("""COMPUTED_VALUE"""),99.0)</f>
        <v>99</v>
      </c>
      <c r="E21" s="245" t="str">
        <f>IFERROR(__xludf.DUMMYFUNCTION("""COMPUTED_VALUE""")," ")</f>
        <v> </v>
      </c>
      <c r="F21" s="259" t="str">
        <f>IFERROR(__xludf.DUMMYFUNCTION("""COMPUTED_VALUE"""),"Health")</f>
        <v>Health</v>
      </c>
      <c r="G21" s="260">
        <f>IFERROR(__xludf.DUMMYFUNCTION("""COMPUTED_VALUE"""),5700.0)</f>
        <v>5700</v>
      </c>
      <c r="H21" s="260">
        <f>IFERROR(__xludf.DUMMYFUNCTION("""COMPUTED_VALUE"""),6000.0)</f>
        <v>6000</v>
      </c>
      <c r="I21" s="245">
        <f>IFERROR(__xludf.DUMMYFUNCTION("""COMPUTED_VALUE"""),5700.0)</f>
        <v>5700</v>
      </c>
      <c r="J21" s="245">
        <f>IFERROR(__xludf.DUMMYFUNCTION("""COMPUTED_VALUE"""),6000.0)</f>
        <v>6000</v>
      </c>
      <c r="K21" s="265"/>
      <c r="L21" s="245"/>
      <c r="M21" s="245"/>
      <c r="N21" s="245"/>
      <c r="O21" s="245"/>
      <c r="P21" s="245"/>
      <c r="Q21" s="294">
        <f>IFERROR(__xludf.DUMMYFUNCTION("""COMPUTED_VALUE"""),6000.0)</f>
        <v>6000</v>
      </c>
      <c r="R21" s="254" t="str">
        <f>IFERROR(__xludf.DUMMYFUNCTION("""COMPUTED_VALUE"""),"Enemy Level Skips +")</f>
        <v>Enemy Level Skips +</v>
      </c>
      <c r="S21" s="356">
        <f>IFERROR(__xludf.DUMMYFUNCTION("""COMPUTED_VALUE"""),1.15)</f>
        <v>1.15</v>
      </c>
      <c r="T21" s="260">
        <f>IFERROR(__xludf.DUMMYFUNCTION("""COMPUTED_VALUE"""),15.0)</f>
        <v>15</v>
      </c>
      <c r="U21" s="245">
        <f>IFERROR(__xludf.DUMMYFUNCTION("""COMPUTED_VALUE"""),15.0)</f>
        <v>15</v>
      </c>
      <c r="V21" s="245"/>
      <c r="W21" s="245"/>
      <c r="X21" s="245"/>
      <c r="Y21" s="296">
        <f>IFERROR(__xludf.DUMMYFUNCTION("""COMPUTED_VALUE"""),60.0)</f>
        <v>60</v>
      </c>
      <c r="Z21" s="266" t="str">
        <f>IFERROR(__xludf.DUMMYFUNCTION("""COMPUTED_VALUE"""),"UW+")</f>
        <v>UW+</v>
      </c>
      <c r="AA21" s="245"/>
      <c r="AB21" s="266" t="str">
        <f>IFERROR(__xludf.DUMMYFUNCTION("""COMPUTED_VALUE"""),"Charged Mines")</f>
        <v>Charged Mines</v>
      </c>
      <c r="AC21" s="357" t="str">
        <f>IFERROR(__xludf.DUMMYFUNCTION("""COMPUTED_VALUE"""),"Locked")</f>
        <v>Locked</v>
      </c>
      <c r="AD21" s="268" t="str">
        <f>IFERROR(__xludf.DUMMYFUNCTION("""COMPUTED_VALUE"""),"Lo | Locked")</f>
        <v>Lo | Locked</v>
      </c>
      <c r="AE21" s="272" t="str">
        <f>IFERROR(__xludf.DUMMYFUNCTION("""COMPUTED_VALUE"""),"Recovery Package Chance")</f>
        <v>Recovery Package Chance</v>
      </c>
      <c r="AF21" s="299">
        <f>IFERROR(__xludf.DUMMYFUNCTION("""COMPUTED_VALUE"""),7.0)</f>
        <v>7</v>
      </c>
      <c r="AG21" s="252" t="b">
        <f>IFERROR(__xludf.DUMMYFUNCTION("""COMPUTED_VALUE"""),TRUE)</f>
        <v>1</v>
      </c>
      <c r="AH21" s="358"/>
      <c r="AI21" s="254"/>
      <c r="AJ21" s="287"/>
      <c r="AK21" s="278"/>
      <c r="AL21" s="246"/>
      <c r="AM21" s="259" t="str">
        <f>IFERROR(__xludf.DUMMYFUNCTION("""COMPUTED_VALUE"""),"Rend Armor Mult")</f>
        <v>Rend Armor Mult</v>
      </c>
      <c r="AN21" s="287">
        <f>IFERROR(__xludf.DUMMYFUNCTION("""COMPUTED_VALUE"""),0.0)</f>
        <v>0</v>
      </c>
      <c r="AO21" s="274"/>
      <c r="AP21" s="259" t="str">
        <f>IFERROR(__xludf.DUMMYFUNCTION("""COMPUTED_VALUE"""),"Rapid Fire Chance")</f>
        <v>Rapid Fire Chance</v>
      </c>
      <c r="AQ21" s="348">
        <f>IFERROR(__xludf.DUMMYFUNCTION("""COMPUTED_VALUE"""),0.0)</f>
        <v>0</v>
      </c>
      <c r="AR21" s="246"/>
      <c r="AS21" s="276"/>
      <c r="AT21" s="276"/>
      <c r="AU21" s="245"/>
      <c r="AV21" s="287"/>
      <c r="AW21" s="287"/>
      <c r="AX21" s="246"/>
      <c r="AY21" s="245"/>
      <c r="AZ21" s="245"/>
      <c r="BA21" s="246"/>
      <c r="BB21" s="245"/>
      <c r="BC21" s="245"/>
      <c r="BD21" s="245"/>
      <c r="BE21" s="245"/>
      <c r="BF21" s="245"/>
      <c r="BG21" s="245"/>
      <c r="BH21" s="245"/>
      <c r="BI21" s="245"/>
      <c r="BJ21" s="245"/>
      <c r="BK21" s="245"/>
      <c r="BL21" s="245"/>
      <c r="BM21" s="245"/>
      <c r="BN21" s="245"/>
      <c r="BO21" s="245"/>
      <c r="BP21" s="245"/>
      <c r="BQ21" s="245"/>
      <c r="BR21" s="245"/>
      <c r="BS21" s="245"/>
      <c r="BT21" s="246"/>
      <c r="BU21" s="245"/>
      <c r="BV21" s="245"/>
      <c r="BW21" s="245"/>
      <c r="BX21" s="245"/>
      <c r="BY21" s="245"/>
      <c r="BZ21" s="354" t="str">
        <f>IFERROR(__xludf.DUMMYFUNCTION("""COMPUTED_VALUE"""),"Tier 19")</f>
        <v>Tier 19</v>
      </c>
      <c r="CA21" s="245">
        <f>IFERROR(__xludf.DUMMYFUNCTION("""COMPUTED_VALUE"""),52.0)</f>
        <v>52</v>
      </c>
      <c r="CB21" s="245" t="b">
        <f>IFERROR(__xludf.DUMMYFUNCTION("""COMPUTED_VALUE"""),FALSE)</f>
        <v>0</v>
      </c>
      <c r="CC21" s="245"/>
      <c r="CD21" s="245"/>
      <c r="CE21" s="245"/>
      <c r="CF21" s="245"/>
    </row>
    <row r="22">
      <c r="A22" s="259" t="str">
        <f>IFERROR(__xludf.DUMMYFUNCTION("""COMPUTED_VALUE"""),"Range")</f>
        <v>Range</v>
      </c>
      <c r="B22" s="260">
        <f>IFERROR(__xludf.DUMMYFUNCTION("""COMPUTED_VALUE"""),33.0)</f>
        <v>33</v>
      </c>
      <c r="C22" s="245"/>
      <c r="D22" s="261">
        <f>IFERROR(__xludf.DUMMYFUNCTION("""COMPUTED_VALUE"""),80.0)</f>
        <v>80</v>
      </c>
      <c r="E22" s="245"/>
      <c r="F22" s="259" t="str">
        <f>IFERROR(__xludf.DUMMYFUNCTION("""COMPUTED_VALUE"""),"Health Regen")</f>
        <v>Health Regen</v>
      </c>
      <c r="G22" s="260">
        <f>IFERROR(__xludf.DUMMYFUNCTION("""COMPUTED_VALUE"""),6000.0)</f>
        <v>6000</v>
      </c>
      <c r="H22" s="260">
        <f>IFERROR(__xludf.DUMMYFUNCTION("""COMPUTED_VALUE"""),6000.0)</f>
        <v>6000</v>
      </c>
      <c r="I22" s="245">
        <f>IFERROR(__xludf.DUMMYFUNCTION("""COMPUTED_VALUE"""),6000.0)</f>
        <v>6000</v>
      </c>
      <c r="J22" s="245">
        <f>IFERROR(__xludf.DUMMYFUNCTION("""COMPUTED_VALUE"""),6000.0)</f>
        <v>6000</v>
      </c>
      <c r="K22" s="265"/>
      <c r="L22" s="245"/>
      <c r="M22" s="245"/>
      <c r="N22" s="245"/>
      <c r="O22" s="245"/>
      <c r="P22" s="245"/>
      <c r="Q22" s="294">
        <f>IFERROR(__xludf.DUMMYFUNCTION("""COMPUTED_VALUE"""),6000.0)</f>
        <v>6000</v>
      </c>
      <c r="R22" s="254"/>
      <c r="S22" s="245"/>
      <c r="T22" s="245"/>
      <c r="U22" s="245"/>
      <c r="V22" s="245"/>
      <c r="W22" s="245"/>
      <c r="X22" s="245"/>
      <c r="Y22" s="249"/>
      <c r="Z22" s="266" t="str">
        <f>IFERROR(__xludf.DUMMYFUNCTION("""COMPUTED_VALUE"""),"Golden Tower")</f>
        <v>Golden Tower</v>
      </c>
      <c r="AA22" s="245"/>
      <c r="AB22" s="266" t="str">
        <f>IFERROR(__xludf.DUMMYFUNCTION("""COMPUTED_VALUE"""),"Multiplier")</f>
        <v>Multiplier</v>
      </c>
      <c r="AC22" s="359">
        <f>IFERROR(__xludf.DUMMYFUNCTION("""COMPUTED_VALUE"""),14.600000000000005)</f>
        <v>14.6</v>
      </c>
      <c r="AD22" s="268" t="str">
        <f>IFERROR(__xludf.DUMMYFUNCTION("""COMPUTED_VALUE"""),"12 | x14.6 | Cost 162 ⧌ | Next 250 ⧌")</f>
        <v>12 | x14.6 | Cost 162 ⧌ | Next 250 ⧌</v>
      </c>
      <c r="AE22" s="272" t="str">
        <f>IFERROR(__xludf.DUMMYFUNCTION("""COMPUTED_VALUE"""),"Death Ray")</f>
        <v>Death Ray</v>
      </c>
      <c r="AF22" s="299">
        <f>IFERROR(__xludf.DUMMYFUNCTION("""COMPUTED_VALUE"""),7.0)</f>
        <v>7</v>
      </c>
      <c r="AG22" s="252" t="b">
        <f>IFERROR(__xludf.DUMMYFUNCTION("""COMPUTED_VALUE"""),FALSE)</f>
        <v>0</v>
      </c>
      <c r="AH22" s="360"/>
      <c r="AI22" s="254"/>
      <c r="AJ22" s="287"/>
      <c r="AK22" s="278"/>
      <c r="AL22" s="246"/>
      <c r="AM22" s="259" t="str">
        <f>IFERROR(__xludf.DUMMYFUNCTION("""COMPUTED_VALUE"""),"Defense")</f>
        <v>Defense</v>
      </c>
      <c r="AN22" s="298"/>
      <c r="AO22" s="274"/>
      <c r="AP22" s="259" t="str">
        <f>IFERROR(__xludf.DUMMYFUNCTION("""COMPUTED_VALUE"""),"Bounce Shot Chance")</f>
        <v>Bounce Shot Chance</v>
      </c>
      <c r="AQ22" s="348">
        <f>IFERROR(__xludf.DUMMYFUNCTION("""COMPUTED_VALUE"""),0.0)</f>
        <v>0</v>
      </c>
      <c r="AR22" s="246"/>
      <c r="AS22" s="276"/>
      <c r="AT22" s="276"/>
      <c r="AU22" s="245"/>
      <c r="AV22" s="287"/>
      <c r="AW22" s="287"/>
      <c r="AX22" s="246"/>
      <c r="AY22" s="245"/>
      <c r="AZ22" s="245"/>
      <c r="BA22" s="246"/>
      <c r="BB22" s="245"/>
      <c r="BC22" s="245"/>
      <c r="BD22" s="245"/>
      <c r="BE22" s="245"/>
      <c r="BF22" s="245"/>
      <c r="BG22" s="245"/>
      <c r="BH22" s="245"/>
      <c r="BI22" s="245"/>
      <c r="BJ22" s="245"/>
      <c r="BK22" s="245"/>
      <c r="BL22" s="245"/>
      <c r="BM22" s="245"/>
      <c r="BN22" s="245"/>
      <c r="BO22" s="245"/>
      <c r="BP22" s="245"/>
      <c r="BQ22" s="245"/>
      <c r="BR22" s="245"/>
      <c r="BS22" s="245"/>
      <c r="BT22" s="246"/>
      <c r="BU22" s="245"/>
      <c r="BV22" s="245"/>
      <c r="BW22" s="245"/>
      <c r="BX22" s="245"/>
      <c r="BY22" s="245"/>
      <c r="BZ22" s="282" t="str">
        <f>IFERROR(__xludf.DUMMYFUNCTION("""COMPUTED_VALUE"""),"Tier 20")</f>
        <v>Tier 20</v>
      </c>
      <c r="CA22" s="245">
        <f>IFERROR(__xludf.DUMMYFUNCTION("""COMPUTED_VALUE"""),0.0)</f>
        <v>0</v>
      </c>
      <c r="CB22" s="245"/>
      <c r="CC22" s="245"/>
      <c r="CD22" s="245"/>
      <c r="CE22" s="245"/>
      <c r="CF22" s="245"/>
    </row>
    <row r="23">
      <c r="A23" s="259" t="str">
        <f>IFERROR(__xludf.DUMMYFUNCTION("""COMPUTED_VALUE"""),"Damage / Meter")</f>
        <v>Damage / Meter</v>
      </c>
      <c r="B23" s="260">
        <f>IFERROR(__xludf.DUMMYFUNCTION("""COMPUTED_VALUE"""),16.0)</f>
        <v>16</v>
      </c>
      <c r="C23" s="245"/>
      <c r="D23" s="261">
        <f>IFERROR(__xludf.DUMMYFUNCTION("""COMPUTED_VALUE"""),99.0)</f>
        <v>99</v>
      </c>
      <c r="E23" s="280" t="b">
        <f>IFERROR(__xludf.DUMMYFUNCTION("""COMPUTED_VALUE"""),TRUE)</f>
        <v>1</v>
      </c>
      <c r="F23" s="259" t="str">
        <f>IFERROR(__xludf.DUMMYFUNCTION("""COMPUTED_VALUE"""),"Defense %")</f>
        <v>Defense %</v>
      </c>
      <c r="G23" s="260">
        <f>IFERROR(__xludf.DUMMYFUNCTION("""COMPUTED_VALUE"""),99.0)</f>
        <v>99</v>
      </c>
      <c r="H23" s="245">
        <f>IFERROR(__xludf.DUMMYFUNCTION("""COMPUTED_VALUE"""),99.0)</f>
        <v>99</v>
      </c>
      <c r="I23" s="245">
        <f>IFERROR(__xludf.DUMMYFUNCTION("""COMPUTED_VALUE"""),99.0)</f>
        <v>99</v>
      </c>
      <c r="J23" s="245">
        <f>IFERROR(__xludf.DUMMYFUNCTION("""COMPUTED_VALUE"""),99.0)</f>
        <v>99</v>
      </c>
      <c r="K23" s="265"/>
      <c r="L23" s="245"/>
      <c r="M23" s="245"/>
      <c r="N23" s="245"/>
      <c r="O23" s="245"/>
      <c r="P23" s="245"/>
      <c r="Q23" s="294">
        <f>IFERROR(__xludf.DUMMYFUNCTION("""COMPUTED_VALUE"""),99.0)</f>
        <v>99</v>
      </c>
      <c r="R23" s="254"/>
      <c r="S23" s="245"/>
      <c r="T23" s="245"/>
      <c r="U23" s="245"/>
      <c r="V23" s="245"/>
      <c r="W23" s="245"/>
      <c r="X23" s="245"/>
      <c r="Y23" s="249"/>
      <c r="Z23" s="276"/>
      <c r="AA23" s="245"/>
      <c r="AB23" s="266" t="str">
        <f>IFERROR(__xludf.DUMMYFUNCTION("""COMPUTED_VALUE"""),"Duration")</f>
        <v>Duration</v>
      </c>
      <c r="AC23" s="361">
        <f>IFERROR(__xludf.DUMMYFUNCTION("""COMPUTED_VALUE"""),22.0)</f>
        <v>22</v>
      </c>
      <c r="AD23" s="268" t="str">
        <f>IFERROR(__xludf.DUMMYFUNCTION("""COMPUTED_VALUE"""),"07 | 22s | Cost 59 ⧌ | Next 68 ⧌")</f>
        <v>07 | 22s | Cost 59 ⧌ | Next 68 ⧌</v>
      </c>
      <c r="AE23" s="272" t="str">
        <f>IFERROR(__xludf.DUMMYFUNCTION("""COMPUTED_VALUE"""),"Energy Net")</f>
        <v>Energy Net</v>
      </c>
      <c r="AF23" s="299">
        <f>IFERROR(__xludf.DUMMYFUNCTION("""COMPUTED_VALUE"""),7.0)</f>
        <v>7</v>
      </c>
      <c r="AG23" s="252" t="b">
        <f>IFERROR(__xludf.DUMMYFUNCTION("""COMPUTED_VALUE"""),FALSE)</f>
        <v>0</v>
      </c>
      <c r="AH23" s="362"/>
      <c r="AI23" s="254"/>
      <c r="AJ23" s="287"/>
      <c r="AK23" s="278"/>
      <c r="AL23" s="246"/>
      <c r="AM23" s="259" t="str">
        <f>IFERROR(__xludf.DUMMYFUNCTION("""COMPUTED_VALUE"""),"Health")</f>
        <v>Health</v>
      </c>
      <c r="AN23" s="298">
        <f>IFERROR(__xludf.DUMMYFUNCTION("""COMPUTED_VALUE"""),0.51)</f>
        <v>0.51</v>
      </c>
      <c r="AO23" s="274"/>
      <c r="AP23" s="259" t="str">
        <f>IFERROR(__xludf.DUMMYFUNCTION("""COMPUTED_VALUE"""),"Super Crit Chance")</f>
        <v>Super Crit Chance</v>
      </c>
      <c r="AQ23" s="348">
        <f>IFERROR(__xludf.DUMMYFUNCTION("""COMPUTED_VALUE"""),0.0)</f>
        <v>0</v>
      </c>
      <c r="AR23" s="246"/>
      <c r="AS23" s="276"/>
      <c r="AT23" s="276"/>
      <c r="AU23" s="245"/>
      <c r="AV23" s="287"/>
      <c r="AW23" s="287"/>
      <c r="AX23" s="246"/>
      <c r="AY23" s="245"/>
      <c r="AZ23" s="245"/>
      <c r="BA23" s="246"/>
      <c r="BB23" s="245" t="str">
        <f>IFERROR(__xludf.DUMMYFUNCTION("""COMPUTED_VALUE"""),"Placeholder 5th preset")</f>
        <v>Placeholder 5th preset</v>
      </c>
      <c r="BC23" s="245"/>
      <c r="BD23" s="245"/>
      <c r="BE23" s="245"/>
      <c r="BF23" s="245"/>
      <c r="BG23" s="245" t="str">
        <f>IFERROR(__xludf.DUMMYFUNCTION("""COMPUTED_VALUE"""),"Placeholder 5th preset")</f>
        <v>Placeholder 5th preset</v>
      </c>
      <c r="BH23" s="245"/>
      <c r="BI23" s="245"/>
      <c r="BJ23" s="245"/>
      <c r="BK23" s="245"/>
      <c r="BL23" s="245" t="str">
        <f>IFERROR(__xludf.DUMMYFUNCTION("""COMPUTED_VALUE"""),"Placeholder 5th preset")</f>
        <v>Placeholder 5th preset</v>
      </c>
      <c r="BM23" s="245"/>
      <c r="BN23" s="245"/>
      <c r="BO23" s="245"/>
      <c r="BP23" s="245"/>
      <c r="BQ23" s="245" t="str">
        <f>IFERROR(__xludf.DUMMYFUNCTION("""COMPUTED_VALUE"""),"Placeholder 5th preset")</f>
        <v>Placeholder 5th preset</v>
      </c>
      <c r="BR23" s="245"/>
      <c r="BS23" s="245"/>
      <c r="BT23" s="246"/>
      <c r="BU23" s="245"/>
      <c r="BV23" s="245"/>
      <c r="BW23" s="245"/>
      <c r="BX23" s="245"/>
      <c r="BY23" s="245"/>
      <c r="BZ23" s="282" t="str">
        <f>IFERROR(__xludf.DUMMYFUNCTION("""COMPUTED_VALUE"""),"Tier 21")</f>
        <v>Tier 21</v>
      </c>
      <c r="CA23" s="245">
        <f>IFERROR(__xludf.DUMMYFUNCTION("""COMPUTED_VALUE"""),0.0)</f>
        <v>0</v>
      </c>
      <c r="CB23" s="245"/>
      <c r="CC23" s="245"/>
      <c r="CD23" s="245"/>
      <c r="CE23" s="245"/>
      <c r="CF23" s="245"/>
    </row>
    <row r="24">
      <c r="A24" s="259" t="str">
        <f>IFERROR(__xludf.DUMMYFUNCTION("""COMPUTED_VALUE"""),"Super Crit Chance")</f>
        <v>Super Crit Chance</v>
      </c>
      <c r="B24" s="260">
        <f>IFERROR(__xludf.DUMMYFUNCTION("""COMPUTED_VALUE"""),9.0)</f>
        <v>9</v>
      </c>
      <c r="C24" s="245"/>
      <c r="D24" s="261">
        <f>IFERROR(__xludf.DUMMYFUNCTION("""COMPUTED_VALUE"""),50.0)</f>
        <v>50</v>
      </c>
      <c r="E24" s="245"/>
      <c r="F24" s="259" t="str">
        <f>IFERROR(__xludf.DUMMYFUNCTION("""COMPUTED_VALUE"""),"Defense Absolute")</f>
        <v>Defense Absolute</v>
      </c>
      <c r="G24" s="260">
        <f>IFERROR(__xludf.DUMMYFUNCTION("""COMPUTED_VALUE"""),5000.0)</f>
        <v>5000</v>
      </c>
      <c r="H24" s="260">
        <f>IFERROR(__xludf.DUMMYFUNCTION("""COMPUTED_VALUE"""),5000.0)</f>
        <v>5000</v>
      </c>
      <c r="I24" s="245">
        <f>IFERROR(__xludf.DUMMYFUNCTION("""COMPUTED_VALUE"""),5000.0)</f>
        <v>5000</v>
      </c>
      <c r="J24" s="245">
        <f>IFERROR(__xludf.DUMMYFUNCTION("""COMPUTED_VALUE"""),5000.0)</f>
        <v>5000</v>
      </c>
      <c r="K24" s="265"/>
      <c r="L24" s="245"/>
      <c r="M24" s="245"/>
      <c r="N24" s="245"/>
      <c r="O24" s="245"/>
      <c r="P24" s="245"/>
      <c r="Q24" s="294">
        <f>IFERROR(__xludf.DUMMYFUNCTION("""COMPUTED_VALUE"""),5000.0)</f>
        <v>5000</v>
      </c>
      <c r="R24" s="254"/>
      <c r="S24" s="245"/>
      <c r="T24" s="245"/>
      <c r="U24" s="245"/>
      <c r="V24" s="245"/>
      <c r="W24" s="245"/>
      <c r="X24" s="245"/>
      <c r="Y24" s="249"/>
      <c r="Z24" s="342" t="b">
        <f>IFERROR(__xludf.DUMMYFUNCTION("""COMPUTED_VALUE"""),TRUE)</f>
        <v>1</v>
      </c>
      <c r="AA24" s="310" t="str">
        <f>IFERROR(__xludf.DUMMYFUNCTION("""COMPUTED_VALUE"""),"UW Unlocked")</f>
        <v>UW Unlocked</v>
      </c>
      <c r="AB24" s="266" t="str">
        <f>IFERROR(__xludf.DUMMYFUNCTION("""COMPUTED_VALUE"""),"Cooldown")</f>
        <v>Cooldown</v>
      </c>
      <c r="AC24" s="326">
        <f>IFERROR(__xludf.DUMMYFUNCTION("""COMPUTED_VALUE"""),180.0)</f>
        <v>180</v>
      </c>
      <c r="AD24" s="268" t="str">
        <f>IFERROR(__xludf.DUMMYFUNCTION("""COMPUTED_VALUE"""),"12 | 180s | Cost 208 ⧌ | Next 226 ⧌")</f>
        <v>12 | 180s | Cost 208 ⧌ | Next 226 ⧌</v>
      </c>
      <c r="AE24" s="272" t="str">
        <f>IFERROR(__xludf.DUMMYFUNCTION("""COMPUTED_VALUE"""),"Super Tower")</f>
        <v>Super Tower</v>
      </c>
      <c r="AF24" s="299">
        <f>IFERROR(__xludf.DUMMYFUNCTION("""COMPUTED_VALUE"""),7.0)</f>
        <v>7</v>
      </c>
      <c r="AG24" s="252" t="b">
        <f>IFERROR(__xludf.DUMMYFUNCTION("""COMPUTED_VALUE"""),FALSE)</f>
        <v>0</v>
      </c>
      <c r="AH24" s="327"/>
      <c r="AI24" s="254"/>
      <c r="AJ24" s="287"/>
      <c r="AK24" s="278"/>
      <c r="AL24" s="246"/>
      <c r="AM24" s="259" t="str">
        <f>IFERROR(__xludf.DUMMYFUNCTION("""COMPUTED_VALUE"""),"Health Regen")</f>
        <v>Health Regen</v>
      </c>
      <c r="AN24" s="298">
        <f>IFERROR(__xludf.DUMMYFUNCTION("""COMPUTED_VALUE"""),0.22999999999999998)</f>
        <v>0.23</v>
      </c>
      <c r="AO24" s="274"/>
      <c r="AP24" s="259" t="str">
        <f>IFERROR(__xludf.DUMMYFUNCTION("""COMPUTED_VALUE"""),"Super Crit Mult")</f>
        <v>Super Crit Mult</v>
      </c>
      <c r="AQ24" s="348">
        <f>IFERROR(__xludf.DUMMYFUNCTION("""COMPUTED_VALUE"""),0.0)</f>
        <v>0</v>
      </c>
      <c r="AR24" s="246"/>
      <c r="AS24" s="276"/>
      <c r="AT24" s="276"/>
      <c r="AU24" s="245"/>
      <c r="AV24" s="287"/>
      <c r="AW24" s="287"/>
      <c r="AX24" s="246"/>
      <c r="AY24" s="245"/>
      <c r="AZ24" s="245"/>
      <c r="BA24" s="246"/>
      <c r="BB24" s="245"/>
      <c r="BC24" s="245"/>
      <c r="BD24" s="245"/>
      <c r="BE24" s="245"/>
      <c r="BF24" s="245"/>
      <c r="BG24" s="245"/>
      <c r="BH24" s="245"/>
      <c r="BI24" s="245"/>
      <c r="BJ24" s="245"/>
      <c r="BK24" s="245"/>
      <c r="BL24" s="245"/>
      <c r="BM24" s="245"/>
      <c r="BN24" s="245"/>
      <c r="BO24" s="245"/>
      <c r="BP24" s="245"/>
      <c r="BQ24" s="245"/>
      <c r="BR24" s="245"/>
      <c r="BS24" s="245"/>
      <c r="BT24" s="246"/>
      <c r="BU24" s="245"/>
      <c r="BV24" s="245"/>
      <c r="BW24" s="245"/>
      <c r="BX24" s="245"/>
      <c r="BY24" s="245"/>
      <c r="BZ24" s="282"/>
      <c r="CA24" s="245"/>
      <c r="CB24" s="245"/>
      <c r="CC24" s="245"/>
      <c r="CD24" s="245"/>
      <c r="CE24" s="245"/>
      <c r="CF24" s="245"/>
    </row>
    <row r="25">
      <c r="A25" s="259" t="str">
        <f>IFERROR(__xludf.DUMMYFUNCTION("""COMPUTED_VALUE"""),"Super Crit Multi")</f>
        <v>Super Crit Multi</v>
      </c>
      <c r="B25" s="260">
        <f>IFERROR(__xludf.DUMMYFUNCTION("""COMPUTED_VALUE"""),13.0)</f>
        <v>13</v>
      </c>
      <c r="C25" s="245"/>
      <c r="D25" s="261">
        <f>IFERROR(__xludf.DUMMYFUNCTION("""COMPUTED_VALUE"""),40.0)</f>
        <v>40</v>
      </c>
      <c r="E25" s="262" t="b">
        <f>IFERROR(__xludf.DUMMYFUNCTION("""COMPUTED_VALUE"""),TRUE)</f>
        <v>1</v>
      </c>
      <c r="F25" s="259" t="str">
        <f>IFERROR(__xludf.DUMMYFUNCTION("""COMPUTED_VALUE"""),"Thorn Damage")</f>
        <v>Thorn Damage</v>
      </c>
      <c r="G25" s="260">
        <f>IFERROR(__xludf.DUMMYFUNCTION("""COMPUTED_VALUE"""),99.0)</f>
        <v>99</v>
      </c>
      <c r="H25" s="245">
        <f>IFERROR(__xludf.DUMMYFUNCTION("""COMPUTED_VALUE"""),99.0)</f>
        <v>99</v>
      </c>
      <c r="I25" s="245">
        <f>IFERROR(__xludf.DUMMYFUNCTION("""COMPUTED_VALUE"""),99.0)</f>
        <v>99</v>
      </c>
      <c r="J25" s="245">
        <f>IFERROR(__xludf.DUMMYFUNCTION("""COMPUTED_VALUE"""),99.0)</f>
        <v>99</v>
      </c>
      <c r="K25" s="265"/>
      <c r="L25" s="245"/>
      <c r="M25" s="245"/>
      <c r="N25" s="245"/>
      <c r="O25" s="245"/>
      <c r="P25" s="245"/>
      <c r="Q25" s="294">
        <f>IFERROR(__xludf.DUMMYFUNCTION("""COMPUTED_VALUE"""),99.0)</f>
        <v>99</v>
      </c>
      <c r="R25" s="254"/>
      <c r="S25" s="245"/>
      <c r="T25" s="245"/>
      <c r="U25" s="245"/>
      <c r="V25" s="245"/>
      <c r="W25" s="245"/>
      <c r="X25" s="245"/>
      <c r="Y25" s="249"/>
      <c r="Z25" s="266" t="str">
        <f>IFERROR(__xludf.DUMMYFUNCTION("""COMPUTED_VALUE"""),"UW+")</f>
        <v>UW+</v>
      </c>
      <c r="AA25" s="245"/>
      <c r="AB25" s="266" t="str">
        <f>IFERROR(__xludf.DUMMYFUNCTION("""COMPUTED_VALUE"""),"Golden Combo")</f>
        <v>Golden Combo</v>
      </c>
      <c r="AC25" s="363" t="str">
        <f>IFERROR(__xludf.DUMMYFUNCTION("""COMPUTED_VALUE"""),"Locked")</f>
        <v>Locked</v>
      </c>
      <c r="AD25" s="268" t="str">
        <f>IFERROR(__xludf.DUMMYFUNCTION("""COMPUTED_VALUE"""),"Lo | Locked")</f>
        <v>Lo | Locked</v>
      </c>
      <c r="AE25" s="272" t="str">
        <f>IFERROR(__xludf.DUMMYFUNCTION("""COMPUTED_VALUE"""),"Second Wind")</f>
        <v>Second Wind</v>
      </c>
      <c r="AF25" s="299">
        <f>IFERROR(__xludf.DUMMYFUNCTION("""COMPUTED_VALUE"""),7.0)</f>
        <v>7</v>
      </c>
      <c r="AG25" s="252" t="b">
        <f>IFERROR(__xludf.DUMMYFUNCTION("""COMPUTED_VALUE"""),FALSE)</f>
        <v>0</v>
      </c>
      <c r="AH25" s="309"/>
      <c r="AI25" s="254"/>
      <c r="AJ25" s="287"/>
      <c r="AK25" s="278"/>
      <c r="AL25" s="246"/>
      <c r="AM25" s="259" t="str">
        <f>IFERROR(__xludf.DUMMYFUNCTION("""COMPUTED_VALUE"""),"Defense %")</f>
        <v>Defense %</v>
      </c>
      <c r="AN25" s="298">
        <f>IFERROR(__xludf.DUMMYFUNCTION("""COMPUTED_VALUE"""),0.04)</f>
        <v>0.04</v>
      </c>
      <c r="AO25" s="274"/>
      <c r="AP25" s="259" t="str">
        <f>IFERROR(__xludf.DUMMYFUNCTION("""COMPUTED_VALUE"""),"Rend Armor Chance")</f>
        <v>Rend Armor Chance</v>
      </c>
      <c r="AQ25" s="348">
        <f>IFERROR(__xludf.DUMMYFUNCTION("""COMPUTED_VALUE"""),0.0)</f>
        <v>0</v>
      </c>
      <c r="AR25" s="246"/>
      <c r="AS25" s="276"/>
      <c r="AT25" s="276"/>
      <c r="AU25" s="245"/>
      <c r="AV25" s="287"/>
      <c r="AW25" s="287"/>
      <c r="AX25" s="246"/>
      <c r="AY25" s="245"/>
      <c r="AZ25" s="245"/>
      <c r="BA25" s="246"/>
      <c r="BB25" s="245"/>
      <c r="BC25" s="245"/>
      <c r="BD25" s="245"/>
      <c r="BE25" s="245"/>
      <c r="BF25" s="245"/>
      <c r="BG25" s="245"/>
      <c r="BH25" s="245"/>
      <c r="BI25" s="245"/>
      <c r="BJ25" s="245"/>
      <c r="BK25" s="245"/>
      <c r="BL25" s="245"/>
      <c r="BM25" s="245"/>
      <c r="BN25" s="245"/>
      <c r="BO25" s="245"/>
      <c r="BP25" s="245"/>
      <c r="BQ25" s="245"/>
      <c r="BR25" s="245"/>
      <c r="BS25" s="245"/>
      <c r="BT25" s="246"/>
      <c r="BU25" s="245"/>
      <c r="BV25" s="245"/>
      <c r="BW25" s="245"/>
      <c r="BX25" s="245"/>
      <c r="BY25" s="245"/>
      <c r="BZ25" s="282"/>
      <c r="CA25" s="245"/>
      <c r="CB25" s="245"/>
      <c r="CC25" s="245"/>
      <c r="CD25" s="245"/>
      <c r="CE25" s="245"/>
      <c r="CF25" s="245"/>
    </row>
    <row r="26">
      <c r="A26" s="259" t="str">
        <f>IFERROR(__xludf.DUMMYFUNCTION("""COMPUTED_VALUE"""),"Max Rend Armor Multiplier")</f>
        <v>Max Rend Armor Multiplier</v>
      </c>
      <c r="B26" s="260">
        <f>IFERROR(__xludf.DUMMYFUNCTION("""COMPUTED_VALUE"""),0.0)</f>
        <v>0</v>
      </c>
      <c r="C26" s="245"/>
      <c r="D26" s="261">
        <f>IFERROR(__xludf.DUMMYFUNCTION("""COMPUTED_VALUE"""),30.0)</f>
        <v>30</v>
      </c>
      <c r="E26" s="280" t="b">
        <f>IFERROR(__xludf.DUMMYFUNCTION("""COMPUTED_VALUE"""),TRUE)</f>
        <v>1</v>
      </c>
      <c r="F26" s="259" t="str">
        <f>IFERROR(__xludf.DUMMYFUNCTION("""COMPUTED_VALUE"""),"Lifesteal")</f>
        <v>Lifesteal</v>
      </c>
      <c r="G26" s="260">
        <f>IFERROR(__xludf.DUMMYFUNCTION("""COMPUTED_VALUE"""),80.0)</f>
        <v>80</v>
      </c>
      <c r="H26" s="245">
        <f>IFERROR(__xludf.DUMMYFUNCTION("""COMPUTED_VALUE"""),80.0)</f>
        <v>80</v>
      </c>
      <c r="I26" s="245">
        <f>IFERROR(__xludf.DUMMYFUNCTION("""COMPUTED_VALUE"""),80.0)</f>
        <v>80</v>
      </c>
      <c r="J26" s="245">
        <f>IFERROR(__xludf.DUMMYFUNCTION("""COMPUTED_VALUE"""),80.0)</f>
        <v>80</v>
      </c>
      <c r="K26" s="265"/>
      <c r="L26" s="245"/>
      <c r="M26" s="245"/>
      <c r="N26" s="245"/>
      <c r="O26" s="245"/>
      <c r="P26" s="245"/>
      <c r="Q26" s="294">
        <f>IFERROR(__xludf.DUMMYFUNCTION("""COMPUTED_VALUE"""),80.0)</f>
        <v>80</v>
      </c>
      <c r="R26" s="254"/>
      <c r="S26" s="245"/>
      <c r="T26" s="245"/>
      <c r="U26" s="245"/>
      <c r="V26" s="245"/>
      <c r="W26" s="245"/>
      <c r="X26" s="245"/>
      <c r="Y26" s="249"/>
      <c r="Z26" s="266" t="str">
        <f>IFERROR(__xludf.DUMMYFUNCTION("""COMPUTED_VALUE"""),"Poison Swamp")</f>
        <v>Poison Swamp</v>
      </c>
      <c r="AA26" s="245"/>
      <c r="AB26" s="266" t="str">
        <f>IFERROR(__xludf.DUMMYFUNCTION("""COMPUTED_VALUE"""),"Damage")</f>
        <v>Damage</v>
      </c>
      <c r="AC26" s="364">
        <f>IFERROR(__xludf.DUMMYFUNCTION("""COMPUTED_VALUE"""),10.0)</f>
        <v>10</v>
      </c>
      <c r="AD26" s="268" t="str">
        <f>IFERROR(__xludf.DUMMYFUNCTION("""COMPUTED_VALUE"""),"00 | x10 | Cost 0 ⧌ | Next 5 ⧌")</f>
        <v>00 | x10 | Cost 0 ⧌ | Next 5 ⧌</v>
      </c>
      <c r="AE26" s="269" t="str">
        <f>IFERROR(__xludf.DUMMYFUNCTION("""COMPUTED_VALUE"""),"Demon Mode")</f>
        <v>Demon Mode</v>
      </c>
      <c r="AF26" s="299">
        <f>IFERROR(__xludf.DUMMYFUNCTION("""COMPUTED_VALUE"""),7.0)</f>
        <v>7</v>
      </c>
      <c r="AG26" s="252" t="b">
        <f>IFERROR(__xludf.DUMMYFUNCTION("""COMPUTED_VALUE"""),FALSE)</f>
        <v>0</v>
      </c>
      <c r="AH26" s="365"/>
      <c r="AI26" s="254"/>
      <c r="AJ26" s="287"/>
      <c r="AK26" s="278"/>
      <c r="AL26" s="246"/>
      <c r="AM26" s="259" t="str">
        <f>IFERROR(__xludf.DUMMYFUNCTION("""COMPUTED_VALUE"""),"Defense Absolute")</f>
        <v>Defense Absolute</v>
      </c>
      <c r="AN26" s="298">
        <f>IFERROR(__xludf.DUMMYFUNCTION("""COMPUTED_VALUE"""),0.28)</f>
        <v>0.28</v>
      </c>
      <c r="AO26" s="274"/>
      <c r="AP26" s="259" t="str">
        <f>IFERROR(__xludf.DUMMYFUNCTION("""COMPUTED_VALUE"""),"Rend Armor Mult")</f>
        <v>Rend Armor Mult</v>
      </c>
      <c r="AQ26" s="254">
        <f>IFERROR(__xludf.DUMMYFUNCTION("""COMPUTED_VALUE"""),0.0)</f>
        <v>0</v>
      </c>
      <c r="AR26" s="246"/>
      <c r="AS26" s="276"/>
      <c r="AT26" s="276"/>
      <c r="AU26" s="245"/>
      <c r="AV26" s="245"/>
      <c r="AW26" s="245"/>
      <c r="AX26" s="246"/>
      <c r="AY26" s="245"/>
      <c r="AZ26" s="245"/>
      <c r="BA26" s="246"/>
      <c r="BB26" s="245"/>
      <c r="BC26" s="245"/>
      <c r="BD26" s="245"/>
      <c r="BE26" s="245"/>
      <c r="BF26" s="245"/>
      <c r="BG26" s="245"/>
      <c r="BH26" s="245"/>
      <c r="BI26" s="245"/>
      <c r="BJ26" s="245"/>
      <c r="BK26" s="245"/>
      <c r="BL26" s="245"/>
      <c r="BM26" s="245"/>
      <c r="BN26" s="245"/>
      <c r="BO26" s="245"/>
      <c r="BP26" s="245"/>
      <c r="BQ26" s="245"/>
      <c r="BR26" s="245"/>
      <c r="BS26" s="245"/>
      <c r="BT26" s="246"/>
      <c r="BU26" s="245"/>
      <c r="BV26" s="245"/>
      <c r="BW26" s="245"/>
      <c r="BX26" s="245"/>
      <c r="BY26" s="245"/>
      <c r="BZ26" s="282"/>
      <c r="CA26" s="245"/>
      <c r="CB26" s="245"/>
      <c r="CC26" s="245"/>
      <c r="CD26" s="245"/>
      <c r="CE26" s="245"/>
      <c r="CF26" s="245"/>
    </row>
    <row r="27">
      <c r="A27" s="259" t="str">
        <f>IFERROR(__xludf.DUMMYFUNCTION("""COMPUTED_VALUE"""),"Light Speed Shots")</f>
        <v>Light Speed Shots</v>
      </c>
      <c r="B27" s="260">
        <f>IFERROR(__xludf.DUMMYFUNCTION("""COMPUTED_VALUE"""),1.0)</f>
        <v>1</v>
      </c>
      <c r="C27" s="245"/>
      <c r="D27" s="261">
        <f>IFERROR(__xludf.DUMMYFUNCTION("""COMPUTED_VALUE"""),1.0)</f>
        <v>1</v>
      </c>
      <c r="E27" s="280" t="b">
        <f>IFERROR(__xludf.DUMMYFUNCTION("""COMPUTED_VALUE"""),TRUE)</f>
        <v>1</v>
      </c>
      <c r="F27" s="259" t="str">
        <f>IFERROR(__xludf.DUMMYFUNCTION("""COMPUTED_VALUE"""),"Knockback Chance")</f>
        <v>Knockback Chance</v>
      </c>
      <c r="G27" s="260">
        <f>IFERROR(__xludf.DUMMYFUNCTION("""COMPUTED_VALUE"""),80.0)</f>
        <v>80</v>
      </c>
      <c r="H27" s="245">
        <f>IFERROR(__xludf.DUMMYFUNCTION("""COMPUTED_VALUE"""),80.0)</f>
        <v>80</v>
      </c>
      <c r="I27" s="245">
        <f>IFERROR(__xludf.DUMMYFUNCTION("""COMPUTED_VALUE"""),80.0)</f>
        <v>80</v>
      </c>
      <c r="J27" s="245">
        <f>IFERROR(__xludf.DUMMYFUNCTION("""COMPUTED_VALUE"""),80.0)</f>
        <v>80</v>
      </c>
      <c r="K27" s="265"/>
      <c r="L27" s="245"/>
      <c r="M27" s="245"/>
      <c r="N27" s="245"/>
      <c r="O27" s="245"/>
      <c r="P27" s="245"/>
      <c r="Q27" s="294">
        <f>IFERROR(__xludf.DUMMYFUNCTION("""COMPUTED_VALUE"""),80.0)</f>
        <v>80</v>
      </c>
      <c r="R27" s="254"/>
      <c r="S27" s="245"/>
      <c r="T27" s="245"/>
      <c r="U27" s="245"/>
      <c r="V27" s="245"/>
      <c r="W27" s="245"/>
      <c r="X27" s="245"/>
      <c r="Y27" s="249"/>
      <c r="Z27" s="276"/>
      <c r="AA27" s="245"/>
      <c r="AB27" s="266" t="str">
        <f>IFERROR(__xludf.DUMMYFUNCTION("""COMPUTED_VALUE"""),"Duration")</f>
        <v>Duration</v>
      </c>
      <c r="AC27" s="326">
        <f>IFERROR(__xludf.DUMMYFUNCTION("""COMPUTED_VALUE"""),30.0)</f>
        <v>30</v>
      </c>
      <c r="AD27" s="268" t="str">
        <f>IFERROR(__xludf.DUMMYFUNCTION("""COMPUTED_VALUE"""),"00 | 30s | Cost 0 ⧌ | Next 10 ⧌")</f>
        <v>00 | 30s | Cost 0 ⧌ | Next 10 ⧌</v>
      </c>
      <c r="AE27" s="272" t="str">
        <f>IFERROR(__xludf.DUMMYFUNCTION("""COMPUTED_VALUE"""),"Energy Shield")</f>
        <v>Energy Shield</v>
      </c>
      <c r="AF27" s="299">
        <f>IFERROR(__xludf.DUMMYFUNCTION("""COMPUTED_VALUE"""),7.0)</f>
        <v>7</v>
      </c>
      <c r="AG27" s="252" t="b">
        <f>IFERROR(__xludf.DUMMYFUNCTION("""COMPUTED_VALUE"""),FALSE)</f>
        <v>0</v>
      </c>
      <c r="AH27" s="327"/>
      <c r="AI27" s="254"/>
      <c r="AJ27" s="287"/>
      <c r="AK27" s="278"/>
      <c r="AL27" s="246"/>
      <c r="AM27" s="259" t="str">
        <f>IFERROR(__xludf.DUMMYFUNCTION("""COMPUTED_VALUE"""),"Thorns")</f>
        <v>Thorns</v>
      </c>
      <c r="AN27" s="298">
        <f>IFERROR(__xludf.DUMMYFUNCTION("""COMPUTED_VALUE"""),0.09000000000000001)</f>
        <v>0.09</v>
      </c>
      <c r="AO27" s="274"/>
      <c r="AP27" s="259" t="str">
        <f>IFERROR(__xludf.DUMMYFUNCTION("""COMPUTED_VALUE"""),"Defense")</f>
        <v>Defense</v>
      </c>
      <c r="AQ27" s="348"/>
      <c r="AR27" s="246"/>
      <c r="AS27" s="276"/>
      <c r="AT27" s="276"/>
      <c r="AU27" s="245"/>
      <c r="AV27" s="287"/>
      <c r="AW27" s="287"/>
      <c r="AX27" s="246"/>
      <c r="AY27" s="245"/>
      <c r="AZ27" s="245"/>
      <c r="BA27" s="246"/>
      <c r="BB27" s="245" t="str">
        <f>IFERROR(__xludf.DUMMYFUNCTION("""COMPUTED_VALUE"""),"Astral Deliverance")</f>
        <v>Astral Deliverance</v>
      </c>
      <c r="BC27" s="245"/>
      <c r="BD27" s="245"/>
      <c r="BE27" s="245"/>
      <c r="BF27" s="245"/>
      <c r="BG27" s="245" t="str">
        <f>IFERROR(__xludf.DUMMYFUNCTION("""COMPUTED_VALUE"""),"Anti-Cube Portal")</f>
        <v>Anti-Cube Portal</v>
      </c>
      <c r="BH27" s="245"/>
      <c r="BI27" s="245"/>
      <c r="BJ27" s="245"/>
      <c r="BK27" s="245"/>
      <c r="BL27" s="245" t="str">
        <f>IFERROR(__xludf.DUMMYFUNCTION("""COMPUTED_VALUE"""),"Black Hole Digestor")</f>
        <v>Black Hole Digestor</v>
      </c>
      <c r="BM27" s="245"/>
      <c r="BN27" s="245"/>
      <c r="BO27" s="245"/>
      <c r="BP27" s="245"/>
      <c r="BQ27" s="245" t="str">
        <f>IFERROR(__xludf.DUMMYFUNCTION("""COMPUTED_VALUE"""),"Multiverse Nexus")</f>
        <v>Multiverse Nexus</v>
      </c>
      <c r="BR27" s="245"/>
      <c r="BS27" s="245"/>
      <c r="BT27" s="246"/>
      <c r="BU27" s="245"/>
      <c r="BV27" s="245"/>
      <c r="BW27" s="245"/>
      <c r="BX27" s="245"/>
      <c r="BY27" s="245"/>
      <c r="BZ27" s="282"/>
      <c r="CA27" s="245"/>
      <c r="CB27" s="245"/>
      <c r="CC27" s="245"/>
      <c r="CD27" s="245"/>
      <c r="CE27" s="245"/>
      <c r="CF27" s="245"/>
    </row>
    <row r="28">
      <c r="A28" s="259" t="str">
        <f>IFERROR(__xludf.DUMMYFUNCTION("""COMPUTED_VALUE"""),"Health")</f>
        <v>Health</v>
      </c>
      <c r="B28" s="260">
        <f>IFERROR(__xludf.DUMMYFUNCTION("""COMPUTED_VALUE"""),68.0)</f>
        <v>68</v>
      </c>
      <c r="C28" s="245"/>
      <c r="D28" s="261">
        <f>IFERROR(__xludf.DUMMYFUNCTION("""COMPUTED_VALUE"""),100.0)</f>
        <v>100</v>
      </c>
      <c r="E28" s="245"/>
      <c r="F28" s="259" t="str">
        <f>IFERROR(__xludf.DUMMYFUNCTION("""COMPUTED_VALUE"""),"Knockback Force")</f>
        <v>Knockback Force</v>
      </c>
      <c r="G28" s="260">
        <f>IFERROR(__xludf.DUMMYFUNCTION("""COMPUTED_VALUE"""),40.0)</f>
        <v>40</v>
      </c>
      <c r="H28" s="245">
        <f>IFERROR(__xludf.DUMMYFUNCTION("""COMPUTED_VALUE"""),40.0)</f>
        <v>40</v>
      </c>
      <c r="I28" s="245">
        <f>IFERROR(__xludf.DUMMYFUNCTION("""COMPUTED_VALUE"""),40.0)</f>
        <v>40</v>
      </c>
      <c r="J28" s="245">
        <f>IFERROR(__xludf.DUMMYFUNCTION("""COMPUTED_VALUE"""),40.0)</f>
        <v>40</v>
      </c>
      <c r="K28" s="265"/>
      <c r="L28" s="245"/>
      <c r="M28" s="245"/>
      <c r="N28" s="245"/>
      <c r="O28" s="245"/>
      <c r="P28" s="245"/>
      <c r="Q28" s="294">
        <f>IFERROR(__xludf.DUMMYFUNCTION("""COMPUTED_VALUE"""),40.0)</f>
        <v>40</v>
      </c>
      <c r="R28" s="254"/>
      <c r="S28" s="245"/>
      <c r="T28" s="245"/>
      <c r="U28" s="245"/>
      <c r="V28" s="245"/>
      <c r="W28" s="245"/>
      <c r="X28" s="245"/>
      <c r="Y28" s="249"/>
      <c r="Z28" s="297" t="b">
        <f>IFERROR(__xludf.DUMMYFUNCTION("""COMPUTED_VALUE"""),FALSE)</f>
        <v>0</v>
      </c>
      <c r="AA28" s="259" t="str">
        <f>IFERROR(__xludf.DUMMYFUNCTION("""COMPUTED_VALUE"""),"UW Locked")</f>
        <v>UW Locked</v>
      </c>
      <c r="AB28" s="266" t="str">
        <f>IFERROR(__xludf.DUMMYFUNCTION("""COMPUTED_VALUE"""),"Cooldown")</f>
        <v>Cooldown</v>
      </c>
      <c r="AC28" s="326">
        <f>IFERROR(__xludf.DUMMYFUNCTION("""COMPUTED_VALUE"""),125.0)</f>
        <v>125</v>
      </c>
      <c r="AD28" s="268" t="str">
        <f>IFERROR(__xludf.DUMMYFUNCTION("""COMPUTED_VALUE"""),"00 | 125s | Cost 0 ⧌ | Next 8 ⧌")</f>
        <v>00 | 125s | Cost 0 ⧌ | Next 8 ⧌</v>
      </c>
      <c r="AE28" s="272" t="str">
        <f>IFERROR(__xludf.DUMMYFUNCTION("""COMPUTED_VALUE"""),"Wave Accelerator")</f>
        <v>Wave Accelerator</v>
      </c>
      <c r="AF28" s="299">
        <f>IFERROR(__xludf.DUMMYFUNCTION("""COMPUTED_VALUE"""),7.0)</f>
        <v>7</v>
      </c>
      <c r="AG28" s="252" t="b">
        <f>IFERROR(__xludf.DUMMYFUNCTION("""COMPUTED_VALUE"""),FALSE)</f>
        <v>0</v>
      </c>
      <c r="AH28" s="327"/>
      <c r="AI28" s="254"/>
      <c r="AJ28" s="287"/>
      <c r="AK28" s="278"/>
      <c r="AL28" s="246"/>
      <c r="AM28" s="259" t="str">
        <f>IFERROR(__xludf.DUMMYFUNCTION("""COMPUTED_VALUE"""),"Knockback Force")</f>
        <v>Knockback Force</v>
      </c>
      <c r="AN28" s="366">
        <f>IFERROR(__xludf.DUMMYFUNCTION("""COMPUTED_VALUE"""),0.24)</f>
        <v>0.24</v>
      </c>
      <c r="AO28" s="274"/>
      <c r="AP28" s="259" t="str">
        <f>IFERROR(__xludf.DUMMYFUNCTION("""COMPUTED_VALUE"""),"Health")</f>
        <v>Health</v>
      </c>
      <c r="AQ28" s="348">
        <f>IFERROR(__xludf.DUMMYFUNCTION("""COMPUTED_VALUE"""),0.0)</f>
        <v>0</v>
      </c>
      <c r="AR28" s="246"/>
      <c r="AS28" s="367"/>
      <c r="AT28" s="276"/>
      <c r="AU28" s="245"/>
      <c r="AV28" s="287"/>
      <c r="AW28" s="287"/>
      <c r="AX28" s="246"/>
      <c r="AY28" s="245"/>
      <c r="AZ28" s="245"/>
      <c r="BA28" s="246"/>
      <c r="BB28" s="245" t="str">
        <f>IFERROR(__xludf.DUMMYFUNCTION("""COMPUTED_VALUE"""),"Rarity")</f>
        <v>Rarity</v>
      </c>
      <c r="BC28" s="245" t="str">
        <f>IFERROR(__xludf.DUMMYFUNCTION("""COMPUTED_VALUE"""),"Level")</f>
        <v>Level</v>
      </c>
      <c r="BD28" s="245" t="str">
        <f>IFERROR(__xludf.DUMMYFUNCTION("""COMPUTED_VALUE"""),"Stat")</f>
        <v>Stat</v>
      </c>
      <c r="BE28" s="245"/>
      <c r="BF28" s="245"/>
      <c r="BG28" s="245" t="str">
        <f>IFERROR(__xludf.DUMMYFUNCTION("""COMPUTED_VALUE"""),"Rarity")</f>
        <v>Rarity</v>
      </c>
      <c r="BH28" s="245" t="str">
        <f>IFERROR(__xludf.DUMMYFUNCTION("""COMPUTED_VALUE"""),"Level")</f>
        <v>Level</v>
      </c>
      <c r="BI28" s="245" t="str">
        <f>IFERROR(__xludf.DUMMYFUNCTION("""COMPUTED_VALUE"""),"Stat")</f>
        <v>Stat</v>
      </c>
      <c r="BJ28" s="245"/>
      <c r="BK28" s="245"/>
      <c r="BL28" s="245" t="str">
        <f>IFERROR(__xludf.DUMMYFUNCTION("""COMPUTED_VALUE"""),"Rarity")</f>
        <v>Rarity</v>
      </c>
      <c r="BM28" s="245" t="str">
        <f>IFERROR(__xludf.DUMMYFUNCTION("""COMPUTED_VALUE"""),"Level")</f>
        <v>Level</v>
      </c>
      <c r="BN28" s="245" t="str">
        <f>IFERROR(__xludf.DUMMYFUNCTION("""COMPUTED_VALUE"""),"Stat")</f>
        <v>Stat</v>
      </c>
      <c r="BO28" s="245"/>
      <c r="BP28" s="245"/>
      <c r="BQ28" s="245" t="str">
        <f>IFERROR(__xludf.DUMMYFUNCTION("""COMPUTED_VALUE"""),"Rarity")</f>
        <v>Rarity</v>
      </c>
      <c r="BR28" s="245" t="str">
        <f>IFERROR(__xludf.DUMMYFUNCTION("""COMPUTED_VALUE"""),"Level")</f>
        <v>Level</v>
      </c>
      <c r="BS28" s="245" t="str">
        <f>IFERROR(__xludf.DUMMYFUNCTION("""COMPUTED_VALUE"""),"Stat")</f>
        <v>Stat</v>
      </c>
      <c r="BT28" s="246"/>
      <c r="BU28" s="245"/>
      <c r="BV28" s="245"/>
      <c r="BW28" s="245"/>
      <c r="BX28" s="245"/>
      <c r="BY28" s="245"/>
      <c r="BZ28" s="282"/>
      <c r="CA28" s="245"/>
      <c r="CB28" s="245"/>
      <c r="CC28" s="245"/>
      <c r="CD28" s="245"/>
      <c r="CE28" s="245"/>
      <c r="CF28" s="245"/>
    </row>
    <row r="29">
      <c r="A29" s="259" t="str">
        <f>IFERROR(__xludf.DUMMYFUNCTION("""COMPUTED_VALUE"""),"Health Regen")</f>
        <v>Health Regen</v>
      </c>
      <c r="B29" s="260">
        <f>IFERROR(__xludf.DUMMYFUNCTION("""COMPUTED_VALUE"""),68.0)</f>
        <v>68</v>
      </c>
      <c r="C29" s="245"/>
      <c r="D29" s="261">
        <f>IFERROR(__xludf.DUMMYFUNCTION("""COMPUTED_VALUE"""),100.0)</f>
        <v>100</v>
      </c>
      <c r="E29" s="280" t="b">
        <f>IFERROR(__xludf.DUMMYFUNCTION("""COMPUTED_VALUE"""),TRUE)</f>
        <v>1</v>
      </c>
      <c r="F29" s="259" t="str">
        <f>IFERROR(__xludf.DUMMYFUNCTION("""COMPUTED_VALUE"""),"Orb Speed")</f>
        <v>Orb Speed</v>
      </c>
      <c r="G29" s="260">
        <f>IFERROR(__xludf.DUMMYFUNCTION("""COMPUTED_VALUE"""),38.0)</f>
        <v>38</v>
      </c>
      <c r="H29" s="245">
        <f>IFERROR(__xludf.DUMMYFUNCTION("""COMPUTED_VALUE"""),38.0)</f>
        <v>38</v>
      </c>
      <c r="I29" s="245">
        <f>IFERROR(__xludf.DUMMYFUNCTION("""COMPUTED_VALUE"""),38.0)</f>
        <v>38</v>
      </c>
      <c r="J29" s="245">
        <f>IFERROR(__xludf.DUMMYFUNCTION("""COMPUTED_VALUE"""),38.0)</f>
        <v>38</v>
      </c>
      <c r="K29" s="265"/>
      <c r="L29" s="245"/>
      <c r="M29" s="245"/>
      <c r="N29" s="245"/>
      <c r="O29" s="245"/>
      <c r="P29" s="245"/>
      <c r="Q29" s="294">
        <f>IFERROR(__xludf.DUMMYFUNCTION("""COMPUTED_VALUE"""),38.0)</f>
        <v>38</v>
      </c>
      <c r="R29" s="254"/>
      <c r="S29" s="245"/>
      <c r="T29" s="245"/>
      <c r="U29" s="245"/>
      <c r="V29" s="245"/>
      <c r="W29" s="245"/>
      <c r="X29" s="245"/>
      <c r="Y29" s="249"/>
      <c r="Z29" s="266" t="str">
        <f>IFERROR(__xludf.DUMMYFUNCTION("""COMPUTED_VALUE"""),"UW+")</f>
        <v>UW+</v>
      </c>
      <c r="AA29" s="245"/>
      <c r="AB29" s="266" t="str">
        <f>IFERROR(__xludf.DUMMYFUNCTION("""COMPUTED_VALUE"""),"Death Creep")</f>
        <v>Death Creep</v>
      </c>
      <c r="AC29" s="272" t="str">
        <f>IFERROR(__xludf.DUMMYFUNCTION("""COMPUTED_VALUE"""),"Locked")</f>
        <v>Locked</v>
      </c>
      <c r="AD29" s="268" t="str">
        <f>IFERROR(__xludf.DUMMYFUNCTION("""COMPUTED_VALUE"""),"Lo | Locked")</f>
        <v>Lo | Locked</v>
      </c>
      <c r="AE29" s="266" t="str">
        <f>IFERROR(__xludf.DUMMYFUNCTION("""COMPUTED_VALUE"""),"Berserker")</f>
        <v>Berserker</v>
      </c>
      <c r="AF29" s="299">
        <f>IFERROR(__xludf.DUMMYFUNCTION("""COMPUTED_VALUE"""),7.0)</f>
        <v>7</v>
      </c>
      <c r="AG29" s="252" t="b">
        <f>IFERROR(__xludf.DUMMYFUNCTION("""COMPUTED_VALUE"""),FALSE)</f>
        <v>0</v>
      </c>
      <c r="AH29" s="287"/>
      <c r="AI29" s="254"/>
      <c r="AJ29" s="287"/>
      <c r="AK29" s="278"/>
      <c r="AL29" s="246"/>
      <c r="AM29" s="259" t="str">
        <f>IFERROR(__xludf.DUMMYFUNCTION("""COMPUTED_VALUE"""),"Orb Speed")</f>
        <v>Orb Speed</v>
      </c>
      <c r="AN29" s="276">
        <f>IFERROR(__xludf.DUMMYFUNCTION("""COMPUTED_VALUE"""),0.12000000000000001)</f>
        <v>0.12</v>
      </c>
      <c r="AO29" s="274"/>
      <c r="AP29" s="259" t="str">
        <f>IFERROR(__xludf.DUMMYFUNCTION("""COMPUTED_VALUE"""),"Health Regen")</f>
        <v>Health Regen</v>
      </c>
      <c r="AQ29" s="298">
        <f>IFERROR(__xludf.DUMMYFUNCTION("""COMPUTED_VALUE"""),0.0)</f>
        <v>0</v>
      </c>
      <c r="AR29" s="246"/>
      <c r="AS29" s="276"/>
      <c r="AT29" s="276"/>
      <c r="AU29" s="245"/>
      <c r="AV29" s="276"/>
      <c r="AW29" s="276"/>
      <c r="AX29" s="246"/>
      <c r="AY29" s="245"/>
      <c r="AZ29" s="245"/>
      <c r="BA29" s="246"/>
      <c r="BB29" s="245" t="str">
        <f>IFERROR(__xludf.DUMMYFUNCTION("""COMPUTED_VALUE"""),"Mythic+")</f>
        <v>Mythic+</v>
      </c>
      <c r="BC29" s="279">
        <f>IFERROR(__xludf.DUMMYFUNCTION("""COMPUTED_VALUE"""),160.0)</f>
        <v>160</v>
      </c>
      <c r="BD29" s="306">
        <f>IFERROR(__xludf.DUMMYFUNCTION("""COMPUTED_VALUE"""),8.19)</f>
        <v>8.19</v>
      </c>
      <c r="BE29" s="245"/>
      <c r="BF29" s="245"/>
      <c r="BG29" s="245" t="str">
        <f>IFERROR(__xludf.DUMMYFUNCTION("""COMPUTED_VALUE"""),"Mythic+")</f>
        <v>Mythic+</v>
      </c>
      <c r="BH29" s="279">
        <f>IFERROR(__xludf.DUMMYFUNCTION("""COMPUTED_VALUE"""),160.0)</f>
        <v>160</v>
      </c>
      <c r="BI29" s="306">
        <f>IFERROR(__xludf.DUMMYFUNCTION("""COMPUTED_VALUE"""),8.19)</f>
        <v>8.19</v>
      </c>
      <c r="BJ29" s="245"/>
      <c r="BK29" s="245"/>
      <c r="BL29" s="245" t="str">
        <f>IFERROR(__xludf.DUMMYFUNCTION("""COMPUTED_VALUE"""),"Legendary")</f>
        <v>Legendary</v>
      </c>
      <c r="BM29" s="279">
        <f>IFERROR(__xludf.DUMMYFUNCTION("""COMPUTED_VALUE"""),100.0)</f>
        <v>100</v>
      </c>
      <c r="BN29" s="306">
        <f>IFERROR(__xludf.DUMMYFUNCTION("""COMPUTED_VALUE"""),1.275)</f>
        <v>1.275</v>
      </c>
      <c r="BO29" s="245"/>
      <c r="BP29" s="245"/>
      <c r="BQ29" s="245" t="str">
        <f>IFERROR(__xludf.DUMMYFUNCTION("""COMPUTED_VALUE"""),"Ancestral 2*")</f>
        <v>Ancestral 2*</v>
      </c>
      <c r="BR29" s="279">
        <f>IFERROR(__xludf.DUMMYFUNCTION("""COMPUTED_VALUE"""),159.0)</f>
        <v>159</v>
      </c>
      <c r="BS29" s="306">
        <f>IFERROR(__xludf.DUMMYFUNCTION("""COMPUTED_VALUE"""),11.692)</f>
        <v>11.692</v>
      </c>
      <c r="BT29" s="246"/>
      <c r="BU29" s="245"/>
      <c r="BV29" s="245"/>
      <c r="BW29" s="245"/>
      <c r="BX29" s="245"/>
      <c r="BY29" s="245"/>
      <c r="BZ29" s="282"/>
      <c r="CA29" s="245"/>
      <c r="CB29" s="245"/>
      <c r="CC29" s="245"/>
      <c r="CD29" s="245"/>
      <c r="CE29" s="245"/>
      <c r="CF29" s="245"/>
    </row>
    <row r="30">
      <c r="A30" s="259" t="str">
        <f>IFERROR(__xludf.DUMMYFUNCTION("""COMPUTED_VALUE"""),"Defense Absolute")</f>
        <v>Defense Absolute</v>
      </c>
      <c r="B30" s="260">
        <f>IFERROR(__xludf.DUMMYFUNCTION("""COMPUTED_VALUE"""),14.0)</f>
        <v>14</v>
      </c>
      <c r="C30" s="279">
        <f>IFERROR(__xludf.DUMMYFUNCTION("""COMPUTED_VALUE"""),14.0)</f>
        <v>14</v>
      </c>
      <c r="D30" s="261">
        <f>IFERROR(__xludf.DUMMYFUNCTION("""COMPUTED_VALUE"""),100.0)</f>
        <v>100</v>
      </c>
      <c r="E30" s="245"/>
      <c r="F30" s="259" t="str">
        <f>IFERROR(__xludf.DUMMYFUNCTION("""COMPUTED_VALUE"""),"Orbs")</f>
        <v>Orbs</v>
      </c>
      <c r="G30" s="260">
        <f>IFERROR(__xludf.DUMMYFUNCTION("""COMPUTED_VALUE"""),4.0)</f>
        <v>4</v>
      </c>
      <c r="H30" s="245">
        <f>IFERROR(__xludf.DUMMYFUNCTION("""COMPUTED_VALUE"""),4.0)</f>
        <v>4</v>
      </c>
      <c r="I30" s="245">
        <f>IFERROR(__xludf.DUMMYFUNCTION("""COMPUTED_VALUE"""),4.0)</f>
        <v>4</v>
      </c>
      <c r="J30" s="245">
        <f>IFERROR(__xludf.DUMMYFUNCTION("""COMPUTED_VALUE"""),4.0)</f>
        <v>4</v>
      </c>
      <c r="K30" s="265"/>
      <c r="L30" s="245"/>
      <c r="M30" s="245"/>
      <c r="N30" s="245"/>
      <c r="O30" s="245"/>
      <c r="P30" s="245"/>
      <c r="Q30" s="294">
        <f>IFERROR(__xludf.DUMMYFUNCTION("""COMPUTED_VALUE"""),4.0)</f>
        <v>4</v>
      </c>
      <c r="R30" s="254"/>
      <c r="S30" s="245"/>
      <c r="T30" s="245"/>
      <c r="U30" s="245"/>
      <c r="V30" s="245"/>
      <c r="W30" s="245"/>
      <c r="X30" s="245"/>
      <c r="Y30" s="249"/>
      <c r="Z30" s="266" t="str">
        <f>IFERROR(__xludf.DUMMYFUNCTION("""COMPUTED_VALUE"""),"Black Hole")</f>
        <v>Black Hole</v>
      </c>
      <c r="AA30" s="245"/>
      <c r="AB30" s="266" t="str">
        <f>IFERROR(__xludf.DUMMYFUNCTION("""COMPUTED_VALUE"""),"Size")</f>
        <v>Size</v>
      </c>
      <c r="AC30" s="318">
        <f>IFERROR(__xludf.DUMMYFUNCTION("""COMPUTED_VALUE"""),48.0)</f>
        <v>48</v>
      </c>
      <c r="AD30" s="268" t="str">
        <f>IFERROR(__xludf.DUMMYFUNCTION("""COMPUTED_VALUE"""),"09 | 48m | Cost 76 ⧌ | Next 89 ⧌")</f>
        <v>09 | 48m | Cost 76 ⧌ | Next 89 ⧌</v>
      </c>
      <c r="AE30" s="272" t="str">
        <f>IFERROR(__xludf.DUMMYFUNCTION("""COMPUTED_VALUE"""),"Ultimate Crit")</f>
        <v>Ultimate Crit</v>
      </c>
      <c r="AF30" s="299">
        <f>IFERROR(__xludf.DUMMYFUNCTION("""COMPUTED_VALUE"""),7.0)</f>
        <v>7</v>
      </c>
      <c r="AG30" s="252" t="b">
        <f>IFERROR(__xludf.DUMMYFUNCTION("""COMPUTED_VALUE"""),FALSE)</f>
        <v>0</v>
      </c>
      <c r="AH30" s="313"/>
      <c r="AI30" s="254"/>
      <c r="AJ30" s="287"/>
      <c r="AK30" s="278"/>
      <c r="AL30" s="246"/>
      <c r="AM30" s="259" t="str">
        <f>IFERROR(__xludf.DUMMYFUNCTION("""COMPUTED_VALUE"""),"Wall Rebuild")</f>
        <v>Wall Rebuild</v>
      </c>
      <c r="AN30" s="298">
        <f>IFERROR(__xludf.DUMMYFUNCTION("""COMPUTED_VALUE"""),2.0)</f>
        <v>2</v>
      </c>
      <c r="AO30" s="274"/>
      <c r="AP30" s="259" t="str">
        <f>IFERROR(__xludf.DUMMYFUNCTION("""COMPUTED_VALUE"""),"Defense %")</f>
        <v>Defense %</v>
      </c>
      <c r="AQ30" s="348">
        <f>IFERROR(__xludf.DUMMYFUNCTION("""COMPUTED_VALUE"""),0.0)</f>
        <v>0</v>
      </c>
      <c r="AR30" s="246"/>
      <c r="AS30" s="276"/>
      <c r="AT30" s="276"/>
      <c r="AU30" s="245"/>
      <c r="AV30" s="287"/>
      <c r="AW30" s="287"/>
      <c r="AX30" s="246"/>
      <c r="AY30" s="245"/>
      <c r="AZ30" s="245"/>
      <c r="BA30" s="246"/>
      <c r="BB30" s="245"/>
      <c r="BC30" s="245"/>
      <c r="BD30" s="245"/>
      <c r="BE30" s="245"/>
      <c r="BF30" s="245"/>
      <c r="BG30" s="245"/>
      <c r="BH30" s="245"/>
      <c r="BI30" s="245"/>
      <c r="BJ30" s="303"/>
      <c r="BK30" s="245"/>
      <c r="BL30" s="245"/>
      <c r="BM30" s="245"/>
      <c r="BN30" s="245"/>
      <c r="BO30" s="303"/>
      <c r="BP30" s="245"/>
      <c r="BQ30" s="245"/>
      <c r="BR30" s="245"/>
      <c r="BS30" s="245"/>
      <c r="BT30" s="304"/>
      <c r="BU30" s="245"/>
      <c r="BV30" s="245"/>
      <c r="BW30" s="245"/>
      <c r="BX30" s="245"/>
      <c r="BY30" s="245"/>
      <c r="BZ30" s="282"/>
      <c r="CA30" s="245"/>
      <c r="CB30" s="245"/>
      <c r="CC30" s="245"/>
      <c r="CD30" s="245"/>
      <c r="CE30" s="245"/>
      <c r="CF30" s="245"/>
    </row>
    <row r="31">
      <c r="A31" s="259" t="str">
        <f>IFERROR(__xludf.DUMMYFUNCTION("""COMPUTED_VALUE"""),"Defense %")</f>
        <v>Defense %</v>
      </c>
      <c r="B31" s="260">
        <f>IFERROR(__xludf.DUMMYFUNCTION("""COMPUTED_VALUE"""),28.0)</f>
        <v>28</v>
      </c>
      <c r="C31" s="279">
        <f>IFERROR(__xludf.DUMMYFUNCTION("""COMPUTED_VALUE"""),28.0)</f>
        <v>28</v>
      </c>
      <c r="D31" s="261">
        <f>IFERROR(__xludf.DUMMYFUNCTION("""COMPUTED_VALUE"""),50.0)</f>
        <v>50</v>
      </c>
      <c r="E31" s="280" t="b">
        <f>IFERROR(__xludf.DUMMYFUNCTION("""COMPUTED_VALUE"""),TRUE)</f>
        <v>1</v>
      </c>
      <c r="F31" s="259" t="str">
        <f>IFERROR(__xludf.DUMMYFUNCTION("""COMPUTED_VALUE"""),"Shockwave Size")</f>
        <v>Shockwave Size</v>
      </c>
      <c r="G31" s="260">
        <f>IFERROR(__xludf.DUMMYFUNCTION("""COMPUTED_VALUE"""),35.0)</f>
        <v>35</v>
      </c>
      <c r="H31" s="245">
        <f>IFERROR(__xludf.DUMMYFUNCTION("""COMPUTED_VALUE"""),35.0)</f>
        <v>35</v>
      </c>
      <c r="I31" s="245">
        <f>IFERROR(__xludf.DUMMYFUNCTION("""COMPUTED_VALUE"""),35.0)</f>
        <v>35</v>
      </c>
      <c r="J31" s="245">
        <f>IFERROR(__xludf.DUMMYFUNCTION("""COMPUTED_VALUE"""),35.0)</f>
        <v>35</v>
      </c>
      <c r="K31" s="265"/>
      <c r="L31" s="245"/>
      <c r="M31" s="245"/>
      <c r="N31" s="245"/>
      <c r="O31" s="245"/>
      <c r="P31" s="245"/>
      <c r="Q31" s="294">
        <f>IFERROR(__xludf.DUMMYFUNCTION("""COMPUTED_VALUE"""),35.0)</f>
        <v>35</v>
      </c>
      <c r="R31" s="254"/>
      <c r="S31" s="245"/>
      <c r="T31" s="245"/>
      <c r="U31" s="245"/>
      <c r="V31" s="245"/>
      <c r="W31" s="245"/>
      <c r="X31" s="245"/>
      <c r="Y31" s="249"/>
      <c r="Z31" s="276"/>
      <c r="AA31" s="245"/>
      <c r="AB31" s="266" t="str">
        <f>IFERROR(__xludf.DUMMYFUNCTION("""COMPUTED_VALUE"""),"Duration")</f>
        <v>Duration</v>
      </c>
      <c r="AC31" s="343">
        <f>IFERROR(__xludf.DUMMYFUNCTION("""COMPUTED_VALUE"""),32.0)</f>
        <v>32</v>
      </c>
      <c r="AD31" s="268" t="str">
        <f>IFERROR(__xludf.DUMMYFUNCTION("""COMPUTED_VALUE"""),"17 | 32s | Cost 224 ⧌ | Next 308 ⧌")</f>
        <v>17 | 32s | Cost 224 ⧌ | Next 308 ⧌</v>
      </c>
      <c r="AE31" s="272" t="str">
        <f>IFERROR(__xludf.DUMMYFUNCTION("""COMPUTED_VALUE"""),"Nuke")</f>
        <v>Nuke</v>
      </c>
      <c r="AF31" s="299">
        <f>IFERROR(__xludf.DUMMYFUNCTION("""COMPUTED_VALUE"""),7.0)</f>
        <v>7</v>
      </c>
      <c r="AG31" s="252" t="b">
        <f>IFERROR(__xludf.DUMMYFUNCTION("""COMPUTED_VALUE"""),FALSE)</f>
        <v>0</v>
      </c>
      <c r="AH31" s="291"/>
      <c r="AI31" s="254"/>
      <c r="AJ31" s="287"/>
      <c r="AK31" s="278"/>
      <c r="AL31" s="246"/>
      <c r="AM31" s="259" t="str">
        <f>IFERROR(__xludf.DUMMYFUNCTION("""COMPUTED_VALUE"""),"Utility")</f>
        <v>Utility</v>
      </c>
      <c r="AN31" s="298"/>
      <c r="AO31" s="274"/>
      <c r="AP31" s="259" t="str">
        <f>IFERROR(__xludf.DUMMYFUNCTION("""COMPUTED_VALUE"""),"Defense Absolute")</f>
        <v>Defense Absolute</v>
      </c>
      <c r="AQ31" s="348">
        <f>IFERROR(__xludf.DUMMYFUNCTION("""COMPUTED_VALUE"""),0.0)</f>
        <v>0</v>
      </c>
      <c r="AR31" s="246"/>
      <c r="AS31" s="276"/>
      <c r="AT31" s="276"/>
      <c r="AU31" s="245"/>
      <c r="AV31" s="287"/>
      <c r="AW31" s="287"/>
      <c r="AX31" s="246"/>
      <c r="AY31" s="245"/>
      <c r="AZ31" s="245"/>
      <c r="BA31" s="246"/>
      <c r="BB31" s="245"/>
      <c r="BC31" s="245"/>
      <c r="BD31" s="245"/>
      <c r="BE31" s="279" t="str">
        <f>IFERROR(__xludf.DUMMYFUNCTION("""COMPUTED_VALUE"""),"")</f>
        <v/>
      </c>
      <c r="BF31" s="245"/>
      <c r="BG31" s="245" t="str">
        <f>IFERROR(__xludf.DUMMYFUNCTION("""COMPUTED_VALUE"""),"Orb Speed")</f>
        <v>Orb Speed</v>
      </c>
      <c r="BH31" s="245" t="str">
        <f>IFERROR(__xludf.DUMMYFUNCTION("""COMPUTED_VALUE"""),"Legendary")</f>
        <v>Legendary</v>
      </c>
      <c r="BI31" s="245" t="str">
        <f>IFERROR(__xludf.DUMMYFUNCTION("""COMPUTED_VALUE"""),"+1.5")</f>
        <v>+1.5</v>
      </c>
      <c r="BJ31" s="279">
        <f>IFERROR(__xludf.DUMMYFUNCTION("""COMPUTED_VALUE"""),1.5)</f>
        <v>1.5</v>
      </c>
      <c r="BK31" s="245"/>
      <c r="BL31" s="245" t="str">
        <f>IFERROR(__xludf.DUMMYFUNCTION("""COMPUTED_VALUE"""),"Coins / Kill Bonus")</f>
        <v>Coins / Kill Bonus</v>
      </c>
      <c r="BM31" s="245" t="str">
        <f>IFERROR(__xludf.DUMMYFUNCTION("""COMPUTED_VALUE"""),"Legendary")</f>
        <v>Legendary</v>
      </c>
      <c r="BN31" s="245" t="str">
        <f>IFERROR(__xludf.DUMMYFUNCTION("""COMPUTED_VALUE"""),"+0.4x")</f>
        <v>+0.4x</v>
      </c>
      <c r="BO31" s="279">
        <f>IFERROR(__xludf.DUMMYFUNCTION("""COMPUTED_VALUE"""),0.4)</f>
        <v>0.4</v>
      </c>
      <c r="BP31" s="245"/>
      <c r="BQ31" s="245" t="str">
        <f>IFERROR(__xludf.DUMMYFUNCTION("""COMPUTED_VALUE"""),"Death Wave - Quantity")</f>
        <v>Death Wave - Quantity</v>
      </c>
      <c r="BR31" s="245" t="str">
        <f>IFERROR(__xludf.DUMMYFUNCTION("""COMPUTED_VALUE"""),"Legendary")</f>
        <v>Legendary</v>
      </c>
      <c r="BS31" s="245" t="str">
        <f>IFERROR(__xludf.DUMMYFUNCTION("""COMPUTED_VALUE"""),"+1")</f>
        <v>+1</v>
      </c>
      <c r="BT31" s="368">
        <f>IFERROR(__xludf.DUMMYFUNCTION("""COMPUTED_VALUE"""),1.0)</f>
        <v>1</v>
      </c>
      <c r="BU31" s="245"/>
      <c r="BV31" s="245"/>
      <c r="BW31" s="245"/>
      <c r="BX31" s="245"/>
      <c r="BY31" s="245"/>
      <c r="BZ31" s="282"/>
      <c r="CA31" s="245"/>
      <c r="CB31" s="245"/>
      <c r="CC31" s="245"/>
      <c r="CD31" s="245"/>
      <c r="CE31" s="245"/>
      <c r="CF31" s="245"/>
    </row>
    <row r="32">
      <c r="A32" s="259" t="str">
        <f>IFERROR(__xludf.DUMMYFUNCTION("""COMPUTED_VALUE"""),"Orbs Speed")</f>
        <v>Orbs Speed</v>
      </c>
      <c r="B32" s="260">
        <f>IFERROR(__xludf.DUMMYFUNCTION("""COMPUTED_VALUE"""),20.0)</f>
        <v>20</v>
      </c>
      <c r="C32" s="245"/>
      <c r="D32" s="261">
        <f>IFERROR(__xludf.DUMMYFUNCTION("""COMPUTED_VALUE"""),20.0)</f>
        <v>20</v>
      </c>
      <c r="E32" s="245"/>
      <c r="F32" s="259" t="str">
        <f>IFERROR(__xludf.DUMMYFUNCTION("""COMPUTED_VALUE"""),"Shockwave Frequency")</f>
        <v>Shockwave Frequency</v>
      </c>
      <c r="G32" s="260">
        <f>IFERROR(__xludf.DUMMYFUNCTION("""COMPUTED_VALUE"""),40.0)</f>
        <v>40</v>
      </c>
      <c r="H32" s="245">
        <f>IFERROR(__xludf.DUMMYFUNCTION("""COMPUTED_VALUE"""),40.0)</f>
        <v>40</v>
      </c>
      <c r="I32" s="245">
        <f>IFERROR(__xludf.DUMMYFUNCTION("""COMPUTED_VALUE"""),40.0)</f>
        <v>40</v>
      </c>
      <c r="J32" s="245">
        <f>IFERROR(__xludf.DUMMYFUNCTION("""COMPUTED_VALUE"""),40.0)</f>
        <v>40</v>
      </c>
      <c r="K32" s="265"/>
      <c r="L32" s="245"/>
      <c r="M32" s="245"/>
      <c r="N32" s="245"/>
      <c r="O32" s="245"/>
      <c r="P32" s="245"/>
      <c r="Q32" s="294">
        <f>IFERROR(__xludf.DUMMYFUNCTION("""COMPUTED_VALUE"""),40.0)</f>
        <v>40</v>
      </c>
      <c r="R32" s="254"/>
      <c r="S32" s="245"/>
      <c r="T32" s="245"/>
      <c r="U32" s="245"/>
      <c r="V32" s="245"/>
      <c r="W32" s="245"/>
      <c r="X32" s="245"/>
      <c r="Y32" s="249"/>
      <c r="Z32" s="342" t="b">
        <f>IFERROR(__xludf.DUMMYFUNCTION("""COMPUTED_VALUE"""),TRUE)</f>
        <v>1</v>
      </c>
      <c r="AA32" s="310" t="str">
        <f>IFERROR(__xludf.DUMMYFUNCTION("""COMPUTED_VALUE"""),"UW Unlocked")</f>
        <v>UW Unlocked</v>
      </c>
      <c r="AB32" s="266" t="str">
        <f>IFERROR(__xludf.DUMMYFUNCTION("""COMPUTED_VALUE"""),"Cooldown")</f>
        <v>Cooldown</v>
      </c>
      <c r="AC32" s="343">
        <f>IFERROR(__xludf.DUMMYFUNCTION("""COMPUTED_VALUE"""),50.0)</f>
        <v>50</v>
      </c>
      <c r="AD32" s="268" t="str">
        <f>IFERROR(__xludf.DUMMYFUNCTION("""COMPUTED_VALUE"""),"15 | 50s | Cost 262 ⧌ | Maxed")</f>
        <v>15 | 50s | Cost 262 ⧌ | Maxed</v>
      </c>
      <c r="AE32" s="287" t="str">
        <f>IFERROR(__xludf.DUMMYFUNCTION("""COMPUTED_VALUE"""),"Area of Effect")</f>
        <v>Area of Effect</v>
      </c>
      <c r="AF32" s="299" t="str">
        <f>IFERROR(__xludf.DUMMYFUNCTION("""COMPUTED_VALUE"""),"Locked")</f>
        <v>Locked</v>
      </c>
      <c r="AG32" s="252" t="b">
        <f>IFERROR(__xludf.DUMMYFUNCTION("""COMPUTED_VALUE"""),FALSE)</f>
        <v>0</v>
      </c>
      <c r="AH32" s="291"/>
      <c r="AI32" s="254"/>
      <c r="AJ32" s="287"/>
      <c r="AK32" s="278"/>
      <c r="AL32" s="246"/>
      <c r="AM32" s="245" t="str">
        <f>IFERROR(__xludf.DUMMYFUNCTION("""COMPUTED_VALUE"""),"Cash")</f>
        <v>Cash</v>
      </c>
      <c r="AN32" s="369">
        <f>IFERROR(__xludf.DUMMYFUNCTION("""COMPUTED_VALUE"""),0.06)</f>
        <v>0.06</v>
      </c>
      <c r="AO32" s="274"/>
      <c r="AP32" s="259" t="str">
        <f>IFERROR(__xludf.DUMMYFUNCTION("""COMPUTED_VALUE"""),"Thorn Damage")</f>
        <v>Thorn Damage</v>
      </c>
      <c r="AQ32" s="348">
        <f>IFERROR(__xludf.DUMMYFUNCTION("""COMPUTED_VALUE"""),0.0)</f>
        <v>0</v>
      </c>
      <c r="AR32" s="246"/>
      <c r="AS32" s="276"/>
      <c r="AT32" s="276"/>
      <c r="AU32" s="245"/>
      <c r="AV32" s="287"/>
      <c r="AW32" s="287"/>
      <c r="AX32" s="246"/>
      <c r="AY32" s="245"/>
      <c r="AZ32" s="245"/>
      <c r="BA32" s="246"/>
      <c r="BB32" s="245"/>
      <c r="BC32" s="245"/>
      <c r="BD32" s="245"/>
      <c r="BE32" s="279" t="str">
        <f>IFERROR(__xludf.DUMMYFUNCTION("""COMPUTED_VALUE"""),"")</f>
        <v/>
      </c>
      <c r="BF32" s="245"/>
      <c r="BG32" s="245" t="str">
        <f>IFERROR(__xludf.DUMMYFUNCTION("""COMPUTED_VALUE"""),"Shockwave Size")</f>
        <v>Shockwave Size</v>
      </c>
      <c r="BH32" s="245" t="str">
        <f>IFERROR(__xludf.DUMMYFUNCTION("""COMPUTED_VALUE"""),"Legendary")</f>
        <v>Legendary</v>
      </c>
      <c r="BI32" s="245" t="str">
        <f>IFERROR(__xludf.DUMMYFUNCTION("""COMPUTED_VALUE"""),"+0.3")</f>
        <v>+0.3</v>
      </c>
      <c r="BJ32" s="279">
        <f>IFERROR(__xludf.DUMMYFUNCTION("""COMPUTED_VALUE"""),0.3)</f>
        <v>0.3</v>
      </c>
      <c r="BK32" s="245"/>
      <c r="BL32" s="245" t="str">
        <f>IFERROR(__xludf.DUMMYFUNCTION("""COMPUTED_VALUE"""),"Enemy Attack Level Skip")</f>
        <v>Enemy Attack Level Skip</v>
      </c>
      <c r="BM32" s="245" t="str">
        <f>IFERROR(__xludf.DUMMYFUNCTION("""COMPUTED_VALUE"""),"Legendary")</f>
        <v>Legendary</v>
      </c>
      <c r="BN32" s="245" t="str">
        <f>IFERROR(__xludf.DUMMYFUNCTION("""COMPUTED_VALUE"""),"+4%")</f>
        <v>+4%</v>
      </c>
      <c r="BO32" s="279">
        <f>IFERROR(__xludf.DUMMYFUNCTION("""COMPUTED_VALUE"""),0.04)</f>
        <v>0.04</v>
      </c>
      <c r="BP32" s="245"/>
      <c r="BQ32" s="245" t="str">
        <f>IFERROR(__xludf.DUMMYFUNCTION("""COMPUTED_VALUE"""),"Golden Tower - Bonus")</f>
        <v>Golden Tower - Bonus</v>
      </c>
      <c r="BR32" s="245" t="str">
        <f>IFERROR(__xludf.DUMMYFUNCTION("""COMPUTED_VALUE"""),"Legendary")</f>
        <v>Legendary</v>
      </c>
      <c r="BS32" s="245" t="str">
        <f>IFERROR(__xludf.DUMMYFUNCTION("""COMPUTED_VALUE"""),"+2x")</f>
        <v>+2x</v>
      </c>
      <c r="BT32" s="368">
        <f>IFERROR(__xludf.DUMMYFUNCTION("""COMPUTED_VALUE"""),2.0)</f>
        <v>2</v>
      </c>
      <c r="BU32" s="245"/>
      <c r="BV32" s="245"/>
      <c r="BW32" s="245"/>
      <c r="BX32" s="245"/>
      <c r="BY32" s="245"/>
      <c r="BZ32" s="282"/>
      <c r="CA32" s="245"/>
      <c r="CB32" s="245"/>
      <c r="CC32" s="245"/>
      <c r="CD32" s="245"/>
      <c r="CE32" s="245"/>
      <c r="CF32" s="245"/>
    </row>
    <row r="33">
      <c r="A33" s="259" t="str">
        <f>IFERROR(__xludf.DUMMYFUNCTION("""COMPUTED_VALUE"""),"Land Mine Damage")</f>
        <v>Land Mine Damage</v>
      </c>
      <c r="B33" s="260">
        <f>IFERROR(__xludf.DUMMYFUNCTION("""COMPUTED_VALUE"""),0.0)</f>
        <v>0</v>
      </c>
      <c r="C33" s="245"/>
      <c r="D33" s="261">
        <f>IFERROR(__xludf.DUMMYFUNCTION("""COMPUTED_VALUE"""),20.0)</f>
        <v>20</v>
      </c>
      <c r="E33" s="280" t="b">
        <f>IFERROR(__xludf.DUMMYFUNCTION("""COMPUTED_VALUE"""),TRUE)</f>
        <v>1</v>
      </c>
      <c r="F33" s="259" t="str">
        <f>IFERROR(__xludf.DUMMYFUNCTION("""COMPUTED_VALUE"""),"Land Mine Chance")</f>
        <v>Land Mine Chance</v>
      </c>
      <c r="G33" s="260">
        <f>IFERROR(__xludf.DUMMYFUNCTION("""COMPUTED_VALUE"""),50.0)</f>
        <v>50</v>
      </c>
      <c r="H33" s="245">
        <f>IFERROR(__xludf.DUMMYFUNCTION("""COMPUTED_VALUE"""),50.0)</f>
        <v>50</v>
      </c>
      <c r="I33" s="245">
        <f>IFERROR(__xludf.DUMMYFUNCTION("""COMPUTED_VALUE"""),50.0)</f>
        <v>50</v>
      </c>
      <c r="J33" s="245">
        <f>IFERROR(__xludf.DUMMYFUNCTION("""COMPUTED_VALUE"""),50.0)</f>
        <v>50</v>
      </c>
      <c r="K33" s="265"/>
      <c r="L33" s="245"/>
      <c r="M33" s="245"/>
      <c r="N33" s="245"/>
      <c r="O33" s="245"/>
      <c r="P33" s="245"/>
      <c r="Q33" s="294">
        <f>IFERROR(__xludf.DUMMYFUNCTION("""COMPUTED_VALUE"""),50.0)</f>
        <v>50</v>
      </c>
      <c r="R33" s="254"/>
      <c r="S33" s="245"/>
      <c r="T33" s="245"/>
      <c r="U33" s="245"/>
      <c r="V33" s="245"/>
      <c r="W33" s="245"/>
      <c r="X33" s="245"/>
      <c r="Y33" s="249"/>
      <c r="Z33" s="266" t="str">
        <f>IFERROR(__xludf.DUMMYFUNCTION("""COMPUTED_VALUE"""),"UW+")</f>
        <v>UW+</v>
      </c>
      <c r="AA33" s="245"/>
      <c r="AB33" s="266" t="str">
        <f>IFERROR(__xludf.DUMMYFUNCTION("""COMPUTED_VALUE"""),"Consume")</f>
        <v>Consume</v>
      </c>
      <c r="AC33" s="308" t="str">
        <f>IFERROR(__xludf.DUMMYFUNCTION("""COMPUTED_VALUE"""),"Locked")</f>
        <v>Locked</v>
      </c>
      <c r="AD33" s="268" t="str">
        <f>IFERROR(__xludf.DUMMYFUNCTION("""COMPUTED_VALUE"""),"Lo | Locked")</f>
        <v>Lo | Locked</v>
      </c>
      <c r="AE33" s="287"/>
      <c r="AF33" s="370"/>
      <c r="AG33" s="371"/>
      <c r="AH33" s="309"/>
      <c r="AI33" s="254"/>
      <c r="AJ33" s="287"/>
      <c r="AK33" s="278"/>
      <c r="AL33" s="246"/>
      <c r="AM33" s="245" t="str">
        <f>IFERROR(__xludf.DUMMYFUNCTION("""COMPUTED_VALUE"""),"Coins")</f>
        <v>Coins</v>
      </c>
      <c r="AN33" s="369">
        <f>IFERROR(__xludf.DUMMYFUNCTION("""COMPUTED_VALUE"""),0.48)</f>
        <v>0.48</v>
      </c>
      <c r="AO33" s="274"/>
      <c r="AP33" s="259" t="str">
        <f>IFERROR(__xludf.DUMMYFUNCTION("""COMPUTED_VALUE"""),"Knockback Chance")</f>
        <v>Knockback Chance</v>
      </c>
      <c r="AQ33" s="348">
        <f>IFERROR(__xludf.DUMMYFUNCTION("""COMPUTED_VALUE"""),0.0)</f>
        <v>0</v>
      </c>
      <c r="AR33" s="246"/>
      <c r="AS33" s="276"/>
      <c r="AT33" s="276"/>
      <c r="AU33" s="245"/>
      <c r="AV33" s="287"/>
      <c r="AW33" s="287"/>
      <c r="AX33" s="246"/>
      <c r="AY33" s="245"/>
      <c r="AZ33" s="245"/>
      <c r="BA33" s="246"/>
      <c r="BB33" s="245"/>
      <c r="BC33" s="245"/>
      <c r="BD33" s="245"/>
      <c r="BE33" s="279" t="str">
        <f>IFERROR(__xludf.DUMMYFUNCTION("""COMPUTED_VALUE"""),"")</f>
        <v/>
      </c>
      <c r="BF33" s="245"/>
      <c r="BG33" s="245" t="str">
        <f>IFERROR(__xludf.DUMMYFUNCTION("""COMPUTED_VALUE"""),"Death Defy")</f>
        <v>Death Defy</v>
      </c>
      <c r="BH33" s="245" t="str">
        <f>IFERROR(__xludf.DUMMYFUNCTION("""COMPUTED_VALUE"""),"Legendary")</f>
        <v>Legendary</v>
      </c>
      <c r="BI33" s="245" t="str">
        <f>IFERROR(__xludf.DUMMYFUNCTION("""COMPUTED_VALUE"""),"+1.5%")</f>
        <v>+1.5%</v>
      </c>
      <c r="BJ33" s="245">
        <f>IFERROR(__xludf.DUMMYFUNCTION("""COMPUTED_VALUE"""),0.015)</f>
        <v>0.015</v>
      </c>
      <c r="BK33" s="245"/>
      <c r="BL33" s="245" t="str">
        <f>IFERROR(__xludf.DUMMYFUNCTION("""COMPUTED_VALUE"""),"Free Utility Upgrade")</f>
        <v>Free Utility Upgrade</v>
      </c>
      <c r="BM33" s="245" t="str">
        <f>IFERROR(__xludf.DUMMYFUNCTION("""COMPUTED_VALUE"""),"Legendary")</f>
        <v>Legendary</v>
      </c>
      <c r="BN33" s="245" t="str">
        <f>IFERROR(__xludf.DUMMYFUNCTION("""COMPUTED_VALUE"""),"+8%")</f>
        <v>+8%</v>
      </c>
      <c r="BO33" s="279">
        <f>IFERROR(__xludf.DUMMYFUNCTION("""COMPUTED_VALUE"""),0.08)</f>
        <v>0.08</v>
      </c>
      <c r="BP33" s="245"/>
      <c r="BQ33" s="245" t="str">
        <f>IFERROR(__xludf.DUMMYFUNCTION("""COMPUTED_VALUE"""),"Black Hole - Size")</f>
        <v>Black Hole - Size</v>
      </c>
      <c r="BR33" s="245" t="str">
        <f>IFERROR(__xludf.DUMMYFUNCTION("""COMPUTED_VALUE"""),"Legendary")</f>
        <v>Legendary</v>
      </c>
      <c r="BS33" s="245" t="str">
        <f>IFERROR(__xludf.DUMMYFUNCTION("""COMPUTED_VALUE"""),"+8.00m")</f>
        <v>+8.00m</v>
      </c>
      <c r="BT33" s="368">
        <f>IFERROR(__xludf.DUMMYFUNCTION("""COMPUTED_VALUE"""),8.0)</f>
        <v>8</v>
      </c>
      <c r="BU33" s="245"/>
      <c r="BV33" s="245"/>
      <c r="BW33" s="245"/>
      <c r="BX33" s="245"/>
      <c r="BY33" s="245"/>
      <c r="BZ33" s="282"/>
      <c r="CA33" s="245"/>
      <c r="CB33" s="245"/>
      <c r="CC33" s="245"/>
      <c r="CD33" s="245"/>
      <c r="CE33" s="245"/>
      <c r="CF33" s="245"/>
    </row>
    <row r="34">
      <c r="A34" s="259" t="str">
        <f>IFERROR(__xludf.DUMMYFUNCTION("""COMPUTED_VALUE"""),"Land Mine Decay")</f>
        <v>Land Mine Decay</v>
      </c>
      <c r="B34" s="260">
        <f>IFERROR(__xludf.DUMMYFUNCTION("""COMPUTED_VALUE"""),13.0)</f>
        <v>13</v>
      </c>
      <c r="C34" s="245"/>
      <c r="D34" s="261">
        <f>IFERROR(__xludf.DUMMYFUNCTION("""COMPUTED_VALUE"""),35.0)</f>
        <v>35</v>
      </c>
      <c r="E34" s="245"/>
      <c r="F34" s="259" t="str">
        <f>IFERROR(__xludf.DUMMYFUNCTION("""COMPUTED_VALUE"""),"Land Mine Damage")</f>
        <v>Land Mine Damage</v>
      </c>
      <c r="G34" s="260">
        <f>IFERROR(__xludf.DUMMYFUNCTION("""COMPUTED_VALUE"""),160.0)</f>
        <v>160</v>
      </c>
      <c r="H34" s="260">
        <f>IFERROR(__xludf.DUMMYFUNCTION("""COMPUTED_VALUE"""),200.0)</f>
        <v>200</v>
      </c>
      <c r="I34" s="245">
        <f>IFERROR(__xludf.DUMMYFUNCTION("""COMPUTED_VALUE"""),160.0)</f>
        <v>160</v>
      </c>
      <c r="J34" s="245">
        <f>IFERROR(__xludf.DUMMYFUNCTION("""COMPUTED_VALUE"""),200.0)</f>
        <v>200</v>
      </c>
      <c r="K34" s="265"/>
      <c r="L34" s="245"/>
      <c r="M34" s="245"/>
      <c r="N34" s="245"/>
      <c r="O34" s="245"/>
      <c r="P34" s="245"/>
      <c r="Q34" s="294">
        <f>IFERROR(__xludf.DUMMYFUNCTION("""COMPUTED_VALUE"""),200.0)</f>
        <v>200</v>
      </c>
      <c r="R34" s="254"/>
      <c r="S34" s="245"/>
      <c r="T34" s="245"/>
      <c r="U34" s="245"/>
      <c r="V34" s="245"/>
      <c r="W34" s="245"/>
      <c r="X34" s="245"/>
      <c r="Y34" s="249"/>
      <c r="Z34" s="266" t="str">
        <f>IFERROR(__xludf.DUMMYFUNCTION("""COMPUTED_VALUE"""),"Spotlight")</f>
        <v>Spotlight</v>
      </c>
      <c r="AA34" s="245"/>
      <c r="AB34" s="266" t="str">
        <f>IFERROR(__xludf.DUMMYFUNCTION("""COMPUTED_VALUE"""),"Multiplier")</f>
        <v>Multiplier</v>
      </c>
      <c r="AC34" s="359">
        <f>IFERROR(__xludf.DUMMYFUNCTION("""COMPUTED_VALUE"""),20.599999999999998)</f>
        <v>20.6</v>
      </c>
      <c r="AD34" s="268" t="str">
        <f>IFERROR(__xludf.DUMMYFUNCTION("""COMPUTED_VALUE"""),"09 | x20.6 | Cost 95 ⧌ | Next 112 ⧌")</f>
        <v>09 | x20.6 | Cost 95 ⧌ | Next 112 ⧌</v>
      </c>
      <c r="AE34" s="287"/>
      <c r="AF34" s="370"/>
      <c r="AG34" s="371"/>
      <c r="AH34" s="360"/>
      <c r="AI34" s="254"/>
      <c r="AJ34" s="287"/>
      <c r="AK34" s="278"/>
      <c r="AL34" s="246"/>
      <c r="AM34" s="245" t="str">
        <f>IFERROR(__xludf.DUMMYFUNCTION("""COMPUTED_VALUE"""),"Free Attack Upgrade")</f>
        <v>Free Attack Upgrade</v>
      </c>
      <c r="AN34" s="369">
        <f>IFERROR(__xludf.DUMMYFUNCTION("""COMPUTED_VALUE"""),0.060000000000000005)</f>
        <v>0.06</v>
      </c>
      <c r="AO34" s="274"/>
      <c r="AP34" s="259" t="str">
        <f>IFERROR(__xludf.DUMMYFUNCTION("""COMPUTED_VALUE"""),"Knockback Force")</f>
        <v>Knockback Force</v>
      </c>
      <c r="AQ34" s="348">
        <f>IFERROR(__xludf.DUMMYFUNCTION("""COMPUTED_VALUE"""),0.0)</f>
        <v>0</v>
      </c>
      <c r="AR34" s="246"/>
      <c r="AS34" s="276"/>
      <c r="AT34" s="276"/>
      <c r="AU34" s="245"/>
      <c r="AV34" s="287"/>
      <c r="AW34" s="287"/>
      <c r="AX34" s="246"/>
      <c r="AY34" s="245"/>
      <c r="AZ34" s="245"/>
      <c r="BA34" s="246"/>
      <c r="BB34" s="245"/>
      <c r="BC34" s="245"/>
      <c r="BD34" s="245"/>
      <c r="BE34" s="279" t="str">
        <f>IFERROR(__xludf.DUMMYFUNCTION("""COMPUTED_VALUE"""),"")</f>
        <v/>
      </c>
      <c r="BF34" s="245"/>
      <c r="BG34" s="245"/>
      <c r="BH34" s="245"/>
      <c r="BI34" s="245"/>
      <c r="BJ34" s="245" t="str">
        <f>IFERROR(__xludf.DUMMYFUNCTION("""COMPUTED_VALUE"""),"")</f>
        <v/>
      </c>
      <c r="BK34" s="245"/>
      <c r="BL34" s="245"/>
      <c r="BM34" s="245"/>
      <c r="BN34" s="245"/>
      <c r="BO34" s="279" t="str">
        <f>IFERROR(__xludf.DUMMYFUNCTION("""COMPUTED_VALUE"""),"")</f>
        <v/>
      </c>
      <c r="BP34" s="245"/>
      <c r="BQ34" s="245" t="str">
        <f>IFERROR(__xludf.DUMMYFUNCTION("""COMPUTED_VALUE"""),"Spotlight - Angle")</f>
        <v>Spotlight - Angle</v>
      </c>
      <c r="BR34" s="245"/>
      <c r="BS34" s="245"/>
      <c r="BT34" s="368"/>
      <c r="BU34" s="245"/>
      <c r="BV34" s="245"/>
      <c r="BW34" s="245"/>
      <c r="BX34" s="245"/>
      <c r="BY34" s="245"/>
      <c r="BZ34" s="282"/>
      <c r="CA34" s="245"/>
      <c r="CB34" s="245"/>
      <c r="CC34" s="245"/>
      <c r="CD34" s="245"/>
      <c r="CE34" s="245"/>
      <c r="CF34" s="245"/>
    </row>
    <row r="35">
      <c r="A35" s="259" t="str">
        <f>IFERROR(__xludf.DUMMYFUNCTION("""COMPUTED_VALUE"""),"Shockwave Size")</f>
        <v>Shockwave Size</v>
      </c>
      <c r="B35" s="260">
        <f>IFERROR(__xludf.DUMMYFUNCTION("""COMPUTED_VALUE"""),10.0)</f>
        <v>10</v>
      </c>
      <c r="C35" s="245"/>
      <c r="D35" s="261">
        <f>IFERROR(__xludf.DUMMYFUNCTION("""COMPUTED_VALUE"""),20.0)</f>
        <v>20</v>
      </c>
      <c r="E35" s="245"/>
      <c r="F35" s="259" t="str">
        <f>IFERROR(__xludf.DUMMYFUNCTION("""COMPUTED_VALUE"""),"Land Mine Radius")</f>
        <v>Land Mine Radius</v>
      </c>
      <c r="G35" s="260">
        <f>IFERROR(__xludf.DUMMYFUNCTION("""COMPUTED_VALUE"""),50.0)</f>
        <v>50</v>
      </c>
      <c r="H35" s="245">
        <f>IFERROR(__xludf.DUMMYFUNCTION("""COMPUTED_VALUE"""),50.0)</f>
        <v>50</v>
      </c>
      <c r="I35" s="245">
        <f>IFERROR(__xludf.DUMMYFUNCTION("""COMPUTED_VALUE"""),50.0)</f>
        <v>50</v>
      </c>
      <c r="J35" s="245">
        <f>IFERROR(__xludf.DUMMYFUNCTION("""COMPUTED_VALUE"""),50.0)</f>
        <v>50</v>
      </c>
      <c r="K35" s="265"/>
      <c r="L35" s="245"/>
      <c r="M35" s="245"/>
      <c r="N35" s="245"/>
      <c r="O35" s="245"/>
      <c r="P35" s="245"/>
      <c r="Q35" s="294">
        <f>IFERROR(__xludf.DUMMYFUNCTION("""COMPUTED_VALUE"""),50.0)</f>
        <v>50</v>
      </c>
      <c r="R35" s="254"/>
      <c r="S35" s="245"/>
      <c r="T35" s="245"/>
      <c r="U35" s="245"/>
      <c r="V35" s="245"/>
      <c r="W35" s="245"/>
      <c r="X35" s="245"/>
      <c r="Y35" s="249"/>
      <c r="Z35" s="276"/>
      <c r="AA35" s="245"/>
      <c r="AB35" s="266" t="str">
        <f>IFERROR(__xludf.DUMMYFUNCTION("""COMPUTED_VALUE"""),"Angle")</f>
        <v>Angle</v>
      </c>
      <c r="AC35" s="298">
        <f>IFERROR(__xludf.DUMMYFUNCTION("""COMPUTED_VALUE"""),39.0)</f>
        <v>39</v>
      </c>
      <c r="AD35" s="268" t="str">
        <f>IFERROR(__xludf.DUMMYFUNCTION("""COMPUTED_VALUE"""),"09 | 39° | Cost 93 ⧌ | Next 104 ⧌")</f>
        <v>09 | 39° | Cost 93 ⧌ | Next 104 ⧌</v>
      </c>
      <c r="AE35" s="276"/>
      <c r="AF35" s="370"/>
      <c r="AG35" s="371"/>
      <c r="AH35" s="276"/>
      <c r="AI35" s="254"/>
      <c r="AJ35" s="287"/>
      <c r="AK35" s="278"/>
      <c r="AL35" s="246"/>
      <c r="AM35" s="245" t="str">
        <f>IFERROR(__xludf.DUMMYFUNCTION("""COMPUTED_VALUE"""),"Free Defense Upgrade")</f>
        <v>Free Defense Upgrade</v>
      </c>
      <c r="AN35" s="369">
        <f>IFERROR(__xludf.DUMMYFUNCTION("""COMPUTED_VALUE"""),0.03)</f>
        <v>0.03</v>
      </c>
      <c r="AO35" s="274"/>
      <c r="AP35" s="259" t="str">
        <f>IFERROR(__xludf.DUMMYFUNCTION("""COMPUTED_VALUE"""),"Orb Speed")</f>
        <v>Orb Speed</v>
      </c>
      <c r="AQ35" s="298">
        <f>IFERROR(__xludf.DUMMYFUNCTION("""COMPUTED_VALUE"""),0.0)</f>
        <v>0</v>
      </c>
      <c r="AR35" s="246"/>
      <c r="AS35" s="276"/>
      <c r="AT35" s="276"/>
      <c r="AU35" s="245"/>
      <c r="AV35" s="276"/>
      <c r="AW35" s="245"/>
      <c r="AX35" s="246"/>
      <c r="AY35" s="245"/>
      <c r="AZ35" s="245"/>
      <c r="BA35" s="246"/>
      <c r="BB35" s="245"/>
      <c r="BC35" s="245"/>
      <c r="BD35" s="245"/>
      <c r="BE35" s="245" t="str">
        <f>IFERROR(__xludf.DUMMYFUNCTION("""COMPUTED_VALUE"""),"")</f>
        <v/>
      </c>
      <c r="BF35" s="245"/>
      <c r="BG35" s="245"/>
      <c r="BH35" s="245"/>
      <c r="BI35" s="245"/>
      <c r="BJ35" s="245" t="str">
        <f>IFERROR(__xludf.DUMMYFUNCTION("""COMPUTED_VALUE"""),"")</f>
        <v/>
      </c>
      <c r="BK35" s="245"/>
      <c r="BL35" s="245"/>
      <c r="BM35" s="245"/>
      <c r="BN35" s="245"/>
      <c r="BO35" s="245" t="str">
        <f>IFERROR(__xludf.DUMMYFUNCTION("""COMPUTED_VALUE"""),"")</f>
        <v/>
      </c>
      <c r="BP35" s="245"/>
      <c r="BQ35" s="245" t="str">
        <f>IFERROR(__xludf.DUMMYFUNCTION("""COMPUTED_VALUE"""),"Death Wave - Quantity")</f>
        <v>Death Wave - Quantity</v>
      </c>
      <c r="BR35" s="245"/>
      <c r="BS35" s="245"/>
      <c r="BT35" s="246"/>
      <c r="BU35" s="245"/>
      <c r="BV35" s="245"/>
      <c r="BW35" s="245"/>
      <c r="BX35" s="245"/>
      <c r="BY35" s="245"/>
      <c r="BZ35" s="282"/>
      <c r="CA35" s="245"/>
      <c r="CB35" s="245"/>
      <c r="CC35" s="245"/>
      <c r="CD35" s="245"/>
      <c r="CE35" s="245"/>
      <c r="CF35" s="245"/>
    </row>
    <row r="36">
      <c r="A36" s="259" t="str">
        <f>IFERROR(__xludf.DUMMYFUNCTION("""COMPUTED_VALUE"""),"Orb Boss Hit")</f>
        <v>Orb Boss Hit</v>
      </c>
      <c r="B36" s="260">
        <f>IFERROR(__xludf.DUMMYFUNCTION("""COMPUTED_VALUE"""),10.0)</f>
        <v>10</v>
      </c>
      <c r="C36" s="245"/>
      <c r="D36" s="261">
        <f>IFERROR(__xludf.DUMMYFUNCTION("""COMPUTED_VALUE"""),10.0)</f>
        <v>10</v>
      </c>
      <c r="E36" s="280" t="b">
        <f>IFERROR(__xludf.DUMMYFUNCTION("""COMPUTED_VALUE"""),TRUE)</f>
        <v>1</v>
      </c>
      <c r="F36" s="259" t="str">
        <f>IFERROR(__xludf.DUMMYFUNCTION("""COMPUTED_VALUE"""),"Death Defy")</f>
        <v>Death Defy</v>
      </c>
      <c r="G36" s="260">
        <f>IFERROR(__xludf.DUMMYFUNCTION("""COMPUTED_VALUE"""),75.0)</f>
        <v>75</v>
      </c>
      <c r="H36" s="245">
        <f>IFERROR(__xludf.DUMMYFUNCTION("""COMPUTED_VALUE"""),75.0)</f>
        <v>75</v>
      </c>
      <c r="I36" s="245">
        <f>IFERROR(__xludf.DUMMYFUNCTION("""COMPUTED_VALUE"""),75.0)</f>
        <v>75</v>
      </c>
      <c r="J36" s="245">
        <f>IFERROR(__xludf.DUMMYFUNCTION("""COMPUTED_VALUE"""),75.0)</f>
        <v>75</v>
      </c>
      <c r="K36" s="265"/>
      <c r="L36" s="245"/>
      <c r="M36" s="245"/>
      <c r="N36" s="245"/>
      <c r="O36" s="245"/>
      <c r="P36" s="245"/>
      <c r="Q36" s="294">
        <f>IFERROR(__xludf.DUMMYFUNCTION("""COMPUTED_VALUE"""),75.0)</f>
        <v>75</v>
      </c>
      <c r="R36" s="254"/>
      <c r="S36" s="245"/>
      <c r="T36" s="245"/>
      <c r="U36" s="245"/>
      <c r="V36" s="245"/>
      <c r="W36" s="245"/>
      <c r="X36" s="245"/>
      <c r="Y36" s="249"/>
      <c r="Z36" s="297" t="b">
        <f>IFERROR(__xludf.DUMMYFUNCTION("""COMPUTED_VALUE"""),TRUE)</f>
        <v>1</v>
      </c>
      <c r="AA36" s="259" t="str">
        <f>IFERROR(__xludf.DUMMYFUNCTION("""COMPUTED_VALUE"""),"UW Unlocked")</f>
        <v>UW Unlocked</v>
      </c>
      <c r="AB36" s="266" t="str">
        <f>IFERROR(__xludf.DUMMYFUNCTION("""COMPUTED_VALUE"""),"Quantity")</f>
        <v>Quantity</v>
      </c>
      <c r="AC36" s="285">
        <f>IFERROR(__xludf.DUMMYFUNCTION("""COMPUTED_VALUE"""),3.0)</f>
        <v>3</v>
      </c>
      <c r="AD36" s="268" t="str">
        <f>IFERROR(__xludf.DUMMYFUNCTION("""COMPUTED_VALUE"""),"02 | #3 | Cost 850 ⧌ | Next 2500 ⧌")</f>
        <v>02 | #3 | Cost 850 ⧌ | Next 2500 ⧌</v>
      </c>
      <c r="AE36" s="327"/>
      <c r="AF36" s="370"/>
      <c r="AG36" s="371"/>
      <c r="AH36" s="286"/>
      <c r="AI36" s="254"/>
      <c r="AJ36" s="287"/>
      <c r="AK36" s="278"/>
      <c r="AL36" s="246"/>
      <c r="AM36" s="245" t="str">
        <f>IFERROR(__xludf.DUMMYFUNCTION("""COMPUTED_VALUE"""),"Free Utility Upgrade")</f>
        <v>Free Utility Upgrade</v>
      </c>
      <c r="AN36" s="369">
        <f>IFERROR(__xludf.DUMMYFUNCTION("""COMPUTED_VALUE"""),0.04)</f>
        <v>0.04</v>
      </c>
      <c r="AO36" s="274"/>
      <c r="AP36" s="259" t="str">
        <f>IFERROR(__xludf.DUMMYFUNCTION("""COMPUTED_VALUE"""),"Orbs")</f>
        <v>Orbs</v>
      </c>
      <c r="AQ36" s="326">
        <f>IFERROR(__xludf.DUMMYFUNCTION("""COMPUTED_VALUE"""),0.0)</f>
        <v>0</v>
      </c>
      <c r="AR36" s="246"/>
      <c r="AS36" s="276"/>
      <c r="AT36" s="276"/>
      <c r="AU36" s="245"/>
      <c r="AV36" s="327"/>
      <c r="AW36" s="327"/>
      <c r="AX36" s="246"/>
      <c r="AY36" s="245"/>
      <c r="AZ36" s="245"/>
      <c r="BA36" s="246"/>
      <c r="BB36" s="245"/>
      <c r="BC36" s="245"/>
      <c r="BD36" s="245"/>
      <c r="BE36" s="245" t="str">
        <f>IFERROR(__xludf.DUMMYFUNCTION("""COMPUTED_VALUE"""),"")</f>
        <v/>
      </c>
      <c r="BF36" s="245"/>
      <c r="BG36" s="245"/>
      <c r="BH36" s="245"/>
      <c r="BI36" s="245"/>
      <c r="BJ36" s="245" t="str">
        <f>IFERROR(__xludf.DUMMYFUNCTION("""COMPUTED_VALUE"""),"")</f>
        <v/>
      </c>
      <c r="BK36" s="245"/>
      <c r="BL36" s="245"/>
      <c r="BM36" s="245"/>
      <c r="BN36" s="245"/>
      <c r="BO36" s="245" t="str">
        <f>IFERROR(__xludf.DUMMYFUNCTION("""COMPUTED_VALUE"""),"")</f>
        <v/>
      </c>
      <c r="BP36" s="245"/>
      <c r="BQ36" s="245" t="str">
        <f>IFERROR(__xludf.DUMMYFUNCTION("""COMPUTED_VALUE"""),"Death Wave - Cooldown")</f>
        <v>Death Wave - Cooldown</v>
      </c>
      <c r="BR36" s="245"/>
      <c r="BS36" s="245"/>
      <c r="BT36" s="246"/>
      <c r="BU36" s="245"/>
      <c r="BV36" s="245"/>
      <c r="BW36" s="245"/>
      <c r="BX36" s="245"/>
      <c r="BY36" s="245"/>
      <c r="BZ36" s="282"/>
      <c r="CA36" s="245"/>
      <c r="CB36" s="245"/>
      <c r="CC36" s="245"/>
      <c r="CD36" s="245"/>
      <c r="CE36" s="245"/>
      <c r="CF36" s="245"/>
    </row>
    <row r="37">
      <c r="A37" s="259" t="str">
        <f>IFERROR(__xludf.DUMMYFUNCTION("""COMPUTED_VALUE"""),"Wall Health")</f>
        <v>Wall Health</v>
      </c>
      <c r="B37" s="260">
        <f>IFERROR(__xludf.DUMMYFUNCTION("""COMPUTED_VALUE"""),50.0)</f>
        <v>50</v>
      </c>
      <c r="C37" s="245"/>
      <c r="D37" s="261">
        <f>IFERROR(__xludf.DUMMYFUNCTION("""COMPUTED_VALUE"""),50.0)</f>
        <v>50</v>
      </c>
      <c r="E37" s="280" t="b">
        <f>IFERROR(__xludf.DUMMYFUNCTION("""COMPUTED_VALUE"""),TRUE)</f>
        <v>1</v>
      </c>
      <c r="F37" s="259" t="str">
        <f>IFERROR(__xludf.DUMMYFUNCTION("""COMPUTED_VALUE"""),"Wall Health")</f>
        <v>Wall Health</v>
      </c>
      <c r="G37" s="260">
        <f>IFERROR(__xludf.DUMMYFUNCTION("""COMPUTED_VALUE"""),1340.0)</f>
        <v>1340</v>
      </c>
      <c r="H37" s="260">
        <f>IFERROR(__xludf.DUMMYFUNCTION("""COMPUTED_VALUE"""),1800.0)</f>
        <v>1800</v>
      </c>
      <c r="I37" s="245">
        <f>IFERROR(__xludf.DUMMYFUNCTION("""COMPUTED_VALUE"""),1340.0)</f>
        <v>1340</v>
      </c>
      <c r="J37" s="245">
        <f>IFERROR(__xludf.DUMMYFUNCTION("""COMPUTED_VALUE"""),1800.0)</f>
        <v>1800</v>
      </c>
      <c r="K37" s="265"/>
      <c r="L37" s="245"/>
      <c r="M37" s="245"/>
      <c r="N37" s="245"/>
      <c r="O37" s="245"/>
      <c r="P37" s="245"/>
      <c r="Q37" s="294">
        <f>IFERROR(__xludf.DUMMYFUNCTION("""COMPUTED_VALUE"""),1800.0)</f>
        <v>1800</v>
      </c>
      <c r="R37" s="254"/>
      <c r="S37" s="245"/>
      <c r="T37" s="245"/>
      <c r="U37" s="245"/>
      <c r="V37" s="245"/>
      <c r="W37" s="245"/>
      <c r="X37" s="245"/>
      <c r="Y37" s="249"/>
      <c r="Z37" s="266" t="str">
        <f>IFERROR(__xludf.DUMMYFUNCTION("""COMPUTED_VALUE"""),"UW+")</f>
        <v>UW+</v>
      </c>
      <c r="AA37" s="245"/>
      <c r="AB37" s="266" t="str">
        <f>IFERROR(__xludf.DUMMYFUNCTION("""COMPUTED_VALUE"""),"Light Range")</f>
        <v>Light Range</v>
      </c>
      <c r="AC37" s="272" t="str">
        <f>IFERROR(__xludf.DUMMYFUNCTION("""COMPUTED_VALUE"""),"Locked")</f>
        <v>Locked</v>
      </c>
      <c r="AD37" s="268" t="str">
        <f>IFERROR(__xludf.DUMMYFUNCTION("""COMPUTED_VALUE"""),"Lo | Locked")</f>
        <v>Lo | Locked</v>
      </c>
      <c r="AE37" s="287"/>
      <c r="AF37" s="370"/>
      <c r="AG37" s="371"/>
      <c r="AH37" s="287"/>
      <c r="AI37" s="254"/>
      <c r="AJ37" s="287"/>
      <c r="AK37" s="278"/>
      <c r="AL37" s="246"/>
      <c r="AM37" s="245" t="str">
        <f>IFERROR(__xludf.DUMMYFUNCTION("""COMPUTED_VALUE"""),"Recovery Amount")</f>
        <v>Recovery Amount</v>
      </c>
      <c r="AN37" s="369">
        <f>IFERROR(__xludf.DUMMYFUNCTION("""COMPUTED_VALUE"""),0.11)</f>
        <v>0.11</v>
      </c>
      <c r="AO37" s="274"/>
      <c r="AP37" s="259" t="str">
        <f>IFERROR(__xludf.DUMMYFUNCTION("""COMPUTED_VALUE"""),"Shockwave Frequency")</f>
        <v>Shockwave Frequency</v>
      </c>
      <c r="AQ37" s="348">
        <f>IFERROR(__xludf.DUMMYFUNCTION("""COMPUTED_VALUE"""),0.0)</f>
        <v>0</v>
      </c>
      <c r="AR37" s="246"/>
      <c r="AS37" s="276"/>
      <c r="AT37" s="276"/>
      <c r="AU37" s="245"/>
      <c r="AV37" s="287"/>
      <c r="AW37" s="287"/>
      <c r="AX37" s="246"/>
      <c r="AY37" s="245"/>
      <c r="AZ37" s="245"/>
      <c r="BA37" s="246"/>
      <c r="BB37" s="245"/>
      <c r="BC37" s="245"/>
      <c r="BD37" s="245"/>
      <c r="BE37" s="245" t="str">
        <f>IFERROR(__xludf.DUMMYFUNCTION("""COMPUTED_VALUE"""),"")</f>
        <v/>
      </c>
      <c r="BF37" s="245"/>
      <c r="BG37" s="245"/>
      <c r="BH37" s="245"/>
      <c r="BI37" s="245"/>
      <c r="BJ37" s="245" t="str">
        <f>IFERROR(__xludf.DUMMYFUNCTION("""COMPUTED_VALUE"""),"")</f>
        <v/>
      </c>
      <c r="BK37" s="245"/>
      <c r="BL37" s="245"/>
      <c r="BM37" s="245"/>
      <c r="BN37" s="245"/>
      <c r="BO37" s="245" t="str">
        <f>IFERROR(__xludf.DUMMYFUNCTION("""COMPUTED_VALUE"""),"")</f>
        <v/>
      </c>
      <c r="BP37" s="245"/>
      <c r="BQ37" s="245" t="str">
        <f>IFERROR(__xludf.DUMMYFUNCTION("""COMPUTED_VALUE"""),"Golden Tower - Bonus")</f>
        <v>Golden Tower - Bonus</v>
      </c>
      <c r="BR37" s="245"/>
      <c r="BS37" s="245"/>
      <c r="BT37" s="246"/>
      <c r="BU37" s="245"/>
      <c r="BV37" s="245"/>
      <c r="BW37" s="245"/>
      <c r="BX37" s="245"/>
      <c r="BY37" s="245"/>
      <c r="BZ37" s="282"/>
      <c r="CA37" s="245"/>
      <c r="CB37" s="245"/>
      <c r="CC37" s="245"/>
      <c r="CD37" s="245"/>
      <c r="CE37" s="245"/>
      <c r="CF37" s="245"/>
    </row>
    <row r="38">
      <c r="A38" s="259" t="str">
        <f>IFERROR(__xludf.DUMMYFUNCTION("""COMPUTED_VALUE"""),"Wall Rebuild")</f>
        <v>Wall Rebuild</v>
      </c>
      <c r="B38" s="260">
        <f>IFERROR(__xludf.DUMMYFUNCTION("""COMPUTED_VALUE"""),9.0)</f>
        <v>9</v>
      </c>
      <c r="C38" s="245"/>
      <c r="D38" s="261">
        <f>IFERROR(__xludf.DUMMYFUNCTION("""COMPUTED_VALUE"""),20.0)</f>
        <v>20</v>
      </c>
      <c r="E38" s="245"/>
      <c r="F38" s="259" t="str">
        <f>IFERROR(__xludf.DUMMYFUNCTION("""COMPUTED_VALUE"""),"Wall Rebuild")</f>
        <v>Wall Rebuild</v>
      </c>
      <c r="G38" s="260">
        <f>IFERROR(__xludf.DUMMYFUNCTION("""COMPUTED_VALUE"""),250.0)</f>
        <v>250</v>
      </c>
      <c r="H38" s="260">
        <f>IFERROR(__xludf.DUMMYFUNCTION("""COMPUTED_VALUE"""),300.0)</f>
        <v>300</v>
      </c>
      <c r="I38" s="245">
        <f>IFERROR(__xludf.DUMMYFUNCTION("""COMPUTED_VALUE"""),250.0)</f>
        <v>250</v>
      </c>
      <c r="J38" s="245">
        <f>IFERROR(__xludf.DUMMYFUNCTION("""COMPUTED_VALUE"""),300.0)</f>
        <v>300</v>
      </c>
      <c r="K38" s="265"/>
      <c r="L38" s="245"/>
      <c r="M38" s="245"/>
      <c r="N38" s="245"/>
      <c r="O38" s="245"/>
      <c r="P38" s="245"/>
      <c r="Q38" s="294">
        <f>IFERROR(__xludf.DUMMYFUNCTION("""COMPUTED_VALUE"""),300.0)</f>
        <v>300</v>
      </c>
      <c r="R38" s="254"/>
      <c r="S38" s="245"/>
      <c r="T38" s="245"/>
      <c r="U38" s="245"/>
      <c r="V38" s="245"/>
      <c r="W38" s="245"/>
      <c r="X38" s="245"/>
      <c r="Y38" s="249"/>
      <c r="Z38" s="276"/>
      <c r="AA38" s="245"/>
      <c r="AB38" s="276"/>
      <c r="AC38" s="276"/>
      <c r="AD38" s="246"/>
      <c r="AE38" s="327"/>
      <c r="AF38" s="370"/>
      <c r="AG38" s="371"/>
      <c r="AH38" s="276"/>
      <c r="AI38" s="245"/>
      <c r="AJ38" s="287"/>
      <c r="AK38" s="278"/>
      <c r="AL38" s="246"/>
      <c r="AM38" s="245" t="str">
        <f>IFERROR(__xludf.DUMMYFUNCTION("""COMPUTED_VALUE"""),"Enemy Attack Level Skip")</f>
        <v>Enemy Attack Level Skip</v>
      </c>
      <c r="AN38" s="327">
        <f>IFERROR(__xludf.DUMMYFUNCTION("""COMPUTED_VALUE"""),0.02)</f>
        <v>0.02</v>
      </c>
      <c r="AO38" s="274"/>
      <c r="AP38" s="259" t="str">
        <f>IFERROR(__xludf.DUMMYFUNCTION("""COMPUTED_VALUE"""),"Death Defy")</f>
        <v>Death Defy</v>
      </c>
      <c r="AQ38" s="326">
        <f>IFERROR(__xludf.DUMMYFUNCTION("""COMPUTED_VALUE"""),0.0)</f>
        <v>0</v>
      </c>
      <c r="AR38" s="246"/>
      <c r="AS38" s="245"/>
      <c r="AT38" s="245"/>
      <c r="AU38" s="245"/>
      <c r="AV38" s="327"/>
      <c r="AW38" s="327"/>
      <c r="AX38" s="246"/>
      <c r="AY38" s="245"/>
      <c r="AZ38" s="245"/>
      <c r="BA38" s="246"/>
      <c r="BB38" s="245"/>
      <c r="BC38" s="245"/>
      <c r="BD38" s="245"/>
      <c r="BE38" s="245" t="str">
        <f>IFERROR(__xludf.DUMMYFUNCTION("""COMPUTED_VALUE"""),"")</f>
        <v/>
      </c>
      <c r="BF38" s="245"/>
      <c r="BG38" s="245"/>
      <c r="BH38" s="245"/>
      <c r="BI38" s="245"/>
      <c r="BJ38" s="245" t="str">
        <f>IFERROR(__xludf.DUMMYFUNCTION("""COMPUTED_VALUE"""),"")</f>
        <v/>
      </c>
      <c r="BK38" s="245"/>
      <c r="BL38" s="245"/>
      <c r="BM38" s="245"/>
      <c r="BN38" s="245"/>
      <c r="BO38" s="245" t="str">
        <f>IFERROR(__xludf.DUMMYFUNCTION("""COMPUTED_VALUE"""),"")</f>
        <v/>
      </c>
      <c r="BP38" s="245"/>
      <c r="BQ38" s="245" t="str">
        <f>IFERROR(__xludf.DUMMYFUNCTION("""COMPUTED_VALUE"""),"Death Wave - Damage")</f>
        <v>Death Wave - Damage</v>
      </c>
      <c r="BR38" s="245" t="str">
        <f>IFERROR(__xludf.DUMMYFUNCTION("""COMPUTED_VALUE"""),"Common")</f>
        <v>Common</v>
      </c>
      <c r="BS38" s="245" t="str">
        <f>IFERROR(__xludf.DUMMYFUNCTION("""COMPUTED_VALUE"""),"+8x")</f>
        <v>+8x</v>
      </c>
      <c r="BT38" s="246">
        <f>IFERROR(__xludf.DUMMYFUNCTION("""COMPUTED_VALUE"""),8.0)</f>
        <v>8</v>
      </c>
      <c r="BU38" s="245"/>
      <c r="BV38" s="245"/>
      <c r="BW38" s="245"/>
      <c r="BX38" s="245"/>
      <c r="BY38" s="245"/>
      <c r="BZ38" s="282"/>
      <c r="CA38" s="245"/>
      <c r="CB38" s="245"/>
      <c r="CC38" s="245"/>
      <c r="CD38" s="245"/>
      <c r="CE38" s="245"/>
      <c r="CF38" s="245"/>
    </row>
    <row r="39">
      <c r="A39" s="259" t="str">
        <f>IFERROR(__xludf.DUMMYFUNCTION("""COMPUTED_VALUE"""),"Wall Regen")</f>
        <v>Wall Regen</v>
      </c>
      <c r="B39" s="260">
        <f>IFERROR(__xludf.DUMMYFUNCTION("""COMPUTED_VALUE"""),21.0)</f>
        <v>21</v>
      </c>
      <c r="C39" s="245"/>
      <c r="D39" s="261">
        <f>IFERROR(__xludf.DUMMYFUNCTION("""COMPUTED_VALUE"""),30.0)</f>
        <v>30</v>
      </c>
      <c r="E39" s="280" t="b">
        <f>IFERROR(__xludf.DUMMYFUNCTION("""COMPUTED_VALUE"""),TRUE)</f>
        <v>1</v>
      </c>
      <c r="F39" s="259" t="str">
        <f>IFERROR(__xludf.DUMMYFUNCTION("""COMPUTED_VALUE"""),"Cash Bonus")</f>
        <v>Cash Bonus</v>
      </c>
      <c r="G39" s="260">
        <f>IFERROR(__xludf.DUMMYFUNCTION("""COMPUTED_VALUE"""),149.0)</f>
        <v>149</v>
      </c>
      <c r="H39" s="245">
        <f>IFERROR(__xludf.DUMMYFUNCTION("""COMPUTED_VALUE"""),149.0)</f>
        <v>149</v>
      </c>
      <c r="I39" s="245">
        <f>IFERROR(__xludf.DUMMYFUNCTION("""COMPUTED_VALUE"""),149.0)</f>
        <v>149</v>
      </c>
      <c r="J39" s="245">
        <f>IFERROR(__xludf.DUMMYFUNCTION("""COMPUTED_VALUE"""),149.0)</f>
        <v>149</v>
      </c>
      <c r="K39" s="265"/>
      <c r="L39" s="245"/>
      <c r="M39" s="245"/>
      <c r="N39" s="245"/>
      <c r="O39" s="245"/>
      <c r="P39" s="245"/>
      <c r="Q39" s="294">
        <f>IFERROR(__xludf.DUMMYFUNCTION("""COMPUTED_VALUE"""),149.0)</f>
        <v>149</v>
      </c>
      <c r="R39" s="254"/>
      <c r="S39" s="245"/>
      <c r="T39" s="245"/>
      <c r="U39" s="245"/>
      <c r="V39" s="245"/>
      <c r="W39" s="245"/>
      <c r="X39" s="245"/>
      <c r="Y39" s="249"/>
      <c r="Z39" s="276"/>
      <c r="AA39" s="245"/>
      <c r="AB39" s="276"/>
      <c r="AC39" s="276"/>
      <c r="AD39" s="246"/>
      <c r="AE39" s="278"/>
      <c r="AF39" s="370"/>
      <c r="AG39" s="371"/>
      <c r="AH39" s="276"/>
      <c r="AI39" s="245"/>
      <c r="AJ39" s="287"/>
      <c r="AK39" s="278"/>
      <c r="AL39" s="246"/>
      <c r="AM39" s="245" t="str">
        <f>IFERROR(__xludf.DUMMYFUNCTION("""COMPUTED_VALUE"""),"Enemy Health Level Skip")</f>
        <v>Enemy Health Level Skip</v>
      </c>
      <c r="AN39" s="276">
        <f>IFERROR(__xludf.DUMMYFUNCTION("""COMPUTED_VALUE"""),0.02)</f>
        <v>0.02</v>
      </c>
      <c r="AO39" s="274"/>
      <c r="AP39" s="259" t="str">
        <f>IFERROR(__xludf.DUMMYFUNCTION("""COMPUTED_VALUE"""),"Wall Rebuild")</f>
        <v>Wall Rebuild</v>
      </c>
      <c r="AQ39" s="327">
        <f>IFERROR(__xludf.DUMMYFUNCTION("""COMPUTED_VALUE"""),0.0)</f>
        <v>0</v>
      </c>
      <c r="AR39" s="246"/>
      <c r="AS39" s="245"/>
      <c r="AT39" s="245"/>
      <c r="AU39" s="245"/>
      <c r="AV39" s="245"/>
      <c r="AW39" s="245"/>
      <c r="AX39" s="246"/>
      <c r="AY39" s="245"/>
      <c r="AZ39" s="245"/>
      <c r="BA39" s="246"/>
      <c r="BB39" s="245"/>
      <c r="BC39" s="245"/>
      <c r="BD39" s="245"/>
      <c r="BE39" s="245"/>
      <c r="BF39" s="245"/>
      <c r="BG39" s="245"/>
      <c r="BH39" s="245"/>
      <c r="BI39" s="245"/>
      <c r="BJ39" s="245"/>
      <c r="BK39" s="245"/>
      <c r="BL39" s="245"/>
      <c r="BM39" s="245"/>
      <c r="BN39" s="245"/>
      <c r="BO39" s="245"/>
      <c r="BP39" s="245"/>
      <c r="BQ39" s="245"/>
      <c r="BR39" s="245"/>
      <c r="BS39" s="245"/>
      <c r="BT39" s="246"/>
      <c r="BU39" s="245"/>
      <c r="BV39" s="245"/>
      <c r="BW39" s="245"/>
      <c r="BX39" s="245"/>
      <c r="BY39" s="245"/>
      <c r="BZ39" s="282"/>
      <c r="CA39" s="245"/>
      <c r="CB39" s="245"/>
      <c r="CC39" s="245"/>
      <c r="CD39" s="245"/>
      <c r="CE39" s="245"/>
      <c r="CF39" s="245"/>
    </row>
    <row r="40">
      <c r="A40" s="259" t="str">
        <f>IFERROR(__xludf.DUMMYFUNCTION("""COMPUTED_VALUE"""),"Wall Thorns")</f>
        <v>Wall Thorns</v>
      </c>
      <c r="B40" s="260">
        <f>IFERROR(__xludf.DUMMYFUNCTION("""COMPUTED_VALUE"""),15.0)</f>
        <v>15</v>
      </c>
      <c r="C40" s="245"/>
      <c r="D40" s="261">
        <f>IFERROR(__xludf.DUMMYFUNCTION("""COMPUTED_VALUE"""),20.0)</f>
        <v>20</v>
      </c>
      <c r="E40" s="245"/>
      <c r="F40" s="259" t="str">
        <f>IFERROR(__xludf.DUMMYFUNCTION("""COMPUTED_VALUE"""),"Cash / Wave")</f>
        <v>Cash / Wave</v>
      </c>
      <c r="G40" s="260">
        <f>IFERROR(__xludf.DUMMYFUNCTION("""COMPUTED_VALUE"""),149.0)</f>
        <v>149</v>
      </c>
      <c r="H40" s="245">
        <f>IFERROR(__xludf.DUMMYFUNCTION("""COMPUTED_VALUE"""),149.0)</f>
        <v>149</v>
      </c>
      <c r="I40" s="245">
        <f>IFERROR(__xludf.DUMMYFUNCTION("""COMPUTED_VALUE"""),149.0)</f>
        <v>149</v>
      </c>
      <c r="J40" s="245">
        <f>IFERROR(__xludf.DUMMYFUNCTION("""COMPUTED_VALUE"""),149.0)</f>
        <v>149</v>
      </c>
      <c r="K40" s="265"/>
      <c r="L40" s="245"/>
      <c r="M40" s="245"/>
      <c r="N40" s="245"/>
      <c r="O40" s="245"/>
      <c r="P40" s="245"/>
      <c r="Q40" s="294">
        <f>IFERROR(__xludf.DUMMYFUNCTION("""COMPUTED_VALUE"""),149.0)</f>
        <v>149</v>
      </c>
      <c r="R40" s="254"/>
      <c r="S40" s="245"/>
      <c r="T40" s="245"/>
      <c r="U40" s="245"/>
      <c r="V40" s="245"/>
      <c r="W40" s="245"/>
      <c r="X40" s="245"/>
      <c r="Y40" s="249"/>
      <c r="Z40" s="276"/>
      <c r="AA40" s="245"/>
      <c r="AB40" s="276"/>
      <c r="AC40" s="276"/>
      <c r="AD40" s="246"/>
      <c r="AE40" s="287"/>
      <c r="AF40" s="370"/>
      <c r="AG40" s="371"/>
      <c r="AH40" s="276"/>
      <c r="AI40" s="245"/>
      <c r="AJ40" s="287"/>
      <c r="AK40" s="278"/>
      <c r="AL40" s="246"/>
      <c r="AM40" s="245"/>
      <c r="AN40" s="245"/>
      <c r="AO40" s="274"/>
      <c r="AP40" s="259" t="str">
        <f>IFERROR(__xludf.DUMMYFUNCTION("""COMPUTED_VALUE"""),"Utility")</f>
        <v>Utility</v>
      </c>
      <c r="AQ40" s="348"/>
      <c r="AR40" s="246"/>
      <c r="AS40" s="245"/>
      <c r="AT40" s="245"/>
      <c r="AU40" s="245"/>
      <c r="AV40" s="287"/>
      <c r="AW40" s="287"/>
      <c r="AX40" s="246"/>
      <c r="AY40" s="245"/>
      <c r="AZ40" s="245"/>
      <c r="BA40" s="246"/>
      <c r="BB40" s="245" t="str">
        <f>IFERROR(__xludf.DUMMYFUNCTION("""COMPUTED_VALUE"""),"Being Annihilator")</f>
        <v>Being Annihilator</v>
      </c>
      <c r="BC40" s="245"/>
      <c r="BD40" s="245"/>
      <c r="BE40" s="245"/>
      <c r="BF40" s="245"/>
      <c r="BG40" s="245" t="str">
        <f>IFERROR(__xludf.DUMMYFUNCTION("""COMPUTED_VALUE"""),"Negative Mass Projector")</f>
        <v>Negative Mass Projector</v>
      </c>
      <c r="BH40" s="245"/>
      <c r="BI40" s="245"/>
      <c r="BJ40" s="245"/>
      <c r="BK40" s="245"/>
      <c r="BL40" s="245" t="str">
        <f>IFERROR(__xludf.DUMMYFUNCTION("""COMPUTED_VALUE"""),"Galaxy Compressor")</f>
        <v>Galaxy Compressor</v>
      </c>
      <c r="BM40" s="245"/>
      <c r="BN40" s="245"/>
      <c r="BO40" s="245"/>
      <c r="BP40" s="245"/>
      <c r="BQ40" s="245" t="str">
        <f>IFERROR(__xludf.DUMMYFUNCTION("""COMPUTED_VALUE"""),"Dimension Core")</f>
        <v>Dimension Core</v>
      </c>
      <c r="BR40" s="245"/>
      <c r="BS40" s="245"/>
      <c r="BT40" s="246"/>
      <c r="BU40" s="245"/>
      <c r="BV40" s="245"/>
      <c r="BW40" s="245"/>
      <c r="BX40" s="245"/>
      <c r="BY40" s="245"/>
      <c r="BZ40" s="282"/>
      <c r="CA40" s="245"/>
      <c r="CB40" s="245"/>
      <c r="CC40" s="245"/>
      <c r="CD40" s="245"/>
      <c r="CE40" s="245"/>
      <c r="CF40" s="245"/>
    </row>
    <row r="41">
      <c r="A41" s="259" t="str">
        <f>IFERROR(__xludf.DUMMYFUNCTION("""COMPUTED_VALUE"""),"Wall Invincibility")</f>
        <v>Wall Invincibility</v>
      </c>
      <c r="B41" s="260">
        <f>IFERROR(__xludf.DUMMYFUNCTION("""COMPUTED_VALUE"""),0.0)</f>
        <v>0</v>
      </c>
      <c r="C41" s="245"/>
      <c r="D41" s="261">
        <f>IFERROR(__xludf.DUMMYFUNCTION("""COMPUTED_VALUE"""),10.0)</f>
        <v>10</v>
      </c>
      <c r="E41" s="280" t="b">
        <f>IFERROR(__xludf.DUMMYFUNCTION("""COMPUTED_VALUE"""),TRUE)</f>
        <v>1</v>
      </c>
      <c r="F41" s="259" t="str">
        <f>IFERROR(__xludf.DUMMYFUNCTION("""COMPUTED_VALUE"""),"Coin / Kill Bonus")</f>
        <v>Coin / Kill Bonus</v>
      </c>
      <c r="G41" s="260">
        <f>IFERROR(__xludf.DUMMYFUNCTION("""COMPUTED_VALUE"""),149.0)</f>
        <v>149</v>
      </c>
      <c r="H41" s="245">
        <f>IFERROR(__xludf.DUMMYFUNCTION("""COMPUTED_VALUE"""),149.0)</f>
        <v>149</v>
      </c>
      <c r="I41" s="245">
        <f>IFERROR(__xludf.DUMMYFUNCTION("""COMPUTED_VALUE"""),149.0)</f>
        <v>149</v>
      </c>
      <c r="J41" s="245">
        <f>IFERROR(__xludf.DUMMYFUNCTION("""COMPUTED_VALUE"""),149.0)</f>
        <v>149</v>
      </c>
      <c r="K41" s="265"/>
      <c r="L41" s="245"/>
      <c r="M41" s="245"/>
      <c r="N41" s="245"/>
      <c r="O41" s="245"/>
      <c r="P41" s="245"/>
      <c r="Q41" s="294">
        <f>IFERROR(__xludf.DUMMYFUNCTION("""COMPUTED_VALUE"""),149.0)</f>
        <v>149</v>
      </c>
      <c r="R41" s="254"/>
      <c r="S41" s="245"/>
      <c r="T41" s="245"/>
      <c r="U41" s="245"/>
      <c r="V41" s="245"/>
      <c r="W41" s="245"/>
      <c r="X41" s="245"/>
      <c r="Y41" s="249"/>
      <c r="Z41" s="276"/>
      <c r="AA41" s="245"/>
      <c r="AB41" s="276"/>
      <c r="AC41" s="276"/>
      <c r="AD41" s="246"/>
      <c r="AE41" s="287"/>
      <c r="AF41" s="370"/>
      <c r="AG41" s="371"/>
      <c r="AH41" s="276"/>
      <c r="AI41" s="245"/>
      <c r="AJ41" s="287"/>
      <c r="AK41" s="278"/>
      <c r="AL41" s="246"/>
      <c r="AM41" s="245"/>
      <c r="AN41" s="245"/>
      <c r="AO41" s="274"/>
      <c r="AP41" s="259" t="str">
        <f>IFERROR(__xludf.DUMMYFUNCTION("""COMPUTED_VALUE"""),"Cash")</f>
        <v>Cash</v>
      </c>
      <c r="AQ41" s="348">
        <f>IFERROR(__xludf.DUMMYFUNCTION("""COMPUTED_VALUE"""),0.0)</f>
        <v>0</v>
      </c>
      <c r="AR41" s="246"/>
      <c r="AS41" s="245"/>
      <c r="AT41" s="245"/>
      <c r="AU41" s="245"/>
      <c r="AV41" s="287"/>
      <c r="AW41" s="287"/>
      <c r="AX41" s="246"/>
      <c r="AY41" s="245"/>
      <c r="AZ41" s="245"/>
      <c r="BA41" s="246"/>
      <c r="BB41" s="245" t="str">
        <f>IFERROR(__xludf.DUMMYFUNCTION("""COMPUTED_VALUE"""),"Rarity")</f>
        <v>Rarity</v>
      </c>
      <c r="BC41" s="245" t="str">
        <f>IFERROR(__xludf.DUMMYFUNCTION("""COMPUTED_VALUE"""),"Level")</f>
        <v>Level</v>
      </c>
      <c r="BD41" s="245" t="str">
        <f>IFERROR(__xludf.DUMMYFUNCTION("""COMPUTED_VALUE"""),"Stat")</f>
        <v>Stat</v>
      </c>
      <c r="BE41" s="245"/>
      <c r="BF41" s="245"/>
      <c r="BG41" s="245" t="str">
        <f>IFERROR(__xludf.DUMMYFUNCTION("""COMPUTED_VALUE"""),"Rarity")</f>
        <v>Rarity</v>
      </c>
      <c r="BH41" s="245" t="str">
        <f>IFERROR(__xludf.DUMMYFUNCTION("""COMPUTED_VALUE"""),"Level")</f>
        <v>Level</v>
      </c>
      <c r="BI41" s="245" t="str">
        <f>IFERROR(__xludf.DUMMYFUNCTION("""COMPUTED_VALUE"""),"Stat")</f>
        <v>Stat</v>
      </c>
      <c r="BJ41" s="245"/>
      <c r="BK41" s="245"/>
      <c r="BL41" s="245" t="str">
        <f>IFERROR(__xludf.DUMMYFUNCTION("""COMPUTED_VALUE"""),"Rarity")</f>
        <v>Rarity</v>
      </c>
      <c r="BM41" s="245" t="str">
        <f>IFERROR(__xludf.DUMMYFUNCTION("""COMPUTED_VALUE"""),"Level")</f>
        <v>Level</v>
      </c>
      <c r="BN41" s="245" t="str">
        <f>IFERROR(__xludf.DUMMYFUNCTION("""COMPUTED_VALUE"""),"Stat")</f>
        <v>Stat</v>
      </c>
      <c r="BO41" s="245"/>
      <c r="BP41" s="245"/>
      <c r="BQ41" s="245" t="str">
        <f>IFERROR(__xludf.DUMMYFUNCTION("""COMPUTED_VALUE"""),"Rarity")</f>
        <v>Rarity</v>
      </c>
      <c r="BR41" s="245" t="str">
        <f>IFERROR(__xludf.DUMMYFUNCTION("""COMPUTED_VALUE"""),"Level")</f>
        <v>Level</v>
      </c>
      <c r="BS41" s="245" t="str">
        <f>IFERROR(__xludf.DUMMYFUNCTION("""COMPUTED_VALUE"""),"Stat")</f>
        <v>Stat</v>
      </c>
      <c r="BT41" s="246"/>
      <c r="BU41" s="245"/>
      <c r="BV41" s="245"/>
      <c r="BW41" s="245"/>
      <c r="BX41" s="245"/>
      <c r="BY41" s="245"/>
      <c r="BZ41" s="282"/>
      <c r="CA41" s="245"/>
      <c r="CB41" s="245"/>
      <c r="CC41" s="245"/>
      <c r="CD41" s="245"/>
      <c r="CE41" s="245"/>
      <c r="CF41" s="245"/>
    </row>
    <row r="42">
      <c r="A42" s="259" t="str">
        <f>IFERROR(__xludf.DUMMYFUNCTION("""COMPUTED_VALUE"""),"Wall Fortification")</f>
        <v>Wall Fortification</v>
      </c>
      <c r="B42" s="260">
        <f>IFERROR(__xludf.DUMMYFUNCTION("""COMPUTED_VALUE"""),47.0)</f>
        <v>47</v>
      </c>
      <c r="C42" s="245"/>
      <c r="D42" s="261">
        <f>IFERROR(__xludf.DUMMYFUNCTION("""COMPUTED_VALUE"""),60.0)</f>
        <v>60</v>
      </c>
      <c r="E42" s="245"/>
      <c r="F42" s="259" t="str">
        <f>IFERROR(__xludf.DUMMYFUNCTION("""COMPUTED_VALUE"""),"Coin / Wave")</f>
        <v>Coin / Wave</v>
      </c>
      <c r="G42" s="260">
        <f>IFERROR(__xludf.DUMMYFUNCTION("""COMPUTED_VALUE"""),149.0)</f>
        <v>149</v>
      </c>
      <c r="H42" s="245">
        <f>IFERROR(__xludf.DUMMYFUNCTION("""COMPUTED_VALUE"""),149.0)</f>
        <v>149</v>
      </c>
      <c r="I42" s="245">
        <f>IFERROR(__xludf.DUMMYFUNCTION("""COMPUTED_VALUE"""),149.0)</f>
        <v>149</v>
      </c>
      <c r="J42" s="245">
        <f>IFERROR(__xludf.DUMMYFUNCTION("""COMPUTED_VALUE"""),149.0)</f>
        <v>149</v>
      </c>
      <c r="K42" s="265"/>
      <c r="L42" s="245"/>
      <c r="M42" s="245"/>
      <c r="N42" s="245"/>
      <c r="O42" s="245"/>
      <c r="P42" s="245"/>
      <c r="Q42" s="294">
        <f>IFERROR(__xludf.DUMMYFUNCTION("""COMPUTED_VALUE"""),149.0)</f>
        <v>149</v>
      </c>
      <c r="R42" s="254"/>
      <c r="S42" s="245"/>
      <c r="T42" s="245"/>
      <c r="U42" s="245"/>
      <c r="V42" s="245"/>
      <c r="W42" s="245"/>
      <c r="X42" s="245"/>
      <c r="Y42" s="249"/>
      <c r="Z42" s="276"/>
      <c r="AA42" s="245"/>
      <c r="AB42" s="276"/>
      <c r="AC42" s="276"/>
      <c r="AD42" s="246"/>
      <c r="AE42" s="287"/>
      <c r="AF42" s="370"/>
      <c r="AG42" s="371"/>
      <c r="AH42" s="276"/>
      <c r="AI42" s="245"/>
      <c r="AJ42" s="287"/>
      <c r="AK42" s="278"/>
      <c r="AL42" s="246"/>
      <c r="AM42" s="245"/>
      <c r="AN42" s="245"/>
      <c r="AO42" s="274"/>
      <c r="AP42" s="259" t="str">
        <f>IFERROR(__xludf.DUMMYFUNCTION("""COMPUTED_VALUE"""),"Cash / Wave")</f>
        <v>Cash / Wave</v>
      </c>
      <c r="AQ42" s="348">
        <f>IFERROR(__xludf.DUMMYFUNCTION("""COMPUTED_VALUE"""),0.0)</f>
        <v>0</v>
      </c>
      <c r="AR42" s="246"/>
      <c r="AS42" s="245"/>
      <c r="AT42" s="245"/>
      <c r="AU42" s="245"/>
      <c r="AV42" s="287"/>
      <c r="AW42" s="287"/>
      <c r="AX42" s="246"/>
      <c r="AY42" s="245"/>
      <c r="AZ42" s="245"/>
      <c r="BA42" s="246"/>
      <c r="BB42" s="245" t="str">
        <f>IFERROR(__xludf.DUMMYFUNCTION("""COMPUTED_VALUE"""),"Ancestral")</f>
        <v>Ancestral</v>
      </c>
      <c r="BC42" s="279">
        <f>IFERROR(__xludf.DUMMYFUNCTION("""COMPUTED_VALUE"""),164.0)</f>
        <v>164</v>
      </c>
      <c r="BD42" s="306">
        <f>IFERROR(__xludf.DUMMYFUNCTION("""COMPUTED_VALUE"""),9.04)</f>
        <v>9.04</v>
      </c>
      <c r="BE42" s="245"/>
      <c r="BF42" s="245"/>
      <c r="BG42" s="245" t="str">
        <f>IFERROR(__xludf.DUMMYFUNCTION("""COMPUTED_VALUE"""),"Legendary")</f>
        <v>Legendary</v>
      </c>
      <c r="BH42" s="279">
        <f>IFERROR(__xludf.DUMMYFUNCTION("""COMPUTED_VALUE"""),100.0)</f>
        <v>100</v>
      </c>
      <c r="BI42" s="306">
        <f>IFERROR(__xludf.DUMMYFUNCTION("""COMPUTED_VALUE"""),2.27)</f>
        <v>2.27</v>
      </c>
      <c r="BJ42" s="245"/>
      <c r="BK42" s="245"/>
      <c r="BL42" s="245" t="str">
        <f>IFERROR(__xludf.DUMMYFUNCTION("""COMPUTED_VALUE"""),"Mythic+")</f>
        <v>Mythic+</v>
      </c>
      <c r="BM42" s="279">
        <f>IFERROR(__xludf.DUMMYFUNCTION("""COMPUTED_VALUE"""),160.0)</f>
        <v>160</v>
      </c>
      <c r="BN42" s="306">
        <f>IFERROR(__xludf.DUMMYFUNCTION("""COMPUTED_VALUE"""),1.665)</f>
        <v>1.665</v>
      </c>
      <c r="BO42" s="245"/>
      <c r="BP42" s="245"/>
      <c r="BQ42" s="245" t="str">
        <f>IFERROR(__xludf.DUMMYFUNCTION("""COMPUTED_VALUE"""),"Ancestral")</f>
        <v>Ancestral</v>
      </c>
      <c r="BR42" s="279">
        <f>IFERROR(__xludf.DUMMYFUNCTION("""COMPUTED_VALUE"""),159.0)</f>
        <v>159</v>
      </c>
      <c r="BS42" s="306">
        <f>IFERROR(__xludf.DUMMYFUNCTION("""COMPUTED_VALUE"""),10.9)</f>
        <v>10.9</v>
      </c>
      <c r="BT42" s="246"/>
      <c r="BU42" s="245"/>
      <c r="BV42" s="245"/>
      <c r="BW42" s="245"/>
      <c r="BX42" s="245"/>
      <c r="BY42" s="245"/>
      <c r="BZ42" s="282"/>
      <c r="CA42" s="245"/>
      <c r="CB42" s="245"/>
      <c r="CC42" s="245"/>
      <c r="CD42" s="245"/>
      <c r="CE42" s="245"/>
      <c r="CF42" s="245"/>
    </row>
    <row r="43">
      <c r="A43" s="259" t="str">
        <f>IFERROR(__xludf.DUMMYFUNCTION("""COMPUTED_VALUE"""),"Garlic Thorns")</f>
        <v>Garlic Thorns</v>
      </c>
      <c r="B43" s="260">
        <f>IFERROR(__xludf.DUMMYFUNCTION("""COMPUTED_VALUE"""),10.0)</f>
        <v>10</v>
      </c>
      <c r="C43" s="245"/>
      <c r="D43" s="261">
        <f>IFERROR(__xludf.DUMMYFUNCTION("""COMPUTED_VALUE"""),10.0)</f>
        <v>10</v>
      </c>
      <c r="E43" s="280" t="b">
        <f>IFERROR(__xludf.DUMMYFUNCTION("""COMPUTED_VALUE"""),TRUE)</f>
        <v>1</v>
      </c>
      <c r="F43" s="259" t="str">
        <f>IFERROR(__xludf.DUMMYFUNCTION("""COMPUTED_VALUE"""),"Free Attack Upgrade")</f>
        <v>Free Attack Upgrade</v>
      </c>
      <c r="G43" s="260">
        <f>IFERROR(__xludf.DUMMYFUNCTION("""COMPUTED_VALUE"""),99.0)</f>
        <v>99</v>
      </c>
      <c r="H43" s="245">
        <f>IFERROR(__xludf.DUMMYFUNCTION("""COMPUTED_VALUE"""),99.0)</f>
        <v>99</v>
      </c>
      <c r="I43" s="245">
        <f>IFERROR(__xludf.DUMMYFUNCTION("""COMPUTED_VALUE"""),99.0)</f>
        <v>99</v>
      </c>
      <c r="J43" s="245">
        <f>IFERROR(__xludf.DUMMYFUNCTION("""COMPUTED_VALUE"""),99.0)</f>
        <v>99</v>
      </c>
      <c r="K43" s="265"/>
      <c r="L43" s="245"/>
      <c r="M43" s="245"/>
      <c r="N43" s="245"/>
      <c r="O43" s="245"/>
      <c r="P43" s="245"/>
      <c r="Q43" s="294">
        <f>IFERROR(__xludf.DUMMYFUNCTION("""COMPUTED_VALUE"""),99.0)</f>
        <v>99</v>
      </c>
      <c r="R43" s="254"/>
      <c r="S43" s="245"/>
      <c r="T43" s="245"/>
      <c r="U43" s="245"/>
      <c r="V43" s="245"/>
      <c r="W43" s="245"/>
      <c r="X43" s="245"/>
      <c r="Y43" s="249"/>
      <c r="Z43" s="276"/>
      <c r="AA43" s="245"/>
      <c r="AB43" s="276"/>
      <c r="AC43" s="276"/>
      <c r="AD43" s="246"/>
      <c r="AE43" s="287"/>
      <c r="AF43" s="370"/>
      <c r="AG43" s="371"/>
      <c r="AH43" s="276"/>
      <c r="AI43" s="245"/>
      <c r="AJ43" s="287"/>
      <c r="AK43" s="278"/>
      <c r="AL43" s="246"/>
      <c r="AM43" s="245"/>
      <c r="AN43" s="245"/>
      <c r="AO43" s="274"/>
      <c r="AP43" s="259" t="str">
        <f>IFERROR(__xludf.DUMMYFUNCTION("""COMPUTED_VALUE"""),"Coins / Kill")</f>
        <v>Coins / Kill</v>
      </c>
      <c r="AQ43" s="348">
        <f>IFERROR(__xludf.DUMMYFUNCTION("""COMPUTED_VALUE"""),0.0)</f>
        <v>0</v>
      </c>
      <c r="AR43" s="246"/>
      <c r="AS43" s="245"/>
      <c r="AT43" s="245"/>
      <c r="AU43" s="245"/>
      <c r="AV43" s="287"/>
      <c r="AW43" s="287"/>
      <c r="AX43" s="246"/>
      <c r="AY43" s="245"/>
      <c r="AZ43" s="245"/>
      <c r="BA43" s="246"/>
      <c r="BB43" s="245"/>
      <c r="BC43" s="245"/>
      <c r="BD43" s="245"/>
      <c r="BE43" s="245"/>
      <c r="BF43" s="245"/>
      <c r="BG43" s="245"/>
      <c r="BH43" s="245"/>
      <c r="BI43" s="245"/>
      <c r="BJ43" s="303"/>
      <c r="BK43" s="245"/>
      <c r="BL43" s="245"/>
      <c r="BM43" s="245"/>
      <c r="BN43" s="245"/>
      <c r="BO43" s="303"/>
      <c r="BP43" s="245"/>
      <c r="BQ43" s="245"/>
      <c r="BR43" s="245"/>
      <c r="BS43" s="245"/>
      <c r="BT43" s="304"/>
      <c r="BU43" s="245"/>
      <c r="BV43" s="245"/>
      <c r="BW43" s="245"/>
      <c r="BX43" s="245"/>
      <c r="BY43" s="245"/>
      <c r="BZ43" s="282"/>
      <c r="CA43" s="245"/>
      <c r="CB43" s="245"/>
      <c r="CC43" s="245"/>
      <c r="CD43" s="245"/>
      <c r="CE43" s="245"/>
      <c r="CF43" s="245"/>
    </row>
    <row r="44">
      <c r="A44" s="259" t="str">
        <f>IFERROR(__xludf.DUMMYFUNCTION("""COMPUTED_VALUE"""),"Cash Bonus")</f>
        <v>Cash Bonus</v>
      </c>
      <c r="B44" s="260">
        <f>IFERROR(__xludf.DUMMYFUNCTION("""COMPUTED_VALUE"""),33.0)</f>
        <v>33</v>
      </c>
      <c r="C44" s="245"/>
      <c r="D44" s="261">
        <f>IFERROR(__xludf.DUMMYFUNCTION("""COMPUTED_VALUE"""),99.0)</f>
        <v>99</v>
      </c>
      <c r="E44" s="245"/>
      <c r="F44" s="259" t="str">
        <f>IFERROR(__xludf.DUMMYFUNCTION("""COMPUTED_VALUE"""),"Free Defense Upgrade")</f>
        <v>Free Defense Upgrade</v>
      </c>
      <c r="G44" s="260">
        <f>IFERROR(__xludf.DUMMYFUNCTION("""COMPUTED_VALUE"""),99.0)</f>
        <v>99</v>
      </c>
      <c r="H44" s="245">
        <f>IFERROR(__xludf.DUMMYFUNCTION("""COMPUTED_VALUE"""),99.0)</f>
        <v>99</v>
      </c>
      <c r="I44" s="245">
        <f>IFERROR(__xludf.DUMMYFUNCTION("""COMPUTED_VALUE"""),99.0)</f>
        <v>99</v>
      </c>
      <c r="J44" s="245">
        <f>IFERROR(__xludf.DUMMYFUNCTION("""COMPUTED_VALUE"""),99.0)</f>
        <v>99</v>
      </c>
      <c r="K44" s="265"/>
      <c r="L44" s="245"/>
      <c r="M44" s="245"/>
      <c r="N44" s="245"/>
      <c r="O44" s="245"/>
      <c r="P44" s="245"/>
      <c r="Q44" s="294">
        <f>IFERROR(__xludf.DUMMYFUNCTION("""COMPUTED_VALUE"""),99.0)</f>
        <v>99</v>
      </c>
      <c r="R44" s="254"/>
      <c r="S44" s="245"/>
      <c r="T44" s="245"/>
      <c r="U44" s="245"/>
      <c r="V44" s="245"/>
      <c r="W44" s="245"/>
      <c r="X44" s="245"/>
      <c r="Y44" s="249"/>
      <c r="Z44" s="276"/>
      <c r="AA44" s="245"/>
      <c r="AB44" s="276"/>
      <c r="AC44" s="276"/>
      <c r="AD44" s="246"/>
      <c r="AE44" s="287"/>
      <c r="AF44" s="370"/>
      <c r="AG44" s="371"/>
      <c r="AH44" s="276"/>
      <c r="AI44" s="245"/>
      <c r="AJ44" s="287"/>
      <c r="AK44" s="278"/>
      <c r="AL44" s="246"/>
      <c r="AM44" s="245"/>
      <c r="AN44" s="245"/>
      <c r="AO44" s="274"/>
      <c r="AP44" s="259" t="str">
        <f>IFERROR(__xludf.DUMMYFUNCTION("""COMPUTED_VALUE"""),"Coins / Wave")</f>
        <v>Coins / Wave</v>
      </c>
      <c r="AQ44" s="348">
        <f>IFERROR(__xludf.DUMMYFUNCTION("""COMPUTED_VALUE"""),0.0)</f>
        <v>0</v>
      </c>
      <c r="AR44" s="246"/>
      <c r="AS44" s="245"/>
      <c r="AT44" s="245"/>
      <c r="AU44" s="245"/>
      <c r="AV44" s="287"/>
      <c r="AW44" s="287"/>
      <c r="AX44" s="246"/>
      <c r="AY44" s="245"/>
      <c r="AZ44" s="245"/>
      <c r="BA44" s="246"/>
      <c r="BB44" s="245" t="str">
        <f>IFERROR(__xludf.DUMMYFUNCTION("""COMPUTED_VALUE"""),"Attack Speed")</f>
        <v>Attack Speed</v>
      </c>
      <c r="BC44" s="245" t="str">
        <f>IFERROR(__xludf.DUMMYFUNCTION("""COMPUTED_VALUE"""),"Mythic")</f>
        <v>Mythic</v>
      </c>
      <c r="BD44" s="245" t="str">
        <f>IFERROR(__xludf.DUMMYFUNCTION("""COMPUTED_VALUE"""),"+3")</f>
        <v>+3</v>
      </c>
      <c r="BE44" s="279">
        <f>IFERROR(__xludf.DUMMYFUNCTION("""COMPUTED_VALUE"""),3.0)</f>
        <v>3</v>
      </c>
      <c r="BF44" s="245"/>
      <c r="BG44" s="245"/>
      <c r="BH44" s="245"/>
      <c r="BI44" s="245"/>
      <c r="BJ44" s="245" t="str">
        <f>IFERROR(__xludf.DUMMYFUNCTION("""COMPUTED_VALUE"""),"")</f>
        <v/>
      </c>
      <c r="BK44" s="245"/>
      <c r="BL44" s="245" t="str">
        <f>IFERROR(__xludf.DUMMYFUNCTION("""COMPUTED_VALUE"""),"Package Chance")</f>
        <v>Package Chance</v>
      </c>
      <c r="BM44" s="245" t="str">
        <f>IFERROR(__xludf.DUMMYFUNCTION("""COMPUTED_VALUE"""),"Legendary")</f>
        <v>Legendary</v>
      </c>
      <c r="BN44" s="245" t="str">
        <f>IFERROR(__xludf.DUMMYFUNCTION("""COMPUTED_VALUE"""),"+8%")</f>
        <v>+8%</v>
      </c>
      <c r="BO44" s="279">
        <f>IFERROR(__xludf.DUMMYFUNCTION("""COMPUTED_VALUE"""),0.08)</f>
        <v>0.08</v>
      </c>
      <c r="BP44" s="245"/>
      <c r="BQ44" s="245" t="str">
        <f>IFERROR(__xludf.DUMMYFUNCTION("""COMPUTED_VALUE"""),"Chain Lightning - Chance")</f>
        <v>Chain Lightning - Chance</v>
      </c>
      <c r="BR44" s="245" t="str">
        <f>IFERROR(__xludf.DUMMYFUNCTION("""COMPUTED_VALUE"""),"Mythic")</f>
        <v>Mythic</v>
      </c>
      <c r="BS44" s="245" t="str">
        <f>IFERROR(__xludf.DUMMYFUNCTION("""COMPUTED_VALUE"""),"+12%")</f>
        <v>+12%</v>
      </c>
      <c r="BT44" s="368">
        <f>IFERROR(__xludf.DUMMYFUNCTION("""COMPUTED_VALUE"""),0.12)</f>
        <v>0.12</v>
      </c>
      <c r="BU44" s="245"/>
      <c r="BV44" s="245"/>
      <c r="BW44" s="245"/>
      <c r="BX44" s="245"/>
      <c r="BY44" s="245"/>
      <c r="BZ44" s="282"/>
      <c r="CA44" s="245"/>
      <c r="CB44" s="245"/>
      <c r="CC44" s="245"/>
      <c r="CD44" s="245"/>
      <c r="CE44" s="245"/>
      <c r="CF44" s="245"/>
    </row>
    <row r="45">
      <c r="A45" s="259" t="str">
        <f>IFERROR(__xludf.DUMMYFUNCTION("""COMPUTED_VALUE"""),"Cash / Wave")</f>
        <v>Cash / Wave</v>
      </c>
      <c r="B45" s="260">
        <f>IFERROR(__xludf.DUMMYFUNCTION("""COMPUTED_VALUE"""),8.0)</f>
        <v>8</v>
      </c>
      <c r="C45" s="245"/>
      <c r="D45" s="261">
        <f>IFERROR(__xludf.DUMMYFUNCTION("""COMPUTED_VALUE"""),99.0)</f>
        <v>99</v>
      </c>
      <c r="E45" s="245"/>
      <c r="F45" s="259" t="str">
        <f>IFERROR(__xludf.DUMMYFUNCTION("""COMPUTED_VALUE"""),"Free Utility Upgrade")</f>
        <v>Free Utility Upgrade</v>
      </c>
      <c r="G45" s="260">
        <f>IFERROR(__xludf.DUMMYFUNCTION("""COMPUTED_VALUE"""),99.0)</f>
        <v>99</v>
      </c>
      <c r="H45" s="245">
        <f>IFERROR(__xludf.DUMMYFUNCTION("""COMPUTED_VALUE"""),99.0)</f>
        <v>99</v>
      </c>
      <c r="I45" s="245">
        <f>IFERROR(__xludf.DUMMYFUNCTION("""COMPUTED_VALUE"""),99.0)</f>
        <v>99</v>
      </c>
      <c r="J45" s="245">
        <f>IFERROR(__xludf.DUMMYFUNCTION("""COMPUTED_VALUE"""),99.0)</f>
        <v>99</v>
      </c>
      <c r="K45" s="265"/>
      <c r="L45" s="245"/>
      <c r="M45" s="245"/>
      <c r="N45" s="245"/>
      <c r="O45" s="245"/>
      <c r="P45" s="245"/>
      <c r="Q45" s="294">
        <f>IFERROR(__xludf.DUMMYFUNCTION("""COMPUTED_VALUE"""),99.0)</f>
        <v>99</v>
      </c>
      <c r="R45" s="254"/>
      <c r="S45" s="245"/>
      <c r="T45" s="245"/>
      <c r="U45" s="245"/>
      <c r="V45" s="245"/>
      <c r="W45" s="245"/>
      <c r="X45" s="245"/>
      <c r="Y45" s="249"/>
      <c r="Z45" s="276"/>
      <c r="AA45" s="245"/>
      <c r="AB45" s="276"/>
      <c r="AC45" s="276"/>
      <c r="AD45" s="246"/>
      <c r="AE45" s="287"/>
      <c r="AF45" s="370"/>
      <c r="AG45" s="371"/>
      <c r="AH45" s="276"/>
      <c r="AI45" s="245"/>
      <c r="AJ45" s="287"/>
      <c r="AK45" s="278"/>
      <c r="AL45" s="246"/>
      <c r="AM45" s="245"/>
      <c r="AN45" s="245"/>
      <c r="AO45" s="274"/>
      <c r="AP45" s="259" t="str">
        <f>IFERROR(__xludf.DUMMYFUNCTION("""COMPUTED_VALUE"""),"Free Attack Upgrade")</f>
        <v>Free Attack Upgrade</v>
      </c>
      <c r="AQ45" s="348">
        <f>IFERROR(__xludf.DUMMYFUNCTION("""COMPUTED_VALUE"""),0.0)</f>
        <v>0</v>
      </c>
      <c r="AR45" s="246"/>
      <c r="AS45" s="245"/>
      <c r="AT45" s="245"/>
      <c r="AU45" s="245"/>
      <c r="AV45" s="287"/>
      <c r="AW45" s="287"/>
      <c r="AX45" s="246"/>
      <c r="AY45" s="245"/>
      <c r="AZ45" s="245"/>
      <c r="BA45" s="246"/>
      <c r="BB45" s="245" t="str">
        <f>IFERROR(__xludf.DUMMYFUNCTION("""COMPUTED_VALUE"""),"Multishot Targets")</f>
        <v>Multishot Targets</v>
      </c>
      <c r="BC45" s="245" t="str">
        <f>IFERROR(__xludf.DUMMYFUNCTION("""COMPUTED_VALUE"""),"Mythic")</f>
        <v>Mythic</v>
      </c>
      <c r="BD45" s="245" t="str">
        <f>IFERROR(__xludf.DUMMYFUNCTION("""COMPUTED_VALUE"""),"+3")</f>
        <v>+3</v>
      </c>
      <c r="BE45" s="279">
        <f>IFERROR(__xludf.DUMMYFUNCTION("""COMPUTED_VALUE"""),3.0)</f>
        <v>3</v>
      </c>
      <c r="BF45" s="245"/>
      <c r="BG45" s="245"/>
      <c r="BH45" s="245"/>
      <c r="BI45" s="245"/>
      <c r="BJ45" s="245" t="str">
        <f>IFERROR(__xludf.DUMMYFUNCTION("""COMPUTED_VALUE"""),"")</f>
        <v/>
      </c>
      <c r="BK45" s="245"/>
      <c r="BL45" s="245" t="str">
        <f>IFERROR(__xludf.DUMMYFUNCTION("""COMPUTED_VALUE"""),"Enemy Attack Level Skip")</f>
        <v>Enemy Attack Level Skip</v>
      </c>
      <c r="BM45" s="245" t="str">
        <f>IFERROR(__xludf.DUMMYFUNCTION("""COMPUTED_VALUE"""),"Legendary")</f>
        <v>Legendary</v>
      </c>
      <c r="BN45" s="245" t="str">
        <f>IFERROR(__xludf.DUMMYFUNCTION("""COMPUTED_VALUE"""),"+4%")</f>
        <v>+4%</v>
      </c>
      <c r="BO45" s="279">
        <f>IFERROR(__xludf.DUMMYFUNCTION("""COMPUTED_VALUE"""),0.04)</f>
        <v>0.04</v>
      </c>
      <c r="BP45" s="245"/>
      <c r="BQ45" s="245" t="str">
        <f>IFERROR(__xludf.DUMMYFUNCTION("""COMPUTED_VALUE"""),"Spotlight - Angle")</f>
        <v>Spotlight - Angle</v>
      </c>
      <c r="BR45" s="245" t="str">
        <f>IFERROR(__xludf.DUMMYFUNCTION("""COMPUTED_VALUE"""),"Mythic")</f>
        <v>Mythic</v>
      </c>
      <c r="BS45" s="245" t="str">
        <f>IFERROR(__xludf.DUMMYFUNCTION("""COMPUTED_VALUE"""),"+11°")</f>
        <v>+11°</v>
      </c>
      <c r="BT45" s="368">
        <f>IFERROR(__xludf.DUMMYFUNCTION("""COMPUTED_VALUE"""),11.0)</f>
        <v>11</v>
      </c>
      <c r="BU45" s="245"/>
      <c r="BV45" s="245"/>
      <c r="BW45" s="245"/>
      <c r="BX45" s="245"/>
      <c r="BY45" s="245"/>
      <c r="BZ45" s="282"/>
      <c r="CA45" s="245"/>
      <c r="CB45" s="245"/>
      <c r="CC45" s="245"/>
      <c r="CD45" s="245"/>
      <c r="CE45" s="245"/>
      <c r="CF45" s="245"/>
    </row>
    <row r="46">
      <c r="A46" s="259" t="str">
        <f>IFERROR(__xludf.DUMMYFUNCTION("""COMPUTED_VALUE"""),"Coins / Kill Bonus")</f>
        <v>Coins / Kill Bonus</v>
      </c>
      <c r="B46" s="260">
        <f>IFERROR(__xludf.DUMMYFUNCTION("""COMPUTED_VALUE"""),87.0)</f>
        <v>87</v>
      </c>
      <c r="C46" s="245"/>
      <c r="D46" s="261">
        <f>IFERROR(__xludf.DUMMYFUNCTION("""COMPUTED_VALUE"""),99.0)</f>
        <v>99</v>
      </c>
      <c r="E46" s="280" t="b">
        <f>IFERROR(__xludf.DUMMYFUNCTION("""COMPUTED_VALUE"""),TRUE)</f>
        <v>1</v>
      </c>
      <c r="F46" s="259" t="str">
        <f>IFERROR(__xludf.DUMMYFUNCTION("""COMPUTED_VALUE"""),"Interest / Wave")</f>
        <v>Interest / Wave</v>
      </c>
      <c r="G46" s="260">
        <f>IFERROR(__xludf.DUMMYFUNCTION("""COMPUTED_VALUE"""),99.0)</f>
        <v>99</v>
      </c>
      <c r="H46" s="245">
        <f>IFERROR(__xludf.DUMMYFUNCTION("""COMPUTED_VALUE"""),99.0)</f>
        <v>99</v>
      </c>
      <c r="I46" s="245">
        <f>IFERROR(__xludf.DUMMYFUNCTION("""COMPUTED_VALUE"""),99.0)</f>
        <v>99</v>
      </c>
      <c r="J46" s="245">
        <f>IFERROR(__xludf.DUMMYFUNCTION("""COMPUTED_VALUE"""),99.0)</f>
        <v>99</v>
      </c>
      <c r="K46" s="265"/>
      <c r="L46" s="245"/>
      <c r="M46" s="245"/>
      <c r="N46" s="245"/>
      <c r="O46" s="245"/>
      <c r="P46" s="245"/>
      <c r="Q46" s="294">
        <f>IFERROR(__xludf.DUMMYFUNCTION("""COMPUTED_VALUE"""),99.0)</f>
        <v>99</v>
      </c>
      <c r="R46" s="254"/>
      <c r="S46" s="245"/>
      <c r="T46" s="245"/>
      <c r="U46" s="245"/>
      <c r="V46" s="245"/>
      <c r="W46" s="245"/>
      <c r="X46" s="245"/>
      <c r="Y46" s="249"/>
      <c r="Z46" s="276"/>
      <c r="AA46" s="245"/>
      <c r="AB46" s="276"/>
      <c r="AC46" s="276"/>
      <c r="AD46" s="246"/>
      <c r="AE46" s="287"/>
      <c r="AF46" s="370"/>
      <c r="AG46" s="371"/>
      <c r="AH46" s="276"/>
      <c r="AI46" s="245"/>
      <c r="AJ46" s="287"/>
      <c r="AK46" s="278"/>
      <c r="AL46" s="246"/>
      <c r="AM46" s="245"/>
      <c r="AN46" s="245"/>
      <c r="AO46" s="274"/>
      <c r="AP46" s="259" t="str">
        <f>IFERROR(__xludf.DUMMYFUNCTION("""COMPUTED_VALUE"""),"Free Defense Upgrade")</f>
        <v>Free Defense Upgrade</v>
      </c>
      <c r="AQ46" s="348">
        <f>IFERROR(__xludf.DUMMYFUNCTION("""COMPUTED_VALUE"""),0.0)</f>
        <v>0</v>
      </c>
      <c r="AR46" s="246"/>
      <c r="AS46" s="245"/>
      <c r="AT46" s="245"/>
      <c r="AU46" s="245"/>
      <c r="AV46" s="287"/>
      <c r="AW46" s="287"/>
      <c r="AX46" s="246"/>
      <c r="AY46" s="245"/>
      <c r="AZ46" s="245"/>
      <c r="BA46" s="246"/>
      <c r="BB46" s="245" t="str">
        <f>IFERROR(__xludf.DUMMYFUNCTION("""COMPUTED_VALUE"""),"Critical Factor")</f>
        <v>Critical Factor</v>
      </c>
      <c r="BC46" s="245" t="str">
        <f>IFERROR(__xludf.DUMMYFUNCTION("""COMPUTED_VALUE"""),"Mythic")</f>
        <v>Mythic</v>
      </c>
      <c r="BD46" s="245" t="str">
        <f>IFERROR(__xludf.DUMMYFUNCTION("""COMPUTED_VALUE"""),"+12x")</f>
        <v>+12x</v>
      </c>
      <c r="BE46" s="245">
        <f>IFERROR(__xludf.DUMMYFUNCTION("""COMPUTED_VALUE"""),12.0)</f>
        <v>12</v>
      </c>
      <c r="BF46" s="245"/>
      <c r="BG46" s="245"/>
      <c r="BH46" s="245"/>
      <c r="BI46" s="245"/>
      <c r="BJ46" s="245" t="str">
        <f>IFERROR(__xludf.DUMMYFUNCTION("""COMPUTED_VALUE"""),"")</f>
        <v/>
      </c>
      <c r="BK46" s="245"/>
      <c r="BL46" s="245" t="str">
        <f>IFERROR(__xludf.DUMMYFUNCTION("""COMPUTED_VALUE"""),"Free Utility Upgrade")</f>
        <v>Free Utility Upgrade</v>
      </c>
      <c r="BM46" s="245" t="str">
        <f>IFERROR(__xludf.DUMMYFUNCTION("""COMPUTED_VALUE"""),"Legendary")</f>
        <v>Legendary</v>
      </c>
      <c r="BN46" s="245" t="str">
        <f>IFERROR(__xludf.DUMMYFUNCTION("""COMPUTED_VALUE"""),"+8%")</f>
        <v>+8%</v>
      </c>
      <c r="BO46" s="279">
        <f>IFERROR(__xludf.DUMMYFUNCTION("""COMPUTED_VALUE"""),0.08)</f>
        <v>0.08</v>
      </c>
      <c r="BP46" s="245"/>
      <c r="BQ46" s="245" t="str">
        <f>IFERROR(__xludf.DUMMYFUNCTION("""COMPUTED_VALUE"""),"Spotlight - Bonus")</f>
        <v>Spotlight - Bonus</v>
      </c>
      <c r="BR46" s="245" t="str">
        <f>IFERROR(__xludf.DUMMYFUNCTION("""COMPUTED_VALUE"""),"Mythic")</f>
        <v>Mythic</v>
      </c>
      <c r="BS46" s="245" t="str">
        <f>IFERROR(__xludf.DUMMYFUNCTION("""COMPUTED_VALUE"""),"+15x")</f>
        <v>+15x</v>
      </c>
      <c r="BT46" s="368">
        <f>IFERROR(__xludf.DUMMYFUNCTION("""COMPUTED_VALUE"""),15.0)</f>
        <v>15</v>
      </c>
      <c r="BU46" s="245"/>
      <c r="BV46" s="245"/>
      <c r="BW46" s="245"/>
      <c r="BX46" s="245"/>
      <c r="BY46" s="245"/>
      <c r="BZ46" s="282"/>
      <c r="CA46" s="245"/>
      <c r="CB46" s="245"/>
      <c r="CC46" s="245"/>
      <c r="CD46" s="245"/>
      <c r="CE46" s="245"/>
      <c r="CF46" s="245"/>
    </row>
    <row r="47">
      <c r="A47" s="259" t="str">
        <f>IFERROR(__xludf.DUMMYFUNCTION("""COMPUTED_VALUE"""),"Coins / Wave")</f>
        <v>Coins / Wave</v>
      </c>
      <c r="B47" s="260">
        <f>IFERROR(__xludf.DUMMYFUNCTION("""COMPUTED_VALUE"""),6.0)</f>
        <v>6</v>
      </c>
      <c r="C47" s="245"/>
      <c r="D47" s="261">
        <f>IFERROR(__xludf.DUMMYFUNCTION("""COMPUTED_VALUE"""),99.0)</f>
        <v>99</v>
      </c>
      <c r="E47" s="280" t="b">
        <f>IFERROR(__xludf.DUMMYFUNCTION("""COMPUTED_VALUE"""),TRUE)</f>
        <v>1</v>
      </c>
      <c r="F47" s="259" t="str">
        <f>IFERROR(__xludf.DUMMYFUNCTION("""COMPUTED_VALUE"""),"Recovery Amount")</f>
        <v>Recovery Amount</v>
      </c>
      <c r="G47" s="260">
        <f>IFERROR(__xludf.DUMMYFUNCTION("""COMPUTED_VALUE"""),300.0)</f>
        <v>300</v>
      </c>
      <c r="H47" s="245">
        <f>IFERROR(__xludf.DUMMYFUNCTION("""COMPUTED_VALUE"""),300.0)</f>
        <v>300</v>
      </c>
      <c r="I47" s="245">
        <f>IFERROR(__xludf.DUMMYFUNCTION("""COMPUTED_VALUE"""),300.0)</f>
        <v>300</v>
      </c>
      <c r="J47" s="245">
        <f>IFERROR(__xludf.DUMMYFUNCTION("""COMPUTED_VALUE"""),300.0)</f>
        <v>300</v>
      </c>
      <c r="K47" s="265"/>
      <c r="L47" s="245"/>
      <c r="M47" s="245"/>
      <c r="N47" s="245"/>
      <c r="O47" s="245"/>
      <c r="P47" s="245"/>
      <c r="Q47" s="294">
        <f>IFERROR(__xludf.DUMMYFUNCTION("""COMPUTED_VALUE"""),300.0)</f>
        <v>300</v>
      </c>
      <c r="R47" s="254"/>
      <c r="S47" s="245"/>
      <c r="T47" s="245"/>
      <c r="U47" s="245"/>
      <c r="V47" s="245"/>
      <c r="W47" s="245"/>
      <c r="X47" s="245"/>
      <c r="Y47" s="249"/>
      <c r="Z47" s="276"/>
      <c r="AA47" s="245"/>
      <c r="AB47" s="276"/>
      <c r="AC47" s="276"/>
      <c r="AD47" s="246"/>
      <c r="AE47" s="287"/>
      <c r="AF47" s="370"/>
      <c r="AG47" s="371"/>
      <c r="AH47" s="276"/>
      <c r="AI47" s="245"/>
      <c r="AJ47" s="287"/>
      <c r="AK47" s="278"/>
      <c r="AL47" s="246"/>
      <c r="AM47" s="245"/>
      <c r="AN47" s="245"/>
      <c r="AO47" s="274"/>
      <c r="AP47" s="259" t="str">
        <f>IFERROR(__xludf.DUMMYFUNCTION("""COMPUTED_VALUE"""),"Free Utility Upgrade")</f>
        <v>Free Utility Upgrade</v>
      </c>
      <c r="AQ47" s="348">
        <f>IFERROR(__xludf.DUMMYFUNCTION("""COMPUTED_VALUE"""),0.0)</f>
        <v>0</v>
      </c>
      <c r="AR47" s="246"/>
      <c r="AS47" s="245"/>
      <c r="AT47" s="245"/>
      <c r="AU47" s="245"/>
      <c r="AV47" s="287"/>
      <c r="AW47" s="287"/>
      <c r="AX47" s="246"/>
      <c r="AY47" s="245"/>
      <c r="AZ47" s="245"/>
      <c r="BA47" s="246"/>
      <c r="BB47" s="245" t="str">
        <f>IFERROR(__xludf.DUMMYFUNCTION("""COMPUTED_VALUE"""),"Bounce Shot Chance")</f>
        <v>Bounce Shot Chance</v>
      </c>
      <c r="BC47" s="245" t="str">
        <f>IFERROR(__xludf.DUMMYFUNCTION("""COMPUTED_VALUE"""),"Mythic")</f>
        <v>Mythic</v>
      </c>
      <c r="BD47" s="245" t="str">
        <f>IFERROR(__xludf.DUMMYFUNCTION("""COMPUTED_VALUE"""),"+9%")</f>
        <v>+9%</v>
      </c>
      <c r="BE47" s="245">
        <f>IFERROR(__xludf.DUMMYFUNCTION("""COMPUTED_VALUE"""),0.09)</f>
        <v>0.09</v>
      </c>
      <c r="BF47" s="245"/>
      <c r="BG47" s="245"/>
      <c r="BH47" s="245"/>
      <c r="BI47" s="245"/>
      <c r="BJ47" s="245" t="str">
        <f>IFERROR(__xludf.DUMMYFUNCTION("""COMPUTED_VALUE"""),"")</f>
        <v/>
      </c>
      <c r="BK47" s="245"/>
      <c r="BL47" s="245"/>
      <c r="BM47" s="245"/>
      <c r="BN47" s="245"/>
      <c r="BO47" s="279" t="str">
        <f>IFERROR(__xludf.DUMMYFUNCTION("""COMPUTED_VALUE"""),"")</f>
        <v/>
      </c>
      <c r="BP47" s="245"/>
      <c r="BQ47" s="245" t="str">
        <f>IFERROR(__xludf.DUMMYFUNCTION("""COMPUTED_VALUE"""),"Chain Lightning - Quantity")</f>
        <v>Chain Lightning - Quantity</v>
      </c>
      <c r="BR47" s="245" t="str">
        <f>IFERROR(__xludf.DUMMYFUNCTION("""COMPUTED_VALUE"""),"Mythic")</f>
        <v>Mythic</v>
      </c>
      <c r="BS47" s="245" t="str">
        <f>IFERROR(__xludf.DUMMYFUNCTION("""COMPUTED_VALUE"""),"+3")</f>
        <v>+3</v>
      </c>
      <c r="BT47" s="368">
        <f>IFERROR(__xludf.DUMMYFUNCTION("""COMPUTED_VALUE"""),3.0)</f>
        <v>3</v>
      </c>
      <c r="BU47" s="245"/>
      <c r="BV47" s="245"/>
      <c r="BW47" s="245"/>
      <c r="BX47" s="245"/>
      <c r="BY47" s="245"/>
      <c r="BZ47" s="282"/>
      <c r="CA47" s="245"/>
      <c r="CB47" s="245"/>
      <c r="CC47" s="245"/>
      <c r="CD47" s="245"/>
      <c r="CE47" s="245"/>
      <c r="CF47" s="245"/>
    </row>
    <row r="48">
      <c r="A48" s="259" t="str">
        <f>IFERROR(__xludf.DUMMYFUNCTION("""COMPUTED_VALUE"""),"Interest")</f>
        <v>Interest</v>
      </c>
      <c r="B48" s="260">
        <f>IFERROR(__xludf.DUMMYFUNCTION("""COMPUTED_VALUE"""),11.0)</f>
        <v>11</v>
      </c>
      <c r="C48" s="245"/>
      <c r="D48" s="261">
        <f>IFERROR(__xludf.DUMMYFUNCTION("""COMPUTED_VALUE"""),99.0)</f>
        <v>99</v>
      </c>
      <c r="E48" s="245"/>
      <c r="F48" s="259" t="str">
        <f>IFERROR(__xludf.DUMMYFUNCTION("""COMPUTED_VALUE"""),"Max Amount")</f>
        <v>Max Amount</v>
      </c>
      <c r="G48" s="260">
        <f>IFERROR(__xludf.DUMMYFUNCTION("""COMPUTED_VALUE"""),300.0)</f>
        <v>300</v>
      </c>
      <c r="H48" s="245">
        <f>IFERROR(__xludf.DUMMYFUNCTION("""COMPUTED_VALUE"""),500.0)</f>
        <v>500</v>
      </c>
      <c r="I48" s="245">
        <f>IFERROR(__xludf.DUMMYFUNCTION("""COMPUTED_VALUE"""),300.0)</f>
        <v>300</v>
      </c>
      <c r="J48" s="245">
        <f>IFERROR(__xludf.DUMMYFUNCTION("""COMPUTED_VALUE"""),500.0)</f>
        <v>500</v>
      </c>
      <c r="K48" s="265"/>
      <c r="L48" s="245"/>
      <c r="M48" s="245"/>
      <c r="N48" s="245"/>
      <c r="O48" s="245"/>
      <c r="P48" s="245"/>
      <c r="Q48" s="294">
        <f>IFERROR(__xludf.DUMMYFUNCTION("""COMPUTED_VALUE"""),500.0)</f>
        <v>500</v>
      </c>
      <c r="R48" s="254"/>
      <c r="S48" s="245"/>
      <c r="T48" s="245"/>
      <c r="U48" s="245"/>
      <c r="V48" s="245"/>
      <c r="W48" s="245"/>
      <c r="X48" s="245"/>
      <c r="Y48" s="249"/>
      <c r="Z48" s="276"/>
      <c r="AA48" s="245"/>
      <c r="AB48" s="276"/>
      <c r="AC48" s="276"/>
      <c r="AD48" s="246"/>
      <c r="AE48" s="287"/>
      <c r="AF48" s="370"/>
      <c r="AG48" s="371"/>
      <c r="AH48" s="276"/>
      <c r="AI48" s="245"/>
      <c r="AJ48" s="287"/>
      <c r="AK48" s="278"/>
      <c r="AL48" s="246"/>
      <c r="AM48" s="245"/>
      <c r="AN48" s="245"/>
      <c r="AO48" s="274"/>
      <c r="AP48" s="259" t="str">
        <f>IFERROR(__xludf.DUMMYFUNCTION("""COMPUTED_VALUE"""),"Interest / Wave")</f>
        <v>Interest / Wave</v>
      </c>
      <c r="AQ48" s="348">
        <f>IFERROR(__xludf.DUMMYFUNCTION("""COMPUTED_VALUE"""),0.0)</f>
        <v>0</v>
      </c>
      <c r="AR48" s="246"/>
      <c r="AS48" s="245"/>
      <c r="AT48" s="245"/>
      <c r="AU48" s="245"/>
      <c r="AV48" s="287"/>
      <c r="AW48" s="287"/>
      <c r="AX48" s="246"/>
      <c r="AY48" s="245"/>
      <c r="AZ48" s="245"/>
      <c r="BA48" s="246"/>
      <c r="BB48" s="245"/>
      <c r="BC48" s="245"/>
      <c r="BD48" s="245"/>
      <c r="BE48" s="245" t="str">
        <f>IFERROR(__xludf.DUMMYFUNCTION("""COMPUTED_VALUE"""),"")</f>
        <v/>
      </c>
      <c r="BF48" s="245"/>
      <c r="BG48" s="245"/>
      <c r="BH48" s="245"/>
      <c r="BI48" s="245"/>
      <c r="BJ48" s="245" t="str">
        <f>IFERROR(__xludf.DUMMYFUNCTION("""COMPUTED_VALUE"""),"")</f>
        <v/>
      </c>
      <c r="BK48" s="245"/>
      <c r="BL48" s="245"/>
      <c r="BM48" s="245"/>
      <c r="BN48" s="245"/>
      <c r="BO48" s="245" t="str">
        <f>IFERROR(__xludf.DUMMYFUNCTION("""COMPUTED_VALUE"""),"")</f>
        <v/>
      </c>
      <c r="BP48" s="245"/>
      <c r="BQ48" s="245" t="str">
        <f>IFERROR(__xludf.DUMMYFUNCTION("""COMPUTED_VALUE"""),"Chain Lightning - Damage")</f>
        <v>Chain Lightning - Damage</v>
      </c>
      <c r="BR48" s="245" t="str">
        <f>IFERROR(__xludf.DUMMYFUNCTION("""COMPUTED_VALUE"""),"Legendary")</f>
        <v>Legendary</v>
      </c>
      <c r="BS48" s="245" t="str">
        <f>IFERROR(__xludf.DUMMYFUNCTION("""COMPUTED_VALUE"""),"+50x")</f>
        <v>+50x</v>
      </c>
      <c r="BT48" s="246">
        <f>IFERROR(__xludf.DUMMYFUNCTION("""COMPUTED_VALUE"""),50.0)</f>
        <v>50</v>
      </c>
      <c r="BU48" s="245"/>
      <c r="BV48" s="245"/>
      <c r="BW48" s="245"/>
      <c r="BX48" s="245"/>
      <c r="BY48" s="245"/>
      <c r="BZ48" s="282"/>
      <c r="CA48" s="245"/>
      <c r="CB48" s="245"/>
      <c r="CC48" s="245"/>
      <c r="CD48" s="245"/>
      <c r="CE48" s="245"/>
      <c r="CF48" s="245"/>
    </row>
    <row r="49">
      <c r="A49" s="259" t="str">
        <f>IFERROR(__xludf.DUMMYFUNCTION("""COMPUTED_VALUE"""),"Max Interest")</f>
        <v>Max Interest</v>
      </c>
      <c r="B49" s="260">
        <f>IFERROR(__xludf.DUMMYFUNCTION("""COMPUTED_VALUE"""),8.0)</f>
        <v>8</v>
      </c>
      <c r="C49" s="245"/>
      <c r="D49" s="261">
        <f>IFERROR(__xludf.DUMMYFUNCTION("""COMPUTED_VALUE"""),15.0)</f>
        <v>15</v>
      </c>
      <c r="E49" s="245"/>
      <c r="F49" s="259" t="str">
        <f>IFERROR(__xludf.DUMMYFUNCTION("""COMPUTED_VALUE"""),"Package Chance")</f>
        <v>Package Chance</v>
      </c>
      <c r="G49" s="260">
        <f>IFERROR(__xludf.DUMMYFUNCTION("""COMPUTED_VALUE"""),60.0)</f>
        <v>60</v>
      </c>
      <c r="H49" s="245">
        <f>IFERROR(__xludf.DUMMYFUNCTION("""COMPUTED_VALUE"""),60.0)</f>
        <v>60</v>
      </c>
      <c r="I49" s="245">
        <f>IFERROR(__xludf.DUMMYFUNCTION("""COMPUTED_VALUE"""),60.0)</f>
        <v>60</v>
      </c>
      <c r="J49" s="245">
        <f>IFERROR(__xludf.DUMMYFUNCTION("""COMPUTED_VALUE"""),60.0)</f>
        <v>60</v>
      </c>
      <c r="K49" s="265"/>
      <c r="L49" s="245"/>
      <c r="M49" s="245"/>
      <c r="N49" s="245"/>
      <c r="O49" s="245"/>
      <c r="P49" s="245"/>
      <c r="Q49" s="294">
        <f>IFERROR(__xludf.DUMMYFUNCTION("""COMPUTED_VALUE"""),60.0)</f>
        <v>60</v>
      </c>
      <c r="R49" s="254"/>
      <c r="S49" s="245"/>
      <c r="T49" s="245"/>
      <c r="U49" s="245"/>
      <c r="V49" s="245"/>
      <c r="W49" s="245"/>
      <c r="X49" s="245"/>
      <c r="Y49" s="249"/>
      <c r="Z49" s="276"/>
      <c r="AA49" s="245"/>
      <c r="AB49" s="276"/>
      <c r="AC49" s="276"/>
      <c r="AD49" s="246"/>
      <c r="AE49" s="287"/>
      <c r="AF49" s="370"/>
      <c r="AG49" s="371"/>
      <c r="AH49" s="276"/>
      <c r="AI49" s="245"/>
      <c r="AJ49" s="287"/>
      <c r="AK49" s="278"/>
      <c r="AL49" s="246"/>
      <c r="AM49" s="245"/>
      <c r="AN49" s="245"/>
      <c r="AO49" s="274"/>
      <c r="AP49" s="259" t="str">
        <f>IFERROR(__xludf.DUMMYFUNCTION("""COMPUTED_VALUE"""),"Recovery Amount")</f>
        <v>Recovery Amount</v>
      </c>
      <c r="AQ49" s="348">
        <f>IFERROR(__xludf.DUMMYFUNCTION("""COMPUTED_VALUE"""),0.0)</f>
        <v>0</v>
      </c>
      <c r="AR49" s="246"/>
      <c r="AS49" s="245"/>
      <c r="AT49" s="245"/>
      <c r="AU49" s="245"/>
      <c r="AV49" s="287"/>
      <c r="AW49" s="287"/>
      <c r="AX49" s="246"/>
      <c r="AY49" s="245"/>
      <c r="AZ49" s="245"/>
      <c r="BA49" s="246"/>
      <c r="BB49" s="245"/>
      <c r="BC49" s="245"/>
      <c r="BD49" s="245"/>
      <c r="BE49" s="245" t="str">
        <f>IFERROR(__xludf.DUMMYFUNCTION("""COMPUTED_VALUE"""),"")</f>
        <v/>
      </c>
      <c r="BF49" s="245"/>
      <c r="BG49" s="245"/>
      <c r="BH49" s="245"/>
      <c r="BI49" s="245"/>
      <c r="BJ49" s="245" t="str">
        <f>IFERROR(__xludf.DUMMYFUNCTION("""COMPUTED_VALUE"""),"")</f>
        <v/>
      </c>
      <c r="BK49" s="245"/>
      <c r="BL49" s="245"/>
      <c r="BM49" s="245"/>
      <c r="BN49" s="245"/>
      <c r="BO49" s="245" t="str">
        <f>IFERROR(__xludf.DUMMYFUNCTION("""COMPUTED_VALUE"""),"")</f>
        <v/>
      </c>
      <c r="BP49" s="245"/>
      <c r="BQ49" s="245" t="str">
        <f>IFERROR(__xludf.DUMMYFUNCTION("""COMPUTED_VALUE"""),"Chrono Field - Cooldown")</f>
        <v>Chrono Field - Cooldown</v>
      </c>
      <c r="BR49" s="245"/>
      <c r="BS49" s="245"/>
      <c r="BT49" s="246"/>
      <c r="BU49" s="245"/>
      <c r="BV49" s="245"/>
      <c r="BW49" s="245"/>
      <c r="BX49" s="245"/>
      <c r="BY49" s="245"/>
      <c r="BZ49" s="282"/>
      <c r="CA49" s="245"/>
      <c r="CB49" s="245"/>
      <c r="CC49" s="245"/>
      <c r="CD49" s="245"/>
      <c r="CE49" s="245"/>
      <c r="CF49" s="245"/>
    </row>
    <row r="50">
      <c r="A50" s="259" t="str">
        <f>IFERROR(__xludf.DUMMYFUNCTION("""COMPUTED_VALUE"""),"Package After Boss")</f>
        <v>Package After Boss</v>
      </c>
      <c r="B50" s="260">
        <f>IFERROR(__xludf.DUMMYFUNCTION("""COMPUTED_VALUE"""),1.0)</f>
        <v>1</v>
      </c>
      <c r="C50" s="245"/>
      <c r="D50" s="261">
        <f>IFERROR(__xludf.DUMMYFUNCTION("""COMPUTED_VALUE"""),1.0)</f>
        <v>1</v>
      </c>
      <c r="E50" s="280" t="b">
        <f>IFERROR(__xludf.DUMMYFUNCTION("""COMPUTED_VALUE"""),TRUE)</f>
        <v>1</v>
      </c>
      <c r="F50" s="245" t="str">
        <f>IFERROR(__xludf.DUMMYFUNCTION("""COMPUTED_VALUE"""),"Enemy Attack Level Skip")</f>
        <v>Enemy Attack Level Skip</v>
      </c>
      <c r="G50" s="260">
        <f>IFERROR(__xludf.DUMMYFUNCTION("""COMPUTED_VALUE"""),330.0)</f>
        <v>330</v>
      </c>
      <c r="H50" s="260">
        <f>IFERROR(__xludf.DUMMYFUNCTION("""COMPUTED_VALUE"""),699.0)</f>
        <v>699</v>
      </c>
      <c r="I50" s="245">
        <f>IFERROR(__xludf.DUMMYFUNCTION("""COMPUTED_VALUE"""),330.0)</f>
        <v>330</v>
      </c>
      <c r="J50" s="245">
        <f>IFERROR(__xludf.DUMMYFUNCTION("""COMPUTED_VALUE"""),699.0)</f>
        <v>699</v>
      </c>
      <c r="K50" s="265"/>
      <c r="L50" s="245"/>
      <c r="M50" s="245"/>
      <c r="N50" s="245"/>
      <c r="O50" s="245"/>
      <c r="P50" s="245"/>
      <c r="Q50" s="294">
        <f>IFERROR(__xludf.DUMMYFUNCTION("""COMPUTED_VALUE"""),699.0)</f>
        <v>699</v>
      </c>
      <c r="R50" s="254"/>
      <c r="S50" s="245"/>
      <c r="T50" s="245"/>
      <c r="U50" s="245"/>
      <c r="V50" s="245"/>
      <c r="W50" s="245"/>
      <c r="X50" s="245"/>
      <c r="Y50" s="249"/>
      <c r="Z50" s="276"/>
      <c r="AA50" s="245"/>
      <c r="AB50" s="276"/>
      <c r="AC50" s="276"/>
      <c r="AD50" s="246"/>
      <c r="AE50" s="276"/>
      <c r="AF50" s="370"/>
      <c r="AG50" s="371"/>
      <c r="AH50" s="276"/>
      <c r="AI50" s="245"/>
      <c r="AJ50" s="287"/>
      <c r="AK50" s="278"/>
      <c r="AL50" s="246"/>
      <c r="AM50" s="245"/>
      <c r="AN50" s="245"/>
      <c r="AO50" s="274"/>
      <c r="AP50" s="259" t="str">
        <f>IFERROR(__xludf.DUMMYFUNCTION("""COMPUTED_VALUE"""),"Max Recovery")</f>
        <v>Max Recovery</v>
      </c>
      <c r="AQ50" s="298">
        <f>IFERROR(__xludf.DUMMYFUNCTION("""COMPUTED_VALUE"""),0.0)</f>
        <v>0</v>
      </c>
      <c r="AR50" s="246"/>
      <c r="AS50" s="245"/>
      <c r="AT50" s="245"/>
      <c r="AU50" s="245"/>
      <c r="AV50" s="276"/>
      <c r="AW50" s="276"/>
      <c r="AX50" s="246"/>
      <c r="AY50" s="245"/>
      <c r="AZ50" s="245"/>
      <c r="BA50" s="246"/>
      <c r="BB50" s="245"/>
      <c r="BC50" s="245"/>
      <c r="BD50" s="245"/>
      <c r="BE50" s="245" t="str">
        <f>IFERROR(__xludf.DUMMYFUNCTION("""COMPUTED_VALUE"""),"")</f>
        <v/>
      </c>
      <c r="BF50" s="245"/>
      <c r="BG50" s="245"/>
      <c r="BH50" s="245"/>
      <c r="BI50" s="245"/>
      <c r="BJ50" s="245" t="str">
        <f>IFERROR(__xludf.DUMMYFUNCTION("""COMPUTED_VALUE"""),"")</f>
        <v/>
      </c>
      <c r="BK50" s="245"/>
      <c r="BL50" s="245"/>
      <c r="BM50" s="245"/>
      <c r="BN50" s="245"/>
      <c r="BO50" s="245" t="str">
        <f>IFERROR(__xludf.DUMMYFUNCTION("""COMPUTED_VALUE"""),"")</f>
        <v/>
      </c>
      <c r="BP50" s="245"/>
      <c r="BQ50" s="245" t="str">
        <f>IFERROR(__xludf.DUMMYFUNCTION("""COMPUTED_VALUE"""),"Chrono Field - Speed Reduction")</f>
        <v>Chrono Field - Speed Reduction</v>
      </c>
      <c r="BR50" s="245"/>
      <c r="BS50" s="245"/>
      <c r="BT50" s="246"/>
      <c r="BU50" s="245"/>
      <c r="BV50" s="245"/>
      <c r="BW50" s="245"/>
      <c r="BX50" s="245"/>
      <c r="BY50" s="245"/>
      <c r="BZ50" s="282"/>
      <c r="CA50" s="245"/>
      <c r="CB50" s="245"/>
      <c r="CC50" s="245"/>
      <c r="CD50" s="245"/>
      <c r="CE50" s="245"/>
      <c r="CF50" s="245"/>
    </row>
    <row r="51">
      <c r="A51" s="259" t="str">
        <f>IFERROR(__xludf.DUMMYFUNCTION("""COMPUTED_VALUE"""),"Recovery Package Amount")</f>
        <v>Recovery Package Amount</v>
      </c>
      <c r="B51" s="260">
        <f>IFERROR(__xludf.DUMMYFUNCTION("""COMPUTED_VALUE"""),0.0)</f>
        <v>0</v>
      </c>
      <c r="C51" s="245"/>
      <c r="D51" s="261">
        <f>IFERROR(__xludf.DUMMYFUNCTION("""COMPUTED_VALUE"""),20.0)</f>
        <v>20</v>
      </c>
      <c r="E51" s="245"/>
      <c r="F51" s="245" t="str">
        <f>IFERROR(__xludf.DUMMYFUNCTION("""COMPUTED_VALUE"""),"Enemy Health Level Skip")</f>
        <v>Enemy Health Level Skip</v>
      </c>
      <c r="G51" s="260">
        <f>IFERROR(__xludf.DUMMYFUNCTION("""COMPUTED_VALUE"""),320.0)</f>
        <v>320</v>
      </c>
      <c r="H51" s="260">
        <f>IFERROR(__xludf.DUMMYFUNCTION("""COMPUTED_VALUE"""),699.0)</f>
        <v>699</v>
      </c>
      <c r="I51" s="245">
        <f>IFERROR(__xludf.DUMMYFUNCTION("""COMPUTED_VALUE"""),320.0)</f>
        <v>320</v>
      </c>
      <c r="J51" s="245">
        <f>IFERROR(__xludf.DUMMYFUNCTION("""COMPUTED_VALUE"""),699.0)</f>
        <v>699</v>
      </c>
      <c r="K51" s="265"/>
      <c r="L51" s="245"/>
      <c r="M51" s="245"/>
      <c r="N51" s="245"/>
      <c r="O51" s="245"/>
      <c r="P51" s="245"/>
      <c r="Q51" s="294">
        <f>IFERROR(__xludf.DUMMYFUNCTION("""COMPUTED_VALUE"""),699.0)</f>
        <v>699</v>
      </c>
      <c r="R51" s="254"/>
      <c r="S51" s="245"/>
      <c r="T51" s="245"/>
      <c r="U51" s="245"/>
      <c r="V51" s="245"/>
      <c r="W51" s="245"/>
      <c r="X51" s="245"/>
      <c r="Y51" s="249"/>
      <c r="Z51" s="276"/>
      <c r="AA51" s="245"/>
      <c r="AB51" s="276"/>
      <c r="AC51" s="276"/>
      <c r="AD51" s="246"/>
      <c r="AE51" s="276"/>
      <c r="AF51" s="370"/>
      <c r="AG51" s="371"/>
      <c r="AH51" s="276"/>
      <c r="AI51" s="245"/>
      <c r="AJ51" s="287"/>
      <c r="AK51" s="278"/>
      <c r="AL51" s="246"/>
      <c r="AM51" s="245"/>
      <c r="AN51" s="245"/>
      <c r="AO51" s="274"/>
      <c r="AP51" s="259" t="str">
        <f>IFERROR(__xludf.DUMMYFUNCTION("""COMPUTED_VALUE"""),"Enemy Attack Skip")</f>
        <v>Enemy Attack Skip</v>
      </c>
      <c r="AQ51" s="298">
        <f>IFERROR(__xludf.DUMMYFUNCTION("""COMPUTED_VALUE"""),0.0)</f>
        <v>0</v>
      </c>
      <c r="AR51" s="246"/>
      <c r="AS51" s="245"/>
      <c r="AT51" s="245"/>
      <c r="AU51" s="245"/>
      <c r="AV51" s="276"/>
      <c r="AW51" s="276"/>
      <c r="AX51" s="246"/>
      <c r="AY51" s="245"/>
      <c r="AZ51" s="245"/>
      <c r="BA51" s="246"/>
      <c r="BB51" s="245"/>
      <c r="BC51" s="245"/>
      <c r="BD51" s="245"/>
      <c r="BE51" s="245" t="str">
        <f>IFERROR(__xludf.DUMMYFUNCTION("""COMPUTED_VALUE"""),"")</f>
        <v/>
      </c>
      <c r="BF51" s="245"/>
      <c r="BG51" s="245"/>
      <c r="BH51" s="245"/>
      <c r="BI51" s="245"/>
      <c r="BJ51" s="245" t="str">
        <f>IFERROR(__xludf.DUMMYFUNCTION("""COMPUTED_VALUE"""),"")</f>
        <v/>
      </c>
      <c r="BK51" s="245"/>
      <c r="BL51" s="245"/>
      <c r="BM51" s="245"/>
      <c r="BN51" s="245"/>
      <c r="BO51" s="245" t="str">
        <f>IFERROR(__xludf.DUMMYFUNCTION("""COMPUTED_VALUE"""),"")</f>
        <v/>
      </c>
      <c r="BP51" s="245"/>
      <c r="BQ51" s="245"/>
      <c r="BR51" s="245"/>
      <c r="BS51" s="245"/>
      <c r="BT51" s="246" t="str">
        <f>IFERROR(__xludf.DUMMYFUNCTION("""COMPUTED_VALUE"""),"")</f>
        <v/>
      </c>
      <c r="BU51" s="245"/>
      <c r="BV51" s="245"/>
      <c r="BW51" s="245"/>
      <c r="BX51" s="245"/>
      <c r="BY51" s="245"/>
      <c r="BZ51" s="282"/>
      <c r="CA51" s="245"/>
      <c r="CB51" s="245"/>
      <c r="CC51" s="245"/>
      <c r="CD51" s="245"/>
      <c r="CE51" s="245"/>
      <c r="CF51" s="245"/>
    </row>
    <row r="52">
      <c r="A52" s="259" t="str">
        <f>IFERROR(__xludf.DUMMYFUNCTION("""COMPUTED_VALUE"""),"Recovery Package Max")</f>
        <v>Recovery Package Max</v>
      </c>
      <c r="B52" s="260">
        <f>IFERROR(__xludf.DUMMYFUNCTION("""COMPUTED_VALUE"""),0.0)</f>
        <v>0</v>
      </c>
      <c r="C52" s="245"/>
      <c r="D52" s="261">
        <f>IFERROR(__xludf.DUMMYFUNCTION("""COMPUTED_VALUE"""),20.0)</f>
        <v>20</v>
      </c>
      <c r="E52" s="245"/>
      <c r="F52" s="245"/>
      <c r="G52" s="245"/>
      <c r="H52" s="245"/>
      <c r="I52" s="245"/>
      <c r="J52" s="245"/>
      <c r="K52" s="265"/>
      <c r="L52" s="245"/>
      <c r="M52" s="245"/>
      <c r="N52" s="245"/>
      <c r="O52" s="245"/>
      <c r="P52" s="245"/>
      <c r="Q52" s="247"/>
      <c r="R52" s="254"/>
      <c r="S52" s="245"/>
      <c r="T52" s="245"/>
      <c r="U52" s="245"/>
      <c r="V52" s="245"/>
      <c r="W52" s="245"/>
      <c r="X52" s="245"/>
      <c r="Y52" s="249"/>
      <c r="Z52" s="276"/>
      <c r="AA52" s="245"/>
      <c r="AB52" s="276"/>
      <c r="AC52" s="276"/>
      <c r="AD52" s="246"/>
      <c r="AE52" s="278"/>
      <c r="AF52" s="370"/>
      <c r="AG52" s="371"/>
      <c r="AH52" s="276"/>
      <c r="AI52" s="245"/>
      <c r="AJ52" s="287"/>
      <c r="AK52" s="278"/>
      <c r="AL52" s="246"/>
      <c r="AM52" s="245"/>
      <c r="AN52" s="245"/>
      <c r="AO52" s="274"/>
      <c r="AP52" s="245" t="str">
        <f>IFERROR(__xludf.DUMMYFUNCTION("""COMPUTED_VALUE"""),"Enemy Health Skip")</f>
        <v>Enemy Health Skip</v>
      </c>
      <c r="AQ52" s="276">
        <f>IFERROR(__xludf.DUMMYFUNCTION("""COMPUTED_VALUE"""),0.0)</f>
        <v>0</v>
      </c>
      <c r="AR52" s="246"/>
      <c r="AS52" s="245"/>
      <c r="AT52" s="245"/>
      <c r="AU52" s="245"/>
      <c r="AV52" s="245"/>
      <c r="AW52" s="245"/>
      <c r="AX52" s="246"/>
      <c r="AY52" s="245"/>
      <c r="AZ52" s="245"/>
      <c r="BA52" s="246"/>
      <c r="BB52" s="245"/>
      <c r="BC52" s="245"/>
      <c r="BD52" s="245"/>
      <c r="BE52" s="245"/>
      <c r="BF52" s="245"/>
      <c r="BG52" s="245"/>
      <c r="BH52" s="245"/>
      <c r="BI52" s="245"/>
      <c r="BJ52" s="245"/>
      <c r="BK52" s="245"/>
      <c r="BL52" s="245"/>
      <c r="BM52" s="245"/>
      <c r="BN52" s="245"/>
      <c r="BO52" s="245"/>
      <c r="BP52" s="245"/>
      <c r="BQ52" s="245"/>
      <c r="BR52" s="245"/>
      <c r="BS52" s="245"/>
      <c r="BT52" s="246"/>
      <c r="BU52" s="245"/>
      <c r="BV52" s="245"/>
      <c r="BW52" s="245"/>
      <c r="BX52" s="245"/>
      <c r="BY52" s="245"/>
      <c r="BZ52" s="282"/>
      <c r="CA52" s="245"/>
      <c r="CB52" s="245"/>
      <c r="CC52" s="245"/>
      <c r="CD52" s="245"/>
      <c r="CE52" s="245"/>
      <c r="CF52" s="245"/>
    </row>
    <row r="53">
      <c r="A53" s="259" t="str">
        <f>IFERROR(__xludf.DUMMYFUNCTION("""COMPUTED_VALUE"""),"Recovery Package Chance")</f>
        <v>Recovery Package Chance</v>
      </c>
      <c r="B53" s="260">
        <f>IFERROR(__xludf.DUMMYFUNCTION("""COMPUTED_VALUE"""),20.0)</f>
        <v>20</v>
      </c>
      <c r="C53" s="245"/>
      <c r="D53" s="261">
        <f>IFERROR(__xludf.DUMMYFUNCTION("""COMPUTED_VALUE"""),20.0)</f>
        <v>20</v>
      </c>
      <c r="E53" s="245"/>
      <c r="F53" s="245"/>
      <c r="G53" s="245"/>
      <c r="H53" s="245"/>
      <c r="I53" s="245"/>
      <c r="J53" s="245"/>
      <c r="K53" s="265"/>
      <c r="L53" s="245"/>
      <c r="M53" s="245"/>
      <c r="N53" s="245"/>
      <c r="O53" s="245"/>
      <c r="P53" s="245"/>
      <c r="Q53" s="247"/>
      <c r="R53" s="254"/>
      <c r="S53" s="245"/>
      <c r="T53" s="245"/>
      <c r="U53" s="245"/>
      <c r="V53" s="245"/>
      <c r="W53" s="245"/>
      <c r="X53" s="245"/>
      <c r="Y53" s="249"/>
      <c r="Z53" s="276"/>
      <c r="AA53" s="245"/>
      <c r="AB53" s="276"/>
      <c r="AC53" s="276"/>
      <c r="AD53" s="246"/>
      <c r="AE53" s="278"/>
      <c r="AF53" s="370"/>
      <c r="AG53" s="371"/>
      <c r="AH53" s="276"/>
      <c r="AI53" s="245"/>
      <c r="AJ53" s="287"/>
      <c r="AK53" s="278"/>
      <c r="AL53" s="246"/>
      <c r="AM53" s="245"/>
      <c r="AN53" s="245"/>
      <c r="AO53" s="274"/>
      <c r="AP53" s="245" t="str">
        <f>IFERROR(__xludf.DUMMYFUNCTION("""COMPUTED_VALUE"""),"Unlocks")</f>
        <v>Unlocks</v>
      </c>
      <c r="AQ53" s="245"/>
      <c r="AR53" s="246"/>
      <c r="AS53" s="245"/>
      <c r="AT53" s="245"/>
      <c r="AU53" s="245"/>
      <c r="AV53" s="245"/>
      <c r="AW53" s="245"/>
      <c r="AX53" s="246"/>
      <c r="AY53" s="245"/>
      <c r="AZ53" s="245"/>
      <c r="BA53" s="246"/>
      <c r="BB53" s="245" t="str">
        <f>IFERROR(__xludf.DUMMYFUNCTION("""COMPUTED_VALUE"""),"Death Penalty")</f>
        <v>Death Penalty</v>
      </c>
      <c r="BC53" s="245"/>
      <c r="BD53" s="245"/>
      <c r="BE53" s="245"/>
      <c r="BF53" s="245"/>
      <c r="BG53" s="245" t="str">
        <f>IFERROR(__xludf.DUMMYFUNCTION("""COMPUTED_VALUE"""),"Space Displacer")</f>
        <v>Space Displacer</v>
      </c>
      <c r="BH53" s="245"/>
      <c r="BI53" s="245"/>
      <c r="BJ53" s="245"/>
      <c r="BK53" s="245"/>
      <c r="BL53" s="245" t="str">
        <f>IFERROR(__xludf.DUMMYFUNCTION("""COMPUTED_VALUE"""),"Singularity Harness")</f>
        <v>Singularity Harness</v>
      </c>
      <c r="BM53" s="245"/>
      <c r="BN53" s="245"/>
      <c r="BO53" s="245"/>
      <c r="BP53" s="245"/>
      <c r="BQ53" s="245" t="str">
        <f>IFERROR(__xludf.DUMMYFUNCTION("""COMPUTED_VALUE"""),"Harmony Conductor")</f>
        <v>Harmony Conductor</v>
      </c>
      <c r="BR53" s="245"/>
      <c r="BS53" s="245"/>
      <c r="BT53" s="246"/>
      <c r="BU53" s="245"/>
      <c r="BV53" s="245"/>
      <c r="BW53" s="245"/>
      <c r="BX53" s="245"/>
      <c r="BY53" s="245"/>
      <c r="BZ53" s="282"/>
      <c r="CA53" s="245"/>
      <c r="CB53" s="245"/>
      <c r="CC53" s="245"/>
      <c r="CD53" s="245"/>
      <c r="CE53" s="245"/>
      <c r="CF53" s="245"/>
    </row>
    <row r="54">
      <c r="A54" s="259" t="str">
        <f>IFERROR(__xludf.DUMMYFUNCTION("""COMPUTED_VALUE"""),"Enemy Attack Level Skip")</f>
        <v>Enemy Attack Level Skip</v>
      </c>
      <c r="B54" s="260">
        <f>IFERROR(__xludf.DUMMYFUNCTION("""COMPUTED_VALUE"""),20.0)</f>
        <v>20</v>
      </c>
      <c r="C54" s="245"/>
      <c r="D54" s="261">
        <f>IFERROR(__xludf.DUMMYFUNCTION("""COMPUTED_VALUE"""),20.0)</f>
        <v>20</v>
      </c>
      <c r="E54" s="245"/>
      <c r="F54" s="245"/>
      <c r="G54" s="245"/>
      <c r="H54" s="245"/>
      <c r="I54" s="245"/>
      <c r="J54" s="245"/>
      <c r="K54" s="265"/>
      <c r="L54" s="245"/>
      <c r="M54" s="245"/>
      <c r="N54" s="245"/>
      <c r="O54" s="245"/>
      <c r="P54" s="245"/>
      <c r="Q54" s="247"/>
      <c r="R54" s="254"/>
      <c r="S54" s="245"/>
      <c r="T54" s="245"/>
      <c r="U54" s="245"/>
      <c r="V54" s="245"/>
      <c r="W54" s="245"/>
      <c r="X54" s="245"/>
      <c r="Y54" s="249"/>
      <c r="Z54" s="276"/>
      <c r="AA54" s="245"/>
      <c r="AB54" s="276"/>
      <c r="AC54" s="276"/>
      <c r="AD54" s="246"/>
      <c r="AE54" s="278"/>
      <c r="AF54" s="370"/>
      <c r="AG54" s="371"/>
      <c r="AH54" s="276"/>
      <c r="AI54" s="245"/>
      <c r="AJ54" s="287"/>
      <c r="AK54" s="278"/>
      <c r="AL54" s="246"/>
      <c r="AM54" s="245"/>
      <c r="AN54" s="245"/>
      <c r="AO54" s="274"/>
      <c r="AP54" s="245" t="str">
        <f>IFERROR(__xludf.DUMMYFUNCTION("""COMPUTED_VALUE"""),"Demon Mode Automation")</f>
        <v>Demon Mode Automation</v>
      </c>
      <c r="AQ54" s="276" t="b">
        <f>IFERROR(__xludf.DUMMYFUNCTION("""COMPUTED_VALUE"""),FALSE)</f>
        <v>0</v>
      </c>
      <c r="AR54" s="246"/>
      <c r="AS54" s="245"/>
      <c r="AT54" s="245"/>
      <c r="AU54" s="245"/>
      <c r="AV54" s="245"/>
      <c r="AW54" s="245"/>
      <c r="AX54" s="246"/>
      <c r="AY54" s="245"/>
      <c r="AZ54" s="245"/>
      <c r="BA54" s="246"/>
      <c r="BB54" s="245" t="str">
        <f>IFERROR(__xludf.DUMMYFUNCTION("""COMPUTED_VALUE"""),"Rarity")</f>
        <v>Rarity</v>
      </c>
      <c r="BC54" s="245" t="str">
        <f>IFERROR(__xludf.DUMMYFUNCTION("""COMPUTED_VALUE"""),"Level")</f>
        <v>Level</v>
      </c>
      <c r="BD54" s="245" t="str">
        <f>IFERROR(__xludf.DUMMYFUNCTION("""COMPUTED_VALUE"""),"Stat")</f>
        <v>Stat</v>
      </c>
      <c r="BE54" s="245"/>
      <c r="BF54" s="245"/>
      <c r="BG54" s="245" t="str">
        <f>IFERROR(__xludf.DUMMYFUNCTION("""COMPUTED_VALUE"""),"Rarity")</f>
        <v>Rarity</v>
      </c>
      <c r="BH54" s="245" t="str">
        <f>IFERROR(__xludf.DUMMYFUNCTION("""COMPUTED_VALUE"""),"Level")</f>
        <v>Level</v>
      </c>
      <c r="BI54" s="245" t="str">
        <f>IFERROR(__xludf.DUMMYFUNCTION("""COMPUTED_VALUE"""),"Stat")</f>
        <v>Stat</v>
      </c>
      <c r="BJ54" s="245"/>
      <c r="BK54" s="245"/>
      <c r="BL54" s="245" t="str">
        <f>IFERROR(__xludf.DUMMYFUNCTION("""COMPUTED_VALUE"""),"Rarity")</f>
        <v>Rarity</v>
      </c>
      <c r="BM54" s="245" t="str">
        <f>IFERROR(__xludf.DUMMYFUNCTION("""COMPUTED_VALUE"""),"Level")</f>
        <v>Level</v>
      </c>
      <c r="BN54" s="245" t="str">
        <f>IFERROR(__xludf.DUMMYFUNCTION("""COMPUTED_VALUE"""),"Stat")</f>
        <v>Stat</v>
      </c>
      <c r="BO54" s="245"/>
      <c r="BP54" s="245"/>
      <c r="BQ54" s="245" t="str">
        <f>IFERROR(__xludf.DUMMYFUNCTION("""COMPUTED_VALUE"""),"Rarity")</f>
        <v>Rarity</v>
      </c>
      <c r="BR54" s="245" t="str">
        <f>IFERROR(__xludf.DUMMYFUNCTION("""COMPUTED_VALUE"""),"Level")</f>
        <v>Level</v>
      </c>
      <c r="BS54" s="245" t="str">
        <f>IFERROR(__xludf.DUMMYFUNCTION("""COMPUTED_VALUE"""),"Stat")</f>
        <v>Stat</v>
      </c>
      <c r="BT54" s="246"/>
      <c r="BU54" s="245"/>
      <c r="BV54" s="245"/>
      <c r="BW54" s="245"/>
      <c r="BX54" s="245"/>
      <c r="BY54" s="245"/>
      <c r="BZ54" s="282"/>
      <c r="CA54" s="245"/>
      <c r="CB54" s="245"/>
      <c r="CC54" s="245"/>
      <c r="CD54" s="245"/>
      <c r="CE54" s="245"/>
      <c r="CF54" s="245"/>
    </row>
    <row r="55">
      <c r="A55" s="259" t="str">
        <f>IFERROR(__xludf.DUMMYFUNCTION("""COMPUTED_VALUE"""),"Enemy Health Level Skip")</f>
        <v>Enemy Health Level Skip</v>
      </c>
      <c r="B55" s="260">
        <f>IFERROR(__xludf.DUMMYFUNCTION("""COMPUTED_VALUE"""),20.0)</f>
        <v>20</v>
      </c>
      <c r="C55" s="245"/>
      <c r="D55" s="261">
        <f>IFERROR(__xludf.DUMMYFUNCTION("""COMPUTED_VALUE"""),20.0)</f>
        <v>20</v>
      </c>
      <c r="E55" s="245"/>
      <c r="F55" s="245"/>
      <c r="G55" s="245"/>
      <c r="H55" s="245"/>
      <c r="I55" s="245"/>
      <c r="J55" s="245"/>
      <c r="K55" s="265"/>
      <c r="L55" s="245"/>
      <c r="M55" s="245"/>
      <c r="N55" s="245"/>
      <c r="O55" s="245"/>
      <c r="P55" s="245"/>
      <c r="Q55" s="247"/>
      <c r="R55" s="254"/>
      <c r="S55" s="245"/>
      <c r="T55" s="245"/>
      <c r="U55" s="245"/>
      <c r="V55" s="245"/>
      <c r="W55" s="245"/>
      <c r="X55" s="245"/>
      <c r="Y55" s="249"/>
      <c r="Z55" s="276"/>
      <c r="AA55" s="245"/>
      <c r="AB55" s="276"/>
      <c r="AC55" s="276"/>
      <c r="AD55" s="246"/>
      <c r="AE55" s="278"/>
      <c r="AF55" s="370"/>
      <c r="AG55" s="371"/>
      <c r="AH55" s="276"/>
      <c r="AI55" s="245"/>
      <c r="AJ55" s="287"/>
      <c r="AK55" s="278"/>
      <c r="AL55" s="246"/>
      <c r="AM55" s="245"/>
      <c r="AN55" s="245"/>
      <c r="AO55" s="274"/>
      <c r="AP55" s="245" t="str">
        <f>IFERROR(__xludf.DUMMYFUNCTION("""COMPUTED_VALUE"""),"Smart Demon Mode Automation")</f>
        <v>Smart Demon Mode Automation</v>
      </c>
      <c r="AQ55" s="276" t="b">
        <f>IFERROR(__xludf.DUMMYFUNCTION("""COMPUTED_VALUE"""),FALSE)</f>
        <v>0</v>
      </c>
      <c r="AR55" s="246"/>
      <c r="AS55" s="245"/>
      <c r="AT55" s="245"/>
      <c r="AU55" s="245"/>
      <c r="AV55" s="245"/>
      <c r="AW55" s="245"/>
      <c r="AX55" s="246"/>
      <c r="AY55" s="245"/>
      <c r="AZ55" s="245"/>
      <c r="BA55" s="246"/>
      <c r="BB55" s="245" t="str">
        <f>IFERROR(__xludf.DUMMYFUNCTION("""COMPUTED_VALUE"""),"Mythic+")</f>
        <v>Mythic+</v>
      </c>
      <c r="BC55" s="279">
        <f>IFERROR(__xludf.DUMMYFUNCTION("""COMPUTED_VALUE"""),160.0)</f>
        <v>160</v>
      </c>
      <c r="BD55" s="306">
        <f>IFERROR(__xludf.DUMMYFUNCTION("""COMPUTED_VALUE"""),8.19)</f>
        <v>8.19</v>
      </c>
      <c r="BE55" s="245"/>
      <c r="BF55" s="245"/>
      <c r="BG55" s="245" t="str">
        <f>IFERROR(__xludf.DUMMYFUNCTION("""COMPUTED_VALUE"""),"Ancestral 2*")</f>
        <v>Ancestral 2*</v>
      </c>
      <c r="BH55" s="279">
        <f>IFERROR(__xludf.DUMMYFUNCTION("""COMPUTED_VALUE"""),163.0)</f>
        <v>163</v>
      </c>
      <c r="BI55" s="306">
        <f>IFERROR(__xludf.DUMMYFUNCTION("""COMPUTED_VALUE"""),9.467)</f>
        <v>9.467</v>
      </c>
      <c r="BJ55" s="245"/>
      <c r="BK55" s="245"/>
      <c r="BL55" s="245" t="str">
        <f>IFERROR(__xludf.DUMMYFUNCTION("""COMPUTED_VALUE"""),"Ancestral")</f>
        <v>Ancestral</v>
      </c>
      <c r="BM55" s="279">
        <f>IFERROR(__xludf.DUMMYFUNCTION("""COMPUTED_VALUE"""),161.0)</f>
        <v>161</v>
      </c>
      <c r="BN55" s="306">
        <f>IFERROR(__xludf.DUMMYFUNCTION("""COMPUTED_VALUE"""),1.68)</f>
        <v>1.68</v>
      </c>
      <c r="BO55" s="245"/>
      <c r="BP55" s="245"/>
      <c r="BQ55" s="245" t="str">
        <f>IFERROR(__xludf.DUMMYFUNCTION("""COMPUTED_VALUE"""),"Ancestral 5*")</f>
        <v>Ancestral 5*</v>
      </c>
      <c r="BR55" s="279">
        <f>IFERROR(__xludf.DUMMYFUNCTION("""COMPUTED_VALUE"""),159.0)</f>
        <v>159</v>
      </c>
      <c r="BS55" s="306">
        <f>IFERROR(__xludf.DUMMYFUNCTION("""COMPUTED_VALUE"""),12.88)</f>
        <v>12.88</v>
      </c>
      <c r="BT55" s="246"/>
      <c r="BU55" s="245"/>
      <c r="BV55" s="245"/>
      <c r="BW55" s="245"/>
      <c r="BX55" s="245"/>
      <c r="BY55" s="245"/>
      <c r="BZ55" s="282"/>
      <c r="CA55" s="245"/>
      <c r="CB55" s="245"/>
      <c r="CC55" s="245"/>
      <c r="CD55" s="245"/>
      <c r="CE55" s="245"/>
      <c r="CF55" s="245"/>
    </row>
    <row r="56">
      <c r="A56" s="259" t="str">
        <f>IFERROR(__xludf.DUMMYFUNCTION("""COMPUTED_VALUE"""),"Missile Despawn Time")</f>
        <v>Missile Despawn Time</v>
      </c>
      <c r="B56" s="260">
        <f>IFERROR(__xludf.DUMMYFUNCTION("""COMPUTED_VALUE"""),0.0)</f>
        <v>0</v>
      </c>
      <c r="C56" s="245"/>
      <c r="D56" s="261">
        <f>IFERROR(__xludf.DUMMYFUNCTION("""COMPUTED_VALUE"""),20.0)</f>
        <v>20</v>
      </c>
      <c r="E56" s="245"/>
      <c r="F56" s="245"/>
      <c r="G56" s="245"/>
      <c r="H56" s="245"/>
      <c r="I56" s="245"/>
      <c r="J56" s="245"/>
      <c r="K56" s="265"/>
      <c r="L56" s="245"/>
      <c r="M56" s="245"/>
      <c r="N56" s="245"/>
      <c r="O56" s="245"/>
      <c r="P56" s="245"/>
      <c r="Q56" s="247"/>
      <c r="R56" s="254"/>
      <c r="S56" s="245"/>
      <c r="T56" s="245"/>
      <c r="U56" s="245"/>
      <c r="V56" s="245"/>
      <c r="W56" s="245"/>
      <c r="X56" s="245"/>
      <c r="Y56" s="249"/>
      <c r="Z56" s="276"/>
      <c r="AA56" s="245"/>
      <c r="AB56" s="276"/>
      <c r="AC56" s="276"/>
      <c r="AD56" s="246"/>
      <c r="AE56" s="278"/>
      <c r="AF56" s="370"/>
      <c r="AG56" s="371"/>
      <c r="AH56" s="276"/>
      <c r="AI56" s="245"/>
      <c r="AJ56" s="287"/>
      <c r="AK56" s="278"/>
      <c r="AL56" s="246"/>
      <c r="AM56" s="245"/>
      <c r="AN56" s="245"/>
      <c r="AO56" s="274"/>
      <c r="AP56" s="245" t="str">
        <f>IFERROR(__xludf.DUMMYFUNCTION("""COMPUTED_VALUE"""),"Free Mission Reroll")</f>
        <v>Free Mission Reroll</v>
      </c>
      <c r="AQ56" s="276" t="b">
        <f>IFERROR(__xludf.DUMMYFUNCTION("""COMPUTED_VALUE"""),FALSE)</f>
        <v>0</v>
      </c>
      <c r="AR56" s="246"/>
      <c r="AS56" s="245"/>
      <c r="AT56" s="245"/>
      <c r="AU56" s="245"/>
      <c r="AV56" s="245"/>
      <c r="AW56" s="245"/>
      <c r="AX56" s="246"/>
      <c r="AY56" s="245"/>
      <c r="AZ56" s="245"/>
      <c r="BA56" s="246"/>
      <c r="BB56" s="245"/>
      <c r="BC56" s="245"/>
      <c r="BD56" s="245"/>
      <c r="BE56" s="245"/>
      <c r="BF56" s="245"/>
      <c r="BG56" s="245"/>
      <c r="BH56" s="245"/>
      <c r="BI56" s="245"/>
      <c r="BJ56" s="245"/>
      <c r="BK56" s="245"/>
      <c r="BL56" s="245"/>
      <c r="BM56" s="245"/>
      <c r="BN56" s="245"/>
      <c r="BO56" s="245"/>
      <c r="BP56" s="245"/>
      <c r="BQ56" s="245"/>
      <c r="BR56" s="245"/>
      <c r="BS56" s="245"/>
      <c r="BT56" s="246"/>
      <c r="BU56" s="245"/>
      <c r="BV56" s="245"/>
      <c r="BW56" s="245"/>
      <c r="BX56" s="245"/>
      <c r="BY56" s="245"/>
      <c r="BZ56" s="282"/>
      <c r="CA56" s="245"/>
      <c r="CB56" s="245"/>
      <c r="CC56" s="245"/>
      <c r="CD56" s="245"/>
      <c r="CE56" s="245"/>
      <c r="CF56" s="245"/>
    </row>
    <row r="57">
      <c r="A57" s="259" t="str">
        <f>IFERROR(__xludf.DUMMYFUNCTION("""COMPUTED_VALUE"""),"Missiles Explosion")</f>
        <v>Missiles Explosion</v>
      </c>
      <c r="B57" s="260">
        <f>IFERROR(__xludf.DUMMYFUNCTION("""COMPUTED_VALUE"""),0.0)</f>
        <v>0</v>
      </c>
      <c r="C57" s="245"/>
      <c r="D57" s="261">
        <f>IFERROR(__xludf.DUMMYFUNCTION("""COMPUTED_VALUE"""),1.0)</f>
        <v>1</v>
      </c>
      <c r="E57" s="245"/>
      <c r="F57" s="245"/>
      <c r="G57" s="245"/>
      <c r="H57" s="245"/>
      <c r="I57" s="245"/>
      <c r="J57" s="245"/>
      <c r="K57" s="265"/>
      <c r="L57" s="245"/>
      <c r="M57" s="245"/>
      <c r="N57" s="245"/>
      <c r="O57" s="245"/>
      <c r="P57" s="245"/>
      <c r="Q57" s="247"/>
      <c r="R57" s="254"/>
      <c r="S57" s="245"/>
      <c r="T57" s="245"/>
      <c r="U57" s="245"/>
      <c r="V57" s="245"/>
      <c r="W57" s="245"/>
      <c r="X57" s="245"/>
      <c r="Y57" s="249"/>
      <c r="Z57" s="276"/>
      <c r="AA57" s="245"/>
      <c r="AB57" s="276"/>
      <c r="AC57" s="276"/>
      <c r="AD57" s="246"/>
      <c r="AE57" s="278"/>
      <c r="AF57" s="370"/>
      <c r="AG57" s="371"/>
      <c r="AH57" s="276"/>
      <c r="AI57" s="245"/>
      <c r="AJ57" s="287"/>
      <c r="AK57" s="278"/>
      <c r="AL57" s="246"/>
      <c r="AM57" s="245"/>
      <c r="AN57" s="245"/>
      <c r="AO57" s="274"/>
      <c r="AP57" s="245" t="str">
        <f>IFERROR(__xludf.DUMMYFUNCTION("""COMPUTED_VALUE"""),"Nuke Automation")</f>
        <v>Nuke Automation</v>
      </c>
      <c r="AQ57" s="276" t="b">
        <f>IFERROR(__xludf.DUMMYFUNCTION("""COMPUTED_VALUE"""),FALSE)</f>
        <v>0</v>
      </c>
      <c r="AR57" s="246"/>
      <c r="AS57" s="245"/>
      <c r="AT57" s="245"/>
      <c r="AU57" s="245"/>
      <c r="AV57" s="245"/>
      <c r="AW57" s="245"/>
      <c r="AX57" s="246"/>
      <c r="AY57" s="245"/>
      <c r="AZ57" s="245"/>
      <c r="BA57" s="246"/>
      <c r="BB57" s="245" t="str">
        <f>IFERROR(__xludf.DUMMYFUNCTION("""COMPUTED_VALUE"""),"MultiShot Chance")</f>
        <v>MultiShot Chance</v>
      </c>
      <c r="BC57" s="245" t="str">
        <f>IFERROR(__xludf.DUMMYFUNCTION("""COMPUTED_VALUE"""),"Mythic")</f>
        <v>Mythic</v>
      </c>
      <c r="BD57" s="245" t="str">
        <f>IFERROR(__xludf.DUMMYFUNCTION("""COMPUTED_VALUE"""),"+10%")</f>
        <v>+10%</v>
      </c>
      <c r="BE57" s="279">
        <f>IFERROR(__xludf.DUMMYFUNCTION("""COMPUTED_VALUE"""),0.1)</f>
        <v>0.1</v>
      </c>
      <c r="BF57" s="245"/>
      <c r="BG57" s="245"/>
      <c r="BH57" s="245"/>
      <c r="BI57" s="245"/>
      <c r="BJ57" s="279" t="str">
        <f>IFERROR(__xludf.DUMMYFUNCTION("""COMPUTED_VALUE"""),"")</f>
        <v/>
      </c>
      <c r="BK57" s="245"/>
      <c r="BL57" s="245" t="str">
        <f>IFERROR(__xludf.DUMMYFUNCTION("""COMPUTED_VALUE"""),"Free Utility Upgrade")</f>
        <v>Free Utility Upgrade</v>
      </c>
      <c r="BM57" s="245" t="str">
        <f>IFERROR(__xludf.DUMMYFUNCTION("""COMPUTED_VALUE"""),"Mythic")</f>
        <v>Mythic</v>
      </c>
      <c r="BN57" s="245" t="str">
        <f>IFERROR(__xludf.DUMMYFUNCTION("""COMPUTED_VALUE"""),"+10%")</f>
        <v>+10%</v>
      </c>
      <c r="BO57" s="279">
        <f>IFERROR(__xludf.DUMMYFUNCTION("""COMPUTED_VALUE"""),0.1)</f>
        <v>0.1</v>
      </c>
      <c r="BP57" s="245"/>
      <c r="BQ57" s="245"/>
      <c r="BR57" s="245"/>
      <c r="BS57" s="245"/>
      <c r="BT57" s="368" t="str">
        <f>IFERROR(__xludf.DUMMYFUNCTION("""COMPUTED_VALUE"""),"")</f>
        <v/>
      </c>
      <c r="BU57" s="245"/>
      <c r="BV57" s="245"/>
      <c r="BW57" s="245"/>
      <c r="BX57" s="245"/>
      <c r="BY57" s="245"/>
      <c r="BZ57" s="282"/>
      <c r="CA57" s="245"/>
      <c r="CB57" s="245"/>
      <c r="CC57" s="245"/>
      <c r="CD57" s="245"/>
      <c r="CE57" s="245"/>
      <c r="CF57" s="245"/>
    </row>
    <row r="58">
      <c r="A58" s="259" t="str">
        <f>IFERROR(__xludf.DUMMYFUNCTION("""COMPUTED_VALUE"""),"Missile Radius")</f>
        <v>Missile Radius</v>
      </c>
      <c r="B58" s="260">
        <f>IFERROR(__xludf.DUMMYFUNCTION("""COMPUTED_VALUE"""),0.0)</f>
        <v>0</v>
      </c>
      <c r="C58" s="245"/>
      <c r="D58" s="261">
        <f>IFERROR(__xludf.DUMMYFUNCTION("""COMPUTED_VALUE"""),20.0)</f>
        <v>20</v>
      </c>
      <c r="E58" s="245"/>
      <c r="F58" s="245"/>
      <c r="G58" s="245"/>
      <c r="H58" s="245"/>
      <c r="I58" s="245"/>
      <c r="J58" s="245"/>
      <c r="K58" s="265"/>
      <c r="L58" s="245"/>
      <c r="M58" s="245"/>
      <c r="N58" s="245"/>
      <c r="O58" s="245"/>
      <c r="P58" s="245"/>
      <c r="Q58" s="247"/>
      <c r="R58" s="254"/>
      <c r="S58" s="245"/>
      <c r="T58" s="245"/>
      <c r="U58" s="245"/>
      <c r="V58" s="245"/>
      <c r="W58" s="245"/>
      <c r="X58" s="245"/>
      <c r="Y58" s="249"/>
      <c r="Z58" s="276"/>
      <c r="AA58" s="245"/>
      <c r="AB58" s="276"/>
      <c r="AC58" s="276"/>
      <c r="AD58" s="246"/>
      <c r="AE58" s="278"/>
      <c r="AF58" s="370"/>
      <c r="AG58" s="371"/>
      <c r="AH58" s="276"/>
      <c r="AI58" s="245"/>
      <c r="AJ58" s="287"/>
      <c r="AK58" s="278"/>
      <c r="AL58" s="246"/>
      <c r="AM58" s="245"/>
      <c r="AN58" s="245"/>
      <c r="AO58" s="274"/>
      <c r="AP58" s="245" t="str">
        <f>IFERROR(__xludf.DUMMYFUNCTION("""COMPUTED_VALUE"""),"Smart Nuke Automation")</f>
        <v>Smart Nuke Automation</v>
      </c>
      <c r="AQ58" s="276" t="b">
        <f>IFERROR(__xludf.DUMMYFUNCTION("""COMPUTED_VALUE"""),FALSE)</f>
        <v>0</v>
      </c>
      <c r="AR58" s="246"/>
      <c r="AS58" s="245"/>
      <c r="AT58" s="245"/>
      <c r="AU58" s="245"/>
      <c r="AV58" s="245"/>
      <c r="AW58" s="245"/>
      <c r="AX58" s="246"/>
      <c r="AY58" s="245"/>
      <c r="AZ58" s="245"/>
      <c r="BA58" s="246"/>
      <c r="BB58" s="245" t="str">
        <f>IFERROR(__xludf.DUMMYFUNCTION("""COMPUTED_VALUE"""),"Bounce Shot Chance")</f>
        <v>Bounce Shot Chance</v>
      </c>
      <c r="BC58" s="245" t="str">
        <f>IFERROR(__xludf.DUMMYFUNCTION("""COMPUTED_VALUE"""),"Mythic")</f>
        <v>Mythic</v>
      </c>
      <c r="BD58" s="245" t="str">
        <f>IFERROR(__xludf.DUMMYFUNCTION("""COMPUTED_VALUE"""),"+9%")</f>
        <v>+9%</v>
      </c>
      <c r="BE58" s="279">
        <f>IFERROR(__xludf.DUMMYFUNCTION("""COMPUTED_VALUE"""),0.09)</f>
        <v>0.09</v>
      </c>
      <c r="BF58" s="245"/>
      <c r="BG58" s="245"/>
      <c r="BH58" s="245"/>
      <c r="BI58" s="245"/>
      <c r="BJ58" s="279" t="str">
        <f>IFERROR(__xludf.DUMMYFUNCTION("""COMPUTED_VALUE"""),"")</f>
        <v/>
      </c>
      <c r="BK58" s="245"/>
      <c r="BL58" s="245" t="str">
        <f>IFERROR(__xludf.DUMMYFUNCTION("""COMPUTED_VALUE"""),"Coins / Kill Bonus")</f>
        <v>Coins / Kill Bonus</v>
      </c>
      <c r="BM58" s="245" t="str">
        <f>IFERROR(__xludf.DUMMYFUNCTION("""COMPUTED_VALUE"""),"Mythic")</f>
        <v>Mythic</v>
      </c>
      <c r="BN58" s="245" t="str">
        <f>IFERROR(__xludf.DUMMYFUNCTION("""COMPUTED_VALUE"""),"+0.5x")</f>
        <v>+0.5x</v>
      </c>
      <c r="BO58" s="279">
        <f>IFERROR(__xludf.DUMMYFUNCTION("""COMPUTED_VALUE"""),0.5)</f>
        <v>0.5</v>
      </c>
      <c r="BP58" s="245"/>
      <c r="BQ58" s="245"/>
      <c r="BR58" s="245"/>
      <c r="BS58" s="245"/>
      <c r="BT58" s="368" t="str">
        <f>IFERROR(__xludf.DUMMYFUNCTION("""COMPUTED_VALUE"""),"")</f>
        <v/>
      </c>
      <c r="BU58" s="245"/>
      <c r="BV58" s="245"/>
      <c r="BW58" s="245"/>
      <c r="BX58" s="245"/>
      <c r="BY58" s="245"/>
      <c r="BZ58" s="282"/>
      <c r="CA58" s="245"/>
      <c r="CB58" s="245"/>
      <c r="CC58" s="245"/>
      <c r="CD58" s="245"/>
      <c r="CE58" s="245"/>
      <c r="CF58" s="245"/>
    </row>
    <row r="59">
      <c r="A59" s="259" t="str">
        <f>IFERROR(__xludf.DUMMYFUNCTION("""COMPUTED_VALUE"""),"Chrono Field Duration")</f>
        <v>Chrono Field Duration</v>
      </c>
      <c r="B59" s="260">
        <f>IFERROR(__xludf.DUMMYFUNCTION("""COMPUTED_VALUE"""),30.0)</f>
        <v>30</v>
      </c>
      <c r="C59" s="245"/>
      <c r="D59" s="261">
        <f>IFERROR(__xludf.DUMMYFUNCTION("""COMPUTED_VALUE"""),30.0)</f>
        <v>30</v>
      </c>
      <c r="E59" s="245"/>
      <c r="F59" s="245"/>
      <c r="G59" s="245"/>
      <c r="H59" s="245"/>
      <c r="I59" s="245"/>
      <c r="J59" s="245"/>
      <c r="K59" s="265"/>
      <c r="L59" s="245"/>
      <c r="M59" s="245"/>
      <c r="N59" s="245"/>
      <c r="O59" s="245"/>
      <c r="P59" s="245"/>
      <c r="Q59" s="247"/>
      <c r="R59" s="254"/>
      <c r="S59" s="245"/>
      <c r="T59" s="245"/>
      <c r="U59" s="245"/>
      <c r="V59" s="245"/>
      <c r="W59" s="245"/>
      <c r="X59" s="245"/>
      <c r="Y59" s="249"/>
      <c r="Z59" s="276"/>
      <c r="AA59" s="245"/>
      <c r="AB59" s="276"/>
      <c r="AC59" s="276"/>
      <c r="AD59" s="246"/>
      <c r="AE59" s="278"/>
      <c r="AF59" s="370"/>
      <c r="AG59" s="371"/>
      <c r="AH59" s="276"/>
      <c r="AI59" s="245"/>
      <c r="AJ59" s="287"/>
      <c r="AK59" s="278"/>
      <c r="AL59" s="246"/>
      <c r="AM59" s="245"/>
      <c r="AN59" s="245"/>
      <c r="AO59" s="274"/>
      <c r="AP59" s="245" t="str">
        <f>IFERROR(__xludf.DUMMYFUNCTION("""COMPUTED_VALUE"""),"Workshop Presets")</f>
        <v>Workshop Presets</v>
      </c>
      <c r="AQ59" s="276" t="b">
        <f>IFERROR(__xludf.DUMMYFUNCTION("""COMPUTED_VALUE"""),FALSE)</f>
        <v>0</v>
      </c>
      <c r="AR59" s="246"/>
      <c r="AS59" s="245"/>
      <c r="AT59" s="245"/>
      <c r="AU59" s="245"/>
      <c r="AV59" s="245"/>
      <c r="AW59" s="245"/>
      <c r="AX59" s="246"/>
      <c r="AY59" s="245"/>
      <c r="AZ59" s="245"/>
      <c r="BA59" s="246"/>
      <c r="BB59" s="245" t="str">
        <f>IFERROR(__xludf.DUMMYFUNCTION("""COMPUTED_VALUE"""),"Bounce Shot Targets")</f>
        <v>Bounce Shot Targets</v>
      </c>
      <c r="BC59" s="245" t="str">
        <f>IFERROR(__xludf.DUMMYFUNCTION("""COMPUTED_VALUE"""),"Mythic")</f>
        <v>Mythic</v>
      </c>
      <c r="BD59" s="245" t="str">
        <f>IFERROR(__xludf.DUMMYFUNCTION("""COMPUTED_VALUE"""),"+3")</f>
        <v>+3</v>
      </c>
      <c r="BE59" s="279">
        <f>IFERROR(__xludf.DUMMYFUNCTION("""COMPUTED_VALUE"""),3.0)</f>
        <v>3</v>
      </c>
      <c r="BF59" s="245"/>
      <c r="BG59" s="245"/>
      <c r="BH59" s="245"/>
      <c r="BI59" s="245"/>
      <c r="BJ59" s="245" t="str">
        <f>IFERROR(__xludf.DUMMYFUNCTION("""COMPUTED_VALUE"""),"")</f>
        <v/>
      </c>
      <c r="BK59" s="245"/>
      <c r="BL59" s="245" t="str">
        <f>IFERROR(__xludf.DUMMYFUNCTION("""COMPUTED_VALUE"""),"Enemy Health Level Skip")</f>
        <v>Enemy Health Level Skip</v>
      </c>
      <c r="BM59" s="245" t="str">
        <f>IFERROR(__xludf.DUMMYFUNCTION("""COMPUTED_VALUE"""),"Mythic")</f>
        <v>Mythic</v>
      </c>
      <c r="BN59" s="245" t="str">
        <f>IFERROR(__xludf.DUMMYFUNCTION("""COMPUTED_VALUE"""),"+6%")</f>
        <v>+6%</v>
      </c>
      <c r="BO59" s="245">
        <f>IFERROR(__xludf.DUMMYFUNCTION("""COMPUTED_VALUE"""),0.06)</f>
        <v>0.06</v>
      </c>
      <c r="BP59" s="245"/>
      <c r="BQ59" s="245"/>
      <c r="BR59" s="245"/>
      <c r="BS59" s="245"/>
      <c r="BT59" s="368" t="str">
        <f>IFERROR(__xludf.DUMMYFUNCTION("""COMPUTED_VALUE"""),"")</f>
        <v/>
      </c>
      <c r="BU59" s="245"/>
      <c r="BV59" s="245"/>
      <c r="BW59" s="245"/>
      <c r="BX59" s="245"/>
      <c r="BY59" s="245"/>
      <c r="BZ59" s="282"/>
      <c r="CA59" s="245"/>
      <c r="CB59" s="245"/>
      <c r="CC59" s="245"/>
      <c r="CD59" s="245"/>
      <c r="CE59" s="245"/>
      <c r="CF59" s="245"/>
    </row>
    <row r="60">
      <c r="A60" s="259" t="str">
        <f>IFERROR(__xludf.DUMMYFUNCTION("""COMPUTED_VALUE"""),"Chrono Field Damage Reduction")</f>
        <v>Chrono Field Damage Reduction</v>
      </c>
      <c r="B60" s="260">
        <f>IFERROR(__xludf.DUMMYFUNCTION("""COMPUTED_VALUE"""),1.0)</f>
        <v>1</v>
      </c>
      <c r="C60" s="245"/>
      <c r="D60" s="261">
        <f>IFERROR(__xludf.DUMMYFUNCTION("""COMPUTED_VALUE"""),1.0)</f>
        <v>1</v>
      </c>
      <c r="E60" s="245"/>
      <c r="F60" s="245"/>
      <c r="G60" s="245"/>
      <c r="H60" s="245"/>
      <c r="I60" s="245"/>
      <c r="J60" s="245"/>
      <c r="K60" s="265"/>
      <c r="L60" s="245"/>
      <c r="M60" s="245"/>
      <c r="N60" s="245"/>
      <c r="O60" s="245"/>
      <c r="P60" s="245"/>
      <c r="Q60" s="247"/>
      <c r="R60" s="254"/>
      <c r="S60" s="245"/>
      <c r="T60" s="245"/>
      <c r="U60" s="245"/>
      <c r="V60" s="245"/>
      <c r="W60" s="245"/>
      <c r="X60" s="245"/>
      <c r="Y60" s="249"/>
      <c r="Z60" s="276"/>
      <c r="AA60" s="245"/>
      <c r="AB60" s="276"/>
      <c r="AC60" s="276"/>
      <c r="AD60" s="246"/>
      <c r="AE60" s="278"/>
      <c r="AF60" s="370"/>
      <c r="AG60" s="371"/>
      <c r="AH60" s="276"/>
      <c r="AI60" s="245"/>
      <c r="AJ60" s="287"/>
      <c r="AK60" s="278"/>
      <c r="AL60" s="246"/>
      <c r="AM60" s="245"/>
      <c r="AN60" s="245"/>
      <c r="AO60" s="274"/>
      <c r="AP60" s="245" t="str">
        <f>IFERROR(__xludf.DUMMYFUNCTION("""COMPUTED_VALUE"""),"Missile Barrage Automation")</f>
        <v>Missile Barrage Automation</v>
      </c>
      <c r="AQ60" s="276" t="b">
        <f>IFERROR(__xludf.DUMMYFUNCTION("""COMPUTED_VALUE"""),FALSE)</f>
        <v>0</v>
      </c>
      <c r="AR60" s="246"/>
      <c r="AS60" s="245"/>
      <c r="AT60" s="245"/>
      <c r="AU60" s="245"/>
      <c r="AV60" s="245"/>
      <c r="AW60" s="245"/>
      <c r="AX60" s="246"/>
      <c r="AY60" s="245"/>
      <c r="AZ60" s="245"/>
      <c r="BA60" s="246"/>
      <c r="BB60" s="245" t="str">
        <f>IFERROR(__xludf.DUMMYFUNCTION("""COMPUTED_VALUE"""),"Multishot Targets")</f>
        <v>Multishot Targets</v>
      </c>
      <c r="BC60" s="245" t="str">
        <f>IFERROR(__xludf.DUMMYFUNCTION("""COMPUTED_VALUE"""),"Mythic")</f>
        <v>Mythic</v>
      </c>
      <c r="BD60" s="245" t="str">
        <f>IFERROR(__xludf.DUMMYFUNCTION("""COMPUTED_VALUE"""),"+3")</f>
        <v>+3</v>
      </c>
      <c r="BE60" s="245">
        <f>IFERROR(__xludf.DUMMYFUNCTION("""COMPUTED_VALUE"""),3.0)</f>
        <v>3</v>
      </c>
      <c r="BF60" s="245"/>
      <c r="BG60" s="245"/>
      <c r="BH60" s="245"/>
      <c r="BI60" s="245"/>
      <c r="BJ60" s="245" t="str">
        <f>IFERROR(__xludf.DUMMYFUNCTION("""COMPUTED_VALUE"""),"")</f>
        <v/>
      </c>
      <c r="BK60" s="245"/>
      <c r="BL60" s="245" t="str">
        <f>IFERROR(__xludf.DUMMYFUNCTION("""COMPUTED_VALUE"""),"Enemy Attack Level Skip")</f>
        <v>Enemy Attack Level Skip</v>
      </c>
      <c r="BM60" s="245" t="str">
        <f>IFERROR(__xludf.DUMMYFUNCTION("""COMPUTED_VALUE"""),"Ancestral")</f>
        <v>Ancestral</v>
      </c>
      <c r="BN60" s="245" t="str">
        <f>IFERROR(__xludf.DUMMYFUNCTION("""COMPUTED_VALUE"""),"+8%")</f>
        <v>+8%</v>
      </c>
      <c r="BO60" s="245">
        <f>IFERROR(__xludf.DUMMYFUNCTION("""COMPUTED_VALUE"""),0.08)</f>
        <v>0.08</v>
      </c>
      <c r="BP60" s="245"/>
      <c r="BQ60" s="245"/>
      <c r="BR60" s="245"/>
      <c r="BS60" s="245"/>
      <c r="BT60" s="368" t="str">
        <f>IFERROR(__xludf.DUMMYFUNCTION("""COMPUTED_VALUE"""),"")</f>
        <v/>
      </c>
      <c r="BU60" s="245"/>
      <c r="BV60" s="245"/>
      <c r="BW60" s="245"/>
      <c r="BX60" s="245"/>
      <c r="BY60" s="245"/>
      <c r="BZ60" s="282"/>
      <c r="CA60" s="245"/>
      <c r="CB60" s="245"/>
      <c r="CC60" s="245"/>
      <c r="CD60" s="245"/>
      <c r="CE60" s="245"/>
      <c r="CF60" s="245"/>
    </row>
    <row r="61">
      <c r="A61" s="259" t="str">
        <f>IFERROR(__xludf.DUMMYFUNCTION("""COMPUTED_VALUE"""),"Chrono Field Reduction %")</f>
        <v>Chrono Field Reduction %</v>
      </c>
      <c r="B61" s="260">
        <f>IFERROR(__xludf.DUMMYFUNCTION("""COMPUTED_VALUE"""),20.0)</f>
        <v>20</v>
      </c>
      <c r="C61" s="245"/>
      <c r="D61" s="261">
        <f>IFERROR(__xludf.DUMMYFUNCTION("""COMPUTED_VALUE"""),30.0)</f>
        <v>30</v>
      </c>
      <c r="E61" s="245"/>
      <c r="F61" s="245"/>
      <c r="G61" s="245"/>
      <c r="H61" s="245"/>
      <c r="I61" s="245"/>
      <c r="J61" s="245"/>
      <c r="K61" s="265"/>
      <c r="L61" s="245"/>
      <c r="M61" s="245"/>
      <c r="N61" s="245"/>
      <c r="O61" s="245"/>
      <c r="P61" s="245"/>
      <c r="Q61" s="247"/>
      <c r="R61" s="254"/>
      <c r="S61" s="245"/>
      <c r="T61" s="245"/>
      <c r="U61" s="245"/>
      <c r="V61" s="245"/>
      <c r="W61" s="245"/>
      <c r="X61" s="245"/>
      <c r="Y61" s="249"/>
      <c r="Z61" s="276"/>
      <c r="AA61" s="245"/>
      <c r="AB61" s="276"/>
      <c r="AC61" s="276"/>
      <c r="AD61" s="246"/>
      <c r="AE61" s="278"/>
      <c r="AF61" s="370"/>
      <c r="AG61" s="371"/>
      <c r="AH61" s="276"/>
      <c r="AI61" s="245"/>
      <c r="AJ61" s="287"/>
      <c r="AK61" s="278"/>
      <c r="AL61" s="246"/>
      <c r="AM61" s="245"/>
      <c r="AN61" s="245"/>
      <c r="AO61" s="274"/>
      <c r="AP61" s="245" t="str">
        <f>IFERROR(__xludf.DUMMYFUNCTION("""COMPUTED_VALUE"""),"Smart Missile Barrage Automation")</f>
        <v>Smart Missile Barrage Automation</v>
      </c>
      <c r="AQ61" s="276" t="b">
        <f>IFERROR(__xludf.DUMMYFUNCTION("""COMPUTED_VALUE"""),FALSE)</f>
        <v>0</v>
      </c>
      <c r="AR61" s="246"/>
      <c r="AS61" s="245"/>
      <c r="AT61" s="245"/>
      <c r="AU61" s="245"/>
      <c r="AV61" s="245"/>
      <c r="AW61" s="245"/>
      <c r="AX61" s="246"/>
      <c r="AY61" s="245"/>
      <c r="AZ61" s="245"/>
      <c r="BA61" s="246"/>
      <c r="BB61" s="245"/>
      <c r="BC61" s="245"/>
      <c r="BD61" s="245"/>
      <c r="BE61" s="245" t="str">
        <f>IFERROR(__xludf.DUMMYFUNCTION("""COMPUTED_VALUE"""),"")</f>
        <v/>
      </c>
      <c r="BF61" s="245"/>
      <c r="BG61" s="245"/>
      <c r="BH61" s="245"/>
      <c r="BI61" s="245"/>
      <c r="BJ61" s="245" t="str">
        <f>IFERROR(__xludf.DUMMYFUNCTION("""COMPUTED_VALUE"""),"")</f>
        <v/>
      </c>
      <c r="BK61" s="245"/>
      <c r="BL61" s="245" t="str">
        <f>IFERROR(__xludf.DUMMYFUNCTION("""COMPUTED_VALUE"""),"Package Chance")</f>
        <v>Package Chance</v>
      </c>
      <c r="BM61" s="245" t="str">
        <f>IFERROR(__xludf.DUMMYFUNCTION("""COMPUTED_VALUE"""),"Mythic")</f>
        <v>Mythic</v>
      </c>
      <c r="BN61" s="245" t="str">
        <f>IFERROR(__xludf.DUMMYFUNCTION("""COMPUTED_VALUE"""),"+11%")</f>
        <v>+11%</v>
      </c>
      <c r="BO61" s="245">
        <f>IFERROR(__xludf.DUMMYFUNCTION("""COMPUTED_VALUE"""),0.11)</f>
        <v>0.11</v>
      </c>
      <c r="BP61" s="245"/>
      <c r="BQ61" s="245"/>
      <c r="BR61" s="245"/>
      <c r="BS61" s="245"/>
      <c r="BT61" s="246" t="str">
        <f>IFERROR(__xludf.DUMMYFUNCTION("""COMPUTED_VALUE"""),"")</f>
        <v/>
      </c>
      <c r="BU61" s="245"/>
      <c r="BV61" s="245"/>
      <c r="BW61" s="245"/>
      <c r="BX61" s="245"/>
      <c r="BY61" s="245"/>
      <c r="BZ61" s="282"/>
      <c r="CA61" s="245"/>
      <c r="CB61" s="245"/>
      <c r="CC61" s="245"/>
      <c r="CD61" s="245"/>
      <c r="CE61" s="245"/>
      <c r="CF61" s="245"/>
    </row>
    <row r="62">
      <c r="A62" s="259" t="str">
        <f>IFERROR(__xludf.DUMMYFUNCTION("""COMPUTED_VALUE"""),"Swamp Radius")</f>
        <v>Swamp Radius</v>
      </c>
      <c r="B62" s="260">
        <f>IFERROR(__xludf.DUMMYFUNCTION("""COMPUTED_VALUE"""),0.0)</f>
        <v>0</v>
      </c>
      <c r="C62" s="245"/>
      <c r="D62" s="261">
        <f>IFERROR(__xludf.DUMMYFUNCTION("""COMPUTED_VALUE"""),30.0)</f>
        <v>30</v>
      </c>
      <c r="E62" s="245"/>
      <c r="F62" s="245"/>
      <c r="G62" s="245"/>
      <c r="H62" s="245"/>
      <c r="I62" s="245"/>
      <c r="J62" s="245"/>
      <c r="K62" s="265"/>
      <c r="L62" s="245"/>
      <c r="M62" s="245"/>
      <c r="N62" s="245"/>
      <c r="O62" s="245"/>
      <c r="P62" s="245"/>
      <c r="Q62" s="247"/>
      <c r="R62" s="254"/>
      <c r="S62" s="245"/>
      <c r="T62" s="245"/>
      <c r="U62" s="245"/>
      <c r="V62" s="245"/>
      <c r="W62" s="245"/>
      <c r="X62" s="245"/>
      <c r="Y62" s="249"/>
      <c r="Z62" s="276"/>
      <c r="AA62" s="245"/>
      <c r="AB62" s="276"/>
      <c r="AC62" s="276"/>
      <c r="AD62" s="246"/>
      <c r="AE62" s="278"/>
      <c r="AF62" s="370"/>
      <c r="AG62" s="371"/>
      <c r="AH62" s="276"/>
      <c r="AI62" s="245"/>
      <c r="AJ62" s="287"/>
      <c r="AK62" s="278"/>
      <c r="AL62" s="246"/>
      <c r="AM62" s="245"/>
      <c r="AN62" s="245"/>
      <c r="AO62" s="274"/>
      <c r="AP62" s="245" t="str">
        <f>IFERROR(__xludf.DUMMYFUNCTION("""COMPUTED_VALUE"""),"Daily Mission - Set Shard Type")</f>
        <v>Daily Mission - Set Shard Type</v>
      </c>
      <c r="AQ62" s="276" t="b">
        <f>IFERROR(__xludf.DUMMYFUNCTION("""COMPUTED_VALUE"""),FALSE)</f>
        <v>0</v>
      </c>
      <c r="AR62" s="246"/>
      <c r="AS62" s="245"/>
      <c r="AT62" s="245"/>
      <c r="AU62" s="245"/>
      <c r="AV62" s="245"/>
      <c r="AW62" s="245"/>
      <c r="AX62" s="246"/>
      <c r="AY62" s="245"/>
      <c r="AZ62" s="245"/>
      <c r="BA62" s="246"/>
      <c r="BB62" s="245"/>
      <c r="BC62" s="245"/>
      <c r="BD62" s="245"/>
      <c r="BE62" s="245" t="str">
        <f>IFERROR(__xludf.DUMMYFUNCTION("""COMPUTED_VALUE"""),"")</f>
        <v/>
      </c>
      <c r="BF62" s="245"/>
      <c r="BG62" s="245"/>
      <c r="BH62" s="245"/>
      <c r="BI62" s="245"/>
      <c r="BJ62" s="245" t="str">
        <f>IFERROR(__xludf.DUMMYFUNCTION("""COMPUTED_VALUE"""),"")</f>
        <v/>
      </c>
      <c r="BK62" s="245"/>
      <c r="BL62" s="245"/>
      <c r="BM62" s="245"/>
      <c r="BN62" s="245"/>
      <c r="BO62" s="245" t="str">
        <f>IFERROR(__xludf.DUMMYFUNCTION("""COMPUTED_VALUE"""),"")</f>
        <v/>
      </c>
      <c r="BP62" s="245"/>
      <c r="BQ62" s="245"/>
      <c r="BR62" s="245"/>
      <c r="BS62" s="245"/>
      <c r="BT62" s="246" t="str">
        <f>IFERROR(__xludf.DUMMYFUNCTION("""COMPUTED_VALUE"""),"")</f>
        <v/>
      </c>
      <c r="BU62" s="245"/>
      <c r="BV62" s="245"/>
      <c r="BW62" s="245"/>
      <c r="BX62" s="245"/>
      <c r="BY62" s="245"/>
      <c r="BZ62" s="282"/>
      <c r="CA62" s="245"/>
      <c r="CB62" s="245"/>
      <c r="CC62" s="245"/>
      <c r="CD62" s="245"/>
      <c r="CE62" s="245"/>
      <c r="CF62" s="245"/>
    </row>
    <row r="63">
      <c r="A63" s="259" t="str">
        <f>IFERROR(__xludf.DUMMYFUNCTION("""COMPUTED_VALUE"""),"Swamp Stun")</f>
        <v>Swamp Stun</v>
      </c>
      <c r="B63" s="260">
        <f>IFERROR(__xludf.DUMMYFUNCTION("""COMPUTED_VALUE"""),0.0)</f>
        <v>0</v>
      </c>
      <c r="C63" s="245"/>
      <c r="D63" s="261">
        <f>IFERROR(__xludf.DUMMYFUNCTION("""COMPUTED_VALUE"""),1.0)</f>
        <v>1</v>
      </c>
      <c r="E63" s="245"/>
      <c r="F63" s="245"/>
      <c r="G63" s="245"/>
      <c r="H63" s="245"/>
      <c r="I63" s="245"/>
      <c r="J63" s="245"/>
      <c r="K63" s="265"/>
      <c r="L63" s="245"/>
      <c r="M63" s="245"/>
      <c r="N63" s="245"/>
      <c r="O63" s="245"/>
      <c r="P63" s="245"/>
      <c r="Q63" s="247"/>
      <c r="R63" s="254"/>
      <c r="S63" s="245"/>
      <c r="T63" s="245"/>
      <c r="U63" s="245"/>
      <c r="V63" s="245"/>
      <c r="W63" s="245"/>
      <c r="X63" s="245"/>
      <c r="Y63" s="249"/>
      <c r="Z63" s="276"/>
      <c r="AA63" s="245"/>
      <c r="AB63" s="276"/>
      <c r="AC63" s="276"/>
      <c r="AD63" s="246"/>
      <c r="AE63" s="278"/>
      <c r="AF63" s="370"/>
      <c r="AG63" s="371"/>
      <c r="AH63" s="276"/>
      <c r="AI63" s="245"/>
      <c r="AJ63" s="287"/>
      <c r="AK63" s="278"/>
      <c r="AL63" s="246"/>
      <c r="AM63" s="245"/>
      <c r="AN63" s="245"/>
      <c r="AO63" s="274"/>
      <c r="AP63" s="245" t="str">
        <f>IFERROR(__xludf.DUMMYFUNCTION("""COMPUTED_VALUE"""),"Auto Shatter Rare Modules")</f>
        <v>Auto Shatter Rare Modules</v>
      </c>
      <c r="AQ63" s="276" t="b">
        <f>IFERROR(__xludf.DUMMYFUNCTION("""COMPUTED_VALUE"""),FALSE)</f>
        <v>0</v>
      </c>
      <c r="AR63" s="246"/>
      <c r="AS63" s="245"/>
      <c r="AT63" s="245"/>
      <c r="AU63" s="245"/>
      <c r="AV63" s="245"/>
      <c r="AW63" s="245"/>
      <c r="AX63" s="246"/>
      <c r="AY63" s="245"/>
      <c r="AZ63" s="245"/>
      <c r="BA63" s="246"/>
      <c r="BB63" s="245"/>
      <c r="BC63" s="245"/>
      <c r="BD63" s="245"/>
      <c r="BE63" s="245" t="str">
        <f>IFERROR(__xludf.DUMMYFUNCTION("""COMPUTED_VALUE"""),"")</f>
        <v/>
      </c>
      <c r="BF63" s="245"/>
      <c r="BG63" s="245"/>
      <c r="BH63" s="245"/>
      <c r="BI63" s="245"/>
      <c r="BJ63" s="245" t="str">
        <f>IFERROR(__xludf.DUMMYFUNCTION("""COMPUTED_VALUE"""),"")</f>
        <v/>
      </c>
      <c r="BK63" s="245"/>
      <c r="BL63" s="245"/>
      <c r="BM63" s="245"/>
      <c r="BN63" s="245"/>
      <c r="BO63" s="245" t="str">
        <f>IFERROR(__xludf.DUMMYFUNCTION("""COMPUTED_VALUE"""),"")</f>
        <v/>
      </c>
      <c r="BP63" s="245"/>
      <c r="BQ63" s="245"/>
      <c r="BR63" s="245"/>
      <c r="BS63" s="245"/>
      <c r="BT63" s="246" t="str">
        <f>IFERROR(__xludf.DUMMYFUNCTION("""COMPUTED_VALUE"""),"")</f>
        <v/>
      </c>
      <c r="BU63" s="245"/>
      <c r="BV63" s="245"/>
      <c r="BW63" s="245"/>
      <c r="BX63" s="245"/>
      <c r="BY63" s="245"/>
      <c r="BZ63" s="282"/>
      <c r="CA63" s="245"/>
      <c r="CB63" s="245"/>
      <c r="CC63" s="245"/>
      <c r="CD63" s="245"/>
      <c r="CE63" s="245"/>
      <c r="CF63" s="245"/>
    </row>
    <row r="64">
      <c r="A64" s="259" t="str">
        <f>IFERROR(__xludf.DUMMYFUNCTION("""COMPUTED_VALUE"""),"Swamp Stun Chance")</f>
        <v>Swamp Stun Chance</v>
      </c>
      <c r="B64" s="260">
        <f>IFERROR(__xludf.DUMMYFUNCTION("""COMPUTED_VALUE"""),0.0)</f>
        <v>0</v>
      </c>
      <c r="C64" s="245"/>
      <c r="D64" s="261">
        <f>IFERROR(__xludf.DUMMYFUNCTION("""COMPUTED_VALUE"""),30.0)</f>
        <v>30</v>
      </c>
      <c r="E64" s="245"/>
      <c r="F64" s="245"/>
      <c r="G64" s="245"/>
      <c r="H64" s="245"/>
      <c r="I64" s="245"/>
      <c r="J64" s="245"/>
      <c r="K64" s="265"/>
      <c r="L64" s="245"/>
      <c r="M64" s="245"/>
      <c r="N64" s="245"/>
      <c r="O64" s="245"/>
      <c r="P64" s="245"/>
      <c r="Q64" s="247"/>
      <c r="R64" s="254"/>
      <c r="S64" s="245"/>
      <c r="T64" s="245"/>
      <c r="U64" s="245"/>
      <c r="V64" s="245"/>
      <c r="W64" s="245"/>
      <c r="X64" s="245"/>
      <c r="Y64" s="249"/>
      <c r="Z64" s="276"/>
      <c r="AA64" s="245"/>
      <c r="AB64" s="276"/>
      <c r="AC64" s="276"/>
      <c r="AD64" s="246"/>
      <c r="AE64" s="278"/>
      <c r="AF64" s="370"/>
      <c r="AG64" s="371"/>
      <c r="AH64" s="276"/>
      <c r="AI64" s="245"/>
      <c r="AJ64" s="287"/>
      <c r="AK64" s="278"/>
      <c r="AL64" s="246"/>
      <c r="AM64" s="245"/>
      <c r="AN64" s="245"/>
      <c r="AO64" s="274"/>
      <c r="AP64" s="245" t="str">
        <f>IFERROR(__xludf.DUMMYFUNCTION("""COMPUTED_VALUE"""),"Auto Restart Run")</f>
        <v>Auto Restart Run</v>
      </c>
      <c r="AQ64" s="276" t="b">
        <f>IFERROR(__xludf.DUMMYFUNCTION("""COMPUTED_VALUE"""),FALSE)</f>
        <v>0</v>
      </c>
      <c r="AR64" s="246"/>
      <c r="AS64" s="245"/>
      <c r="AT64" s="245"/>
      <c r="AU64" s="245"/>
      <c r="AV64" s="245"/>
      <c r="AW64" s="245"/>
      <c r="AX64" s="246"/>
      <c r="AY64" s="245"/>
      <c r="AZ64" s="245"/>
      <c r="BA64" s="246"/>
      <c r="BB64" s="245"/>
      <c r="BC64" s="245"/>
      <c r="BD64" s="245"/>
      <c r="BE64" s="245" t="str">
        <f>IFERROR(__xludf.DUMMYFUNCTION("""COMPUTED_VALUE"""),"")</f>
        <v/>
      </c>
      <c r="BF64" s="245"/>
      <c r="BG64" s="245"/>
      <c r="BH64" s="245"/>
      <c r="BI64" s="245"/>
      <c r="BJ64" s="245" t="str">
        <f>IFERROR(__xludf.DUMMYFUNCTION("""COMPUTED_VALUE"""),"")</f>
        <v/>
      </c>
      <c r="BK64" s="245"/>
      <c r="BL64" s="245"/>
      <c r="BM64" s="245"/>
      <c r="BN64" s="245"/>
      <c r="BO64" s="245" t="str">
        <f>IFERROR(__xludf.DUMMYFUNCTION("""COMPUTED_VALUE"""),"")</f>
        <v/>
      </c>
      <c r="BP64" s="245"/>
      <c r="BQ64" s="245"/>
      <c r="BR64" s="245"/>
      <c r="BS64" s="245"/>
      <c r="BT64" s="246" t="str">
        <f>IFERROR(__xludf.DUMMYFUNCTION("""COMPUTED_VALUE"""),"")</f>
        <v/>
      </c>
      <c r="BU64" s="245"/>
      <c r="BV64" s="245"/>
      <c r="BW64" s="245"/>
      <c r="BX64" s="245"/>
      <c r="BY64" s="245"/>
      <c r="BZ64" s="282"/>
      <c r="CA64" s="245"/>
      <c r="CB64" s="245"/>
      <c r="CC64" s="245"/>
      <c r="CD64" s="245"/>
      <c r="CE64" s="245"/>
      <c r="CF64" s="245"/>
    </row>
    <row r="65">
      <c r="A65" s="259" t="str">
        <f>IFERROR(__xludf.DUMMYFUNCTION("""COMPUTED_VALUE"""),"Swamp Stun Time")</f>
        <v>Swamp Stun Time</v>
      </c>
      <c r="B65" s="260">
        <f>IFERROR(__xludf.DUMMYFUNCTION("""COMPUTED_VALUE"""),0.0)</f>
        <v>0</v>
      </c>
      <c r="C65" s="245"/>
      <c r="D65" s="261">
        <f>IFERROR(__xludf.DUMMYFUNCTION("""COMPUTED_VALUE"""),30.0)</f>
        <v>30</v>
      </c>
      <c r="E65" s="245"/>
      <c r="F65" s="245"/>
      <c r="G65" s="245"/>
      <c r="H65" s="245"/>
      <c r="I65" s="245"/>
      <c r="J65" s="245"/>
      <c r="K65" s="265"/>
      <c r="L65" s="245"/>
      <c r="M65" s="245"/>
      <c r="N65" s="245"/>
      <c r="O65" s="245"/>
      <c r="P65" s="245"/>
      <c r="Q65" s="247"/>
      <c r="R65" s="254"/>
      <c r="S65" s="245"/>
      <c r="T65" s="245"/>
      <c r="U65" s="245"/>
      <c r="V65" s="245"/>
      <c r="W65" s="245"/>
      <c r="X65" s="245"/>
      <c r="Y65" s="249"/>
      <c r="Z65" s="276"/>
      <c r="AA65" s="245"/>
      <c r="AB65" s="276"/>
      <c r="AC65" s="276"/>
      <c r="AD65" s="246"/>
      <c r="AE65" s="278"/>
      <c r="AF65" s="370"/>
      <c r="AG65" s="371"/>
      <c r="AH65" s="276"/>
      <c r="AI65" s="245"/>
      <c r="AJ65" s="287"/>
      <c r="AK65" s="278"/>
      <c r="AL65" s="246"/>
      <c r="AM65" s="245"/>
      <c r="AN65" s="245"/>
      <c r="AO65" s="274"/>
      <c r="AP65" s="245" t="str">
        <f>IFERROR(__xludf.DUMMYFUNCTION("""COMPUTED_VALUE"""),"Auto Charge Berzerker")</f>
        <v>Auto Charge Berzerker</v>
      </c>
      <c r="AQ65" s="276" t="b">
        <f>IFERROR(__xludf.DUMMYFUNCTION("""COMPUTED_VALUE"""),FALSE)</f>
        <v>0</v>
      </c>
      <c r="AR65" s="246"/>
      <c r="AS65" s="245"/>
      <c r="AT65" s="245"/>
      <c r="AU65" s="245"/>
      <c r="AV65" s="245"/>
      <c r="AW65" s="245"/>
      <c r="AX65" s="246"/>
      <c r="AY65" s="245"/>
      <c r="AZ65" s="245"/>
      <c r="BA65" s="246"/>
      <c r="BB65" s="245"/>
      <c r="BC65" s="245"/>
      <c r="BD65" s="245"/>
      <c r="BE65" s="245"/>
      <c r="BF65" s="245"/>
      <c r="BG65" s="245"/>
      <c r="BH65" s="245"/>
      <c r="BI65" s="245"/>
      <c r="BJ65" s="245"/>
      <c r="BK65" s="245"/>
      <c r="BL65" s="245"/>
      <c r="BM65" s="245"/>
      <c r="BN65" s="245"/>
      <c r="BO65" s="245"/>
      <c r="BP65" s="245"/>
      <c r="BQ65" s="245"/>
      <c r="BR65" s="245"/>
      <c r="BS65" s="245"/>
      <c r="BT65" s="246"/>
      <c r="BU65" s="245"/>
      <c r="BV65" s="245"/>
      <c r="BW65" s="245"/>
      <c r="BX65" s="245"/>
      <c r="BY65" s="245"/>
      <c r="BZ65" s="282"/>
      <c r="CA65" s="245"/>
      <c r="CB65" s="245"/>
      <c r="CC65" s="245"/>
      <c r="CD65" s="245"/>
      <c r="CE65" s="245"/>
      <c r="CF65" s="245"/>
    </row>
    <row r="66">
      <c r="A66" s="259" t="str">
        <f>IFERROR(__xludf.DUMMYFUNCTION("""COMPUTED_VALUE"""),"Golden Tower Bonus")</f>
        <v>Golden Tower Bonus</v>
      </c>
      <c r="B66" s="260">
        <f>IFERROR(__xludf.DUMMYFUNCTION("""COMPUTED_VALUE"""),22.0)</f>
        <v>22</v>
      </c>
      <c r="C66" s="245"/>
      <c r="D66" s="261">
        <f>IFERROR(__xludf.DUMMYFUNCTION("""COMPUTED_VALUE"""),25.0)</f>
        <v>25</v>
      </c>
      <c r="E66" s="245"/>
      <c r="F66" s="245"/>
      <c r="G66" s="245"/>
      <c r="H66" s="245"/>
      <c r="I66" s="245"/>
      <c r="J66" s="245"/>
      <c r="K66" s="265"/>
      <c r="L66" s="245"/>
      <c r="M66" s="245"/>
      <c r="N66" s="245"/>
      <c r="O66" s="245"/>
      <c r="P66" s="245"/>
      <c r="Q66" s="247"/>
      <c r="R66" s="254"/>
      <c r="S66" s="245"/>
      <c r="T66" s="245"/>
      <c r="U66" s="245"/>
      <c r="V66" s="245"/>
      <c r="W66" s="245"/>
      <c r="X66" s="245"/>
      <c r="Y66" s="249"/>
      <c r="Z66" s="276"/>
      <c r="AA66" s="245"/>
      <c r="AB66" s="276"/>
      <c r="AC66" s="276"/>
      <c r="AD66" s="246"/>
      <c r="AE66" s="278"/>
      <c r="AF66" s="370"/>
      <c r="AG66" s="371"/>
      <c r="AH66" s="276"/>
      <c r="AI66" s="245"/>
      <c r="AJ66" s="287"/>
      <c r="AK66" s="278"/>
      <c r="AL66" s="246"/>
      <c r="AM66" s="245"/>
      <c r="AN66" s="245"/>
      <c r="AO66" s="274"/>
      <c r="AP66" s="245" t="str">
        <f>IFERROR(__xludf.DUMMYFUNCTION("""COMPUTED_VALUE"""),"Damage Cap Slider")</f>
        <v>Damage Cap Slider</v>
      </c>
      <c r="AQ66" s="276" t="b">
        <f>IFERROR(__xludf.DUMMYFUNCTION("""COMPUTED_VALUE"""),FALSE)</f>
        <v>0</v>
      </c>
      <c r="AR66" s="246"/>
      <c r="AS66" s="245"/>
      <c r="AT66" s="245"/>
      <c r="AU66" s="245"/>
      <c r="AV66" s="245"/>
      <c r="AW66" s="245"/>
      <c r="AX66" s="246"/>
      <c r="AY66" s="245"/>
      <c r="AZ66" s="245"/>
      <c r="BA66" s="246"/>
      <c r="BB66" s="245" t="str">
        <f>IFERROR(__xludf.DUMMYFUNCTION("""COMPUTED_VALUE"""),"Havoc Bringer")</f>
        <v>Havoc Bringer</v>
      </c>
      <c r="BC66" s="245"/>
      <c r="BD66" s="245"/>
      <c r="BE66" s="245"/>
      <c r="BF66" s="245"/>
      <c r="BG66" s="245" t="str">
        <f>IFERROR(__xludf.DUMMYFUNCTION("""COMPUTED_VALUE"""),"Wormhole Redirector")</f>
        <v>Wormhole Redirector</v>
      </c>
      <c r="BH66" s="245"/>
      <c r="BI66" s="245"/>
      <c r="BJ66" s="245"/>
      <c r="BK66" s="245"/>
      <c r="BL66" s="245" t="str">
        <f>IFERROR(__xludf.DUMMYFUNCTION("""COMPUTED_VALUE"""),"Pulsar Harvester")</f>
        <v>Pulsar Harvester</v>
      </c>
      <c r="BM66" s="245"/>
      <c r="BN66" s="245"/>
      <c r="BO66" s="245"/>
      <c r="BP66" s="245"/>
      <c r="BQ66" s="245" t="str">
        <f>IFERROR(__xludf.DUMMYFUNCTION("""COMPUTED_VALUE"""),"Om Chip")</f>
        <v>Om Chip</v>
      </c>
      <c r="BR66" s="245"/>
      <c r="BS66" s="245"/>
      <c r="BT66" s="246"/>
      <c r="BU66" s="245"/>
      <c r="BV66" s="245"/>
      <c r="BW66" s="245"/>
      <c r="BX66" s="245"/>
      <c r="BY66" s="245"/>
      <c r="BZ66" s="282"/>
      <c r="CA66" s="245"/>
      <c r="CB66" s="245"/>
      <c r="CC66" s="245"/>
      <c r="CD66" s="245"/>
      <c r="CE66" s="245"/>
      <c r="CF66" s="245"/>
    </row>
    <row r="67">
      <c r="A67" s="259" t="str">
        <f>IFERROR(__xludf.DUMMYFUNCTION("""COMPUTED_VALUE"""),"Golden Tower Duration")</f>
        <v>Golden Tower Duration</v>
      </c>
      <c r="B67" s="260">
        <f>IFERROR(__xludf.DUMMYFUNCTION("""COMPUTED_VALUE"""),19.0)</f>
        <v>19</v>
      </c>
      <c r="C67" s="245"/>
      <c r="D67" s="261">
        <f>IFERROR(__xludf.DUMMYFUNCTION("""COMPUTED_VALUE"""),20.0)</f>
        <v>20</v>
      </c>
      <c r="E67" s="245"/>
      <c r="F67" s="245"/>
      <c r="G67" s="245"/>
      <c r="H67" s="245"/>
      <c r="I67" s="245"/>
      <c r="J67" s="245"/>
      <c r="K67" s="265"/>
      <c r="L67" s="245"/>
      <c r="M67" s="245"/>
      <c r="N67" s="245"/>
      <c r="O67" s="245"/>
      <c r="P67" s="245"/>
      <c r="Q67" s="247"/>
      <c r="R67" s="254"/>
      <c r="S67" s="245"/>
      <c r="T67" s="245"/>
      <c r="U67" s="245"/>
      <c r="V67" s="245"/>
      <c r="W67" s="245"/>
      <c r="X67" s="245"/>
      <c r="Y67" s="249"/>
      <c r="Z67" s="276"/>
      <c r="AA67" s="245"/>
      <c r="AB67" s="276"/>
      <c r="AC67" s="276"/>
      <c r="AD67" s="246"/>
      <c r="AE67" s="278"/>
      <c r="AF67" s="370"/>
      <c r="AG67" s="371"/>
      <c r="AH67" s="276"/>
      <c r="AI67" s="245"/>
      <c r="AJ67" s="287"/>
      <c r="AK67" s="278"/>
      <c r="AL67" s="246"/>
      <c r="AM67" s="245"/>
      <c r="AN67" s="245"/>
      <c r="AO67" s="274"/>
      <c r="AP67" s="245" t="str">
        <f>IFERROR(__xludf.DUMMYFUNCTION("""COMPUTED_VALUE"""),"Bot Presets")</f>
        <v>Bot Presets</v>
      </c>
      <c r="AQ67" s="276" t="b">
        <f>IFERROR(__xludf.DUMMYFUNCTION("""COMPUTED_VALUE"""),FALSE)</f>
        <v>0</v>
      </c>
      <c r="AR67" s="246"/>
      <c r="AS67" s="245"/>
      <c r="AT67" s="245"/>
      <c r="AU67" s="245"/>
      <c r="AV67" s="245"/>
      <c r="AW67" s="245"/>
      <c r="AX67" s="246"/>
      <c r="AY67" s="245"/>
      <c r="AZ67" s="245"/>
      <c r="BA67" s="246"/>
      <c r="BB67" s="245" t="str">
        <f>IFERROR(__xludf.DUMMYFUNCTION("""COMPUTED_VALUE"""),"Rarity")</f>
        <v>Rarity</v>
      </c>
      <c r="BC67" s="245" t="str">
        <f>IFERROR(__xludf.DUMMYFUNCTION("""COMPUTED_VALUE"""),"Level")</f>
        <v>Level</v>
      </c>
      <c r="BD67" s="245" t="str">
        <f>IFERROR(__xludf.DUMMYFUNCTION("""COMPUTED_VALUE"""),"Stat")</f>
        <v>Stat</v>
      </c>
      <c r="BE67" s="245"/>
      <c r="BF67" s="245"/>
      <c r="BG67" s="245" t="str">
        <f>IFERROR(__xludf.DUMMYFUNCTION("""COMPUTED_VALUE"""),"Rarity")</f>
        <v>Rarity</v>
      </c>
      <c r="BH67" s="245" t="str">
        <f>IFERROR(__xludf.DUMMYFUNCTION("""COMPUTED_VALUE"""),"Level")</f>
        <v>Level</v>
      </c>
      <c r="BI67" s="245" t="str">
        <f>IFERROR(__xludf.DUMMYFUNCTION("""COMPUTED_VALUE"""),"Stat")</f>
        <v>Stat</v>
      </c>
      <c r="BJ67" s="245"/>
      <c r="BK67" s="245"/>
      <c r="BL67" s="245" t="str">
        <f>IFERROR(__xludf.DUMMYFUNCTION("""COMPUTED_VALUE"""),"Rarity")</f>
        <v>Rarity</v>
      </c>
      <c r="BM67" s="245" t="str">
        <f>IFERROR(__xludf.DUMMYFUNCTION("""COMPUTED_VALUE"""),"Level")</f>
        <v>Level</v>
      </c>
      <c r="BN67" s="245" t="str">
        <f>IFERROR(__xludf.DUMMYFUNCTION("""COMPUTED_VALUE"""),"Stat")</f>
        <v>Stat</v>
      </c>
      <c r="BO67" s="245"/>
      <c r="BP67" s="245"/>
      <c r="BQ67" s="245" t="str">
        <f>IFERROR(__xludf.DUMMYFUNCTION("""COMPUTED_VALUE"""),"Rarity")</f>
        <v>Rarity</v>
      </c>
      <c r="BR67" s="245" t="str">
        <f>IFERROR(__xludf.DUMMYFUNCTION("""COMPUTED_VALUE"""),"Level")</f>
        <v>Level</v>
      </c>
      <c r="BS67" s="245" t="str">
        <f>IFERROR(__xludf.DUMMYFUNCTION("""COMPUTED_VALUE"""),"Stat")</f>
        <v>Stat</v>
      </c>
      <c r="BT67" s="246"/>
      <c r="BU67" s="245"/>
      <c r="BV67" s="245"/>
      <c r="BW67" s="245"/>
      <c r="BX67" s="245"/>
      <c r="BY67" s="245"/>
      <c r="BZ67" s="282"/>
      <c r="CA67" s="245"/>
      <c r="CB67" s="245"/>
      <c r="CC67" s="245"/>
      <c r="CD67" s="245"/>
      <c r="CE67" s="245"/>
      <c r="CF67" s="245"/>
    </row>
    <row r="68">
      <c r="A68" s="259" t="str">
        <f>IFERROR(__xludf.DUMMYFUNCTION("""COMPUTED_VALUE"""),"Chain Lightning Shock")</f>
        <v>Chain Lightning Shock</v>
      </c>
      <c r="B68" s="260">
        <f>IFERROR(__xludf.DUMMYFUNCTION("""COMPUTED_VALUE"""),1.0)</f>
        <v>1</v>
      </c>
      <c r="C68" s="245"/>
      <c r="D68" s="261">
        <f>IFERROR(__xludf.DUMMYFUNCTION("""COMPUTED_VALUE"""),1.0)</f>
        <v>1</v>
      </c>
      <c r="E68" s="245"/>
      <c r="F68" s="245"/>
      <c r="G68" s="245"/>
      <c r="H68" s="245"/>
      <c r="I68" s="245"/>
      <c r="J68" s="245"/>
      <c r="K68" s="265"/>
      <c r="L68" s="245"/>
      <c r="M68" s="245"/>
      <c r="N68" s="245"/>
      <c r="O68" s="245"/>
      <c r="P68" s="245"/>
      <c r="Q68" s="247"/>
      <c r="R68" s="254"/>
      <c r="S68" s="245"/>
      <c r="T68" s="245"/>
      <c r="U68" s="245"/>
      <c r="V68" s="245"/>
      <c r="W68" s="245"/>
      <c r="X68" s="245"/>
      <c r="Y68" s="249"/>
      <c r="Z68" s="276"/>
      <c r="AA68" s="245"/>
      <c r="AB68" s="276"/>
      <c r="AC68" s="276"/>
      <c r="AD68" s="246"/>
      <c r="AE68" s="278"/>
      <c r="AF68" s="370"/>
      <c r="AG68" s="371"/>
      <c r="AH68" s="276"/>
      <c r="AI68" s="245"/>
      <c r="AJ68" s="287"/>
      <c r="AK68" s="278"/>
      <c r="AL68" s="246"/>
      <c r="AM68" s="245"/>
      <c r="AN68" s="245"/>
      <c r="AO68" s="274"/>
      <c r="AP68" s="245" t="str">
        <f>IFERROR(__xludf.DUMMYFUNCTION("""COMPUTED_VALUE"""),"Workshop Orb Adjuster")</f>
        <v>Workshop Orb Adjuster</v>
      </c>
      <c r="AQ68" s="276" t="b">
        <f>IFERROR(__xludf.DUMMYFUNCTION("""COMPUTED_VALUE"""),FALSE)</f>
        <v>0</v>
      </c>
      <c r="AR68" s="246"/>
      <c r="AS68" s="245"/>
      <c r="AT68" s="245"/>
      <c r="AU68" s="245"/>
      <c r="AV68" s="245"/>
      <c r="AW68" s="245"/>
      <c r="AX68" s="246"/>
      <c r="AY68" s="245"/>
      <c r="AZ68" s="245"/>
      <c r="BA68" s="246"/>
      <c r="BB68" s="245" t="str">
        <f>IFERROR(__xludf.DUMMYFUNCTION("""COMPUTED_VALUE"""),"Ancestral")</f>
        <v>Ancestral</v>
      </c>
      <c r="BC68" s="279">
        <f>IFERROR(__xludf.DUMMYFUNCTION("""COMPUTED_VALUE"""),164.0)</f>
        <v>164</v>
      </c>
      <c r="BD68" s="306">
        <f>IFERROR(__xludf.DUMMYFUNCTION("""COMPUTED_VALUE"""),9.04)</f>
        <v>9.04</v>
      </c>
      <c r="BE68" s="245"/>
      <c r="BF68" s="245"/>
      <c r="BG68" s="245" t="str">
        <f>IFERROR(__xludf.DUMMYFUNCTION("""COMPUTED_VALUE"""),"Mythic+")</f>
        <v>Mythic+</v>
      </c>
      <c r="BH68" s="279">
        <f>IFERROR(__xludf.DUMMYFUNCTION("""COMPUTED_VALUE"""),160.0)</f>
        <v>160</v>
      </c>
      <c r="BI68" s="306">
        <f>IFERROR(__xludf.DUMMYFUNCTION("""COMPUTED_VALUE"""),8.19)</f>
        <v>8.19</v>
      </c>
      <c r="BJ68" s="245"/>
      <c r="BK68" s="245"/>
      <c r="BL68" s="245" t="str">
        <f>IFERROR(__xludf.DUMMYFUNCTION("""COMPUTED_VALUE"""),"Ancestral 1*")</f>
        <v>Ancestral 1*</v>
      </c>
      <c r="BM68" s="279">
        <f>IFERROR(__xludf.DUMMYFUNCTION("""COMPUTED_VALUE"""),161.0)</f>
        <v>161</v>
      </c>
      <c r="BN68" s="306">
        <f>IFERROR(__xludf.DUMMYFUNCTION("""COMPUTED_VALUE"""),1.707)</f>
        <v>1.707</v>
      </c>
      <c r="BO68" s="245"/>
      <c r="BP68" s="245"/>
      <c r="BQ68" s="245" t="str">
        <f>IFERROR(__xludf.DUMMYFUNCTION("""COMPUTED_VALUE"""),"Ancestral")</f>
        <v>Ancestral</v>
      </c>
      <c r="BR68" s="279">
        <f>IFERROR(__xludf.DUMMYFUNCTION("""COMPUTED_VALUE"""),159.0)</f>
        <v>159</v>
      </c>
      <c r="BS68" s="306">
        <f>IFERROR(__xludf.DUMMYFUNCTION("""COMPUTED_VALUE"""),10.9)</f>
        <v>10.9</v>
      </c>
      <c r="BT68" s="246"/>
      <c r="BU68" s="245"/>
      <c r="BV68" s="245"/>
      <c r="BW68" s="245"/>
      <c r="BX68" s="245"/>
      <c r="BY68" s="245"/>
      <c r="BZ68" s="282"/>
      <c r="CA68" s="245"/>
      <c r="CB68" s="245"/>
      <c r="CC68" s="245"/>
      <c r="CD68" s="245"/>
      <c r="CE68" s="245"/>
      <c r="CF68" s="245"/>
    </row>
    <row r="69">
      <c r="A69" s="259" t="str">
        <f>IFERROR(__xludf.DUMMYFUNCTION("""COMPUTED_VALUE"""),"Shock Chance")</f>
        <v>Shock Chance</v>
      </c>
      <c r="B69" s="260">
        <f>IFERROR(__xludf.DUMMYFUNCTION("""COMPUTED_VALUE"""),14.0)</f>
        <v>14</v>
      </c>
      <c r="C69" s="245"/>
      <c r="D69" s="261">
        <f>IFERROR(__xludf.DUMMYFUNCTION("""COMPUTED_VALUE"""),30.0)</f>
        <v>30</v>
      </c>
      <c r="E69" s="245"/>
      <c r="F69" s="245"/>
      <c r="G69" s="245"/>
      <c r="H69" s="245"/>
      <c r="I69" s="245"/>
      <c r="J69" s="245"/>
      <c r="K69" s="265"/>
      <c r="L69" s="245"/>
      <c r="M69" s="245"/>
      <c r="N69" s="245"/>
      <c r="O69" s="245"/>
      <c r="P69" s="245"/>
      <c r="Q69" s="247"/>
      <c r="R69" s="254"/>
      <c r="S69" s="245"/>
      <c r="T69" s="245"/>
      <c r="U69" s="245"/>
      <c r="V69" s="245"/>
      <c r="W69" s="245"/>
      <c r="X69" s="245"/>
      <c r="Y69" s="249"/>
      <c r="Z69" s="276"/>
      <c r="AA69" s="245"/>
      <c r="AB69" s="276"/>
      <c r="AC69" s="276"/>
      <c r="AD69" s="246"/>
      <c r="AE69" s="278"/>
      <c r="AF69" s="370"/>
      <c r="AG69" s="371"/>
      <c r="AH69" s="276"/>
      <c r="AI69" s="245"/>
      <c r="AJ69" s="287"/>
      <c r="AK69" s="278"/>
      <c r="AL69" s="246"/>
      <c r="AM69" s="245"/>
      <c r="AN69" s="245"/>
      <c r="AO69" s="274"/>
      <c r="AP69" s="245" t="str">
        <f>IFERROR(__xludf.DUMMYFUNCTION("""COMPUTED_VALUE"""),"Bot Cooldown Sliders")</f>
        <v>Bot Cooldown Sliders</v>
      </c>
      <c r="AQ69" s="276" t="b">
        <f>IFERROR(__xludf.DUMMYFUNCTION("""COMPUTED_VALUE"""),FALSE)</f>
        <v>0</v>
      </c>
      <c r="AR69" s="246"/>
      <c r="AS69" s="245"/>
      <c r="AT69" s="245"/>
      <c r="AU69" s="245"/>
      <c r="AV69" s="245"/>
      <c r="AW69" s="245"/>
      <c r="AX69" s="246"/>
      <c r="AY69" s="245"/>
      <c r="AZ69" s="245"/>
      <c r="BA69" s="246"/>
      <c r="BB69" s="245"/>
      <c r="BC69" s="245"/>
      <c r="BD69" s="245"/>
      <c r="BE69" s="245"/>
      <c r="BF69" s="245"/>
      <c r="BG69" s="245"/>
      <c r="BH69" s="245"/>
      <c r="BI69" s="245"/>
      <c r="BJ69" s="245"/>
      <c r="BK69" s="245"/>
      <c r="BL69" s="245"/>
      <c r="BM69" s="245"/>
      <c r="BN69" s="245"/>
      <c r="BO69" s="245"/>
      <c r="BP69" s="245"/>
      <c r="BQ69" s="245"/>
      <c r="BR69" s="245"/>
      <c r="BS69" s="245"/>
      <c r="BT69" s="246"/>
      <c r="BU69" s="245"/>
      <c r="BV69" s="245"/>
      <c r="BW69" s="245"/>
      <c r="BX69" s="245"/>
      <c r="BY69" s="245"/>
      <c r="BZ69" s="282"/>
      <c r="CA69" s="245"/>
      <c r="CB69" s="245"/>
      <c r="CC69" s="245"/>
      <c r="CD69" s="245"/>
      <c r="CE69" s="245"/>
      <c r="CF69" s="245"/>
    </row>
    <row r="70">
      <c r="A70" s="259" t="str">
        <f>IFERROR(__xludf.DUMMYFUNCTION("""COMPUTED_VALUE"""),"Shock Multiplier")</f>
        <v>Shock Multiplier</v>
      </c>
      <c r="B70" s="260">
        <f>IFERROR(__xludf.DUMMYFUNCTION("""COMPUTED_VALUE"""),14.0)</f>
        <v>14</v>
      </c>
      <c r="C70" s="245"/>
      <c r="D70" s="261">
        <f>IFERROR(__xludf.DUMMYFUNCTION("""COMPUTED_VALUE"""),14.0)</f>
        <v>14</v>
      </c>
      <c r="E70" s="245"/>
      <c r="F70" s="245"/>
      <c r="G70" s="245"/>
      <c r="H70" s="245"/>
      <c r="I70" s="245"/>
      <c r="J70" s="245"/>
      <c r="K70" s="265"/>
      <c r="L70" s="245"/>
      <c r="M70" s="245"/>
      <c r="N70" s="245"/>
      <c r="O70" s="245"/>
      <c r="P70" s="245"/>
      <c r="Q70" s="247"/>
      <c r="R70" s="254"/>
      <c r="S70" s="245"/>
      <c r="T70" s="245"/>
      <c r="U70" s="245"/>
      <c r="V70" s="245"/>
      <c r="W70" s="245"/>
      <c r="X70" s="245"/>
      <c r="Y70" s="249"/>
      <c r="Z70" s="276"/>
      <c r="AA70" s="245"/>
      <c r="AB70" s="276"/>
      <c r="AC70" s="276"/>
      <c r="AD70" s="246"/>
      <c r="AE70" s="278"/>
      <c r="AF70" s="370"/>
      <c r="AG70" s="371"/>
      <c r="AH70" s="276"/>
      <c r="AI70" s="245"/>
      <c r="AJ70" s="287"/>
      <c r="AK70" s="278"/>
      <c r="AL70" s="246"/>
      <c r="AM70" s="245"/>
      <c r="AN70" s="245"/>
      <c r="AO70" s="274"/>
      <c r="AP70" s="245"/>
      <c r="AQ70" s="245"/>
      <c r="AR70" s="246"/>
      <c r="AS70" s="245"/>
      <c r="AT70" s="245"/>
      <c r="AU70" s="245"/>
      <c r="AV70" s="245"/>
      <c r="AW70" s="245"/>
      <c r="AX70" s="246"/>
      <c r="AY70" s="245"/>
      <c r="AZ70" s="245"/>
      <c r="BA70" s="246"/>
      <c r="BB70" s="245"/>
      <c r="BC70" s="245"/>
      <c r="BD70" s="245"/>
      <c r="BE70" s="279" t="str">
        <f>IFERROR(__xludf.DUMMYFUNCTION("""COMPUTED_VALUE"""),"")</f>
        <v/>
      </c>
      <c r="BF70" s="245"/>
      <c r="BG70" s="245" t="str">
        <f>IFERROR(__xludf.DUMMYFUNCTION("""COMPUTED_VALUE"""),"Defense %")</f>
        <v>Defense %</v>
      </c>
      <c r="BH70" s="245" t="str">
        <f>IFERROR(__xludf.DUMMYFUNCTION("""COMPUTED_VALUE"""),"Legendary")</f>
        <v>Legendary</v>
      </c>
      <c r="BI70" s="245" t="str">
        <f>IFERROR(__xludf.DUMMYFUNCTION("""COMPUTED_VALUE"""),"+5%")</f>
        <v>+5%</v>
      </c>
      <c r="BJ70" s="279">
        <f>IFERROR(__xludf.DUMMYFUNCTION("""COMPUTED_VALUE"""),0.05)</f>
        <v>0.05</v>
      </c>
      <c r="BK70" s="245"/>
      <c r="BL70" s="245" t="str">
        <f>IFERROR(__xludf.DUMMYFUNCTION("""COMPUTED_VALUE"""),"Free Utility Upgrade")</f>
        <v>Free Utility Upgrade</v>
      </c>
      <c r="BM70" s="245" t="str">
        <f>IFERROR(__xludf.DUMMYFUNCTION("""COMPUTED_VALUE"""),"Ancestral")</f>
        <v>Ancestral</v>
      </c>
      <c r="BN70" s="245" t="str">
        <f>IFERROR(__xludf.DUMMYFUNCTION("""COMPUTED_VALUE"""),"+12%")</f>
        <v>+12%</v>
      </c>
      <c r="BO70" s="279">
        <f>IFERROR(__xludf.DUMMYFUNCTION("""COMPUTED_VALUE"""),0.12)</f>
        <v>0.12</v>
      </c>
      <c r="BP70" s="245"/>
      <c r="BQ70" s="245" t="str">
        <f>IFERROR(__xludf.DUMMYFUNCTION("""COMPUTED_VALUE"""),"Chrono Field - Duration")</f>
        <v>Chrono Field - Duration</v>
      </c>
      <c r="BR70" s="245" t="str">
        <f>IFERROR(__xludf.DUMMYFUNCTION("""COMPUTED_VALUE"""),"Mythic")</f>
        <v>Mythic</v>
      </c>
      <c r="BS70" s="245" t="str">
        <f>IFERROR(__xludf.DUMMYFUNCTION("""COMPUTED_VALUE"""),"+7s")</f>
        <v>+7s</v>
      </c>
      <c r="BT70" s="368">
        <f>IFERROR(__xludf.DUMMYFUNCTION("""COMPUTED_VALUE"""),7.0)</f>
        <v>7</v>
      </c>
      <c r="BU70" s="245"/>
      <c r="BV70" s="245"/>
      <c r="BW70" s="245"/>
      <c r="BX70" s="245"/>
      <c r="BY70" s="245"/>
      <c r="BZ70" s="282"/>
      <c r="CA70" s="245"/>
      <c r="CB70" s="245"/>
      <c r="CC70" s="245"/>
      <c r="CD70" s="245"/>
      <c r="CE70" s="245"/>
      <c r="CF70" s="245"/>
    </row>
    <row r="71">
      <c r="A71" s="259" t="str">
        <f>IFERROR(__xludf.DUMMYFUNCTION("""COMPUTED_VALUE"""),"Death Wave Health")</f>
        <v>Death Wave Health</v>
      </c>
      <c r="B71" s="260">
        <f>IFERROR(__xludf.DUMMYFUNCTION("""COMPUTED_VALUE"""),30.0)</f>
        <v>30</v>
      </c>
      <c r="C71" s="245"/>
      <c r="D71" s="261">
        <f>IFERROR(__xludf.DUMMYFUNCTION("""COMPUTED_VALUE"""),30.0)</f>
        <v>30</v>
      </c>
      <c r="E71" s="245"/>
      <c r="F71" s="245"/>
      <c r="G71" s="245"/>
      <c r="H71" s="245"/>
      <c r="I71" s="245"/>
      <c r="J71" s="245"/>
      <c r="K71" s="265"/>
      <c r="L71" s="245"/>
      <c r="M71" s="245"/>
      <c r="N71" s="245"/>
      <c r="O71" s="245"/>
      <c r="P71" s="245"/>
      <c r="Q71" s="247"/>
      <c r="R71" s="254"/>
      <c r="S71" s="245"/>
      <c r="T71" s="245"/>
      <c r="U71" s="245"/>
      <c r="V71" s="245"/>
      <c r="W71" s="245"/>
      <c r="X71" s="245"/>
      <c r="Y71" s="249"/>
      <c r="Z71" s="276"/>
      <c r="AA71" s="245"/>
      <c r="AB71" s="276"/>
      <c r="AC71" s="276"/>
      <c r="AD71" s="246"/>
      <c r="AE71" s="278"/>
      <c r="AF71" s="370"/>
      <c r="AG71" s="371"/>
      <c r="AH71" s="276"/>
      <c r="AI71" s="245"/>
      <c r="AJ71" s="287"/>
      <c r="AK71" s="278"/>
      <c r="AL71" s="246"/>
      <c r="AM71" s="245"/>
      <c r="AN71" s="245"/>
      <c r="AO71" s="274"/>
      <c r="AP71" s="245"/>
      <c r="AQ71" s="245"/>
      <c r="AR71" s="246"/>
      <c r="AS71" s="245"/>
      <c r="AT71" s="245"/>
      <c r="AU71" s="245"/>
      <c r="AV71" s="245"/>
      <c r="AW71" s="245"/>
      <c r="AX71" s="246"/>
      <c r="AY71" s="245"/>
      <c r="AZ71" s="245"/>
      <c r="BA71" s="246"/>
      <c r="BB71" s="245"/>
      <c r="BC71" s="245"/>
      <c r="BD71" s="245"/>
      <c r="BE71" s="279" t="str">
        <f>IFERROR(__xludf.DUMMYFUNCTION("""COMPUTED_VALUE"""),"")</f>
        <v/>
      </c>
      <c r="BF71" s="245"/>
      <c r="BG71" s="245" t="str">
        <f>IFERROR(__xludf.DUMMYFUNCTION("""COMPUTED_VALUE"""),"Wall Health")</f>
        <v>Wall Health</v>
      </c>
      <c r="BH71" s="245" t="str">
        <f>IFERROR(__xludf.DUMMYFUNCTION("""COMPUTED_VALUE"""),"Legendary")</f>
        <v>Legendary</v>
      </c>
      <c r="BI71" s="245" t="str">
        <f>IFERROR(__xludf.DUMMYFUNCTION("""COMPUTED_VALUE"""),"+40%")</f>
        <v>+40%</v>
      </c>
      <c r="BJ71" s="279">
        <f>IFERROR(__xludf.DUMMYFUNCTION("""COMPUTED_VALUE"""),0.4)</f>
        <v>0.4</v>
      </c>
      <c r="BK71" s="245"/>
      <c r="BL71" s="245" t="str">
        <f>IFERROR(__xludf.DUMMYFUNCTION("""COMPUTED_VALUE"""),"Enemy Attack Level Skip")</f>
        <v>Enemy Attack Level Skip</v>
      </c>
      <c r="BM71" s="245" t="str">
        <f>IFERROR(__xludf.DUMMYFUNCTION("""COMPUTED_VALUE"""),"Ancestral")</f>
        <v>Ancestral</v>
      </c>
      <c r="BN71" s="245" t="str">
        <f>IFERROR(__xludf.DUMMYFUNCTION("""COMPUTED_VALUE"""),"+8%")</f>
        <v>+8%</v>
      </c>
      <c r="BO71" s="279">
        <f>IFERROR(__xludf.DUMMYFUNCTION("""COMPUTED_VALUE"""),0.08)</f>
        <v>0.08</v>
      </c>
      <c r="BP71" s="245"/>
      <c r="BQ71" s="245" t="str">
        <f>IFERROR(__xludf.DUMMYFUNCTION("""COMPUTED_VALUE"""),"Spotlight - Bonus")</f>
        <v>Spotlight - Bonus</v>
      </c>
      <c r="BR71" s="245" t="str">
        <f>IFERROR(__xludf.DUMMYFUNCTION("""COMPUTED_VALUE"""),"Mythic")</f>
        <v>Mythic</v>
      </c>
      <c r="BS71" s="245" t="str">
        <f>IFERROR(__xludf.DUMMYFUNCTION("""COMPUTED_VALUE"""),"+15x")</f>
        <v>+15x</v>
      </c>
      <c r="BT71" s="368">
        <f>IFERROR(__xludf.DUMMYFUNCTION("""COMPUTED_VALUE"""),15.0)</f>
        <v>15</v>
      </c>
      <c r="BU71" s="245"/>
      <c r="BV71" s="245"/>
      <c r="BW71" s="245"/>
      <c r="BX71" s="245"/>
      <c r="BY71" s="245"/>
      <c r="BZ71" s="282"/>
      <c r="CA71" s="245"/>
      <c r="CB71" s="245"/>
      <c r="CC71" s="245"/>
      <c r="CD71" s="245"/>
      <c r="CE71" s="245"/>
      <c r="CF71" s="245"/>
    </row>
    <row r="72">
      <c r="A72" s="259" t="str">
        <f>IFERROR(__xludf.DUMMYFUNCTION("""COMPUTED_VALUE"""),"Death Wave Coin Bonus")</f>
        <v>Death Wave Coin Bonus</v>
      </c>
      <c r="B72" s="260">
        <f>IFERROR(__xludf.DUMMYFUNCTION("""COMPUTED_VALUE"""),20.0)</f>
        <v>20</v>
      </c>
      <c r="C72" s="245"/>
      <c r="D72" s="261">
        <f>IFERROR(__xludf.DUMMYFUNCTION("""COMPUTED_VALUE"""),20.0)</f>
        <v>20</v>
      </c>
      <c r="E72" s="245"/>
      <c r="F72" s="245"/>
      <c r="G72" s="245"/>
      <c r="H72" s="245"/>
      <c r="I72" s="245"/>
      <c r="J72" s="245"/>
      <c r="K72" s="265"/>
      <c r="L72" s="245"/>
      <c r="M72" s="245"/>
      <c r="N72" s="245"/>
      <c r="O72" s="245"/>
      <c r="P72" s="245"/>
      <c r="Q72" s="247"/>
      <c r="R72" s="254"/>
      <c r="S72" s="245"/>
      <c r="T72" s="245"/>
      <c r="U72" s="245"/>
      <c r="V72" s="245"/>
      <c r="W72" s="245"/>
      <c r="X72" s="245"/>
      <c r="Y72" s="249"/>
      <c r="Z72" s="276"/>
      <c r="AA72" s="245"/>
      <c r="AB72" s="276"/>
      <c r="AC72" s="276"/>
      <c r="AD72" s="246"/>
      <c r="AE72" s="278"/>
      <c r="AF72" s="370"/>
      <c r="AG72" s="371"/>
      <c r="AH72" s="276"/>
      <c r="AI72" s="245"/>
      <c r="AJ72" s="287"/>
      <c r="AK72" s="278"/>
      <c r="AL72" s="246"/>
      <c r="AM72" s="245"/>
      <c r="AN72" s="245"/>
      <c r="AO72" s="274"/>
      <c r="AP72" s="245"/>
      <c r="AQ72" s="245"/>
      <c r="AR72" s="246"/>
      <c r="AS72" s="245"/>
      <c r="AT72" s="245"/>
      <c r="AU72" s="245"/>
      <c r="AV72" s="245"/>
      <c r="AW72" s="245"/>
      <c r="AX72" s="246"/>
      <c r="AY72" s="245"/>
      <c r="AZ72" s="245"/>
      <c r="BA72" s="246"/>
      <c r="BB72" s="245"/>
      <c r="BC72" s="245"/>
      <c r="BD72" s="245"/>
      <c r="BE72" s="279" t="str">
        <f>IFERROR(__xludf.DUMMYFUNCTION("""COMPUTED_VALUE"""),"")</f>
        <v/>
      </c>
      <c r="BF72" s="245"/>
      <c r="BG72" s="245" t="str">
        <f>IFERROR(__xludf.DUMMYFUNCTION("""COMPUTED_VALUE"""),"Health Regen")</f>
        <v>Health Regen</v>
      </c>
      <c r="BH72" s="245" t="str">
        <f>IFERROR(__xludf.DUMMYFUNCTION("""COMPUTED_VALUE"""),"Legendary")</f>
        <v>Legendary</v>
      </c>
      <c r="BI72" s="245" t="str">
        <f>IFERROR(__xludf.DUMMYFUNCTION("""COMPUTED_VALUE"""),"+100%")</f>
        <v>+100%</v>
      </c>
      <c r="BJ72" s="279">
        <f>IFERROR(__xludf.DUMMYFUNCTION("""COMPUTED_VALUE"""),1.0)</f>
        <v>1</v>
      </c>
      <c r="BK72" s="245"/>
      <c r="BL72" s="245" t="str">
        <f>IFERROR(__xludf.DUMMYFUNCTION("""COMPUTED_VALUE"""),"Coins / Kill Bonus")</f>
        <v>Coins / Kill Bonus</v>
      </c>
      <c r="BM72" s="245" t="str">
        <f>IFERROR(__xludf.DUMMYFUNCTION("""COMPUTED_VALUE"""),"Ancestral")</f>
        <v>Ancestral</v>
      </c>
      <c r="BN72" s="245" t="str">
        <f>IFERROR(__xludf.DUMMYFUNCTION("""COMPUTED_VALUE"""),"+0.6x")</f>
        <v>+0.6x</v>
      </c>
      <c r="BO72" s="245">
        <f>IFERROR(__xludf.DUMMYFUNCTION("""COMPUTED_VALUE"""),0.6)</f>
        <v>0.6</v>
      </c>
      <c r="BP72" s="245"/>
      <c r="BQ72" s="245" t="str">
        <f>IFERROR(__xludf.DUMMYFUNCTION("""COMPUTED_VALUE"""),"Spotlight - Angle")</f>
        <v>Spotlight - Angle</v>
      </c>
      <c r="BR72" s="245" t="str">
        <f>IFERROR(__xludf.DUMMYFUNCTION("""COMPUTED_VALUE"""),"Epic")</f>
        <v>Epic</v>
      </c>
      <c r="BS72" s="245" t="str">
        <f>IFERROR(__xludf.DUMMYFUNCTION("""COMPUTED_VALUE"""),"+3°")</f>
        <v>+3°</v>
      </c>
      <c r="BT72" s="246">
        <f>IFERROR(__xludf.DUMMYFUNCTION("""COMPUTED_VALUE"""),3.0)</f>
        <v>3</v>
      </c>
      <c r="BU72" s="245"/>
      <c r="BV72" s="245"/>
      <c r="BW72" s="245"/>
      <c r="BX72" s="245"/>
      <c r="BY72" s="245"/>
      <c r="BZ72" s="282"/>
      <c r="CA72" s="245"/>
      <c r="CB72" s="245"/>
      <c r="CC72" s="245"/>
      <c r="CD72" s="245"/>
      <c r="CE72" s="245"/>
      <c r="CF72" s="245"/>
    </row>
    <row r="73">
      <c r="A73" s="259" t="str">
        <f>IFERROR(__xludf.DUMMYFUNCTION("""COMPUTED_VALUE"""),"Inner Mine Blast Radius")</f>
        <v>Inner Mine Blast Radius</v>
      </c>
      <c r="B73" s="260">
        <f>IFERROR(__xludf.DUMMYFUNCTION("""COMPUTED_VALUE"""),0.0)</f>
        <v>0</v>
      </c>
      <c r="C73" s="245"/>
      <c r="D73" s="261">
        <f>IFERROR(__xludf.DUMMYFUNCTION("""COMPUTED_VALUE"""),20.0)</f>
        <v>20</v>
      </c>
      <c r="E73" s="245"/>
      <c r="F73" s="245"/>
      <c r="G73" s="245"/>
      <c r="H73" s="245"/>
      <c r="I73" s="245"/>
      <c r="J73" s="245"/>
      <c r="K73" s="265"/>
      <c r="L73" s="245"/>
      <c r="M73" s="245"/>
      <c r="N73" s="245"/>
      <c r="O73" s="245"/>
      <c r="P73" s="245"/>
      <c r="Q73" s="247"/>
      <c r="R73" s="254"/>
      <c r="S73" s="245"/>
      <c r="T73" s="245"/>
      <c r="U73" s="245"/>
      <c r="V73" s="245"/>
      <c r="W73" s="245"/>
      <c r="X73" s="245"/>
      <c r="Y73" s="249"/>
      <c r="Z73" s="276"/>
      <c r="AA73" s="245"/>
      <c r="AB73" s="276"/>
      <c r="AC73" s="276"/>
      <c r="AD73" s="246"/>
      <c r="AE73" s="278"/>
      <c r="AF73" s="370"/>
      <c r="AG73" s="371"/>
      <c r="AH73" s="276"/>
      <c r="AI73" s="245"/>
      <c r="AJ73" s="287"/>
      <c r="AK73" s="278"/>
      <c r="AL73" s="246"/>
      <c r="AM73" s="245"/>
      <c r="AN73" s="245"/>
      <c r="AO73" s="274"/>
      <c r="AP73" s="245"/>
      <c r="AQ73" s="245"/>
      <c r="AR73" s="246"/>
      <c r="AS73" s="245"/>
      <c r="AT73" s="245"/>
      <c r="AU73" s="245"/>
      <c r="AV73" s="245"/>
      <c r="AW73" s="245"/>
      <c r="AX73" s="246"/>
      <c r="AY73" s="245"/>
      <c r="AZ73" s="245"/>
      <c r="BA73" s="246"/>
      <c r="BB73" s="245"/>
      <c r="BC73" s="245"/>
      <c r="BD73" s="245"/>
      <c r="BE73" s="245" t="str">
        <f>IFERROR(__xludf.DUMMYFUNCTION("""COMPUTED_VALUE"""),"")</f>
        <v/>
      </c>
      <c r="BF73" s="245"/>
      <c r="BG73" s="245"/>
      <c r="BH73" s="245"/>
      <c r="BI73" s="245"/>
      <c r="BJ73" s="245" t="str">
        <f>IFERROR(__xludf.DUMMYFUNCTION("""COMPUTED_VALUE"""),"")</f>
        <v/>
      </c>
      <c r="BK73" s="245"/>
      <c r="BL73" s="245" t="str">
        <f>IFERROR(__xludf.DUMMYFUNCTION("""COMPUTED_VALUE"""),"Enemy Health Level Skip")</f>
        <v>Enemy Health Level Skip</v>
      </c>
      <c r="BM73" s="245" t="str">
        <f>IFERROR(__xludf.DUMMYFUNCTION("""COMPUTED_VALUE"""),"Ancestral")</f>
        <v>Ancestral</v>
      </c>
      <c r="BN73" s="245" t="str">
        <f>IFERROR(__xludf.DUMMYFUNCTION("""COMPUTED_VALUE"""),"+8%")</f>
        <v>+8%</v>
      </c>
      <c r="BO73" s="245">
        <f>IFERROR(__xludf.DUMMYFUNCTION("""COMPUTED_VALUE"""),0.08)</f>
        <v>0.08</v>
      </c>
      <c r="BP73" s="245"/>
      <c r="BQ73" s="245" t="str">
        <f>IFERROR(__xludf.DUMMYFUNCTION("""COMPUTED_VALUE"""),"Chain Lightning - Chance")</f>
        <v>Chain Lightning - Chance</v>
      </c>
      <c r="BR73" s="245" t="str">
        <f>IFERROR(__xludf.DUMMYFUNCTION("""COMPUTED_VALUE"""),"Rare")</f>
        <v>Rare</v>
      </c>
      <c r="BS73" s="245" t="str">
        <f>IFERROR(__xludf.DUMMYFUNCTION("""COMPUTED_VALUE"""),"+4%")</f>
        <v>+4%</v>
      </c>
      <c r="BT73" s="246">
        <f>IFERROR(__xludf.DUMMYFUNCTION("""COMPUTED_VALUE"""),0.04)</f>
        <v>0.04</v>
      </c>
      <c r="BU73" s="245"/>
      <c r="BV73" s="245"/>
      <c r="BW73" s="245"/>
      <c r="BX73" s="245"/>
      <c r="BY73" s="245"/>
      <c r="BZ73" s="282"/>
      <c r="CA73" s="245"/>
      <c r="CB73" s="245"/>
      <c r="CC73" s="245"/>
      <c r="CD73" s="245"/>
      <c r="CE73" s="245"/>
      <c r="CF73" s="245"/>
    </row>
    <row r="74">
      <c r="A74" s="259" t="str">
        <f>IFERROR(__xludf.DUMMYFUNCTION("""COMPUTED_VALUE"""),"Inner Mine Rotation Speed")</f>
        <v>Inner Mine Rotation Speed</v>
      </c>
      <c r="B74" s="260">
        <f>IFERROR(__xludf.DUMMYFUNCTION("""COMPUTED_VALUE"""),0.0)</f>
        <v>0</v>
      </c>
      <c r="C74" s="245"/>
      <c r="D74" s="261">
        <f>IFERROR(__xludf.DUMMYFUNCTION("""COMPUTED_VALUE"""),20.0)</f>
        <v>20</v>
      </c>
      <c r="E74" s="245"/>
      <c r="F74" s="245"/>
      <c r="G74" s="245"/>
      <c r="H74" s="245"/>
      <c r="I74" s="245"/>
      <c r="J74" s="245"/>
      <c r="K74" s="265"/>
      <c r="L74" s="245"/>
      <c r="M74" s="245"/>
      <c r="N74" s="245"/>
      <c r="O74" s="245"/>
      <c r="P74" s="245"/>
      <c r="Q74" s="247"/>
      <c r="R74" s="254"/>
      <c r="S74" s="245"/>
      <c r="T74" s="245"/>
      <c r="U74" s="245"/>
      <c r="V74" s="245"/>
      <c r="W74" s="245"/>
      <c r="X74" s="245"/>
      <c r="Y74" s="249"/>
      <c r="Z74" s="276"/>
      <c r="AA74" s="245"/>
      <c r="AB74" s="276"/>
      <c r="AC74" s="276"/>
      <c r="AD74" s="246"/>
      <c r="AE74" s="278"/>
      <c r="AF74" s="370"/>
      <c r="AG74" s="371"/>
      <c r="AH74" s="276"/>
      <c r="AI74" s="245"/>
      <c r="AJ74" s="287"/>
      <c r="AK74" s="278"/>
      <c r="AL74" s="246"/>
      <c r="AM74" s="245"/>
      <c r="AN74" s="245"/>
      <c r="AO74" s="274"/>
      <c r="AP74" s="245"/>
      <c r="AQ74" s="245"/>
      <c r="AR74" s="246"/>
      <c r="AS74" s="245"/>
      <c r="AT74" s="245"/>
      <c r="AU74" s="245"/>
      <c r="AV74" s="245"/>
      <c r="AW74" s="245"/>
      <c r="AX74" s="246"/>
      <c r="AY74" s="245"/>
      <c r="AZ74" s="245"/>
      <c r="BA74" s="246"/>
      <c r="BB74" s="245"/>
      <c r="BC74" s="245"/>
      <c r="BD74" s="245"/>
      <c r="BE74" s="245" t="str">
        <f>IFERROR(__xludf.DUMMYFUNCTION("""COMPUTED_VALUE"""),"")</f>
        <v/>
      </c>
      <c r="BF74" s="245"/>
      <c r="BG74" s="245"/>
      <c r="BH74" s="245"/>
      <c r="BI74" s="245"/>
      <c r="BJ74" s="245" t="str">
        <f>IFERROR(__xludf.DUMMYFUNCTION("""COMPUTED_VALUE"""),"")</f>
        <v/>
      </c>
      <c r="BK74" s="245"/>
      <c r="BL74" s="245" t="str">
        <f>IFERROR(__xludf.DUMMYFUNCTION("""COMPUTED_VALUE"""),"Package Chance")</f>
        <v>Package Chance</v>
      </c>
      <c r="BM74" s="245" t="str">
        <f>IFERROR(__xludf.DUMMYFUNCTION("""COMPUTED_VALUE"""),"Epic")</f>
        <v>Epic</v>
      </c>
      <c r="BN74" s="245" t="str">
        <f>IFERROR(__xludf.DUMMYFUNCTION("""COMPUTED_VALUE"""),"+5%")</f>
        <v>+5%</v>
      </c>
      <c r="BO74" s="245">
        <f>IFERROR(__xludf.DUMMYFUNCTION("""COMPUTED_VALUE"""),0.05)</f>
        <v>0.05</v>
      </c>
      <c r="BP74" s="245"/>
      <c r="BQ74" s="245"/>
      <c r="BR74" s="245"/>
      <c r="BS74" s="245"/>
      <c r="BT74" s="246" t="str">
        <f>IFERROR(__xludf.DUMMYFUNCTION("""COMPUTED_VALUE"""),"")</f>
        <v/>
      </c>
      <c r="BU74" s="245"/>
      <c r="BV74" s="245"/>
      <c r="BW74" s="245"/>
      <c r="BX74" s="245"/>
      <c r="BY74" s="245"/>
      <c r="BZ74" s="282"/>
      <c r="CA74" s="245"/>
      <c r="CB74" s="245"/>
      <c r="CC74" s="245"/>
      <c r="CD74" s="245"/>
      <c r="CE74" s="245"/>
      <c r="CF74" s="245"/>
    </row>
    <row r="75">
      <c r="A75" s="259" t="str">
        <f>IFERROR(__xludf.DUMMYFUNCTION("""COMPUTED_VALUE"""),"Chrono Field Range")</f>
        <v>Chrono Field Range</v>
      </c>
      <c r="B75" s="260">
        <f>IFERROR(__xludf.DUMMYFUNCTION("""COMPUTED_VALUE"""),17.0)</f>
        <v>17</v>
      </c>
      <c r="C75" s="245"/>
      <c r="D75" s="261">
        <f>IFERROR(__xludf.DUMMYFUNCTION("""COMPUTED_VALUE"""),20.0)</f>
        <v>20</v>
      </c>
      <c r="E75" s="245"/>
      <c r="F75" s="245"/>
      <c r="G75" s="245"/>
      <c r="H75" s="245"/>
      <c r="I75" s="245"/>
      <c r="J75" s="245"/>
      <c r="K75" s="265"/>
      <c r="L75" s="245"/>
      <c r="M75" s="245"/>
      <c r="N75" s="245"/>
      <c r="O75" s="245"/>
      <c r="P75" s="245"/>
      <c r="Q75" s="247"/>
      <c r="R75" s="254"/>
      <c r="S75" s="245"/>
      <c r="T75" s="245"/>
      <c r="U75" s="245"/>
      <c r="V75" s="245"/>
      <c r="W75" s="245"/>
      <c r="X75" s="245"/>
      <c r="Y75" s="249"/>
      <c r="Z75" s="276"/>
      <c r="AA75" s="245"/>
      <c r="AB75" s="276"/>
      <c r="AC75" s="276"/>
      <c r="AD75" s="246"/>
      <c r="AE75" s="278"/>
      <c r="AF75" s="370"/>
      <c r="AG75" s="371"/>
      <c r="AH75" s="276"/>
      <c r="AI75" s="245"/>
      <c r="AJ75" s="287"/>
      <c r="AK75" s="278"/>
      <c r="AL75" s="246"/>
      <c r="AM75" s="245"/>
      <c r="AN75" s="245"/>
      <c r="AO75" s="274"/>
      <c r="AP75" s="245"/>
      <c r="AQ75" s="245"/>
      <c r="AR75" s="246"/>
      <c r="AS75" s="245"/>
      <c r="AT75" s="245"/>
      <c r="AU75" s="245"/>
      <c r="AV75" s="245"/>
      <c r="AW75" s="245"/>
      <c r="AX75" s="246"/>
      <c r="AY75" s="245"/>
      <c r="AZ75" s="245"/>
      <c r="BA75" s="246"/>
      <c r="BB75" s="245"/>
      <c r="BC75" s="245"/>
      <c r="BD75" s="245"/>
      <c r="BE75" s="245" t="str">
        <f>IFERROR(__xludf.DUMMYFUNCTION("""COMPUTED_VALUE"""),"")</f>
        <v/>
      </c>
      <c r="BF75" s="245"/>
      <c r="BG75" s="245"/>
      <c r="BH75" s="245"/>
      <c r="BI75" s="245"/>
      <c r="BJ75" s="245" t="str">
        <f>IFERROR(__xludf.DUMMYFUNCTION("""COMPUTED_VALUE"""),"")</f>
        <v/>
      </c>
      <c r="BK75" s="245"/>
      <c r="BL75" s="245"/>
      <c r="BM75" s="245"/>
      <c r="BN75" s="245"/>
      <c r="BO75" s="245" t="str">
        <f>IFERROR(__xludf.DUMMYFUNCTION("""COMPUTED_VALUE"""),"")</f>
        <v/>
      </c>
      <c r="BP75" s="245"/>
      <c r="BQ75" s="245"/>
      <c r="BR75" s="245"/>
      <c r="BS75" s="245"/>
      <c r="BT75" s="246" t="str">
        <f>IFERROR(__xludf.DUMMYFUNCTION("""COMPUTED_VALUE"""),"")</f>
        <v/>
      </c>
      <c r="BU75" s="245"/>
      <c r="BV75" s="245"/>
      <c r="BW75" s="245"/>
      <c r="BX75" s="245"/>
      <c r="BY75" s="245"/>
      <c r="BZ75" s="282"/>
      <c r="CA75" s="245"/>
      <c r="CB75" s="245"/>
      <c r="CC75" s="245"/>
      <c r="CD75" s="245"/>
      <c r="CE75" s="245"/>
      <c r="CF75" s="245"/>
    </row>
    <row r="76">
      <c r="A76" s="259" t="str">
        <f>IFERROR(__xludf.DUMMYFUNCTION("""COMPUTED_VALUE"""),"Missile Amplifier")</f>
        <v>Missile Amplifier</v>
      </c>
      <c r="B76" s="260">
        <f>IFERROR(__xludf.DUMMYFUNCTION("""COMPUTED_VALUE"""),0.0)</f>
        <v>0</v>
      </c>
      <c r="C76" s="245"/>
      <c r="D76" s="261">
        <f>IFERROR(__xludf.DUMMYFUNCTION("""COMPUTED_VALUE"""),25.0)</f>
        <v>25</v>
      </c>
      <c r="E76" s="245"/>
      <c r="F76" s="245"/>
      <c r="G76" s="245"/>
      <c r="H76" s="245"/>
      <c r="I76" s="245"/>
      <c r="J76" s="245"/>
      <c r="K76" s="265"/>
      <c r="L76" s="245"/>
      <c r="M76" s="245"/>
      <c r="N76" s="245"/>
      <c r="O76" s="245"/>
      <c r="P76" s="245"/>
      <c r="Q76" s="247"/>
      <c r="R76" s="254"/>
      <c r="S76" s="245"/>
      <c r="T76" s="245"/>
      <c r="U76" s="245"/>
      <c r="V76" s="245"/>
      <c r="W76" s="245"/>
      <c r="X76" s="245"/>
      <c r="Y76" s="249"/>
      <c r="Z76" s="276"/>
      <c r="AA76" s="245"/>
      <c r="AB76" s="276"/>
      <c r="AC76" s="276"/>
      <c r="AD76" s="246"/>
      <c r="AE76" s="278"/>
      <c r="AF76" s="370"/>
      <c r="AG76" s="371"/>
      <c r="AH76" s="276"/>
      <c r="AI76" s="245"/>
      <c r="AJ76" s="287"/>
      <c r="AK76" s="278"/>
      <c r="AL76" s="246"/>
      <c r="AM76" s="245"/>
      <c r="AN76" s="245"/>
      <c r="AO76" s="274"/>
      <c r="AP76" s="245"/>
      <c r="AQ76" s="245"/>
      <c r="AR76" s="246"/>
      <c r="AS76" s="245"/>
      <c r="AT76" s="245"/>
      <c r="AU76" s="245"/>
      <c r="AV76" s="245"/>
      <c r="AW76" s="245"/>
      <c r="AX76" s="246"/>
      <c r="AY76" s="245"/>
      <c r="AZ76" s="245"/>
      <c r="BA76" s="246"/>
      <c r="BB76" s="245"/>
      <c r="BC76" s="245"/>
      <c r="BD76" s="245"/>
      <c r="BE76" s="245" t="str">
        <f>IFERROR(__xludf.DUMMYFUNCTION("""COMPUTED_VALUE"""),"")</f>
        <v/>
      </c>
      <c r="BF76" s="245"/>
      <c r="BG76" s="245"/>
      <c r="BH76" s="245"/>
      <c r="BI76" s="245"/>
      <c r="BJ76" s="245" t="str">
        <f>IFERROR(__xludf.DUMMYFUNCTION("""COMPUTED_VALUE"""),"")</f>
        <v/>
      </c>
      <c r="BK76" s="245"/>
      <c r="BL76" s="245"/>
      <c r="BM76" s="245"/>
      <c r="BN76" s="245"/>
      <c r="BO76" s="245" t="str">
        <f>IFERROR(__xludf.DUMMYFUNCTION("""COMPUTED_VALUE"""),"")</f>
        <v/>
      </c>
      <c r="BP76" s="245"/>
      <c r="BQ76" s="245"/>
      <c r="BR76" s="245"/>
      <c r="BS76" s="245"/>
      <c r="BT76" s="246" t="str">
        <f>IFERROR(__xludf.DUMMYFUNCTION("""COMPUTED_VALUE"""),"")</f>
        <v/>
      </c>
      <c r="BU76" s="245"/>
      <c r="BV76" s="245"/>
      <c r="BW76" s="245"/>
      <c r="BX76" s="245"/>
      <c r="BY76" s="245"/>
      <c r="BZ76" s="282"/>
      <c r="CA76" s="245"/>
      <c r="CB76" s="245"/>
      <c r="CC76" s="245"/>
      <c r="CD76" s="245"/>
      <c r="CE76" s="245"/>
      <c r="CF76" s="245"/>
    </row>
    <row r="77">
      <c r="A77" s="259" t="str">
        <f>IFERROR(__xludf.DUMMYFUNCTION("""COMPUTED_VALUE"""),"Missile Barrage")</f>
        <v>Missile Barrage</v>
      </c>
      <c r="B77" s="260">
        <f>IFERROR(__xludf.DUMMYFUNCTION("""COMPUTED_VALUE"""),0.0)</f>
        <v>0</v>
      </c>
      <c r="C77" s="245"/>
      <c r="D77" s="261">
        <f>IFERROR(__xludf.DUMMYFUNCTION("""COMPUTED_VALUE"""),1.0)</f>
        <v>1</v>
      </c>
      <c r="E77" s="245"/>
      <c r="F77" s="245"/>
      <c r="G77" s="245"/>
      <c r="H77" s="245"/>
      <c r="I77" s="245"/>
      <c r="J77" s="245"/>
      <c r="K77" s="265"/>
      <c r="L77" s="245"/>
      <c r="M77" s="245"/>
      <c r="N77" s="245"/>
      <c r="O77" s="245"/>
      <c r="P77" s="245"/>
      <c r="Q77" s="247"/>
      <c r="R77" s="254"/>
      <c r="S77" s="245"/>
      <c r="T77" s="245"/>
      <c r="U77" s="245"/>
      <c r="V77" s="245"/>
      <c r="W77" s="245"/>
      <c r="X77" s="245"/>
      <c r="Y77" s="249"/>
      <c r="Z77" s="276"/>
      <c r="AA77" s="245"/>
      <c r="AB77" s="276"/>
      <c r="AC77" s="276"/>
      <c r="AD77" s="246"/>
      <c r="AE77" s="278"/>
      <c r="AF77" s="370"/>
      <c r="AG77" s="371"/>
      <c r="AH77" s="276"/>
      <c r="AI77" s="245"/>
      <c r="AJ77" s="287"/>
      <c r="AK77" s="278"/>
      <c r="AL77" s="246"/>
      <c r="AM77" s="245"/>
      <c r="AN77" s="245"/>
      <c r="AO77" s="274"/>
      <c r="AP77" s="245"/>
      <c r="AQ77" s="245"/>
      <c r="AR77" s="246"/>
      <c r="AS77" s="245"/>
      <c r="AT77" s="245"/>
      <c r="AU77" s="245"/>
      <c r="AV77" s="245"/>
      <c r="AW77" s="245"/>
      <c r="AX77" s="246"/>
      <c r="AY77" s="245"/>
      <c r="AZ77" s="245"/>
      <c r="BA77" s="246"/>
      <c r="BB77" s="245"/>
      <c r="BC77" s="245"/>
      <c r="BD77" s="245"/>
      <c r="BE77" s="245" t="str">
        <f>IFERROR(__xludf.DUMMYFUNCTION("""COMPUTED_VALUE"""),"")</f>
        <v/>
      </c>
      <c r="BF77" s="245"/>
      <c r="BG77" s="245"/>
      <c r="BH77" s="245"/>
      <c r="BI77" s="245"/>
      <c r="BJ77" s="245" t="str">
        <f>IFERROR(__xludf.DUMMYFUNCTION("""COMPUTED_VALUE"""),"")</f>
        <v/>
      </c>
      <c r="BK77" s="245"/>
      <c r="BL77" s="245"/>
      <c r="BM77" s="245"/>
      <c r="BN77" s="245"/>
      <c r="BO77" s="245" t="str">
        <f>IFERROR(__xludf.DUMMYFUNCTION("""COMPUTED_VALUE"""),"")</f>
        <v/>
      </c>
      <c r="BP77" s="245"/>
      <c r="BQ77" s="245"/>
      <c r="BR77" s="245"/>
      <c r="BS77" s="245"/>
      <c r="BT77" s="246" t="str">
        <f>IFERROR(__xludf.DUMMYFUNCTION("""COMPUTED_VALUE"""),"")</f>
        <v/>
      </c>
      <c r="BU77" s="245"/>
      <c r="BV77" s="245"/>
      <c r="BW77" s="245"/>
      <c r="BX77" s="245"/>
      <c r="BY77" s="245"/>
      <c r="BZ77" s="282"/>
      <c r="CA77" s="245"/>
      <c r="CB77" s="245"/>
      <c r="CC77" s="245"/>
      <c r="CD77" s="245"/>
      <c r="CE77" s="245"/>
      <c r="CF77" s="245"/>
    </row>
    <row r="78">
      <c r="A78" s="259" t="str">
        <f>IFERROR(__xludf.DUMMYFUNCTION("""COMPUTED_VALUE"""),"Missile Barrage Quantity")</f>
        <v>Missile Barrage Quantity</v>
      </c>
      <c r="B78" s="260">
        <f>IFERROR(__xludf.DUMMYFUNCTION("""COMPUTED_VALUE"""),0.0)</f>
        <v>0</v>
      </c>
      <c r="C78" s="245"/>
      <c r="D78" s="261">
        <f>IFERROR(__xludf.DUMMYFUNCTION("""COMPUTED_VALUE"""),6.0)</f>
        <v>6</v>
      </c>
      <c r="E78" s="245"/>
      <c r="F78" s="245"/>
      <c r="G78" s="245"/>
      <c r="H78" s="245"/>
      <c r="I78" s="245"/>
      <c r="J78" s="245"/>
      <c r="K78" s="265"/>
      <c r="L78" s="245"/>
      <c r="M78" s="245"/>
      <c r="N78" s="245"/>
      <c r="O78" s="245"/>
      <c r="P78" s="245"/>
      <c r="Q78" s="247"/>
      <c r="R78" s="254"/>
      <c r="S78" s="245"/>
      <c r="T78" s="245"/>
      <c r="U78" s="245"/>
      <c r="V78" s="245"/>
      <c r="W78" s="245"/>
      <c r="X78" s="245"/>
      <c r="Y78" s="249"/>
      <c r="Z78" s="276"/>
      <c r="AA78" s="245"/>
      <c r="AB78" s="276"/>
      <c r="AC78" s="276"/>
      <c r="AD78" s="246"/>
      <c r="AE78" s="278"/>
      <c r="AF78" s="370"/>
      <c r="AG78" s="371"/>
      <c r="AH78" s="276"/>
      <c r="AI78" s="245"/>
      <c r="AJ78" s="287"/>
      <c r="AK78" s="278"/>
      <c r="AL78" s="246"/>
      <c r="AM78" s="245"/>
      <c r="AN78" s="245"/>
      <c r="AO78" s="274"/>
      <c r="AP78" s="245"/>
      <c r="AQ78" s="245"/>
      <c r="AR78" s="246"/>
      <c r="AS78" s="245"/>
      <c r="AT78" s="245"/>
      <c r="AU78" s="245"/>
      <c r="AV78" s="245"/>
      <c r="AW78" s="245"/>
      <c r="AX78" s="246"/>
      <c r="AY78" s="245"/>
      <c r="AZ78" s="245"/>
      <c r="BA78" s="246"/>
      <c r="BB78" s="245"/>
      <c r="BC78" s="245"/>
      <c r="BD78" s="245"/>
      <c r="BE78" s="245"/>
      <c r="BF78" s="245"/>
      <c r="BG78" s="245"/>
      <c r="BH78" s="245"/>
      <c r="BI78" s="245"/>
      <c r="BJ78" s="245"/>
      <c r="BK78" s="245"/>
      <c r="BL78" s="245"/>
      <c r="BM78" s="245"/>
      <c r="BN78" s="245"/>
      <c r="BO78" s="245"/>
      <c r="BP78" s="245"/>
      <c r="BQ78" s="245"/>
      <c r="BR78" s="245"/>
      <c r="BS78" s="245"/>
      <c r="BT78" s="246"/>
      <c r="BU78" s="245"/>
      <c r="BV78" s="245"/>
      <c r="BW78" s="245"/>
      <c r="BX78" s="245"/>
      <c r="BY78" s="245"/>
      <c r="BZ78" s="282"/>
      <c r="CA78" s="245"/>
      <c r="CB78" s="245"/>
      <c r="CC78" s="245"/>
      <c r="CD78" s="245"/>
      <c r="CE78" s="245"/>
      <c r="CF78" s="245"/>
    </row>
    <row r="79">
      <c r="A79" s="259" t="str">
        <f>IFERROR(__xludf.DUMMYFUNCTION("""COMPUTED_VALUE"""),"Inner Mine Stun")</f>
        <v>Inner Mine Stun</v>
      </c>
      <c r="B79" s="260">
        <f>IFERROR(__xludf.DUMMYFUNCTION("""COMPUTED_VALUE"""),0.0)</f>
        <v>0</v>
      </c>
      <c r="C79" s="245"/>
      <c r="D79" s="261">
        <f>IFERROR(__xludf.DUMMYFUNCTION("""COMPUTED_VALUE"""),1.0)</f>
        <v>1</v>
      </c>
      <c r="E79" s="245"/>
      <c r="F79" s="245"/>
      <c r="G79" s="245"/>
      <c r="H79" s="245"/>
      <c r="I79" s="245"/>
      <c r="J79" s="245"/>
      <c r="K79" s="265"/>
      <c r="L79" s="245"/>
      <c r="M79" s="245"/>
      <c r="N79" s="245"/>
      <c r="O79" s="245"/>
      <c r="P79" s="245"/>
      <c r="Q79" s="247"/>
      <c r="R79" s="254"/>
      <c r="S79" s="245"/>
      <c r="T79" s="245"/>
      <c r="U79" s="245"/>
      <c r="V79" s="245"/>
      <c r="W79" s="245"/>
      <c r="X79" s="245"/>
      <c r="Y79" s="249"/>
      <c r="Z79" s="276"/>
      <c r="AA79" s="245"/>
      <c r="AB79" s="276"/>
      <c r="AC79" s="276"/>
      <c r="AD79" s="246"/>
      <c r="AE79" s="278"/>
      <c r="AF79" s="370"/>
      <c r="AG79" s="371"/>
      <c r="AH79" s="276"/>
      <c r="AI79" s="245"/>
      <c r="AJ79" s="287"/>
      <c r="AK79" s="278"/>
      <c r="AL79" s="246"/>
      <c r="AM79" s="245"/>
      <c r="AN79" s="245"/>
      <c r="AO79" s="274"/>
      <c r="AP79" s="245"/>
      <c r="AQ79" s="245"/>
      <c r="AR79" s="246"/>
      <c r="AS79" s="245"/>
      <c r="AT79" s="245"/>
      <c r="AU79" s="245"/>
      <c r="AV79" s="245"/>
      <c r="AW79" s="245"/>
      <c r="AX79" s="246"/>
      <c r="AY79" s="245"/>
      <c r="AZ79" s="245"/>
      <c r="BA79" s="246"/>
      <c r="BB79" s="245" t="str">
        <f>IFERROR(__xludf.DUMMYFUNCTION("""COMPUTED_VALUE"""),"Shrink Ray")</f>
        <v>Shrink Ray</v>
      </c>
      <c r="BC79" s="245"/>
      <c r="BD79" s="245"/>
      <c r="BE79" s="245"/>
      <c r="BF79" s="245"/>
      <c r="BG79" s="245" t="str">
        <f>IFERROR(__xludf.DUMMYFUNCTION("""COMPUTED_VALUE"""),"Sharp Fortitude")</f>
        <v>Sharp Fortitude</v>
      </c>
      <c r="BH79" s="245"/>
      <c r="BI79" s="245"/>
      <c r="BJ79" s="245"/>
      <c r="BK79" s="245"/>
      <c r="BL79" s="245" t="str">
        <f>IFERROR(__xludf.DUMMYFUNCTION("""COMPUTED_VALUE"""),"Project Funding")</f>
        <v>Project Funding</v>
      </c>
      <c r="BM79" s="245"/>
      <c r="BN79" s="245"/>
      <c r="BO79" s="245"/>
      <c r="BP79" s="245"/>
      <c r="BQ79" s="245" t="str">
        <f>IFERROR(__xludf.DUMMYFUNCTION("""COMPUTED_VALUE"""),"Magnetic Hook")</f>
        <v>Magnetic Hook</v>
      </c>
      <c r="BR79" s="245"/>
      <c r="BS79" s="245"/>
      <c r="BT79" s="246"/>
      <c r="BU79" s="245"/>
      <c r="BV79" s="245"/>
      <c r="BW79" s="245"/>
      <c r="BX79" s="245"/>
      <c r="BY79" s="245"/>
      <c r="BZ79" s="282"/>
      <c r="CA79" s="245"/>
      <c r="CB79" s="245"/>
      <c r="CC79" s="245"/>
      <c r="CD79" s="245"/>
      <c r="CE79" s="245"/>
      <c r="CF79" s="245"/>
    </row>
    <row r="80">
      <c r="A80" s="259" t="str">
        <f>IFERROR(__xludf.DUMMYFUNCTION("""COMPUTED_VALUE"""),"Black Hole Damage")</f>
        <v>Black Hole Damage</v>
      </c>
      <c r="B80" s="260">
        <f>IFERROR(__xludf.DUMMYFUNCTION("""COMPUTED_VALUE"""),10.0)</f>
        <v>10</v>
      </c>
      <c r="C80" s="245"/>
      <c r="D80" s="261">
        <f>IFERROR(__xludf.DUMMYFUNCTION("""COMPUTED_VALUE"""),10.0)</f>
        <v>10</v>
      </c>
      <c r="E80" s="245"/>
      <c r="F80" s="245"/>
      <c r="G80" s="245"/>
      <c r="H80" s="245"/>
      <c r="I80" s="245"/>
      <c r="J80" s="245"/>
      <c r="K80" s="265"/>
      <c r="L80" s="245"/>
      <c r="M80" s="245"/>
      <c r="N80" s="245"/>
      <c r="O80" s="245"/>
      <c r="P80" s="245"/>
      <c r="Q80" s="247"/>
      <c r="R80" s="254"/>
      <c r="S80" s="245"/>
      <c r="T80" s="245"/>
      <c r="U80" s="245"/>
      <c r="V80" s="245"/>
      <c r="W80" s="245"/>
      <c r="X80" s="245"/>
      <c r="Y80" s="249"/>
      <c r="Z80" s="276"/>
      <c r="AA80" s="245"/>
      <c r="AB80" s="276"/>
      <c r="AC80" s="276"/>
      <c r="AD80" s="246"/>
      <c r="AE80" s="278"/>
      <c r="AF80" s="370"/>
      <c r="AG80" s="371"/>
      <c r="AH80" s="276"/>
      <c r="AI80" s="245"/>
      <c r="AJ80" s="287"/>
      <c r="AK80" s="278"/>
      <c r="AL80" s="246"/>
      <c r="AM80" s="245"/>
      <c r="AN80" s="245"/>
      <c r="AO80" s="274"/>
      <c r="AP80" s="245"/>
      <c r="AQ80" s="245"/>
      <c r="AR80" s="246"/>
      <c r="AS80" s="245"/>
      <c r="AT80" s="245"/>
      <c r="AU80" s="245"/>
      <c r="AV80" s="245"/>
      <c r="AW80" s="245"/>
      <c r="AX80" s="246"/>
      <c r="AY80" s="245"/>
      <c r="AZ80" s="245"/>
      <c r="BA80" s="246"/>
      <c r="BB80" s="245" t="str">
        <f>IFERROR(__xludf.DUMMYFUNCTION("""COMPUTED_VALUE"""),"Rarity")</f>
        <v>Rarity</v>
      </c>
      <c r="BC80" s="245" t="str">
        <f>IFERROR(__xludf.DUMMYFUNCTION("""COMPUTED_VALUE"""),"Level")</f>
        <v>Level</v>
      </c>
      <c r="BD80" s="245" t="str">
        <f>IFERROR(__xludf.DUMMYFUNCTION("""COMPUTED_VALUE"""),"Stat")</f>
        <v>Stat</v>
      </c>
      <c r="BE80" s="245"/>
      <c r="BF80" s="245"/>
      <c r="BG80" s="245" t="str">
        <f>IFERROR(__xludf.DUMMYFUNCTION("""COMPUTED_VALUE"""),"Rarity")</f>
        <v>Rarity</v>
      </c>
      <c r="BH80" s="245" t="str">
        <f>IFERROR(__xludf.DUMMYFUNCTION("""COMPUTED_VALUE"""),"Level")</f>
        <v>Level</v>
      </c>
      <c r="BI80" s="245" t="str">
        <f>IFERROR(__xludf.DUMMYFUNCTION("""COMPUTED_VALUE"""),"Stat")</f>
        <v>Stat</v>
      </c>
      <c r="BJ80" s="245"/>
      <c r="BK80" s="245"/>
      <c r="BL80" s="245" t="str">
        <f>IFERROR(__xludf.DUMMYFUNCTION("""COMPUTED_VALUE"""),"Rarity")</f>
        <v>Rarity</v>
      </c>
      <c r="BM80" s="245" t="str">
        <f>IFERROR(__xludf.DUMMYFUNCTION("""COMPUTED_VALUE"""),"Level")</f>
        <v>Level</v>
      </c>
      <c r="BN80" s="245" t="str">
        <f>IFERROR(__xludf.DUMMYFUNCTION("""COMPUTED_VALUE"""),"Stat")</f>
        <v>Stat</v>
      </c>
      <c r="BO80" s="245"/>
      <c r="BP80" s="245"/>
      <c r="BQ80" s="245" t="str">
        <f>IFERROR(__xludf.DUMMYFUNCTION("""COMPUTED_VALUE"""),"Rarity")</f>
        <v>Rarity</v>
      </c>
      <c r="BR80" s="245" t="str">
        <f>IFERROR(__xludf.DUMMYFUNCTION("""COMPUTED_VALUE"""),"Level")</f>
        <v>Level</v>
      </c>
      <c r="BS80" s="245" t="str">
        <f>IFERROR(__xludf.DUMMYFUNCTION("""COMPUTED_VALUE"""),"Stat")</f>
        <v>Stat</v>
      </c>
      <c r="BT80" s="246"/>
      <c r="BU80" s="245"/>
      <c r="BV80" s="245"/>
      <c r="BW80" s="245"/>
      <c r="BX80" s="245"/>
      <c r="BY80" s="245"/>
      <c r="BZ80" s="282"/>
      <c r="CA80" s="245"/>
      <c r="CB80" s="245"/>
      <c r="CC80" s="245"/>
      <c r="CD80" s="245"/>
      <c r="CE80" s="245"/>
      <c r="CF80" s="245"/>
    </row>
    <row r="81">
      <c r="A81" s="259" t="str">
        <f>IFERROR(__xludf.DUMMYFUNCTION("""COMPUTED_VALUE"""),"Extra Black Hole")</f>
        <v>Extra Black Hole</v>
      </c>
      <c r="B81" s="260">
        <f>IFERROR(__xludf.DUMMYFUNCTION("""COMPUTED_VALUE"""),1.0)</f>
        <v>1</v>
      </c>
      <c r="C81" s="245"/>
      <c r="D81" s="261">
        <f>IFERROR(__xludf.DUMMYFUNCTION("""COMPUTED_VALUE"""),1.0)</f>
        <v>1</v>
      </c>
      <c r="E81" s="245"/>
      <c r="F81" s="245"/>
      <c r="G81" s="245"/>
      <c r="H81" s="245"/>
      <c r="I81" s="245"/>
      <c r="J81" s="245"/>
      <c r="K81" s="265"/>
      <c r="L81" s="245"/>
      <c r="M81" s="245"/>
      <c r="N81" s="245"/>
      <c r="O81" s="245"/>
      <c r="P81" s="245"/>
      <c r="Q81" s="247"/>
      <c r="R81" s="254"/>
      <c r="S81" s="245"/>
      <c r="T81" s="245"/>
      <c r="U81" s="245"/>
      <c r="V81" s="245"/>
      <c r="W81" s="245"/>
      <c r="X81" s="245"/>
      <c r="Y81" s="249"/>
      <c r="Z81" s="276"/>
      <c r="AA81" s="245"/>
      <c r="AB81" s="276"/>
      <c r="AC81" s="276"/>
      <c r="AD81" s="246"/>
      <c r="AE81" s="278"/>
      <c r="AF81" s="370"/>
      <c r="AG81" s="371"/>
      <c r="AH81" s="276"/>
      <c r="AI81" s="245"/>
      <c r="AJ81" s="287"/>
      <c r="AK81" s="278"/>
      <c r="AL81" s="246"/>
      <c r="AM81" s="245"/>
      <c r="AN81" s="245"/>
      <c r="AO81" s="274"/>
      <c r="AP81" s="245"/>
      <c r="AQ81" s="245"/>
      <c r="AR81" s="246"/>
      <c r="AS81" s="245"/>
      <c r="AT81" s="245"/>
      <c r="AU81" s="245"/>
      <c r="AV81" s="245"/>
      <c r="AW81" s="245"/>
      <c r="AX81" s="246"/>
      <c r="AY81" s="245"/>
      <c r="AZ81" s="245"/>
      <c r="BA81" s="246"/>
      <c r="BB81" s="245" t="str">
        <f>IFERROR(__xludf.DUMMYFUNCTION("""COMPUTED_VALUE"""),"Legendary")</f>
        <v>Legendary</v>
      </c>
      <c r="BC81" s="279">
        <f>IFERROR(__xludf.DUMMYFUNCTION("""COMPUTED_VALUE"""),100.0)</f>
        <v>100</v>
      </c>
      <c r="BD81" s="306">
        <f>IFERROR(__xludf.DUMMYFUNCTION("""COMPUTED_VALUE"""),2.27)</f>
        <v>2.27</v>
      </c>
      <c r="BE81" s="245"/>
      <c r="BF81" s="245"/>
      <c r="BG81" s="245" t="str">
        <f>IFERROR(__xludf.DUMMYFUNCTION("""COMPUTED_VALUE"""),"Ancestral")</f>
        <v>Ancestral</v>
      </c>
      <c r="BH81" s="279">
        <f>IFERROR(__xludf.DUMMYFUNCTION("""COMPUTED_VALUE"""),163.0)</f>
        <v>163</v>
      </c>
      <c r="BI81" s="306">
        <f>IFERROR(__xludf.DUMMYFUNCTION("""COMPUTED_VALUE"""),8.84)</f>
        <v>8.84</v>
      </c>
      <c r="BJ81" s="245"/>
      <c r="BK81" s="245"/>
      <c r="BL81" s="245" t="str">
        <f>IFERROR(__xludf.DUMMYFUNCTION("""COMPUTED_VALUE"""),"Mythic+")</f>
        <v>Mythic+</v>
      </c>
      <c r="BM81" s="279">
        <f>IFERROR(__xludf.DUMMYFUNCTION("""COMPUTED_VALUE"""),160.0)</f>
        <v>160</v>
      </c>
      <c r="BN81" s="306">
        <f>IFERROR(__xludf.DUMMYFUNCTION("""COMPUTED_VALUE"""),1.665)</f>
        <v>1.665</v>
      </c>
      <c r="BO81" s="245"/>
      <c r="BP81" s="245"/>
      <c r="BQ81" s="245" t="str">
        <f>IFERROR(__xludf.DUMMYFUNCTION("""COMPUTED_VALUE"""),"Ancestral")</f>
        <v>Ancestral</v>
      </c>
      <c r="BR81" s="279">
        <f>IFERROR(__xludf.DUMMYFUNCTION("""COMPUTED_VALUE"""),159.0)</f>
        <v>159</v>
      </c>
      <c r="BS81" s="306">
        <f>IFERROR(__xludf.DUMMYFUNCTION("""COMPUTED_VALUE"""),10.9)</f>
        <v>10.9</v>
      </c>
      <c r="BT81" s="246"/>
      <c r="BU81" s="245"/>
      <c r="BV81" s="245"/>
      <c r="BW81" s="245"/>
      <c r="BX81" s="245"/>
      <c r="BY81" s="245"/>
      <c r="BZ81" s="282"/>
      <c r="CA81" s="245"/>
      <c r="CB81" s="245"/>
      <c r="CC81" s="245"/>
      <c r="CD81" s="245"/>
      <c r="CE81" s="245"/>
      <c r="CF81" s="245"/>
    </row>
    <row r="82">
      <c r="A82" s="259" t="str">
        <f>IFERROR(__xludf.DUMMYFUNCTION("""COMPUTED_VALUE"""),"Black Hole Coin Bonus")</f>
        <v>Black Hole Coin Bonus</v>
      </c>
      <c r="B82" s="260">
        <f>IFERROR(__xludf.DUMMYFUNCTION("""COMPUTED_VALUE"""),20.0)</f>
        <v>20</v>
      </c>
      <c r="C82" s="245"/>
      <c r="D82" s="261">
        <f>IFERROR(__xludf.DUMMYFUNCTION("""COMPUTED_VALUE"""),20.0)</f>
        <v>20</v>
      </c>
      <c r="E82" s="245"/>
      <c r="F82" s="245"/>
      <c r="G82" s="245"/>
      <c r="H82" s="245"/>
      <c r="I82" s="245"/>
      <c r="J82" s="245"/>
      <c r="K82" s="265"/>
      <c r="L82" s="245"/>
      <c r="M82" s="245"/>
      <c r="N82" s="245"/>
      <c r="O82" s="245"/>
      <c r="P82" s="245"/>
      <c r="Q82" s="247"/>
      <c r="R82" s="254"/>
      <c r="S82" s="245"/>
      <c r="T82" s="245"/>
      <c r="U82" s="245"/>
      <c r="V82" s="245"/>
      <c r="W82" s="245"/>
      <c r="X82" s="245"/>
      <c r="Y82" s="249"/>
      <c r="Z82" s="276"/>
      <c r="AA82" s="245"/>
      <c r="AB82" s="276"/>
      <c r="AC82" s="276"/>
      <c r="AD82" s="246"/>
      <c r="AE82" s="278"/>
      <c r="AF82" s="370"/>
      <c r="AG82" s="371"/>
      <c r="AH82" s="276"/>
      <c r="AI82" s="245"/>
      <c r="AJ82" s="287"/>
      <c r="AK82" s="278"/>
      <c r="AL82" s="246"/>
      <c r="AM82" s="245"/>
      <c r="AN82" s="245"/>
      <c r="AO82" s="274"/>
      <c r="AP82" s="245"/>
      <c r="AQ82" s="245"/>
      <c r="AR82" s="246"/>
      <c r="AS82" s="245"/>
      <c r="AT82" s="245"/>
      <c r="AU82" s="245"/>
      <c r="AV82" s="245"/>
      <c r="AW82" s="245"/>
      <c r="AX82" s="246"/>
      <c r="AY82" s="245"/>
      <c r="AZ82" s="245"/>
      <c r="BA82" s="246"/>
      <c r="BB82" s="245"/>
      <c r="BC82" s="245"/>
      <c r="BD82" s="245"/>
      <c r="BE82" s="245"/>
      <c r="BF82" s="245"/>
      <c r="BG82" s="245"/>
      <c r="BH82" s="245"/>
      <c r="BI82" s="245"/>
      <c r="BJ82" s="245"/>
      <c r="BK82" s="245"/>
      <c r="BL82" s="245"/>
      <c r="BM82" s="245"/>
      <c r="BN82" s="245"/>
      <c r="BO82" s="245"/>
      <c r="BP82" s="245"/>
      <c r="BQ82" s="245"/>
      <c r="BR82" s="245"/>
      <c r="BS82" s="245"/>
      <c r="BT82" s="246"/>
      <c r="BU82" s="245"/>
      <c r="BV82" s="245"/>
      <c r="BW82" s="245"/>
      <c r="BX82" s="245"/>
      <c r="BY82" s="245"/>
      <c r="BZ82" s="282"/>
      <c r="CA82" s="245"/>
      <c r="CB82" s="245"/>
      <c r="CC82" s="245"/>
      <c r="CD82" s="245"/>
      <c r="CE82" s="245"/>
      <c r="CF82" s="245"/>
    </row>
    <row r="83">
      <c r="A83" s="259" t="str">
        <f>IFERROR(__xludf.DUMMYFUNCTION("""COMPUTED_VALUE"""),"Spotlight Coin Bonus")</f>
        <v>Spotlight Coin Bonus</v>
      </c>
      <c r="B83" s="260">
        <f>IFERROR(__xludf.DUMMYFUNCTION("""COMPUTED_VALUE"""),20.0)</f>
        <v>20</v>
      </c>
      <c r="C83" s="245"/>
      <c r="D83" s="261">
        <f>IFERROR(__xludf.DUMMYFUNCTION("""COMPUTED_VALUE"""),20.0)</f>
        <v>20</v>
      </c>
      <c r="E83" s="245"/>
      <c r="F83" s="245"/>
      <c r="G83" s="245"/>
      <c r="H83" s="245"/>
      <c r="I83" s="245"/>
      <c r="J83" s="245"/>
      <c r="K83" s="265"/>
      <c r="L83" s="245"/>
      <c r="M83" s="245"/>
      <c r="N83" s="245"/>
      <c r="O83" s="245"/>
      <c r="P83" s="245"/>
      <c r="Q83" s="247"/>
      <c r="R83" s="254"/>
      <c r="S83" s="245"/>
      <c r="T83" s="245"/>
      <c r="U83" s="245"/>
      <c r="V83" s="245"/>
      <c r="W83" s="245"/>
      <c r="X83" s="245"/>
      <c r="Y83" s="249"/>
      <c r="Z83" s="276"/>
      <c r="AA83" s="245"/>
      <c r="AB83" s="276"/>
      <c r="AC83" s="276"/>
      <c r="AD83" s="246"/>
      <c r="AE83" s="278"/>
      <c r="AF83" s="370"/>
      <c r="AG83" s="371"/>
      <c r="AH83" s="276"/>
      <c r="AI83" s="245"/>
      <c r="AJ83" s="287"/>
      <c r="AK83" s="278"/>
      <c r="AL83" s="246"/>
      <c r="AM83" s="245"/>
      <c r="AN83" s="245"/>
      <c r="AO83" s="274"/>
      <c r="AP83" s="245"/>
      <c r="AQ83" s="245"/>
      <c r="AR83" s="246"/>
      <c r="AS83" s="245"/>
      <c r="AT83" s="245"/>
      <c r="AU83" s="245"/>
      <c r="AV83" s="245"/>
      <c r="AW83" s="245"/>
      <c r="AX83" s="246"/>
      <c r="AY83" s="245"/>
      <c r="AZ83" s="245"/>
      <c r="BA83" s="246"/>
      <c r="BB83" s="245"/>
      <c r="BC83" s="245"/>
      <c r="BD83" s="245"/>
      <c r="BE83" s="245" t="str">
        <f>IFERROR(__xludf.DUMMYFUNCTION("""COMPUTED_VALUE"""),"")</f>
        <v/>
      </c>
      <c r="BF83" s="245"/>
      <c r="BG83" s="245" t="str">
        <f>IFERROR(__xludf.DUMMYFUNCTION("""COMPUTED_VALUE"""),"Health Regen")</f>
        <v>Health Regen</v>
      </c>
      <c r="BH83" s="245" t="str">
        <f>IFERROR(__xludf.DUMMYFUNCTION("""COMPUTED_VALUE"""),"Ancestral")</f>
        <v>Ancestral</v>
      </c>
      <c r="BI83" s="245" t="str">
        <f>IFERROR(__xludf.DUMMYFUNCTION("""COMPUTED_VALUE"""),"+400%")</f>
        <v>+400%</v>
      </c>
      <c r="BJ83" s="279">
        <f>IFERROR(__xludf.DUMMYFUNCTION("""COMPUTED_VALUE"""),4.0)</f>
        <v>4</v>
      </c>
      <c r="BK83" s="245"/>
      <c r="BL83" s="245" t="str">
        <f>IFERROR(__xludf.DUMMYFUNCTION("""COMPUTED_VALUE"""),"Enemy Attack Level Skip")</f>
        <v>Enemy Attack Level Skip</v>
      </c>
      <c r="BM83" s="245" t="str">
        <f>IFERROR(__xludf.DUMMYFUNCTION("""COMPUTED_VALUE"""),"Mythic")</f>
        <v>Mythic</v>
      </c>
      <c r="BN83" s="245" t="str">
        <f>IFERROR(__xludf.DUMMYFUNCTION("""COMPUTED_VALUE"""),"+6%")</f>
        <v>+6%</v>
      </c>
      <c r="BO83" s="279">
        <f>IFERROR(__xludf.DUMMYFUNCTION("""COMPUTED_VALUE"""),0.06)</f>
        <v>0.06</v>
      </c>
      <c r="BP83" s="245"/>
      <c r="BQ83" s="245"/>
      <c r="BR83" s="245"/>
      <c r="BS83" s="245"/>
      <c r="BT83" s="246" t="str">
        <f>IFERROR(__xludf.DUMMYFUNCTION("""COMPUTED_VALUE"""),"")</f>
        <v/>
      </c>
      <c r="BU83" s="245"/>
      <c r="BV83" s="245"/>
      <c r="BW83" s="245"/>
      <c r="BX83" s="245"/>
      <c r="BY83" s="245"/>
      <c r="BZ83" s="282"/>
      <c r="CA83" s="245"/>
      <c r="CB83" s="245"/>
      <c r="CC83" s="245"/>
      <c r="CD83" s="245"/>
      <c r="CE83" s="245"/>
      <c r="CF83" s="245"/>
    </row>
    <row r="84">
      <c r="A84" s="259" t="str">
        <f>IFERROR(__xludf.DUMMYFUNCTION("""COMPUTED_VALUE"""),"Spotlight Missiles")</f>
        <v>Spotlight Missiles</v>
      </c>
      <c r="B84" s="260">
        <f>IFERROR(__xludf.DUMMYFUNCTION("""COMPUTED_VALUE"""),1.0)</f>
        <v>1</v>
      </c>
      <c r="C84" s="245"/>
      <c r="D84" s="261">
        <f>IFERROR(__xludf.DUMMYFUNCTION("""COMPUTED_VALUE"""),18.0)</f>
        <v>18</v>
      </c>
      <c r="E84" s="245"/>
      <c r="F84" s="245"/>
      <c r="G84" s="245"/>
      <c r="H84" s="245"/>
      <c r="I84" s="245"/>
      <c r="J84" s="245"/>
      <c r="K84" s="265"/>
      <c r="L84" s="245"/>
      <c r="M84" s="245"/>
      <c r="N84" s="245"/>
      <c r="O84" s="245"/>
      <c r="P84" s="245"/>
      <c r="Q84" s="247"/>
      <c r="R84" s="254"/>
      <c r="S84" s="245"/>
      <c r="T84" s="245"/>
      <c r="U84" s="245"/>
      <c r="V84" s="245"/>
      <c r="W84" s="245"/>
      <c r="X84" s="245"/>
      <c r="Y84" s="249"/>
      <c r="Z84" s="276"/>
      <c r="AA84" s="245"/>
      <c r="AB84" s="276"/>
      <c r="AC84" s="276"/>
      <c r="AD84" s="246"/>
      <c r="AE84" s="278"/>
      <c r="AF84" s="370"/>
      <c r="AG84" s="371"/>
      <c r="AH84" s="276"/>
      <c r="AI84" s="245"/>
      <c r="AJ84" s="287"/>
      <c r="AK84" s="278"/>
      <c r="AL84" s="246"/>
      <c r="AM84" s="245"/>
      <c r="AN84" s="245"/>
      <c r="AO84" s="274"/>
      <c r="AP84" s="245"/>
      <c r="AQ84" s="245"/>
      <c r="AR84" s="246"/>
      <c r="AS84" s="245"/>
      <c r="AT84" s="245"/>
      <c r="AU84" s="245"/>
      <c r="AV84" s="245"/>
      <c r="AW84" s="245"/>
      <c r="AX84" s="246"/>
      <c r="AY84" s="245"/>
      <c r="AZ84" s="245"/>
      <c r="BA84" s="246"/>
      <c r="BB84" s="245"/>
      <c r="BC84" s="245"/>
      <c r="BD84" s="245"/>
      <c r="BE84" s="245" t="str">
        <f>IFERROR(__xludf.DUMMYFUNCTION("""COMPUTED_VALUE"""),"")</f>
        <v/>
      </c>
      <c r="BF84" s="245"/>
      <c r="BG84" s="245" t="str">
        <f>IFERROR(__xludf.DUMMYFUNCTION("""COMPUTED_VALUE"""),"Knockback Force")</f>
        <v>Knockback Force</v>
      </c>
      <c r="BH84" s="245" t="str">
        <f>IFERROR(__xludf.DUMMYFUNCTION("""COMPUTED_VALUE"""),"Mythic")</f>
        <v>Mythic</v>
      </c>
      <c r="BI84" s="245" t="str">
        <f>IFERROR(__xludf.DUMMYFUNCTION("""COMPUTED_VALUE"""),"+0.9")</f>
        <v>+0.9</v>
      </c>
      <c r="BJ84" s="279">
        <f>IFERROR(__xludf.DUMMYFUNCTION("""COMPUTED_VALUE"""),0.9)</f>
        <v>0.9</v>
      </c>
      <c r="BK84" s="245"/>
      <c r="BL84" s="245" t="str">
        <f>IFERROR(__xludf.DUMMYFUNCTION("""COMPUTED_VALUE"""),"Enemy Health Level Skip")</f>
        <v>Enemy Health Level Skip</v>
      </c>
      <c r="BM84" s="245" t="str">
        <f>IFERROR(__xludf.DUMMYFUNCTION("""COMPUTED_VALUE"""),"Mythic")</f>
        <v>Mythic</v>
      </c>
      <c r="BN84" s="245" t="str">
        <f>IFERROR(__xludf.DUMMYFUNCTION("""COMPUTED_VALUE"""),"+6%")</f>
        <v>+6%</v>
      </c>
      <c r="BO84" s="279">
        <f>IFERROR(__xludf.DUMMYFUNCTION("""COMPUTED_VALUE"""),0.06)</f>
        <v>0.06</v>
      </c>
      <c r="BP84" s="245"/>
      <c r="BQ84" s="245"/>
      <c r="BR84" s="245"/>
      <c r="BS84" s="245"/>
      <c r="BT84" s="246" t="str">
        <f>IFERROR(__xludf.DUMMYFUNCTION("""COMPUTED_VALUE"""),"")</f>
        <v/>
      </c>
      <c r="BU84" s="245"/>
      <c r="BV84" s="245"/>
      <c r="BW84" s="245"/>
      <c r="BX84" s="245"/>
      <c r="BY84" s="245"/>
      <c r="BZ84" s="282"/>
      <c r="CA84" s="245"/>
      <c r="CB84" s="245"/>
      <c r="CC84" s="245"/>
      <c r="CD84" s="245"/>
      <c r="CE84" s="245"/>
      <c r="CF84" s="245"/>
    </row>
    <row r="85">
      <c r="A85" s="259" t="str">
        <f>IFERROR(__xludf.DUMMYFUNCTION("""COMPUTED_VALUE"""),"Black Hole Disable Ranged Enemies")</f>
        <v>Black Hole Disable Ranged Enemies</v>
      </c>
      <c r="B85" s="260">
        <f>IFERROR(__xludf.DUMMYFUNCTION("""COMPUTED_VALUE"""),1.0)</f>
        <v>1</v>
      </c>
      <c r="C85" s="245"/>
      <c r="D85" s="261">
        <f>IFERROR(__xludf.DUMMYFUNCTION("""COMPUTED_VALUE"""),1.0)</f>
        <v>1</v>
      </c>
      <c r="E85" s="245"/>
      <c r="F85" s="245"/>
      <c r="G85" s="245"/>
      <c r="H85" s="245"/>
      <c r="I85" s="245"/>
      <c r="J85" s="245"/>
      <c r="K85" s="265"/>
      <c r="L85" s="245"/>
      <c r="M85" s="245"/>
      <c r="N85" s="245"/>
      <c r="O85" s="245"/>
      <c r="P85" s="245"/>
      <c r="Q85" s="247"/>
      <c r="R85" s="254"/>
      <c r="S85" s="245"/>
      <c r="T85" s="245"/>
      <c r="U85" s="245"/>
      <c r="V85" s="245"/>
      <c r="W85" s="245"/>
      <c r="X85" s="245"/>
      <c r="Y85" s="249"/>
      <c r="Z85" s="276"/>
      <c r="AA85" s="245"/>
      <c r="AB85" s="276"/>
      <c r="AC85" s="276"/>
      <c r="AD85" s="246"/>
      <c r="AE85" s="278"/>
      <c r="AF85" s="370"/>
      <c r="AG85" s="371"/>
      <c r="AH85" s="276"/>
      <c r="AI85" s="245"/>
      <c r="AJ85" s="287"/>
      <c r="AK85" s="278"/>
      <c r="AL85" s="246"/>
      <c r="AM85" s="245"/>
      <c r="AN85" s="245"/>
      <c r="AO85" s="274"/>
      <c r="AP85" s="245"/>
      <c r="AQ85" s="245"/>
      <c r="AR85" s="246"/>
      <c r="AS85" s="245"/>
      <c r="AT85" s="245"/>
      <c r="AU85" s="245"/>
      <c r="AV85" s="245"/>
      <c r="AW85" s="245"/>
      <c r="AX85" s="246"/>
      <c r="AY85" s="245"/>
      <c r="AZ85" s="245"/>
      <c r="BA85" s="246"/>
      <c r="BB85" s="245"/>
      <c r="BC85" s="245"/>
      <c r="BD85" s="245"/>
      <c r="BE85" s="245" t="str">
        <f>IFERROR(__xludf.DUMMYFUNCTION("""COMPUTED_VALUE"""),"")</f>
        <v/>
      </c>
      <c r="BF85" s="245"/>
      <c r="BG85" s="245" t="str">
        <f>IFERROR(__xludf.DUMMYFUNCTION("""COMPUTED_VALUE"""),"Defense %")</f>
        <v>Defense %</v>
      </c>
      <c r="BH85" s="245" t="str">
        <f>IFERROR(__xludf.DUMMYFUNCTION("""COMPUTED_VALUE"""),"Ancestral")</f>
        <v>Ancestral</v>
      </c>
      <c r="BI85" s="245" t="str">
        <f>IFERROR(__xludf.DUMMYFUNCTION("""COMPUTED_VALUE"""),"+8%")</f>
        <v>+8%</v>
      </c>
      <c r="BJ85" s="279">
        <f>IFERROR(__xludf.DUMMYFUNCTION("""COMPUTED_VALUE"""),0.08)</f>
        <v>0.08</v>
      </c>
      <c r="BK85" s="245"/>
      <c r="BL85" s="245" t="str">
        <f>IFERROR(__xludf.DUMMYFUNCTION("""COMPUTED_VALUE"""),"Free Utility Upgrade")</f>
        <v>Free Utility Upgrade</v>
      </c>
      <c r="BM85" s="245" t="str">
        <f>IFERROR(__xludf.DUMMYFUNCTION("""COMPUTED_VALUE"""),"Mythic")</f>
        <v>Mythic</v>
      </c>
      <c r="BN85" s="245" t="str">
        <f>IFERROR(__xludf.DUMMYFUNCTION("""COMPUTED_VALUE"""),"+10%")</f>
        <v>+10%</v>
      </c>
      <c r="BO85" s="279">
        <f>IFERROR(__xludf.DUMMYFUNCTION("""COMPUTED_VALUE"""),0.1)</f>
        <v>0.1</v>
      </c>
      <c r="BP85" s="245"/>
      <c r="BQ85" s="245"/>
      <c r="BR85" s="245"/>
      <c r="BS85" s="245"/>
      <c r="BT85" s="246" t="str">
        <f>IFERROR(__xludf.DUMMYFUNCTION("""COMPUTED_VALUE"""),"")</f>
        <v/>
      </c>
      <c r="BU85" s="245"/>
      <c r="BV85" s="245"/>
      <c r="BW85" s="245"/>
      <c r="BX85" s="245"/>
      <c r="BY85" s="245"/>
      <c r="BZ85" s="282"/>
      <c r="CA85" s="245"/>
      <c r="CB85" s="245"/>
      <c r="CC85" s="245"/>
      <c r="CD85" s="245"/>
      <c r="CE85" s="245"/>
      <c r="CF85" s="245"/>
    </row>
    <row r="86">
      <c r="A86" s="259" t="str">
        <f>IFERROR(__xludf.DUMMYFUNCTION("""COMPUTED_VALUE"""),"Recharge Missile Barrage")</f>
        <v>Recharge Missile Barrage</v>
      </c>
      <c r="B86" s="260">
        <f>IFERROR(__xludf.DUMMYFUNCTION("""COMPUTED_VALUE"""),0.0)</f>
        <v>0</v>
      </c>
      <c r="C86" s="245"/>
      <c r="D86" s="261">
        <f>IFERROR(__xludf.DUMMYFUNCTION("""COMPUTED_VALUE"""),7.0)</f>
        <v>7</v>
      </c>
      <c r="E86" s="245"/>
      <c r="F86" s="245"/>
      <c r="G86" s="245"/>
      <c r="H86" s="245"/>
      <c r="I86" s="245"/>
      <c r="J86" s="245"/>
      <c r="K86" s="265"/>
      <c r="L86" s="245"/>
      <c r="M86" s="245"/>
      <c r="N86" s="245"/>
      <c r="O86" s="245"/>
      <c r="P86" s="245"/>
      <c r="Q86" s="247"/>
      <c r="R86" s="254"/>
      <c r="S86" s="245"/>
      <c r="T86" s="245"/>
      <c r="U86" s="245"/>
      <c r="V86" s="245"/>
      <c r="W86" s="245"/>
      <c r="X86" s="245"/>
      <c r="Y86" s="249"/>
      <c r="Z86" s="276"/>
      <c r="AA86" s="245"/>
      <c r="AB86" s="276"/>
      <c r="AC86" s="276"/>
      <c r="AD86" s="246"/>
      <c r="AE86" s="278"/>
      <c r="AF86" s="370"/>
      <c r="AG86" s="371"/>
      <c r="AH86" s="276"/>
      <c r="AI86" s="245"/>
      <c r="AJ86" s="287"/>
      <c r="AK86" s="278"/>
      <c r="AL86" s="246"/>
      <c r="AM86" s="245"/>
      <c r="AN86" s="245"/>
      <c r="AO86" s="274"/>
      <c r="AP86" s="245"/>
      <c r="AQ86" s="245"/>
      <c r="AR86" s="246"/>
      <c r="AS86" s="245"/>
      <c r="AT86" s="245"/>
      <c r="AU86" s="245"/>
      <c r="AV86" s="245"/>
      <c r="AW86" s="245"/>
      <c r="AX86" s="246"/>
      <c r="AY86" s="245"/>
      <c r="AZ86" s="245"/>
      <c r="BA86" s="246"/>
      <c r="BB86" s="245"/>
      <c r="BC86" s="245"/>
      <c r="BD86" s="245"/>
      <c r="BE86" s="245" t="str">
        <f>IFERROR(__xludf.DUMMYFUNCTION("""COMPUTED_VALUE"""),"")</f>
        <v/>
      </c>
      <c r="BF86" s="245"/>
      <c r="BG86" s="245" t="str">
        <f>IFERROR(__xludf.DUMMYFUNCTION("""COMPUTED_VALUE"""),"Wall Health")</f>
        <v>Wall Health</v>
      </c>
      <c r="BH86" s="245" t="str">
        <f>IFERROR(__xludf.DUMMYFUNCTION("""COMPUTED_VALUE"""),"Ancestral")</f>
        <v>Ancestral</v>
      </c>
      <c r="BI86" s="245" t="str">
        <f>IFERROR(__xludf.DUMMYFUNCTION("""COMPUTED_VALUE"""),"+120%")</f>
        <v>+120%</v>
      </c>
      <c r="BJ86" s="279">
        <f>IFERROR(__xludf.DUMMYFUNCTION("""COMPUTED_VALUE"""),1.2)</f>
        <v>1.2</v>
      </c>
      <c r="BK86" s="245"/>
      <c r="BL86" s="245" t="str">
        <f>IFERROR(__xludf.DUMMYFUNCTION("""COMPUTED_VALUE"""),"Free Defense Upgrade")</f>
        <v>Free Defense Upgrade</v>
      </c>
      <c r="BM86" s="245" t="str">
        <f>IFERROR(__xludf.DUMMYFUNCTION("""COMPUTED_VALUE"""),"Epic")</f>
        <v>Epic</v>
      </c>
      <c r="BN86" s="245" t="str">
        <f>IFERROR(__xludf.DUMMYFUNCTION("""COMPUTED_VALUE"""),"+6%")</f>
        <v>+6%</v>
      </c>
      <c r="BO86" s="245">
        <f>IFERROR(__xludf.DUMMYFUNCTION("""COMPUTED_VALUE"""),0.06)</f>
        <v>0.06</v>
      </c>
      <c r="BP86" s="245"/>
      <c r="BQ86" s="245"/>
      <c r="BR86" s="245"/>
      <c r="BS86" s="245"/>
      <c r="BT86" s="246" t="str">
        <f>IFERROR(__xludf.DUMMYFUNCTION("""COMPUTED_VALUE"""),"")</f>
        <v/>
      </c>
      <c r="BU86" s="245"/>
      <c r="BV86" s="245"/>
      <c r="BW86" s="245"/>
      <c r="BX86" s="245"/>
      <c r="BY86" s="245"/>
      <c r="BZ86" s="282"/>
      <c r="CA86" s="245"/>
      <c r="CB86" s="245"/>
      <c r="CC86" s="245"/>
      <c r="CD86" s="245"/>
      <c r="CE86" s="245"/>
      <c r="CF86" s="245"/>
    </row>
    <row r="87">
      <c r="A87" s="259" t="str">
        <f>IFERROR(__xludf.DUMMYFUNCTION("""COMPUTED_VALUE"""),"Swamp Rend")</f>
        <v>Swamp Rend</v>
      </c>
      <c r="B87" s="260">
        <f>IFERROR(__xludf.DUMMYFUNCTION("""COMPUTED_VALUE"""),0.0)</f>
        <v>0</v>
      </c>
      <c r="C87" s="245"/>
      <c r="D87" s="261">
        <f>IFERROR(__xludf.DUMMYFUNCTION("""COMPUTED_VALUE"""),30.0)</f>
        <v>30</v>
      </c>
      <c r="E87" s="245"/>
      <c r="F87" s="245"/>
      <c r="G87" s="245"/>
      <c r="H87" s="245"/>
      <c r="I87" s="245"/>
      <c r="J87" s="245"/>
      <c r="K87" s="265"/>
      <c r="L87" s="245"/>
      <c r="M87" s="245"/>
      <c r="N87" s="245"/>
      <c r="O87" s="245"/>
      <c r="P87" s="245"/>
      <c r="Q87" s="247"/>
      <c r="R87" s="254"/>
      <c r="S87" s="245"/>
      <c r="T87" s="245"/>
      <c r="U87" s="245"/>
      <c r="V87" s="245"/>
      <c r="W87" s="245"/>
      <c r="X87" s="245"/>
      <c r="Y87" s="249"/>
      <c r="Z87" s="276"/>
      <c r="AA87" s="245"/>
      <c r="AB87" s="276"/>
      <c r="AC87" s="276"/>
      <c r="AD87" s="246"/>
      <c r="AE87" s="278"/>
      <c r="AF87" s="370"/>
      <c r="AG87" s="371"/>
      <c r="AH87" s="276"/>
      <c r="AI87" s="245"/>
      <c r="AJ87" s="287"/>
      <c r="AK87" s="278"/>
      <c r="AL87" s="246"/>
      <c r="AM87" s="245"/>
      <c r="AN87" s="245"/>
      <c r="AO87" s="274"/>
      <c r="AP87" s="245"/>
      <c r="AQ87" s="245"/>
      <c r="AR87" s="246"/>
      <c r="AS87" s="245"/>
      <c r="AT87" s="245"/>
      <c r="AU87" s="245"/>
      <c r="AV87" s="245"/>
      <c r="AW87" s="245"/>
      <c r="AX87" s="246"/>
      <c r="AY87" s="245"/>
      <c r="AZ87" s="245"/>
      <c r="BA87" s="246"/>
      <c r="BB87" s="245"/>
      <c r="BC87" s="245"/>
      <c r="BD87" s="245"/>
      <c r="BE87" s="245" t="str">
        <f>IFERROR(__xludf.DUMMYFUNCTION("""COMPUTED_VALUE"""),"")</f>
        <v/>
      </c>
      <c r="BF87" s="245"/>
      <c r="BG87" s="245" t="str">
        <f>IFERROR(__xludf.DUMMYFUNCTION("""COMPUTED_VALUE"""),"Thorns Damage")</f>
        <v>Thorns Damage</v>
      </c>
      <c r="BH87" s="245" t="str">
        <f>IFERROR(__xludf.DUMMYFUNCTION("""COMPUTED_VALUE"""),"Ancestral")</f>
        <v>Ancestral</v>
      </c>
      <c r="BI87" s="245" t="str">
        <f>IFERROR(__xludf.DUMMYFUNCTION("""COMPUTED_VALUE"""),"+10%")</f>
        <v>+10%</v>
      </c>
      <c r="BJ87" s="245">
        <f>IFERROR(__xludf.DUMMYFUNCTION("""COMPUTED_VALUE"""),0.1)</f>
        <v>0.1</v>
      </c>
      <c r="BK87" s="245"/>
      <c r="BL87" s="245" t="str">
        <f>IFERROR(__xludf.DUMMYFUNCTION("""COMPUTED_VALUE"""),"Package Chance")</f>
        <v>Package Chance</v>
      </c>
      <c r="BM87" s="245" t="str">
        <f>IFERROR(__xludf.DUMMYFUNCTION("""COMPUTED_VALUE"""),"Mythic")</f>
        <v>Mythic</v>
      </c>
      <c r="BN87" s="245" t="str">
        <f>IFERROR(__xludf.DUMMYFUNCTION("""COMPUTED_VALUE"""),"+11%")</f>
        <v>+11%</v>
      </c>
      <c r="BO87" s="245">
        <f>IFERROR(__xludf.DUMMYFUNCTION("""COMPUTED_VALUE"""),0.11)</f>
        <v>0.11</v>
      </c>
      <c r="BP87" s="245"/>
      <c r="BQ87" s="245"/>
      <c r="BR87" s="245"/>
      <c r="BS87" s="245"/>
      <c r="BT87" s="246" t="str">
        <f>IFERROR(__xludf.DUMMYFUNCTION("""COMPUTED_VALUE"""),"")</f>
        <v/>
      </c>
      <c r="BU87" s="245"/>
      <c r="BV87" s="245"/>
      <c r="BW87" s="245"/>
      <c r="BX87" s="245"/>
      <c r="BY87" s="245"/>
      <c r="BZ87" s="282"/>
      <c r="CA87" s="245"/>
      <c r="CB87" s="245"/>
      <c r="CC87" s="245"/>
      <c r="CD87" s="245"/>
      <c r="CE87" s="245"/>
      <c r="CF87" s="245"/>
    </row>
    <row r="88">
      <c r="A88" s="259" t="str">
        <f>IFERROR(__xludf.DUMMYFUNCTION("""COMPUTED_VALUE"""),"Swamp Rend - Additional Enemies")</f>
        <v>Swamp Rend - Additional Enemies</v>
      </c>
      <c r="B88" s="260">
        <f>IFERROR(__xludf.DUMMYFUNCTION("""COMPUTED_VALUE"""),0.0)</f>
        <v>0</v>
      </c>
      <c r="C88" s="245"/>
      <c r="D88" s="261">
        <f>IFERROR(__xludf.DUMMYFUNCTION("""COMPUTED_VALUE"""),6.0)</f>
        <v>6</v>
      </c>
      <c r="E88" s="245"/>
      <c r="F88" s="245"/>
      <c r="G88" s="245"/>
      <c r="H88" s="245"/>
      <c r="I88" s="245"/>
      <c r="J88" s="245"/>
      <c r="K88" s="265"/>
      <c r="L88" s="245"/>
      <c r="M88" s="245"/>
      <c r="N88" s="245"/>
      <c r="O88" s="245"/>
      <c r="P88" s="245"/>
      <c r="Q88" s="247"/>
      <c r="R88" s="254"/>
      <c r="S88" s="245"/>
      <c r="T88" s="245"/>
      <c r="U88" s="245"/>
      <c r="V88" s="245"/>
      <c r="W88" s="245"/>
      <c r="X88" s="245"/>
      <c r="Y88" s="249"/>
      <c r="Z88" s="276"/>
      <c r="AA88" s="245"/>
      <c r="AB88" s="276"/>
      <c r="AC88" s="276"/>
      <c r="AD88" s="246"/>
      <c r="AE88" s="278"/>
      <c r="AF88" s="370"/>
      <c r="AG88" s="371"/>
      <c r="AH88" s="276"/>
      <c r="AI88" s="245"/>
      <c r="AJ88" s="287"/>
      <c r="AK88" s="278"/>
      <c r="AL88" s="246"/>
      <c r="AM88" s="245"/>
      <c r="AN88" s="245"/>
      <c r="AO88" s="274"/>
      <c r="AP88" s="245"/>
      <c r="AQ88" s="245"/>
      <c r="AR88" s="246"/>
      <c r="AS88" s="245"/>
      <c r="AT88" s="245"/>
      <c r="AU88" s="245"/>
      <c r="AV88" s="245"/>
      <c r="AW88" s="245"/>
      <c r="AX88" s="246"/>
      <c r="AY88" s="245"/>
      <c r="AZ88" s="245"/>
      <c r="BA88" s="246"/>
      <c r="BB88" s="245"/>
      <c r="BC88" s="245"/>
      <c r="BD88" s="245"/>
      <c r="BE88" s="245" t="str">
        <f>IFERROR(__xludf.DUMMYFUNCTION("""COMPUTED_VALUE"""),"")</f>
        <v/>
      </c>
      <c r="BF88" s="245"/>
      <c r="BG88" s="245" t="str">
        <f>IFERROR(__xludf.DUMMYFUNCTION("""COMPUTED_VALUE"""),"Orb Speed")</f>
        <v>Orb Speed</v>
      </c>
      <c r="BH88" s="245" t="str">
        <f>IFERROR(__xludf.DUMMYFUNCTION("""COMPUTED_VALUE"""),"Epic")</f>
        <v>Epic</v>
      </c>
      <c r="BI88" s="245" t="str">
        <f>IFERROR(__xludf.DUMMYFUNCTION("""COMPUTED_VALUE"""),"+1")</f>
        <v>+1</v>
      </c>
      <c r="BJ88" s="245">
        <f>IFERROR(__xludf.DUMMYFUNCTION("""COMPUTED_VALUE"""),1.0)</f>
        <v>1</v>
      </c>
      <c r="BK88" s="245"/>
      <c r="BL88" s="245"/>
      <c r="BM88" s="245"/>
      <c r="BN88" s="245"/>
      <c r="BO88" s="245" t="str">
        <f>IFERROR(__xludf.DUMMYFUNCTION("""COMPUTED_VALUE"""),"")</f>
        <v/>
      </c>
      <c r="BP88" s="245"/>
      <c r="BQ88" s="245"/>
      <c r="BR88" s="245"/>
      <c r="BS88" s="245"/>
      <c r="BT88" s="246" t="str">
        <f>IFERROR(__xludf.DUMMYFUNCTION("""COMPUTED_VALUE"""),"")</f>
        <v/>
      </c>
      <c r="BU88" s="245"/>
      <c r="BV88" s="245"/>
      <c r="BW88" s="245"/>
      <c r="BX88" s="245"/>
      <c r="BY88" s="245"/>
      <c r="BZ88" s="282"/>
      <c r="CA88" s="245"/>
      <c r="CB88" s="245"/>
      <c r="CC88" s="245"/>
      <c r="CD88" s="245"/>
      <c r="CE88" s="245"/>
      <c r="CF88" s="245"/>
    </row>
    <row r="89">
      <c r="A89" s="259" t="str">
        <f>IFERROR(__xludf.DUMMYFUNCTION("""COMPUTED_VALUE"""),"Chain Thunder")</f>
        <v>Chain Thunder</v>
      </c>
      <c r="B89" s="260">
        <f>IFERROR(__xludf.DUMMYFUNCTION("""COMPUTED_VALUE"""),12.0)</f>
        <v>12</v>
      </c>
      <c r="C89" s="245"/>
      <c r="D89" s="261">
        <f>IFERROR(__xludf.DUMMYFUNCTION("""COMPUTED_VALUE"""),30.0)</f>
        <v>30</v>
      </c>
      <c r="E89" s="245"/>
      <c r="F89" s="245"/>
      <c r="G89" s="245"/>
      <c r="H89" s="245"/>
      <c r="I89" s="245"/>
      <c r="J89" s="245"/>
      <c r="K89" s="265"/>
      <c r="L89" s="245"/>
      <c r="M89" s="245"/>
      <c r="N89" s="245"/>
      <c r="O89" s="245"/>
      <c r="P89" s="245"/>
      <c r="Q89" s="247"/>
      <c r="R89" s="254"/>
      <c r="S89" s="245"/>
      <c r="T89" s="245"/>
      <c r="U89" s="245"/>
      <c r="V89" s="245"/>
      <c r="W89" s="245"/>
      <c r="X89" s="245"/>
      <c r="Y89" s="249"/>
      <c r="Z89" s="276"/>
      <c r="AA89" s="245"/>
      <c r="AB89" s="276"/>
      <c r="AC89" s="276"/>
      <c r="AD89" s="246"/>
      <c r="AE89" s="278"/>
      <c r="AF89" s="370"/>
      <c r="AG89" s="371"/>
      <c r="AH89" s="276"/>
      <c r="AI89" s="245"/>
      <c r="AJ89" s="287"/>
      <c r="AK89" s="278"/>
      <c r="AL89" s="246"/>
      <c r="AM89" s="245"/>
      <c r="AN89" s="245"/>
      <c r="AO89" s="274"/>
      <c r="AP89" s="245"/>
      <c r="AQ89" s="245"/>
      <c r="AR89" s="246"/>
      <c r="AS89" s="245"/>
      <c r="AT89" s="245"/>
      <c r="AU89" s="245"/>
      <c r="AV89" s="245"/>
      <c r="AW89" s="245"/>
      <c r="AX89" s="246"/>
      <c r="AY89" s="245"/>
      <c r="AZ89" s="245"/>
      <c r="BA89" s="246"/>
      <c r="BB89" s="245"/>
      <c r="BC89" s="245"/>
      <c r="BD89" s="245"/>
      <c r="BE89" s="245" t="str">
        <f>IFERROR(__xludf.DUMMYFUNCTION("""COMPUTED_VALUE"""),"")</f>
        <v/>
      </c>
      <c r="BF89" s="245"/>
      <c r="BG89" s="245"/>
      <c r="BH89" s="245"/>
      <c r="BI89" s="245"/>
      <c r="BJ89" s="245" t="str">
        <f>IFERROR(__xludf.DUMMYFUNCTION("""COMPUTED_VALUE"""),"")</f>
        <v/>
      </c>
      <c r="BK89" s="245"/>
      <c r="BL89" s="245"/>
      <c r="BM89" s="245"/>
      <c r="BN89" s="245"/>
      <c r="BO89" s="245" t="str">
        <f>IFERROR(__xludf.DUMMYFUNCTION("""COMPUTED_VALUE"""),"")</f>
        <v/>
      </c>
      <c r="BP89" s="245"/>
      <c r="BQ89" s="245"/>
      <c r="BR89" s="245"/>
      <c r="BS89" s="245"/>
      <c r="BT89" s="246" t="str">
        <f>IFERROR(__xludf.DUMMYFUNCTION("""COMPUTED_VALUE"""),"")</f>
        <v/>
      </c>
      <c r="BU89" s="245"/>
      <c r="BV89" s="245"/>
      <c r="BW89" s="245"/>
      <c r="BX89" s="245"/>
      <c r="BY89" s="245"/>
      <c r="BZ89" s="282"/>
      <c r="CA89" s="245"/>
      <c r="CB89" s="245"/>
      <c r="CC89" s="245"/>
      <c r="CD89" s="245"/>
      <c r="CE89" s="245"/>
      <c r="CF89" s="245"/>
    </row>
    <row r="90">
      <c r="A90" s="259" t="str">
        <f>IFERROR(__xludf.DUMMYFUNCTION("""COMPUTED_VALUE"""),"Lightning Amplifier - Scatter")</f>
        <v>Lightning Amplifier - Scatter</v>
      </c>
      <c r="B90" s="260">
        <f>IFERROR(__xludf.DUMMYFUNCTION("""COMPUTED_VALUE"""),9.0)</f>
        <v>9</v>
      </c>
      <c r="C90" s="245"/>
      <c r="D90" s="261">
        <f>IFERROR(__xludf.DUMMYFUNCTION("""COMPUTED_VALUE"""),30.0)</f>
        <v>30</v>
      </c>
      <c r="E90" s="245"/>
      <c r="F90" s="245"/>
      <c r="G90" s="245"/>
      <c r="H90" s="245"/>
      <c r="I90" s="245"/>
      <c r="J90" s="245"/>
      <c r="K90" s="265"/>
      <c r="L90" s="245"/>
      <c r="M90" s="245"/>
      <c r="N90" s="245"/>
      <c r="O90" s="245"/>
      <c r="P90" s="245"/>
      <c r="Q90" s="247"/>
      <c r="R90" s="254"/>
      <c r="S90" s="245"/>
      <c r="T90" s="245"/>
      <c r="U90" s="245"/>
      <c r="V90" s="245"/>
      <c r="W90" s="245"/>
      <c r="X90" s="245"/>
      <c r="Y90" s="249"/>
      <c r="Z90" s="276"/>
      <c r="AA90" s="245"/>
      <c r="AB90" s="276"/>
      <c r="AC90" s="276"/>
      <c r="AD90" s="246"/>
      <c r="AE90" s="278"/>
      <c r="AF90" s="370"/>
      <c r="AG90" s="371"/>
      <c r="AH90" s="276"/>
      <c r="AI90" s="245"/>
      <c r="AJ90" s="287"/>
      <c r="AK90" s="278"/>
      <c r="AL90" s="246"/>
      <c r="AM90" s="245"/>
      <c r="AN90" s="245"/>
      <c r="AO90" s="274"/>
      <c r="AP90" s="245"/>
      <c r="AQ90" s="245"/>
      <c r="AR90" s="246"/>
      <c r="AS90" s="245"/>
      <c r="AT90" s="245"/>
      <c r="AU90" s="245"/>
      <c r="AV90" s="245"/>
      <c r="AW90" s="245"/>
      <c r="AX90" s="246"/>
      <c r="AY90" s="245"/>
      <c r="AZ90" s="245"/>
      <c r="BA90" s="246"/>
      <c r="BB90" s="245"/>
      <c r="BC90" s="245"/>
      <c r="BD90" s="245"/>
      <c r="BE90" s="245" t="str">
        <f>IFERROR(__xludf.DUMMYFUNCTION("""COMPUTED_VALUE"""),"")</f>
        <v/>
      </c>
      <c r="BF90" s="245"/>
      <c r="BG90" s="245"/>
      <c r="BH90" s="245"/>
      <c r="BI90" s="245"/>
      <c r="BJ90" s="245" t="str">
        <f>IFERROR(__xludf.DUMMYFUNCTION("""COMPUTED_VALUE"""),"")</f>
        <v/>
      </c>
      <c r="BK90" s="245"/>
      <c r="BL90" s="245"/>
      <c r="BM90" s="245"/>
      <c r="BN90" s="245"/>
      <c r="BO90" s="245" t="str">
        <f>IFERROR(__xludf.DUMMYFUNCTION("""COMPUTED_VALUE"""),"")</f>
        <v/>
      </c>
      <c r="BP90" s="245"/>
      <c r="BQ90" s="245"/>
      <c r="BR90" s="245"/>
      <c r="BS90" s="245"/>
      <c r="BT90" s="246" t="str">
        <f>IFERROR(__xludf.DUMMYFUNCTION("""COMPUTED_VALUE"""),"")</f>
        <v/>
      </c>
      <c r="BU90" s="245"/>
      <c r="BV90" s="245"/>
      <c r="BW90" s="245"/>
      <c r="BX90" s="245"/>
      <c r="BY90" s="245"/>
      <c r="BZ90" s="282"/>
      <c r="CA90" s="245"/>
      <c r="CB90" s="245"/>
      <c r="CC90" s="245"/>
      <c r="CD90" s="245"/>
      <c r="CE90" s="245"/>
      <c r="CF90" s="245"/>
    </row>
    <row r="91">
      <c r="A91" s="259" t="str">
        <f>IFERROR(__xludf.DUMMYFUNCTION("""COMPUTED_VALUE"""),"Death Wave Cells Bonus")</f>
        <v>Death Wave Cells Bonus</v>
      </c>
      <c r="B91" s="260">
        <f>IFERROR(__xludf.DUMMYFUNCTION("""COMPUTED_VALUE"""),20.0)</f>
        <v>20</v>
      </c>
      <c r="C91" s="245"/>
      <c r="D91" s="261">
        <f>IFERROR(__xludf.DUMMYFUNCTION("""COMPUTED_VALUE"""),20.0)</f>
        <v>20</v>
      </c>
      <c r="E91" s="245"/>
      <c r="F91" s="245"/>
      <c r="G91" s="245"/>
      <c r="H91" s="245"/>
      <c r="I91" s="245"/>
      <c r="J91" s="245"/>
      <c r="K91" s="265"/>
      <c r="L91" s="245"/>
      <c r="M91" s="245"/>
      <c r="N91" s="245"/>
      <c r="O91" s="245"/>
      <c r="P91" s="245"/>
      <c r="Q91" s="247"/>
      <c r="R91" s="254"/>
      <c r="S91" s="245"/>
      <c r="T91" s="245"/>
      <c r="U91" s="245"/>
      <c r="V91" s="245"/>
      <c r="W91" s="245"/>
      <c r="X91" s="245"/>
      <c r="Y91" s="249"/>
      <c r="Z91" s="276"/>
      <c r="AA91" s="245"/>
      <c r="AB91" s="276"/>
      <c r="AC91" s="276"/>
      <c r="AD91" s="246"/>
      <c r="AE91" s="278"/>
      <c r="AF91" s="370"/>
      <c r="AG91" s="371"/>
      <c r="AH91" s="276"/>
      <c r="AI91" s="245"/>
      <c r="AJ91" s="287"/>
      <c r="AK91" s="278"/>
      <c r="AL91" s="246"/>
      <c r="AM91" s="245"/>
      <c r="AN91" s="245"/>
      <c r="AO91" s="274"/>
      <c r="AP91" s="245"/>
      <c r="AQ91" s="245"/>
      <c r="AR91" s="246"/>
      <c r="AS91" s="245"/>
      <c r="AT91" s="245"/>
      <c r="AU91" s="245"/>
      <c r="AV91" s="245"/>
      <c r="AW91" s="245"/>
      <c r="AX91" s="246"/>
      <c r="AY91" s="245"/>
      <c r="AZ91" s="245"/>
      <c r="BA91" s="246"/>
      <c r="BB91" s="245"/>
      <c r="BC91" s="245"/>
      <c r="BD91" s="245"/>
      <c r="BE91" s="245"/>
      <c r="BF91" s="245"/>
      <c r="BG91" s="245"/>
      <c r="BH91" s="245"/>
      <c r="BI91" s="245"/>
      <c r="BJ91" s="245"/>
      <c r="BK91" s="245"/>
      <c r="BL91" s="245"/>
      <c r="BM91" s="245"/>
      <c r="BN91" s="245"/>
      <c r="BO91" s="245"/>
      <c r="BP91" s="245"/>
      <c r="BQ91" s="245"/>
      <c r="BR91" s="245"/>
      <c r="BS91" s="245"/>
      <c r="BT91" s="246"/>
      <c r="BU91" s="245"/>
      <c r="BV91" s="245"/>
      <c r="BW91" s="245"/>
      <c r="BX91" s="245"/>
      <c r="BY91" s="245"/>
      <c r="BZ91" s="282"/>
      <c r="CA91" s="245"/>
      <c r="CB91" s="245"/>
      <c r="CC91" s="245"/>
      <c r="CD91" s="245"/>
      <c r="CE91" s="245"/>
      <c r="CF91" s="245"/>
    </row>
    <row r="92">
      <c r="A92" s="310" t="str">
        <f>IFERROR(__xludf.DUMMYFUNCTION("""COMPUTED_VALUE"""),"Death Wave Damage Amplifier")</f>
        <v>Death Wave Damage Amplifier</v>
      </c>
      <c r="B92" s="260">
        <f>IFERROR(__xludf.DUMMYFUNCTION("""COMPUTED_VALUE"""),2.0)</f>
        <v>2</v>
      </c>
      <c r="C92" s="245"/>
      <c r="D92" s="261">
        <f>IFERROR(__xludf.DUMMYFUNCTION("""COMPUTED_VALUE"""),30.0)</f>
        <v>30</v>
      </c>
      <c r="E92" s="245"/>
      <c r="F92" s="245"/>
      <c r="G92" s="245"/>
      <c r="H92" s="245"/>
      <c r="I92" s="245"/>
      <c r="J92" s="245"/>
      <c r="K92" s="265"/>
      <c r="L92" s="245"/>
      <c r="M92" s="245"/>
      <c r="N92" s="245"/>
      <c r="O92" s="245"/>
      <c r="P92" s="245"/>
      <c r="Q92" s="247"/>
      <c r="R92" s="254"/>
      <c r="S92" s="245"/>
      <c r="T92" s="245"/>
      <c r="U92" s="245"/>
      <c r="V92" s="245"/>
      <c r="W92" s="245"/>
      <c r="X92" s="245"/>
      <c r="Y92" s="249"/>
      <c r="Z92" s="276"/>
      <c r="AA92" s="245"/>
      <c r="AB92" s="276"/>
      <c r="AC92" s="276"/>
      <c r="AD92" s="246"/>
      <c r="AE92" s="278"/>
      <c r="AF92" s="370"/>
      <c r="AG92" s="371"/>
      <c r="AH92" s="276"/>
      <c r="AI92" s="245"/>
      <c r="AJ92" s="287"/>
      <c r="AK92" s="278"/>
      <c r="AL92" s="246"/>
      <c r="AM92" s="245"/>
      <c r="AN92" s="245"/>
      <c r="AO92" s="274"/>
      <c r="AP92" s="245"/>
      <c r="AQ92" s="245"/>
      <c r="AR92" s="246"/>
      <c r="AS92" s="245"/>
      <c r="AT92" s="245"/>
      <c r="AU92" s="245"/>
      <c r="AV92" s="245"/>
      <c r="AW92" s="245"/>
      <c r="AX92" s="246"/>
      <c r="AY92" s="245"/>
      <c r="AZ92" s="245"/>
      <c r="BA92" s="246"/>
      <c r="BB92" s="245" t="str">
        <f>IFERROR(__xludf.DUMMYFUNCTION("""COMPUTED_VALUE"""),"Amplifying Strike")</f>
        <v>Amplifying Strike</v>
      </c>
      <c r="BC92" s="245"/>
      <c r="BD92" s="245"/>
      <c r="BE92" s="245"/>
      <c r="BF92" s="245"/>
      <c r="BG92" s="245" t="str">
        <f>IFERROR(__xludf.DUMMYFUNCTION("""COMPUTED_VALUE"""),"Orbital Augment")</f>
        <v>Orbital Augment</v>
      </c>
      <c r="BH92" s="245"/>
      <c r="BI92" s="245"/>
      <c r="BJ92" s="245"/>
      <c r="BK92" s="245"/>
      <c r="BL92" s="245" t="str">
        <f>IFERROR(__xludf.DUMMYFUNCTION("""COMPUTED_VALUE"""),"Restorative Bonus")</f>
        <v>Restorative Bonus</v>
      </c>
      <c r="BM92" s="245"/>
      <c r="BN92" s="245"/>
      <c r="BO92" s="245"/>
      <c r="BP92" s="245"/>
      <c r="BQ92" s="245" t="str">
        <f>IFERROR(__xludf.DUMMYFUNCTION("""COMPUTED_VALUE"""),"Primordial Collapse")</f>
        <v>Primordial Collapse</v>
      </c>
      <c r="BR92" s="245"/>
      <c r="BS92" s="245"/>
      <c r="BT92" s="246"/>
      <c r="BU92" s="245"/>
      <c r="BV92" s="245"/>
      <c r="BW92" s="245"/>
      <c r="BX92" s="245"/>
      <c r="BY92" s="245"/>
      <c r="BZ92" s="282"/>
      <c r="CA92" s="245"/>
      <c r="CB92" s="245"/>
      <c r="CC92" s="245"/>
      <c r="CD92" s="245"/>
      <c r="CE92" s="245"/>
      <c r="CF92" s="245"/>
    </row>
    <row r="93">
      <c r="A93" s="259" t="str">
        <f>IFERROR(__xludf.DUMMYFUNCTION("""COMPUTED_VALUE"""),"Death Wave Armor Stripping")</f>
        <v>Death Wave Armor Stripping</v>
      </c>
      <c r="B93" s="260">
        <f>IFERROR(__xludf.DUMMYFUNCTION("""COMPUTED_VALUE"""),0.0)</f>
        <v>0</v>
      </c>
      <c r="C93" s="245"/>
      <c r="D93" s="261">
        <f>IFERROR(__xludf.DUMMYFUNCTION("""COMPUTED_VALUE"""),10.0)</f>
        <v>10</v>
      </c>
      <c r="E93" s="245"/>
      <c r="F93" s="245"/>
      <c r="G93" s="245"/>
      <c r="H93" s="245"/>
      <c r="I93" s="245"/>
      <c r="J93" s="245"/>
      <c r="K93" s="265"/>
      <c r="L93" s="245"/>
      <c r="M93" s="245"/>
      <c r="N93" s="245"/>
      <c r="O93" s="245"/>
      <c r="P93" s="245"/>
      <c r="Q93" s="247"/>
      <c r="R93" s="254"/>
      <c r="S93" s="245"/>
      <c r="T93" s="245"/>
      <c r="U93" s="245"/>
      <c r="V93" s="245"/>
      <c r="W93" s="245"/>
      <c r="X93" s="245"/>
      <c r="Y93" s="249"/>
      <c r="Z93" s="276"/>
      <c r="AA93" s="245"/>
      <c r="AB93" s="276"/>
      <c r="AC93" s="276"/>
      <c r="AD93" s="246"/>
      <c r="AE93" s="278"/>
      <c r="AF93" s="370"/>
      <c r="AG93" s="371"/>
      <c r="AH93" s="276"/>
      <c r="AI93" s="245"/>
      <c r="AJ93" s="287"/>
      <c r="AK93" s="278"/>
      <c r="AL93" s="246"/>
      <c r="AM93" s="245"/>
      <c r="AN93" s="245"/>
      <c r="AO93" s="274"/>
      <c r="AP93" s="245"/>
      <c r="AQ93" s="245"/>
      <c r="AR93" s="246"/>
      <c r="AS93" s="245"/>
      <c r="AT93" s="245"/>
      <c r="AU93" s="245"/>
      <c r="AV93" s="245"/>
      <c r="AW93" s="245"/>
      <c r="AX93" s="246"/>
      <c r="AY93" s="245"/>
      <c r="AZ93" s="245"/>
      <c r="BA93" s="246"/>
      <c r="BB93" s="245" t="str">
        <f>IFERROR(__xludf.DUMMYFUNCTION("""COMPUTED_VALUE"""),"Rarity")</f>
        <v>Rarity</v>
      </c>
      <c r="BC93" s="245" t="str">
        <f>IFERROR(__xludf.DUMMYFUNCTION("""COMPUTED_VALUE"""),"Level")</f>
        <v>Level</v>
      </c>
      <c r="BD93" s="245" t="str">
        <f>IFERROR(__xludf.DUMMYFUNCTION("""COMPUTED_VALUE"""),"Stat")</f>
        <v>Stat</v>
      </c>
      <c r="BE93" s="245"/>
      <c r="BF93" s="245"/>
      <c r="BG93" s="245" t="str">
        <f>IFERROR(__xludf.DUMMYFUNCTION("""COMPUTED_VALUE"""),"Rarity")</f>
        <v>Rarity</v>
      </c>
      <c r="BH93" s="245" t="str">
        <f>IFERROR(__xludf.DUMMYFUNCTION("""COMPUTED_VALUE"""),"Level")</f>
        <v>Level</v>
      </c>
      <c r="BI93" s="245" t="str">
        <f>IFERROR(__xludf.DUMMYFUNCTION("""COMPUTED_VALUE"""),"Stat")</f>
        <v>Stat</v>
      </c>
      <c r="BJ93" s="245"/>
      <c r="BK93" s="245"/>
      <c r="BL93" s="245" t="str">
        <f>IFERROR(__xludf.DUMMYFUNCTION("""COMPUTED_VALUE"""),"Rarity")</f>
        <v>Rarity</v>
      </c>
      <c r="BM93" s="245" t="str">
        <f>IFERROR(__xludf.DUMMYFUNCTION("""COMPUTED_VALUE"""),"Level")</f>
        <v>Level</v>
      </c>
      <c r="BN93" s="245" t="str">
        <f>IFERROR(__xludf.DUMMYFUNCTION("""COMPUTED_VALUE"""),"Stat")</f>
        <v>Stat</v>
      </c>
      <c r="BO93" s="245"/>
      <c r="BP93" s="245"/>
      <c r="BQ93" s="245" t="str">
        <f>IFERROR(__xludf.DUMMYFUNCTION("""COMPUTED_VALUE"""),"Rarity")</f>
        <v>Rarity</v>
      </c>
      <c r="BR93" s="245" t="str">
        <f>IFERROR(__xludf.DUMMYFUNCTION("""COMPUTED_VALUE"""),"Level")</f>
        <v>Level</v>
      </c>
      <c r="BS93" s="245" t="str">
        <f>IFERROR(__xludf.DUMMYFUNCTION("""COMPUTED_VALUE"""),"Stat")</f>
        <v>Stat</v>
      </c>
      <c r="BT93" s="246"/>
      <c r="BU93" s="245"/>
      <c r="BV93" s="245"/>
      <c r="BW93" s="245"/>
      <c r="BX93" s="245"/>
      <c r="BY93" s="245"/>
      <c r="BZ93" s="282"/>
      <c r="CA93" s="245"/>
      <c r="CB93" s="245"/>
      <c r="CC93" s="245"/>
      <c r="CD93" s="245"/>
      <c r="CE93" s="245"/>
      <c r="CF93" s="245"/>
    </row>
    <row r="94">
      <c r="A94" s="310" t="str">
        <f>IFERROR(__xludf.DUMMYFUNCTION("""COMPUTED_VALUE"""),"Inner Land Mine - Chrono Jump")</f>
        <v>Inner Land Mine - Chrono Jump</v>
      </c>
      <c r="B94" s="260">
        <f>IFERROR(__xludf.DUMMYFUNCTION("""COMPUTED_VALUE"""),0.0)</f>
        <v>0</v>
      </c>
      <c r="C94" s="245"/>
      <c r="D94" s="261">
        <f>IFERROR(__xludf.DUMMYFUNCTION("""COMPUTED_VALUE"""),10.0)</f>
        <v>10</v>
      </c>
      <c r="E94" s="245"/>
      <c r="F94" s="245"/>
      <c r="G94" s="245"/>
      <c r="H94" s="245"/>
      <c r="I94" s="245"/>
      <c r="J94" s="245"/>
      <c r="K94" s="265"/>
      <c r="L94" s="245"/>
      <c r="M94" s="245"/>
      <c r="N94" s="245"/>
      <c r="O94" s="245"/>
      <c r="P94" s="245"/>
      <c r="Q94" s="247"/>
      <c r="R94" s="254"/>
      <c r="S94" s="245"/>
      <c r="T94" s="245"/>
      <c r="U94" s="245"/>
      <c r="V94" s="245"/>
      <c r="W94" s="245"/>
      <c r="X94" s="245"/>
      <c r="Y94" s="249"/>
      <c r="Z94" s="276"/>
      <c r="AA94" s="245"/>
      <c r="AB94" s="276"/>
      <c r="AC94" s="276"/>
      <c r="AD94" s="246"/>
      <c r="AE94" s="278"/>
      <c r="AF94" s="370"/>
      <c r="AG94" s="371"/>
      <c r="AH94" s="276"/>
      <c r="AI94" s="245"/>
      <c r="AJ94" s="287"/>
      <c r="AK94" s="278"/>
      <c r="AL94" s="246"/>
      <c r="AM94" s="245"/>
      <c r="AN94" s="245"/>
      <c r="AO94" s="274"/>
      <c r="AP94" s="245"/>
      <c r="AQ94" s="245"/>
      <c r="AR94" s="246"/>
      <c r="AS94" s="245"/>
      <c r="AT94" s="245"/>
      <c r="AU94" s="245"/>
      <c r="AV94" s="245"/>
      <c r="AW94" s="245"/>
      <c r="AX94" s="246"/>
      <c r="AY94" s="245"/>
      <c r="AZ94" s="245"/>
      <c r="BA94" s="246"/>
      <c r="BB94" s="245" t="str">
        <f>IFERROR(__xludf.DUMMYFUNCTION("""COMPUTED_VALUE"""),"Ancestral")</f>
        <v>Ancestral</v>
      </c>
      <c r="BC94" s="245">
        <f>IFERROR(__xludf.DUMMYFUNCTION("""COMPUTED_VALUE"""),164.0)</f>
        <v>164</v>
      </c>
      <c r="BD94" s="303">
        <f>IFERROR(__xludf.DUMMYFUNCTION("""COMPUTED_VALUE"""),9.04)</f>
        <v>9.04</v>
      </c>
      <c r="BE94" s="245"/>
      <c r="BF94" s="245"/>
      <c r="BG94" s="245" t="str">
        <f>IFERROR(__xludf.DUMMYFUNCTION("""COMPUTED_VALUE"""),"Ancestral 1*")</f>
        <v>Ancestral 1*</v>
      </c>
      <c r="BH94" s="245">
        <f>IFERROR(__xludf.DUMMYFUNCTION("""COMPUTED_VALUE"""),163.0)</f>
        <v>163</v>
      </c>
      <c r="BI94" s="303">
        <f>IFERROR(__xludf.DUMMYFUNCTION("""COMPUTED_VALUE"""),9.154)</f>
        <v>9.154</v>
      </c>
      <c r="BJ94" s="245"/>
      <c r="BK94" s="245"/>
      <c r="BL94" s="245" t="str">
        <f>IFERROR(__xludf.DUMMYFUNCTION("""COMPUTED_VALUE"""),"Mythic+")</f>
        <v>Mythic+</v>
      </c>
      <c r="BM94" s="245">
        <f>IFERROR(__xludf.DUMMYFUNCTION("""COMPUTED_VALUE"""),160.0)</f>
        <v>160</v>
      </c>
      <c r="BN94" s="303">
        <f>IFERROR(__xludf.DUMMYFUNCTION("""COMPUTED_VALUE"""),1.665)</f>
        <v>1.665</v>
      </c>
      <c r="BO94" s="245"/>
      <c r="BP94" s="245"/>
      <c r="BQ94" s="245" t="str">
        <f>IFERROR(__xludf.DUMMYFUNCTION("""COMPUTED_VALUE"""),"Ancestral 2*")</f>
        <v>Ancestral 2*</v>
      </c>
      <c r="BR94" s="245">
        <f>IFERROR(__xludf.DUMMYFUNCTION("""COMPUTED_VALUE"""),159.0)</f>
        <v>159</v>
      </c>
      <c r="BS94" s="303">
        <f>IFERROR(__xludf.DUMMYFUNCTION("""COMPUTED_VALUE"""),11.692)</f>
        <v>11.692</v>
      </c>
      <c r="BT94" s="246"/>
      <c r="BU94" s="245"/>
      <c r="BV94" s="245"/>
      <c r="BW94" s="245"/>
      <c r="BX94" s="245"/>
      <c r="BY94" s="245"/>
      <c r="BZ94" s="282"/>
      <c r="CA94" s="245"/>
      <c r="CB94" s="245"/>
      <c r="CC94" s="245"/>
      <c r="CD94" s="245"/>
      <c r="CE94" s="245"/>
      <c r="CF94" s="245"/>
    </row>
    <row r="95">
      <c r="A95" s="259" t="str">
        <f>IFERROR(__xludf.DUMMYFUNCTION("""COMPUTED_VALUE"""),"Second Wind Blast")</f>
        <v>Second Wind Blast</v>
      </c>
      <c r="B95" s="260">
        <f>IFERROR(__xludf.DUMMYFUNCTION("""COMPUTED_VALUE"""),4.0)</f>
        <v>4</v>
      </c>
      <c r="C95" s="245"/>
      <c r="D95" s="261">
        <f>IFERROR(__xludf.DUMMYFUNCTION("""COMPUTED_VALUE"""),4.0)</f>
        <v>4</v>
      </c>
      <c r="E95" s="245"/>
      <c r="F95" s="245"/>
      <c r="G95" s="245"/>
      <c r="H95" s="245"/>
      <c r="I95" s="245"/>
      <c r="J95" s="245"/>
      <c r="K95" s="265"/>
      <c r="L95" s="245"/>
      <c r="M95" s="245"/>
      <c r="N95" s="245"/>
      <c r="O95" s="245"/>
      <c r="P95" s="245"/>
      <c r="Q95" s="247"/>
      <c r="R95" s="254"/>
      <c r="S95" s="245"/>
      <c r="T95" s="245"/>
      <c r="U95" s="245"/>
      <c r="V95" s="245"/>
      <c r="W95" s="245"/>
      <c r="X95" s="245"/>
      <c r="Y95" s="249"/>
      <c r="Z95" s="276"/>
      <c r="AA95" s="245"/>
      <c r="AB95" s="276"/>
      <c r="AC95" s="276"/>
      <c r="AD95" s="246"/>
      <c r="AE95" s="278"/>
      <c r="AF95" s="370"/>
      <c r="AG95" s="371"/>
      <c r="AH95" s="276"/>
      <c r="AI95" s="245"/>
      <c r="AJ95" s="287"/>
      <c r="AK95" s="278"/>
      <c r="AL95" s="246"/>
      <c r="AM95" s="245"/>
      <c r="AN95" s="245"/>
      <c r="AO95" s="274"/>
      <c r="AP95" s="245"/>
      <c r="AQ95" s="245"/>
      <c r="AR95" s="246"/>
      <c r="AS95" s="245"/>
      <c r="AT95" s="245"/>
      <c r="AU95" s="245"/>
      <c r="AV95" s="245"/>
      <c r="AW95" s="245"/>
      <c r="AX95" s="246"/>
      <c r="AY95" s="245"/>
      <c r="AZ95" s="245"/>
      <c r="BA95" s="246"/>
      <c r="BB95" s="245"/>
      <c r="BC95" s="245"/>
      <c r="BD95" s="245"/>
      <c r="BE95" s="245"/>
      <c r="BF95" s="245"/>
      <c r="BG95" s="245"/>
      <c r="BH95" s="245"/>
      <c r="BI95" s="245"/>
      <c r="BJ95" s="245"/>
      <c r="BK95" s="245"/>
      <c r="BL95" s="245"/>
      <c r="BM95" s="245"/>
      <c r="BN95" s="245"/>
      <c r="BO95" s="245"/>
      <c r="BP95" s="245"/>
      <c r="BQ95" s="245"/>
      <c r="BR95" s="245"/>
      <c r="BS95" s="245"/>
      <c r="BT95" s="246"/>
      <c r="BU95" s="245"/>
      <c r="BV95" s="245"/>
      <c r="BW95" s="245"/>
      <c r="BX95" s="245"/>
      <c r="BY95" s="245"/>
      <c r="BZ95" s="282"/>
      <c r="CA95" s="245"/>
      <c r="CB95" s="245"/>
      <c r="CC95" s="245"/>
      <c r="CD95" s="245"/>
      <c r="CE95" s="245"/>
      <c r="CF95" s="245"/>
    </row>
    <row r="96">
      <c r="A96" s="259" t="str">
        <f>IFERROR(__xludf.DUMMYFUNCTION("""COMPUTED_VALUE"""),"Double Death Ray")</f>
        <v>Double Death Ray</v>
      </c>
      <c r="B96" s="260">
        <f>IFERROR(__xludf.DUMMYFUNCTION("""COMPUTED_VALUE"""),6.0)</f>
        <v>6</v>
      </c>
      <c r="C96" s="245"/>
      <c r="D96" s="261">
        <f>IFERROR(__xludf.DUMMYFUNCTION("""COMPUTED_VALUE"""),30.0)</f>
        <v>30</v>
      </c>
      <c r="E96" s="245"/>
      <c r="F96" s="245"/>
      <c r="G96" s="245"/>
      <c r="H96" s="245"/>
      <c r="I96" s="245"/>
      <c r="J96" s="245"/>
      <c r="K96" s="265"/>
      <c r="L96" s="245"/>
      <c r="M96" s="245"/>
      <c r="N96" s="245"/>
      <c r="O96" s="245"/>
      <c r="P96" s="245"/>
      <c r="Q96" s="247"/>
      <c r="R96" s="254"/>
      <c r="S96" s="245"/>
      <c r="T96" s="245"/>
      <c r="U96" s="245"/>
      <c r="V96" s="245"/>
      <c r="W96" s="245"/>
      <c r="X96" s="245"/>
      <c r="Y96" s="249"/>
      <c r="Z96" s="276"/>
      <c r="AA96" s="245"/>
      <c r="AB96" s="276"/>
      <c r="AC96" s="276"/>
      <c r="AD96" s="246"/>
      <c r="AE96" s="278"/>
      <c r="AF96" s="370"/>
      <c r="AG96" s="371"/>
      <c r="AH96" s="276"/>
      <c r="AI96" s="245"/>
      <c r="AJ96" s="287"/>
      <c r="AK96" s="278"/>
      <c r="AL96" s="246"/>
      <c r="AM96" s="245"/>
      <c r="AN96" s="245"/>
      <c r="AO96" s="274"/>
      <c r="AP96" s="245"/>
      <c r="AQ96" s="245"/>
      <c r="AR96" s="246"/>
      <c r="AS96" s="245"/>
      <c r="AT96" s="245"/>
      <c r="AU96" s="245"/>
      <c r="AV96" s="245"/>
      <c r="AW96" s="245"/>
      <c r="AX96" s="246"/>
      <c r="AY96" s="245"/>
      <c r="AZ96" s="245"/>
      <c r="BA96" s="246"/>
      <c r="BB96" s="245" t="str">
        <f>IFERROR(__xludf.DUMMYFUNCTION("""COMPUTED_VALUE"""),"Bounce Shot Chance")</f>
        <v>Bounce Shot Chance</v>
      </c>
      <c r="BC96" s="245" t="str">
        <f>IFERROR(__xludf.DUMMYFUNCTION("""COMPUTED_VALUE"""),"Mythic")</f>
        <v>Mythic</v>
      </c>
      <c r="BD96" s="245" t="str">
        <f>IFERROR(__xludf.DUMMYFUNCTION("""COMPUTED_VALUE"""),"+9%")</f>
        <v>+9%</v>
      </c>
      <c r="BE96" s="245">
        <f>IFERROR(__xludf.DUMMYFUNCTION("""COMPUTED_VALUE"""),0.09)</f>
        <v>0.09</v>
      </c>
      <c r="BF96" s="245"/>
      <c r="BG96" s="245" t="str">
        <f>IFERROR(__xludf.DUMMYFUNCTION("""COMPUTED_VALUE"""),"Defense %")</f>
        <v>Defense %</v>
      </c>
      <c r="BH96" s="245" t="str">
        <f>IFERROR(__xludf.DUMMYFUNCTION("""COMPUTED_VALUE"""),"Ancestral")</f>
        <v>Ancestral</v>
      </c>
      <c r="BI96" s="245" t="str">
        <f>IFERROR(__xludf.DUMMYFUNCTION("""COMPUTED_VALUE"""),"+8%")</f>
        <v>+8%</v>
      </c>
      <c r="BJ96" s="245">
        <f>IFERROR(__xludf.DUMMYFUNCTION("""COMPUTED_VALUE"""),0.08)</f>
        <v>0.08</v>
      </c>
      <c r="BK96" s="245"/>
      <c r="BL96" s="245" t="str">
        <f>IFERROR(__xludf.DUMMYFUNCTION("""COMPUTED_VALUE"""),"Enemy Health Level Skip")</f>
        <v>Enemy Health Level Skip</v>
      </c>
      <c r="BM96" s="245" t="str">
        <f>IFERROR(__xludf.DUMMYFUNCTION("""COMPUTED_VALUE"""),"Mythic")</f>
        <v>Mythic</v>
      </c>
      <c r="BN96" s="245" t="str">
        <f>IFERROR(__xludf.DUMMYFUNCTION("""COMPUTED_VALUE"""),"+6%")</f>
        <v>+6%</v>
      </c>
      <c r="BO96" s="245">
        <f>IFERROR(__xludf.DUMMYFUNCTION("""COMPUTED_VALUE"""),0.06)</f>
        <v>0.06</v>
      </c>
      <c r="BP96" s="245"/>
      <c r="BQ96" s="245" t="str">
        <f>IFERROR(__xludf.DUMMYFUNCTION("""COMPUTED_VALUE"""),"Black Hole - Duration")</f>
        <v>Black Hole - Duration</v>
      </c>
      <c r="BR96" s="245" t="str">
        <f>IFERROR(__xludf.DUMMYFUNCTION("""COMPUTED_VALUE"""),"Ancestral")</f>
        <v>Ancestral</v>
      </c>
      <c r="BS96" s="245" t="str">
        <f>IFERROR(__xludf.DUMMYFUNCTION("""COMPUTED_VALUE"""),"+4s")</f>
        <v>+4s</v>
      </c>
      <c r="BT96" s="246">
        <f>IFERROR(__xludf.DUMMYFUNCTION("""COMPUTED_VALUE"""),4.0)</f>
        <v>4</v>
      </c>
      <c r="BU96" s="245"/>
      <c r="BV96" s="245"/>
      <c r="BW96" s="245"/>
      <c r="BX96" s="245"/>
      <c r="BY96" s="245"/>
      <c r="BZ96" s="282"/>
      <c r="CA96" s="245"/>
      <c r="CB96" s="245"/>
      <c r="CC96" s="245"/>
      <c r="CD96" s="245"/>
      <c r="CE96" s="245"/>
      <c r="CF96" s="245"/>
    </row>
    <row r="97">
      <c r="A97" s="259" t="str">
        <f>IFERROR(__xludf.DUMMYFUNCTION("""COMPUTED_VALUE"""),"Extra Orb Adjuster")</f>
        <v>Extra Orb Adjuster</v>
      </c>
      <c r="B97" s="260">
        <f>IFERROR(__xludf.DUMMYFUNCTION("""COMPUTED_VALUE"""),1.0)</f>
        <v>1</v>
      </c>
      <c r="C97" s="245"/>
      <c r="D97" s="261">
        <f>IFERROR(__xludf.DUMMYFUNCTION("""COMPUTED_VALUE"""),1.0)</f>
        <v>1</v>
      </c>
      <c r="E97" s="245"/>
      <c r="F97" s="245"/>
      <c r="G97" s="245"/>
      <c r="H97" s="245"/>
      <c r="I97" s="245"/>
      <c r="J97" s="245"/>
      <c r="K97" s="265"/>
      <c r="L97" s="245"/>
      <c r="M97" s="245"/>
      <c r="N97" s="245"/>
      <c r="O97" s="245"/>
      <c r="P97" s="245"/>
      <c r="Q97" s="247"/>
      <c r="R97" s="254"/>
      <c r="S97" s="245"/>
      <c r="T97" s="245"/>
      <c r="U97" s="245"/>
      <c r="V97" s="245"/>
      <c r="W97" s="245"/>
      <c r="X97" s="245"/>
      <c r="Y97" s="249"/>
      <c r="Z97" s="276"/>
      <c r="AA97" s="245"/>
      <c r="AB97" s="276"/>
      <c r="AC97" s="276"/>
      <c r="AD97" s="246"/>
      <c r="AE97" s="278"/>
      <c r="AF97" s="370"/>
      <c r="AG97" s="371"/>
      <c r="AH97" s="276"/>
      <c r="AI97" s="245"/>
      <c r="AJ97" s="287"/>
      <c r="AK97" s="278"/>
      <c r="AL97" s="246"/>
      <c r="AM97" s="245"/>
      <c r="AN97" s="245"/>
      <c r="AO97" s="274"/>
      <c r="AP97" s="245"/>
      <c r="AQ97" s="245"/>
      <c r="AR97" s="246"/>
      <c r="AS97" s="245"/>
      <c r="AT97" s="245"/>
      <c r="AU97" s="245"/>
      <c r="AV97" s="245"/>
      <c r="AW97" s="245"/>
      <c r="AX97" s="246"/>
      <c r="AY97" s="245"/>
      <c r="AZ97" s="245"/>
      <c r="BA97" s="246"/>
      <c r="BB97" s="245" t="str">
        <f>IFERROR(__xludf.DUMMYFUNCTION("""COMPUTED_VALUE"""),"Attack Speed")</f>
        <v>Attack Speed</v>
      </c>
      <c r="BC97" s="245" t="str">
        <f>IFERROR(__xludf.DUMMYFUNCTION("""COMPUTED_VALUE"""),"Mythic")</f>
        <v>Mythic</v>
      </c>
      <c r="BD97" s="245" t="str">
        <f>IFERROR(__xludf.DUMMYFUNCTION("""COMPUTED_VALUE"""),"+3")</f>
        <v>+3</v>
      </c>
      <c r="BE97" s="245">
        <f>IFERROR(__xludf.DUMMYFUNCTION("""COMPUTED_VALUE"""),3.0)</f>
        <v>3</v>
      </c>
      <c r="BF97" s="245"/>
      <c r="BG97" s="245" t="str">
        <f>IFERROR(__xludf.DUMMYFUNCTION("""COMPUTED_VALUE"""),"Health Regen")</f>
        <v>Health Regen</v>
      </c>
      <c r="BH97" s="245" t="str">
        <f>IFERROR(__xludf.DUMMYFUNCTION("""COMPUTED_VALUE"""),"Ancestral")</f>
        <v>Ancestral</v>
      </c>
      <c r="BI97" s="245" t="str">
        <f>IFERROR(__xludf.DUMMYFUNCTION("""COMPUTED_VALUE"""),"+400%")</f>
        <v>+400%</v>
      </c>
      <c r="BJ97" s="245">
        <f>IFERROR(__xludf.DUMMYFUNCTION("""COMPUTED_VALUE"""),4.0)</f>
        <v>4</v>
      </c>
      <c r="BK97" s="245"/>
      <c r="BL97" s="245" t="str">
        <f>IFERROR(__xludf.DUMMYFUNCTION("""COMPUTED_VALUE"""),"Enemy Attack Level Skip")</f>
        <v>Enemy Attack Level Skip</v>
      </c>
      <c r="BM97" s="245" t="str">
        <f>IFERROR(__xludf.DUMMYFUNCTION("""COMPUTED_VALUE"""),"Mythic")</f>
        <v>Mythic</v>
      </c>
      <c r="BN97" s="245" t="str">
        <f>IFERROR(__xludf.DUMMYFUNCTION("""COMPUTED_VALUE"""),"+6%")</f>
        <v>+6%</v>
      </c>
      <c r="BO97" s="245">
        <f>IFERROR(__xludf.DUMMYFUNCTION("""COMPUTED_VALUE"""),0.06)</f>
        <v>0.06</v>
      </c>
      <c r="BP97" s="245"/>
      <c r="BQ97" s="245" t="str">
        <f>IFERROR(__xludf.DUMMYFUNCTION("""COMPUTED_VALUE"""),"Black Hole - Cooldown")</f>
        <v>Black Hole - Cooldown</v>
      </c>
      <c r="BR97" s="245" t="str">
        <f>IFERROR(__xludf.DUMMYFUNCTION("""COMPUTED_VALUE"""),"Ancestral")</f>
        <v>Ancestral</v>
      </c>
      <c r="BS97" s="245" t="str">
        <f>IFERROR(__xludf.DUMMYFUNCTION("""COMPUTED_VALUE"""),"-4s")</f>
        <v>-4s</v>
      </c>
      <c r="BT97" s="246">
        <f>IFERROR(__xludf.DUMMYFUNCTION("""COMPUTED_VALUE"""),-4.0)</f>
        <v>-4</v>
      </c>
      <c r="BU97" s="245"/>
      <c r="BV97" s="245"/>
      <c r="BW97" s="245"/>
      <c r="BX97" s="245"/>
      <c r="BY97" s="245"/>
      <c r="BZ97" s="282"/>
      <c r="CA97" s="245"/>
      <c r="CB97" s="245"/>
      <c r="CC97" s="245"/>
      <c r="CD97" s="245"/>
      <c r="CE97" s="245"/>
      <c r="CF97" s="245"/>
    </row>
    <row r="98">
      <c r="A98" s="259" t="str">
        <f>IFERROR(__xludf.DUMMYFUNCTION("""COMPUTED_VALUE"""),"Extra Extra Orbs")</f>
        <v>Extra Extra Orbs</v>
      </c>
      <c r="B98" s="260">
        <f>IFERROR(__xludf.DUMMYFUNCTION("""COMPUTED_VALUE"""),2.0)</f>
        <v>2</v>
      </c>
      <c r="C98" s="245"/>
      <c r="D98" s="261">
        <f>IFERROR(__xludf.DUMMYFUNCTION("""COMPUTED_VALUE"""),2.0)</f>
        <v>2</v>
      </c>
      <c r="E98" s="245"/>
      <c r="F98" s="245"/>
      <c r="G98" s="245"/>
      <c r="H98" s="245"/>
      <c r="I98" s="245"/>
      <c r="J98" s="245"/>
      <c r="K98" s="265"/>
      <c r="L98" s="245"/>
      <c r="M98" s="245"/>
      <c r="N98" s="245"/>
      <c r="O98" s="245"/>
      <c r="P98" s="245"/>
      <c r="Q98" s="247"/>
      <c r="R98" s="254"/>
      <c r="S98" s="245"/>
      <c r="T98" s="245"/>
      <c r="U98" s="245"/>
      <c r="V98" s="245"/>
      <c r="W98" s="245"/>
      <c r="X98" s="245"/>
      <c r="Y98" s="249"/>
      <c r="Z98" s="276"/>
      <c r="AA98" s="245"/>
      <c r="AB98" s="276"/>
      <c r="AC98" s="276"/>
      <c r="AD98" s="246"/>
      <c r="AE98" s="278"/>
      <c r="AF98" s="370"/>
      <c r="AG98" s="371"/>
      <c r="AH98" s="276"/>
      <c r="AI98" s="245"/>
      <c r="AJ98" s="287"/>
      <c r="AK98" s="278"/>
      <c r="AL98" s="246"/>
      <c r="AM98" s="245"/>
      <c r="AN98" s="245"/>
      <c r="AO98" s="274"/>
      <c r="AP98" s="245"/>
      <c r="AQ98" s="245"/>
      <c r="AR98" s="246"/>
      <c r="AS98" s="245"/>
      <c r="AT98" s="245"/>
      <c r="AU98" s="245"/>
      <c r="AV98" s="245"/>
      <c r="AW98" s="245"/>
      <c r="AX98" s="246"/>
      <c r="AY98" s="245"/>
      <c r="AZ98" s="245"/>
      <c r="BA98" s="246"/>
      <c r="BB98" s="245" t="str">
        <f>IFERROR(__xludf.DUMMYFUNCTION("""COMPUTED_VALUE"""),"Multishot Targets")</f>
        <v>Multishot Targets</v>
      </c>
      <c r="BC98" s="245" t="str">
        <f>IFERROR(__xludf.DUMMYFUNCTION("""COMPUTED_VALUE"""),"Ancestral")</f>
        <v>Ancestral</v>
      </c>
      <c r="BD98" s="245" t="str">
        <f>IFERROR(__xludf.DUMMYFUNCTION("""COMPUTED_VALUE"""),"+4")</f>
        <v>+4</v>
      </c>
      <c r="BE98" s="245">
        <f>IFERROR(__xludf.DUMMYFUNCTION("""COMPUTED_VALUE"""),4.0)</f>
        <v>4</v>
      </c>
      <c r="BF98" s="245"/>
      <c r="BG98" s="245" t="str">
        <f>IFERROR(__xludf.DUMMYFUNCTION("""COMPUTED_VALUE"""),"Wall Health")</f>
        <v>Wall Health</v>
      </c>
      <c r="BH98" s="245" t="str">
        <f>IFERROR(__xludf.DUMMYFUNCTION("""COMPUTED_VALUE"""),"Ancestral")</f>
        <v>Ancestral</v>
      </c>
      <c r="BI98" s="245" t="str">
        <f>IFERROR(__xludf.DUMMYFUNCTION("""COMPUTED_VALUE"""),"+120%")</f>
        <v>+120%</v>
      </c>
      <c r="BJ98" s="245">
        <f>IFERROR(__xludf.DUMMYFUNCTION("""COMPUTED_VALUE"""),1.2)</f>
        <v>1.2</v>
      </c>
      <c r="BK98" s="245"/>
      <c r="BL98" s="245" t="str">
        <f>IFERROR(__xludf.DUMMYFUNCTION("""COMPUTED_VALUE"""),"Free Utility Upgrade")</f>
        <v>Free Utility Upgrade</v>
      </c>
      <c r="BM98" s="245" t="str">
        <f>IFERROR(__xludf.DUMMYFUNCTION("""COMPUTED_VALUE"""),"Legendary")</f>
        <v>Legendary</v>
      </c>
      <c r="BN98" s="245" t="str">
        <f>IFERROR(__xludf.DUMMYFUNCTION("""COMPUTED_VALUE"""),"+8%")</f>
        <v>+8%</v>
      </c>
      <c r="BO98" s="245">
        <f>IFERROR(__xludf.DUMMYFUNCTION("""COMPUTED_VALUE"""),0.08)</f>
        <v>0.08</v>
      </c>
      <c r="BP98" s="245"/>
      <c r="BQ98" s="245" t="str">
        <f>IFERROR(__xludf.DUMMYFUNCTION("""COMPUTED_VALUE"""),"Death Wave - Quantity")</f>
        <v>Death Wave - Quantity</v>
      </c>
      <c r="BR98" s="245" t="str">
        <f>IFERROR(__xludf.DUMMYFUNCTION("""COMPUTED_VALUE"""),"Mythic")</f>
        <v>Mythic</v>
      </c>
      <c r="BS98" s="245" t="str">
        <f>IFERROR(__xludf.DUMMYFUNCTION("""COMPUTED_VALUE"""),"+2")</f>
        <v>+2</v>
      </c>
      <c r="BT98" s="246">
        <f>IFERROR(__xludf.DUMMYFUNCTION("""COMPUTED_VALUE"""),2.0)</f>
        <v>2</v>
      </c>
      <c r="BU98" s="245"/>
      <c r="BV98" s="245"/>
      <c r="BW98" s="245"/>
      <c r="BX98" s="245"/>
      <c r="BY98" s="245"/>
      <c r="BZ98" s="282"/>
      <c r="CA98" s="245"/>
      <c r="CB98" s="245"/>
      <c r="CC98" s="245"/>
      <c r="CD98" s="245"/>
      <c r="CE98" s="245"/>
      <c r="CF98" s="245"/>
    </row>
    <row r="99">
      <c r="A99" s="259" t="str">
        <f>IFERROR(__xludf.DUMMYFUNCTION("""COMPUTED_VALUE"""),"Energy Shield Extra Hit")</f>
        <v>Energy Shield Extra Hit</v>
      </c>
      <c r="B99" s="260">
        <f>IFERROR(__xludf.DUMMYFUNCTION("""COMPUTED_VALUE"""),2.0)</f>
        <v>2</v>
      </c>
      <c r="C99" s="245"/>
      <c r="D99" s="261">
        <f>IFERROR(__xludf.DUMMYFUNCTION("""COMPUTED_VALUE"""),2.0)</f>
        <v>2</v>
      </c>
      <c r="E99" s="245"/>
      <c r="F99" s="245"/>
      <c r="G99" s="245"/>
      <c r="H99" s="245"/>
      <c r="I99" s="245"/>
      <c r="J99" s="245"/>
      <c r="K99" s="265"/>
      <c r="L99" s="245"/>
      <c r="M99" s="245"/>
      <c r="N99" s="245"/>
      <c r="O99" s="245"/>
      <c r="P99" s="245"/>
      <c r="Q99" s="247"/>
      <c r="R99" s="254"/>
      <c r="S99" s="245"/>
      <c r="T99" s="245"/>
      <c r="U99" s="245"/>
      <c r="V99" s="245"/>
      <c r="W99" s="245"/>
      <c r="X99" s="245"/>
      <c r="Y99" s="249"/>
      <c r="Z99" s="276"/>
      <c r="AA99" s="245"/>
      <c r="AB99" s="276"/>
      <c r="AC99" s="276"/>
      <c r="AD99" s="246"/>
      <c r="AE99" s="278"/>
      <c r="AF99" s="370"/>
      <c r="AG99" s="371"/>
      <c r="AH99" s="276"/>
      <c r="AI99" s="245"/>
      <c r="AJ99" s="287"/>
      <c r="AK99" s="278"/>
      <c r="AL99" s="246"/>
      <c r="AM99" s="245"/>
      <c r="AN99" s="245"/>
      <c r="AO99" s="274"/>
      <c r="AP99" s="245"/>
      <c r="AQ99" s="245"/>
      <c r="AR99" s="246"/>
      <c r="AS99" s="245"/>
      <c r="AT99" s="245"/>
      <c r="AU99" s="245"/>
      <c r="AV99" s="245"/>
      <c r="AW99" s="245"/>
      <c r="AX99" s="246"/>
      <c r="AY99" s="245"/>
      <c r="AZ99" s="245"/>
      <c r="BA99" s="246"/>
      <c r="BB99" s="245" t="str">
        <f>IFERROR(__xludf.DUMMYFUNCTION("""COMPUTED_VALUE"""),"Critical Factor")</f>
        <v>Critical Factor</v>
      </c>
      <c r="BC99" s="245" t="str">
        <f>IFERROR(__xludf.DUMMYFUNCTION("""COMPUTED_VALUE"""),"Ancestral")</f>
        <v>Ancestral</v>
      </c>
      <c r="BD99" s="245" t="str">
        <f>IFERROR(__xludf.DUMMYFUNCTION("""COMPUTED_VALUE"""),"+15x")</f>
        <v>+15x</v>
      </c>
      <c r="BE99" s="245">
        <f>IFERROR(__xludf.DUMMYFUNCTION("""COMPUTED_VALUE"""),15.0)</f>
        <v>15</v>
      </c>
      <c r="BF99" s="245"/>
      <c r="BG99" s="245" t="str">
        <f>IFERROR(__xludf.DUMMYFUNCTION("""COMPUTED_VALUE"""),"Thorns Damage")</f>
        <v>Thorns Damage</v>
      </c>
      <c r="BH99" s="245" t="str">
        <f>IFERROR(__xludf.DUMMYFUNCTION("""COMPUTED_VALUE"""),"Ancestral")</f>
        <v>Ancestral</v>
      </c>
      <c r="BI99" s="245" t="str">
        <f>IFERROR(__xludf.DUMMYFUNCTION("""COMPUTED_VALUE"""),"+10%")</f>
        <v>+10%</v>
      </c>
      <c r="BJ99" s="245">
        <f>IFERROR(__xludf.DUMMYFUNCTION("""COMPUTED_VALUE"""),0.1)</f>
        <v>0.1</v>
      </c>
      <c r="BK99" s="245"/>
      <c r="BL99" s="245" t="str">
        <f>IFERROR(__xludf.DUMMYFUNCTION("""COMPUTED_VALUE"""),"Package Chance")</f>
        <v>Package Chance</v>
      </c>
      <c r="BM99" s="245" t="str">
        <f>IFERROR(__xludf.DUMMYFUNCTION("""COMPUTED_VALUE"""),"Mythic")</f>
        <v>Mythic</v>
      </c>
      <c r="BN99" s="245" t="str">
        <f>IFERROR(__xludf.DUMMYFUNCTION("""COMPUTED_VALUE"""),"+11%")</f>
        <v>+11%</v>
      </c>
      <c r="BO99" s="245">
        <f>IFERROR(__xludf.DUMMYFUNCTION("""COMPUTED_VALUE"""),0.11)</f>
        <v>0.11</v>
      </c>
      <c r="BP99" s="245"/>
      <c r="BQ99" s="245" t="str">
        <f>IFERROR(__xludf.DUMMYFUNCTION("""COMPUTED_VALUE"""),"Spotlight - Angle")</f>
        <v>Spotlight - Angle</v>
      </c>
      <c r="BR99" s="245" t="str">
        <f>IFERROR(__xludf.DUMMYFUNCTION("""COMPUTED_VALUE"""),"Ancestral")</f>
        <v>Ancestral</v>
      </c>
      <c r="BS99" s="245" t="str">
        <f>IFERROR(__xludf.DUMMYFUNCTION("""COMPUTED_VALUE"""),"+15°")</f>
        <v>+15°</v>
      </c>
      <c r="BT99" s="246">
        <f>IFERROR(__xludf.DUMMYFUNCTION("""COMPUTED_VALUE"""),15.0)</f>
        <v>15</v>
      </c>
      <c r="BU99" s="245"/>
      <c r="BV99" s="245"/>
      <c r="BW99" s="245"/>
      <c r="BX99" s="245"/>
      <c r="BY99" s="245"/>
      <c r="BZ99" s="282"/>
      <c r="CA99" s="245"/>
      <c r="CB99" s="245"/>
      <c r="CC99" s="245"/>
      <c r="CD99" s="245"/>
      <c r="CE99" s="245"/>
      <c r="CF99" s="245"/>
    </row>
    <row r="100">
      <c r="A100" s="259" t="str">
        <f>IFERROR(__xludf.DUMMYFUNCTION("""COMPUTED_VALUE"""),"Super Tower Bonus")</f>
        <v>Super Tower Bonus</v>
      </c>
      <c r="B100" s="260">
        <f>IFERROR(__xludf.DUMMYFUNCTION("""COMPUTED_VALUE"""),0.0)</f>
        <v>0</v>
      </c>
      <c r="C100" s="245"/>
      <c r="D100" s="261">
        <f>IFERROR(__xludf.DUMMYFUNCTION("""COMPUTED_VALUE"""),30.0)</f>
        <v>30</v>
      </c>
      <c r="E100" s="245"/>
      <c r="F100" s="245"/>
      <c r="G100" s="245"/>
      <c r="H100" s="245"/>
      <c r="I100" s="245"/>
      <c r="J100" s="245"/>
      <c r="K100" s="265"/>
      <c r="L100" s="245"/>
      <c r="M100" s="245"/>
      <c r="N100" s="245"/>
      <c r="O100" s="245"/>
      <c r="P100" s="245"/>
      <c r="Q100" s="247"/>
      <c r="R100" s="254"/>
      <c r="S100" s="245"/>
      <c r="T100" s="245"/>
      <c r="U100" s="245"/>
      <c r="V100" s="245"/>
      <c r="W100" s="245"/>
      <c r="X100" s="245"/>
      <c r="Y100" s="249"/>
      <c r="Z100" s="276"/>
      <c r="AA100" s="245"/>
      <c r="AB100" s="276"/>
      <c r="AC100" s="276"/>
      <c r="AD100" s="246"/>
      <c r="AE100" s="278"/>
      <c r="AF100" s="370"/>
      <c r="AG100" s="371"/>
      <c r="AH100" s="276"/>
      <c r="AI100" s="245"/>
      <c r="AJ100" s="287"/>
      <c r="AK100" s="278"/>
      <c r="AL100" s="246"/>
      <c r="AM100" s="245"/>
      <c r="AN100" s="245"/>
      <c r="AO100" s="274"/>
      <c r="AP100" s="245"/>
      <c r="AQ100" s="245"/>
      <c r="AR100" s="246"/>
      <c r="AS100" s="245"/>
      <c r="AT100" s="245"/>
      <c r="AU100" s="245"/>
      <c r="AV100" s="245"/>
      <c r="AW100" s="245"/>
      <c r="AX100" s="246"/>
      <c r="AY100" s="245"/>
      <c r="AZ100" s="245"/>
      <c r="BA100" s="246"/>
      <c r="BB100" s="245" t="str">
        <f>IFERROR(__xludf.DUMMYFUNCTION("""COMPUTED_VALUE"""),"Super Crit Multi")</f>
        <v>Super Crit Multi</v>
      </c>
      <c r="BC100" s="245" t="str">
        <f>IFERROR(__xludf.DUMMYFUNCTION("""COMPUTED_VALUE"""),"Mythic")</f>
        <v>Mythic</v>
      </c>
      <c r="BD100" s="245" t="str">
        <f>IFERROR(__xludf.DUMMYFUNCTION("""COMPUTED_VALUE"""),"+5x")</f>
        <v>+5x</v>
      </c>
      <c r="BE100" s="245">
        <f>IFERROR(__xludf.DUMMYFUNCTION("""COMPUTED_VALUE"""),5.0)</f>
        <v>5</v>
      </c>
      <c r="BF100" s="245"/>
      <c r="BG100" s="245"/>
      <c r="BH100" s="245"/>
      <c r="BI100" s="245"/>
      <c r="BJ100" s="245" t="str">
        <f>IFERROR(__xludf.DUMMYFUNCTION("""COMPUTED_VALUE"""),"")</f>
        <v/>
      </c>
      <c r="BK100" s="245"/>
      <c r="BL100" s="245"/>
      <c r="BM100" s="245"/>
      <c r="BN100" s="245"/>
      <c r="BO100" s="245" t="str">
        <f>IFERROR(__xludf.DUMMYFUNCTION("""COMPUTED_VALUE"""),"")</f>
        <v/>
      </c>
      <c r="BP100" s="245"/>
      <c r="BQ100" s="245"/>
      <c r="BR100" s="245"/>
      <c r="BS100" s="245"/>
      <c r="BT100" s="246" t="str">
        <f>IFERROR(__xludf.DUMMYFUNCTION("""COMPUTED_VALUE"""),"")</f>
        <v/>
      </c>
      <c r="BU100" s="245"/>
      <c r="BV100" s="245"/>
      <c r="BW100" s="245"/>
      <c r="BX100" s="245"/>
      <c r="BY100" s="245"/>
      <c r="BZ100" s="282"/>
      <c r="CA100" s="245"/>
      <c r="CB100" s="245"/>
      <c r="CC100" s="245"/>
      <c r="CD100" s="245"/>
      <c r="CE100" s="245"/>
      <c r="CF100" s="245"/>
    </row>
    <row r="101">
      <c r="A101" s="259" t="str">
        <f>IFERROR(__xludf.DUMMYFUNCTION("""COMPUTED_VALUE"""),"Recharge Second Wind")</f>
        <v>Recharge Second Wind</v>
      </c>
      <c r="B101" s="260">
        <f>IFERROR(__xludf.DUMMYFUNCTION("""COMPUTED_VALUE"""),7.0)</f>
        <v>7</v>
      </c>
      <c r="C101" s="245"/>
      <c r="D101" s="261">
        <f>IFERROR(__xludf.DUMMYFUNCTION("""COMPUTED_VALUE"""),7.0)</f>
        <v>7</v>
      </c>
      <c r="E101" s="245"/>
      <c r="F101" s="245"/>
      <c r="G101" s="245"/>
      <c r="H101" s="245"/>
      <c r="I101" s="245"/>
      <c r="J101" s="245"/>
      <c r="K101" s="265"/>
      <c r="L101" s="245"/>
      <c r="M101" s="245"/>
      <c r="N101" s="245"/>
      <c r="O101" s="245"/>
      <c r="P101" s="245"/>
      <c r="Q101" s="247"/>
      <c r="R101" s="254"/>
      <c r="S101" s="245"/>
      <c r="T101" s="245"/>
      <c r="U101" s="245"/>
      <c r="V101" s="245"/>
      <c r="W101" s="245"/>
      <c r="X101" s="245"/>
      <c r="Y101" s="249"/>
      <c r="Z101" s="276"/>
      <c r="AA101" s="245"/>
      <c r="AB101" s="276"/>
      <c r="AC101" s="276"/>
      <c r="AD101" s="246"/>
      <c r="AE101" s="278"/>
      <c r="AF101" s="370"/>
      <c r="AG101" s="371"/>
      <c r="AH101" s="276"/>
      <c r="AI101" s="245"/>
      <c r="AJ101" s="287"/>
      <c r="AK101" s="278"/>
      <c r="AL101" s="246"/>
      <c r="AM101" s="245"/>
      <c r="AN101" s="245"/>
      <c r="AO101" s="274"/>
      <c r="AP101" s="245"/>
      <c r="AQ101" s="245"/>
      <c r="AR101" s="246"/>
      <c r="AS101" s="245"/>
      <c r="AT101" s="245"/>
      <c r="AU101" s="245"/>
      <c r="AV101" s="245"/>
      <c r="AW101" s="245"/>
      <c r="AX101" s="246"/>
      <c r="AY101" s="245"/>
      <c r="AZ101" s="245"/>
      <c r="BA101" s="246"/>
      <c r="BB101" s="245"/>
      <c r="BC101" s="245"/>
      <c r="BD101" s="245"/>
      <c r="BE101" s="245" t="str">
        <f>IFERROR(__xludf.DUMMYFUNCTION("""COMPUTED_VALUE"""),"")</f>
        <v/>
      </c>
      <c r="BF101" s="245"/>
      <c r="BG101" s="245"/>
      <c r="BH101" s="245"/>
      <c r="BI101" s="245"/>
      <c r="BJ101" s="245" t="str">
        <f>IFERROR(__xludf.DUMMYFUNCTION("""COMPUTED_VALUE"""),"")</f>
        <v/>
      </c>
      <c r="BK101" s="245"/>
      <c r="BL101" s="245"/>
      <c r="BM101" s="245"/>
      <c r="BN101" s="245"/>
      <c r="BO101" s="245" t="str">
        <f>IFERROR(__xludf.DUMMYFUNCTION("""COMPUTED_VALUE"""),"")</f>
        <v/>
      </c>
      <c r="BP101" s="245"/>
      <c r="BQ101" s="245"/>
      <c r="BR101" s="245"/>
      <c r="BS101" s="245"/>
      <c r="BT101" s="246" t="str">
        <f>IFERROR(__xludf.DUMMYFUNCTION("""COMPUTED_VALUE"""),"")</f>
        <v/>
      </c>
      <c r="BU101" s="245"/>
      <c r="BV101" s="245"/>
      <c r="BW101" s="245"/>
      <c r="BX101" s="245"/>
      <c r="BY101" s="245"/>
      <c r="BZ101" s="282"/>
      <c r="CA101" s="245"/>
      <c r="CB101" s="245"/>
      <c r="CC101" s="245"/>
      <c r="CD101" s="245"/>
      <c r="CE101" s="245"/>
      <c r="CF101" s="245"/>
    </row>
    <row r="102">
      <c r="A102" s="259" t="str">
        <f>IFERROR(__xludf.DUMMYFUNCTION("""COMPUTED_VALUE"""),"Recharge Demon Mode")</f>
        <v>Recharge Demon Mode</v>
      </c>
      <c r="B102" s="260">
        <f>IFERROR(__xludf.DUMMYFUNCTION("""COMPUTED_VALUE"""),4.0)</f>
        <v>4</v>
      </c>
      <c r="C102" s="245"/>
      <c r="D102" s="261">
        <f>IFERROR(__xludf.DUMMYFUNCTION("""COMPUTED_VALUE"""),7.0)</f>
        <v>7</v>
      </c>
      <c r="E102" s="245"/>
      <c r="F102" s="245"/>
      <c r="G102" s="245"/>
      <c r="H102" s="245"/>
      <c r="I102" s="245"/>
      <c r="J102" s="245"/>
      <c r="K102" s="265"/>
      <c r="L102" s="245"/>
      <c r="M102" s="245"/>
      <c r="N102" s="245"/>
      <c r="O102" s="245"/>
      <c r="P102" s="245"/>
      <c r="Q102" s="247"/>
      <c r="R102" s="254"/>
      <c r="S102" s="245"/>
      <c r="T102" s="245"/>
      <c r="U102" s="245"/>
      <c r="V102" s="245"/>
      <c r="W102" s="245"/>
      <c r="X102" s="245"/>
      <c r="Y102" s="249"/>
      <c r="Z102" s="276"/>
      <c r="AA102" s="245"/>
      <c r="AB102" s="276"/>
      <c r="AC102" s="276"/>
      <c r="AD102" s="246"/>
      <c r="AE102" s="278"/>
      <c r="AF102" s="370"/>
      <c r="AG102" s="371"/>
      <c r="AH102" s="276"/>
      <c r="AI102" s="245"/>
      <c r="AJ102" s="287"/>
      <c r="AK102" s="278"/>
      <c r="AL102" s="246"/>
      <c r="AM102" s="245"/>
      <c r="AN102" s="245"/>
      <c r="AO102" s="274"/>
      <c r="AP102" s="245"/>
      <c r="AQ102" s="245"/>
      <c r="AR102" s="246"/>
      <c r="AS102" s="245"/>
      <c r="AT102" s="245"/>
      <c r="AU102" s="245"/>
      <c r="AV102" s="245"/>
      <c r="AW102" s="245"/>
      <c r="AX102" s="246"/>
      <c r="AY102" s="245"/>
      <c r="AZ102" s="245"/>
      <c r="BA102" s="246"/>
      <c r="BB102" s="245"/>
      <c r="BC102" s="245"/>
      <c r="BD102" s="245"/>
      <c r="BE102" s="245" t="str">
        <f>IFERROR(__xludf.DUMMYFUNCTION("""COMPUTED_VALUE"""),"")</f>
        <v/>
      </c>
      <c r="BF102" s="245"/>
      <c r="BG102" s="245"/>
      <c r="BH102" s="245"/>
      <c r="BI102" s="245"/>
      <c r="BJ102" s="245" t="str">
        <f>IFERROR(__xludf.DUMMYFUNCTION("""COMPUTED_VALUE"""),"")</f>
        <v/>
      </c>
      <c r="BK102" s="245"/>
      <c r="BL102" s="245"/>
      <c r="BM102" s="245"/>
      <c r="BN102" s="245"/>
      <c r="BO102" s="245" t="str">
        <f>IFERROR(__xludf.DUMMYFUNCTION("""COMPUTED_VALUE"""),"")</f>
        <v/>
      </c>
      <c r="BP102" s="245"/>
      <c r="BQ102" s="245"/>
      <c r="BR102" s="245"/>
      <c r="BS102" s="245"/>
      <c r="BT102" s="246" t="str">
        <f>IFERROR(__xludf.DUMMYFUNCTION("""COMPUTED_VALUE"""),"")</f>
        <v/>
      </c>
      <c r="BU102" s="245"/>
      <c r="BV102" s="245"/>
      <c r="BW102" s="245"/>
      <c r="BX102" s="245"/>
      <c r="BY102" s="245"/>
      <c r="BZ102" s="282"/>
      <c r="CA102" s="245"/>
      <c r="CB102" s="245"/>
      <c r="CC102" s="245"/>
      <c r="CD102" s="245"/>
      <c r="CE102" s="245"/>
      <c r="CF102" s="245"/>
    </row>
    <row r="103">
      <c r="A103" s="259" t="str">
        <f>IFERROR(__xludf.DUMMYFUNCTION("""COMPUTED_VALUE"""),"Recharge Nuke")</f>
        <v>Recharge Nuke</v>
      </c>
      <c r="B103" s="260">
        <f>IFERROR(__xludf.DUMMYFUNCTION("""COMPUTED_VALUE"""),2.0)</f>
        <v>2</v>
      </c>
      <c r="C103" s="245"/>
      <c r="D103" s="261">
        <f>IFERROR(__xludf.DUMMYFUNCTION("""COMPUTED_VALUE"""),7.0)</f>
        <v>7</v>
      </c>
      <c r="E103" s="245"/>
      <c r="F103" s="245"/>
      <c r="G103" s="245"/>
      <c r="H103" s="245"/>
      <c r="I103" s="245"/>
      <c r="J103" s="245"/>
      <c r="K103" s="265"/>
      <c r="L103" s="245"/>
      <c r="M103" s="245"/>
      <c r="N103" s="245"/>
      <c r="O103" s="245"/>
      <c r="P103" s="245"/>
      <c r="Q103" s="247"/>
      <c r="R103" s="254"/>
      <c r="S103" s="245"/>
      <c r="T103" s="245"/>
      <c r="U103" s="245"/>
      <c r="V103" s="245"/>
      <c r="W103" s="245"/>
      <c r="X103" s="245"/>
      <c r="Y103" s="249"/>
      <c r="Z103" s="276"/>
      <c r="AA103" s="245"/>
      <c r="AB103" s="276"/>
      <c r="AC103" s="276"/>
      <c r="AD103" s="246"/>
      <c r="AE103" s="278"/>
      <c r="AF103" s="370"/>
      <c r="AG103" s="371"/>
      <c r="AH103" s="276"/>
      <c r="AI103" s="245"/>
      <c r="AJ103" s="287"/>
      <c r="AK103" s="278"/>
      <c r="AL103" s="246"/>
      <c r="AM103" s="245"/>
      <c r="AN103" s="245"/>
      <c r="AO103" s="274"/>
      <c r="AP103" s="245"/>
      <c r="AQ103" s="245"/>
      <c r="AR103" s="246"/>
      <c r="AS103" s="245"/>
      <c r="AT103" s="245"/>
      <c r="AU103" s="245"/>
      <c r="AV103" s="245"/>
      <c r="AW103" s="245"/>
      <c r="AX103" s="246"/>
      <c r="AY103" s="245"/>
      <c r="AZ103" s="245"/>
      <c r="BA103" s="246"/>
      <c r="BB103" s="245"/>
      <c r="BC103" s="245"/>
      <c r="BD103" s="245"/>
      <c r="BE103" s="245" t="str">
        <f>IFERROR(__xludf.DUMMYFUNCTION("""COMPUTED_VALUE"""),"")</f>
        <v/>
      </c>
      <c r="BF103" s="245"/>
      <c r="BG103" s="245"/>
      <c r="BH103" s="245"/>
      <c r="BI103" s="245"/>
      <c r="BJ103" s="245" t="str">
        <f>IFERROR(__xludf.DUMMYFUNCTION("""COMPUTED_VALUE"""),"")</f>
        <v/>
      </c>
      <c r="BK103" s="245"/>
      <c r="BL103" s="245"/>
      <c r="BM103" s="245"/>
      <c r="BN103" s="245"/>
      <c r="BO103" s="245" t="str">
        <f>IFERROR(__xludf.DUMMYFUNCTION("""COMPUTED_VALUE"""),"")</f>
        <v/>
      </c>
      <c r="BP103" s="245"/>
      <c r="BQ103" s="245"/>
      <c r="BR103" s="245"/>
      <c r="BS103" s="245"/>
      <c r="BT103" s="246" t="str">
        <f>IFERROR(__xludf.DUMMYFUNCTION("""COMPUTED_VALUE"""),"")</f>
        <v/>
      </c>
      <c r="BU103" s="245"/>
      <c r="BV103" s="245"/>
      <c r="BW103" s="245"/>
      <c r="BX103" s="245"/>
      <c r="BY103" s="245"/>
      <c r="BZ103" s="282"/>
      <c r="CA103" s="245"/>
      <c r="CB103" s="245"/>
      <c r="CC103" s="245"/>
      <c r="CD103" s="245"/>
      <c r="CE103" s="245"/>
      <c r="CF103" s="245"/>
    </row>
    <row r="104">
      <c r="A104" s="259" t="str">
        <f>IFERROR(__xludf.DUMMYFUNCTION("""COMPUTED_VALUE"""),"Unlock Perks")</f>
        <v>Unlock Perks</v>
      </c>
      <c r="B104" s="260">
        <f>IFERROR(__xludf.DUMMYFUNCTION("""COMPUTED_VALUE"""),1.0)</f>
        <v>1</v>
      </c>
      <c r="C104" s="245"/>
      <c r="D104" s="261">
        <f>IFERROR(__xludf.DUMMYFUNCTION("""COMPUTED_VALUE"""),1.0)</f>
        <v>1</v>
      </c>
      <c r="E104" s="245"/>
      <c r="F104" s="245"/>
      <c r="G104" s="245"/>
      <c r="H104" s="245"/>
      <c r="I104" s="245"/>
      <c r="J104" s="245"/>
      <c r="K104" s="265"/>
      <c r="L104" s="245"/>
      <c r="M104" s="245"/>
      <c r="N104" s="245"/>
      <c r="O104" s="245"/>
      <c r="P104" s="245"/>
      <c r="Q104" s="247"/>
      <c r="R104" s="254"/>
      <c r="S104" s="245"/>
      <c r="T104" s="245"/>
      <c r="U104" s="245"/>
      <c r="V104" s="245"/>
      <c r="W104" s="245"/>
      <c r="X104" s="245"/>
      <c r="Y104" s="249"/>
      <c r="Z104" s="276"/>
      <c r="AA104" s="245"/>
      <c r="AB104" s="276"/>
      <c r="AC104" s="276"/>
      <c r="AD104" s="246"/>
      <c r="AE104" s="278"/>
      <c r="AF104" s="370"/>
      <c r="AG104" s="371"/>
      <c r="AH104" s="276"/>
      <c r="AI104" s="245"/>
      <c r="AJ104" s="287"/>
      <c r="AK104" s="278"/>
      <c r="AL104" s="246"/>
      <c r="AM104" s="245"/>
      <c r="AN104" s="245"/>
      <c r="AO104" s="274"/>
      <c r="AP104" s="245"/>
      <c r="AQ104" s="245"/>
      <c r="AR104" s="246"/>
      <c r="AS104" s="245"/>
      <c r="AT104" s="245"/>
      <c r="AU104" s="245"/>
      <c r="AV104" s="245"/>
      <c r="AW104" s="245"/>
      <c r="AX104" s="246"/>
      <c r="AY104" s="245"/>
      <c r="AZ104" s="245"/>
      <c r="BA104" s="246"/>
      <c r="BB104" s="245"/>
      <c r="BC104" s="245"/>
      <c r="BD104" s="245"/>
      <c r="BE104" s="245"/>
      <c r="BF104" s="245"/>
      <c r="BG104" s="245"/>
      <c r="BH104" s="245"/>
      <c r="BI104" s="245"/>
      <c r="BJ104" s="245"/>
      <c r="BK104" s="245"/>
      <c r="BL104" s="245"/>
      <c r="BM104" s="245"/>
      <c r="BN104" s="245"/>
      <c r="BO104" s="245"/>
      <c r="BP104" s="245"/>
      <c r="BQ104" s="245"/>
      <c r="BR104" s="245"/>
      <c r="BS104" s="245"/>
      <c r="BT104" s="246"/>
      <c r="BU104" s="245"/>
      <c r="BV104" s="245"/>
      <c r="BW104" s="245"/>
      <c r="BX104" s="245"/>
      <c r="BY104" s="245"/>
      <c r="BZ104" s="282"/>
      <c r="CA104" s="245"/>
      <c r="CB104" s="245"/>
      <c r="CC104" s="245"/>
      <c r="CD104" s="245"/>
      <c r="CE104" s="245"/>
      <c r="CF104" s="245"/>
    </row>
    <row r="105">
      <c r="A105" s="259" t="str">
        <f>IFERROR(__xludf.DUMMYFUNCTION("""COMPUTED_VALUE"""),"Waves Required")</f>
        <v>Waves Required</v>
      </c>
      <c r="B105" s="260">
        <f>IFERROR(__xludf.DUMMYFUNCTION("""COMPUTED_VALUE"""),13.0)</f>
        <v>13</v>
      </c>
      <c r="C105" s="245">
        <f>IFERROR(__xludf.DUMMYFUNCTION("""COMPUTED_VALUE"""),17.0)</f>
        <v>17</v>
      </c>
      <c r="D105" s="261">
        <f>IFERROR(__xludf.DUMMYFUNCTION("""COMPUTED_VALUE"""),100.0)</f>
        <v>100</v>
      </c>
      <c r="E105" s="245"/>
      <c r="F105" s="245"/>
      <c r="G105" s="245"/>
      <c r="H105" s="245"/>
      <c r="I105" s="245"/>
      <c r="J105" s="245"/>
      <c r="K105" s="265"/>
      <c r="L105" s="245"/>
      <c r="M105" s="245"/>
      <c r="N105" s="245"/>
      <c r="O105" s="245"/>
      <c r="P105" s="245"/>
      <c r="Q105" s="247"/>
      <c r="R105" s="254"/>
      <c r="S105" s="245"/>
      <c r="T105" s="245"/>
      <c r="U105" s="245"/>
      <c r="V105" s="245"/>
      <c r="W105" s="245"/>
      <c r="X105" s="245"/>
      <c r="Y105" s="249"/>
      <c r="Z105" s="276"/>
      <c r="AA105" s="245"/>
      <c r="AB105" s="276"/>
      <c r="AC105" s="276"/>
      <c r="AD105" s="246"/>
      <c r="AE105" s="278"/>
      <c r="AF105" s="370"/>
      <c r="AG105" s="371"/>
      <c r="AH105" s="276"/>
      <c r="AI105" s="245"/>
      <c r="AJ105" s="287"/>
      <c r="AK105" s="278"/>
      <c r="AL105" s="246"/>
      <c r="AM105" s="245"/>
      <c r="AN105" s="245"/>
      <c r="AO105" s="274"/>
      <c r="AP105" s="245"/>
      <c r="AQ105" s="245"/>
      <c r="AR105" s="246"/>
      <c r="AS105" s="245"/>
      <c r="AT105" s="245"/>
      <c r="AU105" s="245"/>
      <c r="AV105" s="245"/>
      <c r="AW105" s="245"/>
      <c r="AX105" s="246"/>
      <c r="AY105" s="245"/>
      <c r="AZ105" s="245"/>
      <c r="BA105" s="246"/>
      <c r="BB105" s="245" t="str">
        <f>IFERROR(__xludf.DUMMYFUNCTION("""COMPUTED_VALUE"""),"Any Other")</f>
        <v>Any Other</v>
      </c>
      <c r="BC105" s="245"/>
      <c r="BD105" s="245"/>
      <c r="BE105" s="245"/>
      <c r="BF105" s="245"/>
      <c r="BG105" s="245" t="str">
        <f>IFERROR(__xludf.DUMMYFUNCTION("""COMPUTED_VALUE"""),"Any Other")</f>
        <v>Any Other</v>
      </c>
      <c r="BH105" s="245"/>
      <c r="BI105" s="245"/>
      <c r="BJ105" s="245"/>
      <c r="BK105" s="245"/>
      <c r="BL105" s="245" t="str">
        <f>IFERROR(__xludf.DUMMYFUNCTION("""COMPUTED_VALUE"""),"Any Other")</f>
        <v>Any Other</v>
      </c>
      <c r="BM105" s="245"/>
      <c r="BN105" s="245"/>
      <c r="BO105" s="245"/>
      <c r="BP105" s="245"/>
      <c r="BQ105" s="245" t="str">
        <f>IFERROR(__xludf.DUMMYFUNCTION("""COMPUTED_VALUE"""),"Any Other")</f>
        <v>Any Other</v>
      </c>
      <c r="BR105" s="245"/>
      <c r="BS105" s="245"/>
      <c r="BT105" s="246"/>
      <c r="BU105" s="245"/>
      <c r="BV105" s="245"/>
      <c r="BW105" s="245"/>
      <c r="BX105" s="245"/>
      <c r="BY105" s="245"/>
      <c r="BZ105" s="282"/>
      <c r="CA105" s="245"/>
      <c r="CB105" s="245"/>
      <c r="CC105" s="245"/>
      <c r="CD105" s="245"/>
      <c r="CE105" s="245"/>
      <c r="CF105" s="245"/>
    </row>
    <row r="106">
      <c r="A106" s="259" t="str">
        <f>IFERROR(__xludf.DUMMYFUNCTION("""COMPUTED_VALUE"""),"Auto Pick Perks")</f>
        <v>Auto Pick Perks</v>
      </c>
      <c r="B106" s="260">
        <f>IFERROR(__xludf.DUMMYFUNCTION("""COMPUTED_VALUE"""),1.0)</f>
        <v>1</v>
      </c>
      <c r="C106" s="245"/>
      <c r="D106" s="261">
        <f>IFERROR(__xludf.DUMMYFUNCTION("""COMPUTED_VALUE"""),1.0)</f>
        <v>1</v>
      </c>
      <c r="E106" s="245"/>
      <c r="F106" s="245"/>
      <c r="G106" s="245"/>
      <c r="H106" s="245"/>
      <c r="I106" s="245"/>
      <c r="J106" s="245"/>
      <c r="K106" s="265"/>
      <c r="L106" s="245"/>
      <c r="M106" s="245"/>
      <c r="N106" s="245"/>
      <c r="O106" s="245"/>
      <c r="P106" s="245"/>
      <c r="Q106" s="247"/>
      <c r="R106" s="254"/>
      <c r="S106" s="245"/>
      <c r="T106" s="245"/>
      <c r="U106" s="245"/>
      <c r="V106" s="245"/>
      <c r="W106" s="245"/>
      <c r="X106" s="245"/>
      <c r="Y106" s="249"/>
      <c r="Z106" s="276"/>
      <c r="AA106" s="245"/>
      <c r="AB106" s="276"/>
      <c r="AC106" s="276"/>
      <c r="AD106" s="246"/>
      <c r="AE106" s="278"/>
      <c r="AF106" s="370"/>
      <c r="AG106" s="371"/>
      <c r="AH106" s="276"/>
      <c r="AI106" s="245"/>
      <c r="AJ106" s="287"/>
      <c r="AK106" s="278"/>
      <c r="AL106" s="246"/>
      <c r="AM106" s="245"/>
      <c r="AN106" s="245"/>
      <c r="AO106" s="274"/>
      <c r="AP106" s="245"/>
      <c r="AQ106" s="245"/>
      <c r="AR106" s="246"/>
      <c r="AS106" s="245"/>
      <c r="AT106" s="245"/>
      <c r="AU106" s="245"/>
      <c r="AV106" s="245"/>
      <c r="AW106" s="245"/>
      <c r="AX106" s="246"/>
      <c r="AY106" s="245"/>
      <c r="AZ106" s="245"/>
      <c r="BA106" s="246"/>
      <c r="BB106" s="245" t="str">
        <f>IFERROR(__xludf.DUMMYFUNCTION("""COMPUTED_VALUE"""),"Rarity")</f>
        <v>Rarity</v>
      </c>
      <c r="BC106" s="245" t="str">
        <f>IFERROR(__xludf.DUMMYFUNCTION("""COMPUTED_VALUE"""),"Level")</f>
        <v>Level</v>
      </c>
      <c r="BD106" s="245" t="str">
        <f>IFERROR(__xludf.DUMMYFUNCTION("""COMPUTED_VALUE"""),"Stat")</f>
        <v>Stat</v>
      </c>
      <c r="BE106" s="245"/>
      <c r="BF106" s="245"/>
      <c r="BG106" s="245" t="str">
        <f>IFERROR(__xludf.DUMMYFUNCTION("""COMPUTED_VALUE"""),"Rarity")</f>
        <v>Rarity</v>
      </c>
      <c r="BH106" s="245" t="str">
        <f>IFERROR(__xludf.DUMMYFUNCTION("""COMPUTED_VALUE"""),"Level")</f>
        <v>Level</v>
      </c>
      <c r="BI106" s="245" t="str">
        <f>IFERROR(__xludf.DUMMYFUNCTION("""COMPUTED_VALUE"""),"Stat")</f>
        <v>Stat</v>
      </c>
      <c r="BJ106" s="245"/>
      <c r="BK106" s="245"/>
      <c r="BL106" s="245" t="str">
        <f>IFERROR(__xludf.DUMMYFUNCTION("""COMPUTED_VALUE"""),"Rarity")</f>
        <v>Rarity</v>
      </c>
      <c r="BM106" s="245" t="str">
        <f>IFERROR(__xludf.DUMMYFUNCTION("""COMPUTED_VALUE"""),"Level")</f>
        <v>Level</v>
      </c>
      <c r="BN106" s="245" t="str">
        <f>IFERROR(__xludf.DUMMYFUNCTION("""COMPUTED_VALUE"""),"Stat")</f>
        <v>Stat</v>
      </c>
      <c r="BO106" s="245"/>
      <c r="BP106" s="245"/>
      <c r="BQ106" s="245" t="str">
        <f>IFERROR(__xludf.DUMMYFUNCTION("""COMPUTED_VALUE"""),"Rarity")</f>
        <v>Rarity</v>
      </c>
      <c r="BR106" s="245" t="str">
        <f>IFERROR(__xludf.DUMMYFUNCTION("""COMPUTED_VALUE"""),"Level")</f>
        <v>Level</v>
      </c>
      <c r="BS106" s="245" t="str">
        <f>IFERROR(__xludf.DUMMYFUNCTION("""COMPUTED_VALUE"""),"Stat")</f>
        <v>Stat</v>
      </c>
      <c r="BT106" s="246"/>
      <c r="BU106" s="245"/>
      <c r="BV106" s="245"/>
      <c r="BW106" s="245"/>
      <c r="BX106" s="245"/>
      <c r="BY106" s="245"/>
      <c r="BZ106" s="282"/>
      <c r="CA106" s="245"/>
      <c r="CB106" s="245"/>
      <c r="CC106" s="245"/>
      <c r="CD106" s="245"/>
      <c r="CE106" s="245"/>
      <c r="CF106" s="245"/>
    </row>
    <row r="107">
      <c r="A107" s="259" t="str">
        <f>IFERROR(__xludf.DUMMYFUNCTION("""COMPUTED_VALUE"""),"Standard Perks Bonus")</f>
        <v>Standard Perks Bonus</v>
      </c>
      <c r="B107" s="260">
        <f>IFERROR(__xludf.DUMMYFUNCTION("""COMPUTED_VALUE"""),25.0)</f>
        <v>25</v>
      </c>
      <c r="C107" s="245"/>
      <c r="D107" s="261">
        <f>IFERROR(__xludf.DUMMYFUNCTION("""COMPUTED_VALUE"""),25.0)</f>
        <v>25</v>
      </c>
      <c r="E107" s="245"/>
      <c r="F107" s="245"/>
      <c r="G107" s="245"/>
      <c r="H107" s="245"/>
      <c r="I107" s="245"/>
      <c r="J107" s="245"/>
      <c r="K107" s="265"/>
      <c r="L107" s="245"/>
      <c r="M107" s="245"/>
      <c r="N107" s="245"/>
      <c r="O107" s="245"/>
      <c r="P107" s="245"/>
      <c r="Q107" s="247"/>
      <c r="R107" s="254"/>
      <c r="S107" s="245"/>
      <c r="T107" s="245"/>
      <c r="U107" s="245"/>
      <c r="V107" s="245"/>
      <c r="W107" s="245"/>
      <c r="X107" s="245"/>
      <c r="Y107" s="249"/>
      <c r="Z107" s="276"/>
      <c r="AA107" s="245"/>
      <c r="AB107" s="276"/>
      <c r="AC107" s="276"/>
      <c r="AD107" s="246"/>
      <c r="AE107" s="278"/>
      <c r="AF107" s="370"/>
      <c r="AG107" s="371"/>
      <c r="AH107" s="276"/>
      <c r="AI107" s="245"/>
      <c r="AJ107" s="287"/>
      <c r="AK107" s="278"/>
      <c r="AL107" s="246"/>
      <c r="AM107" s="245"/>
      <c r="AN107" s="245"/>
      <c r="AO107" s="274"/>
      <c r="AP107" s="245"/>
      <c r="AQ107" s="245"/>
      <c r="AR107" s="246"/>
      <c r="AS107" s="245"/>
      <c r="AT107" s="245"/>
      <c r="AU107" s="245"/>
      <c r="AV107" s="245"/>
      <c r="AW107" s="245"/>
      <c r="AX107" s="246"/>
      <c r="AY107" s="245"/>
      <c r="AZ107" s="245"/>
      <c r="BA107" s="246"/>
      <c r="BB107" s="245" t="str">
        <f>IFERROR(__xludf.DUMMYFUNCTION("""COMPUTED_VALUE"""),"Epic")</f>
        <v>Epic</v>
      </c>
      <c r="BC107" s="279">
        <f>IFERROR(__xludf.DUMMYFUNCTION("""COMPUTED_VALUE"""),60.0)</f>
        <v>60</v>
      </c>
      <c r="BD107" s="306">
        <f>IFERROR(__xludf.DUMMYFUNCTION("""COMPUTED_VALUE"""),1.37)</f>
        <v>1.37</v>
      </c>
      <c r="BE107" s="245"/>
      <c r="BF107" s="245"/>
      <c r="BG107" s="245" t="str">
        <f>IFERROR(__xludf.DUMMYFUNCTION("""COMPUTED_VALUE"""),"Epic")</f>
        <v>Epic</v>
      </c>
      <c r="BH107" s="279">
        <f>IFERROR(__xludf.DUMMYFUNCTION("""COMPUTED_VALUE"""),60.0)</f>
        <v>60</v>
      </c>
      <c r="BI107" s="306">
        <f>IFERROR(__xludf.DUMMYFUNCTION("""COMPUTED_VALUE"""),1.37)</f>
        <v>1.37</v>
      </c>
      <c r="BJ107" s="245"/>
      <c r="BK107" s="245"/>
      <c r="BL107" s="245" t="str">
        <f>IFERROR(__xludf.DUMMYFUNCTION("""COMPUTED_VALUE"""),"Legendary")</f>
        <v>Legendary</v>
      </c>
      <c r="BM107" s="279">
        <f>IFERROR(__xludf.DUMMYFUNCTION("""COMPUTED_VALUE"""),100.0)</f>
        <v>100</v>
      </c>
      <c r="BN107" s="306">
        <f>IFERROR(__xludf.DUMMYFUNCTION("""COMPUTED_VALUE"""),1.275)</f>
        <v>1.275</v>
      </c>
      <c r="BO107" s="245"/>
      <c r="BP107" s="245"/>
      <c r="BQ107" s="245" t="str">
        <f>IFERROR(__xludf.DUMMYFUNCTION("""COMPUTED_VALUE"""),"Epic")</f>
        <v>Epic</v>
      </c>
      <c r="BR107" s="279">
        <f>IFERROR(__xludf.DUMMYFUNCTION("""COMPUTED_VALUE"""),60.0)</f>
        <v>60</v>
      </c>
      <c r="BS107" s="306">
        <f>IFERROR(__xludf.DUMMYFUNCTION("""COMPUTED_VALUE"""),2.17)</f>
        <v>2.17</v>
      </c>
      <c r="BT107" s="246"/>
      <c r="BU107" s="245"/>
      <c r="BV107" s="245"/>
      <c r="BW107" s="245"/>
      <c r="BX107" s="245"/>
      <c r="BY107" s="245"/>
      <c r="BZ107" s="282"/>
      <c r="CA107" s="245"/>
      <c r="CB107" s="245"/>
      <c r="CC107" s="245"/>
      <c r="CD107" s="245"/>
      <c r="CE107" s="245"/>
      <c r="CF107" s="245"/>
    </row>
    <row r="108">
      <c r="A108" s="259" t="str">
        <f>IFERROR(__xludf.DUMMYFUNCTION("""COMPUTED_VALUE"""),"Perk Option Quantity")</f>
        <v>Perk Option Quantity</v>
      </c>
      <c r="B108" s="260">
        <f>IFERROR(__xludf.DUMMYFUNCTION("""COMPUTED_VALUE"""),2.0)</f>
        <v>2</v>
      </c>
      <c r="C108" s="245"/>
      <c r="D108" s="261">
        <f>IFERROR(__xludf.DUMMYFUNCTION("""COMPUTED_VALUE"""),2.0)</f>
        <v>2</v>
      </c>
      <c r="E108" s="245"/>
      <c r="F108" s="245"/>
      <c r="G108" s="245"/>
      <c r="H108" s="245"/>
      <c r="I108" s="245"/>
      <c r="J108" s="245"/>
      <c r="K108" s="265"/>
      <c r="L108" s="245"/>
      <c r="M108" s="245"/>
      <c r="N108" s="245"/>
      <c r="O108" s="245"/>
      <c r="P108" s="245"/>
      <c r="Q108" s="247"/>
      <c r="R108" s="254"/>
      <c r="S108" s="245"/>
      <c r="T108" s="245"/>
      <c r="U108" s="245"/>
      <c r="V108" s="245"/>
      <c r="W108" s="245"/>
      <c r="X108" s="245"/>
      <c r="Y108" s="249"/>
      <c r="Z108" s="276"/>
      <c r="AA108" s="245"/>
      <c r="AB108" s="276"/>
      <c r="AC108" s="276"/>
      <c r="AD108" s="246"/>
      <c r="AE108" s="278"/>
      <c r="AF108" s="370"/>
      <c r="AG108" s="371"/>
      <c r="AH108" s="276"/>
      <c r="AI108" s="245"/>
      <c r="AJ108" s="287"/>
      <c r="AK108" s="278"/>
      <c r="AL108" s="246"/>
      <c r="AM108" s="245"/>
      <c r="AN108" s="245"/>
      <c r="AO108" s="274"/>
      <c r="AP108" s="245"/>
      <c r="AQ108" s="245"/>
      <c r="AR108" s="246"/>
      <c r="AS108" s="245"/>
      <c r="AT108" s="245"/>
      <c r="AU108" s="245"/>
      <c r="AV108" s="245"/>
      <c r="AW108" s="245"/>
      <c r="AX108" s="246"/>
      <c r="AY108" s="245"/>
      <c r="AZ108" s="245"/>
      <c r="BA108" s="246"/>
      <c r="BB108" s="245"/>
      <c r="BC108" s="245"/>
      <c r="BD108" s="245"/>
      <c r="BE108" s="245"/>
      <c r="BF108" s="245"/>
      <c r="BG108" s="245"/>
      <c r="BH108" s="245"/>
      <c r="BI108" s="245"/>
      <c r="BJ108" s="245"/>
      <c r="BK108" s="245"/>
      <c r="BL108" s="245"/>
      <c r="BM108" s="245"/>
      <c r="BN108" s="245"/>
      <c r="BO108" s="245"/>
      <c r="BP108" s="245"/>
      <c r="BQ108" s="245"/>
      <c r="BR108" s="245"/>
      <c r="BS108" s="245"/>
      <c r="BT108" s="246"/>
      <c r="BU108" s="245"/>
      <c r="BV108" s="245"/>
      <c r="BW108" s="245"/>
      <c r="BX108" s="245"/>
      <c r="BY108" s="245"/>
      <c r="BZ108" s="282"/>
      <c r="CA108" s="245"/>
      <c r="CB108" s="245"/>
      <c r="CC108" s="245"/>
      <c r="CD108" s="245"/>
      <c r="CE108" s="245"/>
      <c r="CF108" s="245"/>
    </row>
    <row r="109">
      <c r="A109" s="259" t="str">
        <f>IFERROR(__xludf.DUMMYFUNCTION("""COMPUTED_VALUE"""),"First Perk Choice")</f>
        <v>First Perk Choice</v>
      </c>
      <c r="B109" s="260">
        <f>IFERROR(__xludf.DUMMYFUNCTION("""COMPUTED_VALUE"""),1.0)</f>
        <v>1</v>
      </c>
      <c r="C109" s="245"/>
      <c r="D109" s="261">
        <f>IFERROR(__xludf.DUMMYFUNCTION("""COMPUTED_VALUE"""),1.0)</f>
        <v>1</v>
      </c>
      <c r="E109" s="245"/>
      <c r="F109" s="245"/>
      <c r="G109" s="245"/>
      <c r="H109" s="245"/>
      <c r="I109" s="245"/>
      <c r="J109" s="245"/>
      <c r="K109" s="265"/>
      <c r="L109" s="245"/>
      <c r="M109" s="245"/>
      <c r="N109" s="245"/>
      <c r="O109" s="245"/>
      <c r="P109" s="245"/>
      <c r="Q109" s="247"/>
      <c r="R109" s="254"/>
      <c r="S109" s="245"/>
      <c r="T109" s="245"/>
      <c r="U109" s="245"/>
      <c r="V109" s="245"/>
      <c r="W109" s="245"/>
      <c r="X109" s="245"/>
      <c r="Y109" s="249"/>
      <c r="Z109" s="276"/>
      <c r="AA109" s="245"/>
      <c r="AB109" s="276"/>
      <c r="AC109" s="276"/>
      <c r="AD109" s="246"/>
      <c r="AE109" s="278"/>
      <c r="AF109" s="370"/>
      <c r="AG109" s="371"/>
      <c r="AH109" s="276"/>
      <c r="AI109" s="245"/>
      <c r="AJ109" s="287"/>
      <c r="AK109" s="278"/>
      <c r="AL109" s="246"/>
      <c r="AM109" s="245"/>
      <c r="AN109" s="245"/>
      <c r="AO109" s="274"/>
      <c r="AP109" s="245"/>
      <c r="AQ109" s="245"/>
      <c r="AR109" s="246"/>
      <c r="AS109" s="245"/>
      <c r="AT109" s="245"/>
      <c r="AU109" s="245"/>
      <c r="AV109" s="245"/>
      <c r="AW109" s="245"/>
      <c r="AX109" s="246"/>
      <c r="AY109" s="245"/>
      <c r="AZ109" s="245"/>
      <c r="BA109" s="246"/>
      <c r="BB109" s="245"/>
      <c r="BC109" s="245"/>
      <c r="BD109" s="245"/>
      <c r="BE109" s="245" t="str">
        <f>IFERROR(__xludf.DUMMYFUNCTION("""COMPUTED_VALUE"""),"")</f>
        <v/>
      </c>
      <c r="BF109" s="245"/>
      <c r="BG109" s="245"/>
      <c r="BH109" s="245"/>
      <c r="BI109" s="245"/>
      <c r="BJ109" s="245" t="str">
        <f>IFERROR(__xludf.DUMMYFUNCTION("""COMPUTED_VALUE"""),"")</f>
        <v/>
      </c>
      <c r="BK109" s="245"/>
      <c r="BL109" s="245" t="str">
        <f>IFERROR(__xludf.DUMMYFUNCTION("""COMPUTED_VALUE"""),"Enemy Attack Level Skip")</f>
        <v>Enemy Attack Level Skip</v>
      </c>
      <c r="BM109" s="245" t="str">
        <f>IFERROR(__xludf.DUMMYFUNCTION("""COMPUTED_VALUE"""),"Legendary")</f>
        <v>Legendary</v>
      </c>
      <c r="BN109" s="245" t="str">
        <f>IFERROR(__xludf.DUMMYFUNCTION("""COMPUTED_VALUE"""),"+4%")</f>
        <v>+4%</v>
      </c>
      <c r="BO109" s="245">
        <f>IFERROR(__xludf.DUMMYFUNCTION("""COMPUTED_VALUE"""),0.04)</f>
        <v>0.04</v>
      </c>
      <c r="BP109" s="245"/>
      <c r="BQ109" s="245"/>
      <c r="BR109" s="245"/>
      <c r="BS109" s="245"/>
      <c r="BT109" s="246" t="str">
        <f>IFERROR(__xludf.DUMMYFUNCTION("""COMPUTED_VALUE"""),"")</f>
        <v/>
      </c>
      <c r="BU109" s="245"/>
      <c r="BV109" s="245"/>
      <c r="BW109" s="245"/>
      <c r="BX109" s="245"/>
      <c r="BY109" s="245"/>
      <c r="BZ109" s="282"/>
      <c r="CA109" s="245"/>
      <c r="CB109" s="245"/>
      <c r="CC109" s="245"/>
      <c r="CD109" s="245"/>
      <c r="CE109" s="245"/>
      <c r="CF109" s="245"/>
    </row>
    <row r="110">
      <c r="A110" s="259" t="str">
        <f>IFERROR(__xludf.DUMMYFUNCTION("""COMPUTED_VALUE"""),"Ban Perks")</f>
        <v>Ban Perks</v>
      </c>
      <c r="B110" s="260">
        <f>IFERROR(__xludf.DUMMYFUNCTION("""COMPUTED_VALUE"""),6.0)</f>
        <v>6</v>
      </c>
      <c r="C110" s="245"/>
      <c r="D110" s="261">
        <f>IFERROR(__xludf.DUMMYFUNCTION("""COMPUTED_VALUE"""),8.0)</f>
        <v>8</v>
      </c>
      <c r="E110" s="245"/>
      <c r="F110" s="245"/>
      <c r="G110" s="245"/>
      <c r="H110" s="245"/>
      <c r="I110" s="245"/>
      <c r="J110" s="245"/>
      <c r="K110" s="265"/>
      <c r="L110" s="245"/>
      <c r="M110" s="245"/>
      <c r="N110" s="245"/>
      <c r="O110" s="245"/>
      <c r="P110" s="245"/>
      <c r="Q110" s="247"/>
      <c r="R110" s="254"/>
      <c r="S110" s="245"/>
      <c r="T110" s="245"/>
      <c r="U110" s="245"/>
      <c r="V110" s="245"/>
      <c r="W110" s="245"/>
      <c r="X110" s="245"/>
      <c r="Y110" s="249"/>
      <c r="Z110" s="276"/>
      <c r="AA110" s="245"/>
      <c r="AB110" s="276"/>
      <c r="AC110" s="276"/>
      <c r="AD110" s="246"/>
      <c r="AE110" s="278"/>
      <c r="AF110" s="370"/>
      <c r="AG110" s="371"/>
      <c r="AH110" s="276"/>
      <c r="AI110" s="245"/>
      <c r="AJ110" s="287"/>
      <c r="AK110" s="278"/>
      <c r="AL110" s="246"/>
      <c r="AM110" s="245"/>
      <c r="AN110" s="245"/>
      <c r="AO110" s="274"/>
      <c r="AP110" s="245"/>
      <c r="AQ110" s="245"/>
      <c r="AR110" s="246"/>
      <c r="AS110" s="245"/>
      <c r="AT110" s="245"/>
      <c r="AU110" s="245"/>
      <c r="AV110" s="245"/>
      <c r="AW110" s="245"/>
      <c r="AX110" s="246"/>
      <c r="AY110" s="245"/>
      <c r="AZ110" s="245"/>
      <c r="BA110" s="246"/>
      <c r="BB110" s="245"/>
      <c r="BC110" s="245"/>
      <c r="BD110" s="245"/>
      <c r="BE110" s="245" t="str">
        <f>IFERROR(__xludf.DUMMYFUNCTION("""COMPUTED_VALUE"""),"")</f>
        <v/>
      </c>
      <c r="BF110" s="245"/>
      <c r="BG110" s="245"/>
      <c r="BH110" s="245"/>
      <c r="BI110" s="245"/>
      <c r="BJ110" s="245" t="str">
        <f>IFERROR(__xludf.DUMMYFUNCTION("""COMPUTED_VALUE"""),"")</f>
        <v/>
      </c>
      <c r="BK110" s="245"/>
      <c r="BL110" s="245" t="str">
        <f>IFERROR(__xludf.DUMMYFUNCTION("""COMPUTED_VALUE"""),"Coins / Kill Bonus")</f>
        <v>Coins / Kill Bonus</v>
      </c>
      <c r="BM110" s="245" t="str">
        <f>IFERROR(__xludf.DUMMYFUNCTION("""COMPUTED_VALUE"""),"Epic")</f>
        <v>Epic</v>
      </c>
      <c r="BN110" s="245" t="str">
        <f>IFERROR(__xludf.DUMMYFUNCTION("""COMPUTED_VALUE"""),"+0.3x")</f>
        <v>+0.3x</v>
      </c>
      <c r="BO110" s="245">
        <f>IFERROR(__xludf.DUMMYFUNCTION("""COMPUTED_VALUE"""),0.3)</f>
        <v>0.3</v>
      </c>
      <c r="BP110" s="245"/>
      <c r="BQ110" s="245"/>
      <c r="BR110" s="245"/>
      <c r="BS110" s="245"/>
      <c r="BT110" s="246" t="str">
        <f>IFERROR(__xludf.DUMMYFUNCTION("""COMPUTED_VALUE"""),"")</f>
        <v/>
      </c>
      <c r="BU110" s="245"/>
      <c r="BV110" s="245"/>
      <c r="BW110" s="245"/>
      <c r="BX110" s="245"/>
      <c r="BY110" s="245"/>
      <c r="BZ110" s="282"/>
      <c r="CA110" s="245"/>
      <c r="CB110" s="245"/>
      <c r="CC110" s="245"/>
      <c r="CD110" s="245"/>
      <c r="CE110" s="245"/>
      <c r="CF110" s="245"/>
    </row>
    <row r="111">
      <c r="A111" s="259" t="str">
        <f>IFERROR(__xludf.DUMMYFUNCTION("""COMPUTED_VALUE"""),"Improve Trade-off Perks")</f>
        <v>Improve Trade-off Perks</v>
      </c>
      <c r="B111" s="260">
        <f>IFERROR(__xludf.DUMMYFUNCTION("""COMPUTED_VALUE"""),10.0)</f>
        <v>10</v>
      </c>
      <c r="C111" s="245"/>
      <c r="D111" s="261">
        <f>IFERROR(__xludf.DUMMYFUNCTION("""COMPUTED_VALUE"""),10.0)</f>
        <v>10</v>
      </c>
      <c r="E111" s="245"/>
      <c r="F111" s="245"/>
      <c r="G111" s="245"/>
      <c r="H111" s="245"/>
      <c r="I111" s="245"/>
      <c r="J111" s="245"/>
      <c r="K111" s="265"/>
      <c r="L111" s="245"/>
      <c r="M111" s="245"/>
      <c r="N111" s="245"/>
      <c r="O111" s="245"/>
      <c r="P111" s="245"/>
      <c r="Q111" s="247"/>
      <c r="R111" s="254"/>
      <c r="S111" s="245"/>
      <c r="T111" s="245"/>
      <c r="U111" s="245"/>
      <c r="V111" s="245"/>
      <c r="W111" s="245"/>
      <c r="X111" s="245"/>
      <c r="Y111" s="249"/>
      <c r="Z111" s="276"/>
      <c r="AA111" s="245"/>
      <c r="AB111" s="276"/>
      <c r="AC111" s="276"/>
      <c r="AD111" s="246"/>
      <c r="AE111" s="278"/>
      <c r="AF111" s="370"/>
      <c r="AG111" s="371"/>
      <c r="AH111" s="276"/>
      <c r="AI111" s="245"/>
      <c r="AJ111" s="287"/>
      <c r="AK111" s="278"/>
      <c r="AL111" s="246"/>
      <c r="AM111" s="245"/>
      <c r="AN111" s="245"/>
      <c r="AO111" s="274"/>
      <c r="AP111" s="245"/>
      <c r="AQ111" s="245"/>
      <c r="AR111" s="246"/>
      <c r="AS111" s="245"/>
      <c r="AT111" s="245"/>
      <c r="AU111" s="245"/>
      <c r="AV111" s="245"/>
      <c r="AW111" s="245"/>
      <c r="AX111" s="246"/>
      <c r="AY111" s="245"/>
      <c r="AZ111" s="245"/>
      <c r="BA111" s="246"/>
      <c r="BB111" s="245"/>
      <c r="BC111" s="245"/>
      <c r="BD111" s="245"/>
      <c r="BE111" s="245" t="str">
        <f>IFERROR(__xludf.DUMMYFUNCTION("""COMPUTED_VALUE"""),"")</f>
        <v/>
      </c>
      <c r="BF111" s="245"/>
      <c r="BG111" s="245"/>
      <c r="BH111" s="245"/>
      <c r="BI111" s="245"/>
      <c r="BJ111" s="245" t="str">
        <f>IFERROR(__xludf.DUMMYFUNCTION("""COMPUTED_VALUE"""),"")</f>
        <v/>
      </c>
      <c r="BK111" s="245"/>
      <c r="BL111" s="245" t="str">
        <f>IFERROR(__xludf.DUMMYFUNCTION("""COMPUTED_VALUE"""),"Free Utility Upgrade")</f>
        <v>Free Utility Upgrade</v>
      </c>
      <c r="BM111" s="245" t="str">
        <f>IFERROR(__xludf.DUMMYFUNCTION("""COMPUTED_VALUE"""),"Legendary")</f>
        <v>Legendary</v>
      </c>
      <c r="BN111" s="245" t="str">
        <f>IFERROR(__xludf.DUMMYFUNCTION("""COMPUTED_VALUE"""),"+8%")</f>
        <v>+8%</v>
      </c>
      <c r="BO111" s="245">
        <f>IFERROR(__xludf.DUMMYFUNCTION("""COMPUTED_VALUE"""),0.08)</f>
        <v>0.08</v>
      </c>
      <c r="BP111" s="245"/>
      <c r="BQ111" s="245"/>
      <c r="BR111" s="245"/>
      <c r="BS111" s="245"/>
      <c r="BT111" s="246" t="str">
        <f>IFERROR(__xludf.DUMMYFUNCTION("""COMPUTED_VALUE"""),"")</f>
        <v/>
      </c>
      <c r="BU111" s="245"/>
      <c r="BV111" s="245"/>
      <c r="BW111" s="245"/>
      <c r="BX111" s="245"/>
      <c r="BY111" s="245"/>
      <c r="BZ111" s="282"/>
      <c r="CA111" s="245"/>
      <c r="CB111" s="245"/>
      <c r="CC111" s="245"/>
      <c r="CD111" s="245"/>
      <c r="CE111" s="245"/>
      <c r="CF111" s="245"/>
    </row>
    <row r="112">
      <c r="A112" s="259" t="str">
        <f>IFERROR(__xludf.DUMMYFUNCTION("""COMPUTED_VALUE"""),"Auto Pick Ranking")</f>
        <v>Auto Pick Ranking</v>
      </c>
      <c r="B112" s="260">
        <f>IFERROR(__xludf.DUMMYFUNCTION("""COMPUTED_VALUE"""),12.0)</f>
        <v>12</v>
      </c>
      <c r="C112" s="245"/>
      <c r="D112" s="261">
        <f>IFERROR(__xludf.DUMMYFUNCTION("""COMPUTED_VALUE"""),32.0)</f>
        <v>32</v>
      </c>
      <c r="E112" s="245"/>
      <c r="F112" s="245"/>
      <c r="G112" s="245"/>
      <c r="H112" s="245"/>
      <c r="I112" s="245"/>
      <c r="J112" s="245"/>
      <c r="K112" s="265"/>
      <c r="L112" s="245"/>
      <c r="M112" s="245"/>
      <c r="N112" s="245"/>
      <c r="O112" s="245"/>
      <c r="P112" s="245"/>
      <c r="Q112" s="247"/>
      <c r="R112" s="254"/>
      <c r="S112" s="245"/>
      <c r="T112" s="245"/>
      <c r="U112" s="245"/>
      <c r="V112" s="245"/>
      <c r="W112" s="245"/>
      <c r="X112" s="245"/>
      <c r="Y112" s="249"/>
      <c r="Z112" s="276"/>
      <c r="AA112" s="245"/>
      <c r="AB112" s="276"/>
      <c r="AC112" s="276"/>
      <c r="AD112" s="246"/>
      <c r="AE112" s="278"/>
      <c r="AF112" s="370"/>
      <c r="AG112" s="371"/>
      <c r="AH112" s="276"/>
      <c r="AI112" s="245"/>
      <c r="AJ112" s="287"/>
      <c r="AK112" s="278"/>
      <c r="AL112" s="246"/>
      <c r="AM112" s="245"/>
      <c r="AN112" s="245"/>
      <c r="AO112" s="274"/>
      <c r="AP112" s="245"/>
      <c r="AQ112" s="245"/>
      <c r="AR112" s="246"/>
      <c r="AS112" s="245"/>
      <c r="AT112" s="245"/>
      <c r="AU112" s="245"/>
      <c r="AV112" s="245"/>
      <c r="AW112" s="245"/>
      <c r="AX112" s="246"/>
      <c r="AY112" s="245"/>
      <c r="AZ112" s="245"/>
      <c r="BA112" s="246"/>
      <c r="BB112" s="245"/>
      <c r="BC112" s="245"/>
      <c r="BD112" s="245"/>
      <c r="BE112" s="245" t="str">
        <f>IFERROR(__xludf.DUMMYFUNCTION("""COMPUTED_VALUE"""),"")</f>
        <v/>
      </c>
      <c r="BF112" s="245"/>
      <c r="BG112" s="245"/>
      <c r="BH112" s="245"/>
      <c r="BI112" s="245"/>
      <c r="BJ112" s="245" t="str">
        <f>IFERROR(__xludf.DUMMYFUNCTION("""COMPUTED_VALUE"""),"")</f>
        <v/>
      </c>
      <c r="BK112" s="245"/>
      <c r="BL112" s="245" t="str">
        <f>IFERROR(__xludf.DUMMYFUNCTION("""COMPUTED_VALUE"""),"Free Attack Upgrade")</f>
        <v>Free Attack Upgrade</v>
      </c>
      <c r="BM112" s="245" t="str">
        <f>IFERROR(__xludf.DUMMYFUNCTION("""COMPUTED_VALUE"""),"Legendary")</f>
        <v>Legendary</v>
      </c>
      <c r="BN112" s="245" t="str">
        <f>IFERROR(__xludf.DUMMYFUNCTION("""COMPUTED_VALUE"""),"+8%")</f>
        <v>+8%</v>
      </c>
      <c r="BO112" s="245">
        <f>IFERROR(__xludf.DUMMYFUNCTION("""COMPUTED_VALUE"""),0.08)</f>
        <v>0.08</v>
      </c>
      <c r="BP112" s="245"/>
      <c r="BQ112" s="245"/>
      <c r="BR112" s="245"/>
      <c r="BS112" s="245"/>
      <c r="BT112" s="246" t="str">
        <f>IFERROR(__xludf.DUMMYFUNCTION("""COMPUTED_VALUE"""),"")</f>
        <v/>
      </c>
      <c r="BU112" s="245"/>
      <c r="BV112" s="245"/>
      <c r="BW112" s="245"/>
      <c r="BX112" s="245"/>
      <c r="BY112" s="245"/>
      <c r="BZ112" s="282"/>
      <c r="CA112" s="245"/>
      <c r="CB112" s="245"/>
      <c r="CC112" s="245"/>
      <c r="CD112" s="245"/>
      <c r="CE112" s="245"/>
      <c r="CF112" s="245"/>
    </row>
    <row r="113">
      <c r="A113" s="259" t="str">
        <f>IFERROR(__xludf.DUMMYFUNCTION("""COMPUTED_VALUE"""),"Flame Bot - Cooldown")</f>
        <v>Flame Bot - Cooldown</v>
      </c>
      <c r="B113" s="260">
        <f>IFERROR(__xludf.DUMMYFUNCTION("""COMPUTED_VALUE"""),25.0)</f>
        <v>25</v>
      </c>
      <c r="C113" s="245"/>
      <c r="D113" s="261">
        <f>IFERROR(__xludf.DUMMYFUNCTION("""COMPUTED_VALUE"""),25.0)</f>
        <v>25</v>
      </c>
      <c r="E113" s="245"/>
      <c r="F113" s="245"/>
      <c r="G113" s="245"/>
      <c r="H113" s="245"/>
      <c r="I113" s="245"/>
      <c r="J113" s="245"/>
      <c r="K113" s="265"/>
      <c r="L113" s="245"/>
      <c r="M113" s="245"/>
      <c r="N113" s="245"/>
      <c r="O113" s="245"/>
      <c r="P113" s="245"/>
      <c r="Q113" s="247"/>
      <c r="R113" s="254"/>
      <c r="S113" s="245"/>
      <c r="T113" s="245"/>
      <c r="U113" s="245"/>
      <c r="V113" s="245"/>
      <c r="W113" s="245"/>
      <c r="X113" s="245"/>
      <c r="Y113" s="249"/>
      <c r="Z113" s="276"/>
      <c r="AA113" s="245"/>
      <c r="AB113" s="276"/>
      <c r="AC113" s="276"/>
      <c r="AD113" s="246"/>
      <c r="AE113" s="278"/>
      <c r="AF113" s="370"/>
      <c r="AG113" s="371"/>
      <c r="AH113" s="276"/>
      <c r="AI113" s="245"/>
      <c r="AJ113" s="287"/>
      <c r="AK113" s="278"/>
      <c r="AL113" s="246"/>
      <c r="AM113" s="245"/>
      <c r="AN113" s="245"/>
      <c r="AO113" s="274"/>
      <c r="AP113" s="245"/>
      <c r="AQ113" s="245"/>
      <c r="AR113" s="246"/>
      <c r="AS113" s="245"/>
      <c r="AT113" s="245"/>
      <c r="AU113" s="245"/>
      <c r="AV113" s="245"/>
      <c r="AW113" s="245"/>
      <c r="AX113" s="246"/>
      <c r="AY113" s="245"/>
      <c r="AZ113" s="245"/>
      <c r="BA113" s="246"/>
      <c r="BB113" s="245"/>
      <c r="BC113" s="245"/>
      <c r="BD113" s="245"/>
      <c r="BE113" s="245" t="str">
        <f>IFERROR(__xludf.DUMMYFUNCTION("""COMPUTED_VALUE"""),"")</f>
        <v/>
      </c>
      <c r="BF113" s="245"/>
      <c r="BG113" s="245"/>
      <c r="BH113" s="245"/>
      <c r="BI113" s="245"/>
      <c r="BJ113" s="245" t="str">
        <f>IFERROR(__xludf.DUMMYFUNCTION("""COMPUTED_VALUE"""),"")</f>
        <v/>
      </c>
      <c r="BK113" s="245"/>
      <c r="BL113" s="245"/>
      <c r="BM113" s="245"/>
      <c r="BN113" s="245"/>
      <c r="BO113" s="245" t="str">
        <f>IFERROR(__xludf.DUMMYFUNCTION("""COMPUTED_VALUE"""),"")</f>
        <v/>
      </c>
      <c r="BP113" s="245"/>
      <c r="BQ113" s="245"/>
      <c r="BR113" s="245"/>
      <c r="BS113" s="245"/>
      <c r="BT113" s="246" t="str">
        <f>IFERROR(__xludf.DUMMYFUNCTION("""COMPUTED_VALUE"""),"")</f>
        <v/>
      </c>
      <c r="BU113" s="245"/>
      <c r="BV113" s="245"/>
      <c r="BW113" s="245"/>
      <c r="BX113" s="245"/>
      <c r="BY113" s="245"/>
      <c r="BZ113" s="282"/>
      <c r="CA113" s="245"/>
      <c r="CB113" s="245"/>
      <c r="CC113" s="245"/>
      <c r="CD113" s="245"/>
      <c r="CE113" s="245"/>
      <c r="CF113" s="245"/>
    </row>
    <row r="114">
      <c r="A114" s="259" t="str">
        <f>IFERROR(__xludf.DUMMYFUNCTION("""COMPUTED_VALUE"""),"Thunder Bot - Cooldown")</f>
        <v>Thunder Bot - Cooldown</v>
      </c>
      <c r="B114" s="260">
        <f>IFERROR(__xludf.DUMMYFUNCTION("""COMPUTED_VALUE"""),0.0)</f>
        <v>0</v>
      </c>
      <c r="C114" s="245"/>
      <c r="D114" s="261">
        <f>IFERROR(__xludf.DUMMYFUNCTION("""COMPUTED_VALUE"""),25.0)</f>
        <v>25</v>
      </c>
      <c r="E114" s="245"/>
      <c r="F114" s="245"/>
      <c r="G114" s="245"/>
      <c r="H114" s="245"/>
      <c r="I114" s="245"/>
      <c r="J114" s="245"/>
      <c r="K114" s="265"/>
      <c r="L114" s="245"/>
      <c r="M114" s="245"/>
      <c r="N114" s="245"/>
      <c r="O114" s="245"/>
      <c r="P114" s="245"/>
      <c r="Q114" s="247"/>
      <c r="R114" s="254"/>
      <c r="S114" s="245"/>
      <c r="T114" s="245"/>
      <c r="U114" s="245"/>
      <c r="V114" s="245"/>
      <c r="W114" s="245"/>
      <c r="X114" s="245"/>
      <c r="Y114" s="249"/>
      <c r="Z114" s="276"/>
      <c r="AA114" s="245"/>
      <c r="AB114" s="276"/>
      <c r="AC114" s="276"/>
      <c r="AD114" s="246"/>
      <c r="AE114" s="278"/>
      <c r="AF114" s="370"/>
      <c r="AG114" s="371"/>
      <c r="AH114" s="276"/>
      <c r="AI114" s="245"/>
      <c r="AJ114" s="287"/>
      <c r="AK114" s="278"/>
      <c r="AL114" s="246"/>
      <c r="AM114" s="245"/>
      <c r="AN114" s="245"/>
      <c r="AO114" s="274"/>
      <c r="AP114" s="245"/>
      <c r="AQ114" s="245"/>
      <c r="AR114" s="246"/>
      <c r="AS114" s="245"/>
      <c r="AT114" s="245"/>
      <c r="AU114" s="245"/>
      <c r="AV114" s="245"/>
      <c r="AW114" s="245"/>
      <c r="AX114" s="246"/>
      <c r="AY114" s="245"/>
      <c r="AZ114" s="245"/>
      <c r="BA114" s="246"/>
      <c r="BB114" s="245"/>
      <c r="BC114" s="245"/>
      <c r="BD114" s="245"/>
      <c r="BE114" s="245" t="str">
        <f>IFERROR(__xludf.DUMMYFUNCTION("""COMPUTED_VALUE"""),"")</f>
        <v/>
      </c>
      <c r="BF114" s="245"/>
      <c r="BG114" s="245"/>
      <c r="BH114" s="245"/>
      <c r="BI114" s="245"/>
      <c r="BJ114" s="245" t="str">
        <f>IFERROR(__xludf.DUMMYFUNCTION("""COMPUTED_VALUE"""),"")</f>
        <v/>
      </c>
      <c r="BK114" s="245"/>
      <c r="BL114" s="245"/>
      <c r="BM114" s="245"/>
      <c r="BN114" s="245"/>
      <c r="BO114" s="245" t="str">
        <f>IFERROR(__xludf.DUMMYFUNCTION("""COMPUTED_VALUE"""),"")</f>
        <v/>
      </c>
      <c r="BP114" s="245"/>
      <c r="BQ114" s="245"/>
      <c r="BR114" s="245"/>
      <c r="BS114" s="245"/>
      <c r="BT114" s="246" t="str">
        <f>IFERROR(__xludf.DUMMYFUNCTION("""COMPUTED_VALUE"""),"")</f>
        <v/>
      </c>
      <c r="BU114" s="245"/>
      <c r="BV114" s="245"/>
      <c r="BW114" s="245"/>
      <c r="BX114" s="245"/>
      <c r="BY114" s="245"/>
      <c r="BZ114" s="282"/>
      <c r="CA114" s="245"/>
      <c r="CB114" s="245"/>
      <c r="CC114" s="245"/>
      <c r="CD114" s="245"/>
      <c r="CE114" s="245"/>
      <c r="CF114" s="245"/>
    </row>
    <row r="115">
      <c r="A115" s="259" t="str">
        <f>IFERROR(__xludf.DUMMYFUNCTION("""COMPUTED_VALUE"""),"Gold Bot - Cooldown")</f>
        <v>Gold Bot - Cooldown</v>
      </c>
      <c r="B115" s="260">
        <f>IFERROR(__xludf.DUMMYFUNCTION("""COMPUTED_VALUE"""),21.0)</f>
        <v>21</v>
      </c>
      <c r="C115" s="245"/>
      <c r="D115" s="261">
        <f>IFERROR(__xludf.DUMMYFUNCTION("""COMPUTED_VALUE"""),25.0)</f>
        <v>25</v>
      </c>
      <c r="E115" s="245"/>
      <c r="F115" s="245"/>
      <c r="G115" s="245"/>
      <c r="H115" s="245"/>
      <c r="I115" s="245"/>
      <c r="J115" s="245"/>
      <c r="K115" s="265"/>
      <c r="L115" s="245"/>
      <c r="M115" s="245"/>
      <c r="N115" s="245"/>
      <c r="O115" s="245"/>
      <c r="P115" s="245"/>
      <c r="Q115" s="247"/>
      <c r="R115" s="254"/>
      <c r="S115" s="245"/>
      <c r="T115" s="245"/>
      <c r="U115" s="245"/>
      <c r="V115" s="245"/>
      <c r="W115" s="245"/>
      <c r="X115" s="245"/>
      <c r="Y115" s="249"/>
      <c r="Z115" s="276"/>
      <c r="AA115" s="245"/>
      <c r="AB115" s="276"/>
      <c r="AC115" s="276"/>
      <c r="AD115" s="246"/>
      <c r="AE115" s="278"/>
      <c r="AF115" s="370"/>
      <c r="AG115" s="371"/>
      <c r="AH115" s="276"/>
      <c r="AI115" s="245"/>
      <c r="AJ115" s="287"/>
      <c r="AK115" s="278"/>
      <c r="AL115" s="246"/>
      <c r="AM115" s="245"/>
      <c r="AN115" s="245"/>
      <c r="AO115" s="274"/>
      <c r="AP115" s="245"/>
      <c r="AQ115" s="245"/>
      <c r="AR115" s="246"/>
      <c r="AS115" s="245"/>
      <c r="AT115" s="245"/>
      <c r="AU115" s="245"/>
      <c r="AV115" s="245"/>
      <c r="AW115" s="245"/>
      <c r="AX115" s="246"/>
      <c r="AY115" s="245"/>
      <c r="AZ115" s="245"/>
      <c r="BA115" s="246"/>
      <c r="BB115" s="245"/>
      <c r="BC115" s="245"/>
      <c r="BD115" s="245"/>
      <c r="BE115" s="245" t="str">
        <f>IFERROR(__xludf.DUMMYFUNCTION("""COMPUTED_VALUE"""),"")</f>
        <v/>
      </c>
      <c r="BF115" s="245"/>
      <c r="BG115" s="245"/>
      <c r="BH115" s="245"/>
      <c r="BI115" s="245"/>
      <c r="BJ115" s="245" t="str">
        <f>IFERROR(__xludf.DUMMYFUNCTION("""COMPUTED_VALUE"""),"")</f>
        <v/>
      </c>
      <c r="BK115" s="245"/>
      <c r="BL115" s="245"/>
      <c r="BM115" s="245"/>
      <c r="BN115" s="245"/>
      <c r="BO115" s="245" t="str">
        <f>IFERROR(__xludf.DUMMYFUNCTION("""COMPUTED_VALUE"""),"")</f>
        <v/>
      </c>
      <c r="BP115" s="245"/>
      <c r="BQ115" s="245"/>
      <c r="BR115" s="245"/>
      <c r="BS115" s="245"/>
      <c r="BT115" s="246" t="str">
        <f>IFERROR(__xludf.DUMMYFUNCTION("""COMPUTED_VALUE"""),"")</f>
        <v/>
      </c>
      <c r="BU115" s="245"/>
      <c r="BV115" s="245"/>
      <c r="BW115" s="245"/>
      <c r="BX115" s="245"/>
      <c r="BY115" s="245"/>
      <c r="BZ115" s="282"/>
      <c r="CA115" s="245"/>
      <c r="CB115" s="245"/>
      <c r="CC115" s="245"/>
      <c r="CD115" s="245"/>
      <c r="CE115" s="245"/>
      <c r="CF115" s="245"/>
    </row>
    <row r="116">
      <c r="A116" s="259" t="str">
        <f>IFERROR(__xludf.DUMMYFUNCTION("""COMPUTED_VALUE"""),"Amp Bot - Cooldown")</f>
        <v>Amp Bot - Cooldown</v>
      </c>
      <c r="B116" s="260">
        <f>IFERROR(__xludf.DUMMYFUNCTION("""COMPUTED_VALUE"""),0.0)</f>
        <v>0</v>
      </c>
      <c r="C116" s="245"/>
      <c r="D116" s="261">
        <f>IFERROR(__xludf.DUMMYFUNCTION("""COMPUTED_VALUE"""),25.0)</f>
        <v>25</v>
      </c>
      <c r="E116" s="245"/>
      <c r="F116" s="245"/>
      <c r="G116" s="245"/>
      <c r="H116" s="245"/>
      <c r="I116" s="245"/>
      <c r="J116" s="245"/>
      <c r="K116" s="265"/>
      <c r="L116" s="245"/>
      <c r="M116" s="245"/>
      <c r="N116" s="245"/>
      <c r="O116" s="245"/>
      <c r="P116" s="245"/>
      <c r="Q116" s="247"/>
      <c r="R116" s="254"/>
      <c r="S116" s="245"/>
      <c r="T116" s="245"/>
      <c r="U116" s="245"/>
      <c r="V116" s="245"/>
      <c r="W116" s="245"/>
      <c r="X116" s="245"/>
      <c r="Y116" s="249"/>
      <c r="Z116" s="276"/>
      <c r="AA116" s="245"/>
      <c r="AB116" s="276"/>
      <c r="AC116" s="276"/>
      <c r="AD116" s="246"/>
      <c r="AE116" s="278"/>
      <c r="AF116" s="370"/>
      <c r="AG116" s="371"/>
      <c r="AH116" s="276"/>
      <c r="AI116" s="245"/>
      <c r="AJ116" s="287"/>
      <c r="AK116" s="278"/>
      <c r="AL116" s="246"/>
      <c r="AM116" s="245"/>
      <c r="AN116" s="245"/>
      <c r="AO116" s="274"/>
      <c r="AP116" s="245"/>
      <c r="AQ116" s="245"/>
      <c r="AR116" s="246"/>
      <c r="AS116" s="245"/>
      <c r="AT116" s="245"/>
      <c r="AU116" s="245"/>
      <c r="AV116" s="245"/>
      <c r="AW116" s="245"/>
      <c r="AX116" s="246"/>
      <c r="AY116" s="245"/>
      <c r="AZ116" s="245"/>
      <c r="BA116" s="246"/>
      <c r="BB116" s="245"/>
      <c r="BC116" s="245"/>
      <c r="BD116" s="245"/>
      <c r="BE116" s="245" t="str">
        <f>IFERROR(__xludf.DUMMYFUNCTION("""COMPUTED_VALUE"""),"")</f>
        <v/>
      </c>
      <c r="BF116" s="245"/>
      <c r="BG116" s="245"/>
      <c r="BH116" s="245"/>
      <c r="BI116" s="245"/>
      <c r="BJ116" s="245" t="str">
        <f>IFERROR(__xludf.DUMMYFUNCTION("""COMPUTED_VALUE"""),"")</f>
        <v/>
      </c>
      <c r="BK116" s="245"/>
      <c r="BL116" s="245"/>
      <c r="BM116" s="245"/>
      <c r="BN116" s="245"/>
      <c r="BO116" s="245" t="str">
        <f>IFERROR(__xludf.DUMMYFUNCTION("""COMPUTED_VALUE"""),"")</f>
        <v/>
      </c>
      <c r="BP116" s="245"/>
      <c r="BQ116" s="245"/>
      <c r="BR116" s="245"/>
      <c r="BS116" s="245"/>
      <c r="BT116" s="246" t="str">
        <f>IFERROR(__xludf.DUMMYFUNCTION("""COMPUTED_VALUE"""),"")</f>
        <v/>
      </c>
      <c r="BU116" s="245"/>
      <c r="BV116" s="245"/>
      <c r="BW116" s="245"/>
      <c r="BX116" s="245"/>
      <c r="BY116" s="245"/>
      <c r="BZ116" s="282"/>
      <c r="CA116" s="245"/>
      <c r="CB116" s="245"/>
      <c r="CC116" s="245"/>
      <c r="CD116" s="245"/>
      <c r="CE116" s="245"/>
      <c r="CF116" s="245"/>
    </row>
    <row r="117">
      <c r="A117" s="259" t="str">
        <f>IFERROR(__xludf.DUMMYFUNCTION("""COMPUTED_VALUE"""),"Flame Bot - Burn Stack")</f>
        <v>Flame Bot - Burn Stack</v>
      </c>
      <c r="B117" s="260">
        <f>IFERROR(__xludf.DUMMYFUNCTION("""COMPUTED_VALUE"""),0.0)</f>
        <v>0</v>
      </c>
      <c r="C117" s="245"/>
      <c r="D117" s="261">
        <f>IFERROR(__xludf.DUMMYFUNCTION("""COMPUTED_VALUE"""),5.0)</f>
        <v>5</v>
      </c>
      <c r="E117" s="245"/>
      <c r="F117" s="245"/>
      <c r="G117" s="245"/>
      <c r="H117" s="245"/>
      <c r="I117" s="245"/>
      <c r="J117" s="245"/>
      <c r="K117" s="265"/>
      <c r="L117" s="245"/>
      <c r="M117" s="245"/>
      <c r="N117" s="245"/>
      <c r="O117" s="245"/>
      <c r="P117" s="245"/>
      <c r="Q117" s="247"/>
      <c r="R117" s="254"/>
      <c r="S117" s="245"/>
      <c r="T117" s="245"/>
      <c r="U117" s="245"/>
      <c r="V117" s="245"/>
      <c r="W117" s="245"/>
      <c r="X117" s="245"/>
      <c r="Y117" s="249"/>
      <c r="Z117" s="276"/>
      <c r="AA117" s="245"/>
      <c r="AB117" s="276"/>
      <c r="AC117" s="276"/>
      <c r="AD117" s="246"/>
      <c r="AE117" s="278"/>
      <c r="AF117" s="370"/>
      <c r="AG117" s="371"/>
      <c r="AH117" s="276"/>
      <c r="AI117" s="245"/>
      <c r="AJ117" s="287"/>
      <c r="AK117" s="278"/>
      <c r="AL117" s="246"/>
      <c r="AM117" s="245"/>
      <c r="AN117" s="245"/>
      <c r="AO117" s="274"/>
      <c r="AP117" s="245"/>
      <c r="AQ117" s="245"/>
      <c r="AR117" s="246"/>
      <c r="AS117" s="245"/>
      <c r="AT117" s="245"/>
      <c r="AU117" s="245"/>
      <c r="AV117" s="245"/>
      <c r="AW117" s="245"/>
      <c r="AX117" s="246"/>
      <c r="AY117" s="245"/>
      <c r="AZ117" s="245"/>
      <c r="BA117" s="246"/>
      <c r="BB117" s="245"/>
      <c r="BC117" s="245"/>
      <c r="BD117" s="245"/>
      <c r="BE117" s="245"/>
      <c r="BF117" s="245"/>
      <c r="BG117" s="245"/>
      <c r="BH117" s="245"/>
      <c r="BI117" s="245"/>
      <c r="BJ117" s="245"/>
      <c r="BK117" s="245"/>
      <c r="BL117" s="245"/>
      <c r="BM117" s="245"/>
      <c r="BN117" s="245"/>
      <c r="BO117" s="245"/>
      <c r="BP117" s="245"/>
      <c r="BQ117" s="245"/>
      <c r="BR117" s="245"/>
      <c r="BS117" s="245"/>
      <c r="BT117" s="246"/>
      <c r="BU117" s="245"/>
      <c r="BV117" s="245"/>
      <c r="BW117" s="245"/>
      <c r="BX117" s="245"/>
      <c r="BY117" s="245"/>
      <c r="BZ117" s="282"/>
      <c r="CA117" s="245"/>
      <c r="CB117" s="245"/>
      <c r="CC117" s="245"/>
      <c r="CD117" s="245"/>
      <c r="CE117" s="245"/>
      <c r="CF117" s="245"/>
    </row>
    <row r="118">
      <c r="A118" s="259" t="str">
        <f>IFERROR(__xludf.DUMMYFUNCTION("""COMPUTED_VALUE"""),"Thunder Bot - Linger Time")</f>
        <v>Thunder Bot - Linger Time</v>
      </c>
      <c r="B118" s="260">
        <f>IFERROR(__xludf.DUMMYFUNCTION("""COMPUTED_VALUE"""),0.0)</f>
        <v>0</v>
      </c>
      <c r="C118" s="245"/>
      <c r="D118" s="261">
        <f>IFERROR(__xludf.DUMMYFUNCTION("""COMPUTED_VALUE"""),20.0)</f>
        <v>20</v>
      </c>
      <c r="E118" s="245"/>
      <c r="F118" s="245"/>
      <c r="G118" s="245"/>
      <c r="H118" s="245"/>
      <c r="I118" s="245"/>
      <c r="J118" s="245"/>
      <c r="K118" s="265"/>
      <c r="L118" s="245"/>
      <c r="M118" s="245"/>
      <c r="N118" s="245"/>
      <c r="O118" s="245"/>
      <c r="P118" s="245"/>
      <c r="Q118" s="247"/>
      <c r="R118" s="254"/>
      <c r="S118" s="245"/>
      <c r="T118" s="245"/>
      <c r="U118" s="245"/>
      <c r="V118" s="245"/>
      <c r="W118" s="245"/>
      <c r="X118" s="245"/>
      <c r="Y118" s="249"/>
      <c r="Z118" s="276"/>
      <c r="AA118" s="245"/>
      <c r="AB118" s="276"/>
      <c r="AC118" s="276"/>
      <c r="AD118" s="246"/>
      <c r="AE118" s="278"/>
      <c r="AF118" s="370"/>
      <c r="AG118" s="371"/>
      <c r="AH118" s="276"/>
      <c r="AI118" s="245"/>
      <c r="AJ118" s="287"/>
      <c r="AK118" s="278"/>
      <c r="AL118" s="246"/>
      <c r="AM118" s="245"/>
      <c r="AN118" s="245"/>
      <c r="AO118" s="274"/>
      <c r="AP118" s="245"/>
      <c r="AQ118" s="245"/>
      <c r="AR118" s="246"/>
      <c r="AS118" s="245"/>
      <c r="AT118" s="245"/>
      <c r="AU118" s="245"/>
      <c r="AV118" s="245"/>
      <c r="AW118" s="245"/>
      <c r="AX118" s="246"/>
      <c r="AY118" s="245"/>
      <c r="AZ118" s="245"/>
      <c r="BA118" s="246"/>
      <c r="BB118" s="245" t="str">
        <f>IFERROR(__xludf.DUMMYFUNCTION("""COMPUTED_VALUE"""),"Any Other 2")</f>
        <v>Any Other 2</v>
      </c>
      <c r="BC118" s="245"/>
      <c r="BD118" s="245"/>
      <c r="BE118" s="245"/>
      <c r="BF118" s="245"/>
      <c r="BG118" s="245" t="str">
        <f>IFERROR(__xludf.DUMMYFUNCTION("""COMPUTED_VALUE"""),"Any Other 2")</f>
        <v>Any Other 2</v>
      </c>
      <c r="BH118" s="245"/>
      <c r="BI118" s="245"/>
      <c r="BJ118" s="245"/>
      <c r="BK118" s="245"/>
      <c r="BL118" s="245" t="str">
        <f>IFERROR(__xludf.DUMMYFUNCTION("""COMPUTED_VALUE"""),"Any Other 2")</f>
        <v>Any Other 2</v>
      </c>
      <c r="BM118" s="245"/>
      <c r="BN118" s="245"/>
      <c r="BO118" s="245"/>
      <c r="BP118" s="245"/>
      <c r="BQ118" s="245" t="str">
        <f>IFERROR(__xludf.DUMMYFUNCTION("""COMPUTED_VALUE"""),"Any Other 2")</f>
        <v>Any Other 2</v>
      </c>
      <c r="BR118" s="245"/>
      <c r="BS118" s="245"/>
      <c r="BT118" s="246"/>
      <c r="BU118" s="245"/>
      <c r="BV118" s="245"/>
      <c r="BW118" s="245"/>
      <c r="BX118" s="245"/>
      <c r="BY118" s="245"/>
      <c r="BZ118" s="282"/>
      <c r="CA118" s="245"/>
      <c r="CB118" s="245"/>
      <c r="CC118" s="245"/>
      <c r="CD118" s="245"/>
      <c r="CE118" s="245"/>
      <c r="CF118" s="245"/>
    </row>
    <row r="119">
      <c r="A119" s="259" t="str">
        <f>IFERROR(__xludf.DUMMYFUNCTION("""COMPUTED_VALUE"""),"Gold Bot - Duration")</f>
        <v>Gold Bot - Duration</v>
      </c>
      <c r="B119" s="260">
        <f>IFERROR(__xludf.DUMMYFUNCTION("""COMPUTED_VALUE"""),12.0)</f>
        <v>12</v>
      </c>
      <c r="C119" s="245"/>
      <c r="D119" s="261">
        <f>IFERROR(__xludf.DUMMYFUNCTION("""COMPUTED_VALUE"""),20.0)</f>
        <v>20</v>
      </c>
      <c r="E119" s="245"/>
      <c r="F119" s="245"/>
      <c r="G119" s="245"/>
      <c r="H119" s="245"/>
      <c r="I119" s="245"/>
      <c r="J119" s="245"/>
      <c r="K119" s="265"/>
      <c r="L119" s="245"/>
      <c r="M119" s="245"/>
      <c r="N119" s="245"/>
      <c r="O119" s="245"/>
      <c r="P119" s="245"/>
      <c r="Q119" s="247"/>
      <c r="R119" s="254"/>
      <c r="S119" s="245"/>
      <c r="T119" s="245"/>
      <c r="U119" s="245"/>
      <c r="V119" s="245"/>
      <c r="W119" s="245"/>
      <c r="X119" s="245"/>
      <c r="Y119" s="249"/>
      <c r="Z119" s="276"/>
      <c r="AA119" s="245"/>
      <c r="AB119" s="276"/>
      <c r="AC119" s="276"/>
      <c r="AD119" s="246"/>
      <c r="AE119" s="278"/>
      <c r="AF119" s="370"/>
      <c r="AG119" s="371"/>
      <c r="AH119" s="276"/>
      <c r="AI119" s="245"/>
      <c r="AJ119" s="287"/>
      <c r="AK119" s="278"/>
      <c r="AL119" s="246"/>
      <c r="AM119" s="245"/>
      <c r="AN119" s="245"/>
      <c r="AO119" s="274"/>
      <c r="AP119" s="245"/>
      <c r="AQ119" s="245"/>
      <c r="AR119" s="246"/>
      <c r="AS119" s="245"/>
      <c r="AT119" s="245"/>
      <c r="AU119" s="245"/>
      <c r="AV119" s="245"/>
      <c r="AW119" s="245"/>
      <c r="AX119" s="246"/>
      <c r="AY119" s="245"/>
      <c r="AZ119" s="245"/>
      <c r="BA119" s="246"/>
      <c r="BB119" s="245" t="str">
        <f>IFERROR(__xludf.DUMMYFUNCTION("""COMPUTED_VALUE"""),"Rarity")</f>
        <v>Rarity</v>
      </c>
      <c r="BC119" s="245" t="str">
        <f>IFERROR(__xludf.DUMMYFUNCTION("""COMPUTED_VALUE"""),"Level")</f>
        <v>Level</v>
      </c>
      <c r="BD119" s="245" t="str">
        <f>IFERROR(__xludf.DUMMYFUNCTION("""COMPUTED_VALUE"""),"Stat")</f>
        <v>Stat</v>
      </c>
      <c r="BE119" s="245"/>
      <c r="BF119" s="245"/>
      <c r="BG119" s="245" t="str">
        <f>IFERROR(__xludf.DUMMYFUNCTION("""COMPUTED_VALUE"""),"Rarity")</f>
        <v>Rarity</v>
      </c>
      <c r="BH119" s="245" t="str">
        <f>IFERROR(__xludf.DUMMYFUNCTION("""COMPUTED_VALUE"""),"Level")</f>
        <v>Level</v>
      </c>
      <c r="BI119" s="245" t="str">
        <f>IFERROR(__xludf.DUMMYFUNCTION("""COMPUTED_VALUE"""),"Stat")</f>
        <v>Stat</v>
      </c>
      <c r="BJ119" s="245"/>
      <c r="BK119" s="245"/>
      <c r="BL119" s="245" t="str">
        <f>IFERROR(__xludf.DUMMYFUNCTION("""COMPUTED_VALUE"""),"Rarity")</f>
        <v>Rarity</v>
      </c>
      <c r="BM119" s="245" t="str">
        <f>IFERROR(__xludf.DUMMYFUNCTION("""COMPUTED_VALUE"""),"Level")</f>
        <v>Level</v>
      </c>
      <c r="BN119" s="245" t="str">
        <f>IFERROR(__xludf.DUMMYFUNCTION("""COMPUTED_VALUE"""),"Stat")</f>
        <v>Stat</v>
      </c>
      <c r="BO119" s="245"/>
      <c r="BP119" s="245"/>
      <c r="BQ119" s="245" t="str">
        <f>IFERROR(__xludf.DUMMYFUNCTION("""COMPUTED_VALUE"""),"Rarity")</f>
        <v>Rarity</v>
      </c>
      <c r="BR119" s="245" t="str">
        <f>IFERROR(__xludf.DUMMYFUNCTION("""COMPUTED_VALUE"""),"Level")</f>
        <v>Level</v>
      </c>
      <c r="BS119" s="245" t="str">
        <f>IFERROR(__xludf.DUMMYFUNCTION("""COMPUTED_VALUE"""),"Stat")</f>
        <v>Stat</v>
      </c>
      <c r="BT119" s="246"/>
      <c r="BU119" s="245"/>
      <c r="BV119" s="245"/>
      <c r="BW119" s="245"/>
      <c r="BX119" s="245"/>
      <c r="BY119" s="245"/>
      <c r="BZ119" s="282"/>
      <c r="CA119" s="245"/>
      <c r="CB119" s="245"/>
      <c r="CC119" s="245"/>
      <c r="CD119" s="245"/>
      <c r="CE119" s="245"/>
      <c r="CF119" s="245"/>
    </row>
    <row r="120">
      <c r="A120" s="259" t="str">
        <f>IFERROR(__xludf.DUMMYFUNCTION("""COMPUTED_VALUE"""),"Amp Bot - Duration")</f>
        <v>Amp Bot - Duration</v>
      </c>
      <c r="B120" s="260">
        <f>IFERROR(__xludf.DUMMYFUNCTION("""COMPUTED_VALUE"""),0.0)</f>
        <v>0</v>
      </c>
      <c r="C120" s="245"/>
      <c r="D120" s="261">
        <f>IFERROR(__xludf.DUMMYFUNCTION("""COMPUTED_VALUE"""),20.0)</f>
        <v>20</v>
      </c>
      <c r="E120" s="245"/>
      <c r="F120" s="245"/>
      <c r="G120" s="245"/>
      <c r="H120" s="245"/>
      <c r="I120" s="245"/>
      <c r="J120" s="245"/>
      <c r="K120" s="265"/>
      <c r="L120" s="245"/>
      <c r="M120" s="245"/>
      <c r="N120" s="245"/>
      <c r="O120" s="245"/>
      <c r="P120" s="245"/>
      <c r="Q120" s="247"/>
      <c r="R120" s="254"/>
      <c r="S120" s="245"/>
      <c r="T120" s="245"/>
      <c r="U120" s="245"/>
      <c r="V120" s="245"/>
      <c r="W120" s="245"/>
      <c r="X120" s="245"/>
      <c r="Y120" s="249"/>
      <c r="Z120" s="276"/>
      <c r="AA120" s="245"/>
      <c r="AB120" s="276"/>
      <c r="AC120" s="276"/>
      <c r="AD120" s="246"/>
      <c r="AE120" s="278"/>
      <c r="AF120" s="370"/>
      <c r="AG120" s="371"/>
      <c r="AH120" s="276"/>
      <c r="AI120" s="245"/>
      <c r="AJ120" s="287"/>
      <c r="AK120" s="278"/>
      <c r="AL120" s="246"/>
      <c r="AM120" s="245"/>
      <c r="AN120" s="245"/>
      <c r="AO120" s="274"/>
      <c r="AP120" s="245"/>
      <c r="AQ120" s="245"/>
      <c r="AR120" s="246"/>
      <c r="AS120" s="245"/>
      <c r="AT120" s="245"/>
      <c r="AU120" s="245"/>
      <c r="AV120" s="245"/>
      <c r="AW120" s="245"/>
      <c r="AX120" s="246"/>
      <c r="AY120" s="245"/>
      <c r="AZ120" s="245"/>
      <c r="BA120" s="246"/>
      <c r="BB120" s="245" t="str">
        <f>IFERROR(__xludf.DUMMYFUNCTION("""COMPUTED_VALUE"""),"Common")</f>
        <v>Common</v>
      </c>
      <c r="BC120" s="245">
        <f>IFERROR(__xludf.DUMMYFUNCTION("""COMPUTED_VALUE"""),20.0)</f>
        <v>20</v>
      </c>
      <c r="BD120" s="303">
        <f>IFERROR(__xludf.DUMMYFUNCTION("""COMPUTED_VALUE"""),1.05)</f>
        <v>1.05</v>
      </c>
      <c r="BE120" s="245"/>
      <c r="BF120" s="245"/>
      <c r="BG120" s="245" t="str">
        <f>IFERROR(__xludf.DUMMYFUNCTION("""COMPUTED_VALUE"""),"Common")</f>
        <v>Common</v>
      </c>
      <c r="BH120" s="245">
        <f>IFERROR(__xludf.DUMMYFUNCTION("""COMPUTED_VALUE"""),20.0)</f>
        <v>20</v>
      </c>
      <c r="BI120" s="303">
        <f>IFERROR(__xludf.DUMMYFUNCTION("""COMPUTED_VALUE"""),1.05)</f>
        <v>1.05</v>
      </c>
      <c r="BJ120" s="245"/>
      <c r="BK120" s="245"/>
      <c r="BL120" s="245" t="str">
        <f>IFERROR(__xludf.DUMMYFUNCTION("""COMPUTED_VALUE"""),"Common")</f>
        <v>Common</v>
      </c>
      <c r="BM120" s="245">
        <f>IFERROR(__xludf.DUMMYFUNCTION("""COMPUTED_VALUE"""),20.0)</f>
        <v>20</v>
      </c>
      <c r="BN120" s="303">
        <f>IFERROR(__xludf.DUMMYFUNCTION("""COMPUTED_VALUE"""),1.03)</f>
        <v>1.03</v>
      </c>
      <c r="BO120" s="245"/>
      <c r="BP120" s="245"/>
      <c r="BQ120" s="245" t="str">
        <f>IFERROR(__xludf.DUMMYFUNCTION("""COMPUTED_VALUE"""),"Common")</f>
        <v>Common</v>
      </c>
      <c r="BR120" s="245">
        <f>IFERROR(__xludf.DUMMYFUNCTION("""COMPUTED_VALUE"""),20.0)</f>
        <v>20</v>
      </c>
      <c r="BS120" s="303">
        <f>IFERROR(__xludf.DUMMYFUNCTION("""COMPUTED_VALUE"""),1.23)</f>
        <v>1.23</v>
      </c>
      <c r="BT120" s="246"/>
      <c r="BU120" s="245"/>
      <c r="BV120" s="245"/>
      <c r="BW120" s="245"/>
      <c r="BX120" s="245"/>
      <c r="BY120" s="245"/>
      <c r="BZ120" s="282"/>
      <c r="CA120" s="245"/>
      <c r="CB120" s="245"/>
      <c r="CC120" s="245"/>
      <c r="CD120" s="245"/>
      <c r="CE120" s="245"/>
      <c r="CF120" s="245"/>
    </row>
    <row r="121">
      <c r="A121" s="259" t="str">
        <f>IFERROR(__xludf.DUMMYFUNCTION("""COMPUTED_VALUE"""),"Common Enemy Health")</f>
        <v>Common Enemy Health</v>
      </c>
      <c r="B121" s="260">
        <f>IFERROR(__xludf.DUMMYFUNCTION("""COMPUTED_VALUE"""),0.0)</f>
        <v>0</v>
      </c>
      <c r="C121" s="245"/>
      <c r="D121" s="261">
        <f>IFERROR(__xludf.DUMMYFUNCTION("""COMPUTED_VALUE"""),30.0)</f>
        <v>30</v>
      </c>
      <c r="E121" s="245"/>
      <c r="F121" s="245"/>
      <c r="G121" s="245"/>
      <c r="H121" s="245"/>
      <c r="I121" s="245"/>
      <c r="J121" s="245"/>
      <c r="K121" s="265"/>
      <c r="L121" s="245"/>
      <c r="M121" s="245"/>
      <c r="N121" s="245"/>
      <c r="O121" s="245"/>
      <c r="P121" s="245"/>
      <c r="Q121" s="247"/>
      <c r="R121" s="254"/>
      <c r="S121" s="245"/>
      <c r="T121" s="245"/>
      <c r="U121" s="245"/>
      <c r="V121" s="245"/>
      <c r="W121" s="245"/>
      <c r="X121" s="245"/>
      <c r="Y121" s="249"/>
      <c r="Z121" s="276"/>
      <c r="AA121" s="245"/>
      <c r="AB121" s="276"/>
      <c r="AC121" s="276"/>
      <c r="AD121" s="246"/>
      <c r="AE121" s="278"/>
      <c r="AF121" s="370"/>
      <c r="AG121" s="371"/>
      <c r="AH121" s="276"/>
      <c r="AI121" s="245"/>
      <c r="AJ121" s="287"/>
      <c r="AK121" s="278"/>
      <c r="AL121" s="246"/>
      <c r="AM121" s="245"/>
      <c r="AN121" s="245"/>
      <c r="AO121" s="274"/>
      <c r="AP121" s="245"/>
      <c r="AQ121" s="245"/>
      <c r="AR121" s="246"/>
      <c r="AS121" s="245"/>
      <c r="AT121" s="245"/>
      <c r="AU121" s="245"/>
      <c r="AV121" s="245"/>
      <c r="AW121" s="245"/>
      <c r="AX121" s="246"/>
      <c r="AY121" s="245"/>
      <c r="AZ121" s="245"/>
      <c r="BA121" s="246"/>
      <c r="BB121" s="245"/>
      <c r="BC121" s="245"/>
      <c r="BD121" s="245"/>
      <c r="BE121" s="245"/>
      <c r="BF121" s="245"/>
      <c r="BG121" s="245"/>
      <c r="BH121" s="245"/>
      <c r="BI121" s="245"/>
      <c r="BJ121" s="245"/>
      <c r="BK121" s="245"/>
      <c r="BL121" s="245"/>
      <c r="BM121" s="245"/>
      <c r="BN121" s="245"/>
      <c r="BO121" s="245"/>
      <c r="BP121" s="245"/>
      <c r="BQ121" s="245"/>
      <c r="BR121" s="245"/>
      <c r="BS121" s="245"/>
      <c r="BT121" s="246"/>
      <c r="BU121" s="245"/>
      <c r="BV121" s="245"/>
      <c r="BW121" s="245"/>
      <c r="BX121" s="245"/>
      <c r="BY121" s="245"/>
      <c r="BZ121" s="282"/>
      <c r="CA121" s="245"/>
      <c r="CB121" s="245"/>
      <c r="CC121" s="245"/>
      <c r="CD121" s="245"/>
      <c r="CE121" s="245"/>
      <c r="CF121" s="245"/>
    </row>
    <row r="122">
      <c r="A122" s="259" t="str">
        <f>IFERROR(__xludf.DUMMYFUNCTION("""COMPUTED_VALUE"""),"Common Enemy Attack")</f>
        <v>Common Enemy Attack</v>
      </c>
      <c r="B122" s="260">
        <f>IFERROR(__xludf.DUMMYFUNCTION("""COMPUTED_VALUE"""),0.0)</f>
        <v>0</v>
      </c>
      <c r="C122" s="245"/>
      <c r="D122" s="261">
        <f>IFERROR(__xludf.DUMMYFUNCTION("""COMPUTED_VALUE"""),30.0)</f>
        <v>30</v>
      </c>
      <c r="E122" s="245"/>
      <c r="F122" s="245"/>
      <c r="G122" s="245"/>
      <c r="H122" s="245"/>
      <c r="I122" s="245"/>
      <c r="J122" s="245"/>
      <c r="K122" s="265"/>
      <c r="L122" s="245"/>
      <c r="M122" s="245"/>
      <c r="N122" s="245"/>
      <c r="O122" s="245"/>
      <c r="P122" s="245"/>
      <c r="Q122" s="247"/>
      <c r="R122" s="254"/>
      <c r="S122" s="245"/>
      <c r="T122" s="245"/>
      <c r="U122" s="245"/>
      <c r="V122" s="245"/>
      <c r="W122" s="245"/>
      <c r="X122" s="245"/>
      <c r="Y122" s="249"/>
      <c r="Z122" s="276"/>
      <c r="AA122" s="245"/>
      <c r="AB122" s="276"/>
      <c r="AC122" s="276"/>
      <c r="AD122" s="246"/>
      <c r="AE122" s="278"/>
      <c r="AF122" s="370"/>
      <c r="AG122" s="371"/>
      <c r="AH122" s="276"/>
      <c r="AI122" s="245"/>
      <c r="AJ122" s="287"/>
      <c r="AK122" s="278"/>
      <c r="AL122" s="246"/>
      <c r="AM122" s="245"/>
      <c r="AN122" s="245"/>
      <c r="AO122" s="274"/>
      <c r="AP122" s="245"/>
      <c r="AQ122" s="245"/>
      <c r="AR122" s="246"/>
      <c r="AS122" s="245"/>
      <c r="AT122" s="245"/>
      <c r="AU122" s="245"/>
      <c r="AV122" s="245"/>
      <c r="AW122" s="245"/>
      <c r="AX122" s="246"/>
      <c r="AY122" s="245"/>
      <c r="AZ122" s="245"/>
      <c r="BA122" s="246"/>
      <c r="BB122" s="245"/>
      <c r="BC122" s="245"/>
      <c r="BD122" s="245"/>
      <c r="BE122" s="245" t="str">
        <f>IFERROR(__xludf.DUMMYFUNCTION("""COMPUTED_VALUE"""),"")</f>
        <v/>
      </c>
      <c r="BF122" s="245"/>
      <c r="BG122" s="245"/>
      <c r="BH122" s="245"/>
      <c r="BI122" s="245"/>
      <c r="BJ122" s="245" t="str">
        <f>IFERROR(__xludf.DUMMYFUNCTION("""COMPUTED_VALUE"""),"")</f>
        <v/>
      </c>
      <c r="BK122" s="245"/>
      <c r="BL122" s="245"/>
      <c r="BM122" s="245"/>
      <c r="BN122" s="245"/>
      <c r="BO122" s="245" t="str">
        <f>IFERROR(__xludf.DUMMYFUNCTION("""COMPUTED_VALUE"""),"")</f>
        <v/>
      </c>
      <c r="BP122" s="245"/>
      <c r="BQ122" s="245"/>
      <c r="BR122" s="245"/>
      <c r="BS122" s="245"/>
      <c r="BT122" s="246" t="str">
        <f>IFERROR(__xludf.DUMMYFUNCTION("""COMPUTED_VALUE"""),"")</f>
        <v/>
      </c>
      <c r="BU122" s="245"/>
      <c r="BV122" s="245"/>
      <c r="BW122" s="245"/>
      <c r="BX122" s="245"/>
      <c r="BY122" s="245"/>
      <c r="BZ122" s="282"/>
      <c r="CA122" s="245"/>
      <c r="CB122" s="245"/>
      <c r="CC122" s="245"/>
      <c r="CD122" s="245"/>
      <c r="CE122" s="245"/>
      <c r="CF122" s="245"/>
    </row>
    <row r="123">
      <c r="A123" s="259" t="str">
        <f>IFERROR(__xludf.DUMMYFUNCTION("""COMPUTED_VALUE"""),"Fast Enemy Health")</f>
        <v>Fast Enemy Health</v>
      </c>
      <c r="B123" s="260">
        <f>IFERROR(__xludf.DUMMYFUNCTION("""COMPUTED_VALUE"""),0.0)</f>
        <v>0</v>
      </c>
      <c r="C123" s="245"/>
      <c r="D123" s="261">
        <f>IFERROR(__xludf.DUMMYFUNCTION("""COMPUTED_VALUE"""),30.0)</f>
        <v>30</v>
      </c>
      <c r="E123" s="245"/>
      <c r="F123" s="245"/>
      <c r="G123" s="245"/>
      <c r="H123" s="245"/>
      <c r="I123" s="245"/>
      <c r="J123" s="245"/>
      <c r="K123" s="265"/>
      <c r="L123" s="245"/>
      <c r="M123" s="245"/>
      <c r="N123" s="245"/>
      <c r="O123" s="245"/>
      <c r="P123" s="245"/>
      <c r="Q123" s="247"/>
      <c r="R123" s="254"/>
      <c r="S123" s="245"/>
      <c r="T123" s="245"/>
      <c r="U123" s="245"/>
      <c r="V123" s="245"/>
      <c r="W123" s="245"/>
      <c r="X123" s="245"/>
      <c r="Y123" s="249"/>
      <c r="Z123" s="276"/>
      <c r="AA123" s="245"/>
      <c r="AB123" s="276"/>
      <c r="AC123" s="276"/>
      <c r="AD123" s="246"/>
      <c r="AE123" s="278"/>
      <c r="AF123" s="370"/>
      <c r="AG123" s="371"/>
      <c r="AH123" s="276"/>
      <c r="AI123" s="245"/>
      <c r="AJ123" s="287"/>
      <c r="AK123" s="278"/>
      <c r="AL123" s="246"/>
      <c r="AM123" s="245"/>
      <c r="AN123" s="245"/>
      <c r="AO123" s="274"/>
      <c r="AP123" s="245"/>
      <c r="AQ123" s="245"/>
      <c r="AR123" s="246"/>
      <c r="AS123" s="245"/>
      <c r="AT123" s="245"/>
      <c r="AU123" s="245"/>
      <c r="AV123" s="245"/>
      <c r="AW123" s="245"/>
      <c r="AX123" s="246"/>
      <c r="AY123" s="245"/>
      <c r="AZ123" s="245"/>
      <c r="BA123" s="246"/>
      <c r="BB123" s="245"/>
      <c r="BC123" s="245"/>
      <c r="BD123" s="245"/>
      <c r="BE123" s="245" t="str">
        <f>IFERROR(__xludf.DUMMYFUNCTION("""COMPUTED_VALUE"""),"")</f>
        <v/>
      </c>
      <c r="BF123" s="245"/>
      <c r="BG123" s="245"/>
      <c r="BH123" s="245"/>
      <c r="BI123" s="245"/>
      <c r="BJ123" s="245" t="str">
        <f>IFERROR(__xludf.DUMMYFUNCTION("""COMPUTED_VALUE"""),"")</f>
        <v/>
      </c>
      <c r="BK123" s="245"/>
      <c r="BL123" s="245"/>
      <c r="BM123" s="245"/>
      <c r="BN123" s="245"/>
      <c r="BO123" s="245" t="str">
        <f>IFERROR(__xludf.DUMMYFUNCTION("""COMPUTED_VALUE"""),"")</f>
        <v/>
      </c>
      <c r="BP123" s="245"/>
      <c r="BQ123" s="245"/>
      <c r="BR123" s="245"/>
      <c r="BS123" s="245"/>
      <c r="BT123" s="246" t="str">
        <f>IFERROR(__xludf.DUMMYFUNCTION("""COMPUTED_VALUE"""),"")</f>
        <v/>
      </c>
      <c r="BU123" s="245"/>
      <c r="BV123" s="245"/>
      <c r="BW123" s="245"/>
      <c r="BX123" s="245"/>
      <c r="BY123" s="245"/>
      <c r="BZ123" s="282"/>
      <c r="CA123" s="245"/>
      <c r="CB123" s="245"/>
      <c r="CC123" s="245"/>
      <c r="CD123" s="245"/>
      <c r="CE123" s="245"/>
      <c r="CF123" s="245"/>
    </row>
    <row r="124">
      <c r="A124" s="259" t="str">
        <f>IFERROR(__xludf.DUMMYFUNCTION("""COMPUTED_VALUE"""),"Fast Enemy Attack")</f>
        <v>Fast Enemy Attack</v>
      </c>
      <c r="B124" s="260">
        <f>IFERROR(__xludf.DUMMYFUNCTION("""COMPUTED_VALUE"""),0.0)</f>
        <v>0</v>
      </c>
      <c r="C124" s="245"/>
      <c r="D124" s="261">
        <f>IFERROR(__xludf.DUMMYFUNCTION("""COMPUTED_VALUE"""),30.0)</f>
        <v>30</v>
      </c>
      <c r="E124" s="245"/>
      <c r="F124" s="245"/>
      <c r="G124" s="245"/>
      <c r="H124" s="245"/>
      <c r="I124" s="245"/>
      <c r="J124" s="245"/>
      <c r="K124" s="265"/>
      <c r="L124" s="245"/>
      <c r="M124" s="245"/>
      <c r="N124" s="245"/>
      <c r="O124" s="245"/>
      <c r="P124" s="245"/>
      <c r="Q124" s="247"/>
      <c r="R124" s="254"/>
      <c r="S124" s="245"/>
      <c r="T124" s="245"/>
      <c r="U124" s="245"/>
      <c r="V124" s="245"/>
      <c r="W124" s="245"/>
      <c r="X124" s="245"/>
      <c r="Y124" s="249"/>
      <c r="Z124" s="276"/>
      <c r="AA124" s="245"/>
      <c r="AB124" s="276"/>
      <c r="AC124" s="276"/>
      <c r="AD124" s="246"/>
      <c r="AE124" s="278"/>
      <c r="AF124" s="370"/>
      <c r="AG124" s="371"/>
      <c r="AH124" s="276"/>
      <c r="AI124" s="245"/>
      <c r="AJ124" s="287"/>
      <c r="AK124" s="278"/>
      <c r="AL124" s="246"/>
      <c r="AM124" s="245"/>
      <c r="AN124" s="245"/>
      <c r="AO124" s="274"/>
      <c r="AP124" s="245"/>
      <c r="AQ124" s="245"/>
      <c r="AR124" s="246"/>
      <c r="AS124" s="245"/>
      <c r="AT124" s="245"/>
      <c r="AU124" s="245"/>
      <c r="AV124" s="245"/>
      <c r="AW124" s="245"/>
      <c r="AX124" s="246"/>
      <c r="AY124" s="245"/>
      <c r="AZ124" s="245"/>
      <c r="BA124" s="246"/>
      <c r="BB124" s="245"/>
      <c r="BC124" s="245"/>
      <c r="BD124" s="245"/>
      <c r="BE124" s="245" t="str">
        <f>IFERROR(__xludf.DUMMYFUNCTION("""COMPUTED_VALUE"""),"")</f>
        <v/>
      </c>
      <c r="BF124" s="245"/>
      <c r="BG124" s="245"/>
      <c r="BH124" s="245"/>
      <c r="BI124" s="245"/>
      <c r="BJ124" s="245" t="str">
        <f>IFERROR(__xludf.DUMMYFUNCTION("""COMPUTED_VALUE"""),"")</f>
        <v/>
      </c>
      <c r="BK124" s="245"/>
      <c r="BL124" s="245"/>
      <c r="BM124" s="245"/>
      <c r="BN124" s="245"/>
      <c r="BO124" s="245" t="str">
        <f>IFERROR(__xludf.DUMMYFUNCTION("""COMPUTED_VALUE"""),"")</f>
        <v/>
      </c>
      <c r="BP124" s="245"/>
      <c r="BQ124" s="245"/>
      <c r="BR124" s="245"/>
      <c r="BS124" s="245"/>
      <c r="BT124" s="246" t="str">
        <f>IFERROR(__xludf.DUMMYFUNCTION("""COMPUTED_VALUE"""),"")</f>
        <v/>
      </c>
      <c r="BU124" s="245"/>
      <c r="BV124" s="245"/>
      <c r="BW124" s="245"/>
      <c r="BX124" s="245"/>
      <c r="BY124" s="245"/>
      <c r="BZ124" s="282"/>
      <c r="CA124" s="245"/>
      <c r="CB124" s="245"/>
      <c r="CC124" s="245"/>
      <c r="CD124" s="245"/>
      <c r="CE124" s="245"/>
      <c r="CF124" s="245"/>
    </row>
    <row r="125">
      <c r="A125" s="259" t="str">
        <f>IFERROR(__xludf.DUMMYFUNCTION("""COMPUTED_VALUE"""),"Fast Enemy Speed")</f>
        <v>Fast Enemy Speed</v>
      </c>
      <c r="B125" s="260">
        <f>IFERROR(__xludf.DUMMYFUNCTION("""COMPUTED_VALUE"""),0.0)</f>
        <v>0</v>
      </c>
      <c r="C125" s="245"/>
      <c r="D125" s="261">
        <f>IFERROR(__xludf.DUMMYFUNCTION("""COMPUTED_VALUE"""),30.0)</f>
        <v>30</v>
      </c>
      <c r="E125" s="245"/>
      <c r="F125" s="245"/>
      <c r="G125" s="245"/>
      <c r="H125" s="245"/>
      <c r="I125" s="245"/>
      <c r="J125" s="245"/>
      <c r="K125" s="265"/>
      <c r="L125" s="245"/>
      <c r="M125" s="245"/>
      <c r="N125" s="245"/>
      <c r="O125" s="245"/>
      <c r="P125" s="245"/>
      <c r="Q125" s="247"/>
      <c r="R125" s="254"/>
      <c r="S125" s="245"/>
      <c r="T125" s="245"/>
      <c r="U125" s="245"/>
      <c r="V125" s="245"/>
      <c r="W125" s="245"/>
      <c r="X125" s="245"/>
      <c r="Y125" s="249"/>
      <c r="Z125" s="276"/>
      <c r="AA125" s="245"/>
      <c r="AB125" s="276"/>
      <c r="AC125" s="276"/>
      <c r="AD125" s="246"/>
      <c r="AE125" s="278"/>
      <c r="AF125" s="370"/>
      <c r="AG125" s="371"/>
      <c r="AH125" s="276"/>
      <c r="AI125" s="245"/>
      <c r="AJ125" s="287"/>
      <c r="AK125" s="278"/>
      <c r="AL125" s="246"/>
      <c r="AM125" s="245"/>
      <c r="AN125" s="245"/>
      <c r="AO125" s="274"/>
      <c r="AP125" s="245"/>
      <c r="AQ125" s="245"/>
      <c r="AR125" s="246"/>
      <c r="AS125" s="245"/>
      <c r="AT125" s="245"/>
      <c r="AU125" s="245"/>
      <c r="AV125" s="245"/>
      <c r="AW125" s="245"/>
      <c r="AX125" s="246"/>
      <c r="AY125" s="245"/>
      <c r="AZ125" s="245"/>
      <c r="BA125" s="246"/>
      <c r="BB125" s="245"/>
      <c r="BC125" s="245"/>
      <c r="BD125" s="245"/>
      <c r="BE125" s="245" t="str">
        <f>IFERROR(__xludf.DUMMYFUNCTION("""COMPUTED_VALUE"""),"")</f>
        <v/>
      </c>
      <c r="BF125" s="245"/>
      <c r="BG125" s="245"/>
      <c r="BH125" s="245"/>
      <c r="BI125" s="245"/>
      <c r="BJ125" s="245" t="str">
        <f>IFERROR(__xludf.DUMMYFUNCTION("""COMPUTED_VALUE"""),"")</f>
        <v/>
      </c>
      <c r="BK125" s="245"/>
      <c r="BL125" s="245"/>
      <c r="BM125" s="245"/>
      <c r="BN125" s="245"/>
      <c r="BO125" s="245" t="str">
        <f>IFERROR(__xludf.DUMMYFUNCTION("""COMPUTED_VALUE"""),"")</f>
        <v/>
      </c>
      <c r="BP125" s="245"/>
      <c r="BQ125" s="245"/>
      <c r="BR125" s="245"/>
      <c r="BS125" s="245"/>
      <c r="BT125" s="246" t="str">
        <f>IFERROR(__xludf.DUMMYFUNCTION("""COMPUTED_VALUE"""),"")</f>
        <v/>
      </c>
      <c r="BU125" s="245"/>
      <c r="BV125" s="245"/>
      <c r="BW125" s="245"/>
      <c r="BX125" s="245"/>
      <c r="BY125" s="245"/>
      <c r="BZ125" s="282"/>
      <c r="CA125" s="245"/>
      <c r="CB125" s="245"/>
      <c r="CC125" s="245"/>
      <c r="CD125" s="245"/>
      <c r="CE125" s="245"/>
      <c r="CF125" s="245"/>
    </row>
    <row r="126">
      <c r="A126" s="259" t="str">
        <f>IFERROR(__xludf.DUMMYFUNCTION("""COMPUTED_VALUE"""),"Tank Enemy Health")</f>
        <v>Tank Enemy Health</v>
      </c>
      <c r="B126" s="260">
        <f>IFERROR(__xludf.DUMMYFUNCTION("""COMPUTED_VALUE"""),0.0)</f>
        <v>0</v>
      </c>
      <c r="C126" s="245"/>
      <c r="D126" s="261">
        <f>IFERROR(__xludf.DUMMYFUNCTION("""COMPUTED_VALUE"""),30.0)</f>
        <v>30</v>
      </c>
      <c r="E126" s="245"/>
      <c r="F126" s="245"/>
      <c r="G126" s="245"/>
      <c r="H126" s="245"/>
      <c r="I126" s="245"/>
      <c r="J126" s="245"/>
      <c r="K126" s="265"/>
      <c r="L126" s="245"/>
      <c r="M126" s="245"/>
      <c r="N126" s="245"/>
      <c r="O126" s="245"/>
      <c r="P126" s="245"/>
      <c r="Q126" s="247"/>
      <c r="R126" s="254"/>
      <c r="S126" s="245"/>
      <c r="T126" s="245"/>
      <c r="U126" s="245"/>
      <c r="V126" s="245"/>
      <c r="W126" s="245"/>
      <c r="X126" s="245"/>
      <c r="Y126" s="249"/>
      <c r="Z126" s="276"/>
      <c r="AA126" s="245"/>
      <c r="AB126" s="276"/>
      <c r="AC126" s="276"/>
      <c r="AD126" s="246"/>
      <c r="AE126" s="278"/>
      <c r="AF126" s="370"/>
      <c r="AG126" s="371"/>
      <c r="AH126" s="276"/>
      <c r="AI126" s="245"/>
      <c r="AJ126" s="287"/>
      <c r="AK126" s="278"/>
      <c r="AL126" s="246"/>
      <c r="AM126" s="245"/>
      <c r="AN126" s="245"/>
      <c r="AO126" s="274"/>
      <c r="AP126" s="245"/>
      <c r="AQ126" s="245"/>
      <c r="AR126" s="246"/>
      <c r="AS126" s="245"/>
      <c r="AT126" s="245"/>
      <c r="AU126" s="245"/>
      <c r="AV126" s="245"/>
      <c r="AW126" s="245"/>
      <c r="AX126" s="246"/>
      <c r="AY126" s="245"/>
      <c r="AZ126" s="245"/>
      <c r="BA126" s="246"/>
      <c r="BB126" s="245"/>
      <c r="BC126" s="245"/>
      <c r="BD126" s="245"/>
      <c r="BE126" s="245" t="str">
        <f>IFERROR(__xludf.DUMMYFUNCTION("""COMPUTED_VALUE"""),"")</f>
        <v/>
      </c>
      <c r="BF126" s="245"/>
      <c r="BG126" s="245"/>
      <c r="BH126" s="245"/>
      <c r="BI126" s="245"/>
      <c r="BJ126" s="245" t="str">
        <f>IFERROR(__xludf.DUMMYFUNCTION("""COMPUTED_VALUE"""),"")</f>
        <v/>
      </c>
      <c r="BK126" s="245"/>
      <c r="BL126" s="245"/>
      <c r="BM126" s="245"/>
      <c r="BN126" s="245"/>
      <c r="BO126" s="245" t="str">
        <f>IFERROR(__xludf.DUMMYFUNCTION("""COMPUTED_VALUE"""),"")</f>
        <v/>
      </c>
      <c r="BP126" s="245"/>
      <c r="BQ126" s="245"/>
      <c r="BR126" s="245"/>
      <c r="BS126" s="245"/>
      <c r="BT126" s="246" t="str">
        <f>IFERROR(__xludf.DUMMYFUNCTION("""COMPUTED_VALUE"""),"")</f>
        <v/>
      </c>
      <c r="BU126" s="245"/>
      <c r="BV126" s="245"/>
      <c r="BW126" s="245"/>
      <c r="BX126" s="245"/>
      <c r="BY126" s="245"/>
      <c r="BZ126" s="282"/>
      <c r="CA126" s="245"/>
      <c r="CB126" s="245"/>
      <c r="CC126" s="245"/>
      <c r="CD126" s="245"/>
      <c r="CE126" s="245"/>
      <c r="CF126" s="245"/>
    </row>
    <row r="127">
      <c r="A127" s="259" t="str">
        <f>IFERROR(__xludf.DUMMYFUNCTION("""COMPUTED_VALUE"""),"Tank Enemy Attack")</f>
        <v>Tank Enemy Attack</v>
      </c>
      <c r="B127" s="260">
        <f>IFERROR(__xludf.DUMMYFUNCTION("""COMPUTED_VALUE"""),0.0)</f>
        <v>0</v>
      </c>
      <c r="C127" s="245"/>
      <c r="D127" s="261">
        <f>IFERROR(__xludf.DUMMYFUNCTION("""COMPUTED_VALUE"""),30.0)</f>
        <v>30</v>
      </c>
      <c r="E127" s="245"/>
      <c r="F127" s="245"/>
      <c r="G127" s="245"/>
      <c r="H127" s="245"/>
      <c r="I127" s="245"/>
      <c r="J127" s="245"/>
      <c r="K127" s="265"/>
      <c r="L127" s="245"/>
      <c r="M127" s="245"/>
      <c r="N127" s="245"/>
      <c r="O127" s="245"/>
      <c r="P127" s="245"/>
      <c r="Q127" s="247"/>
      <c r="R127" s="254"/>
      <c r="S127" s="245"/>
      <c r="T127" s="245"/>
      <c r="U127" s="245"/>
      <c r="V127" s="245"/>
      <c r="W127" s="245"/>
      <c r="X127" s="245"/>
      <c r="Y127" s="249"/>
      <c r="Z127" s="276"/>
      <c r="AA127" s="245"/>
      <c r="AB127" s="276"/>
      <c r="AC127" s="276"/>
      <c r="AD127" s="246"/>
      <c r="AE127" s="278"/>
      <c r="AF127" s="370"/>
      <c r="AG127" s="371"/>
      <c r="AH127" s="276"/>
      <c r="AI127" s="245"/>
      <c r="AJ127" s="287"/>
      <c r="AK127" s="278"/>
      <c r="AL127" s="246"/>
      <c r="AM127" s="245"/>
      <c r="AN127" s="245"/>
      <c r="AO127" s="274"/>
      <c r="AP127" s="245"/>
      <c r="AQ127" s="245"/>
      <c r="AR127" s="246"/>
      <c r="AS127" s="245"/>
      <c r="AT127" s="245"/>
      <c r="AU127" s="245"/>
      <c r="AV127" s="245"/>
      <c r="AW127" s="245"/>
      <c r="AX127" s="246"/>
      <c r="AY127" s="245"/>
      <c r="AZ127" s="245"/>
      <c r="BA127" s="246"/>
      <c r="BB127" s="245"/>
      <c r="BC127" s="245"/>
      <c r="BD127" s="245"/>
      <c r="BE127" s="245" t="str">
        <f>IFERROR(__xludf.DUMMYFUNCTION("""COMPUTED_VALUE"""),"")</f>
        <v/>
      </c>
      <c r="BF127" s="245"/>
      <c r="BG127" s="245"/>
      <c r="BH127" s="245"/>
      <c r="BI127" s="245"/>
      <c r="BJ127" s="245" t="str">
        <f>IFERROR(__xludf.DUMMYFUNCTION("""COMPUTED_VALUE"""),"")</f>
        <v/>
      </c>
      <c r="BK127" s="245"/>
      <c r="BL127" s="245"/>
      <c r="BM127" s="245"/>
      <c r="BN127" s="245"/>
      <c r="BO127" s="245" t="str">
        <f>IFERROR(__xludf.DUMMYFUNCTION("""COMPUTED_VALUE"""),"")</f>
        <v/>
      </c>
      <c r="BP127" s="245"/>
      <c r="BQ127" s="245"/>
      <c r="BR127" s="245"/>
      <c r="BS127" s="245"/>
      <c r="BT127" s="246" t="str">
        <f>IFERROR(__xludf.DUMMYFUNCTION("""COMPUTED_VALUE"""),"")</f>
        <v/>
      </c>
      <c r="BU127" s="245"/>
      <c r="BV127" s="245"/>
      <c r="BW127" s="245"/>
      <c r="BX127" s="245"/>
      <c r="BY127" s="245"/>
      <c r="BZ127" s="282"/>
      <c r="CA127" s="245"/>
      <c r="CB127" s="245"/>
      <c r="CC127" s="245"/>
      <c r="CD127" s="245"/>
      <c r="CE127" s="245"/>
      <c r="CF127" s="245"/>
    </row>
    <row r="128">
      <c r="A128" s="259" t="str">
        <f>IFERROR(__xludf.DUMMYFUNCTION("""COMPUTED_VALUE"""),"Ranged Enemy Health")</f>
        <v>Ranged Enemy Health</v>
      </c>
      <c r="B128" s="260">
        <f>IFERROR(__xludf.DUMMYFUNCTION("""COMPUTED_VALUE"""),0.0)</f>
        <v>0</v>
      </c>
      <c r="C128" s="245"/>
      <c r="D128" s="261">
        <f>IFERROR(__xludf.DUMMYFUNCTION("""COMPUTED_VALUE"""),30.0)</f>
        <v>30</v>
      </c>
      <c r="E128" s="245"/>
      <c r="F128" s="245"/>
      <c r="G128" s="245"/>
      <c r="H128" s="245"/>
      <c r="I128" s="245"/>
      <c r="J128" s="245"/>
      <c r="K128" s="265"/>
      <c r="L128" s="245"/>
      <c r="M128" s="245"/>
      <c r="N128" s="245"/>
      <c r="O128" s="245"/>
      <c r="P128" s="245"/>
      <c r="Q128" s="247"/>
      <c r="R128" s="254"/>
      <c r="S128" s="245"/>
      <c r="T128" s="245"/>
      <c r="U128" s="245"/>
      <c r="V128" s="245"/>
      <c r="W128" s="245"/>
      <c r="X128" s="245"/>
      <c r="Y128" s="249"/>
      <c r="Z128" s="276"/>
      <c r="AA128" s="245"/>
      <c r="AB128" s="276"/>
      <c r="AC128" s="276"/>
      <c r="AD128" s="246"/>
      <c r="AE128" s="278"/>
      <c r="AF128" s="370"/>
      <c r="AG128" s="371"/>
      <c r="AH128" s="276"/>
      <c r="AI128" s="245"/>
      <c r="AJ128" s="287"/>
      <c r="AK128" s="278"/>
      <c r="AL128" s="246"/>
      <c r="AM128" s="245"/>
      <c r="AN128" s="245"/>
      <c r="AO128" s="274"/>
      <c r="AP128" s="245"/>
      <c r="AQ128" s="245"/>
      <c r="AR128" s="246"/>
      <c r="AS128" s="245"/>
      <c r="AT128" s="245"/>
      <c r="AU128" s="245"/>
      <c r="AV128" s="245"/>
      <c r="AW128" s="245"/>
      <c r="AX128" s="246"/>
      <c r="AY128" s="245"/>
      <c r="AZ128" s="245"/>
      <c r="BA128" s="246"/>
      <c r="BB128" s="245"/>
      <c r="BC128" s="245"/>
      <c r="BD128" s="245"/>
      <c r="BE128" s="245" t="str">
        <f>IFERROR(__xludf.DUMMYFUNCTION("""COMPUTED_VALUE"""),"")</f>
        <v/>
      </c>
      <c r="BF128" s="245"/>
      <c r="BG128" s="245"/>
      <c r="BH128" s="245"/>
      <c r="BI128" s="245"/>
      <c r="BJ128" s="245" t="str">
        <f>IFERROR(__xludf.DUMMYFUNCTION("""COMPUTED_VALUE"""),"")</f>
        <v/>
      </c>
      <c r="BK128" s="245"/>
      <c r="BL128" s="245"/>
      <c r="BM128" s="245"/>
      <c r="BN128" s="245"/>
      <c r="BO128" s="245" t="str">
        <f>IFERROR(__xludf.DUMMYFUNCTION("""COMPUTED_VALUE"""),"")</f>
        <v/>
      </c>
      <c r="BP128" s="245"/>
      <c r="BQ128" s="245"/>
      <c r="BR128" s="245"/>
      <c r="BS128" s="245"/>
      <c r="BT128" s="246" t="str">
        <f>IFERROR(__xludf.DUMMYFUNCTION("""COMPUTED_VALUE"""),"")</f>
        <v/>
      </c>
      <c r="BU128" s="245"/>
      <c r="BV128" s="245"/>
      <c r="BW128" s="245"/>
      <c r="BX128" s="245"/>
      <c r="BY128" s="245"/>
      <c r="BZ128" s="282"/>
      <c r="CA128" s="245"/>
      <c r="CB128" s="245"/>
      <c r="CC128" s="245"/>
      <c r="CD128" s="245"/>
      <c r="CE128" s="245"/>
      <c r="CF128" s="245"/>
    </row>
    <row r="129">
      <c r="A129" s="259" t="str">
        <f>IFERROR(__xludf.DUMMYFUNCTION("""COMPUTED_VALUE"""),"Ranged Enemy Attack")</f>
        <v>Ranged Enemy Attack</v>
      </c>
      <c r="B129" s="260">
        <f>IFERROR(__xludf.DUMMYFUNCTION("""COMPUTED_VALUE"""),0.0)</f>
        <v>0</v>
      </c>
      <c r="C129" s="245"/>
      <c r="D129" s="261">
        <f>IFERROR(__xludf.DUMMYFUNCTION("""COMPUTED_VALUE"""),30.0)</f>
        <v>30</v>
      </c>
      <c r="E129" s="245"/>
      <c r="F129" s="245"/>
      <c r="G129" s="245"/>
      <c r="H129" s="245"/>
      <c r="I129" s="245"/>
      <c r="J129" s="245"/>
      <c r="K129" s="265"/>
      <c r="L129" s="245"/>
      <c r="M129" s="245"/>
      <c r="N129" s="245"/>
      <c r="O129" s="245"/>
      <c r="P129" s="245"/>
      <c r="Q129" s="247"/>
      <c r="R129" s="254"/>
      <c r="S129" s="245"/>
      <c r="T129" s="245"/>
      <c r="U129" s="245"/>
      <c r="V129" s="245"/>
      <c r="W129" s="245"/>
      <c r="X129" s="245"/>
      <c r="Y129" s="249"/>
      <c r="Z129" s="276"/>
      <c r="AA129" s="245"/>
      <c r="AB129" s="276"/>
      <c r="AC129" s="276"/>
      <c r="AD129" s="246"/>
      <c r="AE129" s="278"/>
      <c r="AF129" s="370"/>
      <c r="AG129" s="371"/>
      <c r="AH129" s="276"/>
      <c r="AI129" s="245"/>
      <c r="AJ129" s="287"/>
      <c r="AK129" s="278"/>
      <c r="AL129" s="246"/>
      <c r="AM129" s="245"/>
      <c r="AN129" s="245"/>
      <c r="AO129" s="274"/>
      <c r="AP129" s="245"/>
      <c r="AQ129" s="245"/>
      <c r="AR129" s="246"/>
      <c r="AS129" s="245"/>
      <c r="AT129" s="245"/>
      <c r="AU129" s="245"/>
      <c r="AV129" s="245"/>
      <c r="AW129" s="245"/>
      <c r="AX129" s="246"/>
      <c r="AY129" s="245"/>
      <c r="AZ129" s="245"/>
      <c r="BA129" s="246"/>
      <c r="BB129" s="245"/>
      <c r="BC129" s="245"/>
      <c r="BD129" s="245"/>
      <c r="BE129" s="245" t="str">
        <f>IFERROR(__xludf.DUMMYFUNCTION("""COMPUTED_VALUE"""),"")</f>
        <v/>
      </c>
      <c r="BF129" s="245"/>
      <c r="BG129" s="245"/>
      <c r="BH129" s="245"/>
      <c r="BI129" s="245"/>
      <c r="BJ129" s="245" t="str">
        <f>IFERROR(__xludf.DUMMYFUNCTION("""COMPUTED_VALUE"""),"")</f>
        <v/>
      </c>
      <c r="BK129" s="245"/>
      <c r="BL129" s="245"/>
      <c r="BM129" s="245"/>
      <c r="BN129" s="245"/>
      <c r="BO129" s="245" t="str">
        <f>IFERROR(__xludf.DUMMYFUNCTION("""COMPUTED_VALUE"""),"")</f>
        <v/>
      </c>
      <c r="BP129" s="245"/>
      <c r="BQ129" s="245"/>
      <c r="BR129" s="245"/>
      <c r="BS129" s="245"/>
      <c r="BT129" s="246" t="str">
        <f>IFERROR(__xludf.DUMMYFUNCTION("""COMPUTED_VALUE"""),"")</f>
        <v/>
      </c>
      <c r="BU129" s="245"/>
      <c r="BV129" s="245"/>
      <c r="BW129" s="245"/>
      <c r="BX129" s="245"/>
      <c r="BY129" s="245"/>
      <c r="BZ129" s="282"/>
      <c r="CA129" s="245"/>
      <c r="CB129" s="245"/>
      <c r="CC129" s="245"/>
      <c r="CD129" s="245"/>
      <c r="CE129" s="245"/>
      <c r="CF129" s="245"/>
    </row>
    <row r="130">
      <c r="A130" s="259" t="str">
        <f>IFERROR(__xludf.DUMMYFUNCTION("""COMPUTED_VALUE"""),"Boss Health")</f>
        <v>Boss Health</v>
      </c>
      <c r="B130" s="260">
        <f>IFERROR(__xludf.DUMMYFUNCTION("""COMPUTED_VALUE"""),0.0)</f>
        <v>0</v>
      </c>
      <c r="C130" s="245"/>
      <c r="D130" s="261">
        <f>IFERROR(__xludf.DUMMYFUNCTION("""COMPUTED_VALUE"""),30.0)</f>
        <v>30</v>
      </c>
      <c r="E130" s="245"/>
      <c r="F130" s="245"/>
      <c r="G130" s="245"/>
      <c r="H130" s="245"/>
      <c r="I130" s="245"/>
      <c r="J130" s="245"/>
      <c r="K130" s="265"/>
      <c r="L130" s="245"/>
      <c r="M130" s="245"/>
      <c r="N130" s="245"/>
      <c r="O130" s="245"/>
      <c r="P130" s="245"/>
      <c r="Q130" s="247"/>
      <c r="R130" s="254"/>
      <c r="S130" s="245"/>
      <c r="T130" s="245"/>
      <c r="U130" s="245"/>
      <c r="V130" s="245"/>
      <c r="W130" s="245"/>
      <c r="X130" s="245"/>
      <c r="Y130" s="249"/>
      <c r="Z130" s="276"/>
      <c r="AA130" s="245"/>
      <c r="AB130" s="276"/>
      <c r="AC130" s="276"/>
      <c r="AD130" s="246"/>
      <c r="AE130" s="278"/>
      <c r="AF130" s="370"/>
      <c r="AG130" s="371"/>
      <c r="AH130" s="276"/>
      <c r="AI130" s="245"/>
      <c r="AJ130" s="287"/>
      <c r="AK130" s="278"/>
      <c r="AL130" s="246"/>
      <c r="AM130" s="245"/>
      <c r="AN130" s="245"/>
      <c r="AO130" s="274"/>
      <c r="AP130" s="245"/>
      <c r="AQ130" s="245"/>
      <c r="AR130" s="246"/>
      <c r="AS130" s="245"/>
      <c r="AT130" s="245"/>
      <c r="AU130" s="245"/>
      <c r="AV130" s="245"/>
      <c r="AW130" s="245"/>
      <c r="AX130" s="246"/>
      <c r="AY130" s="245"/>
      <c r="AZ130" s="245"/>
      <c r="BA130" s="246"/>
      <c r="BB130" s="245"/>
      <c r="BC130" s="245"/>
      <c r="BD130" s="245"/>
      <c r="BE130" s="245"/>
      <c r="BF130" s="245"/>
      <c r="BG130" s="245"/>
      <c r="BH130" s="245"/>
      <c r="BI130" s="245"/>
      <c r="BJ130" s="245"/>
      <c r="BK130" s="245"/>
      <c r="BL130" s="245"/>
      <c r="BM130" s="245"/>
      <c r="BN130" s="245"/>
      <c r="BO130" s="245"/>
      <c r="BP130" s="245"/>
      <c r="BQ130" s="245"/>
      <c r="BR130" s="245"/>
      <c r="BS130" s="245"/>
      <c r="BT130" s="246"/>
      <c r="BU130" s="245"/>
      <c r="BV130" s="245"/>
      <c r="BW130" s="245"/>
      <c r="BX130" s="245"/>
      <c r="BY130" s="245"/>
      <c r="BZ130" s="282"/>
      <c r="CA130" s="245"/>
      <c r="CB130" s="245"/>
      <c r="CC130" s="245"/>
      <c r="CD130" s="245"/>
      <c r="CE130" s="245"/>
      <c r="CF130" s="245"/>
    </row>
    <row r="131">
      <c r="A131" s="259" t="str">
        <f>IFERROR(__xludf.DUMMYFUNCTION("""COMPUTED_VALUE"""),"Boss Attack")</f>
        <v>Boss Attack</v>
      </c>
      <c r="B131" s="260">
        <f>IFERROR(__xludf.DUMMYFUNCTION("""COMPUTED_VALUE"""),0.0)</f>
        <v>0</v>
      </c>
      <c r="C131" s="245"/>
      <c r="D131" s="261">
        <f>IFERROR(__xludf.DUMMYFUNCTION("""COMPUTED_VALUE"""),30.0)</f>
        <v>30</v>
      </c>
      <c r="E131" s="245"/>
      <c r="F131" s="245"/>
      <c r="G131" s="245"/>
      <c r="H131" s="245"/>
      <c r="I131" s="245"/>
      <c r="J131" s="245"/>
      <c r="K131" s="265"/>
      <c r="L131" s="245"/>
      <c r="M131" s="245"/>
      <c r="N131" s="245"/>
      <c r="O131" s="245"/>
      <c r="P131" s="245"/>
      <c r="Q131" s="247"/>
      <c r="R131" s="254"/>
      <c r="S131" s="245"/>
      <c r="T131" s="245"/>
      <c r="U131" s="245"/>
      <c r="V131" s="245"/>
      <c r="W131" s="245"/>
      <c r="X131" s="245"/>
      <c r="Y131" s="249"/>
      <c r="Z131" s="276"/>
      <c r="AA131" s="245"/>
      <c r="AB131" s="276"/>
      <c r="AC131" s="276"/>
      <c r="AD131" s="246"/>
      <c r="AE131" s="278"/>
      <c r="AF131" s="370"/>
      <c r="AG131" s="371"/>
      <c r="AH131" s="276"/>
      <c r="AI131" s="245"/>
      <c r="AJ131" s="287"/>
      <c r="AK131" s="278"/>
      <c r="AL131" s="246"/>
      <c r="AM131" s="245"/>
      <c r="AN131" s="245"/>
      <c r="AO131" s="274"/>
      <c r="AP131" s="245"/>
      <c r="AQ131" s="245"/>
      <c r="AR131" s="246"/>
      <c r="AS131" s="245"/>
      <c r="AT131" s="245"/>
      <c r="AU131" s="245"/>
      <c r="AV131" s="245"/>
      <c r="AW131" s="245"/>
      <c r="AX131" s="246"/>
      <c r="AY131" s="245"/>
      <c r="AZ131" s="245"/>
      <c r="BA131" s="246"/>
      <c r="BB131" s="245"/>
      <c r="BC131" s="245"/>
      <c r="BD131" s="245"/>
      <c r="BE131" s="245"/>
      <c r="BF131" s="245"/>
      <c r="BG131" s="245"/>
      <c r="BH131" s="245"/>
      <c r="BI131" s="245"/>
      <c r="BJ131" s="245"/>
      <c r="BK131" s="245"/>
      <c r="BL131" s="245"/>
      <c r="BM131" s="245"/>
      <c r="BN131" s="245"/>
      <c r="BO131" s="245"/>
      <c r="BP131" s="245"/>
      <c r="BQ131" s="245"/>
      <c r="BR131" s="245"/>
      <c r="BS131" s="245"/>
      <c r="BT131" s="246"/>
      <c r="BU131" s="245"/>
      <c r="BV131" s="245"/>
      <c r="BW131" s="245"/>
      <c r="BX131" s="245"/>
      <c r="BY131" s="245"/>
      <c r="BZ131" s="282"/>
      <c r="CA131" s="245"/>
      <c r="CB131" s="245"/>
      <c r="CC131" s="245"/>
      <c r="CD131" s="245"/>
      <c r="CE131" s="245"/>
      <c r="CF131" s="245"/>
    </row>
    <row r="132">
      <c r="A132" s="259" t="str">
        <f>IFERROR(__xludf.DUMMYFUNCTION("""COMPUTED_VALUE"""),"Protector Health")</f>
        <v>Protector Health</v>
      </c>
      <c r="B132" s="260">
        <f>IFERROR(__xludf.DUMMYFUNCTION("""COMPUTED_VALUE"""),0.0)</f>
        <v>0</v>
      </c>
      <c r="C132" s="245"/>
      <c r="D132" s="261">
        <f>IFERROR(__xludf.DUMMYFUNCTION("""COMPUTED_VALUE"""),30.0)</f>
        <v>30</v>
      </c>
      <c r="E132" s="245"/>
      <c r="F132" s="245"/>
      <c r="G132" s="245"/>
      <c r="H132" s="245"/>
      <c r="I132" s="245"/>
      <c r="J132" s="245"/>
      <c r="K132" s="265"/>
      <c r="L132" s="245"/>
      <c r="M132" s="245"/>
      <c r="N132" s="245"/>
      <c r="O132" s="245"/>
      <c r="P132" s="245"/>
      <c r="Q132" s="247"/>
      <c r="R132" s="254"/>
      <c r="S132" s="245"/>
      <c r="T132" s="245"/>
      <c r="U132" s="245"/>
      <c r="V132" s="245"/>
      <c r="W132" s="245"/>
      <c r="X132" s="245"/>
      <c r="Y132" s="249"/>
      <c r="Z132" s="276"/>
      <c r="AA132" s="245"/>
      <c r="AB132" s="276"/>
      <c r="AC132" s="276"/>
      <c r="AD132" s="246"/>
      <c r="AE132" s="278"/>
      <c r="AF132" s="370"/>
      <c r="AG132" s="371"/>
      <c r="AH132" s="276"/>
      <c r="AI132" s="245"/>
      <c r="AJ132" s="287"/>
      <c r="AK132" s="278"/>
      <c r="AL132" s="246"/>
      <c r="AM132" s="245"/>
      <c r="AN132" s="245"/>
      <c r="AO132" s="274"/>
      <c r="AP132" s="245"/>
      <c r="AQ132" s="245"/>
      <c r="AR132" s="246"/>
      <c r="AS132" s="245"/>
      <c r="AT132" s="245"/>
      <c r="AU132" s="245"/>
      <c r="AV132" s="245"/>
      <c r="AW132" s="245"/>
      <c r="AX132" s="246"/>
      <c r="AY132" s="245"/>
      <c r="AZ132" s="245"/>
      <c r="BA132" s="246"/>
      <c r="BB132" s="245"/>
      <c r="BC132" s="245"/>
      <c r="BD132" s="245"/>
      <c r="BE132" s="245"/>
      <c r="BF132" s="245"/>
      <c r="BG132" s="245"/>
      <c r="BH132" s="245"/>
      <c r="BI132" s="245"/>
      <c r="BJ132" s="245"/>
      <c r="BK132" s="245"/>
      <c r="BL132" s="245"/>
      <c r="BM132" s="245"/>
      <c r="BN132" s="245"/>
      <c r="BO132" s="245"/>
      <c r="BP132" s="245"/>
      <c r="BQ132" s="245"/>
      <c r="BR132" s="245"/>
      <c r="BS132" s="245"/>
      <c r="BT132" s="246"/>
      <c r="BU132" s="245"/>
      <c r="BV132" s="245"/>
      <c r="BW132" s="245"/>
      <c r="BX132" s="245"/>
      <c r="BY132" s="245"/>
      <c r="BZ132" s="282"/>
      <c r="CA132" s="245"/>
      <c r="CB132" s="245"/>
      <c r="CC132" s="245"/>
      <c r="CD132" s="245"/>
      <c r="CE132" s="245"/>
      <c r="CF132" s="245"/>
    </row>
    <row r="133">
      <c r="A133" s="259" t="str">
        <f>IFERROR(__xludf.DUMMYFUNCTION("""COMPUTED_VALUE"""),"Protector Radius")</f>
        <v>Protector Radius</v>
      </c>
      <c r="B133" s="260">
        <f>IFERROR(__xludf.DUMMYFUNCTION("""COMPUTED_VALUE"""),0.0)</f>
        <v>0</v>
      </c>
      <c r="C133" s="245"/>
      <c r="D133" s="261">
        <f>IFERROR(__xludf.DUMMYFUNCTION("""COMPUTED_VALUE"""),30.0)</f>
        <v>30</v>
      </c>
      <c r="E133" s="245"/>
      <c r="F133" s="245"/>
      <c r="G133" s="245"/>
      <c r="H133" s="245"/>
      <c r="I133" s="245"/>
      <c r="J133" s="245"/>
      <c r="K133" s="265"/>
      <c r="L133" s="245"/>
      <c r="M133" s="245"/>
      <c r="N133" s="245"/>
      <c r="O133" s="245"/>
      <c r="P133" s="245"/>
      <c r="Q133" s="247"/>
      <c r="R133" s="254"/>
      <c r="S133" s="245"/>
      <c r="T133" s="245"/>
      <c r="U133" s="245"/>
      <c r="V133" s="245"/>
      <c r="W133" s="245"/>
      <c r="X133" s="245"/>
      <c r="Y133" s="249"/>
      <c r="Z133" s="276"/>
      <c r="AA133" s="245"/>
      <c r="AB133" s="276"/>
      <c r="AC133" s="276"/>
      <c r="AD133" s="246"/>
      <c r="AE133" s="278"/>
      <c r="AF133" s="370"/>
      <c r="AG133" s="371"/>
      <c r="AH133" s="276"/>
      <c r="AI133" s="245"/>
      <c r="AJ133" s="287"/>
      <c r="AK133" s="278"/>
      <c r="AL133" s="246"/>
      <c r="AM133" s="245"/>
      <c r="AN133" s="245"/>
      <c r="AO133" s="274"/>
      <c r="AP133" s="245"/>
      <c r="AQ133" s="245"/>
      <c r="AR133" s="246"/>
      <c r="AS133" s="245"/>
      <c r="AT133" s="245"/>
      <c r="AU133" s="245"/>
      <c r="AV133" s="245"/>
      <c r="AW133" s="245"/>
      <c r="AX133" s="246"/>
      <c r="AY133" s="245"/>
      <c r="AZ133" s="245"/>
      <c r="BA133" s="246"/>
      <c r="BB133" s="245"/>
      <c r="BC133" s="245"/>
      <c r="BD133" s="245"/>
      <c r="BE133" s="245"/>
      <c r="BF133" s="245"/>
      <c r="BG133" s="245"/>
      <c r="BH133" s="245"/>
      <c r="BI133" s="245"/>
      <c r="BJ133" s="245"/>
      <c r="BK133" s="245"/>
      <c r="BL133" s="245"/>
      <c r="BM133" s="245"/>
      <c r="BN133" s="245"/>
      <c r="BO133" s="245"/>
      <c r="BP133" s="245"/>
      <c r="BQ133" s="245"/>
      <c r="BR133" s="245"/>
      <c r="BS133" s="245"/>
      <c r="BT133" s="246"/>
      <c r="BU133" s="245"/>
      <c r="BV133" s="245"/>
      <c r="BW133" s="245"/>
      <c r="BX133" s="245"/>
      <c r="BY133" s="245"/>
      <c r="BZ133" s="282"/>
      <c r="CA133" s="245"/>
      <c r="CB133" s="245"/>
      <c r="CC133" s="245"/>
      <c r="CD133" s="245"/>
      <c r="CE133" s="245"/>
      <c r="CF133" s="245"/>
    </row>
    <row r="134">
      <c r="A134" s="259" t="str">
        <f>IFERROR(__xludf.DUMMYFUNCTION("""COMPUTED_VALUE"""),"Protector Damage Reduction")</f>
        <v>Protector Damage Reduction</v>
      </c>
      <c r="B134" s="260">
        <f>IFERROR(__xludf.DUMMYFUNCTION("""COMPUTED_VALUE"""),0.0)</f>
        <v>0</v>
      </c>
      <c r="C134" s="245"/>
      <c r="D134" s="261">
        <f>IFERROR(__xludf.DUMMYFUNCTION("""COMPUTED_VALUE"""),20.0)</f>
        <v>20</v>
      </c>
      <c r="E134" s="245"/>
      <c r="F134" s="245"/>
      <c r="G134" s="245"/>
      <c r="H134" s="245"/>
      <c r="I134" s="245"/>
      <c r="J134" s="245"/>
      <c r="K134" s="265"/>
      <c r="L134" s="245"/>
      <c r="M134" s="245"/>
      <c r="N134" s="245"/>
      <c r="O134" s="245"/>
      <c r="P134" s="245"/>
      <c r="Q134" s="247"/>
      <c r="R134" s="254"/>
      <c r="S134" s="245"/>
      <c r="T134" s="245"/>
      <c r="U134" s="245"/>
      <c r="V134" s="245"/>
      <c r="W134" s="245"/>
      <c r="X134" s="245"/>
      <c r="Y134" s="249"/>
      <c r="Z134" s="276"/>
      <c r="AA134" s="245"/>
      <c r="AB134" s="276"/>
      <c r="AC134" s="276"/>
      <c r="AD134" s="246"/>
      <c r="AE134" s="278"/>
      <c r="AF134" s="370"/>
      <c r="AG134" s="371"/>
      <c r="AH134" s="276"/>
      <c r="AI134" s="245"/>
      <c r="AJ134" s="287"/>
      <c r="AK134" s="278"/>
      <c r="AL134" s="246"/>
      <c r="AM134" s="245"/>
      <c r="AN134" s="245"/>
      <c r="AO134" s="274"/>
      <c r="AP134" s="245"/>
      <c r="AQ134" s="245"/>
      <c r="AR134" s="246"/>
      <c r="AS134" s="245"/>
      <c r="AT134" s="245"/>
      <c r="AU134" s="245"/>
      <c r="AV134" s="245"/>
      <c r="AW134" s="245"/>
      <c r="AX134" s="246"/>
      <c r="AY134" s="245"/>
      <c r="AZ134" s="245"/>
      <c r="BA134" s="246"/>
      <c r="BB134" s="245"/>
      <c r="BC134" s="245"/>
      <c r="BD134" s="245"/>
      <c r="BE134" s="245"/>
      <c r="BF134" s="245"/>
      <c r="BG134" s="245"/>
      <c r="BH134" s="245"/>
      <c r="BI134" s="245"/>
      <c r="BJ134" s="245"/>
      <c r="BK134" s="245"/>
      <c r="BL134" s="245"/>
      <c r="BM134" s="245"/>
      <c r="BN134" s="245"/>
      <c r="BO134" s="245"/>
      <c r="BP134" s="245"/>
      <c r="BQ134" s="245"/>
      <c r="BR134" s="245"/>
      <c r="BS134" s="245"/>
      <c r="BT134" s="246"/>
      <c r="BU134" s="245"/>
      <c r="BV134" s="245"/>
      <c r="BW134" s="245"/>
      <c r="BX134" s="245"/>
      <c r="BY134" s="245"/>
      <c r="BZ134" s="282"/>
      <c r="CA134" s="245"/>
      <c r="CB134" s="245"/>
      <c r="CC134" s="245"/>
      <c r="CD134" s="245"/>
      <c r="CE134" s="245"/>
      <c r="CF134" s="245"/>
    </row>
    <row r="135">
      <c r="A135" s="259" t="str">
        <f>IFERROR(__xludf.DUMMYFUNCTION("""COMPUTED_VALUE"""),"Ray Enemy Attack")</f>
        <v>Ray Enemy Attack</v>
      </c>
      <c r="B135" s="260">
        <f>IFERROR(__xludf.DUMMYFUNCTION("""COMPUTED_VALUE"""),0.0)</f>
        <v>0</v>
      </c>
      <c r="C135" s="245"/>
      <c r="D135" s="261">
        <f>IFERROR(__xludf.DUMMYFUNCTION("""COMPUTED_VALUE"""),30.0)</f>
        <v>30</v>
      </c>
      <c r="E135" s="245"/>
      <c r="F135" s="245"/>
      <c r="G135" s="245"/>
      <c r="H135" s="245"/>
      <c r="I135" s="245"/>
      <c r="J135" s="245"/>
      <c r="K135" s="265"/>
      <c r="L135" s="245"/>
      <c r="M135" s="245"/>
      <c r="N135" s="245"/>
      <c r="O135" s="245"/>
      <c r="P135" s="245"/>
      <c r="Q135" s="247"/>
      <c r="R135" s="254"/>
      <c r="S135" s="245"/>
      <c r="T135" s="245"/>
      <c r="U135" s="245"/>
      <c r="V135" s="245"/>
      <c r="W135" s="245"/>
      <c r="X135" s="245"/>
      <c r="Y135" s="249"/>
      <c r="Z135" s="276"/>
      <c r="AA135" s="245"/>
      <c r="AB135" s="276"/>
      <c r="AC135" s="276"/>
      <c r="AD135" s="246"/>
      <c r="AE135" s="278"/>
      <c r="AF135" s="370"/>
      <c r="AG135" s="371"/>
      <c r="AH135" s="276"/>
      <c r="AI135" s="245"/>
      <c r="AJ135" s="287"/>
      <c r="AK135" s="278"/>
      <c r="AL135" s="246"/>
      <c r="AM135" s="245"/>
      <c r="AN135" s="245"/>
      <c r="AO135" s="274"/>
      <c r="AP135" s="245"/>
      <c r="AQ135" s="245"/>
      <c r="AR135" s="246"/>
      <c r="AS135" s="245"/>
      <c r="AT135" s="245"/>
      <c r="AU135" s="245"/>
      <c r="AV135" s="245"/>
      <c r="AW135" s="245"/>
      <c r="AX135" s="246"/>
      <c r="AY135" s="245"/>
      <c r="AZ135" s="245"/>
      <c r="BA135" s="246"/>
      <c r="BB135" s="245"/>
      <c r="BC135" s="245"/>
      <c r="BD135" s="245"/>
      <c r="BE135" s="245"/>
      <c r="BF135" s="245"/>
      <c r="BG135" s="245"/>
      <c r="BH135" s="245"/>
      <c r="BI135" s="245"/>
      <c r="BJ135" s="245"/>
      <c r="BK135" s="245"/>
      <c r="BL135" s="245"/>
      <c r="BM135" s="245"/>
      <c r="BN135" s="245"/>
      <c r="BO135" s="245"/>
      <c r="BP135" s="245"/>
      <c r="BQ135" s="245"/>
      <c r="BR135" s="245"/>
      <c r="BS135" s="245"/>
      <c r="BT135" s="246"/>
      <c r="BU135" s="245"/>
      <c r="BV135" s="245"/>
      <c r="BW135" s="245"/>
      <c r="BX135" s="245"/>
      <c r="BY135" s="245"/>
      <c r="BZ135" s="282"/>
      <c r="CA135" s="245"/>
      <c r="CB135" s="245"/>
      <c r="CC135" s="245"/>
      <c r="CD135" s="245"/>
      <c r="CE135" s="245"/>
      <c r="CF135" s="245"/>
    </row>
    <row r="136">
      <c r="A136" s="259" t="str">
        <f>IFERROR(__xludf.DUMMYFUNCTION("""COMPUTED_VALUE"""),"Ray Enemy Health")</f>
        <v>Ray Enemy Health</v>
      </c>
      <c r="B136" s="260">
        <f>IFERROR(__xludf.DUMMYFUNCTION("""COMPUTED_VALUE"""),0.0)</f>
        <v>0</v>
      </c>
      <c r="C136" s="245"/>
      <c r="D136" s="261">
        <f>IFERROR(__xludf.DUMMYFUNCTION("""COMPUTED_VALUE"""),30.0)</f>
        <v>30</v>
      </c>
      <c r="E136" s="245"/>
      <c r="F136" s="245"/>
      <c r="G136" s="245"/>
      <c r="H136" s="245"/>
      <c r="I136" s="245"/>
      <c r="J136" s="245"/>
      <c r="K136" s="265"/>
      <c r="L136" s="245"/>
      <c r="M136" s="245"/>
      <c r="N136" s="245"/>
      <c r="O136" s="245"/>
      <c r="P136" s="245"/>
      <c r="Q136" s="247"/>
      <c r="R136" s="254"/>
      <c r="S136" s="245"/>
      <c r="T136" s="245"/>
      <c r="U136" s="245"/>
      <c r="V136" s="245"/>
      <c r="W136" s="245"/>
      <c r="X136" s="245"/>
      <c r="Y136" s="249"/>
      <c r="Z136" s="276"/>
      <c r="AA136" s="245"/>
      <c r="AB136" s="276"/>
      <c r="AC136" s="276"/>
      <c r="AD136" s="246"/>
      <c r="AE136" s="278"/>
      <c r="AF136" s="370"/>
      <c r="AG136" s="371"/>
      <c r="AH136" s="276"/>
      <c r="AI136" s="245"/>
      <c r="AJ136" s="287"/>
      <c r="AK136" s="278"/>
      <c r="AL136" s="246"/>
      <c r="AM136" s="245"/>
      <c r="AN136" s="245"/>
      <c r="AO136" s="274"/>
      <c r="AP136" s="245"/>
      <c r="AQ136" s="245"/>
      <c r="AR136" s="246"/>
      <c r="AS136" s="245"/>
      <c r="AT136" s="245"/>
      <c r="AU136" s="245"/>
      <c r="AV136" s="245"/>
      <c r="AW136" s="245"/>
      <c r="AX136" s="246"/>
      <c r="AY136" s="245"/>
      <c r="AZ136" s="245"/>
      <c r="BA136" s="246"/>
      <c r="BB136" s="245"/>
      <c r="BC136" s="245"/>
      <c r="BD136" s="245"/>
      <c r="BE136" s="245"/>
      <c r="BF136" s="245"/>
      <c r="BG136" s="245"/>
      <c r="BH136" s="245"/>
      <c r="BI136" s="245"/>
      <c r="BJ136" s="245"/>
      <c r="BK136" s="245"/>
      <c r="BL136" s="245"/>
      <c r="BM136" s="245"/>
      <c r="BN136" s="245"/>
      <c r="BO136" s="245"/>
      <c r="BP136" s="245"/>
      <c r="BQ136" s="245"/>
      <c r="BR136" s="245"/>
      <c r="BS136" s="245"/>
      <c r="BT136" s="246"/>
      <c r="BU136" s="245"/>
      <c r="BV136" s="245"/>
      <c r="BW136" s="245"/>
      <c r="BX136" s="245"/>
      <c r="BY136" s="245"/>
      <c r="BZ136" s="282"/>
      <c r="CA136" s="245"/>
      <c r="CB136" s="245"/>
      <c r="CC136" s="245"/>
      <c r="CD136" s="245"/>
      <c r="CE136" s="245"/>
      <c r="CF136" s="245"/>
    </row>
    <row r="137">
      <c r="A137" s="259" t="str">
        <f>IFERROR(__xludf.DUMMYFUNCTION("""COMPUTED_VALUE"""),"Vampire Enemy Attack")</f>
        <v>Vampire Enemy Attack</v>
      </c>
      <c r="B137" s="260">
        <f>IFERROR(__xludf.DUMMYFUNCTION("""COMPUTED_VALUE"""),0.0)</f>
        <v>0</v>
      </c>
      <c r="C137" s="245"/>
      <c r="D137" s="261">
        <f>IFERROR(__xludf.DUMMYFUNCTION("""COMPUTED_VALUE"""),30.0)</f>
        <v>30</v>
      </c>
      <c r="E137" s="245"/>
      <c r="F137" s="245"/>
      <c r="G137" s="245"/>
      <c r="H137" s="245"/>
      <c r="I137" s="245"/>
      <c r="J137" s="245"/>
      <c r="K137" s="265"/>
      <c r="L137" s="245"/>
      <c r="M137" s="245"/>
      <c r="N137" s="245"/>
      <c r="O137" s="245"/>
      <c r="P137" s="245"/>
      <c r="Q137" s="247"/>
      <c r="R137" s="254"/>
      <c r="S137" s="245"/>
      <c r="T137" s="245"/>
      <c r="U137" s="245"/>
      <c r="V137" s="245"/>
      <c r="W137" s="245"/>
      <c r="X137" s="245"/>
      <c r="Y137" s="249"/>
      <c r="Z137" s="276"/>
      <c r="AA137" s="245"/>
      <c r="AB137" s="276"/>
      <c r="AC137" s="276"/>
      <c r="AD137" s="246"/>
      <c r="AE137" s="278"/>
      <c r="AF137" s="370"/>
      <c r="AG137" s="371"/>
      <c r="AH137" s="276"/>
      <c r="AI137" s="245"/>
      <c r="AJ137" s="287"/>
      <c r="AK137" s="278"/>
      <c r="AL137" s="246"/>
      <c r="AM137" s="245"/>
      <c r="AN137" s="245"/>
      <c r="AO137" s="274"/>
      <c r="AP137" s="245"/>
      <c r="AQ137" s="245"/>
      <c r="AR137" s="246"/>
      <c r="AS137" s="245"/>
      <c r="AT137" s="245"/>
      <c r="AU137" s="245"/>
      <c r="AV137" s="245"/>
      <c r="AW137" s="245"/>
      <c r="AX137" s="246"/>
      <c r="AY137" s="245"/>
      <c r="AZ137" s="245"/>
      <c r="BA137" s="246"/>
      <c r="BB137" s="245"/>
      <c r="BC137" s="245"/>
      <c r="BD137" s="245"/>
      <c r="BE137" s="245"/>
      <c r="BF137" s="245"/>
      <c r="BG137" s="245"/>
      <c r="BH137" s="245"/>
      <c r="BI137" s="245"/>
      <c r="BJ137" s="245"/>
      <c r="BK137" s="245"/>
      <c r="BL137" s="245"/>
      <c r="BM137" s="245"/>
      <c r="BN137" s="245"/>
      <c r="BO137" s="245"/>
      <c r="BP137" s="245"/>
      <c r="BQ137" s="245"/>
      <c r="BR137" s="245"/>
      <c r="BS137" s="245"/>
      <c r="BT137" s="246"/>
      <c r="BU137" s="245"/>
      <c r="BV137" s="245"/>
      <c r="BW137" s="245"/>
      <c r="BX137" s="245"/>
      <c r="BY137" s="245"/>
      <c r="BZ137" s="282"/>
      <c r="CA137" s="245"/>
      <c r="CB137" s="245"/>
      <c r="CC137" s="245"/>
      <c r="CD137" s="245"/>
      <c r="CE137" s="245"/>
      <c r="CF137" s="245"/>
    </row>
    <row r="138">
      <c r="A138" s="259" t="str">
        <f>IFERROR(__xludf.DUMMYFUNCTION("""COMPUTED_VALUE"""),"Vampire Enemy Health")</f>
        <v>Vampire Enemy Health</v>
      </c>
      <c r="B138" s="260">
        <f>IFERROR(__xludf.DUMMYFUNCTION("""COMPUTED_VALUE"""),0.0)</f>
        <v>0</v>
      </c>
      <c r="C138" s="245"/>
      <c r="D138" s="261">
        <f>IFERROR(__xludf.DUMMYFUNCTION("""COMPUTED_VALUE"""),30.0)</f>
        <v>30</v>
      </c>
      <c r="E138" s="245"/>
      <c r="F138" s="245"/>
      <c r="G138" s="245"/>
      <c r="H138" s="245"/>
      <c r="I138" s="245"/>
      <c r="J138" s="245"/>
      <c r="K138" s="265"/>
      <c r="L138" s="245"/>
      <c r="M138" s="245"/>
      <c r="N138" s="245"/>
      <c r="O138" s="245"/>
      <c r="P138" s="245"/>
      <c r="Q138" s="247"/>
      <c r="R138" s="254"/>
      <c r="S138" s="245"/>
      <c r="T138" s="245"/>
      <c r="U138" s="245"/>
      <c r="V138" s="245"/>
      <c r="W138" s="245"/>
      <c r="X138" s="245"/>
      <c r="Y138" s="249"/>
      <c r="Z138" s="276"/>
      <c r="AA138" s="245"/>
      <c r="AB138" s="276"/>
      <c r="AC138" s="276"/>
      <c r="AD138" s="246"/>
      <c r="AE138" s="278"/>
      <c r="AF138" s="370"/>
      <c r="AG138" s="371"/>
      <c r="AH138" s="276"/>
      <c r="AI138" s="245"/>
      <c r="AJ138" s="287"/>
      <c r="AK138" s="278"/>
      <c r="AL138" s="246"/>
      <c r="AM138" s="245"/>
      <c r="AN138" s="245"/>
      <c r="AO138" s="274"/>
      <c r="AP138" s="245"/>
      <c r="AQ138" s="245"/>
      <c r="AR138" s="246"/>
      <c r="AS138" s="245"/>
      <c r="AT138" s="245"/>
      <c r="AU138" s="245"/>
      <c r="AV138" s="245"/>
      <c r="AW138" s="245"/>
      <c r="AX138" s="246"/>
      <c r="AY138" s="245"/>
      <c r="AZ138" s="245"/>
      <c r="BA138" s="246"/>
      <c r="BB138" s="245"/>
      <c r="BC138" s="245"/>
      <c r="BD138" s="245"/>
      <c r="BE138" s="245"/>
      <c r="BF138" s="245"/>
      <c r="BG138" s="245"/>
      <c r="BH138" s="245"/>
      <c r="BI138" s="245"/>
      <c r="BJ138" s="245"/>
      <c r="BK138" s="245"/>
      <c r="BL138" s="245"/>
      <c r="BM138" s="245"/>
      <c r="BN138" s="245"/>
      <c r="BO138" s="245"/>
      <c r="BP138" s="245"/>
      <c r="BQ138" s="245"/>
      <c r="BR138" s="245"/>
      <c r="BS138" s="245"/>
      <c r="BT138" s="246"/>
      <c r="BU138" s="245"/>
      <c r="BV138" s="245"/>
      <c r="BW138" s="245"/>
      <c r="BX138" s="245"/>
      <c r="BY138" s="245"/>
      <c r="BZ138" s="282"/>
      <c r="CA138" s="245"/>
      <c r="CB138" s="245"/>
      <c r="CC138" s="245"/>
      <c r="CD138" s="245"/>
      <c r="CE138" s="245"/>
      <c r="CF138" s="245"/>
    </row>
    <row r="139">
      <c r="A139" s="259" t="str">
        <f>IFERROR(__xludf.DUMMYFUNCTION("""COMPUTED_VALUE"""),"Scatter Enemy Attack")</f>
        <v>Scatter Enemy Attack</v>
      </c>
      <c r="B139" s="260">
        <f>IFERROR(__xludf.DUMMYFUNCTION("""COMPUTED_VALUE"""),0.0)</f>
        <v>0</v>
      </c>
      <c r="C139" s="245"/>
      <c r="D139" s="261">
        <f>IFERROR(__xludf.DUMMYFUNCTION("""COMPUTED_VALUE"""),30.0)</f>
        <v>30</v>
      </c>
      <c r="E139" s="245"/>
      <c r="F139" s="245"/>
      <c r="G139" s="245"/>
      <c r="H139" s="245"/>
      <c r="I139" s="245"/>
      <c r="J139" s="245"/>
      <c r="K139" s="265"/>
      <c r="L139" s="245"/>
      <c r="M139" s="245"/>
      <c r="N139" s="245"/>
      <c r="O139" s="245"/>
      <c r="P139" s="245"/>
      <c r="Q139" s="247"/>
      <c r="R139" s="254"/>
      <c r="S139" s="245"/>
      <c r="T139" s="245"/>
      <c r="U139" s="245"/>
      <c r="V139" s="245"/>
      <c r="W139" s="245"/>
      <c r="X139" s="245"/>
      <c r="Y139" s="249"/>
      <c r="Z139" s="276"/>
      <c r="AA139" s="245"/>
      <c r="AB139" s="276"/>
      <c r="AC139" s="276"/>
      <c r="AD139" s="246"/>
      <c r="AE139" s="278"/>
      <c r="AF139" s="370"/>
      <c r="AG139" s="371"/>
      <c r="AH139" s="276"/>
      <c r="AI139" s="245"/>
      <c r="AJ139" s="287"/>
      <c r="AK139" s="278"/>
      <c r="AL139" s="246"/>
      <c r="AM139" s="245"/>
      <c r="AN139" s="245"/>
      <c r="AO139" s="274"/>
      <c r="AP139" s="245"/>
      <c r="AQ139" s="245"/>
      <c r="AR139" s="246"/>
      <c r="AS139" s="245"/>
      <c r="AT139" s="245"/>
      <c r="AU139" s="245"/>
      <c r="AV139" s="245"/>
      <c r="AW139" s="245"/>
      <c r="AX139" s="246"/>
      <c r="AY139" s="245"/>
      <c r="AZ139" s="245"/>
      <c r="BA139" s="246"/>
      <c r="BB139" s="245"/>
      <c r="BC139" s="245"/>
      <c r="BD139" s="245"/>
      <c r="BE139" s="245"/>
      <c r="BF139" s="245"/>
      <c r="BG139" s="245"/>
      <c r="BH139" s="245"/>
      <c r="BI139" s="245"/>
      <c r="BJ139" s="245"/>
      <c r="BK139" s="245"/>
      <c r="BL139" s="245"/>
      <c r="BM139" s="245"/>
      <c r="BN139" s="245"/>
      <c r="BO139" s="245"/>
      <c r="BP139" s="245"/>
      <c r="BQ139" s="245"/>
      <c r="BR139" s="245"/>
      <c r="BS139" s="245"/>
      <c r="BT139" s="246"/>
      <c r="BU139" s="245"/>
      <c r="BV139" s="245"/>
      <c r="BW139" s="245"/>
      <c r="BX139" s="245"/>
      <c r="BY139" s="245"/>
      <c r="BZ139" s="282"/>
      <c r="CA139" s="245"/>
      <c r="CB139" s="245"/>
      <c r="CC139" s="245"/>
      <c r="CD139" s="245"/>
      <c r="CE139" s="245"/>
      <c r="CF139" s="245"/>
    </row>
    <row r="140">
      <c r="A140" s="259" t="str">
        <f>IFERROR(__xludf.DUMMYFUNCTION("""COMPUTED_VALUE"""),"Scatter Enemy Health")</f>
        <v>Scatter Enemy Health</v>
      </c>
      <c r="B140" s="260">
        <f>IFERROR(__xludf.DUMMYFUNCTION("""COMPUTED_VALUE"""),0.0)</f>
        <v>0</v>
      </c>
      <c r="C140" s="245"/>
      <c r="D140" s="261">
        <f>IFERROR(__xludf.DUMMYFUNCTION("""COMPUTED_VALUE"""),30.0)</f>
        <v>30</v>
      </c>
      <c r="E140" s="245"/>
      <c r="F140" s="245"/>
      <c r="G140" s="245"/>
      <c r="H140" s="245"/>
      <c r="I140" s="245"/>
      <c r="J140" s="245"/>
      <c r="K140" s="265"/>
      <c r="L140" s="245"/>
      <c r="M140" s="245"/>
      <c r="N140" s="245"/>
      <c r="O140" s="245"/>
      <c r="P140" s="245"/>
      <c r="Q140" s="247"/>
      <c r="R140" s="254"/>
      <c r="S140" s="245"/>
      <c r="T140" s="245"/>
      <c r="U140" s="245"/>
      <c r="V140" s="245"/>
      <c r="W140" s="245"/>
      <c r="X140" s="245"/>
      <c r="Y140" s="249"/>
      <c r="Z140" s="276"/>
      <c r="AA140" s="245"/>
      <c r="AB140" s="276"/>
      <c r="AC140" s="276"/>
      <c r="AD140" s="246"/>
      <c r="AE140" s="278"/>
      <c r="AF140" s="370"/>
      <c r="AG140" s="371"/>
      <c r="AH140" s="276"/>
      <c r="AI140" s="245"/>
      <c r="AJ140" s="287"/>
      <c r="AK140" s="278"/>
      <c r="AL140" s="246"/>
      <c r="AM140" s="245"/>
      <c r="AN140" s="245"/>
      <c r="AO140" s="274"/>
      <c r="AP140" s="245"/>
      <c r="AQ140" s="245"/>
      <c r="AR140" s="246"/>
      <c r="AS140" s="245"/>
      <c r="AT140" s="245"/>
      <c r="AU140" s="245"/>
      <c r="AV140" s="245"/>
      <c r="AW140" s="245"/>
      <c r="AX140" s="246"/>
      <c r="AY140" s="245"/>
      <c r="AZ140" s="245"/>
      <c r="BA140" s="246"/>
      <c r="BB140" s="245"/>
      <c r="BC140" s="245"/>
      <c r="BD140" s="245"/>
      <c r="BE140" s="245"/>
      <c r="BF140" s="245"/>
      <c r="BG140" s="245"/>
      <c r="BH140" s="245"/>
      <c r="BI140" s="245"/>
      <c r="BJ140" s="245"/>
      <c r="BK140" s="245"/>
      <c r="BL140" s="245"/>
      <c r="BM140" s="245"/>
      <c r="BN140" s="245"/>
      <c r="BO140" s="245"/>
      <c r="BP140" s="245"/>
      <c r="BQ140" s="245"/>
      <c r="BR140" s="245"/>
      <c r="BS140" s="245"/>
      <c r="BT140" s="246"/>
      <c r="BU140" s="245"/>
      <c r="BV140" s="245"/>
      <c r="BW140" s="245"/>
      <c r="BX140" s="245"/>
      <c r="BY140" s="245"/>
      <c r="BZ140" s="282"/>
      <c r="CA140" s="245"/>
      <c r="CB140" s="245"/>
      <c r="CC140" s="245"/>
      <c r="CD140" s="245"/>
      <c r="CE140" s="245"/>
      <c r="CF140" s="245"/>
    </row>
    <row r="141">
      <c r="A141" s="259" t="str">
        <f>IFERROR(__xludf.DUMMYFUNCTION("""COMPUTED_VALUE"""),"Ranged Enemy Range")</f>
        <v>Ranged Enemy Range</v>
      </c>
      <c r="B141" s="260">
        <f>IFERROR(__xludf.DUMMYFUNCTION("""COMPUTED_VALUE"""),0.0)</f>
        <v>0</v>
      </c>
      <c r="C141" s="245"/>
      <c r="D141" s="261">
        <f>IFERROR(__xludf.DUMMYFUNCTION("""COMPUTED_VALUE"""),30.0)</f>
        <v>30</v>
      </c>
      <c r="E141" s="245"/>
      <c r="F141" s="245"/>
      <c r="G141" s="245"/>
      <c r="H141" s="245"/>
      <c r="I141" s="245"/>
      <c r="J141" s="245"/>
      <c r="K141" s="265"/>
      <c r="L141" s="245"/>
      <c r="M141" s="245"/>
      <c r="N141" s="245"/>
      <c r="O141" s="245"/>
      <c r="P141" s="245"/>
      <c r="Q141" s="247"/>
      <c r="R141" s="254"/>
      <c r="S141" s="245"/>
      <c r="T141" s="245"/>
      <c r="U141" s="245"/>
      <c r="V141" s="245"/>
      <c r="W141" s="245"/>
      <c r="X141" s="245"/>
      <c r="Y141" s="249"/>
      <c r="Z141" s="276"/>
      <c r="AA141" s="245"/>
      <c r="AB141" s="276"/>
      <c r="AC141" s="276"/>
      <c r="AD141" s="246"/>
      <c r="AE141" s="278"/>
      <c r="AF141" s="370"/>
      <c r="AG141" s="371"/>
      <c r="AH141" s="276"/>
      <c r="AI141" s="245"/>
      <c r="AJ141" s="287"/>
      <c r="AK141" s="278"/>
      <c r="AL141" s="246"/>
      <c r="AM141" s="245"/>
      <c r="AN141" s="245"/>
      <c r="AO141" s="274"/>
      <c r="AP141" s="245"/>
      <c r="AQ141" s="245"/>
      <c r="AR141" s="246"/>
      <c r="AS141" s="245"/>
      <c r="AT141" s="245"/>
      <c r="AU141" s="245"/>
      <c r="AV141" s="245"/>
      <c r="AW141" s="245"/>
      <c r="AX141" s="246"/>
      <c r="AY141" s="245"/>
      <c r="AZ141" s="245"/>
      <c r="BA141" s="246"/>
      <c r="BB141" s="245"/>
      <c r="BC141" s="245"/>
      <c r="BD141" s="245"/>
      <c r="BE141" s="245"/>
      <c r="BF141" s="245"/>
      <c r="BG141" s="245"/>
      <c r="BH141" s="245"/>
      <c r="BI141" s="245"/>
      <c r="BJ141" s="245"/>
      <c r="BK141" s="245"/>
      <c r="BL141" s="245"/>
      <c r="BM141" s="245"/>
      <c r="BN141" s="245"/>
      <c r="BO141" s="245"/>
      <c r="BP141" s="245"/>
      <c r="BQ141" s="245"/>
      <c r="BR141" s="245"/>
      <c r="BS141" s="245"/>
      <c r="BT141" s="246"/>
      <c r="BU141" s="245"/>
      <c r="BV141" s="245"/>
      <c r="BW141" s="245"/>
      <c r="BX141" s="245"/>
      <c r="BY141" s="245"/>
      <c r="BZ141" s="282"/>
      <c r="CA141" s="245"/>
      <c r="CB141" s="245"/>
      <c r="CC141" s="245"/>
      <c r="CD141" s="245"/>
      <c r="CE141" s="245"/>
      <c r="CF141" s="245"/>
    </row>
    <row r="142">
      <c r="A142" s="259" t="str">
        <f>IFERROR(__xludf.DUMMYFUNCTION("""COMPUTED_VALUE"""),"Common Drop Chance")</f>
        <v>Common Drop Chance</v>
      </c>
      <c r="B142" s="260">
        <f>IFERROR(__xludf.DUMMYFUNCTION("""COMPUTED_VALUE"""),10.0)</f>
        <v>10</v>
      </c>
      <c r="C142" s="245"/>
      <c r="D142" s="261">
        <f>IFERROR(__xludf.DUMMYFUNCTION("""COMPUTED_VALUE"""),10.0)</f>
        <v>10</v>
      </c>
      <c r="E142" s="245"/>
      <c r="F142" s="245"/>
      <c r="G142" s="245"/>
      <c r="H142" s="245"/>
      <c r="I142" s="245"/>
      <c r="J142" s="245"/>
      <c r="K142" s="265"/>
      <c r="L142" s="245"/>
      <c r="M142" s="245"/>
      <c r="N142" s="245"/>
      <c r="O142" s="245"/>
      <c r="P142" s="245"/>
      <c r="Q142" s="247"/>
      <c r="R142" s="254"/>
      <c r="S142" s="245"/>
      <c r="T142" s="245"/>
      <c r="U142" s="245"/>
      <c r="V142" s="245"/>
      <c r="W142" s="245"/>
      <c r="X142" s="245"/>
      <c r="Y142" s="249"/>
      <c r="Z142" s="276"/>
      <c r="AA142" s="245"/>
      <c r="AB142" s="276"/>
      <c r="AC142" s="276"/>
      <c r="AD142" s="246"/>
      <c r="AE142" s="278"/>
      <c r="AF142" s="370"/>
      <c r="AG142" s="371"/>
      <c r="AH142" s="276"/>
      <c r="AI142" s="245"/>
      <c r="AJ142" s="287"/>
      <c r="AK142" s="278"/>
      <c r="AL142" s="246"/>
      <c r="AM142" s="245"/>
      <c r="AN142" s="245"/>
      <c r="AO142" s="274"/>
      <c r="AP142" s="245"/>
      <c r="AQ142" s="245"/>
      <c r="AR142" s="246"/>
      <c r="AS142" s="245"/>
      <c r="AT142" s="245"/>
      <c r="AU142" s="245"/>
      <c r="AV142" s="245"/>
      <c r="AW142" s="245"/>
      <c r="AX142" s="246"/>
      <c r="AY142" s="245"/>
      <c r="AZ142" s="245"/>
      <c r="BA142" s="246"/>
      <c r="BB142" s="245"/>
      <c r="BC142" s="245"/>
      <c r="BD142" s="245"/>
      <c r="BE142" s="245"/>
      <c r="BF142" s="245"/>
      <c r="BG142" s="245"/>
      <c r="BH142" s="245"/>
      <c r="BI142" s="245"/>
      <c r="BJ142" s="245"/>
      <c r="BK142" s="245"/>
      <c r="BL142" s="245"/>
      <c r="BM142" s="245"/>
      <c r="BN142" s="245"/>
      <c r="BO142" s="245"/>
      <c r="BP142" s="245"/>
      <c r="BQ142" s="245"/>
      <c r="BR142" s="245"/>
      <c r="BS142" s="245"/>
      <c r="BT142" s="246"/>
      <c r="BU142" s="245"/>
      <c r="BV142" s="245"/>
      <c r="BW142" s="245"/>
      <c r="BX142" s="245"/>
      <c r="BY142" s="245"/>
      <c r="BZ142" s="282"/>
      <c r="CA142" s="245"/>
      <c r="CB142" s="245"/>
      <c r="CC142" s="245"/>
      <c r="CD142" s="245"/>
      <c r="CE142" s="245"/>
      <c r="CF142" s="245"/>
    </row>
    <row r="143">
      <c r="A143" s="259" t="str">
        <f>IFERROR(__xludf.DUMMYFUNCTION("""COMPUTED_VALUE"""),"Reroll Shards")</f>
        <v>Reroll Shards</v>
      </c>
      <c r="B143" s="260">
        <f>IFERROR(__xludf.DUMMYFUNCTION("""COMPUTED_VALUE"""),100.0)</f>
        <v>100</v>
      </c>
      <c r="C143" s="245">
        <f>IFERROR(__xludf.DUMMYFUNCTION("""COMPUTED_VALUE"""),100.0)</f>
        <v>100</v>
      </c>
      <c r="D143" s="261">
        <f>IFERROR(__xludf.DUMMYFUNCTION("""COMPUTED_VALUE"""),100.0)</f>
        <v>100</v>
      </c>
      <c r="E143" s="245"/>
      <c r="F143" s="245"/>
      <c r="G143" s="245"/>
      <c r="H143" s="245"/>
      <c r="I143" s="245"/>
      <c r="J143" s="245"/>
      <c r="K143" s="265"/>
      <c r="L143" s="245"/>
      <c r="M143" s="245"/>
      <c r="N143" s="245"/>
      <c r="O143" s="245"/>
      <c r="P143" s="245"/>
      <c r="Q143" s="247"/>
      <c r="R143" s="254"/>
      <c r="S143" s="245"/>
      <c r="T143" s="245"/>
      <c r="U143" s="245"/>
      <c r="V143" s="245"/>
      <c r="W143" s="245"/>
      <c r="X143" s="245"/>
      <c r="Y143" s="249"/>
      <c r="Z143" s="276"/>
      <c r="AA143" s="245"/>
      <c r="AB143" s="276"/>
      <c r="AC143" s="276"/>
      <c r="AD143" s="246"/>
      <c r="AE143" s="278"/>
      <c r="AF143" s="370"/>
      <c r="AG143" s="371"/>
      <c r="AH143" s="276"/>
      <c r="AI143" s="245"/>
      <c r="AJ143" s="287"/>
      <c r="AK143" s="278"/>
      <c r="AL143" s="246"/>
      <c r="AM143" s="245"/>
      <c r="AN143" s="245"/>
      <c r="AO143" s="274"/>
      <c r="AP143" s="245"/>
      <c r="AQ143" s="245"/>
      <c r="AR143" s="246"/>
      <c r="AS143" s="245"/>
      <c r="AT143" s="245"/>
      <c r="AU143" s="245"/>
      <c r="AV143" s="245"/>
      <c r="AW143" s="245"/>
      <c r="AX143" s="246"/>
      <c r="AY143" s="245"/>
      <c r="AZ143" s="245"/>
      <c r="BA143" s="246"/>
      <c r="BB143" s="245"/>
      <c r="BC143" s="245"/>
      <c r="BD143" s="245"/>
      <c r="BE143" s="245"/>
      <c r="BF143" s="245"/>
      <c r="BG143" s="245"/>
      <c r="BH143" s="245"/>
      <c r="BI143" s="245"/>
      <c r="BJ143" s="245"/>
      <c r="BK143" s="245"/>
      <c r="BL143" s="245"/>
      <c r="BM143" s="245"/>
      <c r="BN143" s="245"/>
      <c r="BO143" s="245"/>
      <c r="BP143" s="245"/>
      <c r="BQ143" s="245"/>
      <c r="BR143" s="245"/>
      <c r="BS143" s="245"/>
      <c r="BT143" s="246"/>
      <c r="BU143" s="245"/>
      <c r="BV143" s="245"/>
      <c r="BW143" s="245"/>
      <c r="BX143" s="245"/>
      <c r="BY143" s="245"/>
      <c r="BZ143" s="282"/>
      <c r="CA143" s="245"/>
      <c r="CB143" s="245"/>
      <c r="CC143" s="245"/>
      <c r="CD143" s="245"/>
      <c r="CE143" s="245"/>
      <c r="CF143" s="245"/>
    </row>
    <row r="144">
      <c r="A144" s="259" t="str">
        <f>IFERROR(__xludf.DUMMYFUNCTION("""COMPUTED_VALUE"""),"Daily Mission Shards")</f>
        <v>Daily Mission Shards</v>
      </c>
      <c r="B144" s="260">
        <f>IFERROR(__xludf.DUMMYFUNCTION("""COMPUTED_VALUE"""),50.0)</f>
        <v>50</v>
      </c>
      <c r="C144" s="245">
        <f>IFERROR(__xludf.DUMMYFUNCTION("""COMPUTED_VALUE"""),50.0)</f>
        <v>50</v>
      </c>
      <c r="D144" s="261">
        <f>IFERROR(__xludf.DUMMYFUNCTION("""COMPUTED_VALUE"""),50.0)</f>
        <v>50</v>
      </c>
      <c r="E144" s="245"/>
      <c r="F144" s="245"/>
      <c r="G144" s="245"/>
      <c r="H144" s="245"/>
      <c r="I144" s="245"/>
      <c r="J144" s="245"/>
      <c r="K144" s="265"/>
      <c r="L144" s="245"/>
      <c r="M144" s="245"/>
      <c r="N144" s="245"/>
      <c r="O144" s="245"/>
      <c r="P144" s="245"/>
      <c r="Q144" s="247"/>
      <c r="R144" s="254"/>
      <c r="S144" s="245"/>
      <c r="T144" s="245"/>
      <c r="U144" s="245"/>
      <c r="V144" s="245"/>
      <c r="W144" s="245"/>
      <c r="X144" s="245"/>
      <c r="Y144" s="249"/>
      <c r="Z144" s="276"/>
      <c r="AA144" s="245"/>
      <c r="AB144" s="276"/>
      <c r="AC144" s="276"/>
      <c r="AD144" s="246"/>
      <c r="AE144" s="278"/>
      <c r="AF144" s="370"/>
      <c r="AG144" s="371"/>
      <c r="AH144" s="276"/>
      <c r="AI144" s="245"/>
      <c r="AJ144" s="287"/>
      <c r="AK144" s="278"/>
      <c r="AL144" s="246"/>
      <c r="AM144" s="245"/>
      <c r="AN144" s="245"/>
      <c r="AO144" s="274"/>
      <c r="AP144" s="245"/>
      <c r="AQ144" s="245"/>
      <c r="AR144" s="246"/>
      <c r="AS144" s="245"/>
      <c r="AT144" s="245"/>
      <c r="AU144" s="245"/>
      <c r="AV144" s="245"/>
      <c r="AW144" s="245"/>
      <c r="AX144" s="246"/>
      <c r="AY144" s="245"/>
      <c r="AZ144" s="245"/>
      <c r="BA144" s="246"/>
      <c r="BB144" s="245"/>
      <c r="BC144" s="245"/>
      <c r="BD144" s="245"/>
      <c r="BE144" s="245"/>
      <c r="BF144" s="245"/>
      <c r="BG144" s="245"/>
      <c r="BH144" s="245"/>
      <c r="BI144" s="245"/>
      <c r="BJ144" s="245"/>
      <c r="BK144" s="245"/>
      <c r="BL144" s="245"/>
      <c r="BM144" s="245"/>
      <c r="BN144" s="245"/>
      <c r="BO144" s="245"/>
      <c r="BP144" s="245"/>
      <c r="BQ144" s="245"/>
      <c r="BR144" s="245"/>
      <c r="BS144" s="245"/>
      <c r="BT144" s="246"/>
      <c r="BU144" s="245"/>
      <c r="BV144" s="245"/>
      <c r="BW144" s="245"/>
      <c r="BX144" s="245"/>
      <c r="BY144" s="245"/>
      <c r="BZ144" s="282"/>
      <c r="CA144" s="245"/>
      <c r="CB144" s="245"/>
      <c r="CC144" s="245"/>
      <c r="CD144" s="245"/>
      <c r="CE144" s="245"/>
      <c r="CF144" s="245"/>
    </row>
    <row r="145">
      <c r="A145" s="310" t="str">
        <f>IFERROR(__xludf.DUMMYFUNCTION("""COMPUTED_VALUE"""),"Module Shards Cost")</f>
        <v>Module Shards Cost</v>
      </c>
      <c r="B145" s="260">
        <f>IFERROR(__xludf.DUMMYFUNCTION("""COMPUTED_VALUE"""),30.0)</f>
        <v>30</v>
      </c>
      <c r="C145" s="245"/>
      <c r="D145" s="261">
        <f>IFERROR(__xludf.DUMMYFUNCTION("""COMPUTED_VALUE"""),30.0)</f>
        <v>30</v>
      </c>
      <c r="E145" s="245"/>
      <c r="F145" s="245"/>
      <c r="G145" s="245"/>
      <c r="H145" s="245"/>
      <c r="I145" s="245"/>
      <c r="J145" s="245"/>
      <c r="K145" s="265"/>
      <c r="L145" s="245"/>
      <c r="M145" s="245"/>
      <c r="N145" s="245"/>
      <c r="O145" s="245"/>
      <c r="P145" s="245"/>
      <c r="Q145" s="247"/>
      <c r="R145" s="254"/>
      <c r="S145" s="245"/>
      <c r="T145" s="245"/>
      <c r="U145" s="245"/>
      <c r="V145" s="245"/>
      <c r="W145" s="245"/>
      <c r="X145" s="245"/>
      <c r="Y145" s="249"/>
      <c r="Z145" s="276"/>
      <c r="AA145" s="245"/>
      <c r="AB145" s="276"/>
      <c r="AC145" s="276"/>
      <c r="AD145" s="246"/>
      <c r="AE145" s="278"/>
      <c r="AF145" s="370"/>
      <c r="AG145" s="371"/>
      <c r="AH145" s="276"/>
      <c r="AI145" s="245"/>
      <c r="AJ145" s="287"/>
      <c r="AK145" s="278"/>
      <c r="AL145" s="246"/>
      <c r="AM145" s="245"/>
      <c r="AN145" s="245"/>
      <c r="AO145" s="274"/>
      <c r="AP145" s="245"/>
      <c r="AQ145" s="245"/>
      <c r="AR145" s="246"/>
      <c r="AS145" s="245"/>
      <c r="AT145" s="245"/>
      <c r="AU145" s="245"/>
      <c r="AV145" s="245"/>
      <c r="AW145" s="245"/>
      <c r="AX145" s="246"/>
      <c r="AY145" s="245"/>
      <c r="AZ145" s="245"/>
      <c r="BA145" s="246"/>
      <c r="BB145" s="245"/>
      <c r="BC145" s="245"/>
      <c r="BD145" s="245"/>
      <c r="BE145" s="245"/>
      <c r="BF145" s="245"/>
      <c r="BG145" s="245"/>
      <c r="BH145" s="245"/>
      <c r="BI145" s="245"/>
      <c r="BJ145" s="245"/>
      <c r="BK145" s="245"/>
      <c r="BL145" s="245"/>
      <c r="BM145" s="245"/>
      <c r="BN145" s="245"/>
      <c r="BO145" s="245"/>
      <c r="BP145" s="245"/>
      <c r="BQ145" s="245"/>
      <c r="BR145" s="245"/>
      <c r="BS145" s="245"/>
      <c r="BT145" s="246"/>
      <c r="BU145" s="245"/>
      <c r="BV145" s="245"/>
      <c r="BW145" s="245"/>
      <c r="BX145" s="245"/>
      <c r="BY145" s="245"/>
      <c r="BZ145" s="282"/>
      <c r="CA145" s="245"/>
      <c r="CB145" s="245"/>
      <c r="CC145" s="245"/>
      <c r="CD145" s="245"/>
      <c r="CE145" s="245"/>
      <c r="CF145" s="245"/>
    </row>
    <row r="146">
      <c r="A146" s="310" t="str">
        <f>IFERROR(__xludf.DUMMYFUNCTION("""COMPUTED_VALUE"""),"Module Coin Cost")</f>
        <v>Module Coin Cost</v>
      </c>
      <c r="B146" s="260">
        <f>IFERROR(__xludf.DUMMYFUNCTION("""COMPUTED_VALUE"""),23.0)</f>
        <v>23</v>
      </c>
      <c r="C146" s="245"/>
      <c r="D146" s="261">
        <f>IFERROR(__xludf.DUMMYFUNCTION("""COMPUTED_VALUE"""),30.0)</f>
        <v>30</v>
      </c>
      <c r="E146" s="245"/>
      <c r="F146" s="245"/>
      <c r="G146" s="245"/>
      <c r="H146" s="245"/>
      <c r="I146" s="245"/>
      <c r="J146" s="245"/>
      <c r="K146" s="265"/>
      <c r="L146" s="245"/>
      <c r="M146" s="245"/>
      <c r="N146" s="245"/>
      <c r="O146" s="245"/>
      <c r="P146" s="245"/>
      <c r="Q146" s="247"/>
      <c r="R146" s="254"/>
      <c r="S146" s="245"/>
      <c r="T146" s="245"/>
      <c r="U146" s="245"/>
      <c r="V146" s="245"/>
      <c r="W146" s="245"/>
      <c r="X146" s="245"/>
      <c r="Y146" s="249"/>
      <c r="Z146" s="276"/>
      <c r="AA146" s="245"/>
      <c r="AB146" s="276"/>
      <c r="AC146" s="276"/>
      <c r="AD146" s="246"/>
      <c r="AE146" s="278"/>
      <c r="AF146" s="370"/>
      <c r="AG146" s="371"/>
      <c r="AH146" s="276"/>
      <c r="AI146" s="245"/>
      <c r="AJ146" s="287"/>
      <c r="AK146" s="278"/>
      <c r="AL146" s="246"/>
      <c r="AM146" s="245"/>
      <c r="AN146" s="245"/>
      <c r="AO146" s="274"/>
      <c r="AP146" s="245"/>
      <c r="AQ146" s="245"/>
      <c r="AR146" s="246"/>
      <c r="AS146" s="245"/>
      <c r="AT146" s="245"/>
      <c r="AU146" s="245"/>
      <c r="AV146" s="245"/>
      <c r="AW146" s="245"/>
      <c r="AX146" s="246"/>
      <c r="AY146" s="245"/>
      <c r="AZ146" s="245"/>
      <c r="BA146" s="246"/>
      <c r="BB146" s="245"/>
      <c r="BC146" s="245"/>
      <c r="BD146" s="245"/>
      <c r="BE146" s="245"/>
      <c r="BF146" s="245"/>
      <c r="BG146" s="245"/>
      <c r="BH146" s="245"/>
      <c r="BI146" s="245"/>
      <c r="BJ146" s="245"/>
      <c r="BK146" s="245"/>
      <c r="BL146" s="245"/>
      <c r="BM146" s="245"/>
      <c r="BN146" s="245"/>
      <c r="BO146" s="245"/>
      <c r="BP146" s="245"/>
      <c r="BQ146" s="245"/>
      <c r="BR146" s="245"/>
      <c r="BS146" s="245"/>
      <c r="BT146" s="246"/>
      <c r="BU146" s="245"/>
      <c r="BV146" s="245"/>
      <c r="BW146" s="245"/>
      <c r="BX146" s="245"/>
      <c r="BY146" s="245"/>
      <c r="BZ146" s="282"/>
      <c r="CA146" s="245"/>
      <c r="CB146" s="245"/>
      <c r="CC146" s="245"/>
      <c r="CD146" s="245"/>
      <c r="CE146" s="245"/>
      <c r="CF146" s="245"/>
    </row>
    <row r="147">
      <c r="A147" s="310" t="str">
        <f>IFERROR(__xludf.DUMMYFUNCTION("""COMPUTED_VALUE"""),"Rare Drop Chance")</f>
        <v>Rare Drop Chance</v>
      </c>
      <c r="B147" s="260">
        <f>IFERROR(__xludf.DUMMYFUNCTION("""COMPUTED_VALUE"""),10.0)</f>
        <v>10</v>
      </c>
      <c r="C147" s="245">
        <f>IFERROR(__xludf.DUMMYFUNCTION("""COMPUTED_VALUE"""),10.0)</f>
        <v>10</v>
      </c>
      <c r="D147" s="261">
        <f>IFERROR(__xludf.DUMMYFUNCTION("""COMPUTED_VALUE"""),10.0)</f>
        <v>10</v>
      </c>
      <c r="E147" s="245"/>
      <c r="F147" s="245"/>
      <c r="G147" s="245"/>
      <c r="H147" s="245"/>
      <c r="I147" s="245"/>
      <c r="J147" s="245"/>
      <c r="K147" s="265"/>
      <c r="L147" s="245"/>
      <c r="M147" s="245"/>
      <c r="N147" s="245"/>
      <c r="O147" s="245"/>
      <c r="P147" s="245"/>
      <c r="Q147" s="247"/>
      <c r="R147" s="254"/>
      <c r="S147" s="245"/>
      <c r="T147" s="245"/>
      <c r="U147" s="245"/>
      <c r="V147" s="245"/>
      <c r="W147" s="245"/>
      <c r="X147" s="245"/>
      <c r="Y147" s="249"/>
      <c r="Z147" s="276"/>
      <c r="AA147" s="245"/>
      <c r="AB147" s="276"/>
      <c r="AC147" s="276"/>
      <c r="AD147" s="246"/>
      <c r="AE147" s="278"/>
      <c r="AF147" s="370"/>
      <c r="AG147" s="371"/>
      <c r="AH147" s="276"/>
      <c r="AI147" s="245"/>
      <c r="AJ147" s="287"/>
      <c r="AK147" s="278"/>
      <c r="AL147" s="246"/>
      <c r="AM147" s="245"/>
      <c r="AN147" s="245"/>
      <c r="AO147" s="274"/>
      <c r="AP147" s="245"/>
      <c r="AQ147" s="245"/>
      <c r="AR147" s="246"/>
      <c r="AS147" s="245"/>
      <c r="AT147" s="245"/>
      <c r="AU147" s="245"/>
      <c r="AV147" s="245"/>
      <c r="AW147" s="245"/>
      <c r="AX147" s="246"/>
      <c r="AY147" s="245"/>
      <c r="AZ147" s="245"/>
      <c r="BA147" s="246"/>
      <c r="BB147" s="245"/>
      <c r="BC147" s="245"/>
      <c r="BD147" s="245"/>
      <c r="BE147" s="245"/>
      <c r="BF147" s="245"/>
      <c r="BG147" s="245"/>
      <c r="BH147" s="245"/>
      <c r="BI147" s="245"/>
      <c r="BJ147" s="245"/>
      <c r="BK147" s="245"/>
      <c r="BL147" s="245"/>
      <c r="BM147" s="245"/>
      <c r="BN147" s="245"/>
      <c r="BO147" s="245"/>
      <c r="BP147" s="245"/>
      <c r="BQ147" s="245"/>
      <c r="BR147" s="245"/>
      <c r="BS147" s="245"/>
      <c r="BT147" s="246"/>
      <c r="BU147" s="245"/>
      <c r="BV147" s="245"/>
      <c r="BW147" s="245"/>
      <c r="BX147" s="245"/>
      <c r="BY147" s="245"/>
      <c r="BZ147" s="282"/>
      <c r="CA147" s="245"/>
      <c r="CB147" s="245"/>
      <c r="CC147" s="245"/>
      <c r="CD147" s="245"/>
      <c r="CE147" s="245"/>
      <c r="CF147" s="245"/>
    </row>
    <row r="148">
      <c r="A148" s="310" t="str">
        <f>IFERROR(__xludf.DUMMYFUNCTION("""COMPUTED_VALUE"""),"Unmerge Module")</f>
        <v>Unmerge Module</v>
      </c>
      <c r="B148" s="260">
        <f>IFERROR(__xludf.DUMMYFUNCTION("""COMPUTED_VALUE"""),1.0)</f>
        <v>1</v>
      </c>
      <c r="C148" s="245"/>
      <c r="D148" s="261">
        <f>IFERROR(__xludf.DUMMYFUNCTION("""COMPUTED_VALUE"""),1.0)</f>
        <v>1</v>
      </c>
      <c r="E148" s="245"/>
      <c r="F148" s="245"/>
      <c r="G148" s="245"/>
      <c r="H148" s="245"/>
      <c r="I148" s="245"/>
      <c r="J148" s="245"/>
      <c r="K148" s="265"/>
      <c r="L148" s="245"/>
      <c r="M148" s="245"/>
      <c r="N148" s="245"/>
      <c r="O148" s="245"/>
      <c r="P148" s="245"/>
      <c r="Q148" s="247"/>
      <c r="R148" s="254"/>
      <c r="S148" s="245"/>
      <c r="T148" s="245"/>
      <c r="U148" s="245"/>
      <c r="V148" s="245"/>
      <c r="W148" s="245"/>
      <c r="X148" s="245"/>
      <c r="Y148" s="249"/>
      <c r="Z148" s="276"/>
      <c r="AA148" s="245"/>
      <c r="AB148" s="276"/>
      <c r="AC148" s="276"/>
      <c r="AD148" s="246"/>
      <c r="AE148" s="278"/>
      <c r="AF148" s="370"/>
      <c r="AG148" s="371"/>
      <c r="AH148" s="276"/>
      <c r="AI148" s="245"/>
      <c r="AJ148" s="287"/>
      <c r="AK148" s="278"/>
      <c r="AL148" s="246"/>
      <c r="AM148" s="245"/>
      <c r="AN148" s="245"/>
      <c r="AO148" s="274"/>
      <c r="AP148" s="245"/>
      <c r="AQ148" s="245"/>
      <c r="AR148" s="246"/>
      <c r="AS148" s="245"/>
      <c r="AT148" s="245"/>
      <c r="AU148" s="245"/>
      <c r="AV148" s="245"/>
      <c r="AW148" s="245"/>
      <c r="AX148" s="246"/>
      <c r="AY148" s="245"/>
      <c r="AZ148" s="245"/>
      <c r="BA148" s="246"/>
      <c r="BB148" s="245"/>
      <c r="BC148" s="245"/>
      <c r="BD148" s="245"/>
      <c r="BE148" s="245"/>
      <c r="BF148" s="245"/>
      <c r="BG148" s="245"/>
      <c r="BH148" s="245"/>
      <c r="BI148" s="245"/>
      <c r="BJ148" s="245"/>
      <c r="BK148" s="245"/>
      <c r="BL148" s="245"/>
      <c r="BM148" s="245"/>
      <c r="BN148" s="245"/>
      <c r="BO148" s="245"/>
      <c r="BP148" s="245"/>
      <c r="BQ148" s="245"/>
      <c r="BR148" s="245"/>
      <c r="BS148" s="245"/>
      <c r="BT148" s="246"/>
      <c r="BU148" s="245"/>
      <c r="BV148" s="245"/>
      <c r="BW148" s="245"/>
      <c r="BX148" s="245"/>
      <c r="BY148" s="245"/>
      <c r="BZ148" s="282"/>
      <c r="CA148" s="245"/>
      <c r="CB148" s="245"/>
      <c r="CC148" s="245"/>
      <c r="CD148" s="245"/>
      <c r="CE148" s="245"/>
      <c r="CF148" s="245"/>
    </row>
    <row r="149">
      <c r="A149" s="310" t="str">
        <f>IFERROR(__xludf.DUMMYFUNCTION("""COMPUTED_VALUE"""),"Shatter Shards")</f>
        <v>Shatter Shards</v>
      </c>
      <c r="B149" s="260">
        <f>IFERROR(__xludf.DUMMYFUNCTION("""COMPUTED_VALUE"""),5.0)</f>
        <v>5</v>
      </c>
      <c r="C149" s="245"/>
      <c r="D149" s="261">
        <f>IFERROR(__xludf.DUMMYFUNCTION("""COMPUTED_VALUE"""),5.0)</f>
        <v>5</v>
      </c>
      <c r="E149" s="245"/>
      <c r="F149" s="245"/>
      <c r="G149" s="245"/>
      <c r="H149" s="245"/>
      <c r="I149" s="245"/>
      <c r="J149" s="245"/>
      <c r="K149" s="265"/>
      <c r="L149" s="245"/>
      <c r="M149" s="245"/>
      <c r="N149" s="245"/>
      <c r="O149" s="245"/>
      <c r="P149" s="245"/>
      <c r="Q149" s="247"/>
      <c r="R149" s="254"/>
      <c r="S149" s="245"/>
      <c r="T149" s="245"/>
      <c r="U149" s="245"/>
      <c r="V149" s="245"/>
      <c r="W149" s="245"/>
      <c r="X149" s="245"/>
      <c r="Y149" s="249"/>
      <c r="Z149" s="276"/>
      <c r="AA149" s="245"/>
      <c r="AB149" s="276"/>
      <c r="AC149" s="276"/>
      <c r="AD149" s="246"/>
      <c r="AE149" s="278"/>
      <c r="AF149" s="370"/>
      <c r="AG149" s="371"/>
      <c r="AH149" s="276"/>
      <c r="AI149" s="245"/>
      <c r="AJ149" s="287"/>
      <c r="AK149" s="278"/>
      <c r="AL149" s="246"/>
      <c r="AM149" s="245"/>
      <c r="AN149" s="245"/>
      <c r="AO149" s="274"/>
      <c r="AP149" s="245"/>
      <c r="AQ149" s="245"/>
      <c r="AR149" s="246"/>
      <c r="AS149" s="245"/>
      <c r="AT149" s="245"/>
      <c r="AU149" s="245"/>
      <c r="AV149" s="245"/>
      <c r="AW149" s="245"/>
      <c r="AX149" s="246"/>
      <c r="AY149" s="245"/>
      <c r="AZ149" s="245"/>
      <c r="BA149" s="246"/>
      <c r="BB149" s="245"/>
      <c r="BC149" s="245"/>
      <c r="BD149" s="245"/>
      <c r="BE149" s="245"/>
      <c r="BF149" s="245"/>
      <c r="BG149" s="245"/>
      <c r="BH149" s="245"/>
      <c r="BI149" s="245"/>
      <c r="BJ149" s="245"/>
      <c r="BK149" s="245"/>
      <c r="BL149" s="245"/>
      <c r="BM149" s="245"/>
      <c r="BN149" s="245"/>
      <c r="BO149" s="245"/>
      <c r="BP149" s="245"/>
      <c r="BQ149" s="245"/>
      <c r="BR149" s="245"/>
      <c r="BS149" s="245"/>
      <c r="BT149" s="246"/>
      <c r="BU149" s="245"/>
      <c r="BV149" s="245"/>
      <c r="BW149" s="245"/>
      <c r="BX149" s="245"/>
      <c r="BY149" s="245"/>
      <c r="BZ149" s="282"/>
      <c r="CA149" s="245"/>
      <c r="CB149" s="245"/>
      <c r="CC149" s="245"/>
      <c r="CD149" s="245"/>
      <c r="CE149" s="245"/>
      <c r="CF149" s="245"/>
    </row>
    <row r="150">
      <c r="A150" s="310" t="str">
        <f>IFERROR(__xludf.DUMMYFUNCTION("""COMPUTED_VALUE"""),"Cannon Effect Bans")</f>
        <v>Cannon Effect Bans</v>
      </c>
      <c r="B150" s="260">
        <f>IFERROR(__xludf.DUMMYFUNCTION("""COMPUTED_VALUE"""),0.0)</f>
        <v>0</v>
      </c>
      <c r="C150" s="245"/>
      <c r="D150" s="261">
        <f>IFERROR(__xludf.DUMMYFUNCTION("""COMPUTED_VALUE"""),4.0)</f>
        <v>4</v>
      </c>
      <c r="E150" s="245"/>
      <c r="F150" s="245"/>
      <c r="G150" s="245"/>
      <c r="H150" s="245"/>
      <c r="I150" s="245"/>
      <c r="J150" s="245"/>
      <c r="K150" s="265"/>
      <c r="L150" s="245"/>
      <c r="M150" s="245"/>
      <c r="N150" s="245"/>
      <c r="O150" s="245"/>
      <c r="P150" s="245"/>
      <c r="Q150" s="247"/>
      <c r="R150" s="254"/>
      <c r="S150" s="245"/>
      <c r="T150" s="245"/>
      <c r="U150" s="245"/>
      <c r="V150" s="245"/>
      <c r="W150" s="245"/>
      <c r="X150" s="245"/>
      <c r="Y150" s="249"/>
      <c r="Z150" s="276"/>
      <c r="AA150" s="245"/>
      <c r="AB150" s="276"/>
      <c r="AC150" s="276"/>
      <c r="AD150" s="246"/>
      <c r="AE150" s="278"/>
      <c r="AF150" s="370"/>
      <c r="AG150" s="371"/>
      <c r="AH150" s="276"/>
      <c r="AI150" s="245"/>
      <c r="AJ150" s="287"/>
      <c r="AK150" s="278"/>
      <c r="AL150" s="246"/>
      <c r="AM150" s="245"/>
      <c r="AN150" s="245"/>
      <c r="AO150" s="274"/>
      <c r="AP150" s="245"/>
      <c r="AQ150" s="245"/>
      <c r="AR150" s="246"/>
      <c r="AS150" s="245"/>
      <c r="AT150" s="245"/>
      <c r="AU150" s="245"/>
      <c r="AV150" s="245"/>
      <c r="AW150" s="245"/>
      <c r="AX150" s="246"/>
      <c r="AY150" s="245"/>
      <c r="AZ150" s="245"/>
      <c r="BA150" s="246"/>
      <c r="BB150" s="245"/>
      <c r="BC150" s="245"/>
      <c r="BD150" s="245"/>
      <c r="BE150" s="245"/>
      <c r="BF150" s="245"/>
      <c r="BG150" s="245"/>
      <c r="BH150" s="245"/>
      <c r="BI150" s="245"/>
      <c r="BJ150" s="245"/>
      <c r="BK150" s="245"/>
      <c r="BL150" s="245"/>
      <c r="BM150" s="245"/>
      <c r="BN150" s="245"/>
      <c r="BO150" s="245"/>
      <c r="BP150" s="245"/>
      <c r="BQ150" s="245"/>
      <c r="BR150" s="245"/>
      <c r="BS150" s="245"/>
      <c r="BT150" s="246"/>
      <c r="BU150" s="245"/>
      <c r="BV150" s="245"/>
      <c r="BW150" s="245"/>
      <c r="BX150" s="245"/>
      <c r="BY150" s="245"/>
      <c r="BZ150" s="282"/>
      <c r="CA150" s="245"/>
      <c r="CB150" s="245"/>
      <c r="CC150" s="245"/>
      <c r="CD150" s="245"/>
      <c r="CE150" s="245"/>
      <c r="CF150" s="245"/>
    </row>
    <row r="151">
      <c r="A151" s="310" t="str">
        <f>IFERROR(__xludf.DUMMYFUNCTION("""COMPUTED_VALUE"""),"Armor Effect Bans")</f>
        <v>Armor Effect Bans</v>
      </c>
      <c r="B151" s="260">
        <f>IFERROR(__xludf.DUMMYFUNCTION("""COMPUTED_VALUE"""),2.0)</f>
        <v>2</v>
      </c>
      <c r="C151" s="245"/>
      <c r="D151" s="261">
        <f>IFERROR(__xludf.DUMMYFUNCTION("""COMPUTED_VALUE"""),4.0)</f>
        <v>4</v>
      </c>
      <c r="E151" s="245"/>
      <c r="F151" s="245"/>
      <c r="G151" s="245"/>
      <c r="H151" s="245"/>
      <c r="I151" s="245"/>
      <c r="J151" s="245"/>
      <c r="K151" s="265"/>
      <c r="L151" s="245"/>
      <c r="M151" s="245"/>
      <c r="N151" s="245"/>
      <c r="O151" s="245"/>
      <c r="P151" s="245"/>
      <c r="Q151" s="247"/>
      <c r="R151" s="254"/>
      <c r="S151" s="245"/>
      <c r="T151" s="245"/>
      <c r="U151" s="245"/>
      <c r="V151" s="245"/>
      <c r="W151" s="245"/>
      <c r="X151" s="245"/>
      <c r="Y151" s="249"/>
      <c r="Z151" s="276"/>
      <c r="AA151" s="245"/>
      <c r="AB151" s="276"/>
      <c r="AC151" s="276"/>
      <c r="AD151" s="246"/>
      <c r="AE151" s="278"/>
      <c r="AF151" s="370"/>
      <c r="AG151" s="371"/>
      <c r="AH151" s="276"/>
      <c r="AI151" s="245"/>
      <c r="AJ151" s="287"/>
      <c r="AK151" s="278"/>
      <c r="AL151" s="246"/>
      <c r="AM151" s="245"/>
      <c r="AN151" s="245"/>
      <c r="AO151" s="274"/>
      <c r="AP151" s="245"/>
      <c r="AQ151" s="245"/>
      <c r="AR151" s="246"/>
      <c r="AS151" s="245"/>
      <c r="AT151" s="245"/>
      <c r="AU151" s="245"/>
      <c r="AV151" s="245"/>
      <c r="AW151" s="245"/>
      <c r="AX151" s="246"/>
      <c r="AY151" s="245"/>
      <c r="AZ151" s="245"/>
      <c r="BA151" s="246"/>
      <c r="BB151" s="245"/>
      <c r="BC151" s="245"/>
      <c r="BD151" s="245"/>
      <c r="BE151" s="245"/>
      <c r="BF151" s="245"/>
      <c r="BG151" s="245"/>
      <c r="BH151" s="245"/>
      <c r="BI151" s="245"/>
      <c r="BJ151" s="245"/>
      <c r="BK151" s="245"/>
      <c r="BL151" s="245"/>
      <c r="BM151" s="245"/>
      <c r="BN151" s="245"/>
      <c r="BO151" s="245"/>
      <c r="BP151" s="245"/>
      <c r="BQ151" s="245"/>
      <c r="BR151" s="245"/>
      <c r="BS151" s="245"/>
      <c r="BT151" s="246"/>
      <c r="BU151" s="245"/>
      <c r="BV151" s="245"/>
      <c r="BW151" s="245"/>
      <c r="BX151" s="245"/>
      <c r="BY151" s="245"/>
      <c r="BZ151" s="282"/>
      <c r="CA151" s="245"/>
      <c r="CB151" s="245"/>
      <c r="CC151" s="245"/>
      <c r="CD151" s="245"/>
      <c r="CE151" s="245"/>
      <c r="CF151" s="245"/>
    </row>
    <row r="152">
      <c r="A152" s="310" t="str">
        <f>IFERROR(__xludf.DUMMYFUNCTION("""COMPUTED_VALUE"""),"Generator Effect Bans")</f>
        <v>Generator Effect Bans</v>
      </c>
      <c r="B152" s="260">
        <f>IFERROR(__xludf.DUMMYFUNCTION("""COMPUTED_VALUE"""),1.0)</f>
        <v>1</v>
      </c>
      <c r="C152" s="245"/>
      <c r="D152" s="261">
        <f>IFERROR(__xludf.DUMMYFUNCTION("""COMPUTED_VALUE"""),3.0)</f>
        <v>3</v>
      </c>
      <c r="E152" s="245"/>
      <c r="F152" s="245"/>
      <c r="G152" s="245"/>
      <c r="H152" s="245"/>
      <c r="I152" s="245"/>
      <c r="J152" s="245"/>
      <c r="K152" s="265"/>
      <c r="L152" s="245"/>
      <c r="M152" s="245"/>
      <c r="N152" s="245"/>
      <c r="O152" s="245"/>
      <c r="P152" s="245"/>
      <c r="Q152" s="247"/>
      <c r="R152" s="254"/>
      <c r="S152" s="245"/>
      <c r="T152" s="245"/>
      <c r="U152" s="245"/>
      <c r="V152" s="245"/>
      <c r="W152" s="245"/>
      <c r="X152" s="245"/>
      <c r="Y152" s="249"/>
      <c r="Z152" s="276"/>
      <c r="AA152" s="245"/>
      <c r="AB152" s="276"/>
      <c r="AC152" s="276"/>
      <c r="AD152" s="246"/>
      <c r="AE152" s="278"/>
      <c r="AF152" s="370"/>
      <c r="AG152" s="371"/>
      <c r="AH152" s="276"/>
      <c r="AI152" s="245"/>
      <c r="AJ152" s="287"/>
      <c r="AK152" s="278"/>
      <c r="AL152" s="246"/>
      <c r="AM152" s="245"/>
      <c r="AN152" s="245"/>
      <c r="AO152" s="274"/>
      <c r="AP152" s="245"/>
      <c r="AQ152" s="245"/>
      <c r="AR152" s="246"/>
      <c r="AS152" s="245"/>
      <c r="AT152" s="245"/>
      <c r="AU152" s="245"/>
      <c r="AV152" s="245"/>
      <c r="AW152" s="245"/>
      <c r="AX152" s="246"/>
      <c r="AY152" s="245"/>
      <c r="AZ152" s="245"/>
      <c r="BA152" s="246"/>
      <c r="BB152" s="245"/>
      <c r="BC152" s="245"/>
      <c r="BD152" s="245"/>
      <c r="BE152" s="245"/>
      <c r="BF152" s="245"/>
      <c r="BG152" s="245"/>
      <c r="BH152" s="245"/>
      <c r="BI152" s="245"/>
      <c r="BJ152" s="245"/>
      <c r="BK152" s="245"/>
      <c r="BL152" s="245"/>
      <c r="BM152" s="245"/>
      <c r="BN152" s="245"/>
      <c r="BO152" s="245"/>
      <c r="BP152" s="245"/>
      <c r="BQ152" s="245"/>
      <c r="BR152" s="245"/>
      <c r="BS152" s="245"/>
      <c r="BT152" s="246"/>
      <c r="BU152" s="245"/>
      <c r="BV152" s="245"/>
      <c r="BW152" s="245"/>
      <c r="BX152" s="245"/>
      <c r="BY152" s="245"/>
      <c r="BZ152" s="282"/>
      <c r="CA152" s="245"/>
      <c r="CB152" s="245"/>
      <c r="CC152" s="245"/>
      <c r="CD152" s="245"/>
      <c r="CE152" s="245"/>
      <c r="CF152" s="245"/>
    </row>
    <row r="153">
      <c r="A153" s="310" t="str">
        <f>IFERROR(__xludf.DUMMYFUNCTION("""COMPUTED_VALUE"""),"Core Effect Bans")</f>
        <v>Core Effect Bans</v>
      </c>
      <c r="B153" s="260">
        <f>IFERROR(__xludf.DUMMYFUNCTION("""COMPUTED_VALUE"""),4.0)</f>
        <v>4</v>
      </c>
      <c r="C153" s="245"/>
      <c r="D153" s="261">
        <f>IFERROR(__xludf.DUMMYFUNCTION("""COMPUTED_VALUE"""),7.0)</f>
        <v>7</v>
      </c>
      <c r="E153" s="245"/>
      <c r="F153" s="245"/>
      <c r="G153" s="245"/>
      <c r="H153" s="245"/>
      <c r="I153" s="245"/>
      <c r="J153" s="245"/>
      <c r="K153" s="265"/>
      <c r="L153" s="245"/>
      <c r="M153" s="245"/>
      <c r="N153" s="245"/>
      <c r="O153" s="245"/>
      <c r="P153" s="245"/>
      <c r="Q153" s="247"/>
      <c r="R153" s="254"/>
      <c r="S153" s="245"/>
      <c r="T153" s="245"/>
      <c r="U153" s="245"/>
      <c r="V153" s="245"/>
      <c r="W153" s="245"/>
      <c r="X153" s="245"/>
      <c r="Y153" s="249"/>
      <c r="Z153" s="276"/>
      <c r="AA153" s="245"/>
      <c r="AB153" s="276"/>
      <c r="AC153" s="276"/>
      <c r="AD153" s="246"/>
      <c r="AE153" s="278"/>
      <c r="AF153" s="370"/>
      <c r="AG153" s="371"/>
      <c r="AH153" s="276"/>
      <c r="AI153" s="245"/>
      <c r="AJ153" s="287"/>
      <c r="AK153" s="278"/>
      <c r="AL153" s="246"/>
      <c r="AM153" s="245"/>
      <c r="AN153" s="245"/>
      <c r="AO153" s="274"/>
      <c r="AP153" s="245"/>
      <c r="AQ153" s="245"/>
      <c r="AR153" s="246"/>
      <c r="AS153" s="245"/>
      <c r="AT153" s="245"/>
      <c r="AU153" s="245"/>
      <c r="AV153" s="245"/>
      <c r="AW153" s="245"/>
      <c r="AX153" s="246"/>
      <c r="AY153" s="245"/>
      <c r="AZ153" s="245"/>
      <c r="BA153" s="246"/>
      <c r="BB153" s="245"/>
      <c r="BC153" s="245"/>
      <c r="BD153" s="245"/>
      <c r="BE153" s="245"/>
      <c r="BF153" s="245"/>
      <c r="BG153" s="245"/>
      <c r="BH153" s="245"/>
      <c r="BI153" s="245"/>
      <c r="BJ153" s="245"/>
      <c r="BK153" s="245"/>
      <c r="BL153" s="245"/>
      <c r="BM153" s="245"/>
      <c r="BN153" s="245"/>
      <c r="BO153" s="245"/>
      <c r="BP153" s="245"/>
      <c r="BQ153" s="245"/>
      <c r="BR153" s="245"/>
      <c r="BS153" s="245"/>
      <c r="BT153" s="246"/>
      <c r="BU153" s="245"/>
      <c r="BV153" s="245"/>
      <c r="BW153" s="245"/>
      <c r="BX153" s="245"/>
      <c r="BY153" s="245"/>
      <c r="BZ153" s="282"/>
      <c r="CA153" s="245"/>
      <c r="CB153" s="245"/>
      <c r="CC153" s="245"/>
      <c r="CD153" s="245"/>
      <c r="CE153" s="245"/>
      <c r="CF153" s="245"/>
    </row>
    <row r="154">
      <c r="A154" s="310" t="str">
        <f>IFERROR(__xludf.DUMMYFUNCTION("""COMPUTED_VALUE"""),"Assist Module Substats - Cannon")</f>
        <v>Assist Module Substats - Cannon</v>
      </c>
      <c r="B154" s="260">
        <f>IFERROR(__xludf.DUMMYFUNCTION("""COMPUTED_VALUE"""),0.0)</f>
        <v>0</v>
      </c>
      <c r="C154" s="245"/>
      <c r="D154" s="261">
        <f>IFERROR(__xludf.DUMMYFUNCTION("""COMPUTED_VALUE"""),30.0)</f>
        <v>30</v>
      </c>
      <c r="E154" s="245"/>
      <c r="F154" s="245"/>
      <c r="G154" s="245"/>
      <c r="H154" s="245"/>
      <c r="I154" s="245"/>
      <c r="J154" s="245"/>
      <c r="K154" s="265"/>
      <c r="L154" s="245"/>
      <c r="M154" s="245"/>
      <c r="N154" s="245"/>
      <c r="O154" s="245"/>
      <c r="P154" s="245"/>
      <c r="Q154" s="247"/>
      <c r="R154" s="254"/>
      <c r="S154" s="245"/>
      <c r="T154" s="245"/>
      <c r="U154" s="245"/>
      <c r="V154" s="245"/>
      <c r="W154" s="245"/>
      <c r="X154" s="245"/>
      <c r="Y154" s="249"/>
      <c r="Z154" s="276"/>
      <c r="AA154" s="245"/>
      <c r="AB154" s="276"/>
      <c r="AC154" s="276"/>
      <c r="AD154" s="246"/>
      <c r="AE154" s="278"/>
      <c r="AF154" s="370"/>
      <c r="AG154" s="371"/>
      <c r="AH154" s="276"/>
      <c r="AI154" s="245"/>
      <c r="AJ154" s="287"/>
      <c r="AK154" s="278"/>
      <c r="AL154" s="246"/>
      <c r="AM154" s="245"/>
      <c r="AN154" s="245"/>
      <c r="AO154" s="274"/>
      <c r="AP154" s="245"/>
      <c r="AQ154" s="245"/>
      <c r="AR154" s="246"/>
      <c r="AS154" s="245"/>
      <c r="AT154" s="245"/>
      <c r="AU154" s="245"/>
      <c r="AV154" s="245"/>
      <c r="AW154" s="245"/>
      <c r="AX154" s="246"/>
      <c r="AY154" s="245"/>
      <c r="AZ154" s="245"/>
      <c r="BA154" s="246"/>
      <c r="BB154" s="245"/>
      <c r="BC154" s="245"/>
      <c r="BD154" s="245"/>
      <c r="BE154" s="245"/>
      <c r="BF154" s="245"/>
      <c r="BG154" s="245"/>
      <c r="BH154" s="245"/>
      <c r="BI154" s="245"/>
      <c r="BJ154" s="245"/>
      <c r="BK154" s="245"/>
      <c r="BL154" s="245"/>
      <c r="BM154" s="245"/>
      <c r="BN154" s="245"/>
      <c r="BO154" s="245"/>
      <c r="BP154" s="245"/>
      <c r="BQ154" s="245"/>
      <c r="BR154" s="245"/>
      <c r="BS154" s="245"/>
      <c r="BT154" s="246"/>
      <c r="BU154" s="245"/>
      <c r="BV154" s="245"/>
      <c r="BW154" s="245"/>
      <c r="BX154" s="245"/>
      <c r="BY154" s="245"/>
      <c r="BZ154" s="282"/>
      <c r="CA154" s="245"/>
      <c r="CB154" s="245"/>
      <c r="CC154" s="245"/>
      <c r="CD154" s="245"/>
      <c r="CE154" s="245"/>
      <c r="CF154" s="245"/>
    </row>
    <row r="155">
      <c r="A155" s="310" t="str">
        <f>IFERROR(__xludf.DUMMYFUNCTION("""COMPUTED_VALUE"""),"Assist Module Substats - Armor")</f>
        <v>Assist Module Substats - Armor</v>
      </c>
      <c r="B155" s="260">
        <f>IFERROR(__xludf.DUMMYFUNCTION("""COMPUTED_VALUE"""),0.0)</f>
        <v>0</v>
      </c>
      <c r="C155" s="245"/>
      <c r="D155" s="261">
        <f>IFERROR(__xludf.DUMMYFUNCTION("""COMPUTED_VALUE"""),30.0)</f>
        <v>30</v>
      </c>
      <c r="E155" s="245"/>
      <c r="F155" s="245"/>
      <c r="G155" s="245"/>
      <c r="H155" s="245"/>
      <c r="I155" s="245"/>
      <c r="J155" s="245"/>
      <c r="K155" s="265"/>
      <c r="L155" s="245"/>
      <c r="M155" s="245"/>
      <c r="N155" s="245"/>
      <c r="O155" s="245"/>
      <c r="P155" s="245"/>
      <c r="Q155" s="247"/>
      <c r="R155" s="254"/>
      <c r="S155" s="245"/>
      <c r="T155" s="245"/>
      <c r="U155" s="245"/>
      <c r="V155" s="245"/>
      <c r="W155" s="245"/>
      <c r="X155" s="245"/>
      <c r="Y155" s="249"/>
      <c r="Z155" s="276"/>
      <c r="AA155" s="245"/>
      <c r="AB155" s="276"/>
      <c r="AC155" s="276"/>
      <c r="AD155" s="246"/>
      <c r="AE155" s="278"/>
      <c r="AF155" s="370"/>
      <c r="AG155" s="371"/>
      <c r="AH155" s="276"/>
      <c r="AI155" s="245"/>
      <c r="AJ155" s="287"/>
      <c r="AK155" s="278"/>
      <c r="AL155" s="246"/>
      <c r="AM155" s="245"/>
      <c r="AN155" s="245"/>
      <c r="AO155" s="274"/>
      <c r="AP155" s="245"/>
      <c r="AQ155" s="245"/>
      <c r="AR155" s="246"/>
      <c r="AS155" s="245"/>
      <c r="AT155" s="245"/>
      <c r="AU155" s="245"/>
      <c r="AV155" s="245"/>
      <c r="AW155" s="245"/>
      <c r="AX155" s="246"/>
      <c r="AY155" s="245"/>
      <c r="AZ155" s="245"/>
      <c r="BA155" s="246"/>
      <c r="BB155" s="245"/>
      <c r="BC155" s="245"/>
      <c r="BD155" s="245"/>
      <c r="BE155" s="245"/>
      <c r="BF155" s="245"/>
      <c r="BG155" s="245"/>
      <c r="BH155" s="245"/>
      <c r="BI155" s="245"/>
      <c r="BJ155" s="245"/>
      <c r="BK155" s="245"/>
      <c r="BL155" s="245"/>
      <c r="BM155" s="245"/>
      <c r="BN155" s="245"/>
      <c r="BO155" s="245"/>
      <c r="BP155" s="245"/>
      <c r="BQ155" s="245"/>
      <c r="BR155" s="245"/>
      <c r="BS155" s="245"/>
      <c r="BT155" s="246"/>
      <c r="BU155" s="245"/>
      <c r="BV155" s="245"/>
      <c r="BW155" s="245"/>
      <c r="BX155" s="245"/>
      <c r="BY155" s="245"/>
      <c r="BZ155" s="282"/>
      <c r="CA155" s="245"/>
      <c r="CB155" s="245"/>
      <c r="CC155" s="245"/>
      <c r="CD155" s="245"/>
      <c r="CE155" s="245"/>
      <c r="CF155" s="245"/>
    </row>
    <row r="156">
      <c r="A156" s="310" t="str">
        <f>IFERROR(__xludf.DUMMYFUNCTION("""COMPUTED_VALUE"""),"Assist Module Substats - Generator")</f>
        <v>Assist Module Substats - Generator</v>
      </c>
      <c r="B156" s="260">
        <f>IFERROR(__xludf.DUMMYFUNCTION("""COMPUTED_VALUE"""),0.0)</f>
        <v>0</v>
      </c>
      <c r="C156" s="245"/>
      <c r="D156" s="261">
        <f>IFERROR(__xludf.DUMMYFUNCTION("""COMPUTED_VALUE"""),30.0)</f>
        <v>30</v>
      </c>
      <c r="E156" s="245"/>
      <c r="F156" s="245"/>
      <c r="G156" s="245"/>
      <c r="H156" s="245"/>
      <c r="I156" s="245"/>
      <c r="J156" s="245"/>
      <c r="K156" s="265"/>
      <c r="L156" s="245"/>
      <c r="M156" s="245"/>
      <c r="N156" s="245"/>
      <c r="O156" s="245"/>
      <c r="P156" s="245"/>
      <c r="Q156" s="247"/>
      <c r="R156" s="254"/>
      <c r="S156" s="245"/>
      <c r="T156" s="245"/>
      <c r="U156" s="245"/>
      <c r="V156" s="245"/>
      <c r="W156" s="245"/>
      <c r="X156" s="245"/>
      <c r="Y156" s="249"/>
      <c r="Z156" s="276"/>
      <c r="AA156" s="245"/>
      <c r="AB156" s="276"/>
      <c r="AC156" s="276"/>
      <c r="AD156" s="246"/>
      <c r="AE156" s="278"/>
      <c r="AF156" s="370"/>
      <c r="AG156" s="371"/>
      <c r="AH156" s="276"/>
      <c r="AI156" s="245"/>
      <c r="AJ156" s="287"/>
      <c r="AK156" s="278"/>
      <c r="AL156" s="246"/>
      <c r="AM156" s="245"/>
      <c r="AN156" s="245"/>
      <c r="AO156" s="274"/>
      <c r="AP156" s="245"/>
      <c r="AQ156" s="245"/>
      <c r="AR156" s="246"/>
      <c r="AS156" s="245"/>
      <c r="AT156" s="245"/>
      <c r="AU156" s="245"/>
      <c r="AV156" s="245"/>
      <c r="AW156" s="245"/>
      <c r="AX156" s="246"/>
      <c r="AY156" s="245"/>
      <c r="AZ156" s="245"/>
      <c r="BA156" s="246"/>
      <c r="BB156" s="245"/>
      <c r="BC156" s="245"/>
      <c r="BD156" s="245"/>
      <c r="BE156" s="245"/>
      <c r="BF156" s="245"/>
      <c r="BG156" s="245"/>
      <c r="BH156" s="245"/>
      <c r="BI156" s="245"/>
      <c r="BJ156" s="245"/>
      <c r="BK156" s="245"/>
      <c r="BL156" s="245"/>
      <c r="BM156" s="245"/>
      <c r="BN156" s="245"/>
      <c r="BO156" s="245"/>
      <c r="BP156" s="245"/>
      <c r="BQ156" s="245"/>
      <c r="BR156" s="245"/>
      <c r="BS156" s="245"/>
      <c r="BT156" s="246"/>
      <c r="BU156" s="245"/>
      <c r="BV156" s="245"/>
      <c r="BW156" s="245"/>
      <c r="BX156" s="245"/>
      <c r="BY156" s="245"/>
      <c r="BZ156" s="282"/>
      <c r="CA156" s="245"/>
      <c r="CB156" s="245"/>
      <c r="CC156" s="245"/>
      <c r="CD156" s="245"/>
      <c r="CE156" s="245"/>
      <c r="CF156" s="245"/>
    </row>
    <row r="157">
      <c r="A157" s="310" t="str">
        <f>IFERROR(__xludf.DUMMYFUNCTION("""COMPUTED_VALUE"""),"Assist Module Substats - Core")</f>
        <v>Assist Module Substats - Core</v>
      </c>
      <c r="B157" s="260">
        <f>IFERROR(__xludf.DUMMYFUNCTION("""COMPUTED_VALUE"""),0.0)</f>
        <v>0</v>
      </c>
      <c r="C157" s="245"/>
      <c r="D157" s="261">
        <f>IFERROR(__xludf.DUMMYFUNCTION("""COMPUTED_VALUE"""),30.0)</f>
        <v>30</v>
      </c>
      <c r="E157" s="245"/>
      <c r="F157" s="245"/>
      <c r="G157" s="245"/>
      <c r="H157" s="245"/>
      <c r="I157" s="245"/>
      <c r="J157" s="245"/>
      <c r="K157" s="265"/>
      <c r="L157" s="245"/>
      <c r="M157" s="245"/>
      <c r="N157" s="245"/>
      <c r="O157" s="245"/>
      <c r="P157" s="245"/>
      <c r="Q157" s="247"/>
      <c r="R157" s="254"/>
      <c r="S157" s="245"/>
      <c r="T157" s="245"/>
      <c r="U157" s="245"/>
      <c r="V157" s="245"/>
      <c r="W157" s="245"/>
      <c r="X157" s="245"/>
      <c r="Y157" s="249"/>
      <c r="Z157" s="276"/>
      <c r="AA157" s="245"/>
      <c r="AB157" s="276"/>
      <c r="AC157" s="276"/>
      <c r="AD157" s="246"/>
      <c r="AE157" s="278"/>
      <c r="AF157" s="370"/>
      <c r="AG157" s="371"/>
      <c r="AH157" s="276"/>
      <c r="AI157" s="245"/>
      <c r="AJ157" s="287"/>
      <c r="AK157" s="278"/>
      <c r="AL157" s="246"/>
      <c r="AM157" s="245"/>
      <c r="AN157" s="245"/>
      <c r="AO157" s="274"/>
      <c r="AP157" s="245"/>
      <c r="AQ157" s="245"/>
      <c r="AR157" s="246"/>
      <c r="AS157" s="245"/>
      <c r="AT157" s="245"/>
      <c r="AU157" s="245"/>
      <c r="AV157" s="245"/>
      <c r="AW157" s="245"/>
      <c r="AX157" s="246"/>
      <c r="AY157" s="245"/>
      <c r="AZ157" s="245"/>
      <c r="BA157" s="246"/>
      <c r="BB157" s="245"/>
      <c r="BC157" s="245"/>
      <c r="BD157" s="245"/>
      <c r="BE157" s="245"/>
      <c r="BF157" s="245"/>
      <c r="BG157" s="245"/>
      <c r="BH157" s="245"/>
      <c r="BI157" s="245"/>
      <c r="BJ157" s="245"/>
      <c r="BK157" s="245"/>
      <c r="BL157" s="245"/>
      <c r="BM157" s="245"/>
      <c r="BN157" s="245"/>
      <c r="BO157" s="245"/>
      <c r="BP157" s="245"/>
      <c r="BQ157" s="245"/>
      <c r="BR157" s="245"/>
      <c r="BS157" s="245"/>
      <c r="BT157" s="246"/>
      <c r="BU157" s="245"/>
      <c r="BV157" s="245"/>
      <c r="BW157" s="245"/>
      <c r="BX157" s="245"/>
      <c r="BY157" s="245"/>
      <c r="BZ157" s="282"/>
      <c r="CA157" s="245"/>
      <c r="CB157" s="245"/>
      <c r="CC157" s="245"/>
      <c r="CD157" s="245"/>
      <c r="CE157" s="245"/>
      <c r="CF157" s="245"/>
    </row>
    <row r="158">
      <c r="A158" s="310" t="str">
        <f>IFERROR(__xludf.DUMMYFUNCTION("""COMPUTED_VALUE"""),"Assist Module Bonus - Cannon")</f>
        <v>Assist Module Bonus - Cannon</v>
      </c>
      <c r="B158" s="260">
        <f>IFERROR(__xludf.DUMMYFUNCTION("""COMPUTED_VALUE"""),0.0)</f>
        <v>0</v>
      </c>
      <c r="C158" s="245"/>
      <c r="D158" s="261">
        <f>IFERROR(__xludf.DUMMYFUNCTION("""COMPUTED_VALUE"""),30.0)</f>
        <v>30</v>
      </c>
      <c r="E158" s="245"/>
      <c r="F158" s="245"/>
      <c r="G158" s="245"/>
      <c r="H158" s="245"/>
      <c r="I158" s="245"/>
      <c r="J158" s="245"/>
      <c r="K158" s="265"/>
      <c r="L158" s="245"/>
      <c r="M158" s="245"/>
      <c r="N158" s="245"/>
      <c r="O158" s="245"/>
      <c r="P158" s="245"/>
      <c r="Q158" s="247"/>
      <c r="R158" s="254"/>
      <c r="S158" s="245"/>
      <c r="T158" s="245"/>
      <c r="U158" s="245"/>
      <c r="V158" s="245"/>
      <c r="W158" s="245"/>
      <c r="X158" s="245"/>
      <c r="Y158" s="249"/>
      <c r="Z158" s="276"/>
      <c r="AA158" s="245"/>
      <c r="AB158" s="276"/>
      <c r="AC158" s="276"/>
      <c r="AD158" s="246"/>
      <c r="AE158" s="278"/>
      <c r="AF158" s="370"/>
      <c r="AG158" s="371"/>
      <c r="AH158" s="276"/>
      <c r="AI158" s="245"/>
      <c r="AJ158" s="287"/>
      <c r="AK158" s="278"/>
      <c r="AL158" s="246"/>
      <c r="AM158" s="245"/>
      <c r="AN158" s="245"/>
      <c r="AO158" s="274"/>
      <c r="AP158" s="245"/>
      <c r="AQ158" s="245"/>
      <c r="AR158" s="246"/>
      <c r="AS158" s="245"/>
      <c r="AT158" s="245"/>
      <c r="AU158" s="245"/>
      <c r="AV158" s="245"/>
      <c r="AW158" s="245"/>
      <c r="AX158" s="246"/>
      <c r="AY158" s="245"/>
      <c r="AZ158" s="245"/>
      <c r="BA158" s="246"/>
      <c r="BB158" s="245"/>
      <c r="BC158" s="245"/>
      <c r="BD158" s="245"/>
      <c r="BE158" s="245"/>
      <c r="BF158" s="245"/>
      <c r="BG158" s="245"/>
      <c r="BH158" s="245"/>
      <c r="BI158" s="245"/>
      <c r="BJ158" s="245"/>
      <c r="BK158" s="245"/>
      <c r="BL158" s="245"/>
      <c r="BM158" s="245"/>
      <c r="BN158" s="245"/>
      <c r="BO158" s="245"/>
      <c r="BP158" s="245"/>
      <c r="BQ158" s="245"/>
      <c r="BR158" s="245"/>
      <c r="BS158" s="245"/>
      <c r="BT158" s="246"/>
      <c r="BU158" s="245"/>
      <c r="BV158" s="245"/>
      <c r="BW158" s="245"/>
      <c r="BX158" s="245"/>
      <c r="BY158" s="245"/>
      <c r="BZ158" s="282"/>
      <c r="CA158" s="245"/>
      <c r="CB158" s="245"/>
      <c r="CC158" s="245"/>
      <c r="CD158" s="245"/>
      <c r="CE158" s="245"/>
      <c r="CF158" s="245"/>
    </row>
    <row r="159">
      <c r="A159" s="310" t="str">
        <f>IFERROR(__xludf.DUMMYFUNCTION("""COMPUTED_VALUE"""),"Assist Module Bonus - Armor")</f>
        <v>Assist Module Bonus - Armor</v>
      </c>
      <c r="B159" s="260">
        <f>IFERROR(__xludf.DUMMYFUNCTION("""COMPUTED_VALUE"""),0.0)</f>
        <v>0</v>
      </c>
      <c r="C159" s="245"/>
      <c r="D159" s="261">
        <f>IFERROR(__xludf.DUMMYFUNCTION("""COMPUTED_VALUE"""),30.0)</f>
        <v>30</v>
      </c>
      <c r="E159" s="245"/>
      <c r="F159" s="245"/>
      <c r="G159" s="245"/>
      <c r="H159" s="245"/>
      <c r="I159" s="245"/>
      <c r="J159" s="245"/>
      <c r="K159" s="265"/>
      <c r="L159" s="245"/>
      <c r="M159" s="245"/>
      <c r="N159" s="245"/>
      <c r="O159" s="245"/>
      <c r="P159" s="245"/>
      <c r="Q159" s="247"/>
      <c r="R159" s="254"/>
      <c r="S159" s="245"/>
      <c r="T159" s="245"/>
      <c r="U159" s="245"/>
      <c r="V159" s="245"/>
      <c r="W159" s="245"/>
      <c r="X159" s="245"/>
      <c r="Y159" s="249"/>
      <c r="Z159" s="276"/>
      <c r="AA159" s="245"/>
      <c r="AB159" s="276"/>
      <c r="AC159" s="276"/>
      <c r="AD159" s="246"/>
      <c r="AE159" s="278"/>
      <c r="AF159" s="370"/>
      <c r="AG159" s="371"/>
      <c r="AH159" s="276"/>
      <c r="AI159" s="245"/>
      <c r="AJ159" s="287"/>
      <c r="AK159" s="278"/>
      <c r="AL159" s="246"/>
      <c r="AM159" s="245"/>
      <c r="AN159" s="245"/>
      <c r="AO159" s="274"/>
      <c r="AP159" s="245"/>
      <c r="AQ159" s="245"/>
      <c r="AR159" s="246"/>
      <c r="AS159" s="245"/>
      <c r="AT159" s="245"/>
      <c r="AU159" s="245"/>
      <c r="AV159" s="245"/>
      <c r="AW159" s="245"/>
      <c r="AX159" s="246"/>
      <c r="AY159" s="245"/>
      <c r="AZ159" s="245"/>
      <c r="BA159" s="246"/>
      <c r="BB159" s="245"/>
      <c r="BC159" s="245"/>
      <c r="BD159" s="245"/>
      <c r="BE159" s="245"/>
      <c r="BF159" s="245"/>
      <c r="BG159" s="245"/>
      <c r="BH159" s="245"/>
      <c r="BI159" s="245"/>
      <c r="BJ159" s="245"/>
      <c r="BK159" s="245"/>
      <c r="BL159" s="245"/>
      <c r="BM159" s="245"/>
      <c r="BN159" s="245"/>
      <c r="BO159" s="245"/>
      <c r="BP159" s="245"/>
      <c r="BQ159" s="245"/>
      <c r="BR159" s="245"/>
      <c r="BS159" s="245"/>
      <c r="BT159" s="246"/>
      <c r="BU159" s="245"/>
      <c r="BV159" s="245"/>
      <c r="BW159" s="245"/>
      <c r="BX159" s="245"/>
      <c r="BY159" s="245"/>
      <c r="BZ159" s="282"/>
      <c r="CA159" s="245"/>
      <c r="CB159" s="245"/>
      <c r="CC159" s="245"/>
      <c r="CD159" s="245"/>
      <c r="CE159" s="245"/>
      <c r="CF159" s="245"/>
    </row>
    <row r="160">
      <c r="A160" s="310" t="str">
        <f>IFERROR(__xludf.DUMMYFUNCTION("""COMPUTED_VALUE"""),"Assist Module Bonus - Generator")</f>
        <v>Assist Module Bonus - Generator</v>
      </c>
      <c r="B160" s="260">
        <f>IFERROR(__xludf.DUMMYFUNCTION("""COMPUTED_VALUE"""),0.0)</f>
        <v>0</v>
      </c>
      <c r="C160" s="245"/>
      <c r="D160" s="261">
        <f>IFERROR(__xludf.DUMMYFUNCTION("""COMPUTED_VALUE"""),30.0)</f>
        <v>30</v>
      </c>
      <c r="E160" s="245"/>
      <c r="F160" s="245"/>
      <c r="G160" s="245"/>
      <c r="H160" s="245"/>
      <c r="I160" s="245"/>
      <c r="J160" s="245"/>
      <c r="K160" s="265"/>
      <c r="L160" s="245"/>
      <c r="M160" s="245"/>
      <c r="N160" s="245"/>
      <c r="O160" s="245"/>
      <c r="P160" s="245"/>
      <c r="Q160" s="247"/>
      <c r="R160" s="254"/>
      <c r="S160" s="245"/>
      <c r="T160" s="245"/>
      <c r="U160" s="245"/>
      <c r="V160" s="245"/>
      <c r="W160" s="245"/>
      <c r="X160" s="245"/>
      <c r="Y160" s="249"/>
      <c r="Z160" s="276"/>
      <c r="AA160" s="245"/>
      <c r="AB160" s="276"/>
      <c r="AC160" s="276"/>
      <c r="AD160" s="246"/>
      <c r="AE160" s="278"/>
      <c r="AF160" s="370"/>
      <c r="AG160" s="371"/>
      <c r="AH160" s="276"/>
      <c r="AI160" s="245"/>
      <c r="AJ160" s="287"/>
      <c r="AK160" s="278"/>
      <c r="AL160" s="246"/>
      <c r="AM160" s="245"/>
      <c r="AN160" s="245"/>
      <c r="AO160" s="274"/>
      <c r="AP160" s="245"/>
      <c r="AQ160" s="245"/>
      <c r="AR160" s="246"/>
      <c r="AS160" s="245"/>
      <c r="AT160" s="245"/>
      <c r="AU160" s="245"/>
      <c r="AV160" s="245"/>
      <c r="AW160" s="245"/>
      <c r="AX160" s="246"/>
      <c r="AY160" s="245"/>
      <c r="AZ160" s="245"/>
      <c r="BA160" s="246"/>
      <c r="BB160" s="245"/>
      <c r="BC160" s="245"/>
      <c r="BD160" s="245"/>
      <c r="BE160" s="245"/>
      <c r="BF160" s="245"/>
      <c r="BG160" s="245"/>
      <c r="BH160" s="245"/>
      <c r="BI160" s="245"/>
      <c r="BJ160" s="245"/>
      <c r="BK160" s="245"/>
      <c r="BL160" s="245"/>
      <c r="BM160" s="245"/>
      <c r="BN160" s="245"/>
      <c r="BO160" s="245"/>
      <c r="BP160" s="245"/>
      <c r="BQ160" s="245"/>
      <c r="BR160" s="245"/>
      <c r="BS160" s="245"/>
      <c r="BT160" s="246"/>
      <c r="BU160" s="245"/>
      <c r="BV160" s="245"/>
      <c r="BW160" s="245"/>
      <c r="BX160" s="245"/>
      <c r="BY160" s="245"/>
      <c r="BZ160" s="282"/>
      <c r="CA160" s="245"/>
      <c r="CB160" s="245"/>
      <c r="CC160" s="245"/>
      <c r="CD160" s="245"/>
      <c r="CE160" s="245"/>
      <c r="CF160" s="245"/>
    </row>
    <row r="161">
      <c r="A161" s="310" t="str">
        <f>IFERROR(__xludf.DUMMYFUNCTION("""COMPUTED_VALUE"""),"Assist Module Bonus - Core")</f>
        <v>Assist Module Bonus - Core</v>
      </c>
      <c r="B161" s="260">
        <f>IFERROR(__xludf.DUMMYFUNCTION("""COMPUTED_VALUE"""),0.0)</f>
        <v>0</v>
      </c>
      <c r="C161" s="245"/>
      <c r="D161" s="261">
        <f>IFERROR(__xludf.DUMMYFUNCTION("""COMPUTED_VALUE"""),30.0)</f>
        <v>30</v>
      </c>
      <c r="E161" s="245"/>
      <c r="F161" s="245"/>
      <c r="G161" s="245"/>
      <c r="H161" s="245"/>
      <c r="I161" s="245"/>
      <c r="J161" s="245"/>
      <c r="K161" s="265"/>
      <c r="L161" s="245"/>
      <c r="M161" s="245"/>
      <c r="N161" s="245"/>
      <c r="O161" s="245"/>
      <c r="P161" s="245"/>
      <c r="Q161" s="247"/>
      <c r="R161" s="254"/>
      <c r="S161" s="245"/>
      <c r="T161" s="245"/>
      <c r="U161" s="245"/>
      <c r="V161" s="245"/>
      <c r="W161" s="245"/>
      <c r="X161" s="245"/>
      <c r="Y161" s="249"/>
      <c r="Z161" s="276"/>
      <c r="AA161" s="245"/>
      <c r="AB161" s="276"/>
      <c r="AC161" s="276"/>
      <c r="AD161" s="246"/>
      <c r="AE161" s="278"/>
      <c r="AF161" s="370"/>
      <c r="AG161" s="371"/>
      <c r="AH161" s="276"/>
      <c r="AI161" s="245"/>
      <c r="AJ161" s="287"/>
      <c r="AK161" s="278"/>
      <c r="AL161" s="246"/>
      <c r="AM161" s="245"/>
      <c r="AN161" s="245"/>
      <c r="AO161" s="274"/>
      <c r="AP161" s="245"/>
      <c r="AQ161" s="245"/>
      <c r="AR161" s="246"/>
      <c r="AS161" s="245"/>
      <c r="AT161" s="245"/>
      <c r="AU161" s="245"/>
      <c r="AV161" s="245"/>
      <c r="AW161" s="245"/>
      <c r="AX161" s="246"/>
      <c r="AY161" s="245"/>
      <c r="AZ161" s="245"/>
      <c r="BA161" s="246"/>
      <c r="BB161" s="245"/>
      <c r="BC161" s="245"/>
      <c r="BD161" s="245"/>
      <c r="BE161" s="245"/>
      <c r="BF161" s="245"/>
      <c r="BG161" s="245"/>
      <c r="BH161" s="245"/>
      <c r="BI161" s="245"/>
      <c r="BJ161" s="245"/>
      <c r="BK161" s="245"/>
      <c r="BL161" s="245"/>
      <c r="BM161" s="245"/>
      <c r="BN161" s="245"/>
      <c r="BO161" s="245"/>
      <c r="BP161" s="245"/>
      <c r="BQ161" s="245"/>
      <c r="BR161" s="245"/>
      <c r="BS161" s="245"/>
      <c r="BT161" s="246"/>
      <c r="BU161" s="245"/>
      <c r="BV161" s="245"/>
      <c r="BW161" s="245"/>
      <c r="BX161" s="245"/>
      <c r="BY161" s="245"/>
      <c r="BZ161" s="282"/>
      <c r="CA161" s="245"/>
      <c r="CB161" s="245"/>
      <c r="CC161" s="245"/>
      <c r="CD161" s="245"/>
      <c r="CE161" s="245"/>
      <c r="CF161" s="245"/>
    </row>
    <row r="162">
      <c r="A162" s="310" t="str">
        <f>IFERROR(__xludf.DUMMYFUNCTION("""COMPUTED_VALUE"""),"Damage Mastery")</f>
        <v>Damage Mastery</v>
      </c>
      <c r="B162" s="260">
        <f>IFERROR(__xludf.DUMMYFUNCTION("""COMPUTED_VALUE"""),0.0)</f>
        <v>0</v>
      </c>
      <c r="C162" s="245"/>
      <c r="D162" s="261">
        <f>IFERROR(__xludf.DUMMYFUNCTION("""COMPUTED_VALUE"""),9.0)</f>
        <v>9</v>
      </c>
      <c r="E162" s="245"/>
      <c r="F162" s="245"/>
      <c r="G162" s="245"/>
      <c r="H162" s="245"/>
      <c r="I162" s="245"/>
      <c r="J162" s="245"/>
      <c r="K162" s="265"/>
      <c r="L162" s="245"/>
      <c r="M162" s="245"/>
      <c r="N162" s="245"/>
      <c r="O162" s="245"/>
      <c r="P162" s="245"/>
      <c r="Q162" s="247"/>
      <c r="R162" s="254"/>
      <c r="S162" s="245"/>
      <c r="T162" s="245"/>
      <c r="U162" s="245"/>
      <c r="V162" s="245"/>
      <c r="W162" s="245"/>
      <c r="X162" s="245"/>
      <c r="Y162" s="249"/>
      <c r="Z162" s="276"/>
      <c r="AA162" s="245"/>
      <c r="AB162" s="276"/>
      <c r="AC162" s="276"/>
      <c r="AD162" s="246"/>
      <c r="AE162" s="278"/>
      <c r="AF162" s="370"/>
      <c r="AG162" s="371"/>
      <c r="AH162" s="276"/>
      <c r="AI162" s="245"/>
      <c r="AJ162" s="287"/>
      <c r="AK162" s="278"/>
      <c r="AL162" s="246"/>
      <c r="AM162" s="245"/>
      <c r="AN162" s="245"/>
      <c r="AO162" s="274"/>
      <c r="AP162" s="245"/>
      <c r="AQ162" s="245"/>
      <c r="AR162" s="246"/>
      <c r="AS162" s="245"/>
      <c r="AT162" s="245"/>
      <c r="AU162" s="245"/>
      <c r="AV162" s="245"/>
      <c r="AW162" s="245"/>
      <c r="AX162" s="246"/>
      <c r="AY162" s="245"/>
      <c r="AZ162" s="245"/>
      <c r="BA162" s="246"/>
      <c r="BB162" s="245"/>
      <c r="BC162" s="245"/>
      <c r="BD162" s="245"/>
      <c r="BE162" s="245"/>
      <c r="BF162" s="245"/>
      <c r="BG162" s="245"/>
      <c r="BH162" s="245"/>
      <c r="BI162" s="245"/>
      <c r="BJ162" s="245"/>
      <c r="BK162" s="245"/>
      <c r="BL162" s="245"/>
      <c r="BM162" s="245"/>
      <c r="BN162" s="245"/>
      <c r="BO162" s="245"/>
      <c r="BP162" s="245"/>
      <c r="BQ162" s="245"/>
      <c r="BR162" s="245"/>
      <c r="BS162" s="245"/>
      <c r="BT162" s="246"/>
      <c r="BU162" s="245"/>
      <c r="BV162" s="245"/>
      <c r="BW162" s="245"/>
      <c r="BX162" s="245"/>
      <c r="BY162" s="245"/>
      <c r="BZ162" s="282"/>
      <c r="CA162" s="245"/>
      <c r="CB162" s="245"/>
      <c r="CC162" s="245"/>
      <c r="CD162" s="245"/>
      <c r="CE162" s="245"/>
      <c r="CF162" s="245"/>
    </row>
    <row r="163">
      <c r="A163" s="310" t="str">
        <f>IFERROR(__xludf.DUMMYFUNCTION("""COMPUTED_VALUE"""),"Attack Speed Mastery")</f>
        <v>Attack Speed Mastery</v>
      </c>
      <c r="B163" s="260">
        <f>IFERROR(__xludf.DUMMYFUNCTION("""COMPUTED_VALUE"""),0.0)</f>
        <v>0</v>
      </c>
      <c r="C163" s="245"/>
      <c r="D163" s="261">
        <f>IFERROR(__xludf.DUMMYFUNCTION("""COMPUTED_VALUE"""),9.0)</f>
        <v>9</v>
      </c>
      <c r="E163" s="245"/>
      <c r="F163" s="245"/>
      <c r="G163" s="245"/>
      <c r="H163" s="245"/>
      <c r="I163" s="245"/>
      <c r="J163" s="245"/>
      <c r="K163" s="265"/>
      <c r="L163" s="245"/>
      <c r="M163" s="245"/>
      <c r="N163" s="245"/>
      <c r="O163" s="245"/>
      <c r="P163" s="245"/>
      <c r="Q163" s="247"/>
      <c r="R163" s="254"/>
      <c r="S163" s="245"/>
      <c r="T163" s="245"/>
      <c r="U163" s="245"/>
      <c r="V163" s="245"/>
      <c r="W163" s="245"/>
      <c r="X163" s="245"/>
      <c r="Y163" s="249"/>
      <c r="Z163" s="276"/>
      <c r="AA163" s="245"/>
      <c r="AB163" s="276"/>
      <c r="AC163" s="276"/>
      <c r="AD163" s="246"/>
      <c r="AE163" s="278"/>
      <c r="AF163" s="370"/>
      <c r="AG163" s="371"/>
      <c r="AH163" s="276"/>
      <c r="AI163" s="245"/>
      <c r="AJ163" s="287"/>
      <c r="AK163" s="278"/>
      <c r="AL163" s="246"/>
      <c r="AM163" s="245"/>
      <c r="AN163" s="245"/>
      <c r="AO163" s="274"/>
      <c r="AP163" s="245"/>
      <c r="AQ163" s="245"/>
      <c r="AR163" s="246"/>
      <c r="AS163" s="245"/>
      <c r="AT163" s="245"/>
      <c r="AU163" s="245"/>
      <c r="AV163" s="245"/>
      <c r="AW163" s="245"/>
      <c r="AX163" s="246"/>
      <c r="AY163" s="245"/>
      <c r="AZ163" s="245"/>
      <c r="BA163" s="246"/>
      <c r="BB163" s="245"/>
      <c r="BC163" s="245"/>
      <c r="BD163" s="245"/>
      <c r="BE163" s="245"/>
      <c r="BF163" s="245"/>
      <c r="BG163" s="245"/>
      <c r="BH163" s="245"/>
      <c r="BI163" s="245"/>
      <c r="BJ163" s="245"/>
      <c r="BK163" s="245"/>
      <c r="BL163" s="245"/>
      <c r="BM163" s="245"/>
      <c r="BN163" s="245"/>
      <c r="BO163" s="245"/>
      <c r="BP163" s="245"/>
      <c r="BQ163" s="245"/>
      <c r="BR163" s="245"/>
      <c r="BS163" s="245"/>
      <c r="BT163" s="246"/>
      <c r="BU163" s="245"/>
      <c r="BV163" s="245"/>
      <c r="BW163" s="245"/>
      <c r="BX163" s="245"/>
      <c r="BY163" s="245"/>
      <c r="BZ163" s="282"/>
      <c r="CA163" s="245"/>
      <c r="CB163" s="245"/>
      <c r="CC163" s="245"/>
      <c r="CD163" s="245"/>
      <c r="CE163" s="245"/>
      <c r="CF163" s="245"/>
    </row>
    <row r="164">
      <c r="A164" s="310" t="str">
        <f>IFERROR(__xludf.DUMMYFUNCTION("""COMPUTED_VALUE"""),"Health Mastery")</f>
        <v>Health Mastery</v>
      </c>
      <c r="B164" s="260">
        <f>IFERROR(__xludf.DUMMYFUNCTION("""COMPUTED_VALUE"""),0.0)</f>
        <v>0</v>
      </c>
      <c r="C164" s="245"/>
      <c r="D164" s="261">
        <f>IFERROR(__xludf.DUMMYFUNCTION("""COMPUTED_VALUE"""),9.0)</f>
        <v>9</v>
      </c>
      <c r="E164" s="245"/>
      <c r="F164" s="245"/>
      <c r="G164" s="245"/>
      <c r="H164" s="245"/>
      <c r="I164" s="245"/>
      <c r="J164" s="245"/>
      <c r="K164" s="265"/>
      <c r="L164" s="245"/>
      <c r="M164" s="245"/>
      <c r="N164" s="245"/>
      <c r="O164" s="245"/>
      <c r="P164" s="245"/>
      <c r="Q164" s="247"/>
      <c r="R164" s="254"/>
      <c r="S164" s="245"/>
      <c r="T164" s="245"/>
      <c r="U164" s="245"/>
      <c r="V164" s="245"/>
      <c r="W164" s="245"/>
      <c r="X164" s="245"/>
      <c r="Y164" s="249"/>
      <c r="Z164" s="276"/>
      <c r="AA164" s="245"/>
      <c r="AB164" s="276"/>
      <c r="AC164" s="276"/>
      <c r="AD164" s="246"/>
      <c r="AE164" s="278"/>
      <c r="AF164" s="370"/>
      <c r="AG164" s="371"/>
      <c r="AH164" s="276"/>
      <c r="AI164" s="245"/>
      <c r="AJ164" s="287"/>
      <c r="AK164" s="278"/>
      <c r="AL164" s="246"/>
      <c r="AM164" s="245"/>
      <c r="AN164" s="245"/>
      <c r="AO164" s="274"/>
      <c r="AP164" s="245"/>
      <c r="AQ164" s="245"/>
      <c r="AR164" s="246"/>
      <c r="AS164" s="245"/>
      <c r="AT164" s="245"/>
      <c r="AU164" s="245"/>
      <c r="AV164" s="245"/>
      <c r="AW164" s="245"/>
      <c r="AX164" s="246"/>
      <c r="AY164" s="245"/>
      <c r="AZ164" s="245"/>
      <c r="BA164" s="246"/>
      <c r="BB164" s="245"/>
      <c r="BC164" s="245"/>
      <c r="BD164" s="245"/>
      <c r="BE164" s="245"/>
      <c r="BF164" s="245"/>
      <c r="BG164" s="245"/>
      <c r="BH164" s="245"/>
      <c r="BI164" s="245"/>
      <c r="BJ164" s="245"/>
      <c r="BK164" s="245"/>
      <c r="BL164" s="245"/>
      <c r="BM164" s="245"/>
      <c r="BN164" s="245"/>
      <c r="BO164" s="245"/>
      <c r="BP164" s="245"/>
      <c r="BQ164" s="245"/>
      <c r="BR164" s="245"/>
      <c r="BS164" s="245"/>
      <c r="BT164" s="246"/>
      <c r="BU164" s="245"/>
      <c r="BV164" s="245"/>
      <c r="BW164" s="245"/>
      <c r="BX164" s="245"/>
      <c r="BY164" s="245"/>
      <c r="BZ164" s="282"/>
      <c r="CA164" s="245"/>
      <c r="CB164" s="245"/>
      <c r="CC164" s="245"/>
      <c r="CD164" s="245"/>
      <c r="CE164" s="245"/>
      <c r="CF164" s="245"/>
    </row>
    <row r="165">
      <c r="A165" s="310" t="str">
        <f>IFERROR(__xludf.DUMMYFUNCTION("""COMPUTED_VALUE"""),"Health Regen Mastery")</f>
        <v>Health Regen Mastery</v>
      </c>
      <c r="B165" s="260">
        <f>IFERROR(__xludf.DUMMYFUNCTION("""COMPUTED_VALUE"""),0.0)</f>
        <v>0</v>
      </c>
      <c r="C165" s="245"/>
      <c r="D165" s="261">
        <f>IFERROR(__xludf.DUMMYFUNCTION("""COMPUTED_VALUE"""),9.0)</f>
        <v>9</v>
      </c>
      <c r="E165" s="245"/>
      <c r="F165" s="245"/>
      <c r="G165" s="245"/>
      <c r="H165" s="245"/>
      <c r="I165" s="245"/>
      <c r="J165" s="245"/>
      <c r="K165" s="265"/>
      <c r="L165" s="245"/>
      <c r="M165" s="245"/>
      <c r="N165" s="245"/>
      <c r="O165" s="245"/>
      <c r="P165" s="245"/>
      <c r="Q165" s="247"/>
      <c r="R165" s="254"/>
      <c r="S165" s="245"/>
      <c r="T165" s="245"/>
      <c r="U165" s="245"/>
      <c r="V165" s="245"/>
      <c r="W165" s="245"/>
      <c r="X165" s="245"/>
      <c r="Y165" s="249"/>
      <c r="Z165" s="276"/>
      <c r="AA165" s="245"/>
      <c r="AB165" s="276"/>
      <c r="AC165" s="276"/>
      <c r="AD165" s="246"/>
      <c r="AE165" s="278"/>
      <c r="AF165" s="370"/>
      <c r="AG165" s="371"/>
      <c r="AH165" s="276"/>
      <c r="AI165" s="245"/>
      <c r="AJ165" s="287"/>
      <c r="AK165" s="278"/>
      <c r="AL165" s="246"/>
      <c r="AM165" s="245"/>
      <c r="AN165" s="245"/>
      <c r="AO165" s="274"/>
      <c r="AP165" s="245"/>
      <c r="AQ165" s="245"/>
      <c r="AR165" s="246"/>
      <c r="AS165" s="245"/>
      <c r="AT165" s="245"/>
      <c r="AU165" s="245"/>
      <c r="AV165" s="245"/>
      <c r="AW165" s="245"/>
      <c r="AX165" s="246"/>
      <c r="AY165" s="245"/>
      <c r="AZ165" s="245"/>
      <c r="BA165" s="246"/>
      <c r="BB165" s="245"/>
      <c r="BC165" s="245"/>
      <c r="BD165" s="245"/>
      <c r="BE165" s="245"/>
      <c r="BF165" s="245"/>
      <c r="BG165" s="245"/>
      <c r="BH165" s="245"/>
      <c r="BI165" s="245"/>
      <c r="BJ165" s="245"/>
      <c r="BK165" s="245"/>
      <c r="BL165" s="245"/>
      <c r="BM165" s="245"/>
      <c r="BN165" s="245"/>
      <c r="BO165" s="245"/>
      <c r="BP165" s="245"/>
      <c r="BQ165" s="245"/>
      <c r="BR165" s="245"/>
      <c r="BS165" s="245"/>
      <c r="BT165" s="246"/>
      <c r="BU165" s="245"/>
      <c r="BV165" s="245"/>
      <c r="BW165" s="245"/>
      <c r="BX165" s="245"/>
      <c r="BY165" s="245"/>
      <c r="BZ165" s="282"/>
      <c r="CA165" s="245"/>
      <c r="CB165" s="245"/>
      <c r="CC165" s="245"/>
      <c r="CD165" s="245"/>
      <c r="CE165" s="245"/>
      <c r="CF165" s="245"/>
    </row>
    <row r="166">
      <c r="A166" s="310" t="str">
        <f>IFERROR(__xludf.DUMMYFUNCTION("""COMPUTED_VALUE"""),"Range Mastery")</f>
        <v>Range Mastery</v>
      </c>
      <c r="B166" s="260">
        <f>IFERROR(__xludf.DUMMYFUNCTION("""COMPUTED_VALUE"""),0.0)</f>
        <v>0</v>
      </c>
      <c r="C166" s="245"/>
      <c r="D166" s="261">
        <f>IFERROR(__xludf.DUMMYFUNCTION("""COMPUTED_VALUE"""),9.0)</f>
        <v>9</v>
      </c>
      <c r="E166" s="245"/>
      <c r="F166" s="245"/>
      <c r="G166" s="245"/>
      <c r="H166" s="245"/>
      <c r="I166" s="245"/>
      <c r="J166" s="245"/>
      <c r="K166" s="265"/>
      <c r="L166" s="245"/>
      <c r="M166" s="245"/>
      <c r="N166" s="245"/>
      <c r="O166" s="245"/>
      <c r="P166" s="245"/>
      <c r="Q166" s="247"/>
      <c r="R166" s="254"/>
      <c r="S166" s="245"/>
      <c r="T166" s="245"/>
      <c r="U166" s="245"/>
      <c r="V166" s="245"/>
      <c r="W166" s="245"/>
      <c r="X166" s="245"/>
      <c r="Y166" s="249"/>
      <c r="Z166" s="276"/>
      <c r="AA166" s="245"/>
      <c r="AB166" s="276"/>
      <c r="AC166" s="276"/>
      <c r="AD166" s="246"/>
      <c r="AE166" s="278"/>
      <c r="AF166" s="370"/>
      <c r="AG166" s="371"/>
      <c r="AH166" s="276"/>
      <c r="AI166" s="245"/>
      <c r="AJ166" s="287"/>
      <c r="AK166" s="278"/>
      <c r="AL166" s="246"/>
      <c r="AM166" s="245"/>
      <c r="AN166" s="245"/>
      <c r="AO166" s="274"/>
      <c r="AP166" s="245"/>
      <c r="AQ166" s="245"/>
      <c r="AR166" s="246"/>
      <c r="AS166" s="245"/>
      <c r="AT166" s="245"/>
      <c r="AU166" s="245"/>
      <c r="AV166" s="245"/>
      <c r="AW166" s="245"/>
      <c r="AX166" s="246"/>
      <c r="AY166" s="245"/>
      <c r="AZ166" s="245"/>
      <c r="BA166" s="246"/>
      <c r="BB166" s="245"/>
      <c r="BC166" s="245"/>
      <c r="BD166" s="245"/>
      <c r="BE166" s="245"/>
      <c r="BF166" s="245"/>
      <c r="BG166" s="245"/>
      <c r="BH166" s="245"/>
      <c r="BI166" s="245"/>
      <c r="BJ166" s="245"/>
      <c r="BK166" s="245"/>
      <c r="BL166" s="245"/>
      <c r="BM166" s="245"/>
      <c r="BN166" s="245"/>
      <c r="BO166" s="245"/>
      <c r="BP166" s="245"/>
      <c r="BQ166" s="245"/>
      <c r="BR166" s="245"/>
      <c r="BS166" s="245"/>
      <c r="BT166" s="246"/>
      <c r="BU166" s="245"/>
      <c r="BV166" s="245"/>
      <c r="BW166" s="245"/>
      <c r="BX166" s="245"/>
      <c r="BY166" s="245"/>
      <c r="BZ166" s="282"/>
      <c r="CA166" s="245"/>
      <c r="CB166" s="245"/>
      <c r="CC166" s="245"/>
      <c r="CD166" s="245"/>
      <c r="CE166" s="245"/>
      <c r="CF166" s="245"/>
    </row>
    <row r="167">
      <c r="A167" s="310" t="str">
        <f>IFERROR(__xludf.DUMMYFUNCTION("""COMPUTED_VALUE"""),"Cash Mastery")</f>
        <v>Cash Mastery</v>
      </c>
      <c r="B167" s="260">
        <f>IFERROR(__xludf.DUMMYFUNCTION("""COMPUTED_VALUE"""),1.0)</f>
        <v>1</v>
      </c>
      <c r="C167" s="245"/>
      <c r="D167" s="261">
        <f>IFERROR(__xludf.DUMMYFUNCTION("""COMPUTED_VALUE"""),9.0)</f>
        <v>9</v>
      </c>
      <c r="E167" s="245"/>
      <c r="F167" s="245"/>
      <c r="G167" s="245"/>
      <c r="H167" s="245"/>
      <c r="I167" s="245"/>
      <c r="J167" s="245"/>
      <c r="K167" s="265"/>
      <c r="L167" s="245"/>
      <c r="M167" s="245"/>
      <c r="N167" s="245"/>
      <c r="O167" s="245"/>
      <c r="P167" s="245"/>
      <c r="Q167" s="247"/>
      <c r="R167" s="254"/>
      <c r="S167" s="245"/>
      <c r="T167" s="245"/>
      <c r="U167" s="245"/>
      <c r="V167" s="245"/>
      <c r="W167" s="245"/>
      <c r="X167" s="245"/>
      <c r="Y167" s="249"/>
      <c r="Z167" s="276"/>
      <c r="AA167" s="245"/>
      <c r="AB167" s="276"/>
      <c r="AC167" s="276"/>
      <c r="AD167" s="246"/>
      <c r="AE167" s="278"/>
      <c r="AF167" s="370"/>
      <c r="AG167" s="371"/>
      <c r="AH167" s="276"/>
      <c r="AI167" s="245"/>
      <c r="AJ167" s="287"/>
      <c r="AK167" s="278"/>
      <c r="AL167" s="246"/>
      <c r="AM167" s="245"/>
      <c r="AN167" s="245"/>
      <c r="AO167" s="274"/>
      <c r="AP167" s="245"/>
      <c r="AQ167" s="245"/>
      <c r="AR167" s="246"/>
      <c r="AS167" s="245"/>
      <c r="AT167" s="245"/>
      <c r="AU167" s="245"/>
      <c r="AV167" s="245"/>
      <c r="AW167" s="245"/>
      <c r="AX167" s="246"/>
      <c r="AY167" s="245"/>
      <c r="AZ167" s="245"/>
      <c r="BA167" s="246"/>
      <c r="BB167" s="245"/>
      <c r="BC167" s="245"/>
      <c r="BD167" s="245"/>
      <c r="BE167" s="245"/>
      <c r="BF167" s="245"/>
      <c r="BG167" s="245"/>
      <c r="BH167" s="245"/>
      <c r="BI167" s="245"/>
      <c r="BJ167" s="245"/>
      <c r="BK167" s="245"/>
      <c r="BL167" s="245"/>
      <c r="BM167" s="245"/>
      <c r="BN167" s="245"/>
      <c r="BO167" s="245"/>
      <c r="BP167" s="245"/>
      <c r="BQ167" s="245"/>
      <c r="BR167" s="245"/>
      <c r="BS167" s="245"/>
      <c r="BT167" s="246"/>
      <c r="BU167" s="245"/>
      <c r="BV167" s="245"/>
      <c r="BW167" s="245"/>
      <c r="BX167" s="245"/>
      <c r="BY167" s="245"/>
      <c r="BZ167" s="282"/>
      <c r="CA167" s="245"/>
      <c r="CB167" s="245"/>
      <c r="CC167" s="245"/>
      <c r="CD167" s="245"/>
      <c r="CE167" s="245"/>
      <c r="CF167" s="245"/>
    </row>
    <row r="168">
      <c r="A168" s="310" t="str">
        <f>IFERROR(__xludf.DUMMYFUNCTION("""COMPUTED_VALUE"""),"Coins Mastery")</f>
        <v>Coins Mastery</v>
      </c>
      <c r="B168" s="260">
        <f>IFERROR(__xludf.DUMMYFUNCTION("""COMPUTED_VALUE"""),0.0)</f>
        <v>0</v>
      </c>
      <c r="C168" s="245"/>
      <c r="D168" s="261">
        <f>IFERROR(__xludf.DUMMYFUNCTION("""COMPUTED_VALUE"""),9.0)</f>
        <v>9</v>
      </c>
      <c r="E168" s="245"/>
      <c r="F168" s="245"/>
      <c r="G168" s="245"/>
      <c r="H168" s="245"/>
      <c r="I168" s="245"/>
      <c r="J168" s="245"/>
      <c r="K168" s="265"/>
      <c r="L168" s="245"/>
      <c r="M168" s="245"/>
      <c r="N168" s="245"/>
      <c r="O168" s="245"/>
      <c r="P168" s="245"/>
      <c r="Q168" s="247"/>
      <c r="R168" s="254"/>
      <c r="S168" s="245"/>
      <c r="T168" s="245"/>
      <c r="U168" s="245"/>
      <c r="V168" s="245"/>
      <c r="W168" s="245"/>
      <c r="X168" s="245"/>
      <c r="Y168" s="249"/>
      <c r="Z168" s="276"/>
      <c r="AA168" s="245"/>
      <c r="AB168" s="276"/>
      <c r="AC168" s="276"/>
      <c r="AD168" s="246"/>
      <c r="AE168" s="278"/>
      <c r="AF168" s="370"/>
      <c r="AG168" s="371"/>
      <c r="AH168" s="276"/>
      <c r="AI168" s="245"/>
      <c r="AJ168" s="287"/>
      <c r="AK168" s="278"/>
      <c r="AL168" s="246"/>
      <c r="AM168" s="245"/>
      <c r="AN168" s="245"/>
      <c r="AO168" s="274"/>
      <c r="AP168" s="245"/>
      <c r="AQ168" s="245"/>
      <c r="AR168" s="246"/>
      <c r="AS168" s="245"/>
      <c r="AT168" s="245"/>
      <c r="AU168" s="245"/>
      <c r="AV168" s="245"/>
      <c r="AW168" s="245"/>
      <c r="AX168" s="246"/>
      <c r="AY168" s="245"/>
      <c r="AZ168" s="245"/>
      <c r="BA168" s="246"/>
      <c r="BB168" s="245"/>
      <c r="BC168" s="245"/>
      <c r="BD168" s="245"/>
      <c r="BE168" s="245"/>
      <c r="BF168" s="245"/>
      <c r="BG168" s="245"/>
      <c r="BH168" s="245"/>
      <c r="BI168" s="245"/>
      <c r="BJ168" s="245"/>
      <c r="BK168" s="245"/>
      <c r="BL168" s="245"/>
      <c r="BM168" s="245"/>
      <c r="BN168" s="245"/>
      <c r="BO168" s="245"/>
      <c r="BP168" s="245"/>
      <c r="BQ168" s="245"/>
      <c r="BR168" s="245"/>
      <c r="BS168" s="245"/>
      <c r="BT168" s="246"/>
      <c r="BU168" s="245"/>
      <c r="BV168" s="245"/>
      <c r="BW168" s="245"/>
      <c r="BX168" s="245"/>
      <c r="BY168" s="245"/>
      <c r="BZ168" s="282"/>
      <c r="CA168" s="245"/>
      <c r="CB168" s="245"/>
      <c r="CC168" s="245"/>
      <c r="CD168" s="245"/>
      <c r="CE168" s="245"/>
      <c r="CF168" s="245"/>
    </row>
    <row r="169">
      <c r="A169" s="310" t="str">
        <f>IFERROR(__xludf.DUMMYFUNCTION("""COMPUTED_VALUE"""),"Slow Aura Mastery")</f>
        <v>Slow Aura Mastery</v>
      </c>
      <c r="B169" s="260">
        <f>IFERROR(__xludf.DUMMYFUNCTION("""COMPUTED_VALUE"""),0.0)</f>
        <v>0</v>
      </c>
      <c r="C169" s="245"/>
      <c r="D169" s="261">
        <f>IFERROR(__xludf.DUMMYFUNCTION("""COMPUTED_VALUE"""),9.0)</f>
        <v>9</v>
      </c>
      <c r="E169" s="245"/>
      <c r="F169" s="245"/>
      <c r="G169" s="245"/>
      <c r="H169" s="245"/>
      <c r="I169" s="245"/>
      <c r="J169" s="245"/>
      <c r="K169" s="265"/>
      <c r="L169" s="245"/>
      <c r="M169" s="245"/>
      <c r="N169" s="245"/>
      <c r="O169" s="245"/>
      <c r="P169" s="245"/>
      <c r="Q169" s="247"/>
      <c r="R169" s="254"/>
      <c r="S169" s="245"/>
      <c r="T169" s="245"/>
      <c r="U169" s="245"/>
      <c r="V169" s="245"/>
      <c r="W169" s="245"/>
      <c r="X169" s="245"/>
      <c r="Y169" s="249"/>
      <c r="Z169" s="276"/>
      <c r="AA169" s="245"/>
      <c r="AB169" s="276"/>
      <c r="AC169" s="276"/>
      <c r="AD169" s="246"/>
      <c r="AE169" s="278"/>
      <c r="AF169" s="370"/>
      <c r="AG169" s="371"/>
      <c r="AH169" s="276"/>
      <c r="AI169" s="245"/>
      <c r="AJ169" s="287"/>
      <c r="AK169" s="278"/>
      <c r="AL169" s="246"/>
      <c r="AM169" s="245"/>
      <c r="AN169" s="245"/>
      <c r="AO169" s="274"/>
      <c r="AP169" s="245"/>
      <c r="AQ169" s="245"/>
      <c r="AR169" s="246"/>
      <c r="AS169" s="245"/>
      <c r="AT169" s="245"/>
      <c r="AU169" s="245"/>
      <c r="AV169" s="245"/>
      <c r="AW169" s="245"/>
      <c r="AX169" s="246"/>
      <c r="AY169" s="245"/>
      <c r="AZ169" s="245"/>
      <c r="BA169" s="246"/>
      <c r="BB169" s="245"/>
      <c r="BC169" s="245"/>
      <c r="BD169" s="245"/>
      <c r="BE169" s="245"/>
      <c r="BF169" s="245"/>
      <c r="BG169" s="245"/>
      <c r="BH169" s="245"/>
      <c r="BI169" s="245"/>
      <c r="BJ169" s="245"/>
      <c r="BK169" s="245"/>
      <c r="BL169" s="245"/>
      <c r="BM169" s="245"/>
      <c r="BN169" s="245"/>
      <c r="BO169" s="245"/>
      <c r="BP169" s="245"/>
      <c r="BQ169" s="245"/>
      <c r="BR169" s="245"/>
      <c r="BS169" s="245"/>
      <c r="BT169" s="246"/>
      <c r="BU169" s="245"/>
      <c r="BV169" s="245"/>
      <c r="BW169" s="245"/>
      <c r="BX169" s="245"/>
      <c r="BY169" s="245"/>
      <c r="BZ169" s="282"/>
      <c r="CA169" s="245"/>
      <c r="CB169" s="245"/>
      <c r="CC169" s="245"/>
      <c r="CD169" s="245"/>
      <c r="CE169" s="245"/>
      <c r="CF169" s="245"/>
    </row>
    <row r="170">
      <c r="A170" s="310" t="str">
        <f>IFERROR(__xludf.DUMMYFUNCTION("""COMPUTED_VALUE"""),"Critical Chance Mastery")</f>
        <v>Critical Chance Mastery</v>
      </c>
      <c r="B170" s="260">
        <f>IFERROR(__xludf.DUMMYFUNCTION("""COMPUTED_VALUE"""),0.0)</f>
        <v>0</v>
      </c>
      <c r="C170" s="245"/>
      <c r="D170" s="261">
        <f>IFERROR(__xludf.DUMMYFUNCTION("""COMPUTED_VALUE"""),9.0)</f>
        <v>9</v>
      </c>
      <c r="E170" s="245"/>
      <c r="F170" s="245"/>
      <c r="G170" s="245"/>
      <c r="H170" s="245"/>
      <c r="I170" s="245"/>
      <c r="J170" s="245"/>
      <c r="K170" s="265"/>
      <c r="L170" s="245"/>
      <c r="M170" s="245"/>
      <c r="N170" s="245"/>
      <c r="O170" s="245"/>
      <c r="P170" s="245"/>
      <c r="Q170" s="247"/>
      <c r="R170" s="254"/>
      <c r="S170" s="245"/>
      <c r="T170" s="245"/>
      <c r="U170" s="245"/>
      <c r="V170" s="245"/>
      <c r="W170" s="245"/>
      <c r="X170" s="245"/>
      <c r="Y170" s="249"/>
      <c r="Z170" s="276"/>
      <c r="AA170" s="245"/>
      <c r="AB170" s="276"/>
      <c r="AC170" s="276"/>
      <c r="AD170" s="246"/>
      <c r="AE170" s="278"/>
      <c r="AF170" s="370"/>
      <c r="AG170" s="371"/>
      <c r="AH170" s="276"/>
      <c r="AI170" s="245"/>
      <c r="AJ170" s="287"/>
      <c r="AK170" s="278"/>
      <c r="AL170" s="246"/>
      <c r="AM170" s="245"/>
      <c r="AN170" s="245"/>
      <c r="AO170" s="274"/>
      <c r="AP170" s="245"/>
      <c r="AQ170" s="245"/>
      <c r="AR170" s="246"/>
      <c r="AS170" s="245"/>
      <c r="AT170" s="245"/>
      <c r="AU170" s="245"/>
      <c r="AV170" s="245"/>
      <c r="AW170" s="245"/>
      <c r="AX170" s="246"/>
      <c r="AY170" s="245"/>
      <c r="AZ170" s="245"/>
      <c r="BA170" s="246"/>
      <c r="BB170" s="245"/>
      <c r="BC170" s="245"/>
      <c r="BD170" s="245"/>
      <c r="BE170" s="245"/>
      <c r="BF170" s="245"/>
      <c r="BG170" s="245"/>
      <c r="BH170" s="245"/>
      <c r="BI170" s="245"/>
      <c r="BJ170" s="245"/>
      <c r="BK170" s="245"/>
      <c r="BL170" s="245"/>
      <c r="BM170" s="245"/>
      <c r="BN170" s="245"/>
      <c r="BO170" s="245"/>
      <c r="BP170" s="245"/>
      <c r="BQ170" s="245"/>
      <c r="BR170" s="245"/>
      <c r="BS170" s="245"/>
      <c r="BT170" s="246"/>
      <c r="BU170" s="245"/>
      <c r="BV170" s="245"/>
      <c r="BW170" s="245"/>
      <c r="BX170" s="245"/>
      <c r="BY170" s="245"/>
      <c r="BZ170" s="282"/>
      <c r="CA170" s="245"/>
      <c r="CB170" s="245"/>
      <c r="CC170" s="245"/>
      <c r="CD170" s="245"/>
      <c r="CE170" s="245"/>
      <c r="CF170" s="245"/>
    </row>
    <row r="171">
      <c r="A171" s="310" t="str">
        <f>IFERROR(__xludf.DUMMYFUNCTION("""COMPUTED_VALUE"""),"Enemy Balance Mastery")</f>
        <v>Enemy Balance Mastery</v>
      </c>
      <c r="B171" s="260">
        <f>IFERROR(__xludf.DUMMYFUNCTION("""COMPUTED_VALUE"""),0.0)</f>
        <v>0</v>
      </c>
      <c r="C171" s="245"/>
      <c r="D171" s="261">
        <f>IFERROR(__xludf.DUMMYFUNCTION("""COMPUTED_VALUE"""),9.0)</f>
        <v>9</v>
      </c>
      <c r="E171" s="245"/>
      <c r="F171" s="245"/>
      <c r="G171" s="245"/>
      <c r="H171" s="245"/>
      <c r="I171" s="245"/>
      <c r="J171" s="245"/>
      <c r="K171" s="265"/>
      <c r="L171" s="245"/>
      <c r="M171" s="245"/>
      <c r="N171" s="245"/>
      <c r="O171" s="245"/>
      <c r="P171" s="245"/>
      <c r="Q171" s="247"/>
      <c r="R171" s="254"/>
      <c r="S171" s="245"/>
      <c r="T171" s="245"/>
      <c r="U171" s="245"/>
      <c r="V171" s="245"/>
      <c r="W171" s="245"/>
      <c r="X171" s="245"/>
      <c r="Y171" s="249"/>
      <c r="Z171" s="276"/>
      <c r="AA171" s="245"/>
      <c r="AB171" s="276"/>
      <c r="AC171" s="276"/>
      <c r="AD171" s="246"/>
      <c r="AE171" s="278"/>
      <c r="AF171" s="370"/>
      <c r="AG171" s="371"/>
      <c r="AH171" s="276"/>
      <c r="AI171" s="245"/>
      <c r="AJ171" s="287"/>
      <c r="AK171" s="278"/>
      <c r="AL171" s="246"/>
      <c r="AM171" s="245"/>
      <c r="AN171" s="245"/>
      <c r="AO171" s="274"/>
      <c r="AP171" s="245"/>
      <c r="AQ171" s="245"/>
      <c r="AR171" s="246"/>
      <c r="AS171" s="245"/>
      <c r="AT171" s="245"/>
      <c r="AU171" s="245"/>
      <c r="AV171" s="245"/>
      <c r="AW171" s="245"/>
      <c r="AX171" s="246"/>
      <c r="AY171" s="245"/>
      <c r="AZ171" s="245"/>
      <c r="BA171" s="246"/>
      <c r="BB171" s="245"/>
      <c r="BC171" s="245"/>
      <c r="BD171" s="245"/>
      <c r="BE171" s="245"/>
      <c r="BF171" s="245"/>
      <c r="BG171" s="245"/>
      <c r="BH171" s="245"/>
      <c r="BI171" s="245"/>
      <c r="BJ171" s="245"/>
      <c r="BK171" s="245"/>
      <c r="BL171" s="245"/>
      <c r="BM171" s="245"/>
      <c r="BN171" s="245"/>
      <c r="BO171" s="245"/>
      <c r="BP171" s="245"/>
      <c r="BQ171" s="245"/>
      <c r="BR171" s="245"/>
      <c r="BS171" s="245"/>
      <c r="BT171" s="246"/>
      <c r="BU171" s="245"/>
      <c r="BV171" s="245"/>
      <c r="BW171" s="245"/>
      <c r="BX171" s="245"/>
      <c r="BY171" s="245"/>
      <c r="BZ171" s="282"/>
      <c r="CA171" s="245"/>
      <c r="CB171" s="245"/>
      <c r="CC171" s="245"/>
      <c r="CD171" s="245"/>
      <c r="CE171" s="245"/>
      <c r="CF171" s="245"/>
    </row>
    <row r="172">
      <c r="A172" s="310" t="str">
        <f>IFERROR(__xludf.DUMMYFUNCTION("""COMPUTED_VALUE"""),"Extra Defense Mastery")</f>
        <v>Extra Defense Mastery</v>
      </c>
      <c r="B172" s="260">
        <f>IFERROR(__xludf.DUMMYFUNCTION("""COMPUTED_VALUE"""),0.0)</f>
        <v>0</v>
      </c>
      <c r="C172" s="245"/>
      <c r="D172" s="261">
        <f>IFERROR(__xludf.DUMMYFUNCTION("""COMPUTED_VALUE"""),9.0)</f>
        <v>9</v>
      </c>
      <c r="E172" s="245"/>
      <c r="F172" s="245"/>
      <c r="G172" s="245"/>
      <c r="H172" s="245"/>
      <c r="I172" s="245"/>
      <c r="J172" s="245"/>
      <c r="K172" s="265"/>
      <c r="L172" s="245"/>
      <c r="M172" s="245"/>
      <c r="N172" s="245"/>
      <c r="O172" s="245"/>
      <c r="P172" s="245"/>
      <c r="Q172" s="247"/>
      <c r="R172" s="254"/>
      <c r="S172" s="245"/>
      <c r="T172" s="245"/>
      <c r="U172" s="245"/>
      <c r="V172" s="245"/>
      <c r="W172" s="245"/>
      <c r="X172" s="245"/>
      <c r="Y172" s="249"/>
      <c r="Z172" s="276"/>
      <c r="AA172" s="245"/>
      <c r="AB172" s="276"/>
      <c r="AC172" s="276"/>
      <c r="AD172" s="246"/>
      <c r="AE172" s="278"/>
      <c r="AF172" s="370"/>
      <c r="AG172" s="371"/>
      <c r="AH172" s="276"/>
      <c r="AI172" s="245"/>
      <c r="AJ172" s="287"/>
      <c r="AK172" s="278"/>
      <c r="AL172" s="246"/>
      <c r="AM172" s="245"/>
      <c r="AN172" s="245"/>
      <c r="AO172" s="274"/>
      <c r="AP172" s="245"/>
      <c r="AQ172" s="245"/>
      <c r="AR172" s="246"/>
      <c r="AS172" s="245"/>
      <c r="AT172" s="245"/>
      <c r="AU172" s="245"/>
      <c r="AV172" s="245"/>
      <c r="AW172" s="245"/>
      <c r="AX172" s="246"/>
      <c r="AY172" s="245"/>
      <c r="AZ172" s="245"/>
      <c r="BA172" s="246"/>
      <c r="BB172" s="245"/>
      <c r="BC172" s="245"/>
      <c r="BD172" s="245"/>
      <c r="BE172" s="245"/>
      <c r="BF172" s="245"/>
      <c r="BG172" s="245"/>
      <c r="BH172" s="245"/>
      <c r="BI172" s="245"/>
      <c r="BJ172" s="245"/>
      <c r="BK172" s="245"/>
      <c r="BL172" s="245"/>
      <c r="BM172" s="245"/>
      <c r="BN172" s="245"/>
      <c r="BO172" s="245"/>
      <c r="BP172" s="245"/>
      <c r="BQ172" s="245"/>
      <c r="BR172" s="245"/>
      <c r="BS172" s="245"/>
      <c r="BT172" s="246"/>
      <c r="BU172" s="245"/>
      <c r="BV172" s="245"/>
      <c r="BW172" s="245"/>
      <c r="BX172" s="245"/>
      <c r="BY172" s="245"/>
      <c r="BZ172" s="282"/>
      <c r="CA172" s="245"/>
      <c r="CB172" s="245"/>
      <c r="CC172" s="245"/>
      <c r="CD172" s="245"/>
      <c r="CE172" s="245"/>
      <c r="CF172" s="245"/>
    </row>
    <row r="173">
      <c r="A173" s="310" t="str">
        <f>IFERROR(__xludf.DUMMYFUNCTION("""COMPUTED_VALUE"""),"Fortress Mastery")</f>
        <v>Fortress Mastery</v>
      </c>
      <c r="B173" s="260">
        <f>IFERROR(__xludf.DUMMYFUNCTION("""COMPUTED_VALUE"""),0.0)</f>
        <v>0</v>
      </c>
      <c r="C173" s="245"/>
      <c r="D173" s="261">
        <f>IFERROR(__xludf.DUMMYFUNCTION("""COMPUTED_VALUE"""),9.0)</f>
        <v>9</v>
      </c>
      <c r="E173" s="245"/>
      <c r="F173" s="245"/>
      <c r="G173" s="245"/>
      <c r="H173" s="245"/>
      <c r="I173" s="245"/>
      <c r="J173" s="245"/>
      <c r="K173" s="265"/>
      <c r="L173" s="245"/>
      <c r="M173" s="245"/>
      <c r="N173" s="245"/>
      <c r="O173" s="245"/>
      <c r="P173" s="245"/>
      <c r="Q173" s="247"/>
      <c r="R173" s="254"/>
      <c r="S173" s="245"/>
      <c r="T173" s="245"/>
      <c r="U173" s="245"/>
      <c r="V173" s="245"/>
      <c r="W173" s="245"/>
      <c r="X173" s="245"/>
      <c r="Y173" s="249"/>
      <c r="Z173" s="276"/>
      <c r="AA173" s="245"/>
      <c r="AB173" s="276"/>
      <c r="AC173" s="276"/>
      <c r="AD173" s="246"/>
      <c r="AE173" s="278"/>
      <c r="AF173" s="370"/>
      <c r="AG173" s="371"/>
      <c r="AH173" s="276"/>
      <c r="AI173" s="245"/>
      <c r="AJ173" s="287"/>
      <c r="AK173" s="278"/>
      <c r="AL173" s="246"/>
      <c r="AM173" s="245"/>
      <c r="AN173" s="245"/>
      <c r="AO173" s="274"/>
      <c r="AP173" s="245"/>
      <c r="AQ173" s="245"/>
      <c r="AR173" s="246"/>
      <c r="AS173" s="245"/>
      <c r="AT173" s="245"/>
      <c r="AU173" s="245"/>
      <c r="AV173" s="245"/>
      <c r="AW173" s="245"/>
      <c r="AX173" s="246"/>
      <c r="AY173" s="245"/>
      <c r="AZ173" s="245"/>
      <c r="BA173" s="246"/>
      <c r="BB173" s="245"/>
      <c r="BC173" s="245"/>
      <c r="BD173" s="245"/>
      <c r="BE173" s="245"/>
      <c r="BF173" s="245"/>
      <c r="BG173" s="245"/>
      <c r="BH173" s="245"/>
      <c r="BI173" s="245"/>
      <c r="BJ173" s="245"/>
      <c r="BK173" s="245"/>
      <c r="BL173" s="245"/>
      <c r="BM173" s="245"/>
      <c r="BN173" s="245"/>
      <c r="BO173" s="245"/>
      <c r="BP173" s="245"/>
      <c r="BQ173" s="245"/>
      <c r="BR173" s="245"/>
      <c r="BS173" s="245"/>
      <c r="BT173" s="246"/>
      <c r="BU173" s="245"/>
      <c r="BV173" s="245"/>
      <c r="BW173" s="245"/>
      <c r="BX173" s="245"/>
      <c r="BY173" s="245"/>
      <c r="BZ173" s="282"/>
      <c r="CA173" s="245"/>
      <c r="CB173" s="245"/>
      <c r="CC173" s="245"/>
      <c r="CD173" s="245"/>
      <c r="CE173" s="245"/>
      <c r="CF173" s="245"/>
    </row>
    <row r="174">
      <c r="A174" s="310" t="str">
        <f>IFERROR(__xludf.DUMMYFUNCTION("""COMPUTED_VALUE"""),"Free Upgrades Mastery")</f>
        <v>Free Upgrades Mastery</v>
      </c>
      <c r="B174" s="260">
        <f>IFERROR(__xludf.DUMMYFUNCTION("""COMPUTED_VALUE"""),0.0)</f>
        <v>0</v>
      </c>
      <c r="C174" s="245"/>
      <c r="D174" s="261">
        <f>IFERROR(__xludf.DUMMYFUNCTION("""COMPUTED_VALUE"""),9.0)</f>
        <v>9</v>
      </c>
      <c r="E174" s="245"/>
      <c r="F174" s="245"/>
      <c r="G174" s="245"/>
      <c r="H174" s="245"/>
      <c r="I174" s="245"/>
      <c r="J174" s="245"/>
      <c r="K174" s="265"/>
      <c r="L174" s="245"/>
      <c r="M174" s="245"/>
      <c r="N174" s="245"/>
      <c r="O174" s="245"/>
      <c r="P174" s="245"/>
      <c r="Q174" s="247"/>
      <c r="R174" s="254"/>
      <c r="S174" s="245"/>
      <c r="T174" s="245"/>
      <c r="U174" s="245"/>
      <c r="V174" s="245"/>
      <c r="W174" s="245"/>
      <c r="X174" s="245"/>
      <c r="Y174" s="249"/>
      <c r="Z174" s="276"/>
      <c r="AA174" s="245"/>
      <c r="AB174" s="276"/>
      <c r="AC174" s="276"/>
      <c r="AD174" s="246"/>
      <c r="AE174" s="278"/>
      <c r="AF174" s="370"/>
      <c r="AG174" s="371"/>
      <c r="AH174" s="276"/>
      <c r="AI174" s="245"/>
      <c r="AJ174" s="287"/>
      <c r="AK174" s="278"/>
      <c r="AL174" s="246"/>
      <c r="AM174" s="245"/>
      <c r="AN174" s="245"/>
      <c r="AO174" s="274"/>
      <c r="AP174" s="245"/>
      <c r="AQ174" s="245"/>
      <c r="AR174" s="246"/>
      <c r="AS174" s="245"/>
      <c r="AT174" s="245"/>
      <c r="AU174" s="245"/>
      <c r="AV174" s="245"/>
      <c r="AW174" s="245"/>
      <c r="AX174" s="246"/>
      <c r="AY174" s="245"/>
      <c r="AZ174" s="245"/>
      <c r="BA174" s="246"/>
      <c r="BB174" s="245"/>
      <c r="BC174" s="245"/>
      <c r="BD174" s="245"/>
      <c r="BE174" s="245"/>
      <c r="BF174" s="245"/>
      <c r="BG174" s="245"/>
      <c r="BH174" s="245"/>
      <c r="BI174" s="245"/>
      <c r="BJ174" s="245"/>
      <c r="BK174" s="245"/>
      <c r="BL174" s="245"/>
      <c r="BM174" s="245"/>
      <c r="BN174" s="245"/>
      <c r="BO174" s="245"/>
      <c r="BP174" s="245"/>
      <c r="BQ174" s="245"/>
      <c r="BR174" s="245"/>
      <c r="BS174" s="245"/>
      <c r="BT174" s="246"/>
      <c r="BU174" s="245"/>
      <c r="BV174" s="245"/>
      <c r="BW174" s="245"/>
      <c r="BX174" s="245"/>
      <c r="BY174" s="245"/>
      <c r="BZ174" s="282"/>
      <c r="CA174" s="245"/>
      <c r="CB174" s="245"/>
      <c r="CC174" s="245"/>
      <c r="CD174" s="245"/>
      <c r="CE174" s="245"/>
      <c r="CF174" s="245"/>
    </row>
    <row r="175">
      <c r="A175" s="310" t="str">
        <f>IFERROR(__xludf.DUMMYFUNCTION("""COMPUTED_VALUE"""),"Extra Orb Mastery")</f>
        <v>Extra Orb Mastery</v>
      </c>
      <c r="B175" s="260">
        <f>IFERROR(__xludf.DUMMYFUNCTION("""COMPUTED_VALUE"""),0.0)</f>
        <v>0</v>
      </c>
      <c r="C175" s="245"/>
      <c r="D175" s="368">
        <f>IFERROR(__xludf.DUMMYFUNCTION("""COMPUTED_VALUE"""),9.0)</f>
        <v>9</v>
      </c>
      <c r="E175" s="245"/>
      <c r="F175" s="245"/>
      <c r="G175" s="245"/>
      <c r="H175" s="245"/>
      <c r="I175" s="245"/>
      <c r="J175" s="245"/>
      <c r="K175" s="265"/>
      <c r="L175" s="245"/>
      <c r="M175" s="245"/>
      <c r="N175" s="245"/>
      <c r="O175" s="245"/>
      <c r="P175" s="245"/>
      <c r="Q175" s="247"/>
      <c r="R175" s="254"/>
      <c r="S175" s="245"/>
      <c r="T175" s="245"/>
      <c r="U175" s="245"/>
      <c r="V175" s="245"/>
      <c r="W175" s="245"/>
      <c r="X175" s="245"/>
      <c r="Y175" s="249"/>
      <c r="Z175" s="276"/>
      <c r="AA175" s="245"/>
      <c r="AB175" s="276"/>
      <c r="AC175" s="276"/>
      <c r="AD175" s="246"/>
      <c r="AE175" s="278"/>
      <c r="AF175" s="370"/>
      <c r="AG175" s="371"/>
      <c r="AH175" s="276"/>
      <c r="AI175" s="245"/>
      <c r="AJ175" s="287"/>
      <c r="AK175" s="278"/>
      <c r="AL175" s="246"/>
      <c r="AM175" s="245"/>
      <c r="AN175" s="245"/>
      <c r="AO175" s="274"/>
      <c r="AP175" s="245"/>
      <c r="AQ175" s="245"/>
      <c r="AR175" s="246"/>
      <c r="AS175" s="245"/>
      <c r="AT175" s="245"/>
      <c r="AU175" s="245"/>
      <c r="AV175" s="245"/>
      <c r="AW175" s="245"/>
      <c r="AX175" s="246"/>
      <c r="AY175" s="245"/>
      <c r="AZ175" s="245"/>
      <c r="BA175" s="246"/>
      <c r="BB175" s="245"/>
      <c r="BC175" s="245"/>
      <c r="BD175" s="245"/>
      <c r="BE175" s="245"/>
      <c r="BF175" s="245"/>
      <c r="BG175" s="245"/>
      <c r="BH175" s="245"/>
      <c r="BI175" s="245"/>
      <c r="BJ175" s="245"/>
      <c r="BK175" s="245"/>
      <c r="BL175" s="245"/>
      <c r="BM175" s="245"/>
      <c r="BN175" s="245"/>
      <c r="BO175" s="245"/>
      <c r="BP175" s="245"/>
      <c r="BQ175" s="245"/>
      <c r="BR175" s="245"/>
      <c r="BS175" s="245"/>
      <c r="BT175" s="246"/>
      <c r="BU175" s="245"/>
      <c r="BV175" s="245"/>
      <c r="BW175" s="245"/>
      <c r="BX175" s="245"/>
      <c r="BY175" s="245"/>
      <c r="BZ175" s="282"/>
      <c r="CA175" s="245"/>
      <c r="CB175" s="245"/>
      <c r="CC175" s="245"/>
      <c r="CD175" s="245"/>
      <c r="CE175" s="245"/>
      <c r="CF175" s="245"/>
    </row>
    <row r="176">
      <c r="A176" s="305" t="str">
        <f>IFERROR(__xludf.DUMMYFUNCTION("""COMPUTED_VALUE"""),"Plasma Cannon Mastery")</f>
        <v>Plasma Cannon Mastery</v>
      </c>
      <c r="B176" s="279">
        <f>IFERROR(__xludf.DUMMYFUNCTION("""COMPUTED_VALUE"""),0.0)</f>
        <v>0</v>
      </c>
      <c r="C176" s="245"/>
      <c r="D176" s="368">
        <f>IFERROR(__xludf.DUMMYFUNCTION("""COMPUTED_VALUE"""),9.0)</f>
        <v>9</v>
      </c>
      <c r="E176" s="245"/>
      <c r="F176" s="245"/>
      <c r="G176" s="245"/>
      <c r="H176" s="245"/>
      <c r="I176" s="245"/>
      <c r="J176" s="245"/>
      <c r="K176" s="265"/>
      <c r="L176" s="245"/>
      <c r="M176" s="245"/>
      <c r="N176" s="245"/>
      <c r="O176" s="245"/>
      <c r="P176" s="245"/>
      <c r="Q176" s="247"/>
      <c r="R176" s="254"/>
      <c r="S176" s="245"/>
      <c r="T176" s="245"/>
      <c r="U176" s="245"/>
      <c r="V176" s="245"/>
      <c r="W176" s="245"/>
      <c r="X176" s="245"/>
      <c r="Y176" s="249"/>
      <c r="Z176" s="276"/>
      <c r="AA176" s="245"/>
      <c r="AB176" s="276"/>
      <c r="AC176" s="276"/>
      <c r="AD176" s="246"/>
      <c r="AE176" s="278"/>
      <c r="AF176" s="370"/>
      <c r="AG176" s="371"/>
      <c r="AH176" s="276"/>
      <c r="AI176" s="245"/>
      <c r="AJ176" s="287"/>
      <c r="AK176" s="278"/>
      <c r="AL176" s="246"/>
      <c r="AM176" s="245"/>
      <c r="AN176" s="245"/>
      <c r="AO176" s="274"/>
      <c r="AP176" s="245"/>
      <c r="AQ176" s="245"/>
      <c r="AR176" s="246"/>
      <c r="AS176" s="245"/>
      <c r="AT176" s="245"/>
      <c r="AU176" s="245"/>
      <c r="AV176" s="245"/>
      <c r="AW176" s="245"/>
      <c r="AX176" s="246"/>
      <c r="AY176" s="245"/>
      <c r="AZ176" s="245"/>
      <c r="BA176" s="246"/>
      <c r="BB176" s="245"/>
      <c r="BC176" s="245"/>
      <c r="BD176" s="245"/>
      <c r="BE176" s="245"/>
      <c r="BF176" s="245"/>
      <c r="BG176" s="245"/>
      <c r="BH176" s="245"/>
      <c r="BI176" s="245"/>
      <c r="BJ176" s="245"/>
      <c r="BK176" s="245"/>
      <c r="BL176" s="245"/>
      <c r="BM176" s="245"/>
      <c r="BN176" s="245"/>
      <c r="BO176" s="245"/>
      <c r="BP176" s="245"/>
      <c r="BQ176" s="245"/>
      <c r="BR176" s="245"/>
      <c r="BS176" s="245"/>
      <c r="BT176" s="246"/>
      <c r="BU176" s="245"/>
      <c r="BV176" s="245"/>
      <c r="BW176" s="245"/>
      <c r="BX176" s="245"/>
      <c r="BY176" s="245"/>
      <c r="BZ176" s="282"/>
      <c r="CA176" s="245"/>
      <c r="CB176" s="245"/>
      <c r="CC176" s="245"/>
      <c r="CD176" s="245"/>
      <c r="CE176" s="245"/>
      <c r="CF176" s="245"/>
    </row>
    <row r="177">
      <c r="A177" s="305" t="str">
        <f>IFERROR(__xludf.DUMMYFUNCTION("""COMPUTED_VALUE"""),"Critical Coin Mastery")</f>
        <v>Critical Coin Mastery</v>
      </c>
      <c r="B177" s="279">
        <f>IFERROR(__xludf.DUMMYFUNCTION("""COMPUTED_VALUE"""),0.0)</f>
        <v>0</v>
      </c>
      <c r="C177" s="245"/>
      <c r="D177" s="368">
        <f>IFERROR(__xludf.DUMMYFUNCTION("""COMPUTED_VALUE"""),9.0)</f>
        <v>9</v>
      </c>
      <c r="E177" s="245"/>
      <c r="F177" s="245"/>
      <c r="G177" s="245"/>
      <c r="H177" s="245"/>
      <c r="I177" s="245"/>
      <c r="J177" s="245"/>
      <c r="K177" s="265"/>
      <c r="L177" s="245"/>
      <c r="M177" s="245"/>
      <c r="N177" s="245"/>
      <c r="O177" s="245"/>
      <c r="P177" s="245"/>
      <c r="Q177" s="247"/>
      <c r="R177" s="254"/>
      <c r="S177" s="245"/>
      <c r="T177" s="245"/>
      <c r="U177" s="245"/>
      <c r="V177" s="245"/>
      <c r="W177" s="245"/>
      <c r="X177" s="245"/>
      <c r="Y177" s="249"/>
      <c r="Z177" s="276"/>
      <c r="AA177" s="245"/>
      <c r="AB177" s="276"/>
      <c r="AC177" s="276"/>
      <c r="AD177" s="246"/>
      <c r="AE177" s="278"/>
      <c r="AF177" s="370"/>
      <c r="AG177" s="371"/>
      <c r="AH177" s="276"/>
      <c r="AI177" s="245"/>
      <c r="AJ177" s="287"/>
      <c r="AK177" s="278"/>
      <c r="AL177" s="246"/>
      <c r="AM177" s="245"/>
      <c r="AN177" s="245"/>
      <c r="AO177" s="274"/>
      <c r="AP177" s="245"/>
      <c r="AQ177" s="245"/>
      <c r="AR177" s="246"/>
      <c r="AS177" s="245"/>
      <c r="AT177" s="245"/>
      <c r="AU177" s="245"/>
      <c r="AV177" s="245"/>
      <c r="AW177" s="245"/>
      <c r="AX177" s="246"/>
      <c r="AY177" s="245"/>
      <c r="AZ177" s="245"/>
      <c r="BA177" s="246"/>
      <c r="BB177" s="245"/>
      <c r="BC177" s="245"/>
      <c r="BD177" s="245"/>
      <c r="BE177" s="245"/>
      <c r="BF177" s="245"/>
      <c r="BG177" s="245"/>
      <c r="BH177" s="245"/>
      <c r="BI177" s="245"/>
      <c r="BJ177" s="245"/>
      <c r="BK177" s="245"/>
      <c r="BL177" s="245"/>
      <c r="BM177" s="245"/>
      <c r="BN177" s="245"/>
      <c r="BO177" s="245"/>
      <c r="BP177" s="245"/>
      <c r="BQ177" s="245"/>
      <c r="BR177" s="245"/>
      <c r="BS177" s="245"/>
      <c r="BT177" s="246"/>
      <c r="BU177" s="245"/>
      <c r="BV177" s="245"/>
      <c r="BW177" s="245"/>
      <c r="BX177" s="245"/>
      <c r="BY177" s="245"/>
      <c r="BZ177" s="282"/>
      <c r="CA177" s="245"/>
      <c r="CB177" s="245"/>
      <c r="CC177" s="245"/>
      <c r="CD177" s="245"/>
      <c r="CE177" s="245"/>
      <c r="CF177" s="245"/>
    </row>
    <row r="178">
      <c r="A178" s="305" t="str">
        <f>IFERROR(__xludf.DUMMYFUNCTION("""COMPUTED_VALUE"""),"Wave Skip Mastery")</f>
        <v>Wave Skip Mastery</v>
      </c>
      <c r="B178" s="279">
        <f>IFERROR(__xludf.DUMMYFUNCTION("""COMPUTED_VALUE"""),0.0)</f>
        <v>0</v>
      </c>
      <c r="C178" s="245"/>
      <c r="D178" s="368">
        <f>IFERROR(__xludf.DUMMYFUNCTION("""COMPUTED_VALUE"""),9.0)</f>
        <v>9</v>
      </c>
      <c r="E178" s="245"/>
      <c r="F178" s="245"/>
      <c r="G178" s="245"/>
      <c r="H178" s="245"/>
      <c r="I178" s="245"/>
      <c r="J178" s="245"/>
      <c r="K178" s="265"/>
      <c r="L178" s="245"/>
      <c r="M178" s="245"/>
      <c r="N178" s="245"/>
      <c r="O178" s="245"/>
      <c r="P178" s="245"/>
      <c r="Q178" s="247"/>
      <c r="R178" s="254"/>
      <c r="S178" s="245"/>
      <c r="T178" s="245"/>
      <c r="U178" s="245"/>
      <c r="V178" s="245"/>
      <c r="W178" s="245"/>
      <c r="X178" s="245"/>
      <c r="Y178" s="249"/>
      <c r="Z178" s="276"/>
      <c r="AA178" s="245"/>
      <c r="AB178" s="276"/>
      <c r="AC178" s="276"/>
      <c r="AD178" s="246"/>
      <c r="AE178" s="278"/>
      <c r="AF178" s="370"/>
      <c r="AG178" s="371"/>
      <c r="AH178" s="276"/>
      <c r="AI178" s="245"/>
      <c r="AJ178" s="287"/>
      <c r="AK178" s="278"/>
      <c r="AL178" s="246"/>
      <c r="AM178" s="245"/>
      <c r="AN178" s="245"/>
      <c r="AO178" s="274"/>
      <c r="AP178" s="245"/>
      <c r="AQ178" s="245"/>
      <c r="AR178" s="246"/>
      <c r="AS178" s="245"/>
      <c r="AT178" s="245"/>
      <c r="AU178" s="245"/>
      <c r="AV178" s="245"/>
      <c r="AW178" s="245"/>
      <c r="AX178" s="246"/>
      <c r="AY178" s="245"/>
      <c r="AZ178" s="245"/>
      <c r="BA178" s="246"/>
      <c r="BB178" s="245"/>
      <c r="BC178" s="245"/>
      <c r="BD178" s="245"/>
      <c r="BE178" s="245"/>
      <c r="BF178" s="245"/>
      <c r="BG178" s="245"/>
      <c r="BH178" s="245"/>
      <c r="BI178" s="245"/>
      <c r="BJ178" s="245"/>
      <c r="BK178" s="245"/>
      <c r="BL178" s="245"/>
      <c r="BM178" s="245"/>
      <c r="BN178" s="245"/>
      <c r="BO178" s="245"/>
      <c r="BP178" s="245"/>
      <c r="BQ178" s="245"/>
      <c r="BR178" s="245"/>
      <c r="BS178" s="245"/>
      <c r="BT178" s="246"/>
      <c r="BU178" s="245"/>
      <c r="BV178" s="245"/>
      <c r="BW178" s="245"/>
      <c r="BX178" s="245"/>
      <c r="BY178" s="245"/>
      <c r="BZ178" s="282"/>
      <c r="CA178" s="245"/>
      <c r="CB178" s="245"/>
      <c r="CC178" s="245"/>
      <c r="CD178" s="245"/>
      <c r="CE178" s="245"/>
      <c r="CF178" s="245"/>
    </row>
    <row r="179">
      <c r="A179" s="305" t="str">
        <f>IFERROR(__xludf.DUMMYFUNCTION("""COMPUTED_VALUE"""),"Intro Sprint Mastery")</f>
        <v>Intro Sprint Mastery</v>
      </c>
      <c r="B179" s="279">
        <f>IFERROR(__xludf.DUMMYFUNCTION("""COMPUTED_VALUE"""),0.0)</f>
        <v>0</v>
      </c>
      <c r="C179" s="245"/>
      <c r="D179" s="368">
        <f>IFERROR(__xludf.DUMMYFUNCTION("""COMPUTED_VALUE"""),9.0)</f>
        <v>9</v>
      </c>
      <c r="E179" s="245"/>
      <c r="F179" s="245"/>
      <c r="G179" s="245"/>
      <c r="H179" s="245"/>
      <c r="I179" s="245"/>
      <c r="J179" s="245"/>
      <c r="K179" s="265"/>
      <c r="L179" s="245"/>
      <c r="M179" s="245"/>
      <c r="N179" s="245"/>
      <c r="O179" s="245"/>
      <c r="P179" s="245"/>
      <c r="Q179" s="247"/>
      <c r="R179" s="254"/>
      <c r="S179" s="245"/>
      <c r="T179" s="245"/>
      <c r="U179" s="245"/>
      <c r="V179" s="245"/>
      <c r="W179" s="245"/>
      <c r="X179" s="245"/>
      <c r="Y179" s="249"/>
      <c r="Z179" s="276"/>
      <c r="AA179" s="245"/>
      <c r="AB179" s="276"/>
      <c r="AC179" s="276"/>
      <c r="AD179" s="246"/>
      <c r="AE179" s="278"/>
      <c r="AF179" s="370"/>
      <c r="AG179" s="371"/>
      <c r="AH179" s="276"/>
      <c r="AI179" s="245"/>
      <c r="AJ179" s="287"/>
      <c r="AK179" s="278"/>
      <c r="AL179" s="246"/>
      <c r="AM179" s="245"/>
      <c r="AN179" s="245"/>
      <c r="AO179" s="274"/>
      <c r="AP179" s="245"/>
      <c r="AQ179" s="245"/>
      <c r="AR179" s="246"/>
      <c r="AS179" s="245"/>
      <c r="AT179" s="245"/>
      <c r="AU179" s="245"/>
      <c r="AV179" s="245"/>
      <c r="AW179" s="245"/>
      <c r="AX179" s="246"/>
      <c r="AY179" s="245"/>
      <c r="AZ179" s="245"/>
      <c r="BA179" s="246"/>
      <c r="BB179" s="245"/>
      <c r="BC179" s="245"/>
      <c r="BD179" s="245"/>
      <c r="BE179" s="245"/>
      <c r="BF179" s="245"/>
      <c r="BG179" s="245"/>
      <c r="BH179" s="245"/>
      <c r="BI179" s="245"/>
      <c r="BJ179" s="245"/>
      <c r="BK179" s="245"/>
      <c r="BL179" s="245"/>
      <c r="BM179" s="245"/>
      <c r="BN179" s="245"/>
      <c r="BO179" s="245"/>
      <c r="BP179" s="245"/>
      <c r="BQ179" s="245"/>
      <c r="BR179" s="245"/>
      <c r="BS179" s="245"/>
      <c r="BT179" s="246"/>
      <c r="BU179" s="245"/>
      <c r="BV179" s="245"/>
      <c r="BW179" s="245"/>
      <c r="BX179" s="245"/>
      <c r="BY179" s="245"/>
      <c r="BZ179" s="282"/>
      <c r="CA179" s="245"/>
      <c r="CB179" s="245"/>
      <c r="CC179" s="245"/>
      <c r="CD179" s="245"/>
      <c r="CE179" s="245"/>
      <c r="CF179" s="245"/>
    </row>
    <row r="180">
      <c r="A180" s="305" t="str">
        <f>IFERROR(__xludf.DUMMYFUNCTION("""COMPUTED_VALUE"""),"Land Mine Stun Mastery")</f>
        <v>Land Mine Stun Mastery</v>
      </c>
      <c r="B180" s="279">
        <f>IFERROR(__xludf.DUMMYFUNCTION("""COMPUTED_VALUE"""),0.0)</f>
        <v>0</v>
      </c>
      <c r="C180" s="245"/>
      <c r="D180" s="368">
        <f>IFERROR(__xludf.DUMMYFUNCTION("""COMPUTED_VALUE"""),9.0)</f>
        <v>9</v>
      </c>
      <c r="E180" s="245"/>
      <c r="F180" s="245"/>
      <c r="G180" s="245"/>
      <c r="H180" s="245"/>
      <c r="I180" s="245"/>
      <c r="J180" s="245"/>
      <c r="K180" s="265"/>
      <c r="L180" s="245"/>
      <c r="M180" s="245"/>
      <c r="N180" s="245"/>
      <c r="O180" s="245"/>
      <c r="P180" s="245"/>
      <c r="Q180" s="247"/>
      <c r="R180" s="254"/>
      <c r="S180" s="245"/>
      <c r="T180" s="245"/>
      <c r="U180" s="245"/>
      <c r="V180" s="245"/>
      <c r="W180" s="245"/>
      <c r="X180" s="245"/>
      <c r="Y180" s="249"/>
      <c r="Z180" s="276"/>
      <c r="AA180" s="245"/>
      <c r="AB180" s="276"/>
      <c r="AC180" s="276"/>
      <c r="AD180" s="246"/>
      <c r="AE180" s="278"/>
      <c r="AF180" s="370"/>
      <c r="AG180" s="371"/>
      <c r="AH180" s="276"/>
      <c r="AI180" s="245"/>
      <c r="AJ180" s="287"/>
      <c r="AK180" s="278"/>
      <c r="AL180" s="246"/>
      <c r="AM180" s="245"/>
      <c r="AN180" s="245"/>
      <c r="AO180" s="274"/>
      <c r="AP180" s="245"/>
      <c r="AQ180" s="245"/>
      <c r="AR180" s="246"/>
      <c r="AS180" s="245"/>
      <c r="AT180" s="245"/>
      <c r="AU180" s="245"/>
      <c r="AV180" s="245"/>
      <c r="AW180" s="245"/>
      <c r="AX180" s="246"/>
      <c r="AY180" s="245"/>
      <c r="AZ180" s="245"/>
      <c r="BA180" s="246"/>
      <c r="BB180" s="245"/>
      <c r="BC180" s="245"/>
      <c r="BD180" s="245"/>
      <c r="BE180" s="245"/>
      <c r="BF180" s="245"/>
      <c r="BG180" s="245"/>
      <c r="BH180" s="245"/>
      <c r="BI180" s="245"/>
      <c r="BJ180" s="245"/>
      <c r="BK180" s="245"/>
      <c r="BL180" s="245"/>
      <c r="BM180" s="245"/>
      <c r="BN180" s="245"/>
      <c r="BO180" s="245"/>
      <c r="BP180" s="245"/>
      <c r="BQ180" s="245"/>
      <c r="BR180" s="245"/>
      <c r="BS180" s="245"/>
      <c r="BT180" s="246"/>
      <c r="BU180" s="245"/>
      <c r="BV180" s="245"/>
      <c r="BW180" s="245"/>
      <c r="BX180" s="245"/>
      <c r="BY180" s="245"/>
      <c r="BZ180" s="282"/>
      <c r="CA180" s="245"/>
      <c r="CB180" s="245"/>
      <c r="CC180" s="245"/>
      <c r="CD180" s="245"/>
      <c r="CE180" s="245"/>
      <c r="CF180" s="245"/>
    </row>
    <row r="181">
      <c r="A181" s="305" t="str">
        <f>IFERROR(__xludf.DUMMYFUNCTION("""COMPUTED_VALUE"""),"Recovery Package Chance Mastery")</f>
        <v>Recovery Package Chance Mastery</v>
      </c>
      <c r="B181" s="279">
        <f>IFERROR(__xludf.DUMMYFUNCTION("""COMPUTED_VALUE"""),3.0)</f>
        <v>3</v>
      </c>
      <c r="C181" s="245"/>
      <c r="D181" s="368">
        <f>IFERROR(__xludf.DUMMYFUNCTION("""COMPUTED_VALUE"""),9.0)</f>
        <v>9</v>
      </c>
      <c r="E181" s="245"/>
      <c r="F181" s="245"/>
      <c r="G181" s="245"/>
      <c r="H181" s="245"/>
      <c r="I181" s="245"/>
      <c r="J181" s="245"/>
      <c r="K181" s="265"/>
      <c r="L181" s="245"/>
      <c r="M181" s="245"/>
      <c r="N181" s="245"/>
      <c r="O181" s="245"/>
      <c r="P181" s="245"/>
      <c r="Q181" s="247"/>
      <c r="R181" s="254"/>
      <c r="S181" s="245"/>
      <c r="T181" s="245"/>
      <c r="U181" s="245"/>
      <c r="V181" s="245"/>
      <c r="W181" s="245"/>
      <c r="X181" s="245"/>
      <c r="Y181" s="249"/>
      <c r="Z181" s="276"/>
      <c r="AA181" s="245"/>
      <c r="AB181" s="276"/>
      <c r="AC181" s="276"/>
      <c r="AD181" s="246"/>
      <c r="AE181" s="278"/>
      <c r="AF181" s="370"/>
      <c r="AG181" s="371"/>
      <c r="AH181" s="276"/>
      <c r="AI181" s="245"/>
      <c r="AJ181" s="287"/>
      <c r="AK181" s="278"/>
      <c r="AL181" s="246"/>
      <c r="AM181" s="245"/>
      <c r="AN181" s="245"/>
      <c r="AO181" s="274"/>
      <c r="AP181" s="245"/>
      <c r="AQ181" s="245"/>
      <c r="AR181" s="246"/>
      <c r="AS181" s="245"/>
      <c r="AT181" s="245"/>
      <c r="AU181" s="245"/>
      <c r="AV181" s="245"/>
      <c r="AW181" s="245"/>
      <c r="AX181" s="246"/>
      <c r="AY181" s="245"/>
      <c r="AZ181" s="245"/>
      <c r="BA181" s="246"/>
      <c r="BB181" s="245"/>
      <c r="BC181" s="245"/>
      <c r="BD181" s="245"/>
      <c r="BE181" s="245"/>
      <c r="BF181" s="245"/>
      <c r="BG181" s="245"/>
      <c r="BH181" s="245"/>
      <c r="BI181" s="245"/>
      <c r="BJ181" s="245"/>
      <c r="BK181" s="245"/>
      <c r="BL181" s="245"/>
      <c r="BM181" s="245"/>
      <c r="BN181" s="245"/>
      <c r="BO181" s="245"/>
      <c r="BP181" s="245"/>
      <c r="BQ181" s="245"/>
      <c r="BR181" s="245"/>
      <c r="BS181" s="245"/>
      <c r="BT181" s="246"/>
      <c r="BU181" s="245"/>
      <c r="BV181" s="245"/>
      <c r="BW181" s="245"/>
      <c r="BX181" s="245"/>
      <c r="BY181" s="245"/>
      <c r="BZ181" s="282"/>
      <c r="CA181" s="245"/>
      <c r="CB181" s="245"/>
      <c r="CC181" s="245"/>
      <c r="CD181" s="245"/>
      <c r="CE181" s="245"/>
      <c r="CF181" s="245"/>
    </row>
    <row r="182">
      <c r="A182" s="305" t="str">
        <f>IFERROR(__xludf.DUMMYFUNCTION("""COMPUTED_VALUE"""),"Death Ray Mastery")</f>
        <v>Death Ray Mastery</v>
      </c>
      <c r="B182" s="279">
        <f>IFERROR(__xludf.DUMMYFUNCTION("""COMPUTED_VALUE"""),0.0)</f>
        <v>0</v>
      </c>
      <c r="C182" s="245"/>
      <c r="D182" s="368">
        <f>IFERROR(__xludf.DUMMYFUNCTION("""COMPUTED_VALUE"""),9.0)</f>
        <v>9</v>
      </c>
      <c r="E182" s="245"/>
      <c r="F182" s="245"/>
      <c r="G182" s="245"/>
      <c r="H182" s="245"/>
      <c r="I182" s="245"/>
      <c r="J182" s="245"/>
      <c r="K182" s="265"/>
      <c r="L182" s="245"/>
      <c r="M182" s="245"/>
      <c r="N182" s="245"/>
      <c r="O182" s="245"/>
      <c r="P182" s="245"/>
      <c r="Q182" s="247"/>
      <c r="R182" s="254"/>
      <c r="S182" s="245"/>
      <c r="T182" s="245"/>
      <c r="U182" s="245"/>
      <c r="V182" s="245"/>
      <c r="W182" s="245"/>
      <c r="X182" s="245"/>
      <c r="Y182" s="249"/>
      <c r="Z182" s="276"/>
      <c r="AA182" s="245"/>
      <c r="AB182" s="276"/>
      <c r="AC182" s="276"/>
      <c r="AD182" s="246"/>
      <c r="AE182" s="278"/>
      <c r="AF182" s="370"/>
      <c r="AG182" s="371"/>
      <c r="AH182" s="276"/>
      <c r="AI182" s="245"/>
      <c r="AJ182" s="287"/>
      <c r="AK182" s="278"/>
      <c r="AL182" s="246"/>
      <c r="AM182" s="245"/>
      <c r="AN182" s="245"/>
      <c r="AO182" s="274"/>
      <c r="AP182" s="245"/>
      <c r="AQ182" s="245"/>
      <c r="AR182" s="246"/>
      <c r="AS182" s="245"/>
      <c r="AT182" s="245"/>
      <c r="AU182" s="245"/>
      <c r="AV182" s="245"/>
      <c r="AW182" s="245"/>
      <c r="AX182" s="246"/>
      <c r="AY182" s="245"/>
      <c r="AZ182" s="245"/>
      <c r="BA182" s="246"/>
      <c r="BB182" s="245"/>
      <c r="BC182" s="245"/>
      <c r="BD182" s="245"/>
      <c r="BE182" s="245"/>
      <c r="BF182" s="245"/>
      <c r="BG182" s="245"/>
      <c r="BH182" s="245"/>
      <c r="BI182" s="245"/>
      <c r="BJ182" s="245"/>
      <c r="BK182" s="245"/>
      <c r="BL182" s="245"/>
      <c r="BM182" s="245"/>
      <c r="BN182" s="245"/>
      <c r="BO182" s="245"/>
      <c r="BP182" s="245"/>
      <c r="BQ182" s="245"/>
      <c r="BR182" s="245"/>
      <c r="BS182" s="245"/>
      <c r="BT182" s="246"/>
      <c r="BU182" s="245"/>
      <c r="BV182" s="245"/>
      <c r="BW182" s="245"/>
      <c r="BX182" s="245"/>
      <c r="BY182" s="245"/>
      <c r="BZ182" s="282"/>
      <c r="CA182" s="245"/>
      <c r="CB182" s="245"/>
      <c r="CC182" s="245"/>
      <c r="CD182" s="245"/>
      <c r="CE182" s="245"/>
      <c r="CF182" s="245"/>
    </row>
    <row r="183">
      <c r="A183" s="305" t="str">
        <f>IFERROR(__xludf.DUMMYFUNCTION("""COMPUTED_VALUE"""),"Energy Net Mastery")</f>
        <v>Energy Net Mastery</v>
      </c>
      <c r="B183" s="279">
        <f>IFERROR(__xludf.DUMMYFUNCTION("""COMPUTED_VALUE"""),0.0)</f>
        <v>0</v>
      </c>
      <c r="C183" s="245"/>
      <c r="D183" s="368">
        <f>IFERROR(__xludf.DUMMYFUNCTION("""COMPUTED_VALUE"""),9.0)</f>
        <v>9</v>
      </c>
      <c r="E183" s="245"/>
      <c r="F183" s="245"/>
      <c r="G183" s="245"/>
      <c r="H183" s="245"/>
      <c r="I183" s="245"/>
      <c r="J183" s="245"/>
      <c r="K183" s="265"/>
      <c r="L183" s="245"/>
      <c r="M183" s="245"/>
      <c r="N183" s="245"/>
      <c r="O183" s="245"/>
      <c r="P183" s="245"/>
      <c r="Q183" s="247"/>
      <c r="R183" s="254"/>
      <c r="S183" s="245"/>
      <c r="T183" s="245"/>
      <c r="U183" s="245"/>
      <c r="V183" s="245"/>
      <c r="W183" s="245"/>
      <c r="X183" s="245"/>
      <c r="Y183" s="249"/>
      <c r="Z183" s="276"/>
      <c r="AA183" s="245"/>
      <c r="AB183" s="276"/>
      <c r="AC183" s="276"/>
      <c r="AD183" s="246"/>
      <c r="AE183" s="278"/>
      <c r="AF183" s="370"/>
      <c r="AG183" s="371"/>
      <c r="AH183" s="276"/>
      <c r="AI183" s="245"/>
      <c r="AJ183" s="287"/>
      <c r="AK183" s="278"/>
      <c r="AL183" s="246"/>
      <c r="AM183" s="245"/>
      <c r="AN183" s="245"/>
      <c r="AO183" s="274"/>
      <c r="AP183" s="245"/>
      <c r="AQ183" s="245"/>
      <c r="AR183" s="246"/>
      <c r="AS183" s="245"/>
      <c r="AT183" s="245"/>
      <c r="AU183" s="245"/>
      <c r="AV183" s="245"/>
      <c r="AW183" s="245"/>
      <c r="AX183" s="246"/>
      <c r="AY183" s="245"/>
      <c r="AZ183" s="245"/>
      <c r="BA183" s="246"/>
      <c r="BB183" s="245"/>
      <c r="BC183" s="245"/>
      <c r="BD183" s="245"/>
      <c r="BE183" s="245"/>
      <c r="BF183" s="245"/>
      <c r="BG183" s="245"/>
      <c r="BH183" s="245"/>
      <c r="BI183" s="245"/>
      <c r="BJ183" s="245"/>
      <c r="BK183" s="245"/>
      <c r="BL183" s="245"/>
      <c r="BM183" s="245"/>
      <c r="BN183" s="245"/>
      <c r="BO183" s="245"/>
      <c r="BP183" s="245"/>
      <c r="BQ183" s="245"/>
      <c r="BR183" s="245"/>
      <c r="BS183" s="245"/>
      <c r="BT183" s="246"/>
      <c r="BU183" s="245"/>
      <c r="BV183" s="245"/>
      <c r="BW183" s="245"/>
      <c r="BX183" s="245"/>
      <c r="BY183" s="245"/>
      <c r="BZ183" s="282"/>
      <c r="CA183" s="245"/>
      <c r="CB183" s="245"/>
      <c r="CC183" s="245"/>
      <c r="CD183" s="245"/>
      <c r="CE183" s="245"/>
      <c r="CF183" s="245"/>
    </row>
    <row r="184">
      <c r="A184" s="305" t="str">
        <f>IFERROR(__xludf.DUMMYFUNCTION("""COMPUTED_VALUE"""),"Super Tower Mastery")</f>
        <v>Super Tower Mastery</v>
      </c>
      <c r="B184" s="279">
        <f>IFERROR(__xludf.DUMMYFUNCTION("""COMPUTED_VALUE"""),0.0)</f>
        <v>0</v>
      </c>
      <c r="C184" s="245"/>
      <c r="D184" s="368">
        <f>IFERROR(__xludf.DUMMYFUNCTION("""COMPUTED_VALUE"""),9.0)</f>
        <v>9</v>
      </c>
      <c r="E184" s="245"/>
      <c r="F184" s="245"/>
      <c r="G184" s="245"/>
      <c r="H184" s="245"/>
      <c r="I184" s="245"/>
      <c r="J184" s="245"/>
      <c r="K184" s="265"/>
      <c r="L184" s="245"/>
      <c r="M184" s="245"/>
      <c r="N184" s="245"/>
      <c r="O184" s="245"/>
      <c r="P184" s="245"/>
      <c r="Q184" s="247"/>
      <c r="R184" s="254"/>
      <c r="S184" s="245"/>
      <c r="T184" s="245"/>
      <c r="U184" s="245"/>
      <c r="V184" s="245"/>
      <c r="W184" s="245"/>
      <c r="X184" s="245"/>
      <c r="Y184" s="249"/>
      <c r="Z184" s="276"/>
      <c r="AA184" s="245"/>
      <c r="AB184" s="276"/>
      <c r="AC184" s="276"/>
      <c r="AD184" s="246"/>
      <c r="AE184" s="278"/>
      <c r="AF184" s="370"/>
      <c r="AG184" s="371"/>
      <c r="AH184" s="276"/>
      <c r="AI184" s="245"/>
      <c r="AJ184" s="287"/>
      <c r="AK184" s="278"/>
      <c r="AL184" s="246"/>
      <c r="AM184" s="245"/>
      <c r="AN184" s="245"/>
      <c r="AO184" s="274"/>
      <c r="AP184" s="245"/>
      <c r="AQ184" s="245"/>
      <c r="AR184" s="246"/>
      <c r="AS184" s="245"/>
      <c r="AT184" s="245"/>
      <c r="AU184" s="245"/>
      <c r="AV184" s="245"/>
      <c r="AW184" s="245"/>
      <c r="AX184" s="246"/>
      <c r="AY184" s="245"/>
      <c r="AZ184" s="245"/>
      <c r="BA184" s="246"/>
      <c r="BB184" s="245"/>
      <c r="BC184" s="245"/>
      <c r="BD184" s="245"/>
      <c r="BE184" s="245"/>
      <c r="BF184" s="245"/>
      <c r="BG184" s="245"/>
      <c r="BH184" s="245"/>
      <c r="BI184" s="245"/>
      <c r="BJ184" s="245"/>
      <c r="BK184" s="245"/>
      <c r="BL184" s="245"/>
      <c r="BM184" s="245"/>
      <c r="BN184" s="245"/>
      <c r="BO184" s="245"/>
      <c r="BP184" s="245"/>
      <c r="BQ184" s="245"/>
      <c r="BR184" s="245"/>
      <c r="BS184" s="245"/>
      <c r="BT184" s="246"/>
      <c r="BU184" s="245"/>
      <c r="BV184" s="245"/>
      <c r="BW184" s="245"/>
      <c r="BX184" s="245"/>
      <c r="BY184" s="245"/>
      <c r="BZ184" s="282"/>
      <c r="CA184" s="245"/>
      <c r="CB184" s="245"/>
      <c r="CC184" s="245"/>
      <c r="CD184" s="245"/>
      <c r="CE184" s="245"/>
      <c r="CF184" s="245"/>
    </row>
    <row r="185">
      <c r="A185" s="305" t="str">
        <f>IFERROR(__xludf.DUMMYFUNCTION("""COMPUTED_VALUE"""),"Second Wind Mastery")</f>
        <v>Second Wind Mastery</v>
      </c>
      <c r="B185" s="279">
        <f>IFERROR(__xludf.DUMMYFUNCTION("""COMPUTED_VALUE"""),0.0)</f>
        <v>0</v>
      </c>
      <c r="C185" s="245"/>
      <c r="D185" s="368">
        <f>IFERROR(__xludf.DUMMYFUNCTION("""COMPUTED_VALUE"""),9.0)</f>
        <v>9</v>
      </c>
      <c r="E185" s="245"/>
      <c r="F185" s="245"/>
      <c r="G185" s="245"/>
      <c r="H185" s="245"/>
      <c r="I185" s="245"/>
      <c r="J185" s="245"/>
      <c r="K185" s="265"/>
      <c r="L185" s="245"/>
      <c r="M185" s="245"/>
      <c r="N185" s="245"/>
      <c r="O185" s="245"/>
      <c r="P185" s="245"/>
      <c r="Q185" s="247"/>
      <c r="R185" s="254"/>
      <c r="S185" s="245"/>
      <c r="T185" s="245"/>
      <c r="U185" s="245"/>
      <c r="V185" s="245"/>
      <c r="W185" s="245"/>
      <c r="X185" s="245"/>
      <c r="Y185" s="249"/>
      <c r="Z185" s="276"/>
      <c r="AA185" s="245"/>
      <c r="AB185" s="276"/>
      <c r="AC185" s="276"/>
      <c r="AD185" s="246"/>
      <c r="AE185" s="278"/>
      <c r="AF185" s="370"/>
      <c r="AG185" s="371"/>
      <c r="AH185" s="276"/>
      <c r="AI185" s="245"/>
      <c r="AJ185" s="287"/>
      <c r="AK185" s="278"/>
      <c r="AL185" s="246"/>
      <c r="AM185" s="245"/>
      <c r="AN185" s="245"/>
      <c r="AO185" s="274"/>
      <c r="AP185" s="245"/>
      <c r="AQ185" s="245"/>
      <c r="AR185" s="246"/>
      <c r="AS185" s="245"/>
      <c r="AT185" s="245"/>
      <c r="AU185" s="245"/>
      <c r="AV185" s="245"/>
      <c r="AW185" s="245"/>
      <c r="AX185" s="246"/>
      <c r="AY185" s="245"/>
      <c r="AZ185" s="245"/>
      <c r="BA185" s="246"/>
      <c r="BB185" s="245"/>
      <c r="BC185" s="245"/>
      <c r="BD185" s="245"/>
      <c r="BE185" s="245"/>
      <c r="BF185" s="245"/>
      <c r="BG185" s="245"/>
      <c r="BH185" s="245"/>
      <c r="BI185" s="245"/>
      <c r="BJ185" s="245"/>
      <c r="BK185" s="245"/>
      <c r="BL185" s="245"/>
      <c r="BM185" s="245"/>
      <c r="BN185" s="245"/>
      <c r="BO185" s="245"/>
      <c r="BP185" s="245"/>
      <c r="BQ185" s="245"/>
      <c r="BR185" s="245"/>
      <c r="BS185" s="245"/>
      <c r="BT185" s="246"/>
      <c r="BU185" s="245"/>
      <c r="BV185" s="245"/>
      <c r="BW185" s="245"/>
      <c r="BX185" s="245"/>
      <c r="BY185" s="245"/>
      <c r="BZ185" s="282"/>
      <c r="CA185" s="245"/>
      <c r="CB185" s="245"/>
      <c r="CC185" s="245"/>
      <c r="CD185" s="245"/>
      <c r="CE185" s="245"/>
      <c r="CF185" s="245"/>
    </row>
    <row r="186">
      <c r="A186" s="305" t="str">
        <f>IFERROR(__xludf.DUMMYFUNCTION("""COMPUTED_VALUE"""),"Demon Mode Mastery")</f>
        <v>Demon Mode Mastery</v>
      </c>
      <c r="B186" s="279">
        <f>IFERROR(__xludf.DUMMYFUNCTION("""COMPUTED_VALUE"""),0.0)</f>
        <v>0</v>
      </c>
      <c r="C186" s="245"/>
      <c r="D186" s="368">
        <f>IFERROR(__xludf.DUMMYFUNCTION("""COMPUTED_VALUE"""),9.0)</f>
        <v>9</v>
      </c>
      <c r="E186" s="245"/>
      <c r="F186" s="245"/>
      <c r="G186" s="245"/>
      <c r="H186" s="245"/>
      <c r="I186" s="245"/>
      <c r="J186" s="245"/>
      <c r="K186" s="265"/>
      <c r="L186" s="245"/>
      <c r="M186" s="245"/>
      <c r="N186" s="245"/>
      <c r="O186" s="245"/>
      <c r="P186" s="245"/>
      <c r="Q186" s="247"/>
      <c r="R186" s="254"/>
      <c r="S186" s="245"/>
      <c r="T186" s="245"/>
      <c r="U186" s="245"/>
      <c r="V186" s="245"/>
      <c r="W186" s="245"/>
      <c r="X186" s="245"/>
      <c r="Y186" s="249"/>
      <c r="Z186" s="276"/>
      <c r="AA186" s="245"/>
      <c r="AB186" s="276"/>
      <c r="AC186" s="276"/>
      <c r="AD186" s="246"/>
      <c r="AE186" s="278"/>
      <c r="AF186" s="370"/>
      <c r="AG186" s="371"/>
      <c r="AH186" s="276"/>
      <c r="AI186" s="245"/>
      <c r="AJ186" s="287"/>
      <c r="AK186" s="278"/>
      <c r="AL186" s="246"/>
      <c r="AM186" s="245"/>
      <c r="AN186" s="245"/>
      <c r="AO186" s="274"/>
      <c r="AP186" s="245"/>
      <c r="AQ186" s="245"/>
      <c r="AR186" s="246"/>
      <c r="AS186" s="245"/>
      <c r="AT186" s="245"/>
      <c r="AU186" s="245"/>
      <c r="AV186" s="245"/>
      <c r="AW186" s="245"/>
      <c r="AX186" s="246"/>
      <c r="AY186" s="245"/>
      <c r="AZ186" s="245"/>
      <c r="BA186" s="246"/>
      <c r="BB186" s="245"/>
      <c r="BC186" s="245"/>
      <c r="BD186" s="245"/>
      <c r="BE186" s="245"/>
      <c r="BF186" s="245"/>
      <c r="BG186" s="245"/>
      <c r="BH186" s="245"/>
      <c r="BI186" s="245"/>
      <c r="BJ186" s="245"/>
      <c r="BK186" s="245"/>
      <c r="BL186" s="245"/>
      <c r="BM186" s="245"/>
      <c r="BN186" s="245"/>
      <c r="BO186" s="245"/>
      <c r="BP186" s="245"/>
      <c r="BQ186" s="245"/>
      <c r="BR186" s="245"/>
      <c r="BS186" s="245"/>
      <c r="BT186" s="246"/>
      <c r="BU186" s="245"/>
      <c r="BV186" s="245"/>
      <c r="BW186" s="245"/>
      <c r="BX186" s="245"/>
      <c r="BY186" s="245"/>
      <c r="BZ186" s="282"/>
      <c r="CA186" s="245"/>
      <c r="CB186" s="245"/>
      <c r="CC186" s="245"/>
      <c r="CD186" s="245"/>
      <c r="CE186" s="245"/>
      <c r="CF186" s="245"/>
    </row>
    <row r="187">
      <c r="A187" s="305" t="str">
        <f>IFERROR(__xludf.DUMMYFUNCTION("""COMPUTED_VALUE"""),"Energy Shield Mastery")</f>
        <v>Energy Shield Mastery</v>
      </c>
      <c r="B187" s="279">
        <f>IFERROR(__xludf.DUMMYFUNCTION("""COMPUTED_VALUE"""),0.0)</f>
        <v>0</v>
      </c>
      <c r="C187" s="245"/>
      <c r="D187" s="368">
        <f>IFERROR(__xludf.DUMMYFUNCTION("""COMPUTED_VALUE"""),9.0)</f>
        <v>9</v>
      </c>
      <c r="E187" s="245"/>
      <c r="F187" s="245"/>
      <c r="G187" s="245"/>
      <c r="H187" s="245"/>
      <c r="I187" s="245"/>
      <c r="J187" s="245"/>
      <c r="K187" s="265"/>
      <c r="L187" s="245"/>
      <c r="M187" s="245"/>
      <c r="N187" s="245"/>
      <c r="O187" s="245"/>
      <c r="P187" s="245"/>
      <c r="Q187" s="247"/>
      <c r="R187" s="254"/>
      <c r="S187" s="245"/>
      <c r="T187" s="245"/>
      <c r="U187" s="245"/>
      <c r="V187" s="245"/>
      <c r="W187" s="245"/>
      <c r="X187" s="245"/>
      <c r="Y187" s="249"/>
      <c r="Z187" s="276"/>
      <c r="AA187" s="245"/>
      <c r="AB187" s="276"/>
      <c r="AC187" s="276"/>
      <c r="AD187" s="246"/>
      <c r="AE187" s="278"/>
      <c r="AF187" s="370"/>
      <c r="AG187" s="371"/>
      <c r="AH187" s="276"/>
      <c r="AI187" s="245"/>
      <c r="AJ187" s="287"/>
      <c r="AK187" s="278"/>
      <c r="AL187" s="246"/>
      <c r="AM187" s="245"/>
      <c r="AN187" s="245"/>
      <c r="AO187" s="274"/>
      <c r="AP187" s="245"/>
      <c r="AQ187" s="245"/>
      <c r="AR187" s="246"/>
      <c r="AS187" s="245"/>
      <c r="AT187" s="245"/>
      <c r="AU187" s="245"/>
      <c r="AV187" s="245"/>
      <c r="AW187" s="245"/>
      <c r="AX187" s="246"/>
      <c r="AY187" s="245"/>
      <c r="AZ187" s="245"/>
      <c r="BA187" s="246"/>
      <c r="BB187" s="245"/>
      <c r="BC187" s="245"/>
      <c r="BD187" s="245"/>
      <c r="BE187" s="245"/>
      <c r="BF187" s="245"/>
      <c r="BG187" s="245"/>
      <c r="BH187" s="245"/>
      <c r="BI187" s="245"/>
      <c r="BJ187" s="245"/>
      <c r="BK187" s="245"/>
      <c r="BL187" s="245"/>
      <c r="BM187" s="245"/>
      <c r="BN187" s="245"/>
      <c r="BO187" s="245"/>
      <c r="BP187" s="245"/>
      <c r="BQ187" s="245"/>
      <c r="BR187" s="245"/>
      <c r="BS187" s="245"/>
      <c r="BT187" s="246"/>
      <c r="BU187" s="245"/>
      <c r="BV187" s="245"/>
      <c r="BW187" s="245"/>
      <c r="BX187" s="245"/>
      <c r="BY187" s="245"/>
      <c r="BZ187" s="282"/>
      <c r="CA187" s="245"/>
      <c r="CB187" s="245"/>
      <c r="CC187" s="245"/>
      <c r="CD187" s="245"/>
      <c r="CE187" s="245"/>
      <c r="CF187" s="245"/>
    </row>
    <row r="188">
      <c r="A188" s="305" t="str">
        <f>IFERROR(__xludf.DUMMYFUNCTION("""COMPUTED_VALUE"""),"Wave Accelerator Mastery")</f>
        <v>Wave Accelerator Mastery</v>
      </c>
      <c r="B188" s="279">
        <f>IFERROR(__xludf.DUMMYFUNCTION("""COMPUTED_VALUE"""),0.0)</f>
        <v>0</v>
      </c>
      <c r="C188" s="245"/>
      <c r="D188" s="368">
        <f>IFERROR(__xludf.DUMMYFUNCTION("""COMPUTED_VALUE"""),9.0)</f>
        <v>9</v>
      </c>
      <c r="E188" s="245"/>
      <c r="F188" s="245"/>
      <c r="G188" s="245"/>
      <c r="H188" s="245"/>
      <c r="I188" s="245"/>
      <c r="J188" s="245"/>
      <c r="K188" s="265"/>
      <c r="L188" s="245"/>
      <c r="M188" s="245"/>
      <c r="N188" s="245"/>
      <c r="O188" s="245"/>
      <c r="P188" s="245"/>
      <c r="Q188" s="247"/>
      <c r="R188" s="254"/>
      <c r="S188" s="245"/>
      <c r="T188" s="245"/>
      <c r="U188" s="245"/>
      <c r="V188" s="245"/>
      <c r="W188" s="245"/>
      <c r="X188" s="245"/>
      <c r="Y188" s="249"/>
      <c r="Z188" s="276"/>
      <c r="AA188" s="245"/>
      <c r="AB188" s="276"/>
      <c r="AC188" s="276"/>
      <c r="AD188" s="246"/>
      <c r="AE188" s="278"/>
      <c r="AF188" s="370"/>
      <c r="AG188" s="371"/>
      <c r="AH188" s="276"/>
      <c r="AI188" s="245"/>
      <c r="AJ188" s="287"/>
      <c r="AK188" s="278"/>
      <c r="AL188" s="246"/>
      <c r="AM188" s="245"/>
      <c r="AN188" s="245"/>
      <c r="AO188" s="274"/>
      <c r="AP188" s="245"/>
      <c r="AQ188" s="245"/>
      <c r="AR188" s="246"/>
      <c r="AS188" s="245"/>
      <c r="AT188" s="245"/>
      <c r="AU188" s="245"/>
      <c r="AV188" s="245"/>
      <c r="AW188" s="245"/>
      <c r="AX188" s="246"/>
      <c r="AY188" s="245"/>
      <c r="AZ188" s="245"/>
      <c r="BA188" s="246"/>
      <c r="BB188" s="245"/>
      <c r="BC188" s="245"/>
      <c r="BD188" s="245"/>
      <c r="BE188" s="245"/>
      <c r="BF188" s="245"/>
      <c r="BG188" s="245"/>
      <c r="BH188" s="245"/>
      <c r="BI188" s="245"/>
      <c r="BJ188" s="245"/>
      <c r="BK188" s="245"/>
      <c r="BL188" s="245"/>
      <c r="BM188" s="245"/>
      <c r="BN188" s="245"/>
      <c r="BO188" s="245"/>
      <c r="BP188" s="245"/>
      <c r="BQ188" s="245"/>
      <c r="BR188" s="245"/>
      <c r="BS188" s="245"/>
      <c r="BT188" s="246"/>
      <c r="BU188" s="245"/>
      <c r="BV188" s="245"/>
      <c r="BW188" s="245"/>
      <c r="BX188" s="245"/>
      <c r="BY188" s="245"/>
      <c r="BZ188" s="282"/>
      <c r="CA188" s="245"/>
      <c r="CB188" s="245"/>
      <c r="CC188" s="245"/>
      <c r="CD188" s="245"/>
      <c r="CE188" s="245"/>
      <c r="CF188" s="245"/>
    </row>
    <row r="189">
      <c r="A189" s="305" t="str">
        <f>IFERROR(__xludf.DUMMYFUNCTION("""COMPUTED_VALUE"""),"Berserker Mastery")</f>
        <v>Berserker Mastery</v>
      </c>
      <c r="B189" s="279">
        <f>IFERROR(__xludf.DUMMYFUNCTION("""COMPUTED_VALUE"""),0.0)</f>
        <v>0</v>
      </c>
      <c r="C189" s="245"/>
      <c r="D189" s="368">
        <f>IFERROR(__xludf.DUMMYFUNCTION("""COMPUTED_VALUE"""),9.0)</f>
        <v>9</v>
      </c>
      <c r="E189" s="245"/>
      <c r="F189" s="245"/>
      <c r="G189" s="245"/>
      <c r="H189" s="245"/>
      <c r="I189" s="245"/>
      <c r="J189" s="245"/>
      <c r="K189" s="265"/>
      <c r="L189" s="245"/>
      <c r="M189" s="245"/>
      <c r="N189" s="245"/>
      <c r="O189" s="245"/>
      <c r="P189" s="245"/>
      <c r="Q189" s="247"/>
      <c r="R189" s="254"/>
      <c r="S189" s="245"/>
      <c r="T189" s="245"/>
      <c r="U189" s="245"/>
      <c r="V189" s="245"/>
      <c r="W189" s="245"/>
      <c r="X189" s="245"/>
      <c r="Y189" s="249"/>
      <c r="Z189" s="276"/>
      <c r="AA189" s="245"/>
      <c r="AB189" s="276"/>
      <c r="AC189" s="276"/>
      <c r="AD189" s="246"/>
      <c r="AE189" s="278"/>
      <c r="AF189" s="370"/>
      <c r="AG189" s="371"/>
      <c r="AH189" s="276"/>
      <c r="AI189" s="245"/>
      <c r="AJ189" s="287"/>
      <c r="AK189" s="278"/>
      <c r="AL189" s="246"/>
      <c r="AM189" s="245"/>
      <c r="AN189" s="245"/>
      <c r="AO189" s="274"/>
      <c r="AP189" s="245"/>
      <c r="AQ189" s="245"/>
      <c r="AR189" s="246"/>
      <c r="AS189" s="245"/>
      <c r="AT189" s="245"/>
      <c r="AU189" s="245"/>
      <c r="AV189" s="245"/>
      <c r="AW189" s="245"/>
      <c r="AX189" s="246"/>
      <c r="AY189" s="245"/>
      <c r="AZ189" s="245"/>
      <c r="BA189" s="246"/>
      <c r="BB189" s="245"/>
      <c r="BC189" s="245"/>
      <c r="BD189" s="245"/>
      <c r="BE189" s="245"/>
      <c r="BF189" s="245"/>
      <c r="BG189" s="245"/>
      <c r="BH189" s="245"/>
      <c r="BI189" s="245"/>
      <c r="BJ189" s="245"/>
      <c r="BK189" s="245"/>
      <c r="BL189" s="245"/>
      <c r="BM189" s="245"/>
      <c r="BN189" s="245"/>
      <c r="BO189" s="245"/>
      <c r="BP189" s="245"/>
      <c r="BQ189" s="245"/>
      <c r="BR189" s="245"/>
      <c r="BS189" s="245"/>
      <c r="BT189" s="246"/>
      <c r="BU189" s="245"/>
      <c r="BV189" s="245"/>
      <c r="BW189" s="245"/>
      <c r="BX189" s="245"/>
      <c r="BY189" s="245"/>
      <c r="BZ189" s="282"/>
      <c r="CA189" s="245"/>
      <c r="CB189" s="245"/>
      <c r="CC189" s="245"/>
      <c r="CD189" s="245"/>
      <c r="CE189" s="245"/>
      <c r="CF189" s="245"/>
    </row>
    <row r="190">
      <c r="A190" s="305" t="str">
        <f>IFERROR(__xludf.DUMMYFUNCTION("""COMPUTED_VALUE"""),"Ultimate Crit Mastery")</f>
        <v>Ultimate Crit Mastery</v>
      </c>
      <c r="B190" s="279">
        <f>IFERROR(__xludf.DUMMYFUNCTION("""COMPUTED_VALUE"""),0.0)</f>
        <v>0</v>
      </c>
      <c r="C190" s="245"/>
      <c r="D190" s="368">
        <f>IFERROR(__xludf.DUMMYFUNCTION("""COMPUTED_VALUE"""),9.0)</f>
        <v>9</v>
      </c>
      <c r="E190" s="245"/>
      <c r="F190" s="245"/>
      <c r="G190" s="245"/>
      <c r="H190" s="245"/>
      <c r="I190" s="245"/>
      <c r="J190" s="245"/>
      <c r="K190" s="265"/>
      <c r="L190" s="245"/>
      <c r="M190" s="245"/>
      <c r="N190" s="245"/>
      <c r="O190" s="245"/>
      <c r="P190" s="245"/>
      <c r="Q190" s="247"/>
      <c r="R190" s="254"/>
      <c r="S190" s="245"/>
      <c r="T190" s="245"/>
      <c r="U190" s="245"/>
      <c r="V190" s="245"/>
      <c r="W190" s="245"/>
      <c r="X190" s="245"/>
      <c r="Y190" s="249"/>
      <c r="Z190" s="276"/>
      <c r="AA190" s="245"/>
      <c r="AB190" s="276"/>
      <c r="AC190" s="276"/>
      <c r="AD190" s="246"/>
      <c r="AE190" s="278"/>
      <c r="AF190" s="370"/>
      <c r="AG190" s="371"/>
      <c r="AH190" s="276"/>
      <c r="AI190" s="245"/>
      <c r="AJ190" s="287"/>
      <c r="AK190" s="278"/>
      <c r="AL190" s="246"/>
      <c r="AM190" s="245"/>
      <c r="AN190" s="245"/>
      <c r="AO190" s="274"/>
      <c r="AP190" s="245"/>
      <c r="AQ190" s="245"/>
      <c r="AR190" s="246"/>
      <c r="AS190" s="245"/>
      <c r="AT190" s="245"/>
      <c r="AU190" s="245"/>
      <c r="AV190" s="245"/>
      <c r="AW190" s="245"/>
      <c r="AX190" s="246"/>
      <c r="AY190" s="245"/>
      <c r="AZ190" s="245"/>
      <c r="BA190" s="246"/>
      <c r="BB190" s="245"/>
      <c r="BC190" s="245"/>
      <c r="BD190" s="245"/>
      <c r="BE190" s="245"/>
      <c r="BF190" s="245"/>
      <c r="BG190" s="245"/>
      <c r="BH190" s="245"/>
      <c r="BI190" s="245"/>
      <c r="BJ190" s="245"/>
      <c r="BK190" s="245"/>
      <c r="BL190" s="245"/>
      <c r="BM190" s="245"/>
      <c r="BN190" s="245"/>
      <c r="BO190" s="245"/>
      <c r="BP190" s="245"/>
      <c r="BQ190" s="245"/>
      <c r="BR190" s="245"/>
      <c r="BS190" s="245"/>
      <c r="BT190" s="246"/>
      <c r="BU190" s="245"/>
      <c r="BV190" s="245"/>
      <c r="BW190" s="245"/>
      <c r="BX190" s="245"/>
      <c r="BY190" s="245"/>
      <c r="BZ190" s="282"/>
      <c r="CA190" s="245"/>
      <c r="CB190" s="245"/>
      <c r="CC190" s="245"/>
      <c r="CD190" s="245"/>
      <c r="CE190" s="245"/>
      <c r="CF190" s="245"/>
    </row>
    <row r="191">
      <c r="A191" s="305" t="str">
        <f>IFERROR(__xludf.DUMMYFUNCTION("""COMPUTED_VALUE"""),"Nuke Mastery")</f>
        <v>Nuke Mastery</v>
      </c>
      <c r="B191" s="279">
        <f>IFERROR(__xludf.DUMMYFUNCTION("""COMPUTED_VALUE"""),0.0)</f>
        <v>0</v>
      </c>
      <c r="C191" s="245"/>
      <c r="D191" s="368">
        <f>IFERROR(__xludf.DUMMYFUNCTION("""COMPUTED_VALUE"""),9.0)</f>
        <v>9</v>
      </c>
      <c r="E191" s="245"/>
      <c r="F191" s="245"/>
      <c r="G191" s="245"/>
      <c r="H191" s="245"/>
      <c r="I191" s="245"/>
      <c r="J191" s="245"/>
      <c r="K191" s="265"/>
      <c r="L191" s="245"/>
      <c r="M191" s="245"/>
      <c r="N191" s="245"/>
      <c r="O191" s="245"/>
      <c r="P191" s="245"/>
      <c r="Q191" s="247"/>
      <c r="R191" s="254"/>
      <c r="S191" s="245"/>
      <c r="T191" s="245"/>
      <c r="U191" s="245"/>
      <c r="V191" s="245"/>
      <c r="W191" s="245"/>
      <c r="X191" s="245"/>
      <c r="Y191" s="249"/>
      <c r="Z191" s="276"/>
      <c r="AA191" s="245"/>
      <c r="AB191" s="276"/>
      <c r="AC191" s="276"/>
      <c r="AD191" s="246"/>
      <c r="AE191" s="278"/>
      <c r="AF191" s="370"/>
      <c r="AG191" s="371"/>
      <c r="AH191" s="276"/>
      <c r="AI191" s="245"/>
      <c r="AJ191" s="287"/>
      <c r="AK191" s="278"/>
      <c r="AL191" s="246"/>
      <c r="AM191" s="245"/>
      <c r="AN191" s="245"/>
      <c r="AO191" s="274"/>
      <c r="AP191" s="245"/>
      <c r="AQ191" s="245"/>
      <c r="AR191" s="246"/>
      <c r="AS191" s="245"/>
      <c r="AT191" s="245"/>
      <c r="AU191" s="245"/>
      <c r="AV191" s="245"/>
      <c r="AW191" s="245"/>
      <c r="AX191" s="246"/>
      <c r="AY191" s="245"/>
      <c r="AZ191" s="245"/>
      <c r="BA191" s="246"/>
      <c r="BB191" s="245"/>
      <c r="BC191" s="245"/>
      <c r="BD191" s="245"/>
      <c r="BE191" s="245"/>
      <c r="BF191" s="245"/>
      <c r="BG191" s="245"/>
      <c r="BH191" s="245"/>
      <c r="BI191" s="245"/>
      <c r="BJ191" s="245"/>
      <c r="BK191" s="245"/>
      <c r="BL191" s="245"/>
      <c r="BM191" s="245"/>
      <c r="BN191" s="245"/>
      <c r="BO191" s="245"/>
      <c r="BP191" s="245"/>
      <c r="BQ191" s="245"/>
      <c r="BR191" s="245"/>
      <c r="BS191" s="245"/>
      <c r="BT191" s="246"/>
      <c r="BU191" s="245"/>
      <c r="BV191" s="245"/>
      <c r="BW191" s="245"/>
      <c r="BX191" s="245"/>
      <c r="BY191" s="245"/>
      <c r="BZ191" s="282"/>
      <c r="CA191" s="245"/>
      <c r="CB191" s="245"/>
      <c r="CC191" s="245"/>
      <c r="CD191" s="245"/>
      <c r="CE191" s="245"/>
      <c r="CF191" s="245"/>
    </row>
    <row r="192">
      <c r="A192" s="305" t="str">
        <f>IFERROR(__xludf.DUMMYFUNCTION("""COMPUTED_VALUE"""),"Area of Effect Mastery")</f>
        <v>Area of Effect Mastery</v>
      </c>
      <c r="B192" s="279">
        <f>IFERROR(__xludf.DUMMYFUNCTION("""COMPUTED_VALUE"""),0.0)</f>
        <v>0</v>
      </c>
      <c r="C192" s="245"/>
      <c r="D192" s="368">
        <f>IFERROR(__xludf.DUMMYFUNCTION("""COMPUTED_VALUE"""),9.0)</f>
        <v>9</v>
      </c>
      <c r="E192" s="245"/>
      <c r="F192" s="245"/>
      <c r="G192" s="245"/>
      <c r="H192" s="245"/>
      <c r="I192" s="245"/>
      <c r="J192" s="245"/>
      <c r="K192" s="265"/>
      <c r="L192" s="245"/>
      <c r="M192" s="245"/>
      <c r="N192" s="245"/>
      <c r="O192" s="245"/>
      <c r="P192" s="245"/>
      <c r="Q192" s="247"/>
      <c r="R192" s="254"/>
      <c r="S192" s="245"/>
      <c r="T192" s="245"/>
      <c r="U192" s="245"/>
      <c r="V192" s="245"/>
      <c r="W192" s="245"/>
      <c r="X192" s="245"/>
      <c r="Y192" s="249"/>
      <c r="Z192" s="276"/>
      <c r="AA192" s="245"/>
      <c r="AB192" s="276"/>
      <c r="AC192" s="276"/>
      <c r="AD192" s="246"/>
      <c r="AE192" s="278"/>
      <c r="AF192" s="370"/>
      <c r="AG192" s="371"/>
      <c r="AH192" s="276"/>
      <c r="AI192" s="245"/>
      <c r="AJ192" s="287"/>
      <c r="AK192" s="278"/>
      <c r="AL192" s="246"/>
      <c r="AM192" s="245"/>
      <c r="AN192" s="245"/>
      <c r="AO192" s="274"/>
      <c r="AP192" s="245"/>
      <c r="AQ192" s="245"/>
      <c r="AR192" s="246"/>
      <c r="AS192" s="245"/>
      <c r="AT192" s="245"/>
      <c r="AU192" s="245"/>
      <c r="AV192" s="245"/>
      <c r="AW192" s="245"/>
      <c r="AX192" s="246"/>
      <c r="AY192" s="245"/>
      <c r="AZ192" s="245"/>
      <c r="BA192" s="246"/>
      <c r="BB192" s="245"/>
      <c r="BC192" s="245"/>
      <c r="BD192" s="245"/>
      <c r="BE192" s="245"/>
      <c r="BF192" s="245"/>
      <c r="BG192" s="245"/>
      <c r="BH192" s="245"/>
      <c r="BI192" s="245"/>
      <c r="BJ192" s="245"/>
      <c r="BK192" s="245"/>
      <c r="BL192" s="245"/>
      <c r="BM192" s="245"/>
      <c r="BN192" s="245"/>
      <c r="BO192" s="245"/>
      <c r="BP192" s="245"/>
      <c r="BQ192" s="245"/>
      <c r="BR192" s="245"/>
      <c r="BS192" s="245"/>
      <c r="BT192" s="246"/>
      <c r="BU192" s="245"/>
      <c r="BV192" s="245"/>
      <c r="BW192" s="245"/>
      <c r="BX192" s="245"/>
      <c r="BY192" s="245"/>
      <c r="BZ192" s="282"/>
      <c r="CA192" s="245"/>
      <c r="CB192" s="245"/>
      <c r="CC192" s="245"/>
      <c r="CD192" s="245"/>
      <c r="CE192" s="245"/>
      <c r="CF192" s="245"/>
    </row>
    <row r="193">
      <c r="A193" s="372" t="str">
        <f>IFERROR(__xludf.DUMMYFUNCTION("""COMPUTED_VALUE"""),"Battle Condition Reduction")</f>
        <v>Battle Condition Reduction</v>
      </c>
      <c r="B193" s="279">
        <f>IFERROR(__xludf.DUMMYFUNCTION("""COMPUTED_VALUE"""),0.0)</f>
        <v>0</v>
      </c>
      <c r="C193" s="245"/>
      <c r="D193" s="368">
        <f>IFERROR(__xludf.DUMMYFUNCTION("""COMPUTED_VALUE"""),10.0)</f>
        <v>10</v>
      </c>
      <c r="E193" s="245"/>
      <c r="F193" s="245"/>
      <c r="G193" s="245"/>
      <c r="H193" s="245"/>
      <c r="I193" s="245"/>
      <c r="J193" s="245"/>
      <c r="K193" s="265"/>
      <c r="L193" s="245"/>
      <c r="M193" s="245"/>
      <c r="N193" s="245"/>
      <c r="O193" s="245"/>
      <c r="P193" s="245"/>
      <c r="Q193" s="247"/>
      <c r="R193" s="254"/>
      <c r="S193" s="245"/>
      <c r="T193" s="245"/>
      <c r="U193" s="245"/>
      <c r="V193" s="245"/>
      <c r="W193" s="245"/>
      <c r="X193" s="245"/>
      <c r="Y193" s="249"/>
      <c r="Z193" s="276"/>
      <c r="AA193" s="245"/>
      <c r="AB193" s="276"/>
      <c r="AC193" s="276"/>
      <c r="AD193" s="246"/>
      <c r="AE193" s="278"/>
      <c r="AF193" s="370"/>
      <c r="AG193" s="371"/>
      <c r="AH193" s="276"/>
      <c r="AI193" s="245"/>
      <c r="AJ193" s="287"/>
      <c r="AK193" s="278"/>
      <c r="AL193" s="246"/>
      <c r="AM193" s="245"/>
      <c r="AN193" s="245"/>
      <c r="AO193" s="274"/>
      <c r="AP193" s="245"/>
      <c r="AQ193" s="245"/>
      <c r="AR193" s="246"/>
      <c r="AS193" s="245"/>
      <c r="AT193" s="245"/>
      <c r="AU193" s="245"/>
      <c r="AV193" s="245"/>
      <c r="AW193" s="245"/>
      <c r="AX193" s="246"/>
      <c r="AY193" s="245"/>
      <c r="AZ193" s="245"/>
      <c r="BA193" s="246"/>
      <c r="BB193" s="245"/>
      <c r="BC193" s="245"/>
      <c r="BD193" s="245"/>
      <c r="BE193" s="245"/>
      <c r="BF193" s="245"/>
      <c r="BG193" s="245"/>
      <c r="BH193" s="245"/>
      <c r="BI193" s="245"/>
      <c r="BJ193" s="245"/>
      <c r="BK193" s="245"/>
      <c r="BL193" s="245"/>
      <c r="BM193" s="245"/>
      <c r="BN193" s="245"/>
      <c r="BO193" s="245"/>
      <c r="BP193" s="245"/>
      <c r="BQ193" s="245"/>
      <c r="BR193" s="245"/>
      <c r="BS193" s="245"/>
      <c r="BT193" s="246"/>
      <c r="BU193" s="245"/>
      <c r="BV193" s="245"/>
      <c r="BW193" s="245"/>
      <c r="BX193" s="245"/>
      <c r="BY193" s="245"/>
      <c r="BZ193" s="282"/>
      <c r="CA193" s="245"/>
      <c r="CB193" s="245"/>
      <c r="CC193" s="245"/>
      <c r="CD193" s="245"/>
      <c r="CE193" s="245"/>
      <c r="CF193" s="245"/>
    </row>
    <row r="194">
      <c r="A194" s="372" t="str">
        <f>IFERROR(__xludf.DUMMYFUNCTION("""COMPUTED_VALUE"""),"Knockback Resistance")</f>
        <v>Knockback Resistance</v>
      </c>
      <c r="B194" s="279">
        <f>IFERROR(__xludf.DUMMYFUNCTION("""COMPUTED_VALUE"""),0.0)</f>
        <v>0</v>
      </c>
      <c r="C194" s="245"/>
      <c r="D194" s="368">
        <f>IFERROR(__xludf.DUMMYFUNCTION("""COMPUTED_VALUE"""),20.0)</f>
        <v>20</v>
      </c>
      <c r="E194" s="245"/>
      <c r="F194" s="245"/>
      <c r="G194" s="245"/>
      <c r="H194" s="245"/>
      <c r="I194" s="245"/>
      <c r="J194" s="245"/>
      <c r="K194" s="265"/>
      <c r="L194" s="245"/>
      <c r="M194" s="245"/>
      <c r="N194" s="245"/>
      <c r="O194" s="245"/>
      <c r="P194" s="245"/>
      <c r="Q194" s="247"/>
      <c r="R194" s="254"/>
      <c r="S194" s="245"/>
      <c r="T194" s="245"/>
      <c r="U194" s="245"/>
      <c r="V194" s="245"/>
      <c r="W194" s="245"/>
      <c r="X194" s="245"/>
      <c r="Y194" s="249"/>
      <c r="Z194" s="276"/>
      <c r="AA194" s="245"/>
      <c r="AB194" s="276"/>
      <c r="AC194" s="276"/>
      <c r="AD194" s="246"/>
      <c r="AE194" s="278"/>
      <c r="AF194" s="370"/>
      <c r="AG194" s="371"/>
      <c r="AH194" s="276"/>
      <c r="AI194" s="245"/>
      <c r="AJ194" s="287"/>
      <c r="AK194" s="278"/>
      <c r="AL194" s="246"/>
      <c r="AM194" s="245"/>
      <c r="AN194" s="245"/>
      <c r="AO194" s="274"/>
      <c r="AP194" s="245"/>
      <c r="AQ194" s="245"/>
      <c r="AR194" s="246"/>
      <c r="AS194" s="245"/>
      <c r="AT194" s="245"/>
      <c r="AU194" s="245"/>
      <c r="AV194" s="245"/>
      <c r="AW194" s="245"/>
      <c r="AX194" s="246"/>
      <c r="AY194" s="245"/>
      <c r="AZ194" s="245"/>
      <c r="BA194" s="246"/>
      <c r="BB194" s="245"/>
      <c r="BC194" s="245"/>
      <c r="BD194" s="245"/>
      <c r="BE194" s="245"/>
      <c r="BF194" s="245"/>
      <c r="BG194" s="245"/>
      <c r="BH194" s="245"/>
      <c r="BI194" s="245"/>
      <c r="BJ194" s="245"/>
      <c r="BK194" s="245"/>
      <c r="BL194" s="245"/>
      <c r="BM194" s="245"/>
      <c r="BN194" s="245"/>
      <c r="BO194" s="245"/>
      <c r="BP194" s="245"/>
      <c r="BQ194" s="245"/>
      <c r="BR194" s="245"/>
      <c r="BS194" s="245"/>
      <c r="BT194" s="246"/>
      <c r="BU194" s="245"/>
      <c r="BV194" s="245"/>
      <c r="BW194" s="245"/>
      <c r="BX194" s="245"/>
      <c r="BY194" s="245"/>
      <c r="BZ194" s="282"/>
      <c r="CA194" s="245"/>
      <c r="CB194" s="245"/>
      <c r="CC194" s="245"/>
      <c r="CD194" s="245"/>
      <c r="CE194" s="245"/>
      <c r="CF194" s="245"/>
    </row>
    <row r="195">
      <c r="A195" s="372" t="str">
        <f>IFERROR(__xludf.DUMMYFUNCTION("""COMPUTED_VALUE"""),"Thorns Resistance")</f>
        <v>Thorns Resistance</v>
      </c>
      <c r="B195" s="279">
        <f>IFERROR(__xludf.DUMMYFUNCTION("""COMPUTED_VALUE"""),0.0)</f>
        <v>0</v>
      </c>
      <c r="C195" s="245"/>
      <c r="D195" s="368">
        <f>IFERROR(__xludf.DUMMYFUNCTION("""COMPUTED_VALUE"""),20.0)</f>
        <v>20</v>
      </c>
      <c r="E195" s="245"/>
      <c r="F195" s="245"/>
      <c r="G195" s="245"/>
      <c r="H195" s="245"/>
      <c r="I195" s="245"/>
      <c r="J195" s="245"/>
      <c r="K195" s="265"/>
      <c r="L195" s="245"/>
      <c r="M195" s="245"/>
      <c r="N195" s="245"/>
      <c r="O195" s="245"/>
      <c r="P195" s="245"/>
      <c r="Q195" s="247"/>
      <c r="R195" s="254"/>
      <c r="S195" s="245"/>
      <c r="T195" s="245"/>
      <c r="U195" s="245"/>
      <c r="V195" s="245"/>
      <c r="W195" s="245"/>
      <c r="X195" s="245"/>
      <c r="Y195" s="249"/>
      <c r="Z195" s="276"/>
      <c r="AA195" s="245"/>
      <c r="AB195" s="276"/>
      <c r="AC195" s="276"/>
      <c r="AD195" s="246"/>
      <c r="AE195" s="278"/>
      <c r="AF195" s="370"/>
      <c r="AG195" s="371"/>
      <c r="AH195" s="276"/>
      <c r="AI195" s="245"/>
      <c r="AJ195" s="287"/>
      <c r="AK195" s="278"/>
      <c r="AL195" s="246"/>
      <c r="AM195" s="245"/>
      <c r="AN195" s="245"/>
      <c r="AO195" s="274"/>
      <c r="AP195" s="245"/>
      <c r="AQ195" s="245"/>
      <c r="AR195" s="246"/>
      <c r="AS195" s="245"/>
      <c r="AT195" s="245"/>
      <c r="AU195" s="245"/>
      <c r="AV195" s="245"/>
      <c r="AW195" s="245"/>
      <c r="AX195" s="246"/>
      <c r="AY195" s="245"/>
      <c r="AZ195" s="245"/>
      <c r="BA195" s="246"/>
      <c r="BB195" s="245"/>
      <c r="BC195" s="245"/>
      <c r="BD195" s="245"/>
      <c r="BE195" s="245"/>
      <c r="BF195" s="245"/>
      <c r="BG195" s="245"/>
      <c r="BH195" s="245"/>
      <c r="BI195" s="245"/>
      <c r="BJ195" s="245"/>
      <c r="BK195" s="245"/>
      <c r="BL195" s="245"/>
      <c r="BM195" s="245"/>
      <c r="BN195" s="245"/>
      <c r="BO195" s="245"/>
      <c r="BP195" s="245"/>
      <c r="BQ195" s="245"/>
      <c r="BR195" s="245"/>
      <c r="BS195" s="245"/>
      <c r="BT195" s="246"/>
      <c r="BU195" s="245"/>
      <c r="BV195" s="245"/>
      <c r="BW195" s="245"/>
      <c r="BX195" s="245"/>
      <c r="BY195" s="245"/>
      <c r="BZ195" s="282"/>
      <c r="CA195" s="245"/>
      <c r="CB195" s="245"/>
      <c r="CC195" s="245"/>
      <c r="CD195" s="245"/>
      <c r="CE195" s="245"/>
      <c r="CF195" s="245"/>
    </row>
    <row r="196">
      <c r="A196" s="372" t="str">
        <f>IFERROR(__xludf.DUMMYFUNCTION("""COMPUTED_VALUE"""),"Orb Resistance")</f>
        <v>Orb Resistance</v>
      </c>
      <c r="B196" s="279">
        <f>IFERROR(__xludf.DUMMYFUNCTION("""COMPUTED_VALUE"""),0.0)</f>
        <v>0</v>
      </c>
      <c r="C196" s="245"/>
      <c r="D196" s="368">
        <f>IFERROR(__xludf.DUMMYFUNCTION("""COMPUTED_VALUE"""),20.0)</f>
        <v>20</v>
      </c>
      <c r="E196" s="245"/>
      <c r="F196" s="245"/>
      <c r="G196" s="245"/>
      <c r="H196" s="245"/>
      <c r="I196" s="245"/>
      <c r="J196" s="245"/>
      <c r="K196" s="265"/>
      <c r="L196" s="245"/>
      <c r="M196" s="245"/>
      <c r="N196" s="245"/>
      <c r="O196" s="245"/>
      <c r="P196" s="245"/>
      <c r="Q196" s="247"/>
      <c r="R196" s="254"/>
      <c r="S196" s="245"/>
      <c r="T196" s="245"/>
      <c r="U196" s="245"/>
      <c r="V196" s="245"/>
      <c r="W196" s="245"/>
      <c r="X196" s="245"/>
      <c r="Y196" s="249"/>
      <c r="Z196" s="276"/>
      <c r="AA196" s="245"/>
      <c r="AB196" s="276"/>
      <c r="AC196" s="276"/>
      <c r="AD196" s="246"/>
      <c r="AE196" s="278"/>
      <c r="AF196" s="370"/>
      <c r="AG196" s="371"/>
      <c r="AH196" s="276"/>
      <c r="AI196" s="245"/>
      <c r="AJ196" s="287"/>
      <c r="AK196" s="278"/>
      <c r="AL196" s="246"/>
      <c r="AM196" s="245"/>
      <c r="AN196" s="245"/>
      <c r="AO196" s="274"/>
      <c r="AP196" s="245"/>
      <c r="AQ196" s="245"/>
      <c r="AR196" s="246"/>
      <c r="AS196" s="245"/>
      <c r="AT196" s="245"/>
      <c r="AU196" s="245"/>
      <c r="AV196" s="245"/>
      <c r="AW196" s="245"/>
      <c r="AX196" s="246"/>
      <c r="AY196" s="245"/>
      <c r="AZ196" s="245"/>
      <c r="BA196" s="246"/>
      <c r="BB196" s="245"/>
      <c r="BC196" s="245"/>
      <c r="BD196" s="245"/>
      <c r="BE196" s="245"/>
      <c r="BF196" s="245"/>
      <c r="BG196" s="245"/>
      <c r="BH196" s="245"/>
      <c r="BI196" s="245"/>
      <c r="BJ196" s="245"/>
      <c r="BK196" s="245"/>
      <c r="BL196" s="245"/>
      <c r="BM196" s="245"/>
      <c r="BN196" s="245"/>
      <c r="BO196" s="245"/>
      <c r="BP196" s="245"/>
      <c r="BQ196" s="245"/>
      <c r="BR196" s="245"/>
      <c r="BS196" s="245"/>
      <c r="BT196" s="246"/>
      <c r="BU196" s="245"/>
      <c r="BV196" s="245"/>
      <c r="BW196" s="245"/>
      <c r="BX196" s="245"/>
      <c r="BY196" s="245"/>
      <c r="BZ196" s="282"/>
      <c r="CA196" s="245"/>
      <c r="CB196" s="245"/>
      <c r="CC196" s="245"/>
      <c r="CD196" s="245"/>
      <c r="CE196" s="245"/>
      <c r="CF196" s="245"/>
    </row>
    <row r="197">
      <c r="A197" s="372" t="str">
        <f>IFERROR(__xludf.DUMMYFUNCTION("""COMPUTED_VALUE"""),"Plasma Cannon Resistance")</f>
        <v>Plasma Cannon Resistance</v>
      </c>
      <c r="B197" s="279">
        <f>IFERROR(__xludf.DUMMYFUNCTION("""COMPUTED_VALUE"""),0.0)</f>
        <v>0</v>
      </c>
      <c r="C197" s="245"/>
      <c r="D197" s="368">
        <f>IFERROR(__xludf.DUMMYFUNCTION("""COMPUTED_VALUE"""),20.0)</f>
        <v>20</v>
      </c>
      <c r="E197" s="245"/>
      <c r="F197" s="245"/>
      <c r="G197" s="245"/>
      <c r="H197" s="245"/>
      <c r="I197" s="245"/>
      <c r="J197" s="245"/>
      <c r="K197" s="265"/>
      <c r="L197" s="245"/>
      <c r="M197" s="245"/>
      <c r="N197" s="245"/>
      <c r="O197" s="245"/>
      <c r="P197" s="245"/>
      <c r="Q197" s="247"/>
      <c r="R197" s="254"/>
      <c r="S197" s="245"/>
      <c r="T197" s="245"/>
      <c r="U197" s="245"/>
      <c r="V197" s="245"/>
      <c r="W197" s="245"/>
      <c r="X197" s="245"/>
      <c r="Y197" s="249"/>
      <c r="Z197" s="276"/>
      <c r="AA197" s="245"/>
      <c r="AB197" s="276"/>
      <c r="AC197" s="276"/>
      <c r="AD197" s="246"/>
      <c r="AE197" s="278"/>
      <c r="AF197" s="370"/>
      <c r="AG197" s="371"/>
      <c r="AH197" s="276"/>
      <c r="AI197" s="245"/>
      <c r="AJ197" s="287"/>
      <c r="AK197" s="278"/>
      <c r="AL197" s="246"/>
      <c r="AM197" s="245"/>
      <c r="AN197" s="245"/>
      <c r="AO197" s="274"/>
      <c r="AP197" s="245"/>
      <c r="AQ197" s="245"/>
      <c r="AR197" s="246"/>
      <c r="AS197" s="245"/>
      <c r="AT197" s="245"/>
      <c r="AU197" s="245"/>
      <c r="AV197" s="245"/>
      <c r="AW197" s="245"/>
      <c r="AX197" s="246"/>
      <c r="AY197" s="245"/>
      <c r="AZ197" s="245"/>
      <c r="BA197" s="246"/>
      <c r="BB197" s="245"/>
      <c r="BC197" s="245"/>
      <c r="BD197" s="245"/>
      <c r="BE197" s="245"/>
      <c r="BF197" s="245"/>
      <c r="BG197" s="245"/>
      <c r="BH197" s="245"/>
      <c r="BI197" s="245"/>
      <c r="BJ197" s="245"/>
      <c r="BK197" s="245"/>
      <c r="BL197" s="245"/>
      <c r="BM197" s="245"/>
      <c r="BN197" s="245"/>
      <c r="BO197" s="245"/>
      <c r="BP197" s="245"/>
      <c r="BQ197" s="245"/>
      <c r="BR197" s="245"/>
      <c r="BS197" s="245"/>
      <c r="BT197" s="246"/>
      <c r="BU197" s="245"/>
      <c r="BV197" s="245"/>
      <c r="BW197" s="245"/>
      <c r="BX197" s="245"/>
      <c r="BY197" s="245"/>
      <c r="BZ197" s="282"/>
      <c r="CA197" s="245"/>
      <c r="CB197" s="245"/>
      <c r="CC197" s="245"/>
      <c r="CD197" s="245"/>
      <c r="CE197" s="245"/>
      <c r="CF197" s="245"/>
    </row>
    <row r="198">
      <c r="A198" s="372" t="str">
        <f>IFERROR(__xludf.DUMMYFUNCTION("""COMPUTED_VALUE"""),"Death Ray Resistance")</f>
        <v>Death Ray Resistance</v>
      </c>
      <c r="B198" s="279">
        <f>IFERROR(__xludf.DUMMYFUNCTION("""COMPUTED_VALUE"""),0.0)</f>
        <v>0</v>
      </c>
      <c r="C198" s="245"/>
      <c r="D198" s="368">
        <f>IFERROR(__xludf.DUMMYFUNCTION("""COMPUTED_VALUE"""),20.0)</f>
        <v>20</v>
      </c>
      <c r="E198" s="245"/>
      <c r="F198" s="245"/>
      <c r="G198" s="245"/>
      <c r="H198" s="245"/>
      <c r="I198" s="245"/>
      <c r="J198" s="245"/>
      <c r="K198" s="265"/>
      <c r="L198" s="245"/>
      <c r="M198" s="245"/>
      <c r="N198" s="245"/>
      <c r="O198" s="245"/>
      <c r="P198" s="245"/>
      <c r="Q198" s="247"/>
      <c r="R198" s="254"/>
      <c r="S198" s="245"/>
      <c r="T198" s="245"/>
      <c r="U198" s="245"/>
      <c r="V198" s="245"/>
      <c r="W198" s="245"/>
      <c r="X198" s="245"/>
      <c r="Y198" s="249"/>
      <c r="Z198" s="276"/>
      <c r="AA198" s="245"/>
      <c r="AB198" s="276"/>
      <c r="AC198" s="276"/>
      <c r="AD198" s="246"/>
      <c r="AE198" s="278"/>
      <c r="AF198" s="370"/>
      <c r="AG198" s="371"/>
      <c r="AH198" s="276"/>
      <c r="AI198" s="245"/>
      <c r="AJ198" s="287"/>
      <c r="AK198" s="278"/>
      <c r="AL198" s="246"/>
      <c r="AM198" s="245"/>
      <c r="AN198" s="245"/>
      <c r="AO198" s="274"/>
      <c r="AP198" s="245"/>
      <c r="AQ198" s="245"/>
      <c r="AR198" s="246"/>
      <c r="AS198" s="245"/>
      <c r="AT198" s="245"/>
      <c r="AU198" s="245"/>
      <c r="AV198" s="245"/>
      <c r="AW198" s="245"/>
      <c r="AX198" s="246"/>
      <c r="AY198" s="245"/>
      <c r="AZ198" s="245"/>
      <c r="BA198" s="246"/>
      <c r="BB198" s="245"/>
      <c r="BC198" s="245"/>
      <c r="BD198" s="245"/>
      <c r="BE198" s="245"/>
      <c r="BF198" s="245"/>
      <c r="BG198" s="245"/>
      <c r="BH198" s="245"/>
      <c r="BI198" s="245"/>
      <c r="BJ198" s="245"/>
      <c r="BK198" s="245"/>
      <c r="BL198" s="245"/>
      <c r="BM198" s="245"/>
      <c r="BN198" s="245"/>
      <c r="BO198" s="245"/>
      <c r="BP198" s="245"/>
      <c r="BQ198" s="245"/>
      <c r="BR198" s="245"/>
      <c r="BS198" s="245"/>
      <c r="BT198" s="246"/>
      <c r="BU198" s="245"/>
      <c r="BV198" s="245"/>
      <c r="BW198" s="245"/>
      <c r="BX198" s="245"/>
      <c r="BY198" s="245"/>
      <c r="BZ198" s="282"/>
      <c r="CA198" s="245"/>
      <c r="CB198" s="245"/>
      <c r="CC198" s="245"/>
      <c r="CD198" s="245"/>
      <c r="CE198" s="245"/>
      <c r="CF198" s="245"/>
    </row>
    <row r="199">
      <c r="A199" s="372" t="str">
        <f>IFERROR(__xludf.DUMMYFUNCTION("""COMPUTED_VALUE"""),"Armored Enemies")</f>
        <v>Armored Enemies</v>
      </c>
      <c r="B199" s="279">
        <f>IFERROR(__xludf.DUMMYFUNCTION("""COMPUTED_VALUE"""),0.0)</f>
        <v>0</v>
      </c>
      <c r="C199" s="245"/>
      <c r="D199" s="368">
        <f>IFERROR(__xludf.DUMMYFUNCTION("""COMPUTED_VALUE"""),20.0)</f>
        <v>20</v>
      </c>
      <c r="E199" s="245"/>
      <c r="F199" s="245"/>
      <c r="G199" s="245"/>
      <c r="H199" s="245"/>
      <c r="I199" s="245"/>
      <c r="J199" s="245"/>
      <c r="K199" s="265"/>
      <c r="L199" s="245"/>
      <c r="M199" s="245"/>
      <c r="N199" s="245"/>
      <c r="O199" s="245"/>
      <c r="P199" s="245"/>
      <c r="Q199" s="247"/>
      <c r="R199" s="254"/>
      <c r="S199" s="245"/>
      <c r="T199" s="245"/>
      <c r="U199" s="245"/>
      <c r="V199" s="245"/>
      <c r="W199" s="245"/>
      <c r="X199" s="245"/>
      <c r="Y199" s="249"/>
      <c r="Z199" s="276"/>
      <c r="AA199" s="245"/>
      <c r="AB199" s="276"/>
      <c r="AC199" s="276"/>
      <c r="AD199" s="246"/>
      <c r="AE199" s="278"/>
      <c r="AF199" s="370"/>
      <c r="AG199" s="371"/>
      <c r="AH199" s="276"/>
      <c r="AI199" s="245"/>
      <c r="AJ199" s="287"/>
      <c r="AK199" s="278"/>
      <c r="AL199" s="246"/>
      <c r="AM199" s="245"/>
      <c r="AN199" s="245"/>
      <c r="AO199" s="274"/>
      <c r="AP199" s="245"/>
      <c r="AQ199" s="245"/>
      <c r="AR199" s="246"/>
      <c r="AS199" s="245"/>
      <c r="AT199" s="245"/>
      <c r="AU199" s="245"/>
      <c r="AV199" s="245"/>
      <c r="AW199" s="245"/>
      <c r="AX199" s="246"/>
      <c r="AY199" s="245"/>
      <c r="AZ199" s="245"/>
      <c r="BA199" s="246"/>
      <c r="BB199" s="245"/>
      <c r="BC199" s="245"/>
      <c r="BD199" s="245"/>
      <c r="BE199" s="245"/>
      <c r="BF199" s="245"/>
      <c r="BG199" s="245"/>
      <c r="BH199" s="245"/>
      <c r="BI199" s="245"/>
      <c r="BJ199" s="245"/>
      <c r="BK199" s="245"/>
      <c r="BL199" s="245"/>
      <c r="BM199" s="245"/>
      <c r="BN199" s="245"/>
      <c r="BO199" s="245"/>
      <c r="BP199" s="245"/>
      <c r="BQ199" s="245"/>
      <c r="BR199" s="245"/>
      <c r="BS199" s="245"/>
      <c r="BT199" s="246"/>
      <c r="BU199" s="245"/>
      <c r="BV199" s="245"/>
      <c r="BW199" s="245"/>
      <c r="BX199" s="245"/>
      <c r="BY199" s="245"/>
      <c r="BZ199" s="282"/>
      <c r="CA199" s="245"/>
      <c r="CB199" s="245"/>
      <c r="CC199" s="245"/>
      <c r="CD199" s="245"/>
      <c r="CE199" s="245"/>
      <c r="CF199" s="245"/>
    </row>
    <row r="200">
      <c r="A200" s="372" t="str">
        <f>IFERROR(__xludf.DUMMYFUNCTION("""COMPUTED_VALUE"""),"Enemy Speed")</f>
        <v>Enemy Speed</v>
      </c>
      <c r="B200" s="279">
        <f>IFERROR(__xludf.DUMMYFUNCTION("""COMPUTED_VALUE"""),0.0)</f>
        <v>0</v>
      </c>
      <c r="C200" s="245"/>
      <c r="D200" s="368">
        <f>IFERROR(__xludf.DUMMYFUNCTION("""COMPUTED_VALUE"""),20.0)</f>
        <v>20</v>
      </c>
      <c r="E200" s="245"/>
      <c r="F200" s="245"/>
      <c r="G200" s="245"/>
      <c r="H200" s="245"/>
      <c r="I200" s="245"/>
      <c r="J200" s="245"/>
      <c r="K200" s="265"/>
      <c r="L200" s="245"/>
      <c r="M200" s="245"/>
      <c r="N200" s="245"/>
      <c r="O200" s="245"/>
      <c r="P200" s="245"/>
      <c r="Q200" s="247"/>
      <c r="R200" s="254"/>
      <c r="S200" s="245"/>
      <c r="T200" s="245"/>
      <c r="U200" s="245"/>
      <c r="V200" s="245"/>
      <c r="W200" s="245"/>
      <c r="X200" s="245"/>
      <c r="Y200" s="249"/>
      <c r="Z200" s="276"/>
      <c r="AA200" s="245"/>
      <c r="AB200" s="276"/>
      <c r="AC200" s="276"/>
      <c r="AD200" s="246"/>
      <c r="AE200" s="278"/>
      <c r="AF200" s="370"/>
      <c r="AG200" s="371"/>
      <c r="AH200" s="276"/>
      <c r="AI200" s="245"/>
      <c r="AJ200" s="287"/>
      <c r="AK200" s="278"/>
      <c r="AL200" s="246"/>
      <c r="AM200" s="245"/>
      <c r="AN200" s="245"/>
      <c r="AO200" s="274"/>
      <c r="AP200" s="245"/>
      <c r="AQ200" s="245"/>
      <c r="AR200" s="246"/>
      <c r="AS200" s="245"/>
      <c r="AT200" s="245"/>
      <c r="AU200" s="245"/>
      <c r="AV200" s="245"/>
      <c r="AW200" s="245"/>
      <c r="AX200" s="246"/>
      <c r="AY200" s="245"/>
      <c r="AZ200" s="245"/>
      <c r="BA200" s="246"/>
      <c r="BB200" s="245"/>
      <c r="BC200" s="245"/>
      <c r="BD200" s="245"/>
      <c r="BE200" s="245"/>
      <c r="BF200" s="245"/>
      <c r="BG200" s="245"/>
      <c r="BH200" s="245"/>
      <c r="BI200" s="245"/>
      <c r="BJ200" s="245"/>
      <c r="BK200" s="245"/>
      <c r="BL200" s="245"/>
      <c r="BM200" s="245"/>
      <c r="BN200" s="245"/>
      <c r="BO200" s="245"/>
      <c r="BP200" s="245"/>
      <c r="BQ200" s="245"/>
      <c r="BR200" s="245"/>
      <c r="BS200" s="245"/>
      <c r="BT200" s="246"/>
      <c r="BU200" s="245"/>
      <c r="BV200" s="245"/>
      <c r="BW200" s="245"/>
      <c r="BX200" s="245"/>
      <c r="BY200" s="245"/>
      <c r="BZ200" s="282"/>
      <c r="CA200" s="245"/>
      <c r="CB200" s="245"/>
      <c r="CC200" s="245"/>
      <c r="CD200" s="245"/>
      <c r="CE200" s="245"/>
      <c r="CF200" s="245"/>
    </row>
    <row r="201">
      <c r="A201" s="372" t="str">
        <f>IFERROR(__xludf.DUMMYFUNCTION("""COMPUTED_VALUE"""),"More Enemies")</f>
        <v>More Enemies</v>
      </c>
      <c r="B201" s="279">
        <f>IFERROR(__xludf.DUMMYFUNCTION("""COMPUTED_VALUE"""),0.0)</f>
        <v>0</v>
      </c>
      <c r="C201" s="245"/>
      <c r="D201" s="368">
        <f>IFERROR(__xludf.DUMMYFUNCTION("""COMPUTED_VALUE"""),20.0)</f>
        <v>20</v>
      </c>
      <c r="E201" s="245"/>
      <c r="F201" s="245"/>
      <c r="G201" s="245"/>
      <c r="H201" s="245"/>
      <c r="I201" s="245"/>
      <c r="J201" s="245"/>
      <c r="K201" s="265"/>
      <c r="L201" s="245"/>
      <c r="M201" s="245"/>
      <c r="N201" s="245"/>
      <c r="O201" s="245"/>
      <c r="P201" s="245"/>
      <c r="Q201" s="247"/>
      <c r="R201" s="254"/>
      <c r="S201" s="245"/>
      <c r="T201" s="245"/>
      <c r="U201" s="245"/>
      <c r="V201" s="245"/>
      <c r="W201" s="245"/>
      <c r="X201" s="245"/>
      <c r="Y201" s="249"/>
      <c r="Z201" s="276"/>
      <c r="AA201" s="245"/>
      <c r="AB201" s="276"/>
      <c r="AC201" s="276"/>
      <c r="AD201" s="246"/>
      <c r="AE201" s="278"/>
      <c r="AF201" s="370"/>
      <c r="AG201" s="371"/>
      <c r="AH201" s="250"/>
      <c r="AI201" s="245"/>
      <c r="AJ201" s="287"/>
      <c r="AK201" s="278"/>
      <c r="AL201" s="246"/>
      <c r="AM201" s="245"/>
      <c r="AN201" s="245"/>
      <c r="AO201" s="274"/>
      <c r="AP201" s="245"/>
      <c r="AQ201" s="245"/>
      <c r="AR201" s="246"/>
      <c r="AS201" s="245"/>
      <c r="AT201" s="245"/>
      <c r="AU201" s="245"/>
      <c r="AV201" s="245"/>
      <c r="AW201" s="245"/>
      <c r="AX201" s="246"/>
      <c r="AY201" s="245"/>
      <c r="AZ201" s="245"/>
      <c r="BA201" s="246"/>
      <c r="BB201" s="245"/>
      <c r="BC201" s="245"/>
      <c r="BD201" s="245"/>
      <c r="BE201" s="245"/>
      <c r="BF201" s="245"/>
      <c r="BG201" s="245"/>
      <c r="BH201" s="245"/>
      <c r="BI201" s="245"/>
      <c r="BJ201" s="245"/>
      <c r="BK201" s="245"/>
      <c r="BL201" s="245"/>
      <c r="BM201" s="245"/>
      <c r="BN201" s="245"/>
      <c r="BO201" s="245"/>
      <c r="BP201" s="245"/>
      <c r="BQ201" s="245"/>
      <c r="BR201" s="245"/>
      <c r="BS201" s="245"/>
      <c r="BT201" s="246"/>
      <c r="BU201" s="245"/>
      <c r="BV201" s="245"/>
      <c r="BW201" s="245"/>
      <c r="BX201" s="245"/>
      <c r="BY201" s="245"/>
      <c r="BZ201" s="282"/>
      <c r="CA201" s="245"/>
      <c r="CB201" s="245"/>
      <c r="CC201" s="245"/>
      <c r="CD201" s="245"/>
      <c r="CE201" s="245"/>
      <c r="CF201" s="245"/>
    </row>
    <row r="202">
      <c r="A202" s="372" t="str">
        <f>IFERROR(__xludf.DUMMYFUNCTION("""COMPUTED_VALUE"""),"Enemy Attack Speed")</f>
        <v>Enemy Attack Speed</v>
      </c>
      <c r="B202" s="279">
        <f>IFERROR(__xludf.DUMMYFUNCTION("""COMPUTED_VALUE"""),0.0)</f>
        <v>0</v>
      </c>
      <c r="C202" s="245"/>
      <c r="D202" s="368">
        <f>IFERROR(__xludf.DUMMYFUNCTION("""COMPUTED_VALUE"""),20.0)</f>
        <v>20</v>
      </c>
      <c r="E202" s="245"/>
      <c r="F202" s="245"/>
      <c r="G202" s="245"/>
      <c r="H202" s="245"/>
      <c r="I202" s="245"/>
      <c r="J202" s="245"/>
      <c r="K202" s="265"/>
      <c r="L202" s="245"/>
      <c r="M202" s="245"/>
      <c r="N202" s="245"/>
      <c r="O202" s="245"/>
      <c r="P202" s="245"/>
      <c r="Q202" s="247"/>
      <c r="R202" s="254"/>
      <c r="S202" s="265"/>
      <c r="T202" s="245"/>
      <c r="U202" s="245"/>
      <c r="V202" s="245"/>
      <c r="W202" s="245"/>
      <c r="X202" s="245"/>
      <c r="Y202" s="249"/>
      <c r="Z202" s="276"/>
      <c r="AA202" s="245"/>
      <c r="AB202" s="276"/>
      <c r="AC202" s="276"/>
      <c r="AD202" s="246"/>
      <c r="AE202" s="278"/>
      <c r="AF202" s="370"/>
      <c r="AG202" s="371"/>
      <c r="AH202" s="250"/>
      <c r="AI202" s="254"/>
      <c r="AJ202" s="287"/>
      <c r="AK202" s="278"/>
      <c r="AL202" s="246"/>
      <c r="AM202" s="245"/>
      <c r="AN202" s="245"/>
      <c r="AO202" s="274"/>
      <c r="AP202" s="245"/>
      <c r="AQ202" s="276"/>
      <c r="AR202" s="246"/>
      <c r="AS202" s="245"/>
      <c r="AT202" s="276"/>
      <c r="AU202" s="245"/>
      <c r="AV202" s="245"/>
      <c r="AW202" s="278"/>
      <c r="AX202" s="246"/>
      <c r="AY202" s="245"/>
      <c r="AZ202" s="245"/>
      <c r="BA202" s="274"/>
      <c r="BB202" s="245"/>
      <c r="BC202" s="245"/>
      <c r="BD202" s="245"/>
      <c r="BE202" s="245"/>
      <c r="BF202" s="245"/>
      <c r="BG202" s="245"/>
      <c r="BH202" s="245"/>
      <c r="BI202" s="245"/>
      <c r="BJ202" s="245"/>
      <c r="BK202" s="245"/>
      <c r="BL202" s="245"/>
      <c r="BM202" s="245"/>
      <c r="BN202" s="245"/>
      <c r="BO202" s="245"/>
      <c r="BP202" s="245"/>
      <c r="BQ202" s="245"/>
      <c r="BR202" s="245"/>
      <c r="BS202" s="245"/>
      <c r="BT202" s="246"/>
      <c r="BU202" s="245"/>
      <c r="BV202" s="245"/>
      <c r="BW202" s="245"/>
      <c r="BX202" s="245"/>
      <c r="BY202" s="245"/>
      <c r="BZ202" s="282"/>
      <c r="CA202" s="245"/>
      <c r="CB202" s="245"/>
      <c r="CC202" s="245"/>
      <c r="CD202" s="245"/>
      <c r="CE202" s="245"/>
      <c r="CF202" s="245"/>
    </row>
    <row r="203">
      <c r="A203" s="372" t="str">
        <f>IFERROR(__xludf.DUMMYFUNCTION("""COMPUTED_VALUE"""),"Fast's Ultimate")</f>
        <v>Fast's Ultimate</v>
      </c>
      <c r="B203" s="279">
        <f>IFERROR(__xludf.DUMMYFUNCTION("""COMPUTED_VALUE"""),0.0)</f>
        <v>0</v>
      </c>
      <c r="C203" s="245"/>
      <c r="D203" s="368">
        <f>IFERROR(__xludf.DUMMYFUNCTION("""COMPUTED_VALUE"""),10.0)</f>
        <v>10</v>
      </c>
      <c r="E203" s="245"/>
      <c r="F203" s="245"/>
      <c r="G203" s="245"/>
      <c r="H203" s="245"/>
      <c r="I203" s="245"/>
      <c r="J203" s="245"/>
      <c r="K203" s="265"/>
      <c r="L203" s="245"/>
      <c r="M203" s="245"/>
      <c r="N203" s="245"/>
      <c r="O203" s="245"/>
      <c r="P203" s="245"/>
      <c r="Q203" s="247"/>
      <c r="R203" s="254"/>
      <c r="S203" s="265"/>
      <c r="T203" s="245"/>
      <c r="U203" s="245"/>
      <c r="V203" s="245"/>
      <c r="W203" s="245"/>
      <c r="X203" s="245"/>
      <c r="Y203" s="249"/>
      <c r="Z203" s="276"/>
      <c r="AA203" s="245"/>
      <c r="AB203" s="276"/>
      <c r="AC203" s="276"/>
      <c r="AD203" s="246"/>
      <c r="AE203" s="278"/>
      <c r="AF203" s="370"/>
      <c r="AG203" s="371"/>
      <c r="AH203" s="286"/>
      <c r="AI203" s="254"/>
      <c r="AJ203" s="287"/>
      <c r="AK203" s="278"/>
      <c r="AL203" s="246"/>
      <c r="AM203" s="245"/>
      <c r="AN203" s="245"/>
      <c r="AO203" s="274"/>
      <c r="AP203" s="245"/>
      <c r="AQ203" s="289"/>
      <c r="AR203" s="246"/>
      <c r="AS203" s="245"/>
      <c r="AT203" s="289"/>
      <c r="AU203" s="245"/>
      <c r="AV203" s="245"/>
      <c r="AW203" s="245"/>
      <c r="AX203" s="246"/>
      <c r="AY203" s="245"/>
      <c r="AZ203" s="245"/>
      <c r="BA203" s="292"/>
      <c r="BB203" s="291"/>
      <c r="BC203" s="245"/>
      <c r="BD203" s="245"/>
      <c r="BE203" s="245"/>
      <c r="BF203" s="245"/>
      <c r="BG203" s="245"/>
      <c r="BH203" s="245"/>
      <c r="BI203" s="245"/>
      <c r="BJ203" s="245"/>
      <c r="BK203" s="245"/>
      <c r="BL203" s="245"/>
      <c r="BM203" s="245"/>
      <c r="BN203" s="245"/>
      <c r="BO203" s="245"/>
      <c r="BP203" s="245"/>
      <c r="BQ203" s="245"/>
      <c r="BR203" s="245"/>
      <c r="BS203" s="245"/>
      <c r="BT203" s="246"/>
      <c r="BU203" s="245"/>
      <c r="BV203" s="245"/>
      <c r="BW203" s="245"/>
      <c r="BX203" s="245"/>
      <c r="BY203" s="245"/>
      <c r="BZ203" s="282"/>
      <c r="CA203" s="245"/>
      <c r="CB203" s="245"/>
      <c r="CC203" s="245"/>
      <c r="CD203" s="245"/>
      <c r="CE203" s="245"/>
      <c r="CF203" s="245"/>
    </row>
    <row r="204">
      <c r="A204" s="372" t="str">
        <f>IFERROR(__xludf.DUMMYFUNCTION("""COMPUTED_VALUE"""),"Ranged Ultimate")</f>
        <v>Ranged Ultimate</v>
      </c>
      <c r="B204" s="279">
        <f>IFERROR(__xludf.DUMMYFUNCTION("""COMPUTED_VALUE"""),0.0)</f>
        <v>0</v>
      </c>
      <c r="C204" s="245"/>
      <c r="D204" s="368">
        <f>IFERROR(__xludf.DUMMYFUNCTION("""COMPUTED_VALUE"""),10.0)</f>
        <v>10</v>
      </c>
      <c r="E204" s="245"/>
      <c r="F204" s="245"/>
      <c r="G204" s="245"/>
      <c r="H204" s="245"/>
      <c r="I204" s="245"/>
      <c r="J204" s="245"/>
      <c r="K204" s="265"/>
      <c r="L204" s="245"/>
      <c r="M204" s="245"/>
      <c r="N204" s="245"/>
      <c r="O204" s="245"/>
      <c r="P204" s="245"/>
      <c r="Q204" s="247"/>
      <c r="R204" s="254"/>
      <c r="S204" s="265"/>
      <c r="T204" s="245"/>
      <c r="U204" s="245"/>
      <c r="V204" s="245"/>
      <c r="W204" s="245"/>
      <c r="X204" s="245"/>
      <c r="Y204" s="249"/>
      <c r="Z204" s="276"/>
      <c r="AA204" s="245"/>
      <c r="AB204" s="276"/>
      <c r="AC204" s="276"/>
      <c r="AD204" s="246"/>
      <c r="AE204" s="278"/>
      <c r="AF204" s="370"/>
      <c r="AG204" s="371"/>
      <c r="AH204" s="276"/>
      <c r="AI204" s="254"/>
      <c r="AJ204" s="287"/>
      <c r="AK204" s="278"/>
      <c r="AL204" s="246"/>
      <c r="AM204" s="245"/>
      <c r="AN204" s="245"/>
      <c r="AO204" s="274"/>
      <c r="AP204" s="245"/>
      <c r="AQ204" s="289"/>
      <c r="AR204" s="246"/>
      <c r="AS204" s="245"/>
      <c r="AT204" s="289"/>
      <c r="AU204" s="245"/>
      <c r="AV204" s="245"/>
      <c r="AW204" s="245"/>
      <c r="AX204" s="246"/>
      <c r="AY204" s="245"/>
      <c r="AZ204" s="245"/>
      <c r="BA204" s="264"/>
      <c r="BB204" s="302"/>
      <c r="BC204" s="245"/>
      <c r="BD204" s="245"/>
      <c r="BE204" s="245"/>
      <c r="BF204" s="245"/>
      <c r="BG204" s="245"/>
      <c r="BH204" s="245"/>
      <c r="BI204" s="245"/>
      <c r="BJ204" s="245"/>
      <c r="BK204" s="245"/>
      <c r="BL204" s="245"/>
      <c r="BM204" s="245"/>
      <c r="BN204" s="245"/>
      <c r="BO204" s="245"/>
      <c r="BP204" s="245"/>
      <c r="BQ204" s="245"/>
      <c r="BR204" s="245"/>
      <c r="BS204" s="245"/>
      <c r="BT204" s="246"/>
      <c r="BU204" s="245"/>
      <c r="BV204" s="245"/>
      <c r="BW204" s="245"/>
      <c r="BX204" s="245"/>
      <c r="BY204" s="245"/>
      <c r="BZ204" s="282"/>
      <c r="CA204" s="245"/>
      <c r="CB204" s="245"/>
      <c r="CC204" s="245"/>
      <c r="CD204" s="245"/>
      <c r="CE204" s="245"/>
      <c r="CF204" s="245"/>
    </row>
    <row r="205">
      <c r="A205" s="372" t="str">
        <f>IFERROR(__xludf.DUMMYFUNCTION("""COMPUTED_VALUE"""),"Boss's Ultimate")</f>
        <v>Boss's Ultimate</v>
      </c>
      <c r="B205" s="279">
        <f>IFERROR(__xludf.DUMMYFUNCTION("""COMPUTED_VALUE"""),0.0)</f>
        <v>0</v>
      </c>
      <c r="C205" s="245"/>
      <c r="D205" s="368">
        <f>IFERROR(__xludf.DUMMYFUNCTION("""COMPUTED_VALUE"""),10.0)</f>
        <v>10</v>
      </c>
      <c r="E205" s="245"/>
      <c r="F205" s="245"/>
      <c r="G205" s="245"/>
      <c r="H205" s="245"/>
      <c r="I205" s="245"/>
      <c r="J205" s="245"/>
      <c r="K205" s="265"/>
      <c r="L205" s="245"/>
      <c r="M205" s="245"/>
      <c r="N205" s="245"/>
      <c r="O205" s="245"/>
      <c r="P205" s="245"/>
      <c r="Q205" s="247"/>
      <c r="R205" s="254"/>
      <c r="S205" s="265"/>
      <c r="T205" s="245"/>
      <c r="U205" s="245"/>
      <c r="V205" s="245"/>
      <c r="W205" s="245"/>
      <c r="X205" s="245"/>
      <c r="Y205" s="249"/>
      <c r="Z205" s="276"/>
      <c r="AA205" s="245"/>
      <c r="AB205" s="276"/>
      <c r="AC205" s="276"/>
      <c r="AD205" s="246"/>
      <c r="AE205" s="278"/>
      <c r="AF205" s="370"/>
      <c r="AG205" s="371"/>
      <c r="AH205" s="309"/>
      <c r="AI205" s="254"/>
      <c r="AJ205" s="287"/>
      <c r="AK205" s="278"/>
      <c r="AL205" s="246"/>
      <c r="AM205" s="245"/>
      <c r="AN205" s="245"/>
      <c r="AO205" s="274"/>
      <c r="AP205" s="245"/>
      <c r="AQ205" s="289"/>
      <c r="AR205" s="246"/>
      <c r="AS205" s="245"/>
      <c r="AT205" s="289"/>
      <c r="AU205" s="245"/>
      <c r="AV205" s="245"/>
      <c r="AW205" s="245"/>
      <c r="AX205" s="246"/>
      <c r="AY205" s="305"/>
      <c r="AZ205" s="245"/>
      <c r="BA205" s="314"/>
      <c r="BB205" s="313"/>
      <c r="BC205" s="245"/>
      <c r="BD205" s="245"/>
      <c r="BE205" s="245"/>
      <c r="BF205" s="245"/>
      <c r="BG205" s="245"/>
      <c r="BH205" s="245"/>
      <c r="BI205" s="245"/>
      <c r="BJ205" s="245"/>
      <c r="BK205" s="245"/>
      <c r="BL205" s="245"/>
      <c r="BM205" s="245"/>
      <c r="BN205" s="245"/>
      <c r="BO205" s="245"/>
      <c r="BP205" s="245"/>
      <c r="BQ205" s="245"/>
      <c r="BR205" s="245"/>
      <c r="BS205" s="245"/>
      <c r="BT205" s="246"/>
      <c r="BU205" s="245"/>
      <c r="BV205" s="245"/>
      <c r="BW205" s="245"/>
      <c r="BX205" s="245"/>
      <c r="BY205" s="245"/>
      <c r="BZ205" s="282"/>
      <c r="CA205" s="245"/>
      <c r="CB205" s="245"/>
      <c r="CC205" s="245"/>
      <c r="CD205" s="245"/>
      <c r="CE205" s="245"/>
      <c r="CF205" s="245"/>
    </row>
    <row r="206">
      <c r="A206" s="372" t="str">
        <f>IFERROR(__xludf.DUMMYFUNCTION("""COMPUTED_VALUE"""),"Basic's Ultimate")</f>
        <v>Basic's Ultimate</v>
      </c>
      <c r="B206" s="279">
        <f>IFERROR(__xludf.DUMMYFUNCTION("""COMPUTED_VALUE"""),0.0)</f>
        <v>0</v>
      </c>
      <c r="C206" s="245"/>
      <c r="D206" s="368">
        <f>IFERROR(__xludf.DUMMYFUNCTION("""COMPUTED_VALUE"""),10.0)</f>
        <v>10</v>
      </c>
      <c r="E206" s="245"/>
      <c r="F206" s="245"/>
      <c r="G206" s="245"/>
      <c r="H206" s="245"/>
      <c r="I206" s="245"/>
      <c r="J206" s="245"/>
      <c r="K206" s="265"/>
      <c r="L206" s="245"/>
      <c r="M206" s="245"/>
      <c r="N206" s="245"/>
      <c r="O206" s="245"/>
      <c r="P206" s="245"/>
      <c r="Q206" s="247"/>
      <c r="R206" s="254"/>
      <c r="S206" s="265"/>
      <c r="T206" s="245"/>
      <c r="U206" s="245"/>
      <c r="V206" s="245"/>
      <c r="W206" s="245"/>
      <c r="X206" s="245"/>
      <c r="Y206" s="249"/>
      <c r="Z206" s="276"/>
      <c r="AA206" s="245"/>
      <c r="AB206" s="276"/>
      <c r="AC206" s="276"/>
      <c r="AD206" s="246"/>
      <c r="AE206" s="278"/>
      <c r="AF206" s="370"/>
      <c r="AG206" s="371"/>
      <c r="AH206" s="317"/>
      <c r="AI206" s="254"/>
      <c r="AJ206" s="287"/>
      <c r="AK206" s="278"/>
      <c r="AL206" s="246"/>
      <c r="AM206" s="245"/>
      <c r="AN206" s="245"/>
      <c r="AO206" s="274"/>
      <c r="AP206" s="245"/>
      <c r="AQ206" s="289"/>
      <c r="AR206" s="246"/>
      <c r="AS206" s="245"/>
      <c r="AT206" s="289"/>
      <c r="AU206" s="245"/>
      <c r="AV206" s="245"/>
      <c r="AW206" s="313"/>
      <c r="AX206" s="246"/>
      <c r="AY206" s="245"/>
      <c r="AZ206" s="245"/>
      <c r="BA206" s="321"/>
      <c r="BB206" s="319"/>
      <c r="BC206" s="245"/>
      <c r="BD206" s="245"/>
      <c r="BE206" s="245"/>
      <c r="BF206" s="245"/>
      <c r="BG206" s="245"/>
      <c r="BH206" s="245"/>
      <c r="BI206" s="245"/>
      <c r="BJ206" s="245"/>
      <c r="BK206" s="245"/>
      <c r="BL206" s="245"/>
      <c r="BM206" s="245"/>
      <c r="BN206" s="245"/>
      <c r="BO206" s="245"/>
      <c r="BP206" s="245"/>
      <c r="BQ206" s="245"/>
      <c r="BR206" s="245"/>
      <c r="BS206" s="245"/>
      <c r="BT206" s="246"/>
      <c r="BU206" s="245"/>
      <c r="BV206" s="245"/>
      <c r="BW206" s="245"/>
      <c r="BX206" s="245"/>
      <c r="BY206" s="245"/>
      <c r="BZ206" s="282"/>
      <c r="CA206" s="245"/>
      <c r="CB206" s="245"/>
      <c r="CC206" s="245"/>
      <c r="CD206" s="245"/>
      <c r="CE206" s="245"/>
      <c r="CF206" s="245"/>
    </row>
    <row r="207">
      <c r="A207" s="372" t="str">
        <f>IFERROR(__xludf.DUMMYFUNCTION("""COMPUTED_VALUE"""),"Tank's Ultimate")</f>
        <v>Tank's Ultimate</v>
      </c>
      <c r="B207" s="279">
        <f>IFERROR(__xludf.DUMMYFUNCTION("""COMPUTED_VALUE"""),0.0)</f>
        <v>0</v>
      </c>
      <c r="C207" s="245"/>
      <c r="D207" s="368">
        <f>IFERROR(__xludf.DUMMYFUNCTION("""COMPUTED_VALUE"""),10.0)</f>
        <v>10</v>
      </c>
      <c r="E207" s="245"/>
      <c r="F207" s="245"/>
      <c r="G207" s="245"/>
      <c r="H207" s="245"/>
      <c r="I207" s="245"/>
      <c r="J207" s="245"/>
      <c r="K207" s="265"/>
      <c r="L207" s="245"/>
      <c r="M207" s="245"/>
      <c r="N207" s="245"/>
      <c r="O207" s="245"/>
      <c r="P207" s="245"/>
      <c r="Q207" s="247"/>
      <c r="R207" s="254"/>
      <c r="S207" s="265"/>
      <c r="T207" s="245"/>
      <c r="U207" s="245"/>
      <c r="V207" s="245"/>
      <c r="W207" s="245"/>
      <c r="X207" s="245"/>
      <c r="Y207" s="249"/>
      <c r="Z207" s="276"/>
      <c r="AA207" s="245"/>
      <c r="AB207" s="276"/>
      <c r="AC207" s="276"/>
      <c r="AD207" s="246"/>
      <c r="AE207" s="278"/>
      <c r="AF207" s="370"/>
      <c r="AG207" s="371"/>
      <c r="AH207" s="286"/>
      <c r="AI207" s="245"/>
      <c r="AJ207" s="287"/>
      <c r="AK207" s="278"/>
      <c r="AL207" s="246"/>
      <c r="AM207" s="245"/>
      <c r="AN207" s="245"/>
      <c r="AO207" s="274"/>
      <c r="AP207" s="245"/>
      <c r="AQ207" s="245"/>
      <c r="AR207" s="246"/>
      <c r="AS207" s="245"/>
      <c r="AT207" s="245"/>
      <c r="AU207" s="245"/>
      <c r="AV207" s="245"/>
      <c r="AW207" s="276"/>
      <c r="AX207" s="246"/>
      <c r="AY207" s="245"/>
      <c r="AZ207" s="245"/>
      <c r="BA207" s="325"/>
      <c r="BB207" s="324"/>
      <c r="BC207" s="245"/>
      <c r="BD207" s="245"/>
      <c r="BE207" s="245"/>
      <c r="BF207" s="245"/>
      <c r="BG207" s="245"/>
      <c r="BH207" s="245"/>
      <c r="BI207" s="245"/>
      <c r="BJ207" s="245"/>
      <c r="BK207" s="245"/>
      <c r="BL207" s="245"/>
      <c r="BM207" s="245"/>
      <c r="BN207" s="245"/>
      <c r="BO207" s="245"/>
      <c r="BP207" s="245"/>
      <c r="BQ207" s="245"/>
      <c r="BR207" s="245"/>
      <c r="BS207" s="245"/>
      <c r="BT207" s="246"/>
      <c r="BU207" s="245"/>
      <c r="BV207" s="245"/>
      <c r="BW207" s="245"/>
      <c r="BX207" s="245"/>
      <c r="BY207" s="245"/>
      <c r="BZ207" s="282"/>
      <c r="CA207" s="245"/>
      <c r="CB207" s="245"/>
      <c r="CC207" s="245"/>
      <c r="CD207" s="245"/>
      <c r="CE207" s="245"/>
      <c r="CF207" s="245"/>
    </row>
    <row r="208">
      <c r="A208" s="372" t="str">
        <f>IFERROR(__xludf.DUMMYFUNCTION("""COMPUTED_VALUE"""),"Protector's Ultimate")</f>
        <v>Protector's Ultimate</v>
      </c>
      <c r="B208" s="279">
        <f>IFERROR(__xludf.DUMMYFUNCTION("""COMPUTED_VALUE"""),0.0)</f>
        <v>0</v>
      </c>
      <c r="C208" s="245"/>
      <c r="D208" s="368">
        <f>IFERROR(__xludf.DUMMYFUNCTION("""COMPUTED_VALUE"""),10.0)</f>
        <v>10</v>
      </c>
      <c r="E208" s="245"/>
      <c r="F208" s="245"/>
      <c r="G208" s="245"/>
      <c r="H208" s="245"/>
      <c r="I208" s="245"/>
      <c r="J208" s="245"/>
      <c r="K208" s="265"/>
      <c r="L208" s="245"/>
      <c r="M208" s="245"/>
      <c r="N208" s="245"/>
      <c r="O208" s="245"/>
      <c r="P208" s="245"/>
      <c r="Q208" s="247"/>
      <c r="R208" s="254"/>
      <c r="S208" s="265"/>
      <c r="T208" s="245"/>
      <c r="U208" s="245"/>
      <c r="V208" s="245"/>
      <c r="W208" s="245"/>
      <c r="X208" s="245"/>
      <c r="Y208" s="249"/>
      <c r="Z208" s="276"/>
      <c r="AA208" s="245"/>
      <c r="AB208" s="276"/>
      <c r="AC208" s="276"/>
      <c r="AD208" s="246"/>
      <c r="AE208" s="278"/>
      <c r="AF208" s="370"/>
      <c r="AG208" s="371"/>
      <c r="AH208" s="327"/>
      <c r="AI208" s="254"/>
      <c r="AJ208" s="287"/>
      <c r="AK208" s="278"/>
      <c r="AL208" s="246"/>
      <c r="AM208" s="245"/>
      <c r="AN208" s="245"/>
      <c r="AO208" s="274"/>
      <c r="AP208" s="245"/>
      <c r="AQ208" s="245"/>
      <c r="AR208" s="246"/>
      <c r="AS208" s="245"/>
      <c r="AT208" s="276"/>
      <c r="AU208" s="245"/>
      <c r="AV208" s="245"/>
      <c r="AW208" s="276"/>
      <c r="AX208" s="246"/>
      <c r="AY208" s="245"/>
      <c r="AZ208" s="245"/>
      <c r="BA208" s="274"/>
      <c r="BB208" s="245"/>
      <c r="BC208" s="245"/>
      <c r="BD208" s="245"/>
      <c r="BE208" s="245"/>
      <c r="BF208" s="245"/>
      <c r="BG208" s="245"/>
      <c r="BH208" s="245"/>
      <c r="BI208" s="245"/>
      <c r="BJ208" s="245"/>
      <c r="BK208" s="245"/>
      <c r="BL208" s="245"/>
      <c r="BM208" s="245"/>
      <c r="BN208" s="245"/>
      <c r="BO208" s="245"/>
      <c r="BP208" s="245"/>
      <c r="BQ208" s="245"/>
      <c r="BR208" s="245"/>
      <c r="BS208" s="245"/>
      <c r="BT208" s="246"/>
      <c r="BU208" s="245"/>
      <c r="BV208" s="245"/>
      <c r="BW208" s="245"/>
      <c r="BX208" s="245"/>
      <c r="BY208" s="245"/>
      <c r="BZ208" s="282"/>
      <c r="CA208" s="245"/>
      <c r="CB208" s="245"/>
      <c r="CC208" s="245"/>
      <c r="CD208" s="245"/>
      <c r="CE208" s="245"/>
      <c r="CF208" s="245"/>
    </row>
    <row r="209">
      <c r="A209" s="372" t="str">
        <f>IFERROR(__xludf.DUMMYFUNCTION("""COMPUTED_VALUE"""),"Ultimate Weapon Durations")</f>
        <v>Ultimate Weapon Durations</v>
      </c>
      <c r="B209" s="279">
        <f>IFERROR(__xludf.DUMMYFUNCTION("""COMPUTED_VALUE"""),0.0)</f>
        <v>0</v>
      </c>
      <c r="C209" s="245"/>
      <c r="D209" s="368">
        <f>IFERROR(__xludf.DUMMYFUNCTION("""COMPUTED_VALUE"""),10.0)</f>
        <v>10</v>
      </c>
      <c r="E209" s="245"/>
      <c r="F209" s="245"/>
      <c r="G209" s="245"/>
      <c r="H209" s="245"/>
      <c r="I209" s="245"/>
      <c r="J209" s="245"/>
      <c r="K209" s="265"/>
      <c r="L209" s="245"/>
      <c r="M209" s="245"/>
      <c r="N209" s="245"/>
      <c r="O209" s="245"/>
      <c r="P209" s="245"/>
      <c r="Q209" s="247"/>
      <c r="R209" s="254"/>
      <c r="S209" s="265"/>
      <c r="T209" s="245"/>
      <c r="U209" s="245"/>
      <c r="V209" s="245"/>
      <c r="W209" s="245"/>
      <c r="X209" s="245"/>
      <c r="Y209" s="249"/>
      <c r="Z209" s="276"/>
      <c r="AA209" s="245"/>
      <c r="AB209" s="276"/>
      <c r="AC209" s="276"/>
      <c r="AD209" s="246"/>
      <c r="AE209" s="278"/>
      <c r="AF209" s="370"/>
      <c r="AG209" s="371"/>
      <c r="AH209" s="327"/>
      <c r="AI209" s="254"/>
      <c r="AJ209" s="287"/>
      <c r="AK209" s="278"/>
      <c r="AL209" s="246"/>
      <c r="AM209" s="245"/>
      <c r="AN209" s="245"/>
      <c r="AO209" s="274"/>
      <c r="AP209" s="245"/>
      <c r="AQ209" s="245"/>
      <c r="AR209" s="246"/>
      <c r="AS209" s="245"/>
      <c r="AT209" s="245"/>
      <c r="AU209" s="245"/>
      <c r="AV209" s="245"/>
      <c r="AW209" s="245"/>
      <c r="AX209" s="246"/>
      <c r="AY209" s="245"/>
      <c r="AZ209" s="245"/>
      <c r="BA209" s="333"/>
      <c r="BB209" s="313"/>
      <c r="BC209" s="245"/>
      <c r="BD209" s="245"/>
      <c r="BE209" s="245"/>
      <c r="BF209" s="245"/>
      <c r="BG209" s="245"/>
      <c r="BH209" s="245"/>
      <c r="BI209" s="245"/>
      <c r="BJ209" s="245"/>
      <c r="BK209" s="245"/>
      <c r="BL209" s="245"/>
      <c r="BM209" s="245"/>
      <c r="BN209" s="245"/>
      <c r="BO209" s="245"/>
      <c r="BP209" s="245"/>
      <c r="BQ209" s="245"/>
      <c r="BR209" s="245"/>
      <c r="BS209" s="245"/>
      <c r="BT209" s="246"/>
      <c r="BU209" s="245"/>
      <c r="BV209" s="245"/>
      <c r="BW209" s="245"/>
      <c r="BX209" s="245"/>
      <c r="BY209" s="245"/>
      <c r="BZ209" s="282"/>
      <c r="CA209" s="245"/>
      <c r="CB209" s="245"/>
      <c r="CC209" s="245"/>
      <c r="CD209" s="245"/>
      <c r="CE209" s="245"/>
      <c r="CF209" s="245"/>
    </row>
    <row r="210">
      <c r="A210" s="372" t="str">
        <f>IFERROR(__xludf.DUMMYFUNCTION("""COMPUTED_VALUE"""),"Death Defy Down")</f>
        <v>Death Defy Down</v>
      </c>
      <c r="B210" s="279">
        <f>IFERROR(__xludf.DUMMYFUNCTION("""COMPUTED_VALUE"""),0.0)</f>
        <v>0</v>
      </c>
      <c r="C210" s="245"/>
      <c r="D210" s="368">
        <f>IFERROR(__xludf.DUMMYFUNCTION("""COMPUTED_VALUE"""),10.0)</f>
        <v>10</v>
      </c>
      <c r="E210" s="245"/>
      <c r="F210" s="245"/>
      <c r="G210" s="245"/>
      <c r="H210" s="245"/>
      <c r="I210" s="245"/>
      <c r="J210" s="245"/>
      <c r="K210" s="265"/>
      <c r="L210" s="245"/>
      <c r="M210" s="245"/>
      <c r="N210" s="245"/>
      <c r="O210" s="245"/>
      <c r="P210" s="245"/>
      <c r="Q210" s="247"/>
      <c r="R210" s="254"/>
      <c r="S210" s="265"/>
      <c r="T210" s="245"/>
      <c r="U210" s="245"/>
      <c r="V210" s="245"/>
      <c r="W210" s="245"/>
      <c r="X210" s="245"/>
      <c r="Y210" s="249"/>
      <c r="Z210" s="276"/>
      <c r="AA210" s="245"/>
      <c r="AB210" s="276"/>
      <c r="AC210" s="276"/>
      <c r="AD210" s="246"/>
      <c r="AE210" s="278"/>
      <c r="AF210" s="370"/>
      <c r="AG210" s="371"/>
      <c r="AH210" s="250"/>
      <c r="AI210" s="245"/>
      <c r="AJ210" s="287"/>
      <c r="AK210" s="278"/>
      <c r="AL210" s="246"/>
      <c r="AM210" s="245"/>
      <c r="AN210" s="245"/>
      <c r="AO210" s="274"/>
      <c r="AP210" s="245"/>
      <c r="AQ210" s="276"/>
      <c r="AR210" s="246"/>
      <c r="AS210" s="245"/>
      <c r="AT210" s="276"/>
      <c r="AU210" s="276"/>
      <c r="AV210" s="276"/>
      <c r="AW210" s="276"/>
      <c r="AX210" s="246"/>
      <c r="AY210" s="245"/>
      <c r="AZ210" s="245"/>
      <c r="BA210" s="335"/>
      <c r="BB210" s="254"/>
      <c r="BC210" s="245"/>
      <c r="BD210" s="245"/>
      <c r="BE210" s="245"/>
      <c r="BF210" s="245"/>
      <c r="BG210" s="245"/>
      <c r="BH210" s="245"/>
      <c r="BI210" s="245"/>
      <c r="BJ210" s="245"/>
      <c r="BK210" s="245"/>
      <c r="BL210" s="245"/>
      <c r="BM210" s="245"/>
      <c r="BN210" s="245"/>
      <c r="BO210" s="245"/>
      <c r="BP210" s="245"/>
      <c r="BQ210" s="245"/>
      <c r="BR210" s="245"/>
      <c r="BS210" s="245"/>
      <c r="BT210" s="246"/>
      <c r="BU210" s="245"/>
      <c r="BV210" s="245"/>
      <c r="BW210" s="245"/>
      <c r="BX210" s="245"/>
      <c r="BY210" s="245"/>
      <c r="BZ210" s="282"/>
      <c r="CA210" s="245"/>
      <c r="CB210" s="245"/>
      <c r="CC210" s="245"/>
      <c r="CD210" s="245"/>
      <c r="CE210" s="245"/>
      <c r="CF210" s="245"/>
    </row>
    <row r="211">
      <c r="A211" s="372" t="str">
        <f>IFERROR(__xludf.DUMMYFUNCTION("""COMPUTED_VALUE"""),"Energy Shields Down")</f>
        <v>Energy Shields Down</v>
      </c>
      <c r="B211" s="279">
        <f>IFERROR(__xludf.DUMMYFUNCTION("""COMPUTED_VALUE"""),0.0)</f>
        <v>0</v>
      </c>
      <c r="C211" s="245"/>
      <c r="D211" s="368">
        <f>IFERROR(__xludf.DUMMYFUNCTION("""COMPUTED_VALUE"""),10.0)</f>
        <v>10</v>
      </c>
      <c r="E211" s="245"/>
      <c r="F211" s="245"/>
      <c r="G211" s="245"/>
      <c r="H211" s="245"/>
      <c r="I211" s="245"/>
      <c r="J211" s="245"/>
      <c r="K211" s="265"/>
      <c r="L211" s="245"/>
      <c r="M211" s="245"/>
      <c r="N211" s="245"/>
      <c r="O211" s="245"/>
      <c r="P211" s="245"/>
      <c r="Q211" s="247"/>
      <c r="R211" s="254"/>
      <c r="S211" s="265"/>
      <c r="T211" s="245"/>
      <c r="U211" s="245"/>
      <c r="V211" s="245"/>
      <c r="W211" s="245"/>
      <c r="X211" s="245"/>
      <c r="Y211" s="249"/>
      <c r="Z211" s="276"/>
      <c r="AA211" s="245"/>
      <c r="AB211" s="276"/>
      <c r="AC211" s="276"/>
      <c r="AD211" s="246"/>
      <c r="AE211" s="278"/>
      <c r="AF211" s="370"/>
      <c r="AG211" s="371"/>
      <c r="AH211" s="337"/>
      <c r="AI211" s="245"/>
      <c r="AJ211" s="287"/>
      <c r="AK211" s="278"/>
      <c r="AL211" s="246"/>
      <c r="AM211" s="245"/>
      <c r="AN211" s="245"/>
      <c r="AO211" s="274"/>
      <c r="AP211" s="245"/>
      <c r="AQ211" s="313"/>
      <c r="AR211" s="246"/>
      <c r="AS211" s="245"/>
      <c r="AT211" s="313"/>
      <c r="AU211" s="245"/>
      <c r="AV211" s="245"/>
      <c r="AW211" s="245"/>
      <c r="AX211" s="246"/>
      <c r="AY211" s="245"/>
      <c r="AZ211" s="245"/>
      <c r="BA211" s="341"/>
      <c r="BB211" s="254"/>
      <c r="BC211" s="245"/>
      <c r="BD211" s="245"/>
      <c r="BE211" s="245"/>
      <c r="BF211" s="245"/>
      <c r="BG211" s="245"/>
      <c r="BH211" s="245"/>
      <c r="BI211" s="245"/>
      <c r="BJ211" s="245"/>
      <c r="BK211" s="245"/>
      <c r="BL211" s="245"/>
      <c r="BM211" s="245"/>
      <c r="BN211" s="245"/>
      <c r="BO211" s="245"/>
      <c r="BP211" s="245"/>
      <c r="BQ211" s="245"/>
      <c r="BR211" s="245"/>
      <c r="BS211" s="245"/>
      <c r="BT211" s="246"/>
      <c r="BU211" s="245"/>
      <c r="BV211" s="245"/>
      <c r="BW211" s="245"/>
      <c r="BX211" s="245"/>
      <c r="BY211" s="245"/>
      <c r="BZ211" s="282"/>
      <c r="CA211" s="245"/>
      <c r="CB211" s="245"/>
      <c r="CC211" s="245"/>
      <c r="CD211" s="245"/>
      <c r="CE211" s="245"/>
      <c r="CF211" s="245"/>
    </row>
    <row r="212">
      <c r="A212" s="372" t="str">
        <f>IFERROR(__xludf.DUMMYFUNCTION("""COMPUTED_VALUE"""),"Enemy Level Skip Reduction")</f>
        <v>Enemy Level Skip Reduction</v>
      </c>
      <c r="B212" s="279">
        <f>IFERROR(__xludf.DUMMYFUNCTION("""COMPUTED_VALUE"""),0.0)</f>
        <v>0</v>
      </c>
      <c r="C212" s="245"/>
      <c r="D212" s="368">
        <f>IFERROR(__xludf.DUMMYFUNCTION("""COMPUTED_VALUE"""),10.0)</f>
        <v>10</v>
      </c>
      <c r="E212" s="245"/>
      <c r="F212" s="245"/>
      <c r="G212" s="245"/>
      <c r="H212" s="245"/>
      <c r="I212" s="245"/>
      <c r="J212" s="245"/>
      <c r="K212" s="265"/>
      <c r="L212" s="245"/>
      <c r="M212" s="245"/>
      <c r="N212" s="245"/>
      <c r="O212" s="245"/>
      <c r="P212" s="245"/>
      <c r="Q212" s="247"/>
      <c r="R212" s="254"/>
      <c r="S212" s="265"/>
      <c r="T212" s="245"/>
      <c r="U212" s="245"/>
      <c r="V212" s="245"/>
      <c r="W212" s="245"/>
      <c r="X212" s="245"/>
      <c r="Y212" s="249"/>
      <c r="Z212" s="276"/>
      <c r="AA212" s="245"/>
      <c r="AB212" s="276"/>
      <c r="AC212" s="276"/>
      <c r="AD212" s="246"/>
      <c r="AE212" s="278"/>
      <c r="AF212" s="370"/>
      <c r="AG212" s="371"/>
      <c r="AH212" s="291"/>
      <c r="AI212" s="245"/>
      <c r="AJ212" s="287"/>
      <c r="AK212" s="278"/>
      <c r="AL212" s="246"/>
      <c r="AM212" s="245"/>
      <c r="AN212" s="245"/>
      <c r="AO212" s="274"/>
      <c r="AP212" s="245"/>
      <c r="AQ212" s="245"/>
      <c r="AR212" s="246"/>
      <c r="AS212" s="245"/>
      <c r="AT212" s="245"/>
      <c r="AU212" s="245"/>
      <c r="AV212" s="245"/>
      <c r="AW212" s="245"/>
      <c r="AX212" s="246"/>
      <c r="AY212" s="245"/>
      <c r="AZ212" s="245"/>
      <c r="BA212" s="345"/>
      <c r="BB212" s="254"/>
      <c r="BC212" s="245"/>
      <c r="BD212" s="245"/>
      <c r="BE212" s="245"/>
      <c r="BF212" s="245"/>
      <c r="BG212" s="245"/>
      <c r="BH212" s="245"/>
      <c r="BI212" s="245"/>
      <c r="BJ212" s="245"/>
      <c r="BK212" s="245"/>
      <c r="BL212" s="245"/>
      <c r="BM212" s="245"/>
      <c r="BN212" s="245"/>
      <c r="BO212" s="245"/>
      <c r="BP212" s="245"/>
      <c r="BQ212" s="245"/>
      <c r="BR212" s="245"/>
      <c r="BS212" s="245"/>
      <c r="BT212" s="246"/>
      <c r="BU212" s="245"/>
      <c r="BV212" s="245"/>
      <c r="BW212" s="245"/>
      <c r="BX212" s="245"/>
      <c r="BY212" s="245"/>
      <c r="BZ212" s="282"/>
      <c r="CA212" s="245"/>
      <c r="CB212" s="245"/>
      <c r="CC212" s="245"/>
      <c r="CD212" s="245"/>
      <c r="CE212" s="245"/>
      <c r="CF212" s="245"/>
    </row>
    <row r="213">
      <c r="A213" s="245"/>
      <c r="B213" s="245"/>
      <c r="C213" s="245"/>
      <c r="D213" s="246"/>
      <c r="E213" s="245"/>
      <c r="F213" s="245"/>
      <c r="G213" s="245"/>
      <c r="H213" s="245"/>
      <c r="I213" s="245"/>
      <c r="J213" s="245"/>
      <c r="K213" s="265"/>
      <c r="L213" s="245"/>
      <c r="M213" s="245"/>
      <c r="N213" s="245"/>
      <c r="O213" s="245"/>
      <c r="P213" s="245"/>
      <c r="Q213" s="247"/>
      <c r="R213" s="254"/>
      <c r="S213" s="265"/>
      <c r="T213" s="245"/>
      <c r="U213" s="245"/>
      <c r="V213" s="245"/>
      <c r="W213" s="245"/>
      <c r="X213" s="245"/>
      <c r="Y213" s="249"/>
      <c r="Z213" s="276"/>
      <c r="AA213" s="245"/>
      <c r="AB213" s="276"/>
      <c r="AC213" s="276"/>
      <c r="AD213" s="246"/>
      <c r="AE213" s="278"/>
      <c r="AF213" s="370"/>
      <c r="AG213" s="371"/>
      <c r="AH213" s="347"/>
      <c r="AI213" s="245"/>
      <c r="AJ213" s="287"/>
      <c r="AK213" s="278"/>
      <c r="AL213" s="246"/>
      <c r="AM213" s="245"/>
      <c r="AN213" s="245"/>
      <c r="AO213" s="274"/>
      <c r="AP213" s="245"/>
      <c r="AQ213" s="276"/>
      <c r="AR213" s="246"/>
      <c r="AS213" s="245"/>
      <c r="AT213" s="276"/>
      <c r="AU213" s="245"/>
      <c r="AV213" s="245"/>
      <c r="AW213" s="287"/>
      <c r="AX213" s="246"/>
      <c r="AY213" s="305"/>
      <c r="AZ213" s="245"/>
      <c r="BA213" s="333"/>
      <c r="BB213" s="254"/>
      <c r="BC213" s="245"/>
      <c r="BD213" s="245"/>
      <c r="BE213" s="245"/>
      <c r="BF213" s="245"/>
      <c r="BG213" s="245"/>
      <c r="BH213" s="245"/>
      <c r="BI213" s="245"/>
      <c r="BJ213" s="245"/>
      <c r="BK213" s="245"/>
      <c r="BL213" s="245"/>
      <c r="BM213" s="245"/>
      <c r="BN213" s="245"/>
      <c r="BO213" s="245"/>
      <c r="BP213" s="245"/>
      <c r="BQ213" s="245"/>
      <c r="BR213" s="245"/>
      <c r="BS213" s="245"/>
      <c r="BT213" s="246"/>
      <c r="BU213" s="245"/>
      <c r="BV213" s="245"/>
      <c r="BW213" s="245"/>
      <c r="BX213" s="245"/>
      <c r="BY213" s="245"/>
      <c r="BZ213" s="282"/>
      <c r="CA213" s="245"/>
      <c r="CB213" s="245"/>
      <c r="CC213" s="245"/>
      <c r="CD213" s="245"/>
      <c r="CE213" s="245"/>
      <c r="CF213" s="245"/>
    </row>
    <row r="214">
      <c r="A214" s="245"/>
      <c r="B214" s="245"/>
      <c r="C214" s="245"/>
      <c r="D214" s="246"/>
      <c r="E214" s="245"/>
      <c r="F214" s="245"/>
      <c r="G214" s="245"/>
      <c r="H214" s="245"/>
      <c r="I214" s="245"/>
      <c r="J214" s="245"/>
      <c r="K214" s="265"/>
      <c r="L214" s="245"/>
      <c r="M214" s="245"/>
      <c r="N214" s="245"/>
      <c r="O214" s="245"/>
      <c r="P214" s="245"/>
      <c r="Q214" s="247"/>
      <c r="R214" s="254"/>
      <c r="S214" s="265"/>
      <c r="T214" s="245"/>
      <c r="U214" s="245"/>
      <c r="V214" s="245"/>
      <c r="W214" s="245"/>
      <c r="X214" s="245"/>
      <c r="Y214" s="249"/>
      <c r="Z214" s="276"/>
      <c r="AA214" s="245"/>
      <c r="AB214" s="276"/>
      <c r="AC214" s="276"/>
      <c r="AD214" s="246"/>
      <c r="AE214" s="278"/>
      <c r="AF214" s="370"/>
      <c r="AG214" s="371"/>
      <c r="AH214" s="327"/>
      <c r="AI214" s="254"/>
      <c r="AJ214" s="287"/>
      <c r="AK214" s="278"/>
      <c r="AL214" s="246"/>
      <c r="AM214" s="245"/>
      <c r="AN214" s="245"/>
      <c r="AO214" s="274"/>
      <c r="AP214" s="245"/>
      <c r="AQ214" s="276"/>
      <c r="AR214" s="246"/>
      <c r="AS214" s="245"/>
      <c r="AT214" s="276"/>
      <c r="AU214" s="245"/>
      <c r="AV214" s="245"/>
      <c r="AW214" s="287"/>
      <c r="AX214" s="246"/>
      <c r="AY214" s="245"/>
      <c r="AZ214" s="245"/>
      <c r="BA214" s="335"/>
      <c r="BB214" s="254"/>
      <c r="BC214" s="245"/>
      <c r="BD214" s="245"/>
      <c r="BE214" s="245"/>
      <c r="BF214" s="245"/>
      <c r="BG214" s="245"/>
      <c r="BH214" s="245"/>
      <c r="BI214" s="245"/>
      <c r="BJ214" s="245"/>
      <c r="BK214" s="245"/>
      <c r="BL214" s="245"/>
      <c r="BM214" s="245"/>
      <c r="BN214" s="245"/>
      <c r="BO214" s="245"/>
      <c r="BP214" s="245"/>
      <c r="BQ214" s="245"/>
      <c r="BR214" s="245"/>
      <c r="BS214" s="245"/>
      <c r="BT214" s="246"/>
      <c r="BU214" s="245"/>
      <c r="BV214" s="245"/>
      <c r="BW214" s="245"/>
      <c r="BX214" s="245"/>
      <c r="BY214" s="245"/>
      <c r="BZ214" s="282"/>
      <c r="CA214" s="245"/>
      <c r="CB214" s="245"/>
      <c r="CC214" s="245"/>
      <c r="CD214" s="245"/>
      <c r="CE214" s="245"/>
      <c r="CF214" s="245"/>
    </row>
    <row r="215">
      <c r="A215" s="245"/>
      <c r="B215" s="245"/>
      <c r="C215" s="245"/>
      <c r="D215" s="246"/>
      <c r="E215" s="245"/>
      <c r="F215" s="245"/>
      <c r="G215" s="245"/>
      <c r="H215" s="245"/>
      <c r="I215" s="245"/>
      <c r="J215" s="245"/>
      <c r="K215" s="265"/>
      <c r="L215" s="245"/>
      <c r="M215" s="245"/>
      <c r="N215" s="245"/>
      <c r="O215" s="245"/>
      <c r="P215" s="245"/>
      <c r="Q215" s="247"/>
      <c r="R215" s="254"/>
      <c r="S215" s="265"/>
      <c r="T215" s="245"/>
      <c r="U215" s="245"/>
      <c r="V215" s="245"/>
      <c r="W215" s="245"/>
      <c r="X215" s="245"/>
      <c r="Y215" s="249"/>
      <c r="Z215" s="276"/>
      <c r="AA215" s="245"/>
      <c r="AB215" s="276"/>
      <c r="AC215" s="276"/>
      <c r="AD215" s="246"/>
      <c r="AE215" s="278"/>
      <c r="AF215" s="370"/>
      <c r="AG215" s="371"/>
      <c r="AH215" s="287"/>
      <c r="AI215" s="254"/>
      <c r="AJ215" s="287"/>
      <c r="AK215" s="278"/>
      <c r="AL215" s="246"/>
      <c r="AM215" s="245"/>
      <c r="AN215" s="245"/>
      <c r="AO215" s="274"/>
      <c r="AP215" s="245"/>
      <c r="AQ215" s="276"/>
      <c r="AR215" s="246"/>
      <c r="AS215" s="245"/>
      <c r="AT215" s="276"/>
      <c r="AU215" s="245"/>
      <c r="AV215" s="245"/>
      <c r="AW215" s="287"/>
      <c r="AX215" s="246"/>
      <c r="AY215" s="245"/>
      <c r="AZ215" s="245"/>
      <c r="BA215" s="352"/>
      <c r="BB215" s="254"/>
      <c r="BC215" s="245"/>
      <c r="BD215" s="245"/>
      <c r="BE215" s="245"/>
      <c r="BF215" s="245"/>
      <c r="BG215" s="245"/>
      <c r="BH215" s="245"/>
      <c r="BI215" s="245"/>
      <c r="BJ215" s="245"/>
      <c r="BK215" s="245"/>
      <c r="BL215" s="245"/>
      <c r="BM215" s="245"/>
      <c r="BN215" s="245"/>
      <c r="BO215" s="245"/>
      <c r="BP215" s="245"/>
      <c r="BQ215" s="245"/>
      <c r="BR215" s="245"/>
      <c r="BS215" s="245"/>
      <c r="BT215" s="246"/>
      <c r="BU215" s="245"/>
      <c r="BV215" s="245"/>
      <c r="BW215" s="245"/>
      <c r="BX215" s="245"/>
      <c r="BY215" s="245"/>
      <c r="BZ215" s="282"/>
      <c r="CA215" s="245"/>
      <c r="CB215" s="245"/>
      <c r="CC215" s="245"/>
      <c r="CD215" s="245"/>
      <c r="CE215" s="245"/>
      <c r="CF215" s="245"/>
    </row>
    <row r="216">
      <c r="A216" s="305"/>
      <c r="B216" s="245"/>
      <c r="C216" s="245"/>
      <c r="D216" s="246"/>
      <c r="E216" s="245"/>
      <c r="F216" s="245"/>
      <c r="G216" s="245"/>
      <c r="H216" s="245"/>
      <c r="I216" s="245"/>
      <c r="J216" s="245"/>
      <c r="K216" s="265"/>
      <c r="L216" s="245"/>
      <c r="M216" s="245"/>
      <c r="N216" s="245"/>
      <c r="O216" s="245"/>
      <c r="P216" s="245"/>
      <c r="Q216" s="247"/>
      <c r="R216" s="254"/>
      <c r="S216" s="265"/>
      <c r="T216" s="245"/>
      <c r="U216" s="245"/>
      <c r="V216" s="245"/>
      <c r="W216" s="245"/>
      <c r="X216" s="245"/>
      <c r="Y216" s="249"/>
      <c r="Z216" s="276"/>
      <c r="AA216" s="245"/>
      <c r="AB216" s="276"/>
      <c r="AC216" s="276"/>
      <c r="AD216" s="246"/>
      <c r="AE216" s="278"/>
      <c r="AF216" s="370"/>
      <c r="AG216" s="371"/>
      <c r="AH216" s="327"/>
      <c r="AI216" s="254"/>
      <c r="AJ216" s="287"/>
      <c r="AK216" s="278"/>
      <c r="AL216" s="246"/>
      <c r="AM216" s="245"/>
      <c r="AN216" s="245"/>
      <c r="AO216" s="274"/>
      <c r="AP216" s="245"/>
      <c r="AQ216" s="276"/>
      <c r="AR216" s="246"/>
      <c r="AS216" s="245"/>
      <c r="AT216" s="276"/>
      <c r="AU216" s="245"/>
      <c r="AV216" s="245"/>
      <c r="AW216" s="287"/>
      <c r="AX216" s="246"/>
      <c r="AY216" s="245"/>
      <c r="AZ216" s="245"/>
      <c r="BA216" s="345"/>
      <c r="BB216" s="254"/>
      <c r="BC216" s="245"/>
      <c r="BD216" s="245"/>
      <c r="BE216" s="245"/>
      <c r="BF216" s="245"/>
      <c r="BG216" s="245"/>
      <c r="BH216" s="245"/>
      <c r="BI216" s="245"/>
      <c r="BJ216" s="245"/>
      <c r="BK216" s="245"/>
      <c r="BL216" s="245"/>
      <c r="BM216" s="245"/>
      <c r="BN216" s="245"/>
      <c r="BO216" s="245"/>
      <c r="BP216" s="245"/>
      <c r="BQ216" s="245"/>
      <c r="BR216" s="245"/>
      <c r="BS216" s="245"/>
      <c r="BT216" s="246"/>
      <c r="BU216" s="245"/>
      <c r="BV216" s="245"/>
      <c r="BW216" s="245"/>
      <c r="BX216" s="245"/>
      <c r="BY216" s="245"/>
      <c r="BZ216" s="282"/>
      <c r="CA216" s="245"/>
      <c r="CB216" s="245"/>
      <c r="CC216" s="245"/>
      <c r="CD216" s="245"/>
      <c r="CE216" s="245"/>
      <c r="CF216" s="245"/>
    </row>
    <row r="217">
      <c r="A217" s="245"/>
      <c r="B217" s="245"/>
      <c r="C217" s="245"/>
      <c r="D217" s="246"/>
      <c r="E217" s="245"/>
      <c r="F217" s="245"/>
      <c r="G217" s="245"/>
      <c r="H217" s="245"/>
      <c r="I217" s="245"/>
      <c r="J217" s="245"/>
      <c r="K217" s="265"/>
      <c r="L217" s="245"/>
      <c r="M217" s="245"/>
      <c r="N217" s="245"/>
      <c r="O217" s="245"/>
      <c r="P217" s="245"/>
      <c r="Q217" s="247"/>
      <c r="R217" s="254"/>
      <c r="S217" s="265"/>
      <c r="T217" s="245"/>
      <c r="U217" s="245"/>
      <c r="V217" s="245"/>
      <c r="W217" s="245"/>
      <c r="X217" s="245"/>
      <c r="Y217" s="249"/>
      <c r="Z217" s="276"/>
      <c r="AA217" s="245"/>
      <c r="AB217" s="276"/>
      <c r="AC217" s="276"/>
      <c r="AD217" s="246"/>
      <c r="AE217" s="278"/>
      <c r="AF217" s="370"/>
      <c r="AG217" s="371"/>
      <c r="AH217" s="287"/>
      <c r="AI217" s="254"/>
      <c r="AJ217" s="287"/>
      <c r="AK217" s="278"/>
      <c r="AL217" s="246"/>
      <c r="AM217" s="245"/>
      <c r="AN217" s="245"/>
      <c r="AO217" s="274"/>
      <c r="AP217" s="245"/>
      <c r="AQ217" s="276"/>
      <c r="AR217" s="246"/>
      <c r="AS217" s="245"/>
      <c r="AT217" s="276"/>
      <c r="AU217" s="245"/>
      <c r="AV217" s="245"/>
      <c r="AW217" s="287"/>
      <c r="AX217" s="246"/>
      <c r="AY217" s="245"/>
      <c r="AZ217" s="245"/>
      <c r="BA217" s="333"/>
      <c r="BB217" s="254"/>
      <c r="BC217" s="245"/>
      <c r="BD217" s="245"/>
      <c r="BE217" s="245"/>
      <c r="BF217" s="245"/>
      <c r="BG217" s="245"/>
      <c r="BH217" s="245"/>
      <c r="BI217" s="245"/>
      <c r="BJ217" s="245"/>
      <c r="BK217" s="245"/>
      <c r="BL217" s="245"/>
      <c r="BM217" s="245"/>
      <c r="BN217" s="245"/>
      <c r="BO217" s="245"/>
      <c r="BP217" s="245"/>
      <c r="BQ217" s="245"/>
      <c r="BR217" s="245"/>
      <c r="BS217" s="245"/>
      <c r="BT217" s="246"/>
      <c r="BU217" s="245"/>
      <c r="BV217" s="245"/>
      <c r="BW217" s="245"/>
      <c r="BX217" s="245"/>
      <c r="BY217" s="245"/>
      <c r="BZ217" s="282"/>
      <c r="CA217" s="245"/>
      <c r="CB217" s="245"/>
      <c r="CC217" s="245"/>
      <c r="CD217" s="245"/>
      <c r="CE217" s="245"/>
      <c r="CF217" s="245"/>
    </row>
    <row r="218">
      <c r="A218" s="245"/>
      <c r="B218" s="245"/>
      <c r="C218" s="245"/>
      <c r="D218" s="246"/>
      <c r="E218" s="245"/>
      <c r="F218" s="245"/>
      <c r="G218" s="245"/>
      <c r="H218" s="245"/>
      <c r="I218" s="245"/>
      <c r="J218" s="245"/>
      <c r="K218" s="265"/>
      <c r="L218" s="245"/>
      <c r="M218" s="245"/>
      <c r="N218" s="245"/>
      <c r="O218" s="245"/>
      <c r="P218" s="245"/>
      <c r="Q218" s="247"/>
      <c r="R218" s="254"/>
      <c r="S218" s="265"/>
      <c r="T218" s="245"/>
      <c r="U218" s="245"/>
      <c r="V218" s="245"/>
      <c r="W218" s="245"/>
      <c r="X218" s="245"/>
      <c r="Y218" s="249"/>
      <c r="Z218" s="276"/>
      <c r="AA218" s="245"/>
      <c r="AB218" s="276"/>
      <c r="AC218" s="276"/>
      <c r="AD218" s="246"/>
      <c r="AE218" s="278"/>
      <c r="AF218" s="370"/>
      <c r="AG218" s="371"/>
      <c r="AH218" s="317"/>
      <c r="AI218" s="254"/>
      <c r="AJ218" s="287"/>
      <c r="AK218" s="278"/>
      <c r="AL218" s="246"/>
      <c r="AM218" s="245"/>
      <c r="AN218" s="245"/>
      <c r="AO218" s="274"/>
      <c r="AP218" s="245"/>
      <c r="AQ218" s="276"/>
      <c r="AR218" s="246"/>
      <c r="AS218" s="245"/>
      <c r="AT218" s="276"/>
      <c r="AU218" s="245"/>
      <c r="AV218" s="245"/>
      <c r="AW218" s="287"/>
      <c r="AX218" s="246"/>
      <c r="AY218" s="245"/>
      <c r="AZ218" s="245"/>
      <c r="BA218" s="246"/>
      <c r="BB218" s="245"/>
      <c r="BC218" s="245"/>
      <c r="BD218" s="245"/>
      <c r="BE218" s="245"/>
      <c r="BF218" s="245"/>
      <c r="BG218" s="245"/>
      <c r="BH218" s="245"/>
      <c r="BI218" s="245"/>
      <c r="BJ218" s="245"/>
      <c r="BK218" s="245"/>
      <c r="BL218" s="245"/>
      <c r="BM218" s="245"/>
      <c r="BN218" s="245"/>
      <c r="BO218" s="245"/>
      <c r="BP218" s="245"/>
      <c r="BQ218" s="245"/>
      <c r="BR218" s="245"/>
      <c r="BS218" s="245"/>
      <c r="BT218" s="246"/>
      <c r="BU218" s="245"/>
      <c r="BV218" s="245"/>
      <c r="BW218" s="245"/>
      <c r="BX218" s="245"/>
      <c r="BY218" s="245"/>
      <c r="BZ218" s="282"/>
      <c r="CA218" s="245"/>
      <c r="CB218" s="245"/>
      <c r="CC218" s="245"/>
      <c r="CD218" s="245"/>
      <c r="CE218" s="245"/>
      <c r="CF218" s="245"/>
    </row>
    <row r="219">
      <c r="A219" s="245"/>
      <c r="B219" s="245"/>
      <c r="C219" s="245"/>
      <c r="D219" s="246"/>
      <c r="E219" s="245"/>
      <c r="F219" s="245"/>
      <c r="G219" s="245"/>
      <c r="H219" s="245"/>
      <c r="I219" s="245"/>
      <c r="J219" s="245"/>
      <c r="K219" s="265"/>
      <c r="L219" s="245"/>
      <c r="M219" s="245"/>
      <c r="N219" s="245"/>
      <c r="O219" s="245"/>
      <c r="P219" s="245"/>
      <c r="Q219" s="247"/>
      <c r="R219" s="254"/>
      <c r="S219" s="265"/>
      <c r="T219" s="245"/>
      <c r="U219" s="245"/>
      <c r="V219" s="245"/>
      <c r="W219" s="245"/>
      <c r="X219" s="245"/>
      <c r="Y219" s="249"/>
      <c r="Z219" s="276"/>
      <c r="AA219" s="245"/>
      <c r="AB219" s="276"/>
      <c r="AC219" s="276"/>
      <c r="AD219" s="246"/>
      <c r="AE219" s="278"/>
      <c r="AF219" s="370"/>
      <c r="AG219" s="371"/>
      <c r="AH219" s="286"/>
      <c r="AI219" s="254"/>
      <c r="AJ219" s="287"/>
      <c r="AK219" s="278"/>
      <c r="AL219" s="246"/>
      <c r="AM219" s="245"/>
      <c r="AN219" s="245"/>
      <c r="AO219" s="274"/>
      <c r="AP219" s="245"/>
      <c r="AQ219" s="276"/>
      <c r="AR219" s="246"/>
      <c r="AS219" s="245"/>
      <c r="AT219" s="276"/>
      <c r="AU219" s="245"/>
      <c r="AV219" s="245"/>
      <c r="AW219" s="287"/>
      <c r="AX219" s="246"/>
      <c r="AY219" s="245"/>
      <c r="AZ219" s="245"/>
      <c r="BA219" s="246"/>
      <c r="BB219" s="245"/>
      <c r="BC219" s="245"/>
      <c r="BD219" s="245"/>
      <c r="BE219" s="245"/>
      <c r="BF219" s="245"/>
      <c r="BG219" s="245"/>
      <c r="BH219" s="245"/>
      <c r="BI219" s="245"/>
      <c r="BJ219" s="245"/>
      <c r="BK219" s="245"/>
      <c r="BL219" s="245"/>
      <c r="BM219" s="245"/>
      <c r="BN219" s="245"/>
      <c r="BO219" s="245"/>
      <c r="BP219" s="245"/>
      <c r="BQ219" s="245"/>
      <c r="BR219" s="245"/>
      <c r="BS219" s="245"/>
      <c r="BT219" s="246"/>
      <c r="BU219" s="245"/>
      <c r="BV219" s="245"/>
      <c r="BW219" s="245"/>
      <c r="BX219" s="245"/>
      <c r="BY219" s="245"/>
      <c r="BZ219" s="282"/>
      <c r="CA219" s="245"/>
      <c r="CB219" s="245"/>
      <c r="CC219" s="245"/>
      <c r="CD219" s="245"/>
      <c r="CE219" s="245"/>
      <c r="CF219" s="245"/>
    </row>
    <row r="220">
      <c r="A220" s="245"/>
      <c r="B220" s="245"/>
      <c r="C220" s="245"/>
      <c r="D220" s="246"/>
      <c r="E220" s="245"/>
      <c r="F220" s="245"/>
      <c r="G220" s="245"/>
      <c r="H220" s="245"/>
      <c r="I220" s="245"/>
      <c r="J220" s="245"/>
      <c r="K220" s="265"/>
      <c r="L220" s="245"/>
      <c r="M220" s="245"/>
      <c r="N220" s="245"/>
      <c r="O220" s="245"/>
      <c r="P220" s="245"/>
      <c r="Q220" s="247"/>
      <c r="R220" s="254"/>
      <c r="S220" s="245"/>
      <c r="T220" s="245"/>
      <c r="U220" s="245"/>
      <c r="V220" s="245"/>
      <c r="W220" s="245"/>
      <c r="X220" s="245"/>
      <c r="Y220" s="249"/>
      <c r="Z220" s="276"/>
      <c r="AA220" s="245"/>
      <c r="AB220" s="276"/>
      <c r="AC220" s="276"/>
      <c r="AD220" s="246"/>
      <c r="AE220" s="278"/>
      <c r="AF220" s="370"/>
      <c r="AG220" s="371"/>
      <c r="AH220" s="327"/>
      <c r="AI220" s="254"/>
      <c r="AJ220" s="287"/>
      <c r="AK220" s="278"/>
      <c r="AL220" s="246"/>
      <c r="AM220" s="245"/>
      <c r="AN220" s="245"/>
      <c r="AO220" s="274"/>
      <c r="AP220" s="245"/>
      <c r="AQ220" s="245"/>
      <c r="AR220" s="246"/>
      <c r="AS220" s="245"/>
      <c r="AT220" s="276"/>
      <c r="AU220" s="245"/>
      <c r="AV220" s="245"/>
      <c r="AW220" s="287"/>
      <c r="AX220" s="246"/>
      <c r="AY220" s="245"/>
      <c r="AZ220" s="245"/>
      <c r="BA220" s="246"/>
      <c r="BB220" s="245"/>
      <c r="BC220" s="245"/>
      <c r="BD220" s="245"/>
      <c r="BE220" s="245"/>
      <c r="BF220" s="245"/>
      <c r="BG220" s="245"/>
      <c r="BH220" s="245"/>
      <c r="BI220" s="245"/>
      <c r="BJ220" s="245"/>
      <c r="BK220" s="245"/>
      <c r="BL220" s="245"/>
      <c r="BM220" s="245"/>
      <c r="BN220" s="245"/>
      <c r="BO220" s="245"/>
      <c r="BP220" s="245"/>
      <c r="BQ220" s="245"/>
      <c r="BR220" s="245"/>
      <c r="BS220" s="245"/>
      <c r="BT220" s="246"/>
      <c r="BU220" s="245"/>
      <c r="BV220" s="245"/>
      <c r="BW220" s="245"/>
      <c r="BX220" s="245"/>
      <c r="BY220" s="245"/>
      <c r="BZ220" s="282"/>
      <c r="CA220" s="245"/>
      <c r="CB220" s="245"/>
      <c r="CC220" s="245"/>
      <c r="CD220" s="245"/>
      <c r="CE220" s="245"/>
      <c r="CF220" s="245"/>
    </row>
    <row r="221">
      <c r="A221" s="245"/>
      <c r="B221" s="245"/>
      <c r="C221" s="245"/>
      <c r="D221" s="246"/>
      <c r="E221" s="245"/>
      <c r="F221" s="245"/>
      <c r="G221" s="245"/>
      <c r="H221" s="245"/>
      <c r="I221" s="245"/>
      <c r="J221" s="245"/>
      <c r="K221" s="265"/>
      <c r="L221" s="245"/>
      <c r="M221" s="245"/>
      <c r="N221" s="245"/>
      <c r="O221" s="245"/>
      <c r="P221" s="245"/>
      <c r="Q221" s="247"/>
      <c r="R221" s="254"/>
      <c r="S221" s="245"/>
      <c r="T221" s="245"/>
      <c r="U221" s="245"/>
      <c r="V221" s="245"/>
      <c r="W221" s="245"/>
      <c r="X221" s="245"/>
      <c r="Y221" s="249"/>
      <c r="Z221" s="276"/>
      <c r="AA221" s="245"/>
      <c r="AB221" s="276"/>
      <c r="AC221" s="276"/>
      <c r="AD221" s="246"/>
      <c r="AE221" s="278"/>
      <c r="AF221" s="370"/>
      <c r="AG221" s="371"/>
      <c r="AH221" s="358"/>
      <c r="AI221" s="254"/>
      <c r="AJ221" s="287"/>
      <c r="AK221" s="278"/>
      <c r="AL221" s="246"/>
      <c r="AM221" s="245"/>
      <c r="AN221" s="245"/>
      <c r="AO221" s="274"/>
      <c r="AP221" s="245"/>
      <c r="AQ221" s="276"/>
      <c r="AR221" s="246"/>
      <c r="AS221" s="245"/>
      <c r="AT221" s="276"/>
      <c r="AU221" s="245"/>
      <c r="AV221" s="245"/>
      <c r="AW221" s="287"/>
      <c r="AX221" s="246"/>
      <c r="AY221" s="245"/>
      <c r="AZ221" s="245"/>
      <c r="BA221" s="246"/>
      <c r="BB221" s="245"/>
      <c r="BC221" s="245"/>
      <c r="BD221" s="245"/>
      <c r="BE221" s="245"/>
      <c r="BF221" s="245"/>
      <c r="BG221" s="245"/>
      <c r="BH221" s="245"/>
      <c r="BI221" s="245"/>
      <c r="BJ221" s="245"/>
      <c r="BK221" s="245"/>
      <c r="BL221" s="245"/>
      <c r="BM221" s="245"/>
      <c r="BN221" s="245"/>
      <c r="BO221" s="245"/>
      <c r="BP221" s="245"/>
      <c r="BQ221" s="245"/>
      <c r="BR221" s="245"/>
      <c r="BS221" s="245"/>
      <c r="BT221" s="246"/>
      <c r="BU221" s="245"/>
      <c r="BV221" s="245"/>
      <c r="BW221" s="245"/>
      <c r="BX221" s="245"/>
      <c r="BY221" s="245"/>
      <c r="BZ221" s="282"/>
      <c r="CA221" s="245"/>
      <c r="CB221" s="245"/>
      <c r="CC221" s="245"/>
      <c r="CD221" s="245"/>
      <c r="CE221" s="245"/>
      <c r="CF221" s="245"/>
    </row>
    <row r="222">
      <c r="A222" s="245"/>
      <c r="B222" s="245"/>
      <c r="C222" s="245"/>
      <c r="D222" s="246"/>
      <c r="E222" s="245"/>
      <c r="F222" s="245"/>
      <c r="G222" s="245"/>
      <c r="H222" s="245"/>
      <c r="I222" s="245"/>
      <c r="J222" s="245"/>
      <c r="K222" s="265"/>
      <c r="L222" s="245"/>
      <c r="M222" s="245"/>
      <c r="N222" s="245"/>
      <c r="O222" s="245"/>
      <c r="P222" s="245"/>
      <c r="Q222" s="247"/>
      <c r="R222" s="254"/>
      <c r="S222" s="245"/>
      <c r="T222" s="245"/>
      <c r="U222" s="245"/>
      <c r="V222" s="245"/>
      <c r="W222" s="245"/>
      <c r="X222" s="245"/>
      <c r="Y222" s="249"/>
      <c r="Z222" s="276"/>
      <c r="AA222" s="245"/>
      <c r="AB222" s="276"/>
      <c r="AC222" s="276"/>
      <c r="AD222" s="246"/>
      <c r="AE222" s="278"/>
      <c r="AF222" s="370"/>
      <c r="AG222" s="371"/>
      <c r="AH222" s="360"/>
      <c r="AI222" s="254"/>
      <c r="AJ222" s="287"/>
      <c r="AK222" s="278"/>
      <c r="AL222" s="246"/>
      <c r="AM222" s="245"/>
      <c r="AN222" s="245"/>
      <c r="AO222" s="274"/>
      <c r="AP222" s="245"/>
      <c r="AQ222" s="276"/>
      <c r="AR222" s="246"/>
      <c r="AS222" s="245"/>
      <c r="AT222" s="276"/>
      <c r="AU222" s="245"/>
      <c r="AV222" s="245"/>
      <c r="AW222" s="287"/>
      <c r="AX222" s="246"/>
      <c r="AY222" s="245"/>
      <c r="AZ222" s="245"/>
      <c r="BA222" s="246"/>
      <c r="BB222" s="245"/>
      <c r="BC222" s="245"/>
      <c r="BD222" s="245"/>
      <c r="BE222" s="245"/>
      <c r="BF222" s="245"/>
      <c r="BG222" s="245"/>
      <c r="BH222" s="245"/>
      <c r="BI222" s="245"/>
      <c r="BJ222" s="245"/>
      <c r="BK222" s="245"/>
      <c r="BL222" s="245"/>
      <c r="BM222" s="245"/>
      <c r="BN222" s="245"/>
      <c r="BO222" s="245"/>
      <c r="BP222" s="245"/>
      <c r="BQ222" s="245"/>
      <c r="BR222" s="245"/>
      <c r="BS222" s="245"/>
      <c r="BT222" s="246"/>
      <c r="BU222" s="245"/>
      <c r="BV222" s="245"/>
      <c r="BW222" s="245"/>
      <c r="BX222" s="245"/>
      <c r="BY222" s="245"/>
      <c r="BZ222" s="282"/>
      <c r="CA222" s="245"/>
      <c r="CB222" s="245"/>
      <c r="CC222" s="245"/>
      <c r="CD222" s="245"/>
      <c r="CE222" s="245"/>
      <c r="CF222" s="245"/>
    </row>
    <row r="223">
      <c r="A223" s="245"/>
      <c r="B223" s="245"/>
      <c r="C223" s="245"/>
      <c r="D223" s="246"/>
      <c r="E223" s="245"/>
      <c r="F223" s="245"/>
      <c r="G223" s="245"/>
      <c r="H223" s="245"/>
      <c r="I223" s="245"/>
      <c r="J223" s="245"/>
      <c r="K223" s="265"/>
      <c r="L223" s="245"/>
      <c r="M223" s="245"/>
      <c r="N223" s="245"/>
      <c r="O223" s="245"/>
      <c r="P223" s="245"/>
      <c r="Q223" s="247"/>
      <c r="R223" s="254"/>
      <c r="S223" s="245"/>
      <c r="T223" s="245"/>
      <c r="U223" s="245"/>
      <c r="V223" s="245"/>
      <c r="W223" s="245"/>
      <c r="X223" s="245"/>
      <c r="Y223" s="249"/>
      <c r="Z223" s="276"/>
      <c r="AA223" s="245"/>
      <c r="AB223" s="276"/>
      <c r="AC223" s="276"/>
      <c r="AD223" s="246"/>
      <c r="AE223" s="278"/>
      <c r="AF223" s="370"/>
      <c r="AG223" s="371"/>
      <c r="AH223" s="362"/>
      <c r="AI223" s="254"/>
      <c r="AJ223" s="287"/>
      <c r="AK223" s="278"/>
      <c r="AL223" s="246"/>
      <c r="AM223" s="245"/>
      <c r="AN223" s="245"/>
      <c r="AO223" s="274"/>
      <c r="AP223" s="245"/>
      <c r="AQ223" s="276"/>
      <c r="AR223" s="246"/>
      <c r="AS223" s="245"/>
      <c r="AT223" s="276"/>
      <c r="AU223" s="245"/>
      <c r="AV223" s="245"/>
      <c r="AW223" s="287"/>
      <c r="AX223" s="246"/>
      <c r="AY223" s="245"/>
      <c r="AZ223" s="245"/>
      <c r="BA223" s="246"/>
      <c r="BB223" s="245"/>
      <c r="BC223" s="245"/>
      <c r="BD223" s="245"/>
      <c r="BE223" s="245"/>
      <c r="BF223" s="245"/>
      <c r="BG223" s="245"/>
      <c r="BH223" s="245"/>
      <c r="BI223" s="245"/>
      <c r="BJ223" s="245"/>
      <c r="BK223" s="245"/>
      <c r="BL223" s="245"/>
      <c r="BM223" s="245"/>
      <c r="BN223" s="245"/>
      <c r="BO223" s="245"/>
      <c r="BP223" s="245"/>
      <c r="BQ223" s="245"/>
      <c r="BR223" s="245"/>
      <c r="BS223" s="245"/>
      <c r="BT223" s="246"/>
      <c r="BU223" s="245"/>
      <c r="BV223" s="245"/>
      <c r="BW223" s="245"/>
      <c r="BX223" s="245"/>
      <c r="BY223" s="245"/>
      <c r="BZ223" s="282"/>
      <c r="CA223" s="245"/>
      <c r="CB223" s="245"/>
      <c r="CC223" s="245"/>
      <c r="CD223" s="245"/>
      <c r="CE223" s="245"/>
      <c r="CF223" s="245"/>
    </row>
    <row r="224">
      <c r="A224" s="245"/>
      <c r="B224" s="245"/>
      <c r="C224" s="245"/>
      <c r="D224" s="246"/>
      <c r="E224" s="245"/>
      <c r="F224" s="245"/>
      <c r="G224" s="245"/>
      <c r="H224" s="245"/>
      <c r="I224" s="245"/>
      <c r="J224" s="245"/>
      <c r="K224" s="265"/>
      <c r="L224" s="245"/>
      <c r="M224" s="245"/>
      <c r="N224" s="245"/>
      <c r="O224" s="245"/>
      <c r="P224" s="245"/>
      <c r="Q224" s="247"/>
      <c r="R224" s="254"/>
      <c r="S224" s="245"/>
      <c r="T224" s="245"/>
      <c r="U224" s="245"/>
      <c r="V224" s="245"/>
      <c r="W224" s="245"/>
      <c r="X224" s="245"/>
      <c r="Y224" s="249"/>
      <c r="Z224" s="276"/>
      <c r="AA224" s="245"/>
      <c r="AB224" s="276"/>
      <c r="AC224" s="276"/>
      <c r="AD224" s="246"/>
      <c r="AE224" s="278"/>
      <c r="AF224" s="370"/>
      <c r="AG224" s="371"/>
      <c r="AH224" s="327"/>
      <c r="AI224" s="254"/>
      <c r="AJ224" s="287"/>
      <c r="AK224" s="278"/>
      <c r="AL224" s="246"/>
      <c r="AM224" s="245"/>
      <c r="AN224" s="245"/>
      <c r="AO224" s="274"/>
      <c r="AP224" s="245"/>
      <c r="AQ224" s="276"/>
      <c r="AR224" s="246"/>
      <c r="AS224" s="245"/>
      <c r="AT224" s="276"/>
      <c r="AU224" s="245"/>
      <c r="AV224" s="245"/>
      <c r="AW224" s="287"/>
      <c r="AX224" s="246"/>
      <c r="AY224" s="245"/>
      <c r="AZ224" s="245"/>
      <c r="BA224" s="246"/>
      <c r="BB224" s="245"/>
      <c r="BC224" s="245"/>
      <c r="BD224" s="245"/>
      <c r="BE224" s="245"/>
      <c r="BF224" s="245"/>
      <c r="BG224" s="245"/>
      <c r="BH224" s="245"/>
      <c r="BI224" s="245"/>
      <c r="BJ224" s="245"/>
      <c r="BK224" s="245"/>
      <c r="BL224" s="245"/>
      <c r="BM224" s="245"/>
      <c r="BN224" s="245"/>
      <c r="BO224" s="245"/>
      <c r="BP224" s="245"/>
      <c r="BQ224" s="245"/>
      <c r="BR224" s="245"/>
      <c r="BS224" s="245"/>
      <c r="BT224" s="246"/>
      <c r="BU224" s="245"/>
      <c r="BV224" s="245"/>
      <c r="BW224" s="245"/>
      <c r="BX224" s="245"/>
      <c r="BY224" s="245"/>
      <c r="BZ224" s="282"/>
      <c r="CA224" s="245"/>
      <c r="CB224" s="245"/>
      <c r="CC224" s="245"/>
      <c r="CD224" s="245"/>
      <c r="CE224" s="245"/>
      <c r="CF224" s="245"/>
    </row>
    <row r="225">
      <c r="A225" s="245"/>
      <c r="B225" s="245"/>
      <c r="C225" s="245"/>
      <c r="D225" s="246"/>
      <c r="E225" s="245"/>
      <c r="F225" s="245"/>
      <c r="G225" s="245"/>
      <c r="H225" s="245"/>
      <c r="I225" s="245"/>
      <c r="J225" s="245"/>
      <c r="K225" s="265"/>
      <c r="L225" s="245"/>
      <c r="M225" s="245"/>
      <c r="N225" s="245"/>
      <c r="O225" s="245"/>
      <c r="P225" s="245"/>
      <c r="Q225" s="247"/>
      <c r="R225" s="254"/>
      <c r="S225" s="245"/>
      <c r="T225" s="245"/>
      <c r="U225" s="245"/>
      <c r="V225" s="245"/>
      <c r="W225" s="245"/>
      <c r="X225" s="245"/>
      <c r="Y225" s="249"/>
      <c r="Z225" s="276"/>
      <c r="AA225" s="245"/>
      <c r="AB225" s="276"/>
      <c r="AC225" s="276"/>
      <c r="AD225" s="246"/>
      <c r="AE225" s="278"/>
      <c r="AF225" s="370"/>
      <c r="AG225" s="371"/>
      <c r="AH225" s="309"/>
      <c r="AI225" s="254"/>
      <c r="AJ225" s="287"/>
      <c r="AK225" s="278"/>
      <c r="AL225" s="246"/>
      <c r="AM225" s="245"/>
      <c r="AN225" s="245"/>
      <c r="AO225" s="274"/>
      <c r="AP225" s="245"/>
      <c r="AQ225" s="276"/>
      <c r="AR225" s="246"/>
      <c r="AS225" s="245"/>
      <c r="AT225" s="276"/>
      <c r="AU225" s="245"/>
      <c r="AV225" s="245"/>
      <c r="AW225" s="287"/>
      <c r="AX225" s="246"/>
      <c r="AY225" s="245"/>
      <c r="AZ225" s="245"/>
      <c r="BA225" s="246"/>
      <c r="BB225" s="245"/>
      <c r="BC225" s="245"/>
      <c r="BD225" s="245"/>
      <c r="BE225" s="245"/>
      <c r="BF225" s="245"/>
      <c r="BG225" s="245"/>
      <c r="BH225" s="245"/>
      <c r="BI225" s="245"/>
      <c r="BJ225" s="245"/>
      <c r="BK225" s="245"/>
      <c r="BL225" s="245"/>
      <c r="BM225" s="245"/>
      <c r="BN225" s="245"/>
      <c r="BO225" s="245"/>
      <c r="BP225" s="245"/>
      <c r="BQ225" s="245"/>
      <c r="BR225" s="245"/>
      <c r="BS225" s="245"/>
      <c r="BT225" s="246"/>
      <c r="BU225" s="245"/>
      <c r="BV225" s="245"/>
      <c r="BW225" s="245"/>
      <c r="BX225" s="245"/>
      <c r="BY225" s="245"/>
      <c r="BZ225" s="282"/>
      <c r="CA225" s="245"/>
      <c r="CB225" s="245"/>
      <c r="CC225" s="245"/>
      <c r="CD225" s="245"/>
      <c r="CE225" s="245"/>
      <c r="CF225" s="245"/>
    </row>
    <row r="226">
      <c r="A226" s="245"/>
      <c r="B226" s="245"/>
      <c r="C226" s="245"/>
      <c r="D226" s="246"/>
      <c r="E226" s="245"/>
      <c r="F226" s="245"/>
      <c r="G226" s="245"/>
      <c r="H226" s="245"/>
      <c r="I226" s="245"/>
      <c r="J226" s="245"/>
      <c r="K226" s="265"/>
      <c r="L226" s="245"/>
      <c r="M226" s="245"/>
      <c r="N226" s="245"/>
      <c r="O226" s="245"/>
      <c r="P226" s="245"/>
      <c r="Q226" s="247"/>
      <c r="R226" s="254"/>
      <c r="S226" s="245"/>
      <c r="T226" s="245"/>
      <c r="U226" s="245"/>
      <c r="V226" s="245"/>
      <c r="W226" s="245"/>
      <c r="X226" s="245"/>
      <c r="Y226" s="249"/>
      <c r="Z226" s="276"/>
      <c r="AA226" s="245"/>
      <c r="AB226" s="276"/>
      <c r="AC226" s="276"/>
      <c r="AD226" s="246"/>
      <c r="AE226" s="278"/>
      <c r="AF226" s="370"/>
      <c r="AG226" s="371"/>
      <c r="AH226" s="365"/>
      <c r="AI226" s="254"/>
      <c r="AJ226" s="287"/>
      <c r="AK226" s="278"/>
      <c r="AL226" s="246"/>
      <c r="AM226" s="245"/>
      <c r="AN226" s="245"/>
      <c r="AO226" s="274"/>
      <c r="AP226" s="245"/>
      <c r="AQ226" s="245"/>
      <c r="AR226" s="246"/>
      <c r="AS226" s="245"/>
      <c r="AT226" s="276"/>
      <c r="AU226" s="245"/>
      <c r="AV226" s="245"/>
      <c r="AW226" s="245"/>
      <c r="AX226" s="246"/>
      <c r="AY226" s="245"/>
      <c r="AZ226" s="245"/>
      <c r="BA226" s="246"/>
      <c r="BB226" s="245"/>
      <c r="BC226" s="245"/>
      <c r="BD226" s="245"/>
      <c r="BE226" s="245"/>
      <c r="BF226" s="245"/>
      <c r="BG226" s="245"/>
      <c r="BH226" s="245"/>
      <c r="BI226" s="245"/>
      <c r="BJ226" s="245"/>
      <c r="BK226" s="245"/>
      <c r="BL226" s="245"/>
      <c r="BM226" s="245"/>
      <c r="BN226" s="245"/>
      <c r="BO226" s="245"/>
      <c r="BP226" s="245"/>
      <c r="BQ226" s="245"/>
      <c r="BR226" s="245"/>
      <c r="BS226" s="245"/>
      <c r="BT226" s="246"/>
      <c r="BU226" s="245"/>
      <c r="BV226" s="245"/>
      <c r="BW226" s="245"/>
      <c r="BX226" s="245"/>
      <c r="BY226" s="245"/>
      <c r="BZ226" s="282"/>
      <c r="CA226" s="245"/>
      <c r="CB226" s="245"/>
      <c r="CC226" s="245"/>
      <c r="CD226" s="245"/>
      <c r="CE226" s="245"/>
      <c r="CF226" s="245"/>
    </row>
    <row r="227">
      <c r="A227" s="245"/>
      <c r="B227" s="245"/>
      <c r="C227" s="245"/>
      <c r="D227" s="246"/>
      <c r="E227" s="245"/>
      <c r="F227" s="245"/>
      <c r="G227" s="245"/>
      <c r="H227" s="245"/>
      <c r="I227" s="245"/>
      <c r="J227" s="245"/>
      <c r="K227" s="265"/>
      <c r="L227" s="245"/>
      <c r="M227" s="245"/>
      <c r="N227" s="245"/>
      <c r="O227" s="245"/>
      <c r="P227" s="245"/>
      <c r="Q227" s="247"/>
      <c r="R227" s="254"/>
      <c r="S227" s="245"/>
      <c r="T227" s="245"/>
      <c r="U227" s="245"/>
      <c r="V227" s="245"/>
      <c r="W227" s="245"/>
      <c r="X227" s="245"/>
      <c r="Y227" s="249"/>
      <c r="Z227" s="276"/>
      <c r="AA227" s="245"/>
      <c r="AB227" s="276"/>
      <c r="AC227" s="276"/>
      <c r="AD227" s="246"/>
      <c r="AE227" s="278"/>
      <c r="AF227" s="370"/>
      <c r="AG227" s="371"/>
      <c r="AH227" s="327"/>
      <c r="AI227" s="254"/>
      <c r="AJ227" s="287"/>
      <c r="AK227" s="278"/>
      <c r="AL227" s="246"/>
      <c r="AM227" s="245"/>
      <c r="AN227" s="245"/>
      <c r="AO227" s="274"/>
      <c r="AP227" s="245"/>
      <c r="AQ227" s="276"/>
      <c r="AR227" s="246"/>
      <c r="AS227" s="245"/>
      <c r="AT227" s="276"/>
      <c r="AU227" s="245"/>
      <c r="AV227" s="245"/>
      <c r="AW227" s="287"/>
      <c r="AX227" s="246"/>
      <c r="AY227" s="245"/>
      <c r="AZ227" s="245"/>
      <c r="BA227" s="246"/>
      <c r="BB227" s="245"/>
      <c r="BC227" s="245"/>
      <c r="BD227" s="245"/>
      <c r="BE227" s="245"/>
      <c r="BF227" s="245"/>
      <c r="BG227" s="245"/>
      <c r="BH227" s="245"/>
      <c r="BI227" s="245"/>
      <c r="BJ227" s="245"/>
      <c r="BK227" s="245"/>
      <c r="BL227" s="245"/>
      <c r="BM227" s="245"/>
      <c r="BN227" s="245"/>
      <c r="BO227" s="245"/>
      <c r="BP227" s="245"/>
      <c r="BQ227" s="245"/>
      <c r="BR227" s="245"/>
      <c r="BS227" s="245"/>
      <c r="BT227" s="246"/>
      <c r="BU227" s="245"/>
      <c r="BV227" s="245"/>
      <c r="BW227" s="245"/>
      <c r="BX227" s="245"/>
      <c r="BY227" s="245"/>
      <c r="BZ227" s="282"/>
      <c r="CA227" s="245"/>
      <c r="CB227" s="245"/>
      <c r="CC227" s="245"/>
      <c r="CD227" s="245"/>
      <c r="CE227" s="245"/>
      <c r="CF227" s="245"/>
    </row>
    <row r="228">
      <c r="A228" s="245"/>
      <c r="B228" s="245"/>
      <c r="C228" s="245"/>
      <c r="D228" s="246"/>
      <c r="E228" s="245"/>
      <c r="F228" s="245"/>
      <c r="G228" s="245"/>
      <c r="H228" s="245"/>
      <c r="I228" s="245"/>
      <c r="J228" s="245"/>
      <c r="K228" s="265"/>
      <c r="L228" s="245"/>
      <c r="M228" s="245"/>
      <c r="N228" s="245"/>
      <c r="O228" s="245"/>
      <c r="P228" s="245"/>
      <c r="Q228" s="247"/>
      <c r="R228" s="254"/>
      <c r="S228" s="245"/>
      <c r="T228" s="245"/>
      <c r="U228" s="245"/>
      <c r="V228" s="245"/>
      <c r="W228" s="245"/>
      <c r="X228" s="245"/>
      <c r="Y228" s="249"/>
      <c r="Z228" s="276"/>
      <c r="AA228" s="245"/>
      <c r="AB228" s="276"/>
      <c r="AC228" s="276"/>
      <c r="AD228" s="246"/>
      <c r="AE228" s="278"/>
      <c r="AF228" s="370"/>
      <c r="AG228" s="371"/>
      <c r="AH228" s="327"/>
      <c r="AI228" s="254"/>
      <c r="AJ228" s="287"/>
      <c r="AK228" s="278"/>
      <c r="AL228" s="246"/>
      <c r="AM228" s="245"/>
      <c r="AN228" s="245"/>
      <c r="AO228" s="274"/>
      <c r="AP228" s="245"/>
      <c r="AQ228" s="276"/>
      <c r="AR228" s="246"/>
      <c r="AS228" s="245"/>
      <c r="AT228" s="276"/>
      <c r="AU228" s="245"/>
      <c r="AV228" s="245"/>
      <c r="AW228" s="287"/>
      <c r="AX228" s="246"/>
      <c r="AY228" s="245"/>
      <c r="AZ228" s="245"/>
      <c r="BA228" s="246"/>
      <c r="BB228" s="245"/>
      <c r="BC228" s="245"/>
      <c r="BD228" s="245"/>
      <c r="BE228" s="245"/>
      <c r="BF228" s="245"/>
      <c r="BG228" s="245"/>
      <c r="BH228" s="245"/>
      <c r="BI228" s="245"/>
      <c r="BJ228" s="245"/>
      <c r="BK228" s="245"/>
      <c r="BL228" s="245"/>
      <c r="BM228" s="245"/>
      <c r="BN228" s="245"/>
      <c r="BO228" s="245"/>
      <c r="BP228" s="245"/>
      <c r="BQ228" s="245"/>
      <c r="BR228" s="245"/>
      <c r="BS228" s="245"/>
      <c r="BT228" s="246"/>
      <c r="BU228" s="245"/>
      <c r="BV228" s="245"/>
      <c r="BW228" s="245"/>
      <c r="BX228" s="245"/>
      <c r="BY228" s="245"/>
      <c r="BZ228" s="282"/>
      <c r="CA228" s="245"/>
      <c r="CB228" s="245"/>
      <c r="CC228" s="245"/>
      <c r="CD228" s="245"/>
      <c r="CE228" s="245"/>
      <c r="CF228" s="245"/>
    </row>
    <row r="229">
      <c r="A229" s="245"/>
      <c r="B229" s="245"/>
      <c r="C229" s="245"/>
      <c r="D229" s="246"/>
      <c r="E229" s="245"/>
      <c r="F229" s="245"/>
      <c r="G229" s="245"/>
      <c r="H229" s="245"/>
      <c r="I229" s="245"/>
      <c r="J229" s="245"/>
      <c r="K229" s="265"/>
      <c r="L229" s="245"/>
      <c r="M229" s="245"/>
      <c r="N229" s="245"/>
      <c r="O229" s="245"/>
      <c r="P229" s="245"/>
      <c r="Q229" s="247"/>
      <c r="R229" s="254"/>
      <c r="S229" s="245"/>
      <c r="T229" s="245"/>
      <c r="U229" s="245"/>
      <c r="V229" s="245"/>
      <c r="W229" s="245"/>
      <c r="X229" s="245"/>
      <c r="Y229" s="249"/>
      <c r="Z229" s="276"/>
      <c r="AA229" s="245"/>
      <c r="AB229" s="276"/>
      <c r="AC229" s="276"/>
      <c r="AD229" s="246"/>
      <c r="AE229" s="278"/>
      <c r="AF229" s="370"/>
      <c r="AG229" s="371"/>
      <c r="AH229" s="287"/>
      <c r="AI229" s="254"/>
      <c r="AJ229" s="287"/>
      <c r="AK229" s="278"/>
      <c r="AL229" s="246"/>
      <c r="AM229" s="245"/>
      <c r="AN229" s="245"/>
      <c r="AO229" s="274"/>
      <c r="AP229" s="245"/>
      <c r="AQ229" s="276"/>
      <c r="AR229" s="246"/>
      <c r="AS229" s="245"/>
      <c r="AT229" s="276"/>
      <c r="AU229" s="245"/>
      <c r="AV229" s="245"/>
      <c r="AW229" s="276"/>
      <c r="AX229" s="246"/>
      <c r="AY229" s="245"/>
      <c r="AZ229" s="245"/>
      <c r="BA229" s="246"/>
      <c r="BB229" s="245"/>
      <c r="BC229" s="245"/>
      <c r="BD229" s="245"/>
      <c r="BE229" s="245"/>
      <c r="BF229" s="245"/>
      <c r="BG229" s="245"/>
      <c r="BH229" s="245"/>
      <c r="BI229" s="245"/>
      <c r="BJ229" s="245"/>
      <c r="BK229" s="245"/>
      <c r="BL229" s="245"/>
      <c r="BM229" s="245"/>
      <c r="BN229" s="245"/>
      <c r="BO229" s="245"/>
      <c r="BP229" s="245"/>
      <c r="BQ229" s="245"/>
      <c r="BR229" s="245"/>
      <c r="BS229" s="245"/>
      <c r="BT229" s="246"/>
      <c r="BU229" s="245"/>
      <c r="BV229" s="245"/>
      <c r="BW229" s="245"/>
      <c r="BX229" s="245"/>
      <c r="BY229" s="245"/>
      <c r="BZ229" s="282"/>
      <c r="CA229" s="245"/>
      <c r="CB229" s="245"/>
      <c r="CC229" s="245"/>
      <c r="CD229" s="245"/>
      <c r="CE229" s="245"/>
      <c r="CF229" s="245"/>
    </row>
    <row r="230">
      <c r="A230" s="245"/>
      <c r="B230" s="245"/>
      <c r="C230" s="245"/>
      <c r="D230" s="246"/>
      <c r="E230" s="245"/>
      <c r="F230" s="245"/>
      <c r="G230" s="245"/>
      <c r="H230" s="245"/>
      <c r="I230" s="245"/>
      <c r="J230" s="245"/>
      <c r="K230" s="265"/>
      <c r="L230" s="245"/>
      <c r="M230" s="245"/>
      <c r="N230" s="245"/>
      <c r="O230" s="245"/>
      <c r="P230" s="245"/>
      <c r="Q230" s="247"/>
      <c r="R230" s="254"/>
      <c r="S230" s="245"/>
      <c r="T230" s="245"/>
      <c r="U230" s="245"/>
      <c r="V230" s="245"/>
      <c r="W230" s="245"/>
      <c r="X230" s="245"/>
      <c r="Y230" s="249"/>
      <c r="Z230" s="276"/>
      <c r="AA230" s="245"/>
      <c r="AB230" s="276"/>
      <c r="AC230" s="276"/>
      <c r="AD230" s="246"/>
      <c r="AE230" s="278"/>
      <c r="AF230" s="370"/>
      <c r="AG230" s="371"/>
      <c r="AH230" s="313"/>
      <c r="AI230" s="254"/>
      <c r="AJ230" s="287"/>
      <c r="AK230" s="278"/>
      <c r="AL230" s="246"/>
      <c r="AM230" s="245"/>
      <c r="AN230" s="245"/>
      <c r="AO230" s="274"/>
      <c r="AP230" s="245"/>
      <c r="AQ230" s="276"/>
      <c r="AR230" s="246"/>
      <c r="AS230" s="245"/>
      <c r="AT230" s="276"/>
      <c r="AU230" s="245"/>
      <c r="AV230" s="245"/>
      <c r="AW230" s="287"/>
      <c r="AX230" s="246"/>
      <c r="AY230" s="245"/>
      <c r="AZ230" s="245"/>
      <c r="BA230" s="246"/>
      <c r="BB230" s="245"/>
      <c r="BC230" s="245"/>
      <c r="BD230" s="245"/>
      <c r="BE230" s="245"/>
      <c r="BF230" s="245"/>
      <c r="BG230" s="245"/>
      <c r="BH230" s="245"/>
      <c r="BI230" s="245"/>
      <c r="BJ230" s="245"/>
      <c r="BK230" s="245"/>
      <c r="BL230" s="245"/>
      <c r="BM230" s="245"/>
      <c r="BN230" s="245"/>
      <c r="BO230" s="245"/>
      <c r="BP230" s="245"/>
      <c r="BQ230" s="245"/>
      <c r="BR230" s="245"/>
      <c r="BS230" s="245"/>
      <c r="BT230" s="246"/>
      <c r="BU230" s="245"/>
      <c r="BV230" s="245"/>
      <c r="BW230" s="245"/>
      <c r="BX230" s="245"/>
      <c r="BY230" s="245"/>
      <c r="BZ230" s="282"/>
      <c r="CA230" s="245"/>
      <c r="CB230" s="245"/>
      <c r="CC230" s="245"/>
      <c r="CD230" s="245"/>
      <c r="CE230" s="245"/>
      <c r="CF230" s="245"/>
    </row>
    <row r="231">
      <c r="A231" s="245"/>
      <c r="B231" s="245"/>
      <c r="C231" s="245"/>
      <c r="D231" s="246"/>
      <c r="E231" s="245"/>
      <c r="F231" s="245"/>
      <c r="G231" s="245"/>
      <c r="H231" s="245"/>
      <c r="I231" s="245"/>
      <c r="J231" s="245"/>
      <c r="K231" s="265"/>
      <c r="L231" s="245"/>
      <c r="M231" s="245"/>
      <c r="N231" s="245"/>
      <c r="O231" s="245"/>
      <c r="P231" s="245"/>
      <c r="Q231" s="247"/>
      <c r="R231" s="254"/>
      <c r="S231" s="245"/>
      <c r="T231" s="245"/>
      <c r="U231" s="245"/>
      <c r="V231" s="245"/>
      <c r="W231" s="245"/>
      <c r="X231" s="245"/>
      <c r="Y231" s="249"/>
      <c r="Z231" s="276"/>
      <c r="AA231" s="245"/>
      <c r="AB231" s="276"/>
      <c r="AC231" s="276"/>
      <c r="AD231" s="246"/>
      <c r="AE231" s="278"/>
      <c r="AF231" s="370"/>
      <c r="AG231" s="371"/>
      <c r="AH231" s="291"/>
      <c r="AI231" s="254"/>
      <c r="AJ231" s="287"/>
      <c r="AK231" s="278"/>
      <c r="AL231" s="246"/>
      <c r="AM231" s="245"/>
      <c r="AN231" s="245"/>
      <c r="AO231" s="274"/>
      <c r="AP231" s="245"/>
      <c r="AQ231" s="276"/>
      <c r="AR231" s="246"/>
      <c r="AS231" s="245"/>
      <c r="AT231" s="276"/>
      <c r="AU231" s="245"/>
      <c r="AV231" s="245"/>
      <c r="AW231" s="287"/>
      <c r="AX231" s="246"/>
      <c r="AY231" s="245"/>
      <c r="AZ231" s="245"/>
      <c r="BA231" s="246"/>
      <c r="BB231" s="245"/>
      <c r="BC231" s="245"/>
      <c r="BD231" s="245"/>
      <c r="BE231" s="245"/>
      <c r="BF231" s="245"/>
      <c r="BG231" s="245"/>
      <c r="BH231" s="245"/>
      <c r="BI231" s="245"/>
      <c r="BJ231" s="245"/>
      <c r="BK231" s="245"/>
      <c r="BL231" s="245"/>
      <c r="BM231" s="245"/>
      <c r="BN231" s="245"/>
      <c r="BO231" s="245"/>
      <c r="BP231" s="245"/>
      <c r="BQ231" s="245"/>
      <c r="BR231" s="245"/>
      <c r="BS231" s="245"/>
      <c r="BT231" s="246"/>
      <c r="BU231" s="245"/>
      <c r="BV231" s="245"/>
      <c r="BW231" s="245"/>
      <c r="BX231" s="245"/>
      <c r="BY231" s="245"/>
      <c r="BZ231" s="282"/>
      <c r="CA231" s="245"/>
      <c r="CB231" s="245"/>
      <c r="CC231" s="245"/>
      <c r="CD231" s="245"/>
      <c r="CE231" s="245"/>
      <c r="CF231" s="245"/>
    </row>
    <row r="232">
      <c r="A232" s="245"/>
      <c r="B232" s="245"/>
      <c r="C232" s="245"/>
      <c r="D232" s="246"/>
      <c r="E232" s="245"/>
      <c r="F232" s="245"/>
      <c r="G232" s="245"/>
      <c r="H232" s="245"/>
      <c r="I232" s="245"/>
      <c r="J232" s="245"/>
      <c r="K232" s="265"/>
      <c r="L232" s="245"/>
      <c r="M232" s="245"/>
      <c r="N232" s="245"/>
      <c r="O232" s="245"/>
      <c r="P232" s="245"/>
      <c r="Q232" s="247"/>
      <c r="R232" s="254"/>
      <c r="S232" s="245"/>
      <c r="T232" s="245"/>
      <c r="U232" s="245"/>
      <c r="V232" s="245"/>
      <c r="W232" s="245"/>
      <c r="X232" s="245"/>
      <c r="Y232" s="249"/>
      <c r="Z232" s="276"/>
      <c r="AA232" s="245"/>
      <c r="AB232" s="276"/>
      <c r="AC232" s="276"/>
      <c r="AD232" s="246"/>
      <c r="AE232" s="278"/>
      <c r="AF232" s="370"/>
      <c r="AG232" s="371"/>
      <c r="AH232" s="291"/>
      <c r="AI232" s="254"/>
      <c r="AJ232" s="287"/>
      <c r="AK232" s="278"/>
      <c r="AL232" s="246"/>
      <c r="AM232" s="245"/>
      <c r="AN232" s="245"/>
      <c r="AO232" s="274"/>
      <c r="AP232" s="245"/>
      <c r="AQ232" s="245"/>
      <c r="AR232" s="246"/>
      <c r="AS232" s="245"/>
      <c r="AT232" s="276"/>
      <c r="AU232" s="245"/>
      <c r="AV232" s="245"/>
      <c r="AW232" s="287"/>
      <c r="AX232" s="246"/>
      <c r="AY232" s="245"/>
      <c r="AZ232" s="245"/>
      <c r="BA232" s="246"/>
      <c r="BB232" s="245"/>
      <c r="BC232" s="245"/>
      <c r="BD232" s="245"/>
      <c r="BE232" s="245"/>
      <c r="BF232" s="245"/>
      <c r="BG232" s="245"/>
      <c r="BH232" s="245"/>
      <c r="BI232" s="245"/>
      <c r="BJ232" s="245"/>
      <c r="BK232" s="245"/>
      <c r="BL232" s="245"/>
      <c r="BM232" s="245"/>
      <c r="BN232" s="245"/>
      <c r="BO232" s="245"/>
      <c r="BP232" s="245"/>
      <c r="BQ232" s="245"/>
      <c r="BR232" s="245"/>
      <c r="BS232" s="245"/>
      <c r="BT232" s="246"/>
      <c r="BU232" s="245"/>
      <c r="BV232" s="245"/>
      <c r="BW232" s="245"/>
      <c r="BX232" s="245"/>
      <c r="BY232" s="245"/>
      <c r="BZ232" s="282"/>
      <c r="CA232" s="245"/>
      <c r="CB232" s="245"/>
      <c r="CC232" s="245"/>
      <c r="CD232" s="245"/>
      <c r="CE232" s="245"/>
      <c r="CF232" s="245"/>
    </row>
    <row r="233">
      <c r="A233" s="245"/>
      <c r="B233" s="245"/>
      <c r="C233" s="245"/>
      <c r="D233" s="246"/>
      <c r="E233" s="245"/>
      <c r="F233" s="245"/>
      <c r="G233" s="245"/>
      <c r="H233" s="245"/>
      <c r="I233" s="245"/>
      <c r="J233" s="245"/>
      <c r="K233" s="265"/>
      <c r="L233" s="245"/>
      <c r="M233" s="245"/>
      <c r="N233" s="245"/>
      <c r="O233" s="245"/>
      <c r="P233" s="245"/>
      <c r="Q233" s="247"/>
      <c r="R233" s="254"/>
      <c r="S233" s="245"/>
      <c r="T233" s="245"/>
      <c r="U233" s="245"/>
      <c r="V233" s="245"/>
      <c r="W233" s="245"/>
      <c r="X233" s="245"/>
      <c r="Y233" s="249"/>
      <c r="Z233" s="276"/>
      <c r="AA233" s="245"/>
      <c r="AB233" s="276"/>
      <c r="AC233" s="276"/>
      <c r="AD233" s="246"/>
      <c r="AE233" s="278"/>
      <c r="AF233" s="370"/>
      <c r="AG233" s="371"/>
      <c r="AH233" s="309"/>
      <c r="AI233" s="254"/>
      <c r="AJ233" s="287"/>
      <c r="AK233" s="278"/>
      <c r="AL233" s="246"/>
      <c r="AM233" s="245"/>
      <c r="AN233" s="245"/>
      <c r="AO233" s="274"/>
      <c r="AP233" s="245"/>
      <c r="AQ233" s="245"/>
      <c r="AR233" s="246"/>
      <c r="AS233" s="245"/>
      <c r="AT233" s="276"/>
      <c r="AU233" s="245"/>
      <c r="AV233" s="245"/>
      <c r="AW233" s="287"/>
      <c r="AX233" s="246"/>
      <c r="AY233" s="245"/>
      <c r="AZ233" s="245"/>
      <c r="BA233" s="246"/>
      <c r="BB233" s="245"/>
      <c r="BC233" s="245"/>
      <c r="BD233" s="245"/>
      <c r="BE233" s="245"/>
      <c r="BF233" s="245"/>
      <c r="BG233" s="245"/>
      <c r="BH233" s="245"/>
      <c r="BI233" s="245"/>
      <c r="BJ233" s="245"/>
      <c r="BK233" s="245"/>
      <c r="BL233" s="245"/>
      <c r="BM233" s="245"/>
      <c r="BN233" s="245"/>
      <c r="BO233" s="245"/>
      <c r="BP233" s="245"/>
      <c r="BQ233" s="245"/>
      <c r="BR233" s="245"/>
      <c r="BS233" s="245"/>
      <c r="BT233" s="246"/>
      <c r="BU233" s="245"/>
      <c r="BV233" s="245"/>
      <c r="BW233" s="245"/>
      <c r="BX233" s="245"/>
      <c r="BY233" s="245"/>
      <c r="BZ233" s="282"/>
      <c r="CA233" s="245"/>
      <c r="CB233" s="245"/>
      <c r="CC233" s="245"/>
      <c r="CD233" s="245"/>
      <c r="CE233" s="245"/>
      <c r="CF233" s="245"/>
    </row>
    <row r="234">
      <c r="A234" s="245"/>
      <c r="B234" s="245"/>
      <c r="C234" s="245"/>
      <c r="D234" s="246"/>
      <c r="E234" s="245"/>
      <c r="F234" s="245"/>
      <c r="G234" s="245"/>
      <c r="H234" s="245"/>
      <c r="I234" s="245"/>
      <c r="J234" s="245"/>
      <c r="K234" s="265"/>
      <c r="L234" s="245"/>
      <c r="M234" s="245"/>
      <c r="N234" s="245"/>
      <c r="O234" s="245"/>
      <c r="P234" s="245"/>
      <c r="Q234" s="247"/>
      <c r="R234" s="254"/>
      <c r="S234" s="245"/>
      <c r="T234" s="245"/>
      <c r="U234" s="245"/>
      <c r="V234" s="245"/>
      <c r="W234" s="245"/>
      <c r="X234" s="245"/>
      <c r="Y234" s="249"/>
      <c r="Z234" s="276"/>
      <c r="AA234" s="245"/>
      <c r="AB234" s="276"/>
      <c r="AC234" s="276"/>
      <c r="AD234" s="246"/>
      <c r="AE234" s="278"/>
      <c r="AF234" s="370"/>
      <c r="AG234" s="371"/>
      <c r="AH234" s="360"/>
      <c r="AI234" s="254"/>
      <c r="AJ234" s="287"/>
      <c r="AK234" s="278"/>
      <c r="AL234" s="246"/>
      <c r="AM234" s="245"/>
      <c r="AN234" s="245"/>
      <c r="AO234" s="274"/>
      <c r="AP234" s="245"/>
      <c r="AQ234" s="245"/>
      <c r="AR234" s="246"/>
      <c r="AS234" s="245"/>
      <c r="AT234" s="276"/>
      <c r="AU234" s="245"/>
      <c r="AV234" s="245"/>
      <c r="AW234" s="287"/>
      <c r="AX234" s="246"/>
      <c r="AY234" s="245"/>
      <c r="AZ234" s="245"/>
      <c r="BA234" s="246"/>
      <c r="BB234" s="245"/>
      <c r="BC234" s="245"/>
      <c r="BD234" s="245"/>
      <c r="BE234" s="245"/>
      <c r="BF234" s="245"/>
      <c r="BG234" s="245"/>
      <c r="BH234" s="245"/>
      <c r="BI234" s="245"/>
      <c r="BJ234" s="245"/>
      <c r="BK234" s="245"/>
      <c r="BL234" s="245"/>
      <c r="BM234" s="245"/>
      <c r="BN234" s="245"/>
      <c r="BO234" s="245"/>
      <c r="BP234" s="245"/>
      <c r="BQ234" s="245"/>
      <c r="BR234" s="245"/>
      <c r="BS234" s="245"/>
      <c r="BT234" s="246"/>
      <c r="BU234" s="245"/>
      <c r="BV234" s="245"/>
      <c r="BW234" s="245"/>
      <c r="BX234" s="245"/>
      <c r="BY234" s="245"/>
      <c r="BZ234" s="282"/>
      <c r="CA234" s="245"/>
      <c r="CB234" s="245"/>
      <c r="CC234" s="245"/>
      <c r="CD234" s="245"/>
      <c r="CE234" s="245"/>
      <c r="CF234" s="245"/>
    </row>
    <row r="235">
      <c r="A235" s="245"/>
      <c r="B235" s="245"/>
      <c r="C235" s="245"/>
      <c r="D235" s="246"/>
      <c r="E235" s="245"/>
      <c r="F235" s="245"/>
      <c r="G235" s="245"/>
      <c r="H235" s="245"/>
      <c r="I235" s="245"/>
      <c r="J235" s="245"/>
      <c r="K235" s="265"/>
      <c r="L235" s="245"/>
      <c r="M235" s="245"/>
      <c r="N235" s="245"/>
      <c r="O235" s="245"/>
      <c r="P235" s="245"/>
      <c r="Q235" s="247"/>
      <c r="R235" s="254"/>
      <c r="S235" s="245"/>
      <c r="T235" s="245"/>
      <c r="U235" s="245"/>
      <c r="V235" s="245"/>
      <c r="W235" s="245"/>
      <c r="X235" s="245"/>
      <c r="Y235" s="249"/>
      <c r="Z235" s="276"/>
      <c r="AA235" s="245"/>
      <c r="AB235" s="276"/>
      <c r="AC235" s="276"/>
      <c r="AD235" s="246"/>
      <c r="AE235" s="278"/>
      <c r="AF235" s="370"/>
      <c r="AG235" s="371"/>
      <c r="AH235" s="276"/>
      <c r="AI235" s="254"/>
      <c r="AJ235" s="287"/>
      <c r="AK235" s="278"/>
      <c r="AL235" s="246"/>
      <c r="AM235" s="245"/>
      <c r="AN235" s="245"/>
      <c r="AO235" s="274"/>
      <c r="AP235" s="245"/>
      <c r="AQ235" s="245"/>
      <c r="AR235" s="246"/>
      <c r="AS235" s="245"/>
      <c r="AT235" s="276"/>
      <c r="AU235" s="245"/>
      <c r="AV235" s="245"/>
      <c r="AW235" s="245"/>
      <c r="AX235" s="246"/>
      <c r="AY235" s="245"/>
      <c r="AZ235" s="245"/>
      <c r="BA235" s="246"/>
      <c r="BB235" s="245"/>
      <c r="BC235" s="245"/>
      <c r="BD235" s="245"/>
      <c r="BE235" s="245"/>
      <c r="BF235" s="245"/>
      <c r="BG235" s="245"/>
      <c r="BH235" s="245"/>
      <c r="BI235" s="245"/>
      <c r="BJ235" s="245"/>
      <c r="BK235" s="245"/>
      <c r="BL235" s="245"/>
      <c r="BM235" s="245"/>
      <c r="BN235" s="245"/>
      <c r="BO235" s="245"/>
      <c r="BP235" s="245"/>
      <c r="BQ235" s="245"/>
      <c r="BR235" s="245"/>
      <c r="BS235" s="245"/>
      <c r="BT235" s="246"/>
      <c r="BU235" s="245"/>
      <c r="BV235" s="245"/>
      <c r="BW235" s="245"/>
      <c r="BX235" s="245"/>
      <c r="BY235" s="245"/>
      <c r="BZ235" s="282"/>
      <c r="CA235" s="245"/>
      <c r="CB235" s="245"/>
      <c r="CC235" s="245"/>
      <c r="CD235" s="245"/>
      <c r="CE235" s="245"/>
      <c r="CF235" s="245"/>
    </row>
    <row r="236">
      <c r="A236" s="245"/>
      <c r="B236" s="245"/>
      <c r="C236" s="245"/>
      <c r="D236" s="246"/>
      <c r="E236" s="245"/>
      <c r="F236" s="245"/>
      <c r="G236" s="245"/>
      <c r="H236" s="245"/>
      <c r="I236" s="245"/>
      <c r="J236" s="245"/>
      <c r="K236" s="265"/>
      <c r="L236" s="245"/>
      <c r="M236" s="245"/>
      <c r="N236" s="245"/>
      <c r="O236" s="245"/>
      <c r="P236" s="245"/>
      <c r="Q236" s="247"/>
      <c r="R236" s="254"/>
      <c r="S236" s="245"/>
      <c r="T236" s="245"/>
      <c r="U236" s="245"/>
      <c r="V236" s="245"/>
      <c r="W236" s="245"/>
      <c r="X236" s="245"/>
      <c r="Y236" s="249"/>
      <c r="Z236" s="276"/>
      <c r="AA236" s="245"/>
      <c r="AB236" s="276"/>
      <c r="AC236" s="276"/>
      <c r="AD236" s="246"/>
      <c r="AE236" s="278"/>
      <c r="AF236" s="370"/>
      <c r="AG236" s="371"/>
      <c r="AH236" s="286"/>
      <c r="AI236" s="254"/>
      <c r="AJ236" s="287"/>
      <c r="AK236" s="278"/>
      <c r="AL236" s="246"/>
      <c r="AM236" s="245"/>
      <c r="AN236" s="245"/>
      <c r="AO236" s="274"/>
      <c r="AP236" s="245"/>
      <c r="AQ236" s="245"/>
      <c r="AR236" s="246"/>
      <c r="AS236" s="245"/>
      <c r="AT236" s="276"/>
      <c r="AU236" s="245"/>
      <c r="AV236" s="245"/>
      <c r="AW236" s="327"/>
      <c r="AX236" s="246"/>
      <c r="AY236" s="245"/>
      <c r="AZ236" s="245"/>
      <c r="BA236" s="246"/>
      <c r="BB236" s="245"/>
      <c r="BC236" s="245"/>
      <c r="BD236" s="245"/>
      <c r="BE236" s="245"/>
      <c r="BF236" s="245"/>
      <c r="BG236" s="245"/>
      <c r="BH236" s="245"/>
      <c r="BI236" s="245"/>
      <c r="BJ236" s="245"/>
      <c r="BK236" s="245"/>
      <c r="BL236" s="245"/>
      <c r="BM236" s="245"/>
      <c r="BN236" s="245"/>
      <c r="BO236" s="245"/>
      <c r="BP236" s="245"/>
      <c r="BQ236" s="245"/>
      <c r="BR236" s="245"/>
      <c r="BS236" s="245"/>
      <c r="BT236" s="246"/>
      <c r="BU236" s="245"/>
      <c r="BV236" s="245"/>
      <c r="BW236" s="245"/>
      <c r="BX236" s="245"/>
      <c r="BY236" s="245"/>
      <c r="BZ236" s="282"/>
      <c r="CA236" s="245"/>
      <c r="CB236" s="245"/>
      <c r="CC236" s="245"/>
      <c r="CD236" s="245"/>
      <c r="CE236" s="245"/>
      <c r="CF236" s="245"/>
    </row>
    <row r="237">
      <c r="A237" s="245"/>
      <c r="B237" s="245"/>
      <c r="C237" s="245"/>
      <c r="D237" s="246"/>
      <c r="E237" s="245"/>
      <c r="F237" s="245"/>
      <c r="G237" s="245"/>
      <c r="H237" s="245"/>
      <c r="I237" s="245"/>
      <c r="J237" s="245"/>
      <c r="K237" s="265"/>
      <c r="L237" s="245"/>
      <c r="M237" s="245"/>
      <c r="N237" s="245"/>
      <c r="O237" s="245"/>
      <c r="P237" s="245"/>
      <c r="Q237" s="247"/>
      <c r="R237" s="254"/>
      <c r="S237" s="245"/>
      <c r="T237" s="245"/>
      <c r="U237" s="245"/>
      <c r="V237" s="245"/>
      <c r="W237" s="245"/>
      <c r="X237" s="245"/>
      <c r="Y237" s="249"/>
      <c r="Z237" s="276"/>
      <c r="AA237" s="245"/>
      <c r="AB237" s="276"/>
      <c r="AC237" s="276"/>
      <c r="AD237" s="246"/>
      <c r="AE237" s="278"/>
      <c r="AF237" s="370"/>
      <c r="AG237" s="371"/>
      <c r="AH237" s="287"/>
      <c r="AI237" s="254"/>
      <c r="AJ237" s="287"/>
      <c r="AK237" s="278"/>
      <c r="AL237" s="246"/>
      <c r="AM237" s="245"/>
      <c r="AN237" s="245"/>
      <c r="AO237" s="274"/>
      <c r="AP237" s="245"/>
      <c r="AQ237" s="245"/>
      <c r="AR237" s="246"/>
      <c r="AS237" s="245"/>
      <c r="AT237" s="276"/>
      <c r="AU237" s="245"/>
      <c r="AV237" s="245"/>
      <c r="AW237" s="287"/>
      <c r="AX237" s="246"/>
      <c r="AY237" s="245"/>
      <c r="AZ237" s="245"/>
      <c r="BA237" s="246"/>
      <c r="BB237" s="245"/>
      <c r="BC237" s="245"/>
      <c r="BD237" s="245"/>
      <c r="BE237" s="245"/>
      <c r="BF237" s="245"/>
      <c r="BG237" s="245"/>
      <c r="BH237" s="245"/>
      <c r="BI237" s="245"/>
      <c r="BJ237" s="245"/>
      <c r="BK237" s="245"/>
      <c r="BL237" s="245"/>
      <c r="BM237" s="245"/>
      <c r="BN237" s="245"/>
      <c r="BO237" s="245"/>
      <c r="BP237" s="245"/>
      <c r="BQ237" s="245"/>
      <c r="BR237" s="245"/>
      <c r="BS237" s="245"/>
      <c r="BT237" s="246"/>
      <c r="BU237" s="245"/>
      <c r="BV237" s="245"/>
      <c r="BW237" s="245"/>
      <c r="BX237" s="245"/>
      <c r="BY237" s="245"/>
      <c r="BZ237" s="282"/>
      <c r="CA237" s="245"/>
      <c r="CB237" s="245"/>
      <c r="CC237" s="245"/>
      <c r="CD237" s="245"/>
      <c r="CE237" s="245"/>
      <c r="CF237" s="245"/>
    </row>
    <row r="238">
      <c r="A238" s="245"/>
      <c r="B238" s="245"/>
      <c r="C238" s="245"/>
      <c r="D238" s="246"/>
      <c r="E238" s="245"/>
      <c r="F238" s="245"/>
      <c r="G238" s="245"/>
      <c r="H238" s="245"/>
      <c r="I238" s="245"/>
      <c r="J238" s="245"/>
      <c r="K238" s="265"/>
      <c r="L238" s="245"/>
      <c r="M238" s="245"/>
      <c r="N238" s="245"/>
      <c r="O238" s="245"/>
      <c r="P238" s="245"/>
      <c r="Q238" s="247"/>
      <c r="R238" s="254"/>
      <c r="S238" s="245"/>
      <c r="T238" s="245"/>
      <c r="U238" s="245"/>
      <c r="V238" s="245"/>
      <c r="W238" s="245"/>
      <c r="X238" s="245"/>
      <c r="Y238" s="249"/>
      <c r="Z238" s="276"/>
      <c r="AA238" s="245"/>
      <c r="AB238" s="276"/>
      <c r="AC238" s="276"/>
      <c r="AD238" s="246"/>
      <c r="AE238" s="278"/>
      <c r="AF238" s="370"/>
      <c r="AG238" s="371"/>
      <c r="AH238" s="276"/>
      <c r="AI238" s="245"/>
      <c r="AJ238" s="287"/>
      <c r="AK238" s="278"/>
      <c r="AL238" s="246"/>
      <c r="AM238" s="245"/>
      <c r="AN238" s="245"/>
      <c r="AO238" s="274"/>
      <c r="AP238" s="245"/>
      <c r="AQ238" s="245"/>
      <c r="AR238" s="246"/>
      <c r="AS238" s="245"/>
      <c r="AT238" s="245"/>
      <c r="AU238" s="245"/>
      <c r="AV238" s="245"/>
      <c r="AW238" s="327"/>
      <c r="AX238" s="246"/>
      <c r="AY238" s="245"/>
      <c r="AZ238" s="245"/>
      <c r="BA238" s="246"/>
      <c r="BB238" s="245"/>
      <c r="BC238" s="245"/>
      <c r="BD238" s="245"/>
      <c r="BE238" s="245"/>
      <c r="BF238" s="245"/>
      <c r="BG238" s="245"/>
      <c r="BH238" s="245"/>
      <c r="BI238" s="245"/>
      <c r="BJ238" s="245"/>
      <c r="BK238" s="245"/>
      <c r="BL238" s="245"/>
      <c r="BM238" s="245"/>
      <c r="BN238" s="245"/>
      <c r="BO238" s="245"/>
      <c r="BP238" s="245"/>
      <c r="BQ238" s="245"/>
      <c r="BR238" s="245"/>
      <c r="BS238" s="245"/>
      <c r="BT238" s="246"/>
      <c r="BU238" s="245"/>
      <c r="BV238" s="245"/>
      <c r="BW238" s="245"/>
      <c r="BX238" s="245"/>
      <c r="BY238" s="245"/>
      <c r="BZ238" s="282"/>
      <c r="CA238" s="245"/>
      <c r="CB238" s="245"/>
      <c r="CC238" s="245"/>
      <c r="CD238" s="245"/>
      <c r="CE238" s="245"/>
      <c r="CF238" s="245"/>
    </row>
    <row r="239">
      <c r="A239" s="245"/>
      <c r="B239" s="245"/>
      <c r="C239" s="245"/>
      <c r="D239" s="246"/>
      <c r="E239" s="245"/>
      <c r="F239" s="245"/>
      <c r="G239" s="245"/>
      <c r="H239" s="245"/>
      <c r="I239" s="245"/>
      <c r="J239" s="245"/>
      <c r="K239" s="265"/>
      <c r="L239" s="245"/>
      <c r="M239" s="245"/>
      <c r="N239" s="245"/>
      <c r="O239" s="245"/>
      <c r="P239" s="245"/>
      <c r="Q239" s="247"/>
      <c r="R239" s="254"/>
      <c r="S239" s="245"/>
      <c r="T239" s="245"/>
      <c r="U239" s="245"/>
      <c r="V239" s="245"/>
      <c r="W239" s="245"/>
      <c r="X239" s="245"/>
      <c r="Y239" s="249"/>
      <c r="Z239" s="276"/>
      <c r="AA239" s="245"/>
      <c r="AB239" s="276"/>
      <c r="AC239" s="276"/>
      <c r="AD239" s="246"/>
      <c r="AE239" s="278"/>
      <c r="AF239" s="370"/>
      <c r="AG239" s="371"/>
      <c r="AH239" s="276"/>
      <c r="AI239" s="245"/>
      <c r="AJ239" s="287"/>
      <c r="AK239" s="278"/>
      <c r="AL239" s="246"/>
      <c r="AM239" s="245"/>
      <c r="AN239" s="245"/>
      <c r="AO239" s="274"/>
      <c r="AP239" s="245"/>
      <c r="AQ239" s="245"/>
      <c r="AR239" s="246"/>
      <c r="AS239" s="245"/>
      <c r="AT239" s="245"/>
      <c r="AU239" s="245"/>
      <c r="AV239" s="245"/>
      <c r="AW239" s="245"/>
      <c r="AX239" s="246"/>
      <c r="AY239" s="245"/>
      <c r="AZ239" s="245"/>
      <c r="BA239" s="246"/>
      <c r="BB239" s="245"/>
      <c r="BC239" s="245"/>
      <c r="BD239" s="245"/>
      <c r="BE239" s="245"/>
      <c r="BF239" s="245"/>
      <c r="BG239" s="245"/>
      <c r="BH239" s="245"/>
      <c r="BI239" s="245"/>
      <c r="BJ239" s="245"/>
      <c r="BK239" s="245"/>
      <c r="BL239" s="245"/>
      <c r="BM239" s="245"/>
      <c r="BN239" s="245"/>
      <c r="BO239" s="245"/>
      <c r="BP239" s="245"/>
      <c r="BQ239" s="245"/>
      <c r="BR239" s="245"/>
      <c r="BS239" s="245"/>
      <c r="BT239" s="246"/>
      <c r="BU239" s="245"/>
      <c r="BV239" s="245"/>
      <c r="BW239" s="245"/>
      <c r="BX239" s="245"/>
      <c r="BY239" s="245"/>
      <c r="BZ239" s="282"/>
      <c r="CA239" s="245"/>
      <c r="CB239" s="245"/>
      <c r="CC239" s="245"/>
      <c r="CD239" s="245"/>
      <c r="CE239" s="245"/>
      <c r="CF239" s="245"/>
    </row>
    <row r="240">
      <c r="A240" s="245"/>
      <c r="B240" s="245"/>
      <c r="C240" s="245"/>
      <c r="D240" s="246"/>
      <c r="E240" s="245"/>
      <c r="F240" s="245"/>
      <c r="G240" s="245"/>
      <c r="H240" s="245"/>
      <c r="I240" s="245"/>
      <c r="J240" s="245"/>
      <c r="K240" s="265"/>
      <c r="L240" s="245"/>
      <c r="M240" s="245"/>
      <c r="N240" s="245"/>
      <c r="O240" s="245"/>
      <c r="P240" s="245"/>
      <c r="Q240" s="247"/>
      <c r="R240" s="254"/>
      <c r="S240" s="245"/>
      <c r="T240" s="245"/>
      <c r="U240" s="245"/>
      <c r="V240" s="245"/>
      <c r="W240" s="245"/>
      <c r="X240" s="245"/>
      <c r="Y240" s="249"/>
      <c r="Z240" s="276"/>
      <c r="AA240" s="245"/>
      <c r="AB240" s="276"/>
      <c r="AC240" s="276"/>
      <c r="AD240" s="246"/>
      <c r="AE240" s="278"/>
      <c r="AF240" s="370"/>
      <c r="AG240" s="371"/>
      <c r="AH240" s="276"/>
      <c r="AI240" s="245"/>
      <c r="AJ240" s="287"/>
      <c r="AK240" s="278"/>
      <c r="AL240" s="246"/>
      <c r="AM240" s="245"/>
      <c r="AN240" s="245"/>
      <c r="AO240" s="274"/>
      <c r="AP240" s="245"/>
      <c r="AQ240" s="245"/>
      <c r="AR240" s="246"/>
      <c r="AS240" s="245"/>
      <c r="AT240" s="245"/>
      <c r="AU240" s="245"/>
      <c r="AV240" s="245"/>
      <c r="AW240" s="287"/>
      <c r="AX240" s="246"/>
      <c r="AY240" s="245"/>
      <c r="AZ240" s="245"/>
      <c r="BA240" s="246"/>
      <c r="BB240" s="245"/>
      <c r="BC240" s="245"/>
      <c r="BD240" s="245"/>
      <c r="BE240" s="245"/>
      <c r="BF240" s="245"/>
      <c r="BG240" s="245"/>
      <c r="BH240" s="245"/>
      <c r="BI240" s="245"/>
      <c r="BJ240" s="245"/>
      <c r="BK240" s="245"/>
      <c r="BL240" s="245"/>
      <c r="BM240" s="245"/>
      <c r="BN240" s="245"/>
      <c r="BO240" s="245"/>
      <c r="BP240" s="245"/>
      <c r="BQ240" s="245"/>
      <c r="BR240" s="245"/>
      <c r="BS240" s="245"/>
      <c r="BT240" s="246"/>
      <c r="BU240" s="245"/>
      <c r="BV240" s="245"/>
      <c r="BW240" s="245"/>
      <c r="BX240" s="245"/>
      <c r="BY240" s="245"/>
      <c r="BZ240" s="282"/>
      <c r="CA240" s="245"/>
      <c r="CB240" s="245"/>
      <c r="CC240" s="245"/>
      <c r="CD240" s="245"/>
      <c r="CE240" s="245"/>
      <c r="CF240" s="245"/>
    </row>
    <row r="241">
      <c r="A241" s="245"/>
      <c r="B241" s="245"/>
      <c r="C241" s="245"/>
      <c r="D241" s="246"/>
      <c r="E241" s="245"/>
      <c r="F241" s="245"/>
      <c r="G241" s="245"/>
      <c r="H241" s="245"/>
      <c r="I241" s="245"/>
      <c r="J241" s="245"/>
      <c r="K241" s="265"/>
      <c r="L241" s="245"/>
      <c r="M241" s="245"/>
      <c r="N241" s="245"/>
      <c r="O241" s="245"/>
      <c r="P241" s="245"/>
      <c r="Q241" s="247"/>
      <c r="R241" s="254"/>
      <c r="S241" s="245"/>
      <c r="T241" s="245"/>
      <c r="U241" s="245"/>
      <c r="V241" s="245"/>
      <c r="W241" s="245"/>
      <c r="X241" s="245"/>
      <c r="Y241" s="249"/>
      <c r="Z241" s="276"/>
      <c r="AA241" s="245"/>
      <c r="AB241" s="276"/>
      <c r="AC241" s="276"/>
      <c r="AD241" s="246"/>
      <c r="AE241" s="278"/>
      <c r="AF241" s="370"/>
      <c r="AG241" s="371"/>
      <c r="AH241" s="276"/>
      <c r="AI241" s="245"/>
      <c r="AJ241" s="287"/>
      <c r="AK241" s="278"/>
      <c r="AL241" s="246"/>
      <c r="AM241" s="245"/>
      <c r="AN241" s="245"/>
      <c r="AO241" s="274"/>
      <c r="AP241" s="245"/>
      <c r="AQ241" s="245"/>
      <c r="AR241" s="246"/>
      <c r="AS241" s="245"/>
      <c r="AT241" s="245"/>
      <c r="AU241" s="245"/>
      <c r="AV241" s="245"/>
      <c r="AW241" s="287"/>
      <c r="AX241" s="246"/>
      <c r="AY241" s="245"/>
      <c r="AZ241" s="245"/>
      <c r="BA241" s="246"/>
      <c r="BB241" s="245"/>
      <c r="BC241" s="245"/>
      <c r="BD241" s="245"/>
      <c r="BE241" s="245"/>
      <c r="BF241" s="245"/>
      <c r="BG241" s="245"/>
      <c r="BH241" s="245"/>
      <c r="BI241" s="245"/>
      <c r="BJ241" s="245"/>
      <c r="BK241" s="245"/>
      <c r="BL241" s="245"/>
      <c r="BM241" s="245"/>
      <c r="BN241" s="245"/>
      <c r="BO241" s="245"/>
      <c r="BP241" s="245"/>
      <c r="BQ241" s="245"/>
      <c r="BR241" s="245"/>
      <c r="BS241" s="245"/>
      <c r="BT241" s="246"/>
      <c r="BU241" s="245"/>
      <c r="BV241" s="245"/>
      <c r="BW241" s="245"/>
      <c r="BX241" s="245"/>
      <c r="BY241" s="245"/>
      <c r="BZ241" s="282"/>
      <c r="CA241" s="245"/>
      <c r="CB241" s="245"/>
      <c r="CC241" s="245"/>
      <c r="CD241" s="245"/>
      <c r="CE241" s="245"/>
      <c r="CF241" s="245"/>
    </row>
    <row r="242">
      <c r="A242" s="245"/>
      <c r="B242" s="245"/>
      <c r="C242" s="245"/>
      <c r="D242" s="246"/>
      <c r="E242" s="245"/>
      <c r="F242" s="245"/>
      <c r="G242" s="245"/>
      <c r="H242" s="245"/>
      <c r="I242" s="245"/>
      <c r="J242" s="245"/>
      <c r="K242" s="265"/>
      <c r="L242" s="245"/>
      <c r="M242" s="245"/>
      <c r="N242" s="245"/>
      <c r="O242" s="245"/>
      <c r="P242" s="245"/>
      <c r="Q242" s="247"/>
      <c r="R242" s="254"/>
      <c r="S242" s="245"/>
      <c r="T242" s="245"/>
      <c r="U242" s="245"/>
      <c r="V242" s="245"/>
      <c r="W242" s="245"/>
      <c r="X242" s="245"/>
      <c r="Y242" s="249"/>
      <c r="Z242" s="276"/>
      <c r="AA242" s="245"/>
      <c r="AB242" s="276"/>
      <c r="AC242" s="276"/>
      <c r="AD242" s="246"/>
      <c r="AE242" s="278"/>
      <c r="AF242" s="370"/>
      <c r="AG242" s="371"/>
      <c r="AH242" s="276"/>
      <c r="AI242" s="245"/>
      <c r="AJ242" s="287"/>
      <c r="AK242" s="278"/>
      <c r="AL242" s="246"/>
      <c r="AM242" s="245"/>
      <c r="AN242" s="245"/>
      <c r="AO242" s="274"/>
      <c r="AP242" s="245"/>
      <c r="AQ242" s="245"/>
      <c r="AR242" s="246"/>
      <c r="AS242" s="245"/>
      <c r="AT242" s="245"/>
      <c r="AU242" s="245"/>
      <c r="AV242" s="245"/>
      <c r="AW242" s="287"/>
      <c r="AX242" s="246"/>
      <c r="AY242" s="245"/>
      <c r="AZ242" s="245"/>
      <c r="BA242" s="246"/>
      <c r="BB242" s="245"/>
      <c r="BC242" s="245"/>
      <c r="BD242" s="245"/>
      <c r="BE242" s="245"/>
      <c r="BF242" s="245"/>
      <c r="BG242" s="245"/>
      <c r="BH242" s="245"/>
      <c r="BI242" s="245"/>
      <c r="BJ242" s="245"/>
      <c r="BK242" s="245"/>
      <c r="BL242" s="245"/>
      <c r="BM242" s="245"/>
      <c r="BN242" s="245"/>
      <c r="BO242" s="245"/>
      <c r="BP242" s="245"/>
      <c r="BQ242" s="245"/>
      <c r="BR242" s="245"/>
      <c r="BS242" s="245"/>
      <c r="BT242" s="246"/>
      <c r="BU242" s="245"/>
      <c r="BV242" s="245"/>
      <c r="BW242" s="245"/>
      <c r="BX242" s="245"/>
      <c r="BY242" s="245"/>
      <c r="BZ242" s="282"/>
      <c r="CA242" s="245"/>
      <c r="CB242" s="245"/>
      <c r="CC242" s="245"/>
      <c r="CD242" s="245"/>
      <c r="CE242" s="245"/>
      <c r="CF242" s="245"/>
    </row>
    <row r="243">
      <c r="A243" s="245"/>
      <c r="B243" s="245"/>
      <c r="C243" s="245"/>
      <c r="D243" s="246"/>
      <c r="E243" s="245"/>
      <c r="F243" s="245"/>
      <c r="G243" s="245"/>
      <c r="H243" s="245"/>
      <c r="I243" s="245"/>
      <c r="J243" s="245"/>
      <c r="K243" s="265"/>
      <c r="L243" s="245"/>
      <c r="M243" s="245"/>
      <c r="N243" s="245"/>
      <c r="O243" s="245"/>
      <c r="P243" s="245"/>
      <c r="Q243" s="247"/>
      <c r="R243" s="254"/>
      <c r="S243" s="245"/>
      <c r="T243" s="245"/>
      <c r="U243" s="245"/>
      <c r="V243" s="245"/>
      <c r="W243" s="245"/>
      <c r="X243" s="245"/>
      <c r="Y243" s="249"/>
      <c r="Z243" s="276"/>
      <c r="AA243" s="245"/>
      <c r="AB243" s="276"/>
      <c r="AC243" s="276"/>
      <c r="AD243" s="246"/>
      <c r="AE243" s="278"/>
      <c r="AF243" s="370"/>
      <c r="AG243" s="371"/>
      <c r="AH243" s="276"/>
      <c r="AI243" s="245"/>
      <c r="AJ243" s="287"/>
      <c r="AK243" s="278"/>
      <c r="AL243" s="246"/>
      <c r="AM243" s="245"/>
      <c r="AN243" s="245"/>
      <c r="AO243" s="274"/>
      <c r="AP243" s="245"/>
      <c r="AQ243" s="245"/>
      <c r="AR243" s="246"/>
      <c r="AS243" s="245"/>
      <c r="AT243" s="245"/>
      <c r="AU243" s="245"/>
      <c r="AV243" s="245"/>
      <c r="AW243" s="287"/>
      <c r="AX243" s="246"/>
      <c r="AY243" s="245"/>
      <c r="AZ243" s="245"/>
      <c r="BA243" s="246"/>
      <c r="BB243" s="245"/>
      <c r="BC243" s="245"/>
      <c r="BD243" s="245"/>
      <c r="BE243" s="245"/>
      <c r="BF243" s="245"/>
      <c r="BG243" s="245"/>
      <c r="BH243" s="245"/>
      <c r="BI243" s="245"/>
      <c r="BJ243" s="245"/>
      <c r="BK243" s="245"/>
      <c r="BL243" s="245"/>
      <c r="BM243" s="245"/>
      <c r="BN243" s="245"/>
      <c r="BO243" s="245"/>
      <c r="BP243" s="245"/>
      <c r="BQ243" s="245"/>
      <c r="BR243" s="245"/>
      <c r="BS243" s="245"/>
      <c r="BT243" s="246"/>
      <c r="BU243" s="245"/>
      <c r="BV243" s="245"/>
      <c r="BW243" s="245"/>
      <c r="BX243" s="245"/>
      <c r="BY243" s="245"/>
      <c r="BZ243" s="282"/>
      <c r="CA243" s="245"/>
      <c r="CB243" s="245"/>
      <c r="CC243" s="245"/>
      <c r="CD243" s="245"/>
      <c r="CE243" s="245"/>
      <c r="CF243" s="245"/>
    </row>
    <row r="244">
      <c r="A244" s="245"/>
      <c r="B244" s="245"/>
      <c r="C244" s="245"/>
      <c r="D244" s="246"/>
      <c r="E244" s="245"/>
      <c r="F244" s="245"/>
      <c r="G244" s="245"/>
      <c r="H244" s="245"/>
      <c r="I244" s="245"/>
      <c r="J244" s="245"/>
      <c r="K244" s="265"/>
      <c r="L244" s="245"/>
      <c r="M244" s="245"/>
      <c r="N244" s="245"/>
      <c r="O244" s="245"/>
      <c r="P244" s="245"/>
      <c r="Q244" s="247"/>
      <c r="R244" s="254"/>
      <c r="S244" s="245"/>
      <c r="T244" s="245"/>
      <c r="U244" s="245"/>
      <c r="V244" s="245"/>
      <c r="W244" s="245"/>
      <c r="X244" s="245"/>
      <c r="Y244" s="249"/>
      <c r="Z244" s="276"/>
      <c r="AA244" s="245"/>
      <c r="AB244" s="276"/>
      <c r="AC244" s="276"/>
      <c r="AD244" s="246"/>
      <c r="AE244" s="278"/>
      <c r="AF244" s="370"/>
      <c r="AG244" s="371"/>
      <c r="AH244" s="276"/>
      <c r="AI244" s="245"/>
      <c r="AJ244" s="287"/>
      <c r="AK244" s="278"/>
      <c r="AL244" s="246"/>
      <c r="AM244" s="245"/>
      <c r="AN244" s="245"/>
      <c r="AO244" s="274"/>
      <c r="AP244" s="245"/>
      <c r="AQ244" s="245"/>
      <c r="AR244" s="246"/>
      <c r="AS244" s="245"/>
      <c r="AT244" s="245"/>
      <c r="AU244" s="245"/>
      <c r="AV244" s="245"/>
      <c r="AW244" s="287"/>
      <c r="AX244" s="246"/>
      <c r="AY244" s="245"/>
      <c r="AZ244" s="245"/>
      <c r="BA244" s="246"/>
      <c r="BB244" s="245"/>
      <c r="BC244" s="245"/>
      <c r="BD244" s="245"/>
      <c r="BE244" s="245"/>
      <c r="BF244" s="245"/>
      <c r="BG244" s="245"/>
      <c r="BH244" s="245"/>
      <c r="BI244" s="245"/>
      <c r="BJ244" s="245"/>
      <c r="BK244" s="245"/>
      <c r="BL244" s="245"/>
      <c r="BM244" s="245"/>
      <c r="BN244" s="245"/>
      <c r="BO244" s="245"/>
      <c r="BP244" s="245"/>
      <c r="BQ244" s="245"/>
      <c r="BR244" s="245"/>
      <c r="BS244" s="245"/>
      <c r="BT244" s="246"/>
      <c r="BU244" s="245"/>
      <c r="BV244" s="245"/>
      <c r="BW244" s="245"/>
      <c r="BX244" s="245"/>
      <c r="BY244" s="245"/>
      <c r="BZ244" s="282"/>
      <c r="CA244" s="245"/>
      <c r="CB244" s="245"/>
      <c r="CC244" s="245"/>
      <c r="CD244" s="245"/>
      <c r="CE244" s="245"/>
      <c r="CF244" s="245"/>
    </row>
    <row r="245">
      <c r="A245" s="245"/>
      <c r="B245" s="245"/>
      <c r="C245" s="245"/>
      <c r="D245" s="246"/>
      <c r="E245" s="245"/>
      <c r="F245" s="245"/>
      <c r="G245" s="245"/>
      <c r="H245" s="245"/>
      <c r="I245" s="245"/>
      <c r="J245" s="245"/>
      <c r="K245" s="265"/>
      <c r="L245" s="245"/>
      <c r="M245" s="245"/>
      <c r="N245" s="245"/>
      <c r="O245" s="245"/>
      <c r="P245" s="245"/>
      <c r="Q245" s="247"/>
      <c r="R245" s="254"/>
      <c r="S245" s="245"/>
      <c r="T245" s="245"/>
      <c r="U245" s="245"/>
      <c r="V245" s="245"/>
      <c r="W245" s="245"/>
      <c r="X245" s="245"/>
      <c r="Y245" s="249"/>
      <c r="Z245" s="276"/>
      <c r="AA245" s="245"/>
      <c r="AB245" s="276"/>
      <c r="AC245" s="276"/>
      <c r="AD245" s="246"/>
      <c r="AE245" s="278"/>
      <c r="AF245" s="370"/>
      <c r="AG245" s="371"/>
      <c r="AH245" s="276"/>
      <c r="AI245" s="245"/>
      <c r="AJ245" s="287"/>
      <c r="AK245" s="278"/>
      <c r="AL245" s="246"/>
      <c r="AM245" s="245"/>
      <c r="AN245" s="245"/>
      <c r="AO245" s="274"/>
      <c r="AP245" s="245"/>
      <c r="AQ245" s="245"/>
      <c r="AR245" s="246"/>
      <c r="AS245" s="245"/>
      <c r="AT245" s="245"/>
      <c r="AU245" s="245"/>
      <c r="AV245" s="245"/>
      <c r="AW245" s="287"/>
      <c r="AX245" s="246"/>
      <c r="AY245" s="245"/>
      <c r="AZ245" s="245"/>
      <c r="BA245" s="246"/>
      <c r="BB245" s="245"/>
      <c r="BC245" s="245"/>
      <c r="BD245" s="245"/>
      <c r="BE245" s="245"/>
      <c r="BF245" s="245"/>
      <c r="BG245" s="245"/>
      <c r="BH245" s="245"/>
      <c r="BI245" s="245"/>
      <c r="BJ245" s="245"/>
      <c r="BK245" s="245"/>
      <c r="BL245" s="245"/>
      <c r="BM245" s="245"/>
      <c r="BN245" s="245"/>
      <c r="BO245" s="245"/>
      <c r="BP245" s="245"/>
      <c r="BQ245" s="245"/>
      <c r="BR245" s="245"/>
      <c r="BS245" s="245"/>
      <c r="BT245" s="246"/>
      <c r="BU245" s="245"/>
      <c r="BV245" s="245"/>
      <c r="BW245" s="245"/>
      <c r="BX245" s="245"/>
      <c r="BY245" s="245"/>
      <c r="BZ245" s="282"/>
      <c r="CA245" s="245"/>
      <c r="CB245" s="245"/>
      <c r="CC245" s="245"/>
      <c r="CD245" s="245"/>
      <c r="CE245" s="245"/>
      <c r="CF245" s="245"/>
    </row>
    <row r="246">
      <c r="A246" s="245"/>
      <c r="B246" s="245"/>
      <c r="C246" s="245"/>
      <c r="D246" s="246"/>
      <c r="E246" s="245"/>
      <c r="F246" s="245"/>
      <c r="G246" s="245"/>
      <c r="H246" s="245"/>
      <c r="I246" s="245"/>
      <c r="J246" s="245"/>
      <c r="K246" s="265"/>
      <c r="L246" s="245"/>
      <c r="M246" s="245"/>
      <c r="N246" s="245"/>
      <c r="O246" s="245"/>
      <c r="P246" s="245"/>
      <c r="Q246" s="247"/>
      <c r="R246" s="254"/>
      <c r="S246" s="245"/>
      <c r="T246" s="245"/>
      <c r="U246" s="245"/>
      <c r="V246" s="245"/>
      <c r="W246" s="245"/>
      <c r="X246" s="245"/>
      <c r="Y246" s="249"/>
      <c r="Z246" s="276"/>
      <c r="AA246" s="245"/>
      <c r="AB246" s="276"/>
      <c r="AC246" s="276"/>
      <c r="AD246" s="246"/>
      <c r="AE246" s="278"/>
      <c r="AF246" s="370"/>
      <c r="AG246" s="371"/>
      <c r="AH246" s="276"/>
      <c r="AI246" s="245"/>
      <c r="AJ246" s="287"/>
      <c r="AK246" s="278"/>
      <c r="AL246" s="246"/>
      <c r="AM246" s="245"/>
      <c r="AN246" s="245"/>
      <c r="AO246" s="274"/>
      <c r="AP246" s="245"/>
      <c r="AQ246" s="245"/>
      <c r="AR246" s="246"/>
      <c r="AS246" s="245"/>
      <c r="AT246" s="245"/>
      <c r="AU246" s="245"/>
      <c r="AV246" s="245"/>
      <c r="AW246" s="287"/>
      <c r="AX246" s="246"/>
      <c r="AY246" s="245"/>
      <c r="AZ246" s="245"/>
      <c r="BA246" s="246"/>
      <c r="BB246" s="245"/>
      <c r="BC246" s="245"/>
      <c r="BD246" s="245"/>
      <c r="BE246" s="245"/>
      <c r="BF246" s="245"/>
      <c r="BG246" s="245"/>
      <c r="BH246" s="245"/>
      <c r="BI246" s="245"/>
      <c r="BJ246" s="245"/>
      <c r="BK246" s="245"/>
      <c r="BL246" s="245"/>
      <c r="BM246" s="245"/>
      <c r="BN246" s="245"/>
      <c r="BO246" s="245"/>
      <c r="BP246" s="245"/>
      <c r="BQ246" s="245"/>
      <c r="BR246" s="245"/>
      <c r="BS246" s="245"/>
      <c r="BT246" s="246"/>
      <c r="BU246" s="245"/>
      <c r="BV246" s="245"/>
      <c r="BW246" s="245"/>
      <c r="BX246" s="245"/>
      <c r="BY246" s="245"/>
      <c r="BZ246" s="282"/>
      <c r="CA246" s="245"/>
      <c r="CB246" s="245"/>
      <c r="CC246" s="245"/>
      <c r="CD246" s="245"/>
      <c r="CE246" s="245"/>
      <c r="CF246" s="245"/>
    </row>
    <row r="247">
      <c r="A247" s="245"/>
      <c r="B247" s="245"/>
      <c r="C247" s="245"/>
      <c r="D247" s="246"/>
      <c r="E247" s="245"/>
      <c r="F247" s="245"/>
      <c r="G247" s="245"/>
      <c r="H247" s="245"/>
      <c r="I247" s="245"/>
      <c r="J247" s="245"/>
      <c r="K247" s="265"/>
      <c r="L247" s="245"/>
      <c r="M247" s="245"/>
      <c r="N247" s="245"/>
      <c r="O247" s="245"/>
      <c r="P247" s="245"/>
      <c r="Q247" s="247"/>
      <c r="R247" s="254"/>
      <c r="S247" s="245"/>
      <c r="T247" s="245"/>
      <c r="U247" s="245"/>
      <c r="V247" s="245"/>
      <c r="W247" s="245"/>
      <c r="X247" s="245"/>
      <c r="Y247" s="249"/>
      <c r="Z247" s="276"/>
      <c r="AA247" s="245"/>
      <c r="AB247" s="276"/>
      <c r="AC247" s="276"/>
      <c r="AD247" s="246"/>
      <c r="AE247" s="278"/>
      <c r="AF247" s="370"/>
      <c r="AG247" s="371"/>
      <c r="AH247" s="276"/>
      <c r="AI247" s="245"/>
      <c r="AJ247" s="287"/>
      <c r="AK247" s="278"/>
      <c r="AL247" s="246"/>
      <c r="AM247" s="245"/>
      <c r="AN247" s="245"/>
      <c r="AO247" s="274"/>
      <c r="AP247" s="245"/>
      <c r="AQ247" s="245"/>
      <c r="AR247" s="246"/>
      <c r="AS247" s="245"/>
      <c r="AT247" s="245"/>
      <c r="AU247" s="245"/>
      <c r="AV247" s="245"/>
      <c r="AW247" s="287"/>
      <c r="AX247" s="246"/>
      <c r="AY247" s="245"/>
      <c r="AZ247" s="245"/>
      <c r="BA247" s="246"/>
      <c r="BB247" s="245"/>
      <c r="BC247" s="245"/>
      <c r="BD247" s="245"/>
      <c r="BE247" s="245"/>
      <c r="BF247" s="245"/>
      <c r="BG247" s="245"/>
      <c r="BH247" s="245"/>
      <c r="BI247" s="245"/>
      <c r="BJ247" s="245"/>
      <c r="BK247" s="245"/>
      <c r="BL247" s="245"/>
      <c r="BM247" s="245"/>
      <c r="BN247" s="245"/>
      <c r="BO247" s="245"/>
      <c r="BP247" s="245"/>
      <c r="BQ247" s="245"/>
      <c r="BR247" s="245"/>
      <c r="BS247" s="245"/>
      <c r="BT247" s="246"/>
      <c r="BU247" s="245"/>
      <c r="BV247" s="245"/>
      <c r="BW247" s="245"/>
      <c r="BX247" s="245"/>
      <c r="BY247" s="245"/>
      <c r="BZ247" s="282"/>
      <c r="CA247" s="245"/>
      <c r="CB247" s="245"/>
      <c r="CC247" s="245"/>
      <c r="CD247" s="245"/>
      <c r="CE247" s="245"/>
      <c r="CF247" s="245"/>
    </row>
    <row r="248">
      <c r="A248" s="245"/>
      <c r="B248" s="245"/>
      <c r="C248" s="245"/>
      <c r="D248" s="246"/>
      <c r="E248" s="245"/>
      <c r="F248" s="245"/>
      <c r="G248" s="245"/>
      <c r="H248" s="245"/>
      <c r="I248" s="245"/>
      <c r="J248" s="245"/>
      <c r="K248" s="265"/>
      <c r="L248" s="245"/>
      <c r="M248" s="245"/>
      <c r="N248" s="245"/>
      <c r="O248" s="245"/>
      <c r="P248" s="245"/>
      <c r="Q248" s="247"/>
      <c r="R248" s="254"/>
      <c r="S248" s="245"/>
      <c r="T248" s="245"/>
      <c r="U248" s="245"/>
      <c r="V248" s="245"/>
      <c r="W248" s="245"/>
      <c r="X248" s="245"/>
      <c r="Y248" s="249"/>
      <c r="Z248" s="276"/>
      <c r="AA248" s="245"/>
      <c r="AB248" s="276"/>
      <c r="AC248" s="276"/>
      <c r="AD248" s="246"/>
      <c r="AE248" s="278"/>
      <c r="AF248" s="370"/>
      <c r="AG248" s="371"/>
      <c r="AH248" s="276"/>
      <c r="AI248" s="245"/>
      <c r="AJ248" s="287"/>
      <c r="AK248" s="278"/>
      <c r="AL248" s="246"/>
      <c r="AM248" s="245"/>
      <c r="AN248" s="245"/>
      <c r="AO248" s="274"/>
      <c r="AP248" s="245"/>
      <c r="AQ248" s="245"/>
      <c r="AR248" s="246"/>
      <c r="AS248" s="245"/>
      <c r="AT248" s="245"/>
      <c r="AU248" s="245"/>
      <c r="AV248" s="245"/>
      <c r="AW248" s="287"/>
      <c r="AX248" s="246"/>
      <c r="AY248" s="245"/>
      <c r="AZ248" s="245"/>
      <c r="BA248" s="246"/>
      <c r="BB248" s="245"/>
      <c r="BC248" s="245"/>
      <c r="BD248" s="245"/>
      <c r="BE248" s="245"/>
      <c r="BF248" s="245"/>
      <c r="BG248" s="245"/>
      <c r="BH248" s="245"/>
      <c r="BI248" s="245"/>
      <c r="BJ248" s="245"/>
      <c r="BK248" s="245"/>
      <c r="BL248" s="245"/>
      <c r="BM248" s="245"/>
      <c r="BN248" s="245"/>
      <c r="BO248" s="245"/>
      <c r="BP248" s="245"/>
      <c r="BQ248" s="245"/>
      <c r="BR248" s="245"/>
      <c r="BS248" s="245"/>
      <c r="BT248" s="246"/>
      <c r="BU248" s="245"/>
      <c r="BV248" s="245"/>
      <c r="BW248" s="245"/>
      <c r="BX248" s="245"/>
      <c r="BY248" s="245"/>
      <c r="BZ248" s="282"/>
      <c r="CA248" s="245"/>
      <c r="CB248" s="245"/>
      <c r="CC248" s="245"/>
      <c r="CD248" s="245"/>
      <c r="CE248" s="245"/>
      <c r="CF248" s="245"/>
    </row>
    <row r="249">
      <c r="A249" s="245"/>
      <c r="B249" s="245"/>
      <c r="C249" s="245"/>
      <c r="D249" s="246"/>
      <c r="E249" s="245"/>
      <c r="F249" s="245"/>
      <c r="G249" s="245"/>
      <c r="H249" s="245"/>
      <c r="I249" s="245"/>
      <c r="J249" s="245"/>
      <c r="K249" s="265"/>
      <c r="L249" s="245"/>
      <c r="M249" s="245"/>
      <c r="N249" s="245"/>
      <c r="O249" s="245"/>
      <c r="P249" s="245"/>
      <c r="Q249" s="247"/>
      <c r="R249" s="254"/>
      <c r="S249" s="245"/>
      <c r="T249" s="245"/>
      <c r="U249" s="245"/>
      <c r="V249" s="245"/>
      <c r="W249" s="245"/>
      <c r="X249" s="245"/>
      <c r="Y249" s="249"/>
      <c r="Z249" s="276"/>
      <c r="AA249" s="245"/>
      <c r="AB249" s="276"/>
      <c r="AC249" s="276"/>
      <c r="AD249" s="246"/>
      <c r="AE249" s="278"/>
      <c r="AF249" s="370"/>
      <c r="AG249" s="371"/>
      <c r="AH249" s="276"/>
      <c r="AI249" s="245"/>
      <c r="AJ249" s="287"/>
      <c r="AK249" s="278"/>
      <c r="AL249" s="246"/>
      <c r="AM249" s="245"/>
      <c r="AN249" s="245"/>
      <c r="AO249" s="274"/>
      <c r="AP249" s="245"/>
      <c r="AQ249" s="245"/>
      <c r="AR249" s="246"/>
      <c r="AS249" s="245"/>
      <c r="AT249" s="245"/>
      <c r="AU249" s="245"/>
      <c r="AV249" s="245"/>
      <c r="AW249" s="287"/>
      <c r="AX249" s="246"/>
      <c r="AY249" s="245"/>
      <c r="AZ249" s="245"/>
      <c r="BA249" s="246"/>
      <c r="BB249" s="245"/>
      <c r="BC249" s="245"/>
      <c r="BD249" s="245"/>
      <c r="BE249" s="245"/>
      <c r="BF249" s="245"/>
      <c r="BG249" s="245"/>
      <c r="BH249" s="245"/>
      <c r="BI249" s="245"/>
      <c r="BJ249" s="245"/>
      <c r="BK249" s="245"/>
      <c r="BL249" s="245"/>
      <c r="BM249" s="245"/>
      <c r="BN249" s="245"/>
      <c r="BO249" s="245"/>
      <c r="BP249" s="245"/>
      <c r="BQ249" s="245"/>
      <c r="BR249" s="245"/>
      <c r="BS249" s="245"/>
      <c r="BT249" s="246"/>
      <c r="BU249" s="245"/>
      <c r="BV249" s="245"/>
      <c r="BW249" s="245"/>
      <c r="BX249" s="245"/>
      <c r="BY249" s="245"/>
      <c r="BZ249" s="282"/>
      <c r="CA249" s="245"/>
      <c r="CB249" s="245"/>
      <c r="CC249" s="245"/>
      <c r="CD249" s="245"/>
      <c r="CE249" s="245"/>
      <c r="CF249" s="245"/>
    </row>
    <row r="250">
      <c r="A250" s="245"/>
      <c r="B250" s="245"/>
      <c r="C250" s="245"/>
      <c r="D250" s="246"/>
      <c r="E250" s="245"/>
      <c r="F250" s="245"/>
      <c r="G250" s="245"/>
      <c r="H250" s="245"/>
      <c r="I250" s="245"/>
      <c r="J250" s="245"/>
      <c r="K250" s="265"/>
      <c r="L250" s="245"/>
      <c r="M250" s="245"/>
      <c r="N250" s="245"/>
      <c r="O250" s="245"/>
      <c r="P250" s="245"/>
      <c r="Q250" s="247"/>
      <c r="R250" s="254"/>
      <c r="S250" s="245"/>
      <c r="T250" s="245"/>
      <c r="U250" s="245"/>
      <c r="V250" s="245"/>
      <c r="W250" s="245"/>
      <c r="X250" s="245"/>
      <c r="Y250" s="249"/>
      <c r="Z250" s="276"/>
      <c r="AA250" s="245"/>
      <c r="AB250" s="276"/>
      <c r="AC250" s="276"/>
      <c r="AD250" s="246"/>
      <c r="AE250" s="278"/>
      <c r="AF250" s="370"/>
      <c r="AG250" s="371"/>
      <c r="AH250" s="276"/>
      <c r="AI250" s="245"/>
      <c r="AJ250" s="287"/>
      <c r="AK250" s="278"/>
      <c r="AL250" s="246"/>
      <c r="AM250" s="245"/>
      <c r="AN250" s="245"/>
      <c r="AO250" s="274"/>
      <c r="AP250" s="245"/>
      <c r="AQ250" s="245"/>
      <c r="AR250" s="246"/>
      <c r="AS250" s="245"/>
      <c r="AT250" s="245"/>
      <c r="AU250" s="245"/>
      <c r="AV250" s="245"/>
      <c r="AW250" s="276"/>
      <c r="AX250" s="246"/>
      <c r="AY250" s="245"/>
      <c r="AZ250" s="245"/>
      <c r="BA250" s="246"/>
      <c r="BB250" s="245"/>
      <c r="BC250" s="245"/>
      <c r="BD250" s="245"/>
      <c r="BE250" s="245"/>
      <c r="BF250" s="245"/>
      <c r="BG250" s="245"/>
      <c r="BH250" s="245"/>
      <c r="BI250" s="245"/>
      <c r="BJ250" s="245"/>
      <c r="BK250" s="245"/>
      <c r="BL250" s="245"/>
      <c r="BM250" s="245"/>
      <c r="BN250" s="245"/>
      <c r="BO250" s="245"/>
      <c r="BP250" s="245"/>
      <c r="BQ250" s="245"/>
      <c r="BR250" s="245"/>
      <c r="BS250" s="245"/>
      <c r="BT250" s="246"/>
      <c r="BU250" s="245"/>
      <c r="BV250" s="245"/>
      <c r="BW250" s="245"/>
      <c r="BX250" s="245"/>
      <c r="BY250" s="245"/>
      <c r="BZ250" s="282"/>
      <c r="CA250" s="245"/>
      <c r="CB250" s="245"/>
      <c r="CC250" s="245"/>
      <c r="CD250" s="245"/>
      <c r="CE250" s="245"/>
      <c r="CF250" s="245"/>
    </row>
    <row r="251">
      <c r="A251" s="245"/>
      <c r="B251" s="245"/>
      <c r="C251" s="245"/>
      <c r="D251" s="246"/>
      <c r="E251" s="245"/>
      <c r="F251" s="245"/>
      <c r="G251" s="245"/>
      <c r="H251" s="245"/>
      <c r="I251" s="245"/>
      <c r="J251" s="245"/>
      <c r="K251" s="265"/>
      <c r="L251" s="245"/>
      <c r="M251" s="245"/>
      <c r="N251" s="245"/>
      <c r="O251" s="245"/>
      <c r="P251" s="245"/>
      <c r="Q251" s="247"/>
      <c r="R251" s="254"/>
      <c r="S251" s="245"/>
      <c r="T251" s="245"/>
      <c r="U251" s="245"/>
      <c r="V251" s="245"/>
      <c r="W251" s="245"/>
      <c r="X251" s="245"/>
      <c r="Y251" s="249"/>
      <c r="Z251" s="276"/>
      <c r="AA251" s="245"/>
      <c r="AB251" s="276"/>
      <c r="AC251" s="276"/>
      <c r="AD251" s="246"/>
      <c r="AE251" s="278"/>
      <c r="AF251" s="370"/>
      <c r="AG251" s="371"/>
      <c r="AH251" s="276"/>
      <c r="AI251" s="245"/>
      <c r="AJ251" s="287"/>
      <c r="AK251" s="278"/>
      <c r="AL251" s="246"/>
      <c r="AM251" s="245"/>
      <c r="AN251" s="245"/>
      <c r="AO251" s="274"/>
      <c r="AP251" s="245"/>
      <c r="AQ251" s="245"/>
      <c r="AR251" s="246"/>
      <c r="AS251" s="245"/>
      <c r="AT251" s="245"/>
      <c r="AU251" s="245"/>
      <c r="AV251" s="245"/>
      <c r="AW251" s="276"/>
      <c r="AX251" s="246"/>
      <c r="AY251" s="245"/>
      <c r="AZ251" s="245"/>
      <c r="BA251" s="246"/>
      <c r="BB251" s="245"/>
      <c r="BC251" s="245"/>
      <c r="BD251" s="245"/>
      <c r="BE251" s="245"/>
      <c r="BF251" s="245"/>
      <c r="BG251" s="245"/>
      <c r="BH251" s="245"/>
      <c r="BI251" s="245"/>
      <c r="BJ251" s="245"/>
      <c r="BK251" s="245"/>
      <c r="BL251" s="245"/>
      <c r="BM251" s="245"/>
      <c r="BN251" s="245"/>
      <c r="BO251" s="245"/>
      <c r="BP251" s="245"/>
      <c r="BQ251" s="245"/>
      <c r="BR251" s="245"/>
      <c r="BS251" s="245"/>
      <c r="BT251" s="246"/>
      <c r="BU251" s="245"/>
      <c r="BV251" s="245"/>
      <c r="BW251" s="245"/>
      <c r="BX251" s="245"/>
      <c r="BY251" s="245"/>
      <c r="BZ251" s="282"/>
      <c r="CA251" s="245"/>
      <c r="CB251" s="245"/>
      <c r="CC251" s="245"/>
      <c r="CD251" s="245"/>
      <c r="CE251" s="245"/>
      <c r="CF251" s="245"/>
    </row>
    <row r="252">
      <c r="A252" s="245"/>
      <c r="B252" s="245"/>
      <c r="C252" s="245"/>
      <c r="D252" s="246"/>
      <c r="E252" s="245"/>
      <c r="F252" s="245"/>
      <c r="G252" s="245"/>
      <c r="H252" s="245"/>
      <c r="I252" s="245"/>
      <c r="J252" s="245"/>
      <c r="K252" s="265"/>
      <c r="L252" s="245"/>
      <c r="M252" s="245"/>
      <c r="N252" s="245"/>
      <c r="O252" s="245"/>
      <c r="P252" s="245"/>
      <c r="Q252" s="247"/>
      <c r="R252" s="254"/>
      <c r="S252" s="245"/>
      <c r="T252" s="245"/>
      <c r="U252" s="245"/>
      <c r="V252" s="245"/>
      <c r="W252" s="245"/>
      <c r="X252" s="245"/>
      <c r="Y252" s="249"/>
      <c r="Z252" s="276"/>
      <c r="AA252" s="245"/>
      <c r="AB252" s="276"/>
      <c r="AC252" s="276"/>
      <c r="AD252" s="246"/>
      <c r="AE252" s="278"/>
      <c r="AF252" s="370"/>
      <c r="AG252" s="371"/>
      <c r="AH252" s="276"/>
      <c r="AI252" s="245"/>
      <c r="AJ252" s="287"/>
      <c r="AK252" s="278"/>
      <c r="AL252" s="246"/>
      <c r="AM252" s="245"/>
      <c r="AN252" s="245"/>
      <c r="AO252" s="274"/>
      <c r="AP252" s="245"/>
      <c r="AQ252" s="245"/>
      <c r="AR252" s="246"/>
      <c r="AS252" s="245"/>
      <c r="AT252" s="245"/>
      <c r="AU252" s="245"/>
      <c r="AV252" s="245"/>
      <c r="AW252" s="245"/>
      <c r="AX252" s="246"/>
      <c r="AY252" s="245"/>
      <c r="AZ252" s="245"/>
      <c r="BA252" s="246"/>
      <c r="BB252" s="245"/>
      <c r="BC252" s="245"/>
      <c r="BD252" s="245"/>
      <c r="BE252" s="245"/>
      <c r="BF252" s="245"/>
      <c r="BG252" s="245"/>
      <c r="BH252" s="245"/>
      <c r="BI252" s="245"/>
      <c r="BJ252" s="245"/>
      <c r="BK252" s="245"/>
      <c r="BL252" s="245"/>
      <c r="BM252" s="245"/>
      <c r="BN252" s="245"/>
      <c r="BO252" s="245"/>
      <c r="BP252" s="245"/>
      <c r="BQ252" s="245"/>
      <c r="BR252" s="245"/>
      <c r="BS252" s="245"/>
      <c r="BT252" s="246"/>
      <c r="BU252" s="245"/>
      <c r="BV252" s="245"/>
      <c r="BW252" s="245"/>
      <c r="BX252" s="245"/>
      <c r="BY252" s="245"/>
      <c r="BZ252" s="282"/>
      <c r="CA252" s="245"/>
      <c r="CB252" s="245"/>
      <c r="CC252" s="245"/>
      <c r="CD252" s="245"/>
      <c r="CE252" s="245"/>
      <c r="CF252" s="245"/>
    </row>
    <row r="253">
      <c r="A253" s="245"/>
      <c r="B253" s="245"/>
      <c r="C253" s="245"/>
      <c r="D253" s="246"/>
      <c r="E253" s="245"/>
      <c r="F253" s="245"/>
      <c r="G253" s="245"/>
      <c r="H253" s="245"/>
      <c r="I253" s="245"/>
      <c r="J253" s="245"/>
      <c r="K253" s="265"/>
      <c r="L253" s="245"/>
      <c r="M253" s="245"/>
      <c r="N253" s="245"/>
      <c r="O253" s="245"/>
      <c r="P253" s="245"/>
      <c r="Q253" s="247"/>
      <c r="R253" s="254"/>
      <c r="S253" s="245"/>
      <c r="T253" s="245"/>
      <c r="U253" s="245"/>
      <c r="V253" s="245"/>
      <c r="W253" s="245"/>
      <c r="X253" s="245"/>
      <c r="Y253" s="249"/>
      <c r="Z253" s="276"/>
      <c r="AA253" s="245"/>
      <c r="AB253" s="276"/>
      <c r="AC253" s="276"/>
      <c r="AD253" s="246"/>
      <c r="AE253" s="278"/>
      <c r="AF253" s="370"/>
      <c r="AG253" s="371"/>
      <c r="AH253" s="276"/>
      <c r="AI253" s="245"/>
      <c r="AJ253" s="287"/>
      <c r="AK253" s="278"/>
      <c r="AL253" s="246"/>
      <c r="AM253" s="245"/>
      <c r="AN253" s="245"/>
      <c r="AO253" s="274"/>
      <c r="AP253" s="245"/>
      <c r="AQ253" s="245"/>
      <c r="AR253" s="246"/>
      <c r="AS253" s="245"/>
      <c r="AT253" s="245"/>
      <c r="AU253" s="245"/>
      <c r="AV253" s="245"/>
      <c r="AW253" s="245"/>
      <c r="AX253" s="246"/>
      <c r="AY253" s="245"/>
      <c r="AZ253" s="245"/>
      <c r="BA253" s="246"/>
      <c r="BB253" s="245"/>
      <c r="BC253" s="245"/>
      <c r="BD253" s="245"/>
      <c r="BE253" s="245"/>
      <c r="BF253" s="245"/>
      <c r="BG253" s="245"/>
      <c r="BH253" s="245"/>
      <c r="BI253" s="245"/>
      <c r="BJ253" s="245"/>
      <c r="BK253" s="245"/>
      <c r="BL253" s="245"/>
      <c r="BM253" s="245"/>
      <c r="BN253" s="245"/>
      <c r="BO253" s="245"/>
      <c r="BP253" s="245"/>
      <c r="BQ253" s="245"/>
      <c r="BR253" s="245"/>
      <c r="BS253" s="245"/>
      <c r="BT253" s="246"/>
      <c r="BU253" s="245"/>
      <c r="BV253" s="245"/>
      <c r="BW253" s="245"/>
      <c r="BX253" s="245"/>
      <c r="BY253" s="245"/>
      <c r="BZ253" s="282"/>
      <c r="CA253" s="245"/>
      <c r="CB253" s="245"/>
      <c r="CC253" s="245"/>
      <c r="CD253" s="245"/>
      <c r="CE253" s="245"/>
      <c r="CF253" s="245"/>
    </row>
    <row r="254">
      <c r="A254" s="245"/>
      <c r="B254" s="245"/>
      <c r="C254" s="245"/>
      <c r="D254" s="246"/>
      <c r="E254" s="245"/>
      <c r="F254" s="245"/>
      <c r="G254" s="245"/>
      <c r="H254" s="245"/>
      <c r="I254" s="245"/>
      <c r="J254" s="245"/>
      <c r="K254" s="265"/>
      <c r="L254" s="245"/>
      <c r="M254" s="245"/>
      <c r="N254" s="245"/>
      <c r="O254" s="245"/>
      <c r="P254" s="245"/>
      <c r="Q254" s="247"/>
      <c r="R254" s="254"/>
      <c r="S254" s="245"/>
      <c r="T254" s="245"/>
      <c r="U254" s="245"/>
      <c r="V254" s="245"/>
      <c r="W254" s="245"/>
      <c r="X254" s="245"/>
      <c r="Y254" s="249"/>
      <c r="Z254" s="276"/>
      <c r="AA254" s="245"/>
      <c r="AB254" s="276"/>
      <c r="AC254" s="276"/>
      <c r="AD254" s="246"/>
      <c r="AE254" s="278"/>
      <c r="AF254" s="370"/>
      <c r="AG254" s="371"/>
      <c r="AH254" s="276"/>
      <c r="AI254" s="245"/>
      <c r="AJ254" s="287"/>
      <c r="AK254" s="278"/>
      <c r="AL254" s="246"/>
      <c r="AM254" s="245"/>
      <c r="AN254" s="245"/>
      <c r="AO254" s="274"/>
      <c r="AP254" s="245"/>
      <c r="AQ254" s="245"/>
      <c r="AR254" s="246"/>
      <c r="AS254" s="245"/>
      <c r="AT254" s="245"/>
      <c r="AU254" s="245"/>
      <c r="AV254" s="245"/>
      <c r="AW254" s="245"/>
      <c r="AX254" s="246"/>
      <c r="AY254" s="245"/>
      <c r="AZ254" s="245"/>
      <c r="BA254" s="246"/>
      <c r="BB254" s="245"/>
      <c r="BC254" s="245"/>
      <c r="BD254" s="245"/>
      <c r="BE254" s="245"/>
      <c r="BF254" s="245"/>
      <c r="BG254" s="245"/>
      <c r="BH254" s="245"/>
      <c r="BI254" s="245"/>
      <c r="BJ254" s="245"/>
      <c r="BK254" s="245"/>
      <c r="BL254" s="245"/>
      <c r="BM254" s="245"/>
      <c r="BN254" s="245"/>
      <c r="BO254" s="245"/>
      <c r="BP254" s="245"/>
      <c r="BQ254" s="245"/>
      <c r="BR254" s="245"/>
      <c r="BS254" s="245"/>
      <c r="BT254" s="246"/>
      <c r="BU254" s="245"/>
      <c r="BV254" s="245"/>
      <c r="BW254" s="245"/>
      <c r="BX254" s="245"/>
      <c r="BY254" s="245"/>
      <c r="BZ254" s="282"/>
      <c r="CA254" s="245"/>
      <c r="CB254" s="245"/>
      <c r="CC254" s="245"/>
      <c r="CD254" s="245"/>
      <c r="CE254" s="245"/>
      <c r="CF254" s="245"/>
    </row>
    <row r="255">
      <c r="A255" s="245"/>
      <c r="B255" s="245"/>
      <c r="C255" s="245"/>
      <c r="D255" s="246"/>
      <c r="E255" s="245"/>
      <c r="F255" s="245"/>
      <c r="G255" s="245"/>
      <c r="H255" s="245"/>
      <c r="I255" s="245"/>
      <c r="J255" s="245"/>
      <c r="K255" s="265"/>
      <c r="L255" s="245"/>
      <c r="M255" s="245"/>
      <c r="N255" s="245"/>
      <c r="O255" s="245"/>
      <c r="P255" s="245"/>
      <c r="Q255" s="247"/>
      <c r="R255" s="254"/>
      <c r="S255" s="245"/>
      <c r="T255" s="245"/>
      <c r="U255" s="245"/>
      <c r="V255" s="245"/>
      <c r="W255" s="245"/>
      <c r="X255" s="245"/>
      <c r="Y255" s="249"/>
      <c r="Z255" s="276"/>
      <c r="AA255" s="245"/>
      <c r="AB255" s="276"/>
      <c r="AC255" s="276"/>
      <c r="AD255" s="246"/>
      <c r="AE255" s="278"/>
      <c r="AF255" s="370"/>
      <c r="AG255" s="371"/>
      <c r="AH255" s="276"/>
      <c r="AI255" s="245"/>
      <c r="AJ255" s="287"/>
      <c r="AK255" s="278"/>
      <c r="AL255" s="246"/>
      <c r="AM255" s="245"/>
      <c r="AN255" s="245"/>
      <c r="AO255" s="274"/>
      <c r="AP255" s="245"/>
      <c r="AQ255" s="245"/>
      <c r="AR255" s="246"/>
      <c r="AS255" s="245"/>
      <c r="AT255" s="245"/>
      <c r="AU255" s="245"/>
      <c r="AV255" s="245"/>
      <c r="AW255" s="245"/>
      <c r="AX255" s="246"/>
      <c r="AY255" s="245"/>
      <c r="AZ255" s="245"/>
      <c r="BA255" s="246"/>
      <c r="BB255" s="245"/>
      <c r="BC255" s="245"/>
      <c r="BD255" s="245"/>
      <c r="BE255" s="245"/>
      <c r="BF255" s="245"/>
      <c r="BG255" s="245"/>
      <c r="BH255" s="245"/>
      <c r="BI255" s="245"/>
      <c r="BJ255" s="245"/>
      <c r="BK255" s="245"/>
      <c r="BL255" s="245"/>
      <c r="BM255" s="245"/>
      <c r="BN255" s="245"/>
      <c r="BO255" s="245"/>
      <c r="BP255" s="245"/>
      <c r="BQ255" s="245"/>
      <c r="BR255" s="245"/>
      <c r="BS255" s="245"/>
      <c r="BT255" s="246"/>
      <c r="BU255" s="245"/>
      <c r="BV255" s="245"/>
      <c r="BW255" s="245"/>
      <c r="BX255" s="245"/>
      <c r="BY255" s="245"/>
      <c r="BZ255" s="282"/>
      <c r="CA255" s="245"/>
      <c r="CB255" s="245"/>
      <c r="CC255" s="245"/>
      <c r="CD255" s="245"/>
      <c r="CE255" s="245"/>
      <c r="CF255" s="245"/>
    </row>
    <row r="256">
      <c r="A256" s="245"/>
      <c r="B256" s="245"/>
      <c r="C256" s="245"/>
      <c r="D256" s="246"/>
      <c r="E256" s="245"/>
      <c r="F256" s="245"/>
      <c r="G256" s="245"/>
      <c r="H256" s="245"/>
      <c r="I256" s="245"/>
      <c r="J256" s="245"/>
      <c r="K256" s="265"/>
      <c r="L256" s="245"/>
      <c r="M256" s="245"/>
      <c r="N256" s="245"/>
      <c r="O256" s="245"/>
      <c r="P256" s="245"/>
      <c r="Q256" s="247"/>
      <c r="R256" s="254"/>
      <c r="S256" s="245"/>
      <c r="T256" s="245"/>
      <c r="U256" s="245"/>
      <c r="V256" s="245"/>
      <c r="W256" s="245"/>
      <c r="X256" s="245"/>
      <c r="Y256" s="249"/>
      <c r="Z256" s="276"/>
      <c r="AA256" s="245"/>
      <c r="AB256" s="276"/>
      <c r="AC256" s="276"/>
      <c r="AD256" s="246"/>
      <c r="AE256" s="278"/>
      <c r="AF256" s="370"/>
      <c r="AG256" s="371"/>
      <c r="AH256" s="276"/>
      <c r="AI256" s="245"/>
      <c r="AJ256" s="287"/>
      <c r="AK256" s="278"/>
      <c r="AL256" s="246"/>
      <c r="AM256" s="245"/>
      <c r="AN256" s="245"/>
      <c r="AO256" s="274"/>
      <c r="AP256" s="245"/>
      <c r="AQ256" s="245"/>
      <c r="AR256" s="246"/>
      <c r="AS256" s="245"/>
      <c r="AT256" s="245"/>
      <c r="AU256" s="245"/>
      <c r="AV256" s="245"/>
      <c r="AW256" s="245"/>
      <c r="AX256" s="246"/>
      <c r="AY256" s="245"/>
      <c r="AZ256" s="245"/>
      <c r="BA256" s="246"/>
      <c r="BB256" s="245"/>
      <c r="BC256" s="245"/>
      <c r="BD256" s="245"/>
      <c r="BE256" s="245"/>
      <c r="BF256" s="245"/>
      <c r="BG256" s="245"/>
      <c r="BH256" s="245"/>
      <c r="BI256" s="245"/>
      <c r="BJ256" s="245"/>
      <c r="BK256" s="245"/>
      <c r="BL256" s="245"/>
      <c r="BM256" s="245"/>
      <c r="BN256" s="245"/>
      <c r="BO256" s="245"/>
      <c r="BP256" s="245"/>
      <c r="BQ256" s="245"/>
      <c r="BR256" s="245"/>
      <c r="BS256" s="245"/>
      <c r="BT256" s="246"/>
      <c r="BU256" s="245"/>
      <c r="BV256" s="245"/>
      <c r="BW256" s="245"/>
      <c r="BX256" s="245"/>
      <c r="BY256" s="245"/>
      <c r="BZ256" s="282"/>
      <c r="CA256" s="245"/>
      <c r="CB256" s="245"/>
      <c r="CC256" s="245"/>
      <c r="CD256" s="245"/>
      <c r="CE256" s="245"/>
      <c r="CF256" s="245"/>
    </row>
    <row r="257">
      <c r="A257" s="245"/>
      <c r="B257" s="245"/>
      <c r="C257" s="245"/>
      <c r="D257" s="246"/>
      <c r="E257" s="245"/>
      <c r="F257" s="245"/>
      <c r="G257" s="245"/>
      <c r="H257" s="245"/>
      <c r="I257" s="245"/>
      <c r="J257" s="245"/>
      <c r="K257" s="265"/>
      <c r="L257" s="245"/>
      <c r="M257" s="245"/>
      <c r="N257" s="245"/>
      <c r="O257" s="245"/>
      <c r="P257" s="245"/>
      <c r="Q257" s="247"/>
      <c r="R257" s="254"/>
      <c r="S257" s="245"/>
      <c r="T257" s="245"/>
      <c r="U257" s="245"/>
      <c r="V257" s="245"/>
      <c r="W257" s="245"/>
      <c r="X257" s="245"/>
      <c r="Y257" s="249"/>
      <c r="Z257" s="276"/>
      <c r="AA257" s="245"/>
      <c r="AB257" s="276"/>
      <c r="AC257" s="276"/>
      <c r="AD257" s="246"/>
      <c r="AE257" s="278"/>
      <c r="AF257" s="370"/>
      <c r="AG257" s="371"/>
      <c r="AH257" s="276"/>
      <c r="AI257" s="245"/>
      <c r="AJ257" s="287"/>
      <c r="AK257" s="278"/>
      <c r="AL257" s="246"/>
      <c r="AM257" s="245"/>
      <c r="AN257" s="245"/>
      <c r="AO257" s="274"/>
      <c r="AP257" s="245"/>
      <c r="AQ257" s="245"/>
      <c r="AR257" s="246"/>
      <c r="AS257" s="245"/>
      <c r="AT257" s="245"/>
      <c r="AU257" s="245"/>
      <c r="AV257" s="245"/>
      <c r="AW257" s="245"/>
      <c r="AX257" s="246"/>
      <c r="AY257" s="245"/>
      <c r="AZ257" s="245"/>
      <c r="BA257" s="246"/>
      <c r="BB257" s="245"/>
      <c r="BC257" s="245"/>
      <c r="BD257" s="245"/>
      <c r="BE257" s="245"/>
      <c r="BF257" s="245"/>
      <c r="BG257" s="245"/>
      <c r="BH257" s="245"/>
      <c r="BI257" s="245"/>
      <c r="BJ257" s="245"/>
      <c r="BK257" s="245"/>
      <c r="BL257" s="245"/>
      <c r="BM257" s="245"/>
      <c r="BN257" s="245"/>
      <c r="BO257" s="245"/>
      <c r="BP257" s="245"/>
      <c r="BQ257" s="245"/>
      <c r="BR257" s="245"/>
      <c r="BS257" s="245"/>
      <c r="BT257" s="246"/>
      <c r="BU257" s="245"/>
      <c r="BV257" s="245"/>
      <c r="BW257" s="245"/>
      <c r="BX257" s="245"/>
      <c r="BY257" s="245"/>
      <c r="BZ257" s="282"/>
      <c r="CA257" s="245"/>
      <c r="CB257" s="245"/>
      <c r="CC257" s="245"/>
      <c r="CD257" s="245"/>
      <c r="CE257" s="245"/>
      <c r="CF257" s="245"/>
    </row>
    <row r="258">
      <c r="A258" s="245"/>
      <c r="B258" s="245"/>
      <c r="C258" s="245"/>
      <c r="D258" s="246"/>
      <c r="E258" s="245"/>
      <c r="F258" s="245"/>
      <c r="G258" s="245"/>
      <c r="H258" s="245"/>
      <c r="I258" s="245"/>
      <c r="J258" s="245"/>
      <c r="K258" s="265"/>
      <c r="L258" s="245"/>
      <c r="M258" s="245"/>
      <c r="N258" s="245"/>
      <c r="O258" s="245"/>
      <c r="P258" s="245"/>
      <c r="Q258" s="247"/>
      <c r="R258" s="254"/>
      <c r="S258" s="245"/>
      <c r="T258" s="245"/>
      <c r="U258" s="245"/>
      <c r="V258" s="245"/>
      <c r="W258" s="245"/>
      <c r="X258" s="245"/>
      <c r="Y258" s="249"/>
      <c r="Z258" s="276"/>
      <c r="AA258" s="245"/>
      <c r="AB258" s="276"/>
      <c r="AC258" s="276"/>
      <c r="AD258" s="246"/>
      <c r="AE258" s="278"/>
      <c r="AF258" s="370"/>
      <c r="AG258" s="371"/>
      <c r="AH258" s="276"/>
      <c r="AI258" s="245"/>
      <c r="AJ258" s="287"/>
      <c r="AK258" s="278"/>
      <c r="AL258" s="246"/>
      <c r="AM258" s="245"/>
      <c r="AN258" s="245"/>
      <c r="AO258" s="274"/>
      <c r="AP258" s="245"/>
      <c r="AQ258" s="245"/>
      <c r="AR258" s="246"/>
      <c r="AS258" s="245"/>
      <c r="AT258" s="245"/>
      <c r="AU258" s="245"/>
      <c r="AV258" s="245"/>
      <c r="AW258" s="245"/>
      <c r="AX258" s="246"/>
      <c r="AY258" s="245"/>
      <c r="AZ258" s="245"/>
      <c r="BA258" s="246"/>
      <c r="BB258" s="245"/>
      <c r="BC258" s="245"/>
      <c r="BD258" s="245"/>
      <c r="BE258" s="245"/>
      <c r="BF258" s="245"/>
      <c r="BG258" s="245"/>
      <c r="BH258" s="245"/>
      <c r="BI258" s="245"/>
      <c r="BJ258" s="245"/>
      <c r="BK258" s="245"/>
      <c r="BL258" s="245"/>
      <c r="BM258" s="245"/>
      <c r="BN258" s="245"/>
      <c r="BO258" s="245"/>
      <c r="BP258" s="245"/>
      <c r="BQ258" s="245"/>
      <c r="BR258" s="245"/>
      <c r="BS258" s="245"/>
      <c r="BT258" s="246"/>
      <c r="BU258" s="245"/>
      <c r="BV258" s="245"/>
      <c r="BW258" s="245"/>
      <c r="BX258" s="245"/>
      <c r="BY258" s="245"/>
      <c r="BZ258" s="282"/>
      <c r="CA258" s="245"/>
      <c r="CB258" s="245"/>
      <c r="CC258" s="245"/>
      <c r="CD258" s="245"/>
      <c r="CE258" s="245"/>
      <c r="CF258" s="245"/>
    </row>
    <row r="259">
      <c r="A259" s="245"/>
      <c r="B259" s="245"/>
      <c r="C259" s="245"/>
      <c r="D259" s="246"/>
      <c r="E259" s="245"/>
      <c r="F259" s="245"/>
      <c r="G259" s="245"/>
      <c r="H259" s="245"/>
      <c r="I259" s="245"/>
      <c r="J259" s="245"/>
      <c r="K259" s="265"/>
      <c r="L259" s="245"/>
      <c r="M259" s="245"/>
      <c r="N259" s="245"/>
      <c r="O259" s="245"/>
      <c r="P259" s="245"/>
      <c r="Q259" s="247"/>
      <c r="R259" s="254"/>
      <c r="S259" s="245"/>
      <c r="T259" s="245"/>
      <c r="U259" s="245"/>
      <c r="V259" s="245"/>
      <c r="W259" s="245"/>
      <c r="X259" s="245"/>
      <c r="Y259" s="249"/>
      <c r="Z259" s="276"/>
      <c r="AA259" s="245"/>
      <c r="AB259" s="276"/>
      <c r="AC259" s="276"/>
      <c r="AD259" s="246"/>
      <c r="AE259" s="278"/>
      <c r="AF259" s="370"/>
      <c r="AG259" s="371"/>
      <c r="AH259" s="276"/>
      <c r="AI259" s="245"/>
      <c r="AJ259" s="287"/>
      <c r="AK259" s="278"/>
      <c r="AL259" s="246"/>
      <c r="AM259" s="245"/>
      <c r="AN259" s="245"/>
      <c r="AO259" s="274"/>
      <c r="AP259" s="245"/>
      <c r="AQ259" s="245"/>
      <c r="AR259" s="246"/>
      <c r="AS259" s="245"/>
      <c r="AT259" s="245"/>
      <c r="AU259" s="245"/>
      <c r="AV259" s="245"/>
      <c r="AW259" s="245"/>
      <c r="AX259" s="246"/>
      <c r="AY259" s="245"/>
      <c r="AZ259" s="245"/>
      <c r="BA259" s="246"/>
      <c r="BB259" s="245"/>
      <c r="BC259" s="245"/>
      <c r="BD259" s="245"/>
      <c r="BE259" s="245"/>
      <c r="BF259" s="245"/>
      <c r="BG259" s="245"/>
      <c r="BH259" s="245"/>
      <c r="BI259" s="245"/>
      <c r="BJ259" s="245"/>
      <c r="BK259" s="245"/>
      <c r="BL259" s="245"/>
      <c r="BM259" s="245"/>
      <c r="BN259" s="245"/>
      <c r="BO259" s="245"/>
      <c r="BP259" s="245"/>
      <c r="BQ259" s="245"/>
      <c r="BR259" s="245"/>
      <c r="BS259" s="245"/>
      <c r="BT259" s="246"/>
      <c r="BU259" s="245"/>
      <c r="BV259" s="245"/>
      <c r="BW259" s="245"/>
      <c r="BX259" s="245"/>
      <c r="BY259" s="245"/>
      <c r="BZ259" s="282"/>
      <c r="CA259" s="245"/>
      <c r="CB259" s="245"/>
      <c r="CC259" s="245"/>
      <c r="CD259" s="245"/>
      <c r="CE259" s="245"/>
      <c r="CF259" s="245"/>
    </row>
    <row r="260">
      <c r="A260" s="245"/>
      <c r="B260" s="245"/>
      <c r="C260" s="245"/>
      <c r="D260" s="246"/>
      <c r="E260" s="245"/>
      <c r="F260" s="245"/>
      <c r="G260" s="245"/>
      <c r="H260" s="245"/>
      <c r="I260" s="245"/>
      <c r="J260" s="245"/>
      <c r="K260" s="265"/>
      <c r="L260" s="245"/>
      <c r="M260" s="245"/>
      <c r="N260" s="245"/>
      <c r="O260" s="245"/>
      <c r="P260" s="245"/>
      <c r="Q260" s="247"/>
      <c r="R260" s="254"/>
      <c r="S260" s="245"/>
      <c r="T260" s="245"/>
      <c r="U260" s="245"/>
      <c r="V260" s="245"/>
      <c r="W260" s="245"/>
      <c r="X260" s="245"/>
      <c r="Y260" s="249"/>
      <c r="Z260" s="276"/>
      <c r="AA260" s="245"/>
      <c r="AB260" s="276"/>
      <c r="AC260" s="276"/>
      <c r="AD260" s="246"/>
      <c r="AE260" s="278"/>
      <c r="AF260" s="370"/>
      <c r="AG260" s="371"/>
      <c r="AH260" s="276"/>
      <c r="AI260" s="245"/>
      <c r="AJ260" s="287"/>
      <c r="AK260" s="278"/>
      <c r="AL260" s="246"/>
      <c r="AM260" s="245"/>
      <c r="AN260" s="245"/>
      <c r="AO260" s="274"/>
      <c r="AP260" s="245"/>
      <c r="AQ260" s="245"/>
      <c r="AR260" s="246"/>
      <c r="AS260" s="245"/>
      <c r="AT260" s="245"/>
      <c r="AU260" s="245"/>
      <c r="AV260" s="245"/>
      <c r="AW260" s="245"/>
      <c r="AX260" s="246"/>
      <c r="AY260" s="245"/>
      <c r="AZ260" s="245"/>
      <c r="BA260" s="246"/>
      <c r="BB260" s="245"/>
      <c r="BC260" s="245"/>
      <c r="BD260" s="245"/>
      <c r="BE260" s="245"/>
      <c r="BF260" s="245"/>
      <c r="BG260" s="245"/>
      <c r="BH260" s="245"/>
      <c r="BI260" s="245"/>
      <c r="BJ260" s="245"/>
      <c r="BK260" s="245"/>
      <c r="BL260" s="245"/>
      <c r="BM260" s="245"/>
      <c r="BN260" s="245"/>
      <c r="BO260" s="245"/>
      <c r="BP260" s="245"/>
      <c r="BQ260" s="245"/>
      <c r="BR260" s="245"/>
      <c r="BS260" s="245"/>
      <c r="BT260" s="246"/>
      <c r="BU260" s="245"/>
      <c r="BV260" s="245"/>
      <c r="BW260" s="245"/>
      <c r="BX260" s="245"/>
      <c r="BY260" s="245"/>
      <c r="BZ260" s="282"/>
      <c r="CA260" s="245"/>
      <c r="CB260" s="245"/>
      <c r="CC260" s="245"/>
      <c r="CD260" s="245"/>
      <c r="CE260" s="245"/>
      <c r="CF260" s="245"/>
    </row>
    <row r="261">
      <c r="A261" s="245"/>
      <c r="B261" s="245"/>
      <c r="C261" s="245"/>
      <c r="D261" s="246"/>
      <c r="E261" s="245"/>
      <c r="F261" s="245"/>
      <c r="G261" s="245"/>
      <c r="H261" s="245"/>
      <c r="I261" s="245"/>
      <c r="J261" s="245"/>
      <c r="K261" s="265"/>
      <c r="L261" s="245"/>
      <c r="M261" s="245"/>
      <c r="N261" s="245"/>
      <c r="O261" s="245"/>
      <c r="P261" s="245"/>
      <c r="Q261" s="247"/>
      <c r="R261" s="254"/>
      <c r="S261" s="245"/>
      <c r="T261" s="245"/>
      <c r="U261" s="245"/>
      <c r="V261" s="245"/>
      <c r="W261" s="245"/>
      <c r="X261" s="245"/>
      <c r="Y261" s="249"/>
      <c r="Z261" s="276"/>
      <c r="AA261" s="245"/>
      <c r="AB261" s="276"/>
      <c r="AC261" s="276"/>
      <c r="AD261" s="246"/>
      <c r="AE261" s="278"/>
      <c r="AF261" s="370"/>
      <c r="AG261" s="371"/>
      <c r="AH261" s="276"/>
      <c r="AI261" s="245"/>
      <c r="AJ261" s="287"/>
      <c r="AK261" s="278"/>
      <c r="AL261" s="246"/>
      <c r="AM261" s="245"/>
      <c r="AN261" s="245"/>
      <c r="AO261" s="274"/>
      <c r="AP261" s="245"/>
      <c r="AQ261" s="245"/>
      <c r="AR261" s="246"/>
      <c r="AS261" s="245"/>
      <c r="AT261" s="245"/>
      <c r="AU261" s="245"/>
      <c r="AV261" s="245"/>
      <c r="AW261" s="245"/>
      <c r="AX261" s="246"/>
      <c r="AY261" s="245"/>
      <c r="AZ261" s="245"/>
      <c r="BA261" s="246"/>
      <c r="BB261" s="245"/>
      <c r="BC261" s="245"/>
      <c r="BD261" s="245"/>
      <c r="BE261" s="245"/>
      <c r="BF261" s="245"/>
      <c r="BG261" s="245"/>
      <c r="BH261" s="245"/>
      <c r="BI261" s="245"/>
      <c r="BJ261" s="245"/>
      <c r="BK261" s="245"/>
      <c r="BL261" s="245"/>
      <c r="BM261" s="245"/>
      <c r="BN261" s="245"/>
      <c r="BO261" s="245"/>
      <c r="BP261" s="245"/>
      <c r="BQ261" s="245"/>
      <c r="BR261" s="245"/>
      <c r="BS261" s="245"/>
      <c r="BT261" s="246"/>
      <c r="BU261" s="245"/>
      <c r="BV261" s="245"/>
      <c r="BW261" s="245"/>
      <c r="BX261" s="245"/>
      <c r="BY261" s="245"/>
      <c r="BZ261" s="282"/>
      <c r="CA261" s="245"/>
      <c r="CB261" s="245"/>
      <c r="CC261" s="245"/>
      <c r="CD261" s="245"/>
      <c r="CE261" s="245"/>
      <c r="CF261" s="245"/>
    </row>
    <row r="262">
      <c r="A262" s="245"/>
      <c r="B262" s="245"/>
      <c r="C262" s="245"/>
      <c r="D262" s="246"/>
      <c r="E262" s="245"/>
      <c r="F262" s="245"/>
      <c r="G262" s="245"/>
      <c r="H262" s="245"/>
      <c r="I262" s="245"/>
      <c r="J262" s="245"/>
      <c r="K262" s="265"/>
      <c r="L262" s="245"/>
      <c r="M262" s="245"/>
      <c r="N262" s="245"/>
      <c r="O262" s="245"/>
      <c r="P262" s="245"/>
      <c r="Q262" s="247"/>
      <c r="R262" s="254"/>
      <c r="S262" s="245"/>
      <c r="T262" s="245"/>
      <c r="U262" s="245"/>
      <c r="V262" s="245"/>
      <c r="W262" s="245"/>
      <c r="X262" s="245"/>
      <c r="Y262" s="249"/>
      <c r="Z262" s="276"/>
      <c r="AA262" s="245"/>
      <c r="AB262" s="276"/>
      <c r="AC262" s="276"/>
      <c r="AD262" s="246"/>
      <c r="AE262" s="278"/>
      <c r="AF262" s="370"/>
      <c r="AG262" s="371"/>
      <c r="AH262" s="276"/>
      <c r="AI262" s="245"/>
      <c r="AJ262" s="287"/>
      <c r="AK262" s="278"/>
      <c r="AL262" s="246"/>
      <c r="AM262" s="245"/>
      <c r="AN262" s="245"/>
      <c r="AO262" s="274"/>
      <c r="AP262" s="245"/>
      <c r="AQ262" s="245"/>
      <c r="AR262" s="246"/>
      <c r="AS262" s="245"/>
      <c r="AT262" s="245"/>
      <c r="AU262" s="245"/>
      <c r="AV262" s="245"/>
      <c r="AW262" s="245"/>
      <c r="AX262" s="246"/>
      <c r="AY262" s="245"/>
      <c r="AZ262" s="245"/>
      <c r="BA262" s="246"/>
      <c r="BB262" s="245"/>
      <c r="BC262" s="245"/>
      <c r="BD262" s="245"/>
      <c r="BE262" s="245"/>
      <c r="BF262" s="245"/>
      <c r="BG262" s="245"/>
      <c r="BH262" s="245"/>
      <c r="BI262" s="245"/>
      <c r="BJ262" s="245"/>
      <c r="BK262" s="245"/>
      <c r="BL262" s="245"/>
      <c r="BM262" s="245"/>
      <c r="BN262" s="245"/>
      <c r="BO262" s="245"/>
      <c r="BP262" s="245"/>
      <c r="BQ262" s="245"/>
      <c r="BR262" s="245"/>
      <c r="BS262" s="245"/>
      <c r="BT262" s="246"/>
      <c r="BU262" s="245"/>
      <c r="BV262" s="245"/>
      <c r="BW262" s="245"/>
      <c r="BX262" s="245"/>
      <c r="BY262" s="245"/>
      <c r="BZ262" s="282"/>
      <c r="CA262" s="245"/>
      <c r="CB262" s="245"/>
      <c r="CC262" s="245"/>
      <c r="CD262" s="245"/>
      <c r="CE262" s="245"/>
      <c r="CF262" s="245"/>
    </row>
    <row r="263">
      <c r="A263" s="245"/>
      <c r="B263" s="245"/>
      <c r="C263" s="245"/>
      <c r="D263" s="246"/>
      <c r="E263" s="245"/>
      <c r="F263" s="245"/>
      <c r="G263" s="245"/>
      <c r="H263" s="245"/>
      <c r="I263" s="245"/>
      <c r="J263" s="245"/>
      <c r="K263" s="265"/>
      <c r="L263" s="245"/>
      <c r="M263" s="245"/>
      <c r="N263" s="245"/>
      <c r="O263" s="245"/>
      <c r="P263" s="245"/>
      <c r="Q263" s="247"/>
      <c r="R263" s="254"/>
      <c r="S263" s="245"/>
      <c r="T263" s="245"/>
      <c r="U263" s="245"/>
      <c r="V263" s="245"/>
      <c r="W263" s="245"/>
      <c r="X263" s="245"/>
      <c r="Y263" s="249"/>
      <c r="Z263" s="276"/>
      <c r="AA263" s="245"/>
      <c r="AB263" s="276"/>
      <c r="AC263" s="276"/>
      <c r="AD263" s="246"/>
      <c r="AE263" s="278"/>
      <c r="AF263" s="370"/>
      <c r="AG263" s="371"/>
      <c r="AH263" s="276"/>
      <c r="AI263" s="245"/>
      <c r="AJ263" s="287"/>
      <c r="AK263" s="278"/>
      <c r="AL263" s="246"/>
      <c r="AM263" s="245"/>
      <c r="AN263" s="245"/>
      <c r="AO263" s="274"/>
      <c r="AP263" s="245"/>
      <c r="AQ263" s="245"/>
      <c r="AR263" s="246"/>
      <c r="AS263" s="245"/>
      <c r="AT263" s="245"/>
      <c r="AU263" s="245"/>
      <c r="AV263" s="245"/>
      <c r="AW263" s="245"/>
      <c r="AX263" s="246"/>
      <c r="AY263" s="245"/>
      <c r="AZ263" s="245"/>
      <c r="BA263" s="246"/>
      <c r="BB263" s="245"/>
      <c r="BC263" s="245"/>
      <c r="BD263" s="245"/>
      <c r="BE263" s="245"/>
      <c r="BF263" s="245"/>
      <c r="BG263" s="245"/>
      <c r="BH263" s="245"/>
      <c r="BI263" s="245"/>
      <c r="BJ263" s="245"/>
      <c r="BK263" s="245"/>
      <c r="BL263" s="245"/>
      <c r="BM263" s="245"/>
      <c r="BN263" s="245"/>
      <c r="BO263" s="245"/>
      <c r="BP263" s="245"/>
      <c r="BQ263" s="245"/>
      <c r="BR263" s="245"/>
      <c r="BS263" s="245"/>
      <c r="BT263" s="246"/>
      <c r="BU263" s="245"/>
      <c r="BV263" s="245"/>
      <c r="BW263" s="245"/>
      <c r="BX263" s="245"/>
      <c r="BY263" s="245"/>
      <c r="BZ263" s="282"/>
      <c r="CA263" s="245"/>
      <c r="CB263" s="245"/>
      <c r="CC263" s="245"/>
      <c r="CD263" s="245"/>
      <c r="CE263" s="245"/>
      <c r="CF263" s="245"/>
    </row>
    <row r="264">
      <c r="A264" s="245"/>
      <c r="B264" s="245"/>
      <c r="C264" s="245"/>
      <c r="D264" s="246"/>
      <c r="E264" s="245"/>
      <c r="F264" s="245"/>
      <c r="G264" s="245"/>
      <c r="H264" s="245"/>
      <c r="I264" s="245"/>
      <c r="J264" s="245"/>
      <c r="K264" s="265"/>
      <c r="L264" s="245"/>
      <c r="M264" s="245"/>
      <c r="N264" s="245"/>
      <c r="O264" s="245"/>
      <c r="P264" s="245"/>
      <c r="Q264" s="247"/>
      <c r="R264" s="254"/>
      <c r="S264" s="245"/>
      <c r="T264" s="245"/>
      <c r="U264" s="245"/>
      <c r="V264" s="245"/>
      <c r="W264" s="245"/>
      <c r="X264" s="245"/>
      <c r="Y264" s="249"/>
      <c r="Z264" s="276"/>
      <c r="AA264" s="245"/>
      <c r="AB264" s="276"/>
      <c r="AC264" s="276"/>
      <c r="AD264" s="246"/>
      <c r="AE264" s="278"/>
      <c r="AF264" s="370"/>
      <c r="AG264" s="371"/>
      <c r="AH264" s="276"/>
      <c r="AI264" s="245"/>
      <c r="AJ264" s="287"/>
      <c r="AK264" s="278"/>
      <c r="AL264" s="246"/>
      <c r="AM264" s="245"/>
      <c r="AN264" s="245"/>
      <c r="AO264" s="274"/>
      <c r="AP264" s="245"/>
      <c r="AQ264" s="245"/>
      <c r="AR264" s="246"/>
      <c r="AS264" s="245"/>
      <c r="AT264" s="245"/>
      <c r="AU264" s="245"/>
      <c r="AV264" s="245"/>
      <c r="AW264" s="245"/>
      <c r="AX264" s="246"/>
      <c r="AY264" s="245"/>
      <c r="AZ264" s="245"/>
      <c r="BA264" s="246"/>
      <c r="BB264" s="245"/>
      <c r="BC264" s="245"/>
      <c r="BD264" s="245"/>
      <c r="BE264" s="245"/>
      <c r="BF264" s="245"/>
      <c r="BG264" s="245"/>
      <c r="BH264" s="245"/>
      <c r="BI264" s="245"/>
      <c r="BJ264" s="245"/>
      <c r="BK264" s="245"/>
      <c r="BL264" s="245"/>
      <c r="BM264" s="245"/>
      <c r="BN264" s="245"/>
      <c r="BO264" s="245"/>
      <c r="BP264" s="245"/>
      <c r="BQ264" s="245"/>
      <c r="BR264" s="245"/>
      <c r="BS264" s="245"/>
      <c r="BT264" s="246"/>
      <c r="BU264" s="245"/>
      <c r="BV264" s="245"/>
      <c r="BW264" s="245"/>
      <c r="BX264" s="245"/>
      <c r="BY264" s="245"/>
      <c r="BZ264" s="282"/>
      <c r="CA264" s="245"/>
      <c r="CB264" s="245"/>
      <c r="CC264" s="245"/>
      <c r="CD264" s="245"/>
      <c r="CE264" s="245"/>
      <c r="CF264" s="245"/>
    </row>
    <row r="265">
      <c r="A265" s="245"/>
      <c r="B265" s="245"/>
      <c r="C265" s="245"/>
      <c r="D265" s="246"/>
      <c r="E265" s="245"/>
      <c r="F265" s="245"/>
      <c r="G265" s="245"/>
      <c r="H265" s="245"/>
      <c r="I265" s="245"/>
      <c r="J265" s="245"/>
      <c r="K265" s="265"/>
      <c r="L265" s="245"/>
      <c r="M265" s="245"/>
      <c r="N265" s="245"/>
      <c r="O265" s="245"/>
      <c r="P265" s="245"/>
      <c r="Q265" s="247"/>
      <c r="R265" s="254"/>
      <c r="S265" s="245"/>
      <c r="T265" s="245"/>
      <c r="U265" s="245"/>
      <c r="V265" s="245"/>
      <c r="W265" s="245"/>
      <c r="X265" s="245"/>
      <c r="Y265" s="249"/>
      <c r="Z265" s="276"/>
      <c r="AA265" s="245"/>
      <c r="AB265" s="276"/>
      <c r="AC265" s="276"/>
      <c r="AD265" s="246"/>
      <c r="AE265" s="278"/>
      <c r="AF265" s="370"/>
      <c r="AG265" s="371"/>
      <c r="AH265" s="276"/>
      <c r="AI265" s="245"/>
      <c r="AJ265" s="287"/>
      <c r="AK265" s="278"/>
      <c r="AL265" s="246"/>
      <c r="AM265" s="245"/>
      <c r="AN265" s="245"/>
      <c r="AO265" s="274"/>
      <c r="AP265" s="245"/>
      <c r="AQ265" s="245"/>
      <c r="AR265" s="246"/>
      <c r="AS265" s="245"/>
      <c r="AT265" s="245"/>
      <c r="AU265" s="245"/>
      <c r="AV265" s="245"/>
      <c r="AW265" s="245"/>
      <c r="AX265" s="246"/>
      <c r="AY265" s="245"/>
      <c r="AZ265" s="245"/>
      <c r="BA265" s="246"/>
      <c r="BB265" s="245"/>
      <c r="BC265" s="245"/>
      <c r="BD265" s="245"/>
      <c r="BE265" s="245"/>
      <c r="BF265" s="245"/>
      <c r="BG265" s="245"/>
      <c r="BH265" s="245"/>
      <c r="BI265" s="245"/>
      <c r="BJ265" s="245"/>
      <c r="BK265" s="245"/>
      <c r="BL265" s="245"/>
      <c r="BM265" s="245"/>
      <c r="BN265" s="245"/>
      <c r="BO265" s="245"/>
      <c r="BP265" s="245"/>
      <c r="BQ265" s="245"/>
      <c r="BR265" s="245"/>
      <c r="BS265" s="245"/>
      <c r="BT265" s="246"/>
      <c r="BU265" s="245"/>
      <c r="BV265" s="245"/>
      <c r="BW265" s="245"/>
      <c r="BX265" s="245"/>
      <c r="BY265" s="245"/>
      <c r="BZ265" s="282"/>
      <c r="CA265" s="245"/>
      <c r="CB265" s="245"/>
      <c r="CC265" s="245"/>
      <c r="CD265" s="245"/>
      <c r="CE265" s="245"/>
      <c r="CF265" s="245"/>
    </row>
    <row r="266">
      <c r="A266" s="245"/>
      <c r="B266" s="245"/>
      <c r="C266" s="245"/>
      <c r="D266" s="246"/>
      <c r="E266" s="245"/>
      <c r="F266" s="245"/>
      <c r="G266" s="245"/>
      <c r="H266" s="245"/>
      <c r="I266" s="245"/>
      <c r="J266" s="245"/>
      <c r="K266" s="265"/>
      <c r="L266" s="245"/>
      <c r="M266" s="245"/>
      <c r="N266" s="245"/>
      <c r="O266" s="245"/>
      <c r="P266" s="245"/>
      <c r="Q266" s="247"/>
      <c r="R266" s="254"/>
      <c r="S266" s="245"/>
      <c r="T266" s="245"/>
      <c r="U266" s="245"/>
      <c r="V266" s="245"/>
      <c r="W266" s="245"/>
      <c r="X266" s="245"/>
      <c r="Y266" s="249"/>
      <c r="Z266" s="276"/>
      <c r="AA266" s="245"/>
      <c r="AB266" s="276"/>
      <c r="AC266" s="276"/>
      <c r="AD266" s="246"/>
      <c r="AE266" s="278"/>
      <c r="AF266" s="370"/>
      <c r="AG266" s="371"/>
      <c r="AH266" s="276"/>
      <c r="AI266" s="245"/>
      <c r="AJ266" s="287"/>
      <c r="AK266" s="278"/>
      <c r="AL266" s="246"/>
      <c r="AM266" s="245"/>
      <c r="AN266" s="245"/>
      <c r="AO266" s="274"/>
      <c r="AP266" s="245"/>
      <c r="AQ266" s="245"/>
      <c r="AR266" s="246"/>
      <c r="AS266" s="245"/>
      <c r="AT266" s="245"/>
      <c r="AU266" s="245"/>
      <c r="AV266" s="245"/>
      <c r="AW266" s="245"/>
      <c r="AX266" s="246"/>
      <c r="AY266" s="245"/>
      <c r="AZ266" s="245"/>
      <c r="BA266" s="246"/>
      <c r="BB266" s="245"/>
      <c r="BC266" s="245"/>
      <c r="BD266" s="245"/>
      <c r="BE266" s="245"/>
      <c r="BF266" s="245"/>
      <c r="BG266" s="245"/>
      <c r="BH266" s="245"/>
      <c r="BI266" s="245"/>
      <c r="BJ266" s="245"/>
      <c r="BK266" s="245"/>
      <c r="BL266" s="245"/>
      <c r="BM266" s="245"/>
      <c r="BN266" s="245"/>
      <c r="BO266" s="245"/>
      <c r="BP266" s="245"/>
      <c r="BQ266" s="245"/>
      <c r="BR266" s="245"/>
      <c r="BS266" s="245"/>
      <c r="BT266" s="246"/>
      <c r="BU266" s="245"/>
      <c r="BV266" s="245"/>
      <c r="BW266" s="245"/>
      <c r="BX266" s="245"/>
      <c r="BY266" s="245"/>
      <c r="BZ266" s="282"/>
      <c r="CA266" s="245"/>
      <c r="CB266" s="245"/>
      <c r="CC266" s="245"/>
      <c r="CD266" s="245"/>
      <c r="CE266" s="245"/>
      <c r="CF266" s="245"/>
    </row>
    <row r="267">
      <c r="A267" s="245"/>
      <c r="B267" s="245"/>
      <c r="C267" s="245"/>
      <c r="D267" s="246"/>
      <c r="E267" s="245"/>
      <c r="F267" s="245"/>
      <c r="G267" s="245"/>
      <c r="H267" s="245"/>
      <c r="I267" s="245"/>
      <c r="J267" s="245"/>
      <c r="K267" s="265"/>
      <c r="L267" s="245"/>
      <c r="M267" s="245"/>
      <c r="N267" s="245"/>
      <c r="O267" s="245"/>
      <c r="P267" s="245"/>
      <c r="Q267" s="247"/>
      <c r="R267" s="254"/>
      <c r="S267" s="245"/>
      <c r="T267" s="245"/>
      <c r="U267" s="245"/>
      <c r="V267" s="245"/>
      <c r="W267" s="245"/>
      <c r="X267" s="245"/>
      <c r="Y267" s="249"/>
      <c r="Z267" s="276"/>
      <c r="AA267" s="245"/>
      <c r="AB267" s="276"/>
      <c r="AC267" s="276"/>
      <c r="AD267" s="246"/>
      <c r="AE267" s="278"/>
      <c r="AF267" s="370"/>
      <c r="AG267" s="371"/>
      <c r="AH267" s="276"/>
      <c r="AI267" s="245"/>
      <c r="AJ267" s="287"/>
      <c r="AK267" s="278"/>
      <c r="AL267" s="246"/>
      <c r="AM267" s="245"/>
      <c r="AN267" s="245"/>
      <c r="AO267" s="274"/>
      <c r="AP267" s="245"/>
      <c r="AQ267" s="245"/>
      <c r="AR267" s="246"/>
      <c r="AS267" s="245"/>
      <c r="AT267" s="245"/>
      <c r="AU267" s="245"/>
      <c r="AV267" s="245"/>
      <c r="AW267" s="245"/>
      <c r="AX267" s="246"/>
      <c r="AY267" s="245"/>
      <c r="AZ267" s="245"/>
      <c r="BA267" s="246"/>
      <c r="BB267" s="245"/>
      <c r="BC267" s="245"/>
      <c r="BD267" s="245"/>
      <c r="BE267" s="245"/>
      <c r="BF267" s="245"/>
      <c r="BG267" s="245"/>
      <c r="BH267" s="245"/>
      <c r="BI267" s="245"/>
      <c r="BJ267" s="245"/>
      <c r="BK267" s="245"/>
      <c r="BL267" s="245"/>
      <c r="BM267" s="245"/>
      <c r="BN267" s="245"/>
      <c r="BO267" s="245"/>
      <c r="BP267" s="245"/>
      <c r="BQ267" s="245"/>
      <c r="BR267" s="245"/>
      <c r="BS267" s="245"/>
      <c r="BT267" s="246"/>
      <c r="BU267" s="245"/>
      <c r="BV267" s="245"/>
      <c r="BW267" s="245"/>
      <c r="BX267" s="245"/>
      <c r="BY267" s="245"/>
      <c r="BZ267" s="282"/>
      <c r="CA267" s="245"/>
      <c r="CB267" s="245"/>
      <c r="CC267" s="245"/>
      <c r="CD267" s="245"/>
      <c r="CE267" s="245"/>
      <c r="CF267" s="245"/>
    </row>
    <row r="268">
      <c r="A268" s="245"/>
      <c r="B268" s="245"/>
      <c r="C268" s="245"/>
      <c r="D268" s="246"/>
      <c r="E268" s="245"/>
      <c r="F268" s="245"/>
      <c r="G268" s="245"/>
      <c r="H268" s="245"/>
      <c r="I268" s="245"/>
      <c r="J268" s="245"/>
      <c r="K268" s="265"/>
      <c r="L268" s="245"/>
      <c r="M268" s="245"/>
      <c r="N268" s="245"/>
      <c r="O268" s="245"/>
      <c r="P268" s="245"/>
      <c r="Q268" s="247"/>
      <c r="R268" s="254"/>
      <c r="S268" s="245"/>
      <c r="T268" s="245"/>
      <c r="U268" s="245"/>
      <c r="V268" s="245"/>
      <c r="W268" s="245"/>
      <c r="X268" s="245"/>
      <c r="Y268" s="249"/>
      <c r="Z268" s="276"/>
      <c r="AA268" s="245"/>
      <c r="AB268" s="276"/>
      <c r="AC268" s="276"/>
      <c r="AD268" s="246"/>
      <c r="AE268" s="278"/>
      <c r="AF268" s="370"/>
      <c r="AG268" s="371"/>
      <c r="AH268" s="276"/>
      <c r="AI268" s="245"/>
      <c r="AJ268" s="287"/>
      <c r="AK268" s="278"/>
      <c r="AL268" s="246"/>
      <c r="AM268" s="245"/>
      <c r="AN268" s="245"/>
      <c r="AO268" s="274"/>
      <c r="AP268" s="245"/>
      <c r="AQ268" s="245"/>
      <c r="AR268" s="246"/>
      <c r="AS268" s="245"/>
      <c r="AT268" s="245"/>
      <c r="AU268" s="245"/>
      <c r="AV268" s="245"/>
      <c r="AW268" s="245"/>
      <c r="AX268" s="246"/>
      <c r="AY268" s="245"/>
      <c r="AZ268" s="245"/>
      <c r="BA268" s="246"/>
      <c r="BB268" s="245"/>
      <c r="BC268" s="245"/>
      <c r="BD268" s="245"/>
      <c r="BE268" s="245"/>
      <c r="BF268" s="245"/>
      <c r="BG268" s="245"/>
      <c r="BH268" s="245"/>
      <c r="BI268" s="245"/>
      <c r="BJ268" s="245"/>
      <c r="BK268" s="245"/>
      <c r="BL268" s="245"/>
      <c r="BM268" s="245"/>
      <c r="BN268" s="245"/>
      <c r="BO268" s="245"/>
      <c r="BP268" s="245"/>
      <c r="BQ268" s="245"/>
      <c r="BR268" s="245"/>
      <c r="BS268" s="245"/>
      <c r="BT268" s="246"/>
      <c r="BU268" s="245"/>
      <c r="BV268" s="245"/>
      <c r="BW268" s="245"/>
      <c r="BX268" s="245"/>
      <c r="BY268" s="245"/>
      <c r="BZ268" s="282"/>
      <c r="CA268" s="245"/>
      <c r="CB268" s="245"/>
      <c r="CC268" s="245"/>
      <c r="CD268" s="245"/>
      <c r="CE268" s="245"/>
      <c r="CF268" s="245"/>
    </row>
    <row r="269">
      <c r="A269" s="245"/>
      <c r="B269" s="245"/>
      <c r="C269" s="245"/>
      <c r="D269" s="246"/>
      <c r="E269" s="245"/>
      <c r="F269" s="245"/>
      <c r="G269" s="245"/>
      <c r="H269" s="245"/>
      <c r="I269" s="245"/>
      <c r="J269" s="245"/>
      <c r="K269" s="265"/>
      <c r="L269" s="245"/>
      <c r="M269" s="245"/>
      <c r="N269" s="245"/>
      <c r="O269" s="245"/>
      <c r="P269" s="245"/>
      <c r="Q269" s="247"/>
      <c r="R269" s="254"/>
      <c r="S269" s="245"/>
      <c r="T269" s="245"/>
      <c r="U269" s="245"/>
      <c r="V269" s="245"/>
      <c r="W269" s="245"/>
      <c r="X269" s="245"/>
      <c r="Y269" s="249"/>
      <c r="Z269" s="276"/>
      <c r="AA269" s="245"/>
      <c r="AB269" s="276"/>
      <c r="AC269" s="276"/>
      <c r="AD269" s="246"/>
      <c r="AE269" s="278"/>
      <c r="AF269" s="370"/>
      <c r="AG269" s="371"/>
      <c r="AH269" s="276"/>
      <c r="AI269" s="245"/>
      <c r="AJ269" s="287"/>
      <c r="AK269" s="278"/>
      <c r="AL269" s="246"/>
      <c r="AM269" s="245"/>
      <c r="AN269" s="245"/>
      <c r="AO269" s="274"/>
      <c r="AP269" s="245"/>
      <c r="AQ269" s="245"/>
      <c r="AR269" s="246"/>
      <c r="AS269" s="245"/>
      <c r="AT269" s="245"/>
      <c r="AU269" s="245"/>
      <c r="AV269" s="245"/>
      <c r="AW269" s="245"/>
      <c r="AX269" s="246"/>
      <c r="AY269" s="245"/>
      <c r="AZ269" s="245"/>
      <c r="BA269" s="246"/>
      <c r="BB269" s="245"/>
      <c r="BC269" s="245"/>
      <c r="BD269" s="245"/>
      <c r="BE269" s="245"/>
      <c r="BF269" s="245"/>
      <c r="BG269" s="245"/>
      <c r="BH269" s="245"/>
      <c r="BI269" s="245"/>
      <c r="BJ269" s="245"/>
      <c r="BK269" s="245"/>
      <c r="BL269" s="245"/>
      <c r="BM269" s="245"/>
      <c r="BN269" s="245"/>
      <c r="BO269" s="245"/>
      <c r="BP269" s="245"/>
      <c r="BQ269" s="245"/>
      <c r="BR269" s="245"/>
      <c r="BS269" s="245"/>
      <c r="BT269" s="246"/>
      <c r="BU269" s="245"/>
      <c r="BV269" s="245"/>
      <c r="BW269" s="245"/>
      <c r="BX269" s="245"/>
      <c r="BY269" s="245"/>
      <c r="BZ269" s="282"/>
      <c r="CA269" s="245"/>
      <c r="CB269" s="245"/>
      <c r="CC269" s="245"/>
      <c r="CD269" s="245"/>
      <c r="CE269" s="245"/>
      <c r="CF269" s="245"/>
    </row>
    <row r="270">
      <c r="A270" s="245"/>
      <c r="B270" s="245"/>
      <c r="C270" s="245"/>
      <c r="D270" s="246"/>
      <c r="E270" s="245"/>
      <c r="F270" s="245"/>
      <c r="G270" s="245"/>
      <c r="H270" s="245"/>
      <c r="I270" s="245"/>
      <c r="J270" s="245"/>
      <c r="K270" s="265"/>
      <c r="L270" s="245"/>
      <c r="M270" s="245"/>
      <c r="N270" s="245"/>
      <c r="O270" s="245"/>
      <c r="P270" s="245"/>
      <c r="Q270" s="247"/>
      <c r="R270" s="254"/>
      <c r="S270" s="245"/>
      <c r="T270" s="245"/>
      <c r="U270" s="245"/>
      <c r="V270" s="245"/>
      <c r="W270" s="245"/>
      <c r="X270" s="245"/>
      <c r="Y270" s="249"/>
      <c r="Z270" s="276"/>
      <c r="AA270" s="245"/>
      <c r="AB270" s="276"/>
      <c r="AC270" s="276"/>
      <c r="AD270" s="246"/>
      <c r="AE270" s="278"/>
      <c r="AF270" s="370"/>
      <c r="AG270" s="371"/>
      <c r="AH270" s="276"/>
      <c r="AI270" s="245"/>
      <c r="AJ270" s="287"/>
      <c r="AK270" s="278"/>
      <c r="AL270" s="246"/>
      <c r="AM270" s="245"/>
      <c r="AN270" s="245"/>
      <c r="AO270" s="274"/>
      <c r="AP270" s="245"/>
      <c r="AQ270" s="245"/>
      <c r="AR270" s="246"/>
      <c r="AS270" s="245"/>
      <c r="AT270" s="245"/>
      <c r="AU270" s="245"/>
      <c r="AV270" s="245"/>
      <c r="AW270" s="245"/>
      <c r="AX270" s="246"/>
      <c r="AY270" s="245"/>
      <c r="AZ270" s="245"/>
      <c r="BA270" s="246"/>
      <c r="BB270" s="245"/>
      <c r="BC270" s="245"/>
      <c r="BD270" s="245"/>
      <c r="BE270" s="245"/>
      <c r="BF270" s="245"/>
      <c r="BG270" s="245"/>
      <c r="BH270" s="245"/>
      <c r="BI270" s="245"/>
      <c r="BJ270" s="245"/>
      <c r="BK270" s="245"/>
      <c r="BL270" s="245"/>
      <c r="BM270" s="245"/>
      <c r="BN270" s="245"/>
      <c r="BO270" s="245"/>
      <c r="BP270" s="245"/>
      <c r="BQ270" s="245"/>
      <c r="BR270" s="245"/>
      <c r="BS270" s="245"/>
      <c r="BT270" s="246"/>
      <c r="BU270" s="245"/>
      <c r="BV270" s="245"/>
      <c r="BW270" s="245"/>
      <c r="BX270" s="245"/>
      <c r="BY270" s="245"/>
      <c r="BZ270" s="282"/>
      <c r="CA270" s="245"/>
      <c r="CB270" s="245"/>
      <c r="CC270" s="245"/>
      <c r="CD270" s="245"/>
      <c r="CE270" s="245"/>
      <c r="CF270" s="245"/>
    </row>
    <row r="271">
      <c r="A271" s="245"/>
      <c r="B271" s="245"/>
      <c r="C271" s="245"/>
      <c r="D271" s="246"/>
      <c r="E271" s="245"/>
      <c r="F271" s="245"/>
      <c r="G271" s="245"/>
      <c r="H271" s="245"/>
      <c r="I271" s="245"/>
      <c r="J271" s="245"/>
      <c r="K271" s="265"/>
      <c r="L271" s="245"/>
      <c r="M271" s="245"/>
      <c r="N271" s="245"/>
      <c r="O271" s="245"/>
      <c r="P271" s="245"/>
      <c r="Q271" s="247"/>
      <c r="R271" s="254"/>
      <c r="S271" s="245"/>
      <c r="T271" s="245"/>
      <c r="U271" s="245"/>
      <c r="V271" s="245"/>
      <c r="W271" s="245"/>
      <c r="X271" s="245"/>
      <c r="Y271" s="249"/>
      <c r="Z271" s="276"/>
      <c r="AA271" s="245"/>
      <c r="AB271" s="276"/>
      <c r="AC271" s="276"/>
      <c r="AD271" s="246"/>
      <c r="AE271" s="278"/>
      <c r="AF271" s="370"/>
      <c r="AG271" s="371"/>
      <c r="AH271" s="276"/>
      <c r="AI271" s="245"/>
      <c r="AJ271" s="287"/>
      <c r="AK271" s="278"/>
      <c r="AL271" s="246"/>
      <c r="AM271" s="245"/>
      <c r="AN271" s="245"/>
      <c r="AO271" s="274"/>
      <c r="AP271" s="245"/>
      <c r="AQ271" s="245"/>
      <c r="AR271" s="246"/>
      <c r="AS271" s="245"/>
      <c r="AT271" s="245"/>
      <c r="AU271" s="245"/>
      <c r="AV271" s="245"/>
      <c r="AW271" s="245"/>
      <c r="AX271" s="246"/>
      <c r="AY271" s="245"/>
      <c r="AZ271" s="245"/>
      <c r="BA271" s="246"/>
      <c r="BB271" s="245"/>
      <c r="BC271" s="245"/>
      <c r="BD271" s="245"/>
      <c r="BE271" s="245"/>
      <c r="BF271" s="245"/>
      <c r="BG271" s="245"/>
      <c r="BH271" s="245"/>
      <c r="BI271" s="245"/>
      <c r="BJ271" s="245"/>
      <c r="BK271" s="245"/>
      <c r="BL271" s="245"/>
      <c r="BM271" s="245"/>
      <c r="BN271" s="245"/>
      <c r="BO271" s="245"/>
      <c r="BP271" s="245"/>
      <c r="BQ271" s="245"/>
      <c r="BR271" s="245"/>
      <c r="BS271" s="245"/>
      <c r="BT271" s="246"/>
      <c r="BU271" s="245"/>
      <c r="BV271" s="245"/>
      <c r="BW271" s="245"/>
      <c r="BX271" s="245"/>
      <c r="BY271" s="245"/>
      <c r="BZ271" s="282"/>
      <c r="CA271" s="245"/>
      <c r="CB271" s="245"/>
      <c r="CC271" s="245"/>
      <c r="CD271" s="245"/>
      <c r="CE271" s="245"/>
      <c r="CF271" s="245"/>
    </row>
    <row r="272">
      <c r="A272" s="245"/>
      <c r="B272" s="245"/>
      <c r="C272" s="245"/>
      <c r="D272" s="246"/>
      <c r="E272" s="245"/>
      <c r="F272" s="245"/>
      <c r="G272" s="245"/>
      <c r="H272" s="245"/>
      <c r="I272" s="245"/>
      <c r="J272" s="245"/>
      <c r="K272" s="265"/>
      <c r="L272" s="245"/>
      <c r="M272" s="245"/>
      <c r="N272" s="245"/>
      <c r="O272" s="245"/>
      <c r="P272" s="245"/>
      <c r="Q272" s="247"/>
      <c r="R272" s="254"/>
      <c r="S272" s="245"/>
      <c r="T272" s="245"/>
      <c r="U272" s="245"/>
      <c r="V272" s="245"/>
      <c r="W272" s="245"/>
      <c r="X272" s="245"/>
      <c r="Y272" s="249"/>
      <c r="Z272" s="276"/>
      <c r="AA272" s="245"/>
      <c r="AB272" s="276"/>
      <c r="AC272" s="276"/>
      <c r="AD272" s="246"/>
      <c r="AE272" s="278"/>
      <c r="AF272" s="370"/>
      <c r="AG272" s="371"/>
      <c r="AH272" s="276"/>
      <c r="AI272" s="245"/>
      <c r="AJ272" s="287"/>
      <c r="AK272" s="278"/>
      <c r="AL272" s="246"/>
      <c r="AM272" s="245"/>
      <c r="AN272" s="245"/>
      <c r="AO272" s="274"/>
      <c r="AP272" s="245"/>
      <c r="AQ272" s="245"/>
      <c r="AR272" s="246"/>
      <c r="AS272" s="245"/>
      <c r="AT272" s="245"/>
      <c r="AU272" s="245"/>
      <c r="AV272" s="245"/>
      <c r="AW272" s="245"/>
      <c r="AX272" s="246"/>
      <c r="AY272" s="245"/>
      <c r="AZ272" s="245"/>
      <c r="BA272" s="246"/>
      <c r="BB272" s="245"/>
      <c r="BC272" s="245"/>
      <c r="BD272" s="245"/>
      <c r="BE272" s="245"/>
      <c r="BF272" s="245"/>
      <c r="BG272" s="245"/>
      <c r="BH272" s="245"/>
      <c r="BI272" s="245"/>
      <c r="BJ272" s="245"/>
      <c r="BK272" s="245"/>
      <c r="BL272" s="245"/>
      <c r="BM272" s="245"/>
      <c r="BN272" s="245"/>
      <c r="BO272" s="245"/>
      <c r="BP272" s="245"/>
      <c r="BQ272" s="245"/>
      <c r="BR272" s="245"/>
      <c r="BS272" s="245"/>
      <c r="BT272" s="246"/>
      <c r="BU272" s="245"/>
      <c r="BV272" s="245"/>
      <c r="BW272" s="245"/>
      <c r="BX272" s="245"/>
      <c r="BY272" s="245"/>
      <c r="BZ272" s="282"/>
      <c r="CA272" s="245"/>
      <c r="CB272" s="245"/>
      <c r="CC272" s="245"/>
      <c r="CD272" s="245"/>
      <c r="CE272" s="245"/>
      <c r="CF272" s="245"/>
    </row>
    <row r="273">
      <c r="A273" s="245"/>
      <c r="B273" s="245"/>
      <c r="C273" s="245"/>
      <c r="D273" s="246"/>
      <c r="E273" s="245"/>
      <c r="F273" s="245"/>
      <c r="G273" s="245"/>
      <c r="H273" s="245"/>
      <c r="I273" s="245"/>
      <c r="J273" s="245"/>
      <c r="K273" s="265"/>
      <c r="L273" s="245"/>
      <c r="M273" s="245"/>
      <c r="N273" s="245"/>
      <c r="O273" s="245"/>
      <c r="P273" s="245"/>
      <c r="Q273" s="247"/>
      <c r="R273" s="254"/>
      <c r="S273" s="245"/>
      <c r="T273" s="245"/>
      <c r="U273" s="245"/>
      <c r="V273" s="245"/>
      <c r="W273" s="245"/>
      <c r="X273" s="245"/>
      <c r="Y273" s="249"/>
      <c r="Z273" s="276"/>
      <c r="AA273" s="245"/>
      <c r="AB273" s="276"/>
      <c r="AC273" s="276"/>
      <c r="AD273" s="246"/>
      <c r="AE273" s="278"/>
      <c r="AF273" s="370"/>
      <c r="AG273" s="371"/>
      <c r="AH273" s="276"/>
      <c r="AI273" s="245"/>
      <c r="AJ273" s="287"/>
      <c r="AK273" s="278"/>
      <c r="AL273" s="246"/>
      <c r="AM273" s="245"/>
      <c r="AN273" s="245"/>
      <c r="AO273" s="274"/>
      <c r="AP273" s="245"/>
      <c r="AQ273" s="245"/>
      <c r="AR273" s="246"/>
      <c r="AS273" s="245"/>
      <c r="AT273" s="245"/>
      <c r="AU273" s="245"/>
      <c r="AV273" s="245"/>
      <c r="AW273" s="245"/>
      <c r="AX273" s="246"/>
      <c r="AY273" s="245"/>
      <c r="AZ273" s="245"/>
      <c r="BA273" s="246"/>
      <c r="BB273" s="245"/>
      <c r="BC273" s="245"/>
      <c r="BD273" s="245"/>
      <c r="BE273" s="245"/>
      <c r="BF273" s="245"/>
      <c r="BG273" s="245"/>
      <c r="BH273" s="245"/>
      <c r="BI273" s="245"/>
      <c r="BJ273" s="245"/>
      <c r="BK273" s="245"/>
      <c r="BL273" s="245"/>
      <c r="BM273" s="245"/>
      <c r="BN273" s="245"/>
      <c r="BO273" s="245"/>
      <c r="BP273" s="245"/>
      <c r="BQ273" s="245"/>
      <c r="BR273" s="245"/>
      <c r="BS273" s="245"/>
      <c r="BT273" s="246"/>
      <c r="BU273" s="245"/>
      <c r="BV273" s="245"/>
      <c r="BW273" s="245"/>
      <c r="BX273" s="245"/>
      <c r="BY273" s="245"/>
      <c r="BZ273" s="282"/>
      <c r="CA273" s="245"/>
      <c r="CB273" s="245"/>
      <c r="CC273" s="245"/>
      <c r="CD273" s="245"/>
      <c r="CE273" s="245"/>
      <c r="CF273" s="245"/>
    </row>
    <row r="274">
      <c r="A274" s="245"/>
      <c r="B274" s="245"/>
      <c r="C274" s="245"/>
      <c r="D274" s="246"/>
      <c r="E274" s="245"/>
      <c r="F274" s="245"/>
      <c r="G274" s="245"/>
      <c r="H274" s="245"/>
      <c r="I274" s="245"/>
      <c r="J274" s="245"/>
      <c r="K274" s="265"/>
      <c r="L274" s="245"/>
      <c r="M274" s="245"/>
      <c r="N274" s="245"/>
      <c r="O274" s="245"/>
      <c r="P274" s="245"/>
      <c r="Q274" s="247"/>
      <c r="R274" s="254"/>
      <c r="S274" s="245"/>
      <c r="T274" s="245"/>
      <c r="U274" s="245"/>
      <c r="V274" s="245"/>
      <c r="W274" s="245"/>
      <c r="X274" s="245"/>
      <c r="Y274" s="249"/>
      <c r="Z274" s="276"/>
      <c r="AA274" s="245"/>
      <c r="AB274" s="276"/>
      <c r="AC274" s="276"/>
      <c r="AD274" s="246"/>
      <c r="AE274" s="278"/>
      <c r="AF274" s="370"/>
      <c r="AG274" s="371"/>
      <c r="AH274" s="276"/>
      <c r="AI274" s="245"/>
      <c r="AJ274" s="287"/>
      <c r="AK274" s="278"/>
      <c r="AL274" s="246"/>
      <c r="AM274" s="245"/>
      <c r="AN274" s="245"/>
      <c r="AO274" s="274"/>
      <c r="AP274" s="245"/>
      <c r="AQ274" s="245"/>
      <c r="AR274" s="246"/>
      <c r="AS274" s="245"/>
      <c r="AT274" s="245"/>
      <c r="AU274" s="245"/>
      <c r="AV274" s="245"/>
      <c r="AW274" s="245"/>
      <c r="AX274" s="246"/>
      <c r="AY274" s="245"/>
      <c r="AZ274" s="245"/>
      <c r="BA274" s="246"/>
      <c r="BB274" s="245"/>
      <c r="BC274" s="245"/>
      <c r="BD274" s="245"/>
      <c r="BE274" s="245"/>
      <c r="BF274" s="245"/>
      <c r="BG274" s="245"/>
      <c r="BH274" s="245"/>
      <c r="BI274" s="245"/>
      <c r="BJ274" s="245"/>
      <c r="BK274" s="245"/>
      <c r="BL274" s="245"/>
      <c r="BM274" s="245"/>
      <c r="BN274" s="245"/>
      <c r="BO274" s="245"/>
      <c r="BP274" s="245"/>
      <c r="BQ274" s="245"/>
      <c r="BR274" s="245"/>
      <c r="BS274" s="245"/>
      <c r="BT274" s="246"/>
      <c r="BU274" s="245"/>
      <c r="BV274" s="245"/>
      <c r="BW274" s="245"/>
      <c r="BX274" s="245"/>
      <c r="BY274" s="245"/>
      <c r="BZ274" s="282"/>
      <c r="CA274" s="245"/>
      <c r="CB274" s="245"/>
      <c r="CC274" s="245"/>
      <c r="CD274" s="245"/>
      <c r="CE274" s="245"/>
      <c r="CF274" s="245"/>
    </row>
    <row r="275">
      <c r="A275" s="245"/>
      <c r="B275" s="245"/>
      <c r="C275" s="245"/>
      <c r="D275" s="246"/>
      <c r="E275" s="245"/>
      <c r="F275" s="245"/>
      <c r="G275" s="245"/>
      <c r="H275" s="245"/>
      <c r="I275" s="245"/>
      <c r="J275" s="245"/>
      <c r="K275" s="265"/>
      <c r="L275" s="245"/>
      <c r="M275" s="245"/>
      <c r="N275" s="245"/>
      <c r="O275" s="245"/>
      <c r="P275" s="245"/>
      <c r="Q275" s="247"/>
      <c r="R275" s="254"/>
      <c r="S275" s="245"/>
      <c r="T275" s="245"/>
      <c r="U275" s="245"/>
      <c r="V275" s="245"/>
      <c r="W275" s="245"/>
      <c r="X275" s="245"/>
      <c r="Y275" s="249"/>
      <c r="Z275" s="276"/>
      <c r="AA275" s="245"/>
      <c r="AB275" s="276"/>
      <c r="AC275" s="276"/>
      <c r="AD275" s="246"/>
      <c r="AE275" s="278"/>
      <c r="AF275" s="370"/>
      <c r="AG275" s="371"/>
      <c r="AH275" s="276"/>
      <c r="AI275" s="245"/>
      <c r="AJ275" s="287"/>
      <c r="AK275" s="278"/>
      <c r="AL275" s="246"/>
      <c r="AM275" s="245"/>
      <c r="AN275" s="245"/>
      <c r="AO275" s="274"/>
      <c r="AP275" s="245"/>
      <c r="AQ275" s="245"/>
      <c r="AR275" s="246"/>
      <c r="AS275" s="245"/>
      <c r="AT275" s="245"/>
      <c r="AU275" s="245"/>
      <c r="AV275" s="245"/>
      <c r="AW275" s="245"/>
      <c r="AX275" s="246"/>
      <c r="AY275" s="245"/>
      <c r="AZ275" s="245"/>
      <c r="BA275" s="246"/>
      <c r="BB275" s="245"/>
      <c r="BC275" s="245"/>
      <c r="BD275" s="245"/>
      <c r="BE275" s="245"/>
      <c r="BF275" s="245"/>
      <c r="BG275" s="245"/>
      <c r="BH275" s="245"/>
      <c r="BI275" s="245"/>
      <c r="BJ275" s="245"/>
      <c r="BK275" s="245"/>
      <c r="BL275" s="245"/>
      <c r="BM275" s="245"/>
      <c r="BN275" s="245"/>
      <c r="BO275" s="245"/>
      <c r="BP275" s="245"/>
      <c r="BQ275" s="245"/>
      <c r="BR275" s="245"/>
      <c r="BS275" s="245"/>
      <c r="BT275" s="246"/>
      <c r="BU275" s="245"/>
      <c r="BV275" s="245"/>
      <c r="BW275" s="245"/>
      <c r="BX275" s="245"/>
      <c r="BY275" s="245"/>
      <c r="BZ275" s="282"/>
      <c r="CA275" s="245"/>
      <c r="CB275" s="245"/>
      <c r="CC275" s="245"/>
      <c r="CD275" s="245"/>
      <c r="CE275" s="245"/>
      <c r="CF275" s="245"/>
    </row>
    <row r="276">
      <c r="A276" s="245"/>
      <c r="B276" s="245"/>
      <c r="C276" s="245"/>
      <c r="D276" s="246"/>
      <c r="E276" s="245"/>
      <c r="F276" s="245"/>
      <c r="G276" s="245"/>
      <c r="H276" s="245"/>
      <c r="I276" s="245"/>
      <c r="J276" s="245"/>
      <c r="K276" s="265"/>
      <c r="L276" s="245"/>
      <c r="M276" s="245"/>
      <c r="N276" s="245"/>
      <c r="O276" s="245"/>
      <c r="P276" s="245"/>
      <c r="Q276" s="247"/>
      <c r="R276" s="254"/>
      <c r="S276" s="245"/>
      <c r="T276" s="245"/>
      <c r="U276" s="245"/>
      <c r="V276" s="245"/>
      <c r="W276" s="245"/>
      <c r="X276" s="245"/>
      <c r="Y276" s="249"/>
      <c r="Z276" s="276"/>
      <c r="AA276" s="245"/>
      <c r="AB276" s="276"/>
      <c r="AC276" s="276"/>
      <c r="AD276" s="246"/>
      <c r="AE276" s="278"/>
      <c r="AF276" s="370"/>
      <c r="AG276" s="371"/>
      <c r="AH276" s="276"/>
      <c r="AI276" s="245"/>
      <c r="AJ276" s="287"/>
      <c r="AK276" s="278"/>
      <c r="AL276" s="246"/>
      <c r="AM276" s="245"/>
      <c r="AN276" s="245"/>
      <c r="AO276" s="274"/>
      <c r="AP276" s="245"/>
      <c r="AQ276" s="245"/>
      <c r="AR276" s="246"/>
      <c r="AS276" s="245"/>
      <c r="AT276" s="245"/>
      <c r="AU276" s="245"/>
      <c r="AV276" s="245"/>
      <c r="AW276" s="245"/>
      <c r="AX276" s="246"/>
      <c r="AY276" s="245"/>
      <c r="AZ276" s="245"/>
      <c r="BA276" s="246"/>
      <c r="BB276" s="245"/>
      <c r="BC276" s="245"/>
      <c r="BD276" s="245"/>
      <c r="BE276" s="245"/>
      <c r="BF276" s="245"/>
      <c r="BG276" s="245"/>
      <c r="BH276" s="245"/>
      <c r="BI276" s="245"/>
      <c r="BJ276" s="245"/>
      <c r="BK276" s="245"/>
      <c r="BL276" s="245"/>
      <c r="BM276" s="245"/>
      <c r="BN276" s="245"/>
      <c r="BO276" s="245"/>
      <c r="BP276" s="245"/>
      <c r="BQ276" s="245"/>
      <c r="BR276" s="245"/>
      <c r="BS276" s="245"/>
      <c r="BT276" s="246"/>
      <c r="BU276" s="245"/>
      <c r="BV276" s="245"/>
      <c r="BW276" s="245"/>
      <c r="BX276" s="245"/>
      <c r="BY276" s="245"/>
      <c r="BZ276" s="282"/>
      <c r="CA276" s="245"/>
      <c r="CB276" s="245"/>
      <c r="CC276" s="245"/>
      <c r="CD276" s="245"/>
      <c r="CE276" s="245"/>
      <c r="CF276" s="245"/>
    </row>
    <row r="277">
      <c r="A277" s="245"/>
      <c r="B277" s="245"/>
      <c r="C277" s="245"/>
      <c r="D277" s="246"/>
      <c r="E277" s="245"/>
      <c r="F277" s="245"/>
      <c r="G277" s="245"/>
      <c r="H277" s="245"/>
      <c r="I277" s="245"/>
      <c r="J277" s="245"/>
      <c r="K277" s="265"/>
      <c r="L277" s="245"/>
      <c r="M277" s="245"/>
      <c r="N277" s="245"/>
      <c r="O277" s="245"/>
      <c r="P277" s="245"/>
      <c r="Q277" s="247"/>
      <c r="R277" s="254"/>
      <c r="S277" s="245"/>
      <c r="T277" s="245"/>
      <c r="U277" s="245"/>
      <c r="V277" s="245"/>
      <c r="W277" s="245"/>
      <c r="X277" s="245"/>
      <c r="Y277" s="249"/>
      <c r="Z277" s="276"/>
      <c r="AA277" s="245"/>
      <c r="AB277" s="276"/>
      <c r="AC277" s="276"/>
      <c r="AD277" s="246"/>
      <c r="AE277" s="278"/>
      <c r="AF277" s="370"/>
      <c r="AG277" s="371"/>
      <c r="AH277" s="276"/>
      <c r="AI277" s="245"/>
      <c r="AJ277" s="287"/>
      <c r="AK277" s="278"/>
      <c r="AL277" s="246"/>
      <c r="AM277" s="245"/>
      <c r="AN277" s="245"/>
      <c r="AO277" s="274"/>
      <c r="AP277" s="245"/>
      <c r="AQ277" s="245"/>
      <c r="AR277" s="246"/>
      <c r="AS277" s="245"/>
      <c r="AT277" s="245"/>
      <c r="AU277" s="245"/>
      <c r="AV277" s="245"/>
      <c r="AW277" s="245"/>
      <c r="AX277" s="246"/>
      <c r="AY277" s="245"/>
      <c r="AZ277" s="245"/>
      <c r="BA277" s="246"/>
      <c r="BB277" s="245"/>
      <c r="BC277" s="245"/>
      <c r="BD277" s="245"/>
      <c r="BE277" s="245"/>
      <c r="BF277" s="245"/>
      <c r="BG277" s="245"/>
      <c r="BH277" s="245"/>
      <c r="BI277" s="245"/>
      <c r="BJ277" s="245"/>
      <c r="BK277" s="245"/>
      <c r="BL277" s="245"/>
      <c r="BM277" s="245"/>
      <c r="BN277" s="245"/>
      <c r="BO277" s="245"/>
      <c r="BP277" s="245"/>
      <c r="BQ277" s="245"/>
      <c r="BR277" s="245"/>
      <c r="BS277" s="245"/>
      <c r="BT277" s="246"/>
      <c r="BU277" s="245"/>
      <c r="BV277" s="245"/>
      <c r="BW277" s="245"/>
      <c r="BX277" s="245"/>
      <c r="BY277" s="245"/>
      <c r="BZ277" s="282"/>
      <c r="CA277" s="245"/>
      <c r="CB277" s="245"/>
      <c r="CC277" s="245"/>
      <c r="CD277" s="245"/>
      <c r="CE277" s="245"/>
      <c r="CF277" s="245"/>
    </row>
    <row r="278">
      <c r="A278" s="245"/>
      <c r="B278" s="245"/>
      <c r="C278" s="245"/>
      <c r="D278" s="246"/>
      <c r="E278" s="245"/>
      <c r="F278" s="245"/>
      <c r="G278" s="245"/>
      <c r="H278" s="245"/>
      <c r="I278" s="245"/>
      <c r="J278" s="245"/>
      <c r="K278" s="265"/>
      <c r="L278" s="245"/>
      <c r="M278" s="245"/>
      <c r="N278" s="245"/>
      <c r="O278" s="245"/>
      <c r="P278" s="245"/>
      <c r="Q278" s="247"/>
      <c r="R278" s="254"/>
      <c r="S278" s="245"/>
      <c r="T278" s="245"/>
      <c r="U278" s="245"/>
      <c r="V278" s="245"/>
      <c r="W278" s="245"/>
      <c r="X278" s="245"/>
      <c r="Y278" s="249"/>
      <c r="Z278" s="276"/>
      <c r="AA278" s="245"/>
      <c r="AB278" s="276"/>
      <c r="AC278" s="276"/>
      <c r="AD278" s="246"/>
      <c r="AE278" s="278"/>
      <c r="AF278" s="370"/>
      <c r="AG278" s="371"/>
      <c r="AH278" s="276"/>
      <c r="AI278" s="245"/>
      <c r="AJ278" s="287"/>
      <c r="AK278" s="278"/>
      <c r="AL278" s="246"/>
      <c r="AM278" s="245"/>
      <c r="AN278" s="245"/>
      <c r="AO278" s="274"/>
      <c r="AP278" s="245"/>
      <c r="AQ278" s="245"/>
      <c r="AR278" s="246"/>
      <c r="AS278" s="245"/>
      <c r="AT278" s="245"/>
      <c r="AU278" s="245"/>
      <c r="AV278" s="245"/>
      <c r="AW278" s="245"/>
      <c r="AX278" s="246"/>
      <c r="AY278" s="245"/>
      <c r="AZ278" s="245"/>
      <c r="BA278" s="246"/>
      <c r="BB278" s="245"/>
      <c r="BC278" s="245"/>
      <c r="BD278" s="245"/>
      <c r="BE278" s="245"/>
      <c r="BF278" s="245"/>
      <c r="BG278" s="245"/>
      <c r="BH278" s="245"/>
      <c r="BI278" s="245"/>
      <c r="BJ278" s="245"/>
      <c r="BK278" s="245"/>
      <c r="BL278" s="245"/>
      <c r="BM278" s="245"/>
      <c r="BN278" s="245"/>
      <c r="BO278" s="245"/>
      <c r="BP278" s="245"/>
      <c r="BQ278" s="245"/>
      <c r="BR278" s="245"/>
      <c r="BS278" s="245"/>
      <c r="BT278" s="246"/>
      <c r="BU278" s="245"/>
      <c r="BV278" s="245"/>
      <c r="BW278" s="245"/>
      <c r="BX278" s="245"/>
      <c r="BY278" s="245"/>
      <c r="BZ278" s="282"/>
      <c r="CA278" s="245"/>
      <c r="CB278" s="245"/>
      <c r="CC278" s="245"/>
      <c r="CD278" s="245"/>
      <c r="CE278" s="245"/>
      <c r="CF278" s="245"/>
    </row>
    <row r="279">
      <c r="A279" s="245"/>
      <c r="B279" s="245"/>
      <c r="C279" s="245"/>
      <c r="D279" s="246"/>
      <c r="E279" s="245"/>
      <c r="F279" s="245"/>
      <c r="G279" s="245"/>
      <c r="H279" s="245"/>
      <c r="I279" s="245"/>
      <c r="J279" s="245"/>
      <c r="K279" s="265"/>
      <c r="L279" s="245"/>
      <c r="M279" s="245"/>
      <c r="N279" s="245"/>
      <c r="O279" s="245"/>
      <c r="P279" s="245"/>
      <c r="Q279" s="247"/>
      <c r="R279" s="254"/>
      <c r="S279" s="245"/>
      <c r="T279" s="245"/>
      <c r="U279" s="245"/>
      <c r="V279" s="245"/>
      <c r="W279" s="245"/>
      <c r="X279" s="245"/>
      <c r="Y279" s="249"/>
      <c r="Z279" s="276"/>
      <c r="AA279" s="245"/>
      <c r="AB279" s="276"/>
      <c r="AC279" s="276"/>
      <c r="AD279" s="246"/>
      <c r="AE279" s="278"/>
      <c r="AF279" s="370"/>
      <c r="AG279" s="371"/>
      <c r="AH279" s="276"/>
      <c r="AI279" s="245"/>
      <c r="AJ279" s="287"/>
      <c r="AK279" s="278"/>
      <c r="AL279" s="246"/>
      <c r="AM279" s="245"/>
      <c r="AN279" s="245"/>
      <c r="AO279" s="274"/>
      <c r="AP279" s="245"/>
      <c r="AQ279" s="245"/>
      <c r="AR279" s="246"/>
      <c r="AS279" s="245"/>
      <c r="AT279" s="245"/>
      <c r="AU279" s="245"/>
      <c r="AV279" s="245"/>
      <c r="AW279" s="245"/>
      <c r="AX279" s="246"/>
      <c r="AY279" s="245"/>
      <c r="AZ279" s="245"/>
      <c r="BA279" s="246"/>
      <c r="BB279" s="245"/>
      <c r="BC279" s="245"/>
      <c r="BD279" s="245"/>
      <c r="BE279" s="245"/>
      <c r="BF279" s="245"/>
      <c r="BG279" s="245"/>
      <c r="BH279" s="245"/>
      <c r="BI279" s="245"/>
      <c r="BJ279" s="245"/>
      <c r="BK279" s="245"/>
      <c r="BL279" s="245"/>
      <c r="BM279" s="245"/>
      <c r="BN279" s="245"/>
      <c r="BO279" s="245"/>
      <c r="BP279" s="245"/>
      <c r="BQ279" s="245"/>
      <c r="BR279" s="245"/>
      <c r="BS279" s="245"/>
      <c r="BT279" s="246"/>
      <c r="BU279" s="245"/>
      <c r="BV279" s="245"/>
      <c r="BW279" s="245"/>
      <c r="BX279" s="245"/>
      <c r="BY279" s="245"/>
      <c r="BZ279" s="282"/>
      <c r="CA279" s="245"/>
      <c r="CB279" s="245"/>
      <c r="CC279" s="245"/>
      <c r="CD279" s="245"/>
      <c r="CE279" s="245"/>
      <c r="CF279" s="245"/>
    </row>
    <row r="280">
      <c r="A280" s="245"/>
      <c r="B280" s="245"/>
      <c r="C280" s="245"/>
      <c r="D280" s="246"/>
      <c r="E280" s="245"/>
      <c r="F280" s="245"/>
      <c r="G280" s="245"/>
      <c r="H280" s="245"/>
      <c r="I280" s="245"/>
      <c r="J280" s="245"/>
      <c r="K280" s="265"/>
      <c r="L280" s="245"/>
      <c r="M280" s="245"/>
      <c r="N280" s="245"/>
      <c r="O280" s="245"/>
      <c r="P280" s="245"/>
      <c r="Q280" s="247"/>
      <c r="R280" s="254"/>
      <c r="S280" s="245"/>
      <c r="T280" s="245"/>
      <c r="U280" s="245"/>
      <c r="V280" s="245"/>
      <c r="W280" s="245"/>
      <c r="X280" s="245"/>
      <c r="Y280" s="249"/>
      <c r="Z280" s="276"/>
      <c r="AA280" s="245"/>
      <c r="AB280" s="276"/>
      <c r="AC280" s="276"/>
      <c r="AD280" s="246"/>
      <c r="AE280" s="278"/>
      <c r="AF280" s="370"/>
      <c r="AG280" s="371"/>
      <c r="AH280" s="276"/>
      <c r="AI280" s="245"/>
      <c r="AJ280" s="287"/>
      <c r="AK280" s="278"/>
      <c r="AL280" s="246"/>
      <c r="AM280" s="245"/>
      <c r="AN280" s="245"/>
      <c r="AO280" s="274"/>
      <c r="AP280" s="245"/>
      <c r="AQ280" s="245"/>
      <c r="AR280" s="246"/>
      <c r="AS280" s="245"/>
      <c r="AT280" s="245"/>
      <c r="AU280" s="245"/>
      <c r="AV280" s="245"/>
      <c r="AW280" s="245"/>
      <c r="AX280" s="246"/>
      <c r="AY280" s="245"/>
      <c r="AZ280" s="245"/>
      <c r="BA280" s="246"/>
      <c r="BB280" s="245"/>
      <c r="BC280" s="245"/>
      <c r="BD280" s="245"/>
      <c r="BE280" s="245"/>
      <c r="BF280" s="245"/>
      <c r="BG280" s="245"/>
      <c r="BH280" s="245"/>
      <c r="BI280" s="245"/>
      <c r="BJ280" s="245"/>
      <c r="BK280" s="245"/>
      <c r="BL280" s="245"/>
      <c r="BM280" s="245"/>
      <c r="BN280" s="245"/>
      <c r="BO280" s="245"/>
      <c r="BP280" s="245"/>
      <c r="BQ280" s="245"/>
      <c r="BR280" s="245"/>
      <c r="BS280" s="245"/>
      <c r="BT280" s="246"/>
      <c r="BU280" s="245"/>
      <c r="BV280" s="245"/>
      <c r="BW280" s="245"/>
      <c r="BX280" s="245"/>
      <c r="BY280" s="245"/>
      <c r="BZ280" s="282"/>
      <c r="CA280" s="245"/>
      <c r="CB280" s="245"/>
      <c r="CC280" s="245"/>
      <c r="CD280" s="245"/>
      <c r="CE280" s="245"/>
      <c r="CF280" s="245"/>
    </row>
    <row r="281">
      <c r="A281" s="245"/>
      <c r="B281" s="245"/>
      <c r="C281" s="245"/>
      <c r="D281" s="246"/>
      <c r="E281" s="245"/>
      <c r="F281" s="245"/>
      <c r="G281" s="245"/>
      <c r="H281" s="245"/>
      <c r="I281" s="245"/>
      <c r="J281" s="245"/>
      <c r="K281" s="265"/>
      <c r="L281" s="245"/>
      <c r="M281" s="245"/>
      <c r="N281" s="245"/>
      <c r="O281" s="245"/>
      <c r="P281" s="245"/>
      <c r="Q281" s="247"/>
      <c r="R281" s="254"/>
      <c r="S281" s="245"/>
      <c r="T281" s="245"/>
      <c r="U281" s="245"/>
      <c r="V281" s="245"/>
      <c r="W281" s="245"/>
      <c r="X281" s="245"/>
      <c r="Y281" s="249"/>
      <c r="Z281" s="276"/>
      <c r="AA281" s="245"/>
      <c r="AB281" s="276"/>
      <c r="AC281" s="276"/>
      <c r="AD281" s="246"/>
      <c r="AE281" s="278"/>
      <c r="AF281" s="370"/>
      <c r="AG281" s="371"/>
      <c r="AH281" s="276"/>
      <c r="AI281" s="245"/>
      <c r="AJ281" s="287"/>
      <c r="AK281" s="278"/>
      <c r="AL281" s="246"/>
      <c r="AM281" s="245"/>
      <c r="AN281" s="245"/>
      <c r="AO281" s="274"/>
      <c r="AP281" s="245"/>
      <c r="AQ281" s="245"/>
      <c r="AR281" s="246"/>
      <c r="AS281" s="245"/>
      <c r="AT281" s="245"/>
      <c r="AU281" s="245"/>
      <c r="AV281" s="245"/>
      <c r="AW281" s="245"/>
      <c r="AX281" s="246"/>
      <c r="AY281" s="245"/>
      <c r="AZ281" s="245"/>
      <c r="BA281" s="246"/>
      <c r="BB281" s="245"/>
      <c r="BC281" s="245"/>
      <c r="BD281" s="245"/>
      <c r="BE281" s="245"/>
      <c r="BF281" s="245"/>
      <c r="BG281" s="245"/>
      <c r="BH281" s="245"/>
      <c r="BI281" s="245"/>
      <c r="BJ281" s="245"/>
      <c r="BK281" s="245"/>
      <c r="BL281" s="245"/>
      <c r="BM281" s="245"/>
      <c r="BN281" s="245"/>
      <c r="BO281" s="245"/>
      <c r="BP281" s="245"/>
      <c r="BQ281" s="245"/>
      <c r="BR281" s="245"/>
      <c r="BS281" s="245"/>
      <c r="BT281" s="246"/>
      <c r="BU281" s="245"/>
      <c r="BV281" s="245"/>
      <c r="BW281" s="245"/>
      <c r="BX281" s="245"/>
      <c r="BY281" s="245"/>
      <c r="BZ281" s="282"/>
      <c r="CA281" s="245"/>
      <c r="CB281" s="245"/>
      <c r="CC281" s="245"/>
      <c r="CD281" s="245"/>
      <c r="CE281" s="245"/>
      <c r="CF281" s="245"/>
    </row>
    <row r="282">
      <c r="A282" s="245"/>
      <c r="B282" s="245"/>
      <c r="C282" s="245"/>
      <c r="D282" s="246"/>
      <c r="E282" s="245"/>
      <c r="F282" s="245"/>
      <c r="G282" s="245"/>
      <c r="H282" s="245"/>
      <c r="I282" s="245"/>
      <c r="J282" s="245"/>
      <c r="K282" s="265"/>
      <c r="L282" s="245"/>
      <c r="M282" s="245"/>
      <c r="N282" s="245"/>
      <c r="O282" s="245"/>
      <c r="P282" s="245"/>
      <c r="Q282" s="247"/>
      <c r="R282" s="254"/>
      <c r="S282" s="245"/>
      <c r="T282" s="245"/>
      <c r="U282" s="245"/>
      <c r="V282" s="245"/>
      <c r="W282" s="245"/>
      <c r="X282" s="245"/>
      <c r="Y282" s="249"/>
      <c r="Z282" s="276"/>
      <c r="AA282" s="245"/>
      <c r="AB282" s="276"/>
      <c r="AC282" s="276"/>
      <c r="AD282" s="246"/>
      <c r="AE282" s="278"/>
      <c r="AF282" s="370"/>
      <c r="AG282" s="371"/>
      <c r="AH282" s="276"/>
      <c r="AI282" s="245"/>
      <c r="AJ282" s="287"/>
      <c r="AK282" s="278"/>
      <c r="AL282" s="246"/>
      <c r="AM282" s="245"/>
      <c r="AN282" s="245"/>
      <c r="AO282" s="274"/>
      <c r="AP282" s="245"/>
      <c r="AQ282" s="245"/>
      <c r="AR282" s="246"/>
      <c r="AS282" s="245"/>
      <c r="AT282" s="245"/>
      <c r="AU282" s="245"/>
      <c r="AV282" s="245"/>
      <c r="AW282" s="245"/>
      <c r="AX282" s="246"/>
      <c r="AY282" s="245"/>
      <c r="AZ282" s="245"/>
      <c r="BA282" s="246"/>
      <c r="BB282" s="245"/>
      <c r="BC282" s="245"/>
      <c r="BD282" s="245"/>
      <c r="BE282" s="245"/>
      <c r="BF282" s="245"/>
      <c r="BG282" s="245"/>
      <c r="BH282" s="245"/>
      <c r="BI282" s="245"/>
      <c r="BJ282" s="245"/>
      <c r="BK282" s="245"/>
      <c r="BL282" s="245"/>
      <c r="BM282" s="245"/>
      <c r="BN282" s="245"/>
      <c r="BO282" s="245"/>
      <c r="BP282" s="245"/>
      <c r="BQ282" s="245"/>
      <c r="BR282" s="245"/>
      <c r="BS282" s="245"/>
      <c r="BT282" s="246"/>
      <c r="BU282" s="245"/>
      <c r="BV282" s="245"/>
      <c r="BW282" s="245"/>
      <c r="BX282" s="245"/>
      <c r="BY282" s="245"/>
      <c r="BZ282" s="282"/>
      <c r="CA282" s="245"/>
      <c r="CB282" s="245"/>
      <c r="CC282" s="245"/>
      <c r="CD282" s="245"/>
      <c r="CE282" s="245"/>
      <c r="CF282" s="245"/>
    </row>
    <row r="283">
      <c r="A283" s="245"/>
      <c r="B283" s="245"/>
      <c r="C283" s="245"/>
      <c r="D283" s="246"/>
      <c r="E283" s="245"/>
      <c r="F283" s="245"/>
      <c r="G283" s="245"/>
      <c r="H283" s="245"/>
      <c r="I283" s="245"/>
      <c r="J283" s="245"/>
      <c r="K283" s="265"/>
      <c r="L283" s="245"/>
      <c r="M283" s="245"/>
      <c r="N283" s="245"/>
      <c r="O283" s="245"/>
      <c r="P283" s="245"/>
      <c r="Q283" s="247"/>
      <c r="R283" s="254"/>
      <c r="S283" s="245"/>
      <c r="T283" s="245"/>
      <c r="U283" s="245"/>
      <c r="V283" s="245"/>
      <c r="W283" s="245"/>
      <c r="X283" s="245"/>
      <c r="Y283" s="249"/>
      <c r="Z283" s="276"/>
      <c r="AA283" s="245"/>
      <c r="AB283" s="276"/>
      <c r="AC283" s="276"/>
      <c r="AD283" s="246"/>
      <c r="AE283" s="278"/>
      <c r="AF283" s="370"/>
      <c r="AG283" s="371"/>
      <c r="AH283" s="276"/>
      <c r="AI283" s="245"/>
      <c r="AJ283" s="287"/>
      <c r="AK283" s="278"/>
      <c r="AL283" s="246"/>
      <c r="AM283" s="245"/>
      <c r="AN283" s="245"/>
      <c r="AO283" s="274"/>
      <c r="AP283" s="245"/>
      <c r="AQ283" s="245"/>
      <c r="AR283" s="246"/>
      <c r="AS283" s="245"/>
      <c r="AT283" s="245"/>
      <c r="AU283" s="245"/>
      <c r="AV283" s="245"/>
      <c r="AW283" s="245"/>
      <c r="AX283" s="246"/>
      <c r="AY283" s="245"/>
      <c r="AZ283" s="245"/>
      <c r="BA283" s="246"/>
      <c r="BB283" s="245"/>
      <c r="BC283" s="245"/>
      <c r="BD283" s="245"/>
      <c r="BE283" s="245"/>
      <c r="BF283" s="245"/>
      <c r="BG283" s="245"/>
      <c r="BH283" s="245"/>
      <c r="BI283" s="245"/>
      <c r="BJ283" s="245"/>
      <c r="BK283" s="245"/>
      <c r="BL283" s="245"/>
      <c r="BM283" s="245"/>
      <c r="BN283" s="245"/>
      <c r="BO283" s="245"/>
      <c r="BP283" s="245"/>
      <c r="BQ283" s="245"/>
      <c r="BR283" s="245"/>
      <c r="BS283" s="245"/>
      <c r="BT283" s="246"/>
      <c r="BU283" s="245"/>
      <c r="BV283" s="245"/>
      <c r="BW283" s="245"/>
      <c r="BX283" s="245"/>
      <c r="BY283" s="245"/>
      <c r="BZ283" s="282"/>
      <c r="CA283" s="245"/>
      <c r="CB283" s="245"/>
      <c r="CC283" s="245"/>
      <c r="CD283" s="245"/>
      <c r="CE283" s="245"/>
      <c r="CF283" s="245"/>
    </row>
    <row r="284">
      <c r="A284" s="245"/>
      <c r="B284" s="245"/>
      <c r="C284" s="245"/>
      <c r="D284" s="246"/>
      <c r="E284" s="245"/>
      <c r="F284" s="245"/>
      <c r="G284" s="245"/>
      <c r="H284" s="245"/>
      <c r="I284" s="245"/>
      <c r="J284" s="245"/>
      <c r="K284" s="265"/>
      <c r="L284" s="245"/>
      <c r="M284" s="245"/>
      <c r="N284" s="245"/>
      <c r="O284" s="245"/>
      <c r="P284" s="245"/>
      <c r="Q284" s="247"/>
      <c r="R284" s="254"/>
      <c r="S284" s="245"/>
      <c r="T284" s="245"/>
      <c r="U284" s="245"/>
      <c r="V284" s="245"/>
      <c r="W284" s="245"/>
      <c r="X284" s="245"/>
      <c r="Y284" s="249"/>
      <c r="Z284" s="276"/>
      <c r="AA284" s="245"/>
      <c r="AB284" s="276"/>
      <c r="AC284" s="276"/>
      <c r="AD284" s="246"/>
      <c r="AE284" s="278"/>
      <c r="AF284" s="370"/>
      <c r="AG284" s="371"/>
      <c r="AH284" s="276"/>
      <c r="AI284" s="245"/>
      <c r="AJ284" s="287"/>
      <c r="AK284" s="278"/>
      <c r="AL284" s="246"/>
      <c r="AM284" s="245"/>
      <c r="AN284" s="245"/>
      <c r="AO284" s="274"/>
      <c r="AP284" s="245"/>
      <c r="AQ284" s="245"/>
      <c r="AR284" s="246"/>
      <c r="AS284" s="245"/>
      <c r="AT284" s="245"/>
      <c r="AU284" s="245"/>
      <c r="AV284" s="245"/>
      <c r="AW284" s="245"/>
      <c r="AX284" s="246"/>
      <c r="AY284" s="245"/>
      <c r="AZ284" s="245"/>
      <c r="BA284" s="246"/>
      <c r="BB284" s="245"/>
      <c r="BC284" s="245"/>
      <c r="BD284" s="245"/>
      <c r="BE284" s="245"/>
      <c r="BF284" s="245"/>
      <c r="BG284" s="245"/>
      <c r="BH284" s="245"/>
      <c r="BI284" s="245"/>
      <c r="BJ284" s="245"/>
      <c r="BK284" s="245"/>
      <c r="BL284" s="245"/>
      <c r="BM284" s="245"/>
      <c r="BN284" s="245"/>
      <c r="BO284" s="245"/>
      <c r="BP284" s="245"/>
      <c r="BQ284" s="245"/>
      <c r="BR284" s="245"/>
      <c r="BS284" s="245"/>
      <c r="BT284" s="246"/>
      <c r="BU284" s="245"/>
      <c r="BV284" s="245"/>
      <c r="BW284" s="245"/>
      <c r="BX284" s="245"/>
      <c r="BY284" s="245"/>
      <c r="BZ284" s="282"/>
      <c r="CA284" s="245"/>
      <c r="CB284" s="245"/>
      <c r="CC284" s="245"/>
      <c r="CD284" s="245"/>
      <c r="CE284" s="245"/>
      <c r="CF284" s="245"/>
    </row>
    <row r="285">
      <c r="A285" s="245"/>
      <c r="B285" s="245"/>
      <c r="C285" s="245"/>
      <c r="D285" s="246"/>
      <c r="E285" s="245"/>
      <c r="F285" s="245"/>
      <c r="G285" s="245"/>
      <c r="H285" s="245"/>
      <c r="I285" s="245"/>
      <c r="J285" s="245"/>
      <c r="K285" s="265"/>
      <c r="L285" s="245"/>
      <c r="M285" s="245"/>
      <c r="N285" s="245"/>
      <c r="O285" s="245"/>
      <c r="P285" s="245"/>
      <c r="Q285" s="247"/>
      <c r="R285" s="254"/>
      <c r="S285" s="245"/>
      <c r="T285" s="245"/>
      <c r="U285" s="245"/>
      <c r="V285" s="245"/>
      <c r="W285" s="245"/>
      <c r="X285" s="245"/>
      <c r="Y285" s="249"/>
      <c r="Z285" s="276"/>
      <c r="AA285" s="245"/>
      <c r="AB285" s="276"/>
      <c r="AC285" s="276"/>
      <c r="AD285" s="246"/>
      <c r="AE285" s="278"/>
      <c r="AF285" s="370"/>
      <c r="AG285" s="371"/>
      <c r="AH285" s="276"/>
      <c r="AI285" s="245"/>
      <c r="AJ285" s="287"/>
      <c r="AK285" s="278"/>
      <c r="AL285" s="246"/>
      <c r="AM285" s="245"/>
      <c r="AN285" s="245"/>
      <c r="AO285" s="274"/>
      <c r="AP285" s="245"/>
      <c r="AQ285" s="245"/>
      <c r="AR285" s="246"/>
      <c r="AS285" s="245"/>
      <c r="AT285" s="245"/>
      <c r="AU285" s="245"/>
      <c r="AV285" s="245"/>
      <c r="AW285" s="245"/>
      <c r="AX285" s="246"/>
      <c r="AY285" s="245"/>
      <c r="AZ285" s="245"/>
      <c r="BA285" s="246"/>
      <c r="BB285" s="245"/>
      <c r="BC285" s="245"/>
      <c r="BD285" s="245"/>
      <c r="BE285" s="245"/>
      <c r="BF285" s="245"/>
      <c r="BG285" s="245"/>
      <c r="BH285" s="245"/>
      <c r="BI285" s="245"/>
      <c r="BJ285" s="245"/>
      <c r="BK285" s="245"/>
      <c r="BL285" s="245"/>
      <c r="BM285" s="245"/>
      <c r="BN285" s="245"/>
      <c r="BO285" s="245"/>
      <c r="BP285" s="245"/>
      <c r="BQ285" s="245"/>
      <c r="BR285" s="245"/>
      <c r="BS285" s="245"/>
      <c r="BT285" s="246"/>
      <c r="BU285" s="245"/>
      <c r="BV285" s="245"/>
      <c r="BW285" s="245"/>
      <c r="BX285" s="245"/>
      <c r="BY285" s="245"/>
      <c r="BZ285" s="282"/>
      <c r="CA285" s="245"/>
      <c r="CB285" s="245"/>
      <c r="CC285" s="245"/>
      <c r="CD285" s="245"/>
      <c r="CE285" s="245"/>
      <c r="CF285" s="245"/>
    </row>
    <row r="286">
      <c r="A286" s="245"/>
      <c r="B286" s="245"/>
      <c r="C286" s="245"/>
      <c r="D286" s="246"/>
      <c r="E286" s="245"/>
      <c r="F286" s="245"/>
      <c r="G286" s="245"/>
      <c r="H286" s="245"/>
      <c r="I286" s="245"/>
      <c r="J286" s="245"/>
      <c r="K286" s="265"/>
      <c r="L286" s="245"/>
      <c r="M286" s="245"/>
      <c r="N286" s="245"/>
      <c r="O286" s="245"/>
      <c r="P286" s="245"/>
      <c r="Q286" s="247"/>
      <c r="R286" s="254"/>
      <c r="S286" s="245"/>
      <c r="T286" s="245"/>
      <c r="U286" s="245"/>
      <c r="V286" s="245"/>
      <c r="W286" s="245"/>
      <c r="X286" s="245"/>
      <c r="Y286" s="249"/>
      <c r="Z286" s="276"/>
      <c r="AA286" s="245"/>
      <c r="AB286" s="276"/>
      <c r="AC286" s="276"/>
      <c r="AD286" s="246"/>
      <c r="AE286" s="278"/>
      <c r="AF286" s="370"/>
      <c r="AG286" s="371"/>
      <c r="AH286" s="276"/>
      <c r="AI286" s="245"/>
      <c r="AJ286" s="287"/>
      <c r="AK286" s="278"/>
      <c r="AL286" s="246"/>
      <c r="AM286" s="245"/>
      <c r="AN286" s="245"/>
      <c r="AO286" s="274"/>
      <c r="AP286" s="245"/>
      <c r="AQ286" s="245"/>
      <c r="AR286" s="246"/>
      <c r="AS286" s="245"/>
      <c r="AT286" s="245"/>
      <c r="AU286" s="245"/>
      <c r="AV286" s="245"/>
      <c r="AW286" s="245"/>
      <c r="AX286" s="246"/>
      <c r="AY286" s="245"/>
      <c r="AZ286" s="245"/>
      <c r="BA286" s="246"/>
      <c r="BB286" s="245"/>
      <c r="BC286" s="245"/>
      <c r="BD286" s="245"/>
      <c r="BE286" s="245"/>
      <c r="BF286" s="245"/>
      <c r="BG286" s="245"/>
      <c r="BH286" s="245"/>
      <c r="BI286" s="245"/>
      <c r="BJ286" s="245"/>
      <c r="BK286" s="245"/>
      <c r="BL286" s="245"/>
      <c r="BM286" s="245"/>
      <c r="BN286" s="245"/>
      <c r="BO286" s="245"/>
      <c r="BP286" s="245"/>
      <c r="BQ286" s="245"/>
      <c r="BR286" s="245"/>
      <c r="BS286" s="245"/>
      <c r="BT286" s="246"/>
      <c r="BU286" s="245"/>
      <c r="BV286" s="245"/>
      <c r="BW286" s="245"/>
      <c r="BX286" s="245"/>
      <c r="BY286" s="245"/>
      <c r="BZ286" s="282"/>
      <c r="CA286" s="245"/>
      <c r="CB286" s="245"/>
      <c r="CC286" s="245"/>
      <c r="CD286" s="245"/>
      <c r="CE286" s="245"/>
      <c r="CF286" s="245"/>
    </row>
    <row r="287">
      <c r="A287" s="245"/>
      <c r="B287" s="245"/>
      <c r="C287" s="245"/>
      <c r="D287" s="246"/>
      <c r="E287" s="245"/>
      <c r="F287" s="245"/>
      <c r="G287" s="245"/>
      <c r="H287" s="245"/>
      <c r="I287" s="245"/>
      <c r="J287" s="245"/>
      <c r="K287" s="265"/>
      <c r="L287" s="245"/>
      <c r="M287" s="245"/>
      <c r="N287" s="245"/>
      <c r="O287" s="245"/>
      <c r="P287" s="245"/>
      <c r="Q287" s="247"/>
      <c r="R287" s="254"/>
      <c r="S287" s="245"/>
      <c r="T287" s="245"/>
      <c r="U287" s="245"/>
      <c r="V287" s="245"/>
      <c r="W287" s="245"/>
      <c r="X287" s="245"/>
      <c r="Y287" s="249"/>
      <c r="Z287" s="276"/>
      <c r="AA287" s="245"/>
      <c r="AB287" s="276"/>
      <c r="AC287" s="276"/>
      <c r="AD287" s="246"/>
      <c r="AE287" s="278"/>
      <c r="AF287" s="370"/>
      <c r="AG287" s="371"/>
      <c r="AH287" s="276"/>
      <c r="AI287" s="245"/>
      <c r="AJ287" s="287"/>
      <c r="AK287" s="278"/>
      <c r="AL287" s="246"/>
      <c r="AM287" s="245"/>
      <c r="AN287" s="245"/>
      <c r="AO287" s="274"/>
      <c r="AP287" s="245"/>
      <c r="AQ287" s="245"/>
      <c r="AR287" s="246"/>
      <c r="AS287" s="245"/>
      <c r="AT287" s="245"/>
      <c r="AU287" s="245"/>
      <c r="AV287" s="245"/>
      <c r="AW287" s="245"/>
      <c r="AX287" s="246"/>
      <c r="AY287" s="245"/>
      <c r="AZ287" s="245"/>
      <c r="BA287" s="246"/>
      <c r="BB287" s="245"/>
      <c r="BC287" s="245"/>
      <c r="BD287" s="245"/>
      <c r="BE287" s="245"/>
      <c r="BF287" s="245"/>
      <c r="BG287" s="245"/>
      <c r="BH287" s="245"/>
      <c r="BI287" s="245"/>
      <c r="BJ287" s="245"/>
      <c r="BK287" s="245"/>
      <c r="BL287" s="245"/>
      <c r="BM287" s="245"/>
      <c r="BN287" s="245"/>
      <c r="BO287" s="245"/>
      <c r="BP287" s="245"/>
      <c r="BQ287" s="245"/>
      <c r="BR287" s="245"/>
      <c r="BS287" s="245"/>
      <c r="BT287" s="246"/>
      <c r="BU287" s="245"/>
      <c r="BV287" s="245"/>
      <c r="BW287" s="245"/>
      <c r="BX287" s="245"/>
      <c r="BY287" s="245"/>
      <c r="BZ287" s="282"/>
      <c r="CA287" s="245"/>
      <c r="CB287" s="245"/>
      <c r="CC287" s="245"/>
      <c r="CD287" s="245"/>
      <c r="CE287" s="245"/>
      <c r="CF287" s="245"/>
    </row>
    <row r="288">
      <c r="A288" s="245"/>
      <c r="B288" s="245"/>
      <c r="C288" s="245"/>
      <c r="D288" s="246"/>
      <c r="E288" s="245"/>
      <c r="F288" s="245"/>
      <c r="G288" s="245"/>
      <c r="H288" s="245"/>
      <c r="I288" s="245"/>
      <c r="J288" s="245"/>
      <c r="K288" s="265"/>
      <c r="L288" s="245"/>
      <c r="M288" s="245"/>
      <c r="N288" s="245"/>
      <c r="O288" s="245"/>
      <c r="P288" s="245"/>
      <c r="Q288" s="247"/>
      <c r="R288" s="254"/>
      <c r="S288" s="245"/>
      <c r="T288" s="245"/>
      <c r="U288" s="245"/>
      <c r="V288" s="245"/>
      <c r="W288" s="245"/>
      <c r="X288" s="245"/>
      <c r="Y288" s="249"/>
      <c r="Z288" s="276"/>
      <c r="AA288" s="245"/>
      <c r="AB288" s="276"/>
      <c r="AC288" s="276"/>
      <c r="AD288" s="246"/>
      <c r="AE288" s="278"/>
      <c r="AF288" s="370"/>
      <c r="AG288" s="371"/>
      <c r="AH288" s="276"/>
      <c r="AI288" s="245"/>
      <c r="AJ288" s="287"/>
      <c r="AK288" s="278"/>
      <c r="AL288" s="246"/>
      <c r="AM288" s="245"/>
      <c r="AN288" s="245"/>
      <c r="AO288" s="274"/>
      <c r="AP288" s="245"/>
      <c r="AQ288" s="245"/>
      <c r="AR288" s="246"/>
      <c r="AS288" s="245"/>
      <c r="AT288" s="245"/>
      <c r="AU288" s="245"/>
      <c r="AV288" s="245"/>
      <c r="AW288" s="245"/>
      <c r="AX288" s="246"/>
      <c r="AY288" s="245"/>
      <c r="AZ288" s="245"/>
      <c r="BA288" s="246"/>
      <c r="BB288" s="245"/>
      <c r="BC288" s="245"/>
      <c r="BD288" s="245"/>
      <c r="BE288" s="245"/>
      <c r="BF288" s="245"/>
      <c r="BG288" s="245"/>
      <c r="BH288" s="245"/>
      <c r="BI288" s="245"/>
      <c r="BJ288" s="245"/>
      <c r="BK288" s="245"/>
      <c r="BL288" s="245"/>
      <c r="BM288" s="245"/>
      <c r="BN288" s="245"/>
      <c r="BO288" s="245"/>
      <c r="BP288" s="245"/>
      <c r="BQ288" s="245"/>
      <c r="BR288" s="245"/>
      <c r="BS288" s="245"/>
      <c r="BT288" s="246"/>
      <c r="BU288" s="245"/>
      <c r="BV288" s="245"/>
      <c r="BW288" s="245"/>
      <c r="BX288" s="245"/>
      <c r="BY288" s="245"/>
      <c r="BZ288" s="282"/>
      <c r="CA288" s="245"/>
      <c r="CB288" s="245"/>
      <c r="CC288" s="245"/>
      <c r="CD288" s="245"/>
      <c r="CE288" s="245"/>
      <c r="CF288" s="245"/>
    </row>
    <row r="289">
      <c r="A289" s="245"/>
      <c r="B289" s="245"/>
      <c r="C289" s="245"/>
      <c r="D289" s="246"/>
      <c r="E289" s="245"/>
      <c r="F289" s="245"/>
      <c r="G289" s="245"/>
      <c r="H289" s="245"/>
      <c r="I289" s="245"/>
      <c r="J289" s="245"/>
      <c r="K289" s="265"/>
      <c r="L289" s="245"/>
      <c r="M289" s="245"/>
      <c r="N289" s="245"/>
      <c r="O289" s="245"/>
      <c r="P289" s="245"/>
      <c r="Q289" s="247"/>
      <c r="R289" s="254"/>
      <c r="S289" s="245"/>
      <c r="T289" s="245"/>
      <c r="U289" s="245"/>
      <c r="V289" s="245"/>
      <c r="W289" s="245"/>
      <c r="X289" s="245"/>
      <c r="Y289" s="249"/>
      <c r="Z289" s="276"/>
      <c r="AA289" s="245"/>
      <c r="AB289" s="276"/>
      <c r="AC289" s="276"/>
      <c r="AD289" s="246"/>
      <c r="AE289" s="278"/>
      <c r="AF289" s="370"/>
      <c r="AG289" s="371"/>
      <c r="AH289" s="276"/>
      <c r="AI289" s="245"/>
      <c r="AJ289" s="287"/>
      <c r="AK289" s="278"/>
      <c r="AL289" s="246"/>
      <c r="AM289" s="245"/>
      <c r="AN289" s="245"/>
      <c r="AO289" s="274"/>
      <c r="AP289" s="245"/>
      <c r="AQ289" s="245"/>
      <c r="AR289" s="246"/>
      <c r="AS289" s="245"/>
      <c r="AT289" s="245"/>
      <c r="AU289" s="245"/>
      <c r="AV289" s="245"/>
      <c r="AW289" s="245"/>
      <c r="AX289" s="246"/>
      <c r="AY289" s="245"/>
      <c r="AZ289" s="245"/>
      <c r="BA289" s="246"/>
      <c r="BB289" s="245"/>
      <c r="BC289" s="245"/>
      <c r="BD289" s="245"/>
      <c r="BE289" s="245"/>
      <c r="BF289" s="245"/>
      <c r="BG289" s="245"/>
      <c r="BH289" s="245"/>
      <c r="BI289" s="245"/>
      <c r="BJ289" s="245"/>
      <c r="BK289" s="245"/>
      <c r="BL289" s="245"/>
      <c r="BM289" s="245"/>
      <c r="BN289" s="245"/>
      <c r="BO289" s="245"/>
      <c r="BP289" s="245"/>
      <c r="BQ289" s="245"/>
      <c r="BR289" s="245"/>
      <c r="BS289" s="245"/>
      <c r="BT289" s="246"/>
      <c r="BU289" s="245"/>
      <c r="BV289" s="245"/>
      <c r="BW289" s="245"/>
      <c r="BX289" s="245"/>
      <c r="BY289" s="245"/>
      <c r="BZ289" s="282"/>
      <c r="CA289" s="245"/>
      <c r="CB289" s="245"/>
      <c r="CC289" s="245"/>
      <c r="CD289" s="245"/>
      <c r="CE289" s="245"/>
      <c r="CF289" s="245"/>
    </row>
    <row r="290">
      <c r="A290" s="245"/>
      <c r="B290" s="245"/>
      <c r="C290" s="245"/>
      <c r="D290" s="246"/>
      <c r="E290" s="245"/>
      <c r="F290" s="245"/>
      <c r="G290" s="245"/>
      <c r="H290" s="245"/>
      <c r="I290" s="245"/>
      <c r="J290" s="245"/>
      <c r="K290" s="265"/>
      <c r="L290" s="245"/>
      <c r="M290" s="245"/>
      <c r="N290" s="245"/>
      <c r="O290" s="245"/>
      <c r="P290" s="245"/>
      <c r="Q290" s="247"/>
      <c r="R290" s="254"/>
      <c r="S290" s="245"/>
      <c r="T290" s="245"/>
      <c r="U290" s="245"/>
      <c r="V290" s="245"/>
      <c r="W290" s="245"/>
      <c r="X290" s="245"/>
      <c r="Y290" s="249"/>
      <c r="Z290" s="276"/>
      <c r="AA290" s="245"/>
      <c r="AB290" s="276"/>
      <c r="AC290" s="276"/>
      <c r="AD290" s="246"/>
      <c r="AE290" s="278"/>
      <c r="AF290" s="370"/>
      <c r="AG290" s="371"/>
      <c r="AH290" s="276"/>
      <c r="AI290" s="245"/>
      <c r="AJ290" s="287"/>
      <c r="AK290" s="278"/>
      <c r="AL290" s="246"/>
      <c r="AM290" s="245"/>
      <c r="AN290" s="245"/>
      <c r="AO290" s="274"/>
      <c r="AP290" s="245"/>
      <c r="AQ290" s="245"/>
      <c r="AR290" s="246"/>
      <c r="AS290" s="245"/>
      <c r="AT290" s="245"/>
      <c r="AU290" s="245"/>
      <c r="AV290" s="245"/>
      <c r="AW290" s="245"/>
      <c r="AX290" s="246"/>
      <c r="AY290" s="245"/>
      <c r="AZ290" s="245"/>
      <c r="BA290" s="246"/>
      <c r="BB290" s="245"/>
      <c r="BC290" s="245"/>
      <c r="BD290" s="245"/>
      <c r="BE290" s="245"/>
      <c r="BF290" s="245"/>
      <c r="BG290" s="245"/>
      <c r="BH290" s="245"/>
      <c r="BI290" s="245"/>
      <c r="BJ290" s="245"/>
      <c r="BK290" s="245"/>
      <c r="BL290" s="245"/>
      <c r="BM290" s="245"/>
      <c r="BN290" s="245"/>
      <c r="BO290" s="245"/>
      <c r="BP290" s="245"/>
      <c r="BQ290" s="245"/>
      <c r="BR290" s="245"/>
      <c r="BS290" s="245"/>
      <c r="BT290" s="246"/>
      <c r="BU290" s="245"/>
      <c r="BV290" s="245"/>
      <c r="BW290" s="245"/>
      <c r="BX290" s="245"/>
      <c r="BY290" s="245"/>
      <c r="BZ290" s="282"/>
      <c r="CA290" s="245"/>
      <c r="CB290" s="245"/>
      <c r="CC290" s="245"/>
      <c r="CD290" s="245"/>
      <c r="CE290" s="245"/>
      <c r="CF290" s="245"/>
    </row>
    <row r="291">
      <c r="A291" s="245"/>
      <c r="B291" s="245"/>
      <c r="C291" s="245"/>
      <c r="D291" s="246"/>
      <c r="E291" s="245"/>
      <c r="F291" s="245"/>
      <c r="G291" s="245"/>
      <c r="H291" s="245"/>
      <c r="I291" s="245"/>
      <c r="J291" s="245"/>
      <c r="K291" s="265"/>
      <c r="L291" s="245"/>
      <c r="M291" s="245"/>
      <c r="N291" s="245"/>
      <c r="O291" s="245"/>
      <c r="P291" s="245"/>
      <c r="Q291" s="247"/>
      <c r="R291" s="254"/>
      <c r="S291" s="245"/>
      <c r="T291" s="245"/>
      <c r="U291" s="245"/>
      <c r="V291" s="245"/>
      <c r="W291" s="245"/>
      <c r="X291" s="245"/>
      <c r="Y291" s="249"/>
      <c r="Z291" s="276"/>
      <c r="AA291" s="245"/>
      <c r="AB291" s="276"/>
      <c r="AC291" s="276"/>
      <c r="AD291" s="246"/>
      <c r="AE291" s="278"/>
      <c r="AF291" s="370"/>
      <c r="AG291" s="371"/>
      <c r="AH291" s="276"/>
      <c r="AI291" s="245"/>
      <c r="AJ291" s="287"/>
      <c r="AK291" s="278"/>
      <c r="AL291" s="246"/>
      <c r="AM291" s="245"/>
      <c r="AN291" s="245"/>
      <c r="AO291" s="274"/>
      <c r="AP291" s="245"/>
      <c r="AQ291" s="245"/>
      <c r="AR291" s="246"/>
      <c r="AS291" s="245"/>
      <c r="AT291" s="245"/>
      <c r="AU291" s="245"/>
      <c r="AV291" s="245"/>
      <c r="AW291" s="245"/>
      <c r="AX291" s="246"/>
      <c r="AY291" s="245"/>
      <c r="AZ291" s="245"/>
      <c r="BA291" s="246"/>
      <c r="BB291" s="245"/>
      <c r="BC291" s="245"/>
      <c r="BD291" s="245"/>
      <c r="BE291" s="245"/>
      <c r="BF291" s="245"/>
      <c r="BG291" s="245"/>
      <c r="BH291" s="245"/>
      <c r="BI291" s="245"/>
      <c r="BJ291" s="245"/>
      <c r="BK291" s="245"/>
      <c r="BL291" s="245"/>
      <c r="BM291" s="245"/>
      <c r="BN291" s="245"/>
      <c r="BO291" s="245"/>
      <c r="BP291" s="245"/>
      <c r="BQ291" s="245"/>
      <c r="BR291" s="245"/>
      <c r="BS291" s="245"/>
      <c r="BT291" s="246"/>
      <c r="BU291" s="245"/>
      <c r="BV291" s="245"/>
      <c r="BW291" s="245"/>
      <c r="BX291" s="245"/>
      <c r="BY291" s="245"/>
      <c r="BZ291" s="282"/>
      <c r="CA291" s="245"/>
      <c r="CB291" s="245"/>
      <c r="CC291" s="245"/>
      <c r="CD291" s="245"/>
      <c r="CE291" s="245"/>
      <c r="CF291" s="245"/>
    </row>
    <row r="292">
      <c r="A292" s="305"/>
      <c r="B292" s="245"/>
      <c r="C292" s="245"/>
      <c r="D292" s="246"/>
      <c r="E292" s="245"/>
      <c r="F292" s="245"/>
      <c r="G292" s="245"/>
      <c r="H292" s="245"/>
      <c r="I292" s="245"/>
      <c r="J292" s="245"/>
      <c r="K292" s="265"/>
      <c r="L292" s="245"/>
      <c r="M292" s="245"/>
      <c r="N292" s="245"/>
      <c r="O292" s="245"/>
      <c r="P292" s="245"/>
      <c r="Q292" s="247"/>
      <c r="R292" s="254"/>
      <c r="S292" s="245"/>
      <c r="T292" s="245"/>
      <c r="U292" s="245"/>
      <c r="V292" s="245"/>
      <c r="W292" s="245"/>
      <c r="X292" s="245"/>
      <c r="Y292" s="249"/>
      <c r="Z292" s="276"/>
      <c r="AA292" s="245"/>
      <c r="AB292" s="276"/>
      <c r="AC292" s="276"/>
      <c r="AD292" s="246"/>
      <c r="AE292" s="278"/>
      <c r="AF292" s="370"/>
      <c r="AG292" s="371"/>
      <c r="AH292" s="276"/>
      <c r="AI292" s="245"/>
      <c r="AJ292" s="287"/>
      <c r="AK292" s="278"/>
      <c r="AL292" s="246"/>
      <c r="AM292" s="245"/>
      <c r="AN292" s="245"/>
      <c r="AO292" s="274"/>
      <c r="AP292" s="245"/>
      <c r="AQ292" s="245"/>
      <c r="AR292" s="246"/>
      <c r="AS292" s="245"/>
      <c r="AT292" s="245"/>
      <c r="AU292" s="245"/>
      <c r="AV292" s="245"/>
      <c r="AW292" s="245"/>
      <c r="AX292" s="246"/>
      <c r="AY292" s="245"/>
      <c r="AZ292" s="245"/>
      <c r="BA292" s="246"/>
      <c r="BB292" s="245"/>
      <c r="BC292" s="245"/>
      <c r="BD292" s="245"/>
      <c r="BE292" s="245"/>
      <c r="BF292" s="245"/>
      <c r="BG292" s="245"/>
      <c r="BH292" s="245"/>
      <c r="BI292" s="245"/>
      <c r="BJ292" s="245"/>
      <c r="BK292" s="245"/>
      <c r="BL292" s="245"/>
      <c r="BM292" s="245"/>
      <c r="BN292" s="245"/>
      <c r="BO292" s="245"/>
      <c r="BP292" s="245"/>
      <c r="BQ292" s="245"/>
      <c r="BR292" s="245"/>
      <c r="BS292" s="245"/>
      <c r="BT292" s="246"/>
      <c r="BU292" s="245"/>
      <c r="BV292" s="245"/>
      <c r="BW292" s="245"/>
      <c r="BX292" s="245"/>
      <c r="BY292" s="245"/>
      <c r="BZ292" s="282"/>
      <c r="CA292" s="245"/>
      <c r="CB292" s="245"/>
      <c r="CC292" s="245"/>
      <c r="CD292" s="245"/>
      <c r="CE292" s="245"/>
      <c r="CF292" s="245"/>
    </row>
    <row r="293">
      <c r="A293" s="245"/>
      <c r="B293" s="245"/>
      <c r="C293" s="245"/>
      <c r="D293" s="246"/>
      <c r="E293" s="245"/>
      <c r="F293" s="245"/>
      <c r="G293" s="245"/>
      <c r="H293" s="245"/>
      <c r="I293" s="245"/>
      <c r="J293" s="245"/>
      <c r="K293" s="265"/>
      <c r="L293" s="245"/>
      <c r="M293" s="245"/>
      <c r="N293" s="245"/>
      <c r="O293" s="245"/>
      <c r="P293" s="245"/>
      <c r="Q293" s="247"/>
      <c r="R293" s="254"/>
      <c r="S293" s="245"/>
      <c r="T293" s="245"/>
      <c r="U293" s="245"/>
      <c r="V293" s="245"/>
      <c r="W293" s="245"/>
      <c r="X293" s="245"/>
      <c r="Y293" s="249"/>
      <c r="Z293" s="276"/>
      <c r="AA293" s="245"/>
      <c r="AB293" s="276"/>
      <c r="AC293" s="276"/>
      <c r="AD293" s="246"/>
      <c r="AE293" s="278"/>
      <c r="AF293" s="370"/>
      <c r="AG293" s="371"/>
      <c r="AH293" s="276"/>
      <c r="AI293" s="245"/>
      <c r="AJ293" s="287"/>
      <c r="AK293" s="278"/>
      <c r="AL293" s="246"/>
      <c r="AM293" s="245"/>
      <c r="AN293" s="245"/>
      <c r="AO293" s="274"/>
      <c r="AP293" s="245"/>
      <c r="AQ293" s="245"/>
      <c r="AR293" s="246"/>
      <c r="AS293" s="245"/>
      <c r="AT293" s="245"/>
      <c r="AU293" s="245"/>
      <c r="AV293" s="245"/>
      <c r="AW293" s="245"/>
      <c r="AX293" s="246"/>
      <c r="AY293" s="245"/>
      <c r="AZ293" s="245"/>
      <c r="BA293" s="246"/>
      <c r="BB293" s="245"/>
      <c r="BC293" s="245"/>
      <c r="BD293" s="245"/>
      <c r="BE293" s="245"/>
      <c r="BF293" s="245"/>
      <c r="BG293" s="245"/>
      <c r="BH293" s="245"/>
      <c r="BI293" s="245"/>
      <c r="BJ293" s="245"/>
      <c r="BK293" s="245"/>
      <c r="BL293" s="245"/>
      <c r="BM293" s="245"/>
      <c r="BN293" s="245"/>
      <c r="BO293" s="245"/>
      <c r="BP293" s="245"/>
      <c r="BQ293" s="245"/>
      <c r="BR293" s="245"/>
      <c r="BS293" s="245"/>
      <c r="BT293" s="246"/>
      <c r="BU293" s="245"/>
      <c r="BV293" s="245"/>
      <c r="BW293" s="245"/>
      <c r="BX293" s="245"/>
      <c r="BY293" s="245"/>
      <c r="BZ293" s="282"/>
      <c r="CA293" s="245"/>
      <c r="CB293" s="245"/>
      <c r="CC293" s="245"/>
      <c r="CD293" s="245"/>
      <c r="CE293" s="245"/>
      <c r="CF293" s="245"/>
    </row>
    <row r="294">
      <c r="A294" s="245"/>
      <c r="B294" s="245"/>
      <c r="C294" s="245"/>
      <c r="D294" s="246"/>
      <c r="E294" s="245"/>
      <c r="F294" s="245"/>
      <c r="G294" s="245"/>
      <c r="H294" s="245"/>
      <c r="I294" s="245"/>
      <c r="J294" s="245"/>
      <c r="K294" s="265"/>
      <c r="L294" s="245"/>
      <c r="M294" s="245"/>
      <c r="N294" s="245"/>
      <c r="O294" s="245"/>
      <c r="P294" s="245"/>
      <c r="Q294" s="247"/>
      <c r="R294" s="254"/>
      <c r="S294" s="245"/>
      <c r="T294" s="245"/>
      <c r="U294" s="245"/>
      <c r="V294" s="245"/>
      <c r="W294" s="245"/>
      <c r="X294" s="245"/>
      <c r="Y294" s="249"/>
      <c r="Z294" s="276"/>
      <c r="AA294" s="245"/>
      <c r="AB294" s="276"/>
      <c r="AC294" s="276"/>
      <c r="AD294" s="246"/>
      <c r="AE294" s="278"/>
      <c r="AF294" s="370"/>
      <c r="AG294" s="371"/>
      <c r="AH294" s="276"/>
      <c r="AI294" s="245"/>
      <c r="AJ294" s="287"/>
      <c r="AK294" s="278"/>
      <c r="AL294" s="246"/>
      <c r="AM294" s="245"/>
      <c r="AN294" s="245"/>
      <c r="AO294" s="274"/>
      <c r="AP294" s="245"/>
      <c r="AQ294" s="245"/>
      <c r="AR294" s="246"/>
      <c r="AS294" s="245"/>
      <c r="AT294" s="245"/>
      <c r="AU294" s="245"/>
      <c r="AV294" s="245"/>
      <c r="AW294" s="245"/>
      <c r="AX294" s="246"/>
      <c r="AY294" s="245"/>
      <c r="AZ294" s="245"/>
      <c r="BA294" s="246"/>
      <c r="BB294" s="245"/>
      <c r="BC294" s="245"/>
      <c r="BD294" s="245"/>
      <c r="BE294" s="245"/>
      <c r="BF294" s="245"/>
      <c r="BG294" s="245"/>
      <c r="BH294" s="245"/>
      <c r="BI294" s="245"/>
      <c r="BJ294" s="245"/>
      <c r="BK294" s="245"/>
      <c r="BL294" s="245"/>
      <c r="BM294" s="245"/>
      <c r="BN294" s="245"/>
      <c r="BO294" s="245"/>
      <c r="BP294" s="245"/>
      <c r="BQ294" s="245"/>
      <c r="BR294" s="245"/>
      <c r="BS294" s="245"/>
      <c r="BT294" s="246"/>
      <c r="BU294" s="245"/>
      <c r="BV294" s="245"/>
      <c r="BW294" s="245"/>
      <c r="BX294" s="245"/>
      <c r="BY294" s="245"/>
      <c r="BZ294" s="282"/>
      <c r="CA294" s="245"/>
      <c r="CB294" s="245"/>
      <c r="CC294" s="245"/>
      <c r="CD294" s="245"/>
      <c r="CE294" s="245"/>
      <c r="CF294" s="245"/>
    </row>
    <row r="295">
      <c r="A295" s="245"/>
      <c r="B295" s="245"/>
      <c r="C295" s="245"/>
      <c r="D295" s="246"/>
      <c r="E295" s="245"/>
      <c r="F295" s="245"/>
      <c r="G295" s="245"/>
      <c r="H295" s="245"/>
      <c r="I295" s="245"/>
      <c r="J295" s="245"/>
      <c r="K295" s="265"/>
      <c r="L295" s="245"/>
      <c r="M295" s="245"/>
      <c r="N295" s="245"/>
      <c r="O295" s="245"/>
      <c r="P295" s="245"/>
      <c r="Q295" s="247"/>
      <c r="R295" s="254"/>
      <c r="S295" s="245"/>
      <c r="T295" s="245"/>
      <c r="U295" s="245"/>
      <c r="V295" s="245"/>
      <c r="W295" s="245"/>
      <c r="X295" s="245"/>
      <c r="Y295" s="249"/>
      <c r="Z295" s="276"/>
      <c r="AA295" s="245"/>
      <c r="AB295" s="276"/>
      <c r="AC295" s="276"/>
      <c r="AD295" s="246"/>
      <c r="AE295" s="278"/>
      <c r="AF295" s="370"/>
      <c r="AG295" s="371"/>
      <c r="AH295" s="276"/>
      <c r="AI295" s="245"/>
      <c r="AJ295" s="287"/>
      <c r="AK295" s="278"/>
      <c r="AL295" s="246"/>
      <c r="AM295" s="245"/>
      <c r="AN295" s="245"/>
      <c r="AO295" s="274"/>
      <c r="AP295" s="245"/>
      <c r="AQ295" s="245"/>
      <c r="AR295" s="246"/>
      <c r="AS295" s="245"/>
      <c r="AT295" s="245"/>
      <c r="AU295" s="245"/>
      <c r="AV295" s="245"/>
      <c r="AW295" s="245"/>
      <c r="AX295" s="246"/>
      <c r="AY295" s="245"/>
      <c r="AZ295" s="245"/>
      <c r="BA295" s="246"/>
      <c r="BB295" s="245"/>
      <c r="BC295" s="245"/>
      <c r="BD295" s="245"/>
      <c r="BE295" s="245"/>
      <c r="BF295" s="245"/>
      <c r="BG295" s="245"/>
      <c r="BH295" s="245"/>
      <c r="BI295" s="245"/>
      <c r="BJ295" s="245"/>
      <c r="BK295" s="245"/>
      <c r="BL295" s="245"/>
      <c r="BM295" s="245"/>
      <c r="BN295" s="245"/>
      <c r="BO295" s="245"/>
      <c r="BP295" s="245"/>
      <c r="BQ295" s="245"/>
      <c r="BR295" s="245"/>
      <c r="BS295" s="245"/>
      <c r="BT295" s="246"/>
      <c r="BU295" s="245"/>
      <c r="BV295" s="245"/>
      <c r="BW295" s="245"/>
      <c r="BX295" s="245"/>
      <c r="BY295" s="245"/>
      <c r="BZ295" s="282"/>
      <c r="CA295" s="245"/>
      <c r="CB295" s="245"/>
      <c r="CC295" s="245"/>
      <c r="CD295" s="245"/>
      <c r="CE295" s="245"/>
      <c r="CF295" s="245"/>
    </row>
    <row r="296">
      <c r="A296" s="245"/>
      <c r="B296" s="245"/>
      <c r="C296" s="245"/>
      <c r="D296" s="246"/>
      <c r="E296" s="245"/>
      <c r="F296" s="245"/>
      <c r="G296" s="245"/>
      <c r="H296" s="245"/>
      <c r="I296" s="245"/>
      <c r="J296" s="245"/>
      <c r="K296" s="265"/>
      <c r="L296" s="245"/>
      <c r="M296" s="245"/>
      <c r="N296" s="245"/>
      <c r="O296" s="245"/>
      <c r="P296" s="245"/>
      <c r="Q296" s="247"/>
      <c r="R296" s="254"/>
      <c r="S296" s="245"/>
      <c r="T296" s="245"/>
      <c r="U296" s="245"/>
      <c r="V296" s="245"/>
      <c r="W296" s="245"/>
      <c r="X296" s="245"/>
      <c r="Y296" s="249"/>
      <c r="Z296" s="276"/>
      <c r="AA296" s="245"/>
      <c r="AB296" s="276"/>
      <c r="AC296" s="276"/>
      <c r="AD296" s="246"/>
      <c r="AE296" s="278"/>
      <c r="AF296" s="370"/>
      <c r="AG296" s="371"/>
      <c r="AH296" s="276"/>
      <c r="AI296" s="245"/>
      <c r="AJ296" s="287"/>
      <c r="AK296" s="278"/>
      <c r="AL296" s="246"/>
      <c r="AM296" s="245"/>
      <c r="AN296" s="245"/>
      <c r="AO296" s="274"/>
      <c r="AP296" s="245"/>
      <c r="AQ296" s="245"/>
      <c r="AR296" s="246"/>
      <c r="AS296" s="245"/>
      <c r="AT296" s="245"/>
      <c r="AU296" s="245"/>
      <c r="AV296" s="245"/>
      <c r="AW296" s="245"/>
      <c r="AX296" s="246"/>
      <c r="AY296" s="245"/>
      <c r="AZ296" s="245"/>
      <c r="BA296" s="246"/>
      <c r="BB296" s="245"/>
      <c r="BC296" s="245"/>
      <c r="BD296" s="245"/>
      <c r="BE296" s="245"/>
      <c r="BF296" s="245"/>
      <c r="BG296" s="245"/>
      <c r="BH296" s="245"/>
      <c r="BI296" s="245"/>
      <c r="BJ296" s="245"/>
      <c r="BK296" s="245"/>
      <c r="BL296" s="245"/>
      <c r="BM296" s="245"/>
      <c r="BN296" s="245"/>
      <c r="BO296" s="245"/>
      <c r="BP296" s="245"/>
      <c r="BQ296" s="245"/>
      <c r="BR296" s="245"/>
      <c r="BS296" s="245"/>
      <c r="BT296" s="246"/>
      <c r="BU296" s="245"/>
      <c r="BV296" s="245"/>
      <c r="BW296" s="245"/>
      <c r="BX296" s="245"/>
      <c r="BY296" s="245"/>
      <c r="BZ296" s="282"/>
      <c r="CA296" s="245"/>
      <c r="CB296" s="245"/>
      <c r="CC296" s="245"/>
      <c r="CD296" s="245"/>
      <c r="CE296" s="245"/>
      <c r="CF296" s="245"/>
    </row>
    <row r="297">
      <c r="A297" s="245"/>
      <c r="B297" s="245"/>
      <c r="C297" s="245"/>
      <c r="D297" s="246"/>
      <c r="E297" s="245"/>
      <c r="F297" s="245"/>
      <c r="G297" s="245"/>
      <c r="H297" s="245"/>
      <c r="I297" s="245"/>
      <c r="J297" s="245"/>
      <c r="K297" s="265"/>
      <c r="L297" s="245"/>
      <c r="M297" s="245"/>
      <c r="N297" s="245"/>
      <c r="O297" s="245"/>
      <c r="P297" s="245"/>
      <c r="Q297" s="247"/>
      <c r="R297" s="254"/>
      <c r="S297" s="245"/>
      <c r="T297" s="245"/>
      <c r="U297" s="245"/>
      <c r="V297" s="245"/>
      <c r="W297" s="245"/>
      <c r="X297" s="245"/>
      <c r="Y297" s="249"/>
      <c r="Z297" s="276"/>
      <c r="AA297" s="245"/>
      <c r="AB297" s="276"/>
      <c r="AC297" s="276"/>
      <c r="AD297" s="246"/>
      <c r="AE297" s="278"/>
      <c r="AF297" s="370"/>
      <c r="AG297" s="371"/>
      <c r="AH297" s="276"/>
      <c r="AI297" s="245"/>
      <c r="AJ297" s="287"/>
      <c r="AK297" s="278"/>
      <c r="AL297" s="246"/>
      <c r="AM297" s="245"/>
      <c r="AN297" s="245"/>
      <c r="AO297" s="274"/>
      <c r="AP297" s="245"/>
      <c r="AQ297" s="245"/>
      <c r="AR297" s="246"/>
      <c r="AS297" s="245"/>
      <c r="AT297" s="245"/>
      <c r="AU297" s="245"/>
      <c r="AV297" s="245"/>
      <c r="AW297" s="245"/>
      <c r="AX297" s="246"/>
      <c r="AY297" s="245"/>
      <c r="AZ297" s="245"/>
      <c r="BA297" s="246"/>
      <c r="BB297" s="245"/>
      <c r="BC297" s="245"/>
      <c r="BD297" s="245"/>
      <c r="BE297" s="245"/>
      <c r="BF297" s="245"/>
      <c r="BG297" s="245"/>
      <c r="BH297" s="245"/>
      <c r="BI297" s="245"/>
      <c r="BJ297" s="245"/>
      <c r="BK297" s="245"/>
      <c r="BL297" s="245"/>
      <c r="BM297" s="245"/>
      <c r="BN297" s="245"/>
      <c r="BO297" s="245"/>
      <c r="BP297" s="245"/>
      <c r="BQ297" s="245"/>
      <c r="BR297" s="245"/>
      <c r="BS297" s="245"/>
      <c r="BT297" s="246"/>
      <c r="BU297" s="245"/>
      <c r="BV297" s="245"/>
      <c r="BW297" s="245"/>
      <c r="BX297" s="245"/>
      <c r="BY297" s="245"/>
      <c r="BZ297" s="282"/>
      <c r="CA297" s="245"/>
      <c r="CB297" s="245"/>
      <c r="CC297" s="245"/>
      <c r="CD297" s="245"/>
      <c r="CE297" s="245"/>
      <c r="CF297" s="245"/>
    </row>
    <row r="298">
      <c r="A298" s="245"/>
      <c r="B298" s="245"/>
      <c r="C298" s="245"/>
      <c r="D298" s="246"/>
      <c r="E298" s="245"/>
      <c r="F298" s="245"/>
      <c r="G298" s="245"/>
      <c r="H298" s="245"/>
      <c r="I298" s="245"/>
      <c r="J298" s="245"/>
      <c r="K298" s="265"/>
      <c r="L298" s="245"/>
      <c r="M298" s="245"/>
      <c r="N298" s="245"/>
      <c r="O298" s="245"/>
      <c r="P298" s="245"/>
      <c r="Q298" s="247"/>
      <c r="R298" s="254"/>
      <c r="S298" s="245"/>
      <c r="T298" s="245"/>
      <c r="U298" s="245"/>
      <c r="V298" s="245"/>
      <c r="W298" s="245"/>
      <c r="X298" s="245"/>
      <c r="Y298" s="249"/>
      <c r="Z298" s="276"/>
      <c r="AA298" s="245"/>
      <c r="AB298" s="276"/>
      <c r="AC298" s="276"/>
      <c r="AD298" s="246"/>
      <c r="AE298" s="278"/>
      <c r="AF298" s="370"/>
      <c r="AG298" s="371"/>
      <c r="AH298" s="276"/>
      <c r="AI298" s="245"/>
      <c r="AJ298" s="287"/>
      <c r="AK298" s="278"/>
      <c r="AL298" s="246"/>
      <c r="AM298" s="245"/>
      <c r="AN298" s="245"/>
      <c r="AO298" s="274"/>
      <c r="AP298" s="245"/>
      <c r="AQ298" s="245"/>
      <c r="AR298" s="246"/>
      <c r="AS298" s="245"/>
      <c r="AT298" s="245"/>
      <c r="AU298" s="245"/>
      <c r="AV298" s="245"/>
      <c r="AW298" s="245"/>
      <c r="AX298" s="246"/>
      <c r="AY298" s="245"/>
      <c r="AZ298" s="245"/>
      <c r="BA298" s="246"/>
      <c r="BB298" s="245"/>
      <c r="BC298" s="245"/>
      <c r="BD298" s="245"/>
      <c r="BE298" s="245"/>
      <c r="BF298" s="245"/>
      <c r="BG298" s="245"/>
      <c r="BH298" s="245"/>
      <c r="BI298" s="245"/>
      <c r="BJ298" s="245"/>
      <c r="BK298" s="245"/>
      <c r="BL298" s="245"/>
      <c r="BM298" s="245"/>
      <c r="BN298" s="245"/>
      <c r="BO298" s="245"/>
      <c r="BP298" s="245"/>
      <c r="BQ298" s="245"/>
      <c r="BR298" s="245"/>
      <c r="BS298" s="245"/>
      <c r="BT298" s="246"/>
      <c r="BU298" s="245"/>
      <c r="BV298" s="245"/>
      <c r="BW298" s="245"/>
      <c r="BX298" s="245"/>
      <c r="BY298" s="245"/>
      <c r="BZ298" s="282"/>
      <c r="CA298" s="245"/>
      <c r="CB298" s="245"/>
      <c r="CC298" s="245"/>
      <c r="CD298" s="245"/>
      <c r="CE298" s="245"/>
      <c r="CF298" s="245"/>
    </row>
    <row r="299">
      <c r="A299" s="245"/>
      <c r="B299" s="245"/>
      <c r="C299" s="245"/>
      <c r="D299" s="246"/>
      <c r="E299" s="245"/>
      <c r="F299" s="245"/>
      <c r="G299" s="245"/>
      <c r="H299" s="245"/>
      <c r="I299" s="245"/>
      <c r="J299" s="245"/>
      <c r="K299" s="265"/>
      <c r="L299" s="245"/>
      <c r="M299" s="245"/>
      <c r="N299" s="245"/>
      <c r="O299" s="245"/>
      <c r="P299" s="245"/>
      <c r="Q299" s="247"/>
      <c r="R299" s="254"/>
      <c r="S299" s="245"/>
      <c r="T299" s="245"/>
      <c r="U299" s="245"/>
      <c r="V299" s="245"/>
      <c r="W299" s="245"/>
      <c r="X299" s="245"/>
      <c r="Y299" s="249"/>
      <c r="Z299" s="276"/>
      <c r="AA299" s="245"/>
      <c r="AB299" s="276"/>
      <c r="AC299" s="276"/>
      <c r="AD299" s="246"/>
      <c r="AE299" s="278"/>
      <c r="AF299" s="370"/>
      <c r="AG299" s="371"/>
      <c r="AH299" s="276"/>
      <c r="AI299" s="245"/>
      <c r="AJ299" s="287"/>
      <c r="AK299" s="278"/>
      <c r="AL299" s="246"/>
      <c r="AM299" s="245"/>
      <c r="AN299" s="245"/>
      <c r="AO299" s="274"/>
      <c r="AP299" s="245"/>
      <c r="AQ299" s="245"/>
      <c r="AR299" s="246"/>
      <c r="AS299" s="245"/>
      <c r="AT299" s="245"/>
      <c r="AU299" s="245"/>
      <c r="AV299" s="245"/>
      <c r="AW299" s="245"/>
      <c r="AX299" s="246"/>
      <c r="AY299" s="245"/>
      <c r="AZ299" s="245"/>
      <c r="BA299" s="246"/>
      <c r="BB299" s="245"/>
      <c r="BC299" s="245"/>
      <c r="BD299" s="245"/>
      <c r="BE299" s="245"/>
      <c r="BF299" s="245"/>
      <c r="BG299" s="245"/>
      <c r="BH299" s="245"/>
      <c r="BI299" s="245"/>
      <c r="BJ299" s="245"/>
      <c r="BK299" s="245"/>
      <c r="BL299" s="245"/>
      <c r="BM299" s="245"/>
      <c r="BN299" s="245"/>
      <c r="BO299" s="245"/>
      <c r="BP299" s="245"/>
      <c r="BQ299" s="245"/>
      <c r="BR299" s="245"/>
      <c r="BS299" s="245"/>
      <c r="BT299" s="246"/>
      <c r="BU299" s="245"/>
      <c r="BV299" s="245"/>
      <c r="BW299" s="245"/>
      <c r="BX299" s="245"/>
      <c r="BY299" s="245"/>
      <c r="BZ299" s="282"/>
      <c r="CA299" s="245"/>
      <c r="CB299" s="245"/>
      <c r="CC299" s="245"/>
      <c r="CD299" s="245"/>
      <c r="CE299" s="245"/>
      <c r="CF299" s="245"/>
    </row>
    <row r="300">
      <c r="A300" s="245"/>
      <c r="B300" s="245"/>
      <c r="C300" s="245"/>
      <c r="D300" s="246"/>
      <c r="E300" s="245"/>
      <c r="F300" s="245"/>
      <c r="G300" s="245"/>
      <c r="H300" s="245"/>
      <c r="I300" s="245"/>
      <c r="J300" s="245"/>
      <c r="K300" s="265"/>
      <c r="L300" s="245"/>
      <c r="M300" s="245"/>
      <c r="N300" s="245"/>
      <c r="O300" s="245"/>
      <c r="P300" s="245"/>
      <c r="Q300" s="247"/>
      <c r="R300" s="254"/>
      <c r="S300" s="245"/>
      <c r="T300" s="245"/>
      <c r="U300" s="245"/>
      <c r="V300" s="245"/>
      <c r="W300" s="245"/>
      <c r="X300" s="245"/>
      <c r="Y300" s="249"/>
      <c r="Z300" s="276"/>
      <c r="AA300" s="245"/>
      <c r="AB300" s="276"/>
      <c r="AC300" s="276"/>
      <c r="AD300" s="246"/>
      <c r="AE300" s="278"/>
      <c r="AF300" s="370"/>
      <c r="AG300" s="371"/>
      <c r="AH300" s="276"/>
      <c r="AI300" s="245"/>
      <c r="AJ300" s="287"/>
      <c r="AK300" s="278"/>
      <c r="AL300" s="246"/>
      <c r="AM300" s="245"/>
      <c r="AN300" s="245"/>
      <c r="AO300" s="274"/>
      <c r="AP300" s="245"/>
      <c r="AQ300" s="245"/>
      <c r="AR300" s="246"/>
      <c r="AS300" s="245"/>
      <c r="AT300" s="245"/>
      <c r="AU300" s="245"/>
      <c r="AV300" s="245"/>
      <c r="AW300" s="245"/>
      <c r="AX300" s="246"/>
      <c r="AY300" s="245"/>
      <c r="AZ300" s="245"/>
      <c r="BA300" s="246"/>
      <c r="BB300" s="245"/>
      <c r="BC300" s="245"/>
      <c r="BD300" s="245"/>
      <c r="BE300" s="245"/>
      <c r="BF300" s="245"/>
      <c r="BG300" s="245"/>
      <c r="BH300" s="245"/>
      <c r="BI300" s="245"/>
      <c r="BJ300" s="245"/>
      <c r="BK300" s="245"/>
      <c r="BL300" s="245"/>
      <c r="BM300" s="245"/>
      <c r="BN300" s="245"/>
      <c r="BO300" s="245"/>
      <c r="BP300" s="245"/>
      <c r="BQ300" s="245"/>
      <c r="BR300" s="245"/>
      <c r="BS300" s="245"/>
      <c r="BT300" s="246"/>
      <c r="BU300" s="245"/>
      <c r="BV300" s="245"/>
      <c r="BW300" s="245"/>
      <c r="BX300" s="245"/>
      <c r="BY300" s="245"/>
      <c r="BZ300" s="282"/>
      <c r="CA300" s="245"/>
      <c r="CB300" s="245"/>
      <c r="CC300" s="245"/>
      <c r="CD300" s="245"/>
      <c r="CE300" s="245"/>
      <c r="CF300" s="245"/>
    </row>
    <row r="301">
      <c r="A301" s="245"/>
      <c r="B301" s="245"/>
      <c r="C301" s="245"/>
      <c r="D301" s="246"/>
      <c r="E301" s="245"/>
      <c r="F301" s="245"/>
      <c r="G301" s="245"/>
      <c r="H301" s="245"/>
      <c r="I301" s="245"/>
      <c r="J301" s="245"/>
      <c r="K301" s="265"/>
      <c r="L301" s="245"/>
      <c r="M301" s="245"/>
      <c r="N301" s="245"/>
      <c r="O301" s="245"/>
      <c r="P301" s="245"/>
      <c r="Q301" s="247"/>
      <c r="R301" s="254"/>
      <c r="S301" s="245"/>
      <c r="T301" s="245"/>
      <c r="U301" s="245"/>
      <c r="V301" s="245"/>
      <c r="W301" s="245"/>
      <c r="X301" s="245"/>
      <c r="Y301" s="249"/>
      <c r="Z301" s="276"/>
      <c r="AA301" s="245"/>
      <c r="AB301" s="276"/>
      <c r="AC301" s="276"/>
      <c r="AD301" s="246"/>
      <c r="AE301" s="278"/>
      <c r="AF301" s="370"/>
      <c r="AG301" s="371"/>
      <c r="AH301" s="276"/>
      <c r="AI301" s="245"/>
      <c r="AJ301" s="287"/>
      <c r="AK301" s="278"/>
      <c r="AL301" s="246"/>
      <c r="AM301" s="245"/>
      <c r="AN301" s="245"/>
      <c r="AO301" s="274"/>
      <c r="AP301" s="245"/>
      <c r="AQ301" s="245"/>
      <c r="AR301" s="246"/>
      <c r="AS301" s="245"/>
      <c r="AT301" s="245"/>
      <c r="AU301" s="245"/>
      <c r="AV301" s="245"/>
      <c r="AW301" s="245"/>
      <c r="AX301" s="246"/>
      <c r="AY301" s="245"/>
      <c r="AZ301" s="245"/>
      <c r="BA301" s="246"/>
      <c r="BB301" s="245"/>
      <c r="BC301" s="245"/>
      <c r="BD301" s="245"/>
      <c r="BE301" s="245"/>
      <c r="BF301" s="245"/>
      <c r="BG301" s="245"/>
      <c r="BH301" s="245"/>
      <c r="BI301" s="245"/>
      <c r="BJ301" s="245"/>
      <c r="BK301" s="245"/>
      <c r="BL301" s="245"/>
      <c r="BM301" s="245"/>
      <c r="BN301" s="245"/>
      <c r="BO301" s="245"/>
      <c r="BP301" s="245"/>
      <c r="BQ301" s="245"/>
      <c r="BR301" s="245"/>
      <c r="BS301" s="245"/>
      <c r="BT301" s="246"/>
      <c r="BU301" s="245"/>
      <c r="BV301" s="245"/>
      <c r="BW301" s="245"/>
      <c r="BX301" s="245"/>
      <c r="BY301" s="245"/>
      <c r="BZ301" s="282"/>
      <c r="CA301" s="245"/>
      <c r="CB301" s="245"/>
      <c r="CC301" s="245"/>
      <c r="CD301" s="245"/>
      <c r="CE301" s="245"/>
      <c r="CF301" s="245"/>
    </row>
    <row r="302">
      <c r="A302" s="245"/>
      <c r="B302" s="245"/>
      <c r="C302" s="245"/>
      <c r="D302" s="246"/>
      <c r="E302" s="245"/>
      <c r="F302" s="245"/>
      <c r="G302" s="245"/>
      <c r="H302" s="245"/>
      <c r="I302" s="245"/>
      <c r="J302" s="245"/>
      <c r="K302" s="265"/>
      <c r="L302" s="245"/>
      <c r="M302" s="245"/>
      <c r="N302" s="245"/>
      <c r="O302" s="245"/>
      <c r="P302" s="245"/>
      <c r="Q302" s="247"/>
      <c r="R302" s="254"/>
      <c r="S302" s="245"/>
      <c r="T302" s="245"/>
      <c r="U302" s="245"/>
      <c r="V302" s="245"/>
      <c r="W302" s="245"/>
      <c r="X302" s="245"/>
      <c r="Y302" s="249"/>
      <c r="Z302" s="276"/>
      <c r="AA302" s="245"/>
      <c r="AB302" s="276"/>
      <c r="AC302" s="276"/>
      <c r="AD302" s="246"/>
      <c r="AE302" s="278"/>
      <c r="AF302" s="370"/>
      <c r="AG302" s="371"/>
      <c r="AH302" s="276"/>
      <c r="AI302" s="245"/>
      <c r="AJ302" s="287"/>
      <c r="AK302" s="278"/>
      <c r="AL302" s="246"/>
      <c r="AM302" s="245"/>
      <c r="AN302" s="245"/>
      <c r="AO302" s="274"/>
      <c r="AP302" s="245"/>
      <c r="AQ302" s="245"/>
      <c r="AR302" s="246"/>
      <c r="AS302" s="245"/>
      <c r="AT302" s="245"/>
      <c r="AU302" s="245"/>
      <c r="AV302" s="245"/>
      <c r="AW302" s="245"/>
      <c r="AX302" s="246"/>
      <c r="AY302" s="245"/>
      <c r="AZ302" s="245"/>
      <c r="BA302" s="246"/>
      <c r="BB302" s="245"/>
      <c r="BC302" s="245"/>
      <c r="BD302" s="245"/>
      <c r="BE302" s="245"/>
      <c r="BF302" s="245"/>
      <c r="BG302" s="245"/>
      <c r="BH302" s="245"/>
      <c r="BI302" s="245"/>
      <c r="BJ302" s="245"/>
      <c r="BK302" s="245"/>
      <c r="BL302" s="245"/>
      <c r="BM302" s="245"/>
      <c r="BN302" s="245"/>
      <c r="BO302" s="245"/>
      <c r="BP302" s="245"/>
      <c r="BQ302" s="245"/>
      <c r="BR302" s="245"/>
      <c r="BS302" s="245"/>
      <c r="BT302" s="246"/>
      <c r="BU302" s="245"/>
      <c r="BV302" s="245"/>
      <c r="BW302" s="245"/>
      <c r="BX302" s="245"/>
      <c r="BY302" s="245"/>
      <c r="BZ302" s="282"/>
      <c r="CA302" s="245"/>
      <c r="CB302" s="245"/>
      <c r="CC302" s="245"/>
      <c r="CD302" s="245"/>
      <c r="CE302" s="245"/>
      <c r="CF302" s="245"/>
    </row>
    <row r="303">
      <c r="A303" s="245"/>
      <c r="B303" s="245"/>
      <c r="C303" s="245"/>
      <c r="D303" s="246"/>
      <c r="E303" s="245"/>
      <c r="F303" s="245"/>
      <c r="G303" s="245"/>
      <c r="H303" s="245"/>
      <c r="I303" s="245"/>
      <c r="J303" s="245"/>
      <c r="K303" s="265"/>
      <c r="L303" s="245"/>
      <c r="M303" s="245"/>
      <c r="N303" s="245"/>
      <c r="O303" s="245"/>
      <c r="P303" s="245"/>
      <c r="Q303" s="247"/>
      <c r="R303" s="254"/>
      <c r="S303" s="245"/>
      <c r="T303" s="245"/>
      <c r="U303" s="245"/>
      <c r="V303" s="245"/>
      <c r="W303" s="245"/>
      <c r="X303" s="245"/>
      <c r="Y303" s="249"/>
      <c r="Z303" s="276"/>
      <c r="AA303" s="245"/>
      <c r="AB303" s="276"/>
      <c r="AC303" s="276"/>
      <c r="AD303" s="246"/>
      <c r="AE303" s="278"/>
      <c r="AF303" s="370"/>
      <c r="AG303" s="371"/>
      <c r="AH303" s="276"/>
      <c r="AI303" s="245"/>
      <c r="AJ303" s="287"/>
      <c r="AK303" s="278"/>
      <c r="AL303" s="246"/>
      <c r="AM303" s="245"/>
      <c r="AN303" s="245"/>
      <c r="AO303" s="274"/>
      <c r="AP303" s="245"/>
      <c r="AQ303" s="245"/>
      <c r="AR303" s="246"/>
      <c r="AS303" s="245"/>
      <c r="AT303" s="245"/>
      <c r="AU303" s="245"/>
      <c r="AV303" s="245"/>
      <c r="AW303" s="245"/>
      <c r="AX303" s="246"/>
      <c r="AY303" s="245"/>
      <c r="AZ303" s="245"/>
      <c r="BA303" s="246"/>
      <c r="BB303" s="245"/>
      <c r="BC303" s="245"/>
      <c r="BD303" s="245"/>
      <c r="BE303" s="245"/>
      <c r="BF303" s="245"/>
      <c r="BG303" s="245"/>
      <c r="BH303" s="245"/>
      <c r="BI303" s="245"/>
      <c r="BJ303" s="245"/>
      <c r="BK303" s="245"/>
      <c r="BL303" s="245"/>
      <c r="BM303" s="245"/>
      <c r="BN303" s="245"/>
      <c r="BO303" s="245"/>
      <c r="BP303" s="245"/>
      <c r="BQ303" s="245"/>
      <c r="BR303" s="245"/>
      <c r="BS303" s="245"/>
      <c r="BT303" s="246"/>
      <c r="BU303" s="245"/>
      <c r="BV303" s="245"/>
      <c r="BW303" s="245"/>
      <c r="BX303" s="245"/>
      <c r="BY303" s="245"/>
      <c r="BZ303" s="282"/>
      <c r="CA303" s="245"/>
      <c r="CB303" s="245"/>
      <c r="CC303" s="245"/>
      <c r="CD303" s="245"/>
      <c r="CE303" s="245"/>
      <c r="CF303" s="245"/>
    </row>
    <row r="304">
      <c r="A304" s="245"/>
      <c r="B304" s="245"/>
      <c r="C304" s="245"/>
      <c r="D304" s="246"/>
      <c r="E304" s="245"/>
      <c r="F304" s="245"/>
      <c r="G304" s="245"/>
      <c r="H304" s="245"/>
      <c r="I304" s="245"/>
      <c r="J304" s="245"/>
      <c r="K304" s="265"/>
      <c r="L304" s="245"/>
      <c r="M304" s="245"/>
      <c r="N304" s="245"/>
      <c r="O304" s="245"/>
      <c r="P304" s="245"/>
      <c r="Q304" s="247"/>
      <c r="R304" s="254"/>
      <c r="S304" s="245"/>
      <c r="T304" s="245"/>
      <c r="U304" s="245"/>
      <c r="V304" s="245"/>
      <c r="W304" s="245"/>
      <c r="X304" s="245"/>
      <c r="Y304" s="249"/>
      <c r="Z304" s="276"/>
      <c r="AA304" s="245"/>
      <c r="AB304" s="276"/>
      <c r="AC304" s="276"/>
      <c r="AD304" s="246"/>
      <c r="AE304" s="278"/>
      <c r="AF304" s="370"/>
      <c r="AG304" s="371"/>
      <c r="AH304" s="276"/>
      <c r="AI304" s="245"/>
      <c r="AJ304" s="287"/>
      <c r="AK304" s="278"/>
      <c r="AL304" s="246"/>
      <c r="AM304" s="245"/>
      <c r="AN304" s="245"/>
      <c r="AO304" s="274"/>
      <c r="AP304" s="245"/>
      <c r="AQ304" s="245"/>
      <c r="AR304" s="246"/>
      <c r="AS304" s="245"/>
      <c r="AT304" s="245"/>
      <c r="AU304" s="245"/>
      <c r="AV304" s="245"/>
      <c r="AW304" s="245"/>
      <c r="AX304" s="246"/>
      <c r="AY304" s="245"/>
      <c r="AZ304" s="245"/>
      <c r="BA304" s="246"/>
      <c r="BB304" s="245"/>
      <c r="BC304" s="245"/>
      <c r="BD304" s="245"/>
      <c r="BE304" s="245"/>
      <c r="BF304" s="245"/>
      <c r="BG304" s="245"/>
      <c r="BH304" s="245"/>
      <c r="BI304" s="245"/>
      <c r="BJ304" s="245"/>
      <c r="BK304" s="245"/>
      <c r="BL304" s="245"/>
      <c r="BM304" s="245"/>
      <c r="BN304" s="245"/>
      <c r="BO304" s="245"/>
      <c r="BP304" s="245"/>
      <c r="BQ304" s="245"/>
      <c r="BR304" s="245"/>
      <c r="BS304" s="245"/>
      <c r="BT304" s="246"/>
      <c r="BU304" s="245"/>
      <c r="BV304" s="245"/>
      <c r="BW304" s="245"/>
      <c r="BX304" s="245"/>
      <c r="BY304" s="245"/>
      <c r="BZ304" s="282"/>
      <c r="CA304" s="245"/>
      <c r="CB304" s="245"/>
      <c r="CC304" s="245"/>
      <c r="CD304" s="245"/>
      <c r="CE304" s="245"/>
      <c r="CF304" s="245"/>
    </row>
    <row r="305">
      <c r="A305" s="245"/>
      <c r="B305" s="245"/>
      <c r="C305" s="245"/>
      <c r="D305" s="246"/>
      <c r="E305" s="245"/>
      <c r="F305" s="245"/>
      <c r="G305" s="245"/>
      <c r="H305" s="245"/>
      <c r="I305" s="245"/>
      <c r="J305" s="245"/>
      <c r="K305" s="265"/>
      <c r="L305" s="245"/>
      <c r="M305" s="245"/>
      <c r="N305" s="245"/>
      <c r="O305" s="245"/>
      <c r="P305" s="245"/>
      <c r="Q305" s="247"/>
      <c r="R305" s="254"/>
      <c r="S305" s="245"/>
      <c r="T305" s="245"/>
      <c r="U305" s="245"/>
      <c r="V305" s="245"/>
      <c r="W305" s="245"/>
      <c r="X305" s="245"/>
      <c r="Y305" s="249"/>
      <c r="Z305" s="276"/>
      <c r="AA305" s="245"/>
      <c r="AB305" s="276"/>
      <c r="AC305" s="276"/>
      <c r="AD305" s="246"/>
      <c r="AE305" s="278"/>
      <c r="AF305" s="370"/>
      <c r="AG305" s="371"/>
      <c r="AH305" s="276"/>
      <c r="AI305" s="245"/>
      <c r="AJ305" s="287"/>
      <c r="AK305" s="278"/>
      <c r="AL305" s="246"/>
      <c r="AM305" s="245"/>
      <c r="AN305" s="245"/>
      <c r="AO305" s="274"/>
      <c r="AP305" s="245"/>
      <c r="AQ305" s="245"/>
      <c r="AR305" s="246"/>
      <c r="AS305" s="245"/>
      <c r="AT305" s="245"/>
      <c r="AU305" s="245"/>
      <c r="AV305" s="245"/>
      <c r="AW305" s="245"/>
      <c r="AX305" s="246"/>
      <c r="AY305" s="245"/>
      <c r="AZ305" s="245"/>
      <c r="BA305" s="246"/>
      <c r="BB305" s="245"/>
      <c r="BC305" s="245"/>
      <c r="BD305" s="245"/>
      <c r="BE305" s="245"/>
      <c r="BF305" s="245"/>
      <c r="BG305" s="245"/>
      <c r="BH305" s="245"/>
      <c r="BI305" s="245"/>
      <c r="BJ305" s="245"/>
      <c r="BK305" s="245"/>
      <c r="BL305" s="245"/>
      <c r="BM305" s="245"/>
      <c r="BN305" s="245"/>
      <c r="BO305" s="245"/>
      <c r="BP305" s="245"/>
      <c r="BQ305" s="245"/>
      <c r="BR305" s="245"/>
      <c r="BS305" s="245"/>
      <c r="BT305" s="246"/>
      <c r="BU305" s="245"/>
      <c r="BV305" s="245"/>
      <c r="BW305" s="245"/>
      <c r="BX305" s="245"/>
      <c r="BY305" s="245"/>
      <c r="BZ305" s="282"/>
      <c r="CA305" s="245"/>
      <c r="CB305" s="245"/>
      <c r="CC305" s="245"/>
      <c r="CD305" s="245"/>
      <c r="CE305" s="245"/>
      <c r="CF305" s="245"/>
    </row>
    <row r="306">
      <c r="A306" s="245"/>
      <c r="B306" s="245"/>
      <c r="C306" s="245"/>
      <c r="D306" s="246"/>
      <c r="E306" s="245"/>
      <c r="F306" s="245"/>
      <c r="G306" s="245"/>
      <c r="H306" s="245"/>
      <c r="I306" s="245"/>
      <c r="J306" s="245"/>
      <c r="K306" s="265"/>
      <c r="L306" s="245"/>
      <c r="M306" s="245"/>
      <c r="N306" s="245"/>
      <c r="O306" s="245"/>
      <c r="P306" s="245"/>
      <c r="Q306" s="247"/>
      <c r="R306" s="254"/>
      <c r="S306" s="245"/>
      <c r="T306" s="245"/>
      <c r="U306" s="245"/>
      <c r="V306" s="245"/>
      <c r="W306" s="245"/>
      <c r="X306" s="245"/>
      <c r="Y306" s="249"/>
      <c r="Z306" s="276"/>
      <c r="AA306" s="245"/>
      <c r="AB306" s="276"/>
      <c r="AC306" s="276"/>
      <c r="AD306" s="246"/>
      <c r="AE306" s="278"/>
      <c r="AF306" s="370"/>
      <c r="AG306" s="371"/>
      <c r="AH306" s="276"/>
      <c r="AI306" s="245"/>
      <c r="AJ306" s="287"/>
      <c r="AK306" s="278"/>
      <c r="AL306" s="246"/>
      <c r="AM306" s="245"/>
      <c r="AN306" s="245"/>
      <c r="AO306" s="274"/>
      <c r="AP306" s="245"/>
      <c r="AQ306" s="245"/>
      <c r="AR306" s="246"/>
      <c r="AS306" s="245"/>
      <c r="AT306" s="245"/>
      <c r="AU306" s="245"/>
      <c r="AV306" s="245"/>
      <c r="AW306" s="245"/>
      <c r="AX306" s="246"/>
      <c r="AY306" s="245"/>
      <c r="AZ306" s="245"/>
      <c r="BA306" s="246"/>
      <c r="BB306" s="245"/>
      <c r="BC306" s="245"/>
      <c r="BD306" s="245"/>
      <c r="BE306" s="245"/>
      <c r="BF306" s="245"/>
      <c r="BG306" s="245"/>
      <c r="BH306" s="245"/>
      <c r="BI306" s="245"/>
      <c r="BJ306" s="245"/>
      <c r="BK306" s="245"/>
      <c r="BL306" s="245"/>
      <c r="BM306" s="245"/>
      <c r="BN306" s="245"/>
      <c r="BO306" s="245"/>
      <c r="BP306" s="245"/>
      <c r="BQ306" s="245"/>
      <c r="BR306" s="245"/>
      <c r="BS306" s="245"/>
      <c r="BT306" s="246"/>
      <c r="BU306" s="245"/>
      <c r="BV306" s="245"/>
      <c r="BW306" s="245"/>
      <c r="BX306" s="245"/>
      <c r="BY306" s="245"/>
      <c r="BZ306" s="282"/>
      <c r="CA306" s="245"/>
      <c r="CB306" s="245"/>
      <c r="CC306" s="245"/>
      <c r="CD306" s="245"/>
      <c r="CE306" s="245"/>
      <c r="CF306" s="245"/>
    </row>
    <row r="307">
      <c r="A307" s="245"/>
      <c r="B307" s="245"/>
      <c r="C307" s="245"/>
      <c r="D307" s="246"/>
      <c r="E307" s="245"/>
      <c r="F307" s="245"/>
      <c r="G307" s="245"/>
      <c r="H307" s="245"/>
      <c r="I307" s="245"/>
      <c r="J307" s="245"/>
      <c r="K307" s="265"/>
      <c r="L307" s="245"/>
      <c r="M307" s="245"/>
      <c r="N307" s="245"/>
      <c r="O307" s="245"/>
      <c r="P307" s="245"/>
      <c r="Q307" s="247"/>
      <c r="R307" s="254"/>
      <c r="S307" s="245"/>
      <c r="T307" s="245"/>
      <c r="U307" s="245"/>
      <c r="V307" s="245"/>
      <c r="W307" s="245"/>
      <c r="X307" s="245"/>
      <c r="Y307" s="249"/>
      <c r="Z307" s="276"/>
      <c r="AA307" s="245"/>
      <c r="AB307" s="276"/>
      <c r="AC307" s="276"/>
      <c r="AD307" s="246"/>
      <c r="AE307" s="278"/>
      <c r="AF307" s="370"/>
      <c r="AG307" s="371"/>
      <c r="AH307" s="276"/>
      <c r="AI307" s="245"/>
      <c r="AJ307" s="287"/>
      <c r="AK307" s="278"/>
      <c r="AL307" s="246"/>
      <c r="AM307" s="245"/>
      <c r="AN307" s="245"/>
      <c r="AO307" s="274"/>
      <c r="AP307" s="245"/>
      <c r="AQ307" s="245"/>
      <c r="AR307" s="246"/>
      <c r="AS307" s="245"/>
      <c r="AT307" s="245"/>
      <c r="AU307" s="245"/>
      <c r="AV307" s="245"/>
      <c r="AW307" s="245"/>
      <c r="AX307" s="246"/>
      <c r="AY307" s="245"/>
      <c r="AZ307" s="245"/>
      <c r="BA307" s="246"/>
      <c r="BB307" s="245"/>
      <c r="BC307" s="245"/>
      <c r="BD307" s="245"/>
      <c r="BE307" s="245"/>
      <c r="BF307" s="245"/>
      <c r="BG307" s="245"/>
      <c r="BH307" s="245"/>
      <c r="BI307" s="245"/>
      <c r="BJ307" s="245"/>
      <c r="BK307" s="245"/>
      <c r="BL307" s="245"/>
      <c r="BM307" s="245"/>
      <c r="BN307" s="245"/>
      <c r="BO307" s="245"/>
      <c r="BP307" s="245"/>
      <c r="BQ307" s="245"/>
      <c r="BR307" s="245"/>
      <c r="BS307" s="245"/>
      <c r="BT307" s="246"/>
      <c r="BU307" s="245"/>
      <c r="BV307" s="245"/>
      <c r="BW307" s="245"/>
      <c r="BX307" s="245"/>
      <c r="BY307" s="245"/>
      <c r="BZ307" s="282"/>
      <c r="CA307" s="245"/>
      <c r="CB307" s="245"/>
      <c r="CC307" s="245"/>
      <c r="CD307" s="245"/>
      <c r="CE307" s="245"/>
      <c r="CF307" s="245"/>
    </row>
    <row r="308">
      <c r="A308" s="245"/>
      <c r="B308" s="245"/>
      <c r="C308" s="245"/>
      <c r="D308" s="246"/>
      <c r="E308" s="245"/>
      <c r="F308" s="245"/>
      <c r="G308" s="245"/>
      <c r="H308" s="245"/>
      <c r="I308" s="245"/>
      <c r="J308" s="245"/>
      <c r="K308" s="265"/>
      <c r="L308" s="245"/>
      <c r="M308" s="245"/>
      <c r="N308" s="245"/>
      <c r="O308" s="245"/>
      <c r="P308" s="245"/>
      <c r="Q308" s="247"/>
      <c r="R308" s="254"/>
      <c r="S308" s="245"/>
      <c r="T308" s="245"/>
      <c r="U308" s="245"/>
      <c r="V308" s="245"/>
      <c r="W308" s="245"/>
      <c r="X308" s="245"/>
      <c r="Y308" s="249"/>
      <c r="Z308" s="276"/>
      <c r="AA308" s="245"/>
      <c r="AB308" s="276"/>
      <c r="AC308" s="276"/>
      <c r="AD308" s="246"/>
      <c r="AE308" s="278"/>
      <c r="AF308" s="370"/>
      <c r="AG308" s="371"/>
      <c r="AH308" s="276"/>
      <c r="AI308" s="245"/>
      <c r="AJ308" s="287"/>
      <c r="AK308" s="278"/>
      <c r="AL308" s="246"/>
      <c r="AM308" s="245"/>
      <c r="AN308" s="245"/>
      <c r="AO308" s="274"/>
      <c r="AP308" s="245"/>
      <c r="AQ308" s="245"/>
      <c r="AR308" s="246"/>
      <c r="AS308" s="245"/>
      <c r="AT308" s="245"/>
      <c r="AU308" s="245"/>
      <c r="AV308" s="245"/>
      <c r="AW308" s="245"/>
      <c r="AX308" s="246"/>
      <c r="AY308" s="245"/>
      <c r="AZ308" s="245"/>
      <c r="BA308" s="246"/>
      <c r="BB308" s="245"/>
      <c r="BC308" s="245"/>
      <c r="BD308" s="245"/>
      <c r="BE308" s="245"/>
      <c r="BF308" s="245"/>
      <c r="BG308" s="245"/>
      <c r="BH308" s="245"/>
      <c r="BI308" s="245"/>
      <c r="BJ308" s="245"/>
      <c r="BK308" s="245"/>
      <c r="BL308" s="245"/>
      <c r="BM308" s="245"/>
      <c r="BN308" s="245"/>
      <c r="BO308" s="245"/>
      <c r="BP308" s="245"/>
      <c r="BQ308" s="245"/>
      <c r="BR308" s="245"/>
      <c r="BS308" s="245"/>
      <c r="BT308" s="246"/>
      <c r="BU308" s="245"/>
      <c r="BV308" s="245"/>
      <c r="BW308" s="245"/>
      <c r="BX308" s="245"/>
      <c r="BY308" s="245"/>
      <c r="BZ308" s="282"/>
      <c r="CA308" s="245"/>
      <c r="CB308" s="245"/>
      <c r="CC308" s="245"/>
      <c r="CD308" s="245"/>
      <c r="CE308" s="245"/>
      <c r="CF308" s="245"/>
    </row>
    <row r="309">
      <c r="A309" s="245"/>
      <c r="B309" s="245"/>
      <c r="C309" s="245"/>
      <c r="D309" s="246"/>
      <c r="E309" s="245"/>
      <c r="F309" s="245"/>
      <c r="G309" s="245"/>
      <c r="H309" s="245"/>
      <c r="I309" s="245"/>
      <c r="J309" s="245"/>
      <c r="K309" s="265"/>
      <c r="L309" s="245"/>
      <c r="M309" s="245"/>
      <c r="N309" s="245"/>
      <c r="O309" s="245"/>
      <c r="P309" s="245"/>
      <c r="Q309" s="247"/>
      <c r="R309" s="254"/>
      <c r="S309" s="245"/>
      <c r="T309" s="245"/>
      <c r="U309" s="245"/>
      <c r="V309" s="245"/>
      <c r="W309" s="245"/>
      <c r="X309" s="245"/>
      <c r="Y309" s="249"/>
      <c r="Z309" s="276"/>
      <c r="AA309" s="245"/>
      <c r="AB309" s="276"/>
      <c r="AC309" s="276"/>
      <c r="AD309" s="246"/>
      <c r="AE309" s="278"/>
      <c r="AF309" s="370"/>
      <c r="AG309" s="371"/>
      <c r="AH309" s="276"/>
      <c r="AI309" s="245"/>
      <c r="AJ309" s="287"/>
      <c r="AK309" s="278"/>
      <c r="AL309" s="246"/>
      <c r="AM309" s="245"/>
      <c r="AN309" s="245"/>
      <c r="AO309" s="274"/>
      <c r="AP309" s="245"/>
      <c r="AQ309" s="245"/>
      <c r="AR309" s="246"/>
      <c r="AS309" s="245"/>
      <c r="AT309" s="245"/>
      <c r="AU309" s="245"/>
      <c r="AV309" s="245"/>
      <c r="AW309" s="245"/>
      <c r="AX309" s="246"/>
      <c r="AY309" s="245"/>
      <c r="AZ309" s="245"/>
      <c r="BA309" s="246"/>
      <c r="BB309" s="245"/>
      <c r="BC309" s="245"/>
      <c r="BD309" s="245"/>
      <c r="BE309" s="245"/>
      <c r="BF309" s="245"/>
      <c r="BG309" s="245"/>
      <c r="BH309" s="245"/>
      <c r="BI309" s="245"/>
      <c r="BJ309" s="245"/>
      <c r="BK309" s="245"/>
      <c r="BL309" s="245"/>
      <c r="BM309" s="245"/>
      <c r="BN309" s="245"/>
      <c r="BO309" s="245"/>
      <c r="BP309" s="245"/>
      <c r="BQ309" s="245"/>
      <c r="BR309" s="245"/>
      <c r="BS309" s="245"/>
      <c r="BT309" s="246"/>
      <c r="BU309" s="245"/>
      <c r="BV309" s="245"/>
      <c r="BW309" s="245"/>
      <c r="BX309" s="245"/>
      <c r="BY309" s="245"/>
      <c r="BZ309" s="282"/>
      <c r="CA309" s="245"/>
      <c r="CB309" s="245"/>
      <c r="CC309" s="245"/>
      <c r="CD309" s="245"/>
      <c r="CE309" s="245"/>
      <c r="CF309" s="245"/>
    </row>
    <row r="310">
      <c r="A310" s="245"/>
      <c r="B310" s="245"/>
      <c r="C310" s="245"/>
      <c r="D310" s="246"/>
      <c r="E310" s="245"/>
      <c r="F310" s="245"/>
      <c r="G310" s="245"/>
      <c r="H310" s="245"/>
      <c r="I310" s="245"/>
      <c r="J310" s="245"/>
      <c r="K310" s="265"/>
      <c r="L310" s="245"/>
      <c r="M310" s="245"/>
      <c r="N310" s="245"/>
      <c r="O310" s="245"/>
      <c r="P310" s="245"/>
      <c r="Q310" s="247"/>
      <c r="R310" s="254"/>
      <c r="S310" s="245"/>
      <c r="T310" s="245"/>
      <c r="U310" s="245"/>
      <c r="V310" s="245"/>
      <c r="W310" s="245"/>
      <c r="X310" s="245"/>
      <c r="Y310" s="249"/>
      <c r="Z310" s="276"/>
      <c r="AA310" s="245"/>
      <c r="AB310" s="276"/>
      <c r="AC310" s="276"/>
      <c r="AD310" s="246"/>
      <c r="AE310" s="278"/>
      <c r="AF310" s="370"/>
      <c r="AG310" s="371"/>
      <c r="AH310" s="276"/>
      <c r="AI310" s="245"/>
      <c r="AJ310" s="287"/>
      <c r="AK310" s="278"/>
      <c r="AL310" s="246"/>
      <c r="AM310" s="245"/>
      <c r="AN310" s="245"/>
      <c r="AO310" s="274"/>
      <c r="AP310" s="245"/>
      <c r="AQ310" s="245"/>
      <c r="AR310" s="246"/>
      <c r="AS310" s="245"/>
      <c r="AT310" s="245"/>
      <c r="AU310" s="245"/>
      <c r="AV310" s="245"/>
      <c r="AW310" s="245"/>
      <c r="AX310" s="246"/>
      <c r="AY310" s="245"/>
      <c r="AZ310" s="245"/>
      <c r="BA310" s="246"/>
      <c r="BB310" s="245"/>
      <c r="BC310" s="245"/>
      <c r="BD310" s="245"/>
      <c r="BE310" s="245"/>
      <c r="BF310" s="245"/>
      <c r="BG310" s="245"/>
      <c r="BH310" s="245"/>
      <c r="BI310" s="245"/>
      <c r="BJ310" s="245"/>
      <c r="BK310" s="245"/>
      <c r="BL310" s="245"/>
      <c r="BM310" s="245"/>
      <c r="BN310" s="245"/>
      <c r="BO310" s="245"/>
      <c r="BP310" s="245"/>
      <c r="BQ310" s="245"/>
      <c r="BR310" s="245"/>
      <c r="BS310" s="245"/>
      <c r="BT310" s="246"/>
      <c r="BU310" s="245"/>
      <c r="BV310" s="245"/>
      <c r="BW310" s="245"/>
      <c r="BX310" s="245"/>
      <c r="BY310" s="245"/>
      <c r="BZ310" s="282"/>
      <c r="CA310" s="245"/>
      <c r="CB310" s="245"/>
      <c r="CC310" s="245"/>
      <c r="CD310" s="245"/>
      <c r="CE310" s="245"/>
      <c r="CF310" s="245"/>
    </row>
    <row r="311">
      <c r="A311" s="245"/>
      <c r="B311" s="245"/>
      <c r="C311" s="245"/>
      <c r="D311" s="246"/>
      <c r="E311" s="245"/>
      <c r="F311" s="245"/>
      <c r="G311" s="245"/>
      <c r="H311" s="245"/>
      <c r="I311" s="245"/>
      <c r="J311" s="245"/>
      <c r="K311" s="265"/>
      <c r="L311" s="245"/>
      <c r="M311" s="245"/>
      <c r="N311" s="245"/>
      <c r="O311" s="245"/>
      <c r="P311" s="245"/>
      <c r="Q311" s="247"/>
      <c r="R311" s="254"/>
      <c r="S311" s="245"/>
      <c r="T311" s="245"/>
      <c r="U311" s="245"/>
      <c r="V311" s="245"/>
      <c r="W311" s="245"/>
      <c r="X311" s="245"/>
      <c r="Y311" s="249"/>
      <c r="Z311" s="276"/>
      <c r="AA311" s="245"/>
      <c r="AB311" s="276"/>
      <c r="AC311" s="276"/>
      <c r="AD311" s="246"/>
      <c r="AE311" s="278"/>
      <c r="AF311" s="370"/>
      <c r="AG311" s="371"/>
      <c r="AH311" s="276"/>
      <c r="AI311" s="245"/>
      <c r="AJ311" s="287"/>
      <c r="AK311" s="278"/>
      <c r="AL311" s="246"/>
      <c r="AM311" s="245"/>
      <c r="AN311" s="245"/>
      <c r="AO311" s="274"/>
      <c r="AP311" s="245"/>
      <c r="AQ311" s="245"/>
      <c r="AR311" s="246"/>
      <c r="AS311" s="245"/>
      <c r="AT311" s="245"/>
      <c r="AU311" s="245"/>
      <c r="AV311" s="245"/>
      <c r="AW311" s="245"/>
      <c r="AX311" s="246"/>
      <c r="AY311" s="245"/>
      <c r="AZ311" s="245"/>
      <c r="BA311" s="246"/>
      <c r="BB311" s="245"/>
      <c r="BC311" s="245"/>
      <c r="BD311" s="245"/>
      <c r="BE311" s="245"/>
      <c r="BF311" s="245"/>
      <c r="BG311" s="245"/>
      <c r="BH311" s="245"/>
      <c r="BI311" s="245"/>
      <c r="BJ311" s="245"/>
      <c r="BK311" s="245"/>
      <c r="BL311" s="245"/>
      <c r="BM311" s="245"/>
      <c r="BN311" s="245"/>
      <c r="BO311" s="245"/>
      <c r="BP311" s="245"/>
      <c r="BQ311" s="245"/>
      <c r="BR311" s="245"/>
      <c r="BS311" s="245"/>
      <c r="BT311" s="246"/>
      <c r="BU311" s="245"/>
      <c r="BV311" s="245"/>
      <c r="BW311" s="245"/>
      <c r="BX311" s="245"/>
      <c r="BY311" s="245"/>
      <c r="BZ311" s="282"/>
      <c r="CA311" s="245"/>
      <c r="CB311" s="245"/>
      <c r="CC311" s="245"/>
      <c r="CD311" s="245"/>
      <c r="CE311" s="245"/>
      <c r="CF311" s="245"/>
    </row>
    <row r="312">
      <c r="A312" s="245"/>
      <c r="B312" s="245"/>
      <c r="C312" s="245"/>
      <c r="D312" s="246"/>
      <c r="E312" s="245"/>
      <c r="F312" s="245"/>
      <c r="G312" s="245"/>
      <c r="H312" s="245"/>
      <c r="I312" s="245"/>
      <c r="J312" s="245"/>
      <c r="K312" s="265"/>
      <c r="L312" s="245"/>
      <c r="M312" s="245"/>
      <c r="N312" s="245"/>
      <c r="O312" s="245"/>
      <c r="P312" s="245"/>
      <c r="Q312" s="247"/>
      <c r="R312" s="254"/>
      <c r="S312" s="245"/>
      <c r="T312" s="245"/>
      <c r="U312" s="245"/>
      <c r="V312" s="245"/>
      <c r="W312" s="245"/>
      <c r="X312" s="245"/>
      <c r="Y312" s="249"/>
      <c r="Z312" s="276"/>
      <c r="AA312" s="245"/>
      <c r="AB312" s="276"/>
      <c r="AC312" s="276"/>
      <c r="AD312" s="246"/>
      <c r="AE312" s="278"/>
      <c r="AF312" s="370"/>
      <c r="AG312" s="371"/>
      <c r="AH312" s="276"/>
      <c r="AI312" s="245"/>
      <c r="AJ312" s="287"/>
      <c r="AK312" s="278"/>
      <c r="AL312" s="246"/>
      <c r="AM312" s="245"/>
      <c r="AN312" s="245"/>
      <c r="AO312" s="274"/>
      <c r="AP312" s="245"/>
      <c r="AQ312" s="245"/>
      <c r="AR312" s="246"/>
      <c r="AS312" s="245"/>
      <c r="AT312" s="245"/>
      <c r="AU312" s="245"/>
      <c r="AV312" s="245"/>
      <c r="AW312" s="245"/>
      <c r="AX312" s="246"/>
      <c r="AY312" s="245"/>
      <c r="AZ312" s="245"/>
      <c r="BA312" s="246"/>
      <c r="BB312" s="245"/>
      <c r="BC312" s="245"/>
      <c r="BD312" s="245"/>
      <c r="BE312" s="245"/>
      <c r="BF312" s="245"/>
      <c r="BG312" s="245"/>
      <c r="BH312" s="245"/>
      <c r="BI312" s="245"/>
      <c r="BJ312" s="245"/>
      <c r="BK312" s="245"/>
      <c r="BL312" s="245"/>
      <c r="BM312" s="245"/>
      <c r="BN312" s="245"/>
      <c r="BO312" s="245"/>
      <c r="BP312" s="245"/>
      <c r="BQ312" s="245"/>
      <c r="BR312" s="245"/>
      <c r="BS312" s="245"/>
      <c r="BT312" s="246"/>
      <c r="BU312" s="245"/>
      <c r="BV312" s="245"/>
      <c r="BW312" s="245"/>
      <c r="BX312" s="245"/>
      <c r="BY312" s="245"/>
      <c r="BZ312" s="282"/>
      <c r="CA312" s="245"/>
      <c r="CB312" s="245"/>
      <c r="CC312" s="245"/>
      <c r="CD312" s="245"/>
      <c r="CE312" s="245"/>
      <c r="CF312" s="245"/>
    </row>
    <row r="313">
      <c r="A313" s="245"/>
      <c r="B313" s="245"/>
      <c r="C313" s="245"/>
      <c r="D313" s="246"/>
      <c r="E313" s="245"/>
      <c r="F313" s="245"/>
      <c r="G313" s="245"/>
      <c r="H313" s="245"/>
      <c r="I313" s="245"/>
      <c r="J313" s="245"/>
      <c r="K313" s="265"/>
      <c r="L313" s="245"/>
      <c r="M313" s="245"/>
      <c r="N313" s="245"/>
      <c r="O313" s="245"/>
      <c r="P313" s="245"/>
      <c r="Q313" s="247"/>
      <c r="R313" s="254"/>
      <c r="S313" s="245"/>
      <c r="T313" s="245"/>
      <c r="U313" s="245"/>
      <c r="V313" s="245"/>
      <c r="W313" s="245"/>
      <c r="X313" s="245"/>
      <c r="Y313" s="249"/>
      <c r="Z313" s="276"/>
      <c r="AA313" s="245"/>
      <c r="AB313" s="276"/>
      <c r="AC313" s="276"/>
      <c r="AD313" s="246"/>
      <c r="AE313" s="278"/>
      <c r="AF313" s="370"/>
      <c r="AG313" s="371"/>
      <c r="AH313" s="276"/>
      <c r="AI313" s="245"/>
      <c r="AJ313" s="287"/>
      <c r="AK313" s="278"/>
      <c r="AL313" s="246"/>
      <c r="AM313" s="245"/>
      <c r="AN313" s="245"/>
      <c r="AO313" s="274"/>
      <c r="AP313" s="245"/>
      <c r="AQ313" s="245"/>
      <c r="AR313" s="246"/>
      <c r="AS313" s="245"/>
      <c r="AT313" s="245"/>
      <c r="AU313" s="245"/>
      <c r="AV313" s="245"/>
      <c r="AW313" s="245"/>
      <c r="AX313" s="246"/>
      <c r="AY313" s="245"/>
      <c r="AZ313" s="245"/>
      <c r="BA313" s="246"/>
      <c r="BB313" s="245"/>
      <c r="BC313" s="245"/>
      <c r="BD313" s="245"/>
      <c r="BE313" s="245"/>
      <c r="BF313" s="245"/>
      <c r="BG313" s="245"/>
      <c r="BH313" s="245"/>
      <c r="BI313" s="245"/>
      <c r="BJ313" s="245"/>
      <c r="BK313" s="245"/>
      <c r="BL313" s="245"/>
      <c r="BM313" s="245"/>
      <c r="BN313" s="245"/>
      <c r="BO313" s="245"/>
      <c r="BP313" s="245"/>
      <c r="BQ313" s="245"/>
      <c r="BR313" s="245"/>
      <c r="BS313" s="245"/>
      <c r="BT313" s="246"/>
      <c r="BU313" s="245"/>
      <c r="BV313" s="245"/>
      <c r="BW313" s="245"/>
      <c r="BX313" s="245"/>
      <c r="BY313" s="245"/>
      <c r="BZ313" s="282"/>
      <c r="CA313" s="245"/>
      <c r="CB313" s="245"/>
      <c r="CC313" s="245"/>
      <c r="CD313" s="245"/>
      <c r="CE313" s="245"/>
      <c r="CF313" s="245"/>
    </row>
    <row r="314">
      <c r="A314" s="245"/>
      <c r="B314" s="245"/>
      <c r="C314" s="245"/>
      <c r="D314" s="246"/>
      <c r="E314" s="245"/>
      <c r="F314" s="245"/>
      <c r="G314" s="245"/>
      <c r="H314" s="245"/>
      <c r="I314" s="245"/>
      <c r="J314" s="245"/>
      <c r="K314" s="265"/>
      <c r="L314" s="245"/>
      <c r="M314" s="245"/>
      <c r="N314" s="245"/>
      <c r="O314" s="245"/>
      <c r="P314" s="245"/>
      <c r="Q314" s="247"/>
      <c r="R314" s="254"/>
      <c r="S314" s="245"/>
      <c r="T314" s="245"/>
      <c r="U314" s="245"/>
      <c r="V314" s="245"/>
      <c r="W314" s="245"/>
      <c r="X314" s="245"/>
      <c r="Y314" s="249"/>
      <c r="Z314" s="276"/>
      <c r="AA314" s="245"/>
      <c r="AB314" s="276"/>
      <c r="AC314" s="276"/>
      <c r="AD314" s="246"/>
      <c r="AE314" s="278"/>
      <c r="AF314" s="370"/>
      <c r="AG314" s="371"/>
      <c r="AH314" s="276"/>
      <c r="AI314" s="245"/>
      <c r="AJ314" s="287"/>
      <c r="AK314" s="278"/>
      <c r="AL314" s="246"/>
      <c r="AM314" s="245"/>
      <c r="AN314" s="245"/>
      <c r="AO314" s="274"/>
      <c r="AP314" s="245"/>
      <c r="AQ314" s="245"/>
      <c r="AR314" s="246"/>
      <c r="AS314" s="245"/>
      <c r="AT314" s="245"/>
      <c r="AU314" s="245"/>
      <c r="AV314" s="245"/>
      <c r="AW314" s="245"/>
      <c r="AX314" s="246"/>
      <c r="AY314" s="245"/>
      <c r="AZ314" s="245"/>
      <c r="BA314" s="246"/>
      <c r="BB314" s="245"/>
      <c r="BC314" s="245"/>
      <c r="BD314" s="245"/>
      <c r="BE314" s="245"/>
      <c r="BF314" s="245"/>
      <c r="BG314" s="245"/>
      <c r="BH314" s="245"/>
      <c r="BI314" s="245"/>
      <c r="BJ314" s="245"/>
      <c r="BK314" s="245"/>
      <c r="BL314" s="245"/>
      <c r="BM314" s="245"/>
      <c r="BN314" s="245"/>
      <c r="BO314" s="245"/>
      <c r="BP314" s="245"/>
      <c r="BQ314" s="245"/>
      <c r="BR314" s="245"/>
      <c r="BS314" s="245"/>
      <c r="BT314" s="246"/>
      <c r="BU314" s="245"/>
      <c r="BV314" s="245"/>
      <c r="BW314" s="245"/>
      <c r="BX314" s="245"/>
      <c r="BY314" s="245"/>
      <c r="BZ314" s="282"/>
      <c r="CA314" s="245"/>
      <c r="CB314" s="245"/>
      <c r="CC314" s="245"/>
      <c r="CD314" s="245"/>
      <c r="CE314" s="245"/>
      <c r="CF314" s="245"/>
    </row>
    <row r="315">
      <c r="A315" s="245"/>
      <c r="B315" s="245"/>
      <c r="C315" s="245"/>
      <c r="D315" s="246"/>
      <c r="E315" s="245"/>
      <c r="F315" s="245"/>
      <c r="G315" s="245"/>
      <c r="H315" s="245"/>
      <c r="I315" s="245"/>
      <c r="J315" s="245"/>
      <c r="K315" s="265"/>
      <c r="L315" s="245"/>
      <c r="M315" s="245"/>
      <c r="N315" s="245"/>
      <c r="O315" s="245"/>
      <c r="P315" s="245"/>
      <c r="Q315" s="247"/>
      <c r="R315" s="254"/>
      <c r="S315" s="245"/>
      <c r="T315" s="245"/>
      <c r="U315" s="245"/>
      <c r="V315" s="245"/>
      <c r="W315" s="245"/>
      <c r="X315" s="245"/>
      <c r="Y315" s="249"/>
      <c r="Z315" s="276"/>
      <c r="AA315" s="245"/>
      <c r="AB315" s="276"/>
      <c r="AC315" s="276"/>
      <c r="AD315" s="246"/>
      <c r="AE315" s="278"/>
      <c r="AF315" s="370"/>
      <c r="AG315" s="371"/>
      <c r="AH315" s="276"/>
      <c r="AI315" s="245"/>
      <c r="AJ315" s="287"/>
      <c r="AK315" s="278"/>
      <c r="AL315" s="246"/>
      <c r="AM315" s="245"/>
      <c r="AN315" s="245"/>
      <c r="AO315" s="274"/>
      <c r="AP315" s="245"/>
      <c r="AQ315" s="245"/>
      <c r="AR315" s="246"/>
      <c r="AS315" s="245"/>
      <c r="AT315" s="245"/>
      <c r="AU315" s="245"/>
      <c r="AV315" s="245"/>
      <c r="AW315" s="245"/>
      <c r="AX315" s="246"/>
      <c r="AY315" s="245"/>
      <c r="AZ315" s="245"/>
      <c r="BA315" s="246"/>
      <c r="BB315" s="245"/>
      <c r="BC315" s="245"/>
      <c r="BD315" s="245"/>
      <c r="BE315" s="245"/>
      <c r="BF315" s="245"/>
      <c r="BG315" s="245"/>
      <c r="BH315" s="245"/>
      <c r="BI315" s="245"/>
      <c r="BJ315" s="245"/>
      <c r="BK315" s="245"/>
      <c r="BL315" s="245"/>
      <c r="BM315" s="245"/>
      <c r="BN315" s="245"/>
      <c r="BO315" s="245"/>
      <c r="BP315" s="245"/>
      <c r="BQ315" s="245"/>
      <c r="BR315" s="245"/>
      <c r="BS315" s="245"/>
      <c r="BT315" s="246"/>
      <c r="BU315" s="245"/>
      <c r="BV315" s="245"/>
      <c r="BW315" s="245"/>
      <c r="BX315" s="245"/>
      <c r="BY315" s="245"/>
      <c r="BZ315" s="282"/>
      <c r="CA315" s="245"/>
      <c r="CB315" s="245"/>
      <c r="CC315" s="245"/>
      <c r="CD315" s="245"/>
      <c r="CE315" s="245"/>
      <c r="CF315" s="245"/>
    </row>
    <row r="316">
      <c r="A316" s="245"/>
      <c r="B316" s="245"/>
      <c r="C316" s="245"/>
      <c r="D316" s="246"/>
      <c r="E316" s="245"/>
      <c r="F316" s="245"/>
      <c r="G316" s="245"/>
      <c r="H316" s="245"/>
      <c r="I316" s="245"/>
      <c r="J316" s="245"/>
      <c r="K316" s="265"/>
      <c r="L316" s="245"/>
      <c r="M316" s="245"/>
      <c r="N316" s="245"/>
      <c r="O316" s="245"/>
      <c r="P316" s="245"/>
      <c r="Q316" s="247"/>
      <c r="R316" s="254"/>
      <c r="S316" s="245"/>
      <c r="T316" s="245"/>
      <c r="U316" s="245"/>
      <c r="V316" s="245"/>
      <c r="W316" s="245"/>
      <c r="X316" s="245"/>
      <c r="Y316" s="249"/>
      <c r="Z316" s="276"/>
      <c r="AA316" s="245"/>
      <c r="AB316" s="276"/>
      <c r="AC316" s="276"/>
      <c r="AD316" s="246"/>
      <c r="AE316" s="278"/>
      <c r="AF316" s="370"/>
      <c r="AG316" s="371"/>
      <c r="AH316" s="276"/>
      <c r="AI316" s="245"/>
      <c r="AJ316" s="287"/>
      <c r="AK316" s="278"/>
      <c r="AL316" s="246"/>
      <c r="AM316" s="245"/>
      <c r="AN316" s="245"/>
      <c r="AO316" s="274"/>
      <c r="AP316" s="245"/>
      <c r="AQ316" s="245"/>
      <c r="AR316" s="246"/>
      <c r="AS316" s="245"/>
      <c r="AT316" s="245"/>
      <c r="AU316" s="245"/>
      <c r="AV316" s="245"/>
      <c r="AW316" s="245"/>
      <c r="AX316" s="246"/>
      <c r="AY316" s="245"/>
      <c r="AZ316" s="245"/>
      <c r="BA316" s="246"/>
      <c r="BB316" s="245"/>
      <c r="BC316" s="245"/>
      <c r="BD316" s="245"/>
      <c r="BE316" s="245"/>
      <c r="BF316" s="245"/>
      <c r="BG316" s="245"/>
      <c r="BH316" s="245"/>
      <c r="BI316" s="245"/>
      <c r="BJ316" s="245"/>
      <c r="BK316" s="245"/>
      <c r="BL316" s="245"/>
      <c r="BM316" s="245"/>
      <c r="BN316" s="245"/>
      <c r="BO316" s="245"/>
      <c r="BP316" s="245"/>
      <c r="BQ316" s="245"/>
      <c r="BR316" s="245"/>
      <c r="BS316" s="245"/>
      <c r="BT316" s="246"/>
      <c r="BU316" s="245"/>
      <c r="BV316" s="245"/>
      <c r="BW316" s="245"/>
      <c r="BX316" s="245"/>
      <c r="BY316" s="245"/>
      <c r="BZ316" s="282"/>
      <c r="CA316" s="245"/>
      <c r="CB316" s="245"/>
      <c r="CC316" s="245"/>
      <c r="CD316" s="245"/>
      <c r="CE316" s="245"/>
      <c r="CF316" s="245"/>
    </row>
    <row r="317">
      <c r="A317" s="245"/>
      <c r="B317" s="245"/>
      <c r="C317" s="245"/>
      <c r="D317" s="246"/>
      <c r="E317" s="245"/>
      <c r="F317" s="245"/>
      <c r="G317" s="245"/>
      <c r="H317" s="245"/>
      <c r="I317" s="245"/>
      <c r="J317" s="245"/>
      <c r="K317" s="265"/>
      <c r="L317" s="245"/>
      <c r="M317" s="245"/>
      <c r="N317" s="245"/>
      <c r="O317" s="245"/>
      <c r="P317" s="245"/>
      <c r="Q317" s="247"/>
      <c r="R317" s="254"/>
      <c r="S317" s="245"/>
      <c r="T317" s="245"/>
      <c r="U317" s="245"/>
      <c r="V317" s="245"/>
      <c r="W317" s="245"/>
      <c r="X317" s="245"/>
      <c r="Y317" s="249"/>
      <c r="Z317" s="276"/>
      <c r="AA317" s="245"/>
      <c r="AB317" s="276"/>
      <c r="AC317" s="276"/>
      <c r="AD317" s="246"/>
      <c r="AE317" s="278"/>
      <c r="AF317" s="370"/>
      <c r="AG317" s="371"/>
      <c r="AH317" s="276"/>
      <c r="AI317" s="245"/>
      <c r="AJ317" s="287"/>
      <c r="AK317" s="278"/>
      <c r="AL317" s="246"/>
      <c r="AM317" s="245"/>
      <c r="AN317" s="245"/>
      <c r="AO317" s="274"/>
      <c r="AP317" s="245"/>
      <c r="AQ317" s="245"/>
      <c r="AR317" s="246"/>
      <c r="AS317" s="245"/>
      <c r="AT317" s="245"/>
      <c r="AU317" s="245"/>
      <c r="AV317" s="245"/>
      <c r="AW317" s="245"/>
      <c r="AX317" s="246"/>
      <c r="AY317" s="245"/>
      <c r="AZ317" s="245"/>
      <c r="BA317" s="246"/>
      <c r="BB317" s="245"/>
      <c r="BC317" s="245"/>
      <c r="BD317" s="245"/>
      <c r="BE317" s="245"/>
      <c r="BF317" s="245"/>
      <c r="BG317" s="245"/>
      <c r="BH317" s="245"/>
      <c r="BI317" s="245"/>
      <c r="BJ317" s="245"/>
      <c r="BK317" s="245"/>
      <c r="BL317" s="245"/>
      <c r="BM317" s="245"/>
      <c r="BN317" s="245"/>
      <c r="BO317" s="245"/>
      <c r="BP317" s="245"/>
      <c r="BQ317" s="245"/>
      <c r="BR317" s="245"/>
      <c r="BS317" s="245"/>
      <c r="BT317" s="246"/>
      <c r="BU317" s="245"/>
      <c r="BV317" s="245"/>
      <c r="BW317" s="245"/>
      <c r="BX317" s="245"/>
      <c r="BY317" s="245"/>
      <c r="BZ317" s="282"/>
      <c r="CA317" s="245"/>
      <c r="CB317" s="245"/>
      <c r="CC317" s="245"/>
      <c r="CD317" s="245"/>
      <c r="CE317" s="245"/>
      <c r="CF317" s="245"/>
    </row>
    <row r="318">
      <c r="A318" s="245"/>
      <c r="B318" s="245"/>
      <c r="C318" s="245"/>
      <c r="D318" s="246"/>
      <c r="E318" s="245"/>
      <c r="F318" s="245"/>
      <c r="G318" s="245"/>
      <c r="H318" s="245"/>
      <c r="I318" s="245"/>
      <c r="J318" s="245"/>
      <c r="K318" s="265"/>
      <c r="L318" s="245"/>
      <c r="M318" s="245"/>
      <c r="N318" s="245"/>
      <c r="O318" s="245"/>
      <c r="P318" s="245"/>
      <c r="Q318" s="247"/>
      <c r="R318" s="254"/>
      <c r="S318" s="245"/>
      <c r="T318" s="245"/>
      <c r="U318" s="245"/>
      <c r="V318" s="245"/>
      <c r="W318" s="245"/>
      <c r="X318" s="245"/>
      <c r="Y318" s="249"/>
      <c r="Z318" s="276"/>
      <c r="AA318" s="245"/>
      <c r="AB318" s="276"/>
      <c r="AC318" s="276"/>
      <c r="AD318" s="246"/>
      <c r="AE318" s="278"/>
      <c r="AF318" s="370"/>
      <c r="AG318" s="371"/>
      <c r="AH318" s="276"/>
      <c r="AI318" s="245"/>
      <c r="AJ318" s="287"/>
      <c r="AK318" s="278"/>
      <c r="AL318" s="246"/>
      <c r="AM318" s="245"/>
      <c r="AN318" s="245"/>
      <c r="AO318" s="274"/>
      <c r="AP318" s="245"/>
      <c r="AQ318" s="245"/>
      <c r="AR318" s="246"/>
      <c r="AS318" s="245"/>
      <c r="AT318" s="245"/>
      <c r="AU318" s="245"/>
      <c r="AV318" s="245"/>
      <c r="AW318" s="245"/>
      <c r="AX318" s="246"/>
      <c r="AY318" s="245"/>
      <c r="AZ318" s="245"/>
      <c r="BA318" s="246"/>
      <c r="BB318" s="245"/>
      <c r="BC318" s="245"/>
      <c r="BD318" s="245"/>
      <c r="BE318" s="245"/>
      <c r="BF318" s="245"/>
      <c r="BG318" s="245"/>
      <c r="BH318" s="245"/>
      <c r="BI318" s="245"/>
      <c r="BJ318" s="245"/>
      <c r="BK318" s="245"/>
      <c r="BL318" s="245"/>
      <c r="BM318" s="245"/>
      <c r="BN318" s="245"/>
      <c r="BO318" s="245"/>
      <c r="BP318" s="245"/>
      <c r="BQ318" s="245"/>
      <c r="BR318" s="245"/>
      <c r="BS318" s="245"/>
      <c r="BT318" s="246"/>
      <c r="BU318" s="245"/>
      <c r="BV318" s="245"/>
      <c r="BW318" s="245"/>
      <c r="BX318" s="245"/>
      <c r="BY318" s="245"/>
      <c r="BZ318" s="282"/>
      <c r="CA318" s="245"/>
      <c r="CB318" s="245"/>
      <c r="CC318" s="245"/>
      <c r="CD318" s="245"/>
      <c r="CE318" s="245"/>
      <c r="CF318" s="245"/>
    </row>
    <row r="319">
      <c r="A319" s="245"/>
      <c r="B319" s="245"/>
      <c r="C319" s="245"/>
      <c r="D319" s="246"/>
      <c r="E319" s="245"/>
      <c r="F319" s="245"/>
      <c r="G319" s="245"/>
      <c r="H319" s="245"/>
      <c r="I319" s="245"/>
      <c r="J319" s="245"/>
      <c r="K319" s="265"/>
      <c r="L319" s="245"/>
      <c r="M319" s="245"/>
      <c r="N319" s="245"/>
      <c r="O319" s="245"/>
      <c r="P319" s="245"/>
      <c r="Q319" s="247"/>
      <c r="R319" s="254"/>
      <c r="S319" s="245"/>
      <c r="T319" s="245"/>
      <c r="U319" s="245"/>
      <c r="V319" s="245"/>
      <c r="W319" s="245"/>
      <c r="X319" s="245"/>
      <c r="Y319" s="249"/>
      <c r="Z319" s="276"/>
      <c r="AA319" s="245"/>
      <c r="AB319" s="276"/>
      <c r="AC319" s="276"/>
      <c r="AD319" s="246"/>
      <c r="AE319" s="278"/>
      <c r="AF319" s="370"/>
      <c r="AG319" s="371"/>
      <c r="AH319" s="276"/>
      <c r="AI319" s="245"/>
      <c r="AJ319" s="287"/>
      <c r="AK319" s="278"/>
      <c r="AL319" s="246"/>
      <c r="AM319" s="245"/>
      <c r="AN319" s="245"/>
      <c r="AO319" s="274"/>
      <c r="AP319" s="245"/>
      <c r="AQ319" s="245"/>
      <c r="AR319" s="246"/>
      <c r="AS319" s="245"/>
      <c r="AT319" s="245"/>
      <c r="AU319" s="245"/>
      <c r="AV319" s="245"/>
      <c r="AW319" s="245"/>
      <c r="AX319" s="246"/>
      <c r="AY319" s="245"/>
      <c r="AZ319" s="245"/>
      <c r="BA319" s="246"/>
      <c r="BB319" s="245"/>
      <c r="BC319" s="245"/>
      <c r="BD319" s="245"/>
      <c r="BE319" s="245"/>
      <c r="BF319" s="245"/>
      <c r="BG319" s="245"/>
      <c r="BH319" s="245"/>
      <c r="BI319" s="245"/>
      <c r="BJ319" s="245"/>
      <c r="BK319" s="245"/>
      <c r="BL319" s="245"/>
      <c r="BM319" s="245"/>
      <c r="BN319" s="245"/>
      <c r="BO319" s="245"/>
      <c r="BP319" s="245"/>
      <c r="BQ319" s="245"/>
      <c r="BR319" s="245"/>
      <c r="BS319" s="245"/>
      <c r="BT319" s="246"/>
      <c r="BU319" s="245"/>
      <c r="BV319" s="245"/>
      <c r="BW319" s="245"/>
      <c r="BX319" s="245"/>
      <c r="BY319" s="245"/>
      <c r="BZ319" s="282"/>
      <c r="CA319" s="245"/>
      <c r="CB319" s="245"/>
      <c r="CC319" s="245"/>
      <c r="CD319" s="245"/>
      <c r="CE319" s="245"/>
      <c r="CF319" s="245"/>
    </row>
    <row r="320">
      <c r="A320" s="245"/>
      <c r="B320" s="245"/>
      <c r="C320" s="245"/>
      <c r="D320" s="246"/>
      <c r="E320" s="245"/>
      <c r="F320" s="245"/>
      <c r="G320" s="245"/>
      <c r="H320" s="245"/>
      <c r="I320" s="245"/>
      <c r="J320" s="245"/>
      <c r="K320" s="265"/>
      <c r="L320" s="245"/>
      <c r="M320" s="245"/>
      <c r="N320" s="245"/>
      <c r="O320" s="245"/>
      <c r="P320" s="245"/>
      <c r="Q320" s="247"/>
      <c r="R320" s="254"/>
      <c r="S320" s="245"/>
      <c r="T320" s="245"/>
      <c r="U320" s="245"/>
      <c r="V320" s="245"/>
      <c r="W320" s="245"/>
      <c r="X320" s="245"/>
      <c r="Y320" s="249"/>
      <c r="Z320" s="276"/>
      <c r="AA320" s="245"/>
      <c r="AB320" s="276"/>
      <c r="AC320" s="276"/>
      <c r="AD320" s="246"/>
      <c r="AE320" s="278"/>
      <c r="AF320" s="370"/>
      <c r="AG320" s="371"/>
      <c r="AH320" s="276"/>
      <c r="AI320" s="245"/>
      <c r="AJ320" s="287"/>
      <c r="AK320" s="278"/>
      <c r="AL320" s="246"/>
      <c r="AM320" s="245"/>
      <c r="AN320" s="245"/>
      <c r="AO320" s="274"/>
      <c r="AP320" s="245"/>
      <c r="AQ320" s="245"/>
      <c r="AR320" s="246"/>
      <c r="AS320" s="245"/>
      <c r="AT320" s="245"/>
      <c r="AU320" s="245"/>
      <c r="AV320" s="245"/>
      <c r="AW320" s="245"/>
      <c r="AX320" s="246"/>
      <c r="AY320" s="245"/>
      <c r="AZ320" s="245"/>
      <c r="BA320" s="246"/>
      <c r="BB320" s="245"/>
      <c r="BC320" s="245"/>
      <c r="BD320" s="245"/>
      <c r="BE320" s="245"/>
      <c r="BF320" s="245"/>
      <c r="BG320" s="245"/>
      <c r="BH320" s="245"/>
      <c r="BI320" s="245"/>
      <c r="BJ320" s="245"/>
      <c r="BK320" s="245"/>
      <c r="BL320" s="245"/>
      <c r="BM320" s="245"/>
      <c r="BN320" s="245"/>
      <c r="BO320" s="245"/>
      <c r="BP320" s="245"/>
      <c r="BQ320" s="245"/>
      <c r="BR320" s="245"/>
      <c r="BS320" s="245"/>
      <c r="BT320" s="246"/>
      <c r="BU320" s="245"/>
      <c r="BV320" s="245"/>
      <c r="BW320" s="245"/>
      <c r="BX320" s="245"/>
      <c r="BY320" s="245"/>
      <c r="BZ320" s="282"/>
      <c r="CA320" s="245"/>
      <c r="CB320" s="245"/>
      <c r="CC320" s="245"/>
      <c r="CD320" s="245"/>
      <c r="CE320" s="245"/>
      <c r="CF320" s="245"/>
    </row>
    <row r="321">
      <c r="A321" s="245"/>
      <c r="B321" s="245"/>
      <c r="C321" s="245"/>
      <c r="D321" s="246"/>
      <c r="E321" s="245"/>
      <c r="F321" s="245"/>
      <c r="G321" s="245"/>
      <c r="H321" s="245"/>
      <c r="I321" s="245"/>
      <c r="J321" s="245"/>
      <c r="K321" s="265"/>
      <c r="L321" s="245"/>
      <c r="M321" s="245"/>
      <c r="N321" s="245"/>
      <c r="O321" s="245"/>
      <c r="P321" s="245"/>
      <c r="Q321" s="247"/>
      <c r="R321" s="254"/>
      <c r="S321" s="245"/>
      <c r="T321" s="245"/>
      <c r="U321" s="245"/>
      <c r="V321" s="245"/>
      <c r="W321" s="245"/>
      <c r="X321" s="245"/>
      <c r="Y321" s="249"/>
      <c r="Z321" s="276"/>
      <c r="AA321" s="245"/>
      <c r="AB321" s="276"/>
      <c r="AC321" s="276"/>
      <c r="AD321" s="246"/>
      <c r="AE321" s="278"/>
      <c r="AF321" s="370"/>
      <c r="AG321" s="371"/>
      <c r="AH321" s="276"/>
      <c r="AI321" s="245"/>
      <c r="AJ321" s="287"/>
      <c r="AK321" s="278"/>
      <c r="AL321" s="246"/>
      <c r="AM321" s="245"/>
      <c r="AN321" s="245"/>
      <c r="AO321" s="274"/>
      <c r="AP321" s="245"/>
      <c r="AQ321" s="245"/>
      <c r="AR321" s="246"/>
      <c r="AS321" s="245"/>
      <c r="AT321" s="245"/>
      <c r="AU321" s="245"/>
      <c r="AV321" s="245"/>
      <c r="AW321" s="245"/>
      <c r="AX321" s="246"/>
      <c r="AY321" s="245"/>
      <c r="AZ321" s="245"/>
      <c r="BA321" s="246"/>
      <c r="BB321" s="245"/>
      <c r="BC321" s="245"/>
      <c r="BD321" s="245"/>
      <c r="BE321" s="245"/>
      <c r="BF321" s="245"/>
      <c r="BG321" s="245"/>
      <c r="BH321" s="245"/>
      <c r="BI321" s="245"/>
      <c r="BJ321" s="245"/>
      <c r="BK321" s="245"/>
      <c r="BL321" s="245"/>
      <c r="BM321" s="245"/>
      <c r="BN321" s="245"/>
      <c r="BO321" s="245"/>
      <c r="BP321" s="245"/>
      <c r="BQ321" s="245"/>
      <c r="BR321" s="245"/>
      <c r="BS321" s="245"/>
      <c r="BT321" s="246"/>
      <c r="BU321" s="245"/>
      <c r="BV321" s="245"/>
      <c r="BW321" s="245"/>
      <c r="BX321" s="245"/>
      <c r="BY321" s="245"/>
      <c r="BZ321" s="282"/>
      <c r="CA321" s="245"/>
      <c r="CB321" s="245"/>
      <c r="CC321" s="245"/>
      <c r="CD321" s="245"/>
      <c r="CE321" s="245"/>
      <c r="CF321" s="245"/>
    </row>
    <row r="322">
      <c r="A322" s="245"/>
      <c r="B322" s="245"/>
      <c r="C322" s="245"/>
      <c r="D322" s="246"/>
      <c r="E322" s="245"/>
      <c r="F322" s="245"/>
      <c r="G322" s="245"/>
      <c r="H322" s="245"/>
      <c r="I322" s="245"/>
      <c r="J322" s="245"/>
      <c r="K322" s="265"/>
      <c r="L322" s="245"/>
      <c r="M322" s="245"/>
      <c r="N322" s="245"/>
      <c r="O322" s="245"/>
      <c r="P322" s="245"/>
      <c r="Q322" s="247"/>
      <c r="R322" s="254"/>
      <c r="S322" s="245"/>
      <c r="T322" s="245"/>
      <c r="U322" s="245"/>
      <c r="V322" s="245"/>
      <c r="W322" s="245"/>
      <c r="X322" s="245"/>
      <c r="Y322" s="249"/>
      <c r="Z322" s="276"/>
      <c r="AA322" s="245"/>
      <c r="AB322" s="276"/>
      <c r="AC322" s="276"/>
      <c r="AD322" s="246"/>
      <c r="AE322" s="278"/>
      <c r="AF322" s="370"/>
      <c r="AG322" s="371"/>
      <c r="AH322" s="276"/>
      <c r="AI322" s="245"/>
      <c r="AJ322" s="287"/>
      <c r="AK322" s="278"/>
      <c r="AL322" s="246"/>
      <c r="AM322" s="245"/>
      <c r="AN322" s="245"/>
      <c r="AO322" s="274"/>
      <c r="AP322" s="245"/>
      <c r="AQ322" s="245"/>
      <c r="AR322" s="246"/>
      <c r="AS322" s="245"/>
      <c r="AT322" s="245"/>
      <c r="AU322" s="245"/>
      <c r="AV322" s="245"/>
      <c r="AW322" s="245"/>
      <c r="AX322" s="246"/>
      <c r="AY322" s="245"/>
      <c r="AZ322" s="245"/>
      <c r="BA322" s="246"/>
      <c r="BB322" s="245"/>
      <c r="BC322" s="245"/>
      <c r="BD322" s="245"/>
      <c r="BE322" s="245"/>
      <c r="BF322" s="245"/>
      <c r="BG322" s="245"/>
      <c r="BH322" s="245"/>
      <c r="BI322" s="245"/>
      <c r="BJ322" s="245"/>
      <c r="BK322" s="245"/>
      <c r="BL322" s="245"/>
      <c r="BM322" s="245"/>
      <c r="BN322" s="245"/>
      <c r="BO322" s="245"/>
      <c r="BP322" s="245"/>
      <c r="BQ322" s="245"/>
      <c r="BR322" s="245"/>
      <c r="BS322" s="245"/>
      <c r="BT322" s="246"/>
      <c r="BU322" s="245"/>
      <c r="BV322" s="245"/>
      <c r="BW322" s="245"/>
      <c r="BX322" s="245"/>
      <c r="BY322" s="245"/>
      <c r="BZ322" s="282"/>
      <c r="CA322" s="245"/>
      <c r="CB322" s="245"/>
      <c r="CC322" s="245"/>
      <c r="CD322" s="245"/>
      <c r="CE322" s="245"/>
      <c r="CF322" s="245"/>
    </row>
    <row r="323">
      <c r="A323" s="245"/>
      <c r="B323" s="245"/>
      <c r="C323" s="245"/>
      <c r="D323" s="246"/>
      <c r="E323" s="245"/>
      <c r="F323" s="245"/>
      <c r="G323" s="245"/>
      <c r="H323" s="245"/>
      <c r="I323" s="245"/>
      <c r="J323" s="245"/>
      <c r="K323" s="265"/>
      <c r="L323" s="245"/>
      <c r="M323" s="245"/>
      <c r="N323" s="245"/>
      <c r="O323" s="245"/>
      <c r="P323" s="245"/>
      <c r="Q323" s="247"/>
      <c r="R323" s="254"/>
      <c r="S323" s="245"/>
      <c r="T323" s="245"/>
      <c r="U323" s="245"/>
      <c r="V323" s="245"/>
      <c r="W323" s="245"/>
      <c r="X323" s="245"/>
      <c r="Y323" s="249"/>
      <c r="Z323" s="276"/>
      <c r="AA323" s="245"/>
      <c r="AB323" s="276"/>
      <c r="AC323" s="276"/>
      <c r="AD323" s="246"/>
      <c r="AE323" s="278"/>
      <c r="AF323" s="370"/>
      <c r="AG323" s="371"/>
      <c r="AH323" s="276"/>
      <c r="AI323" s="245"/>
      <c r="AJ323" s="287"/>
      <c r="AK323" s="278"/>
      <c r="AL323" s="246"/>
      <c r="AM323" s="245"/>
      <c r="AN323" s="245"/>
      <c r="AO323" s="274"/>
      <c r="AP323" s="245"/>
      <c r="AQ323" s="245"/>
      <c r="AR323" s="246"/>
      <c r="AS323" s="245"/>
      <c r="AT323" s="245"/>
      <c r="AU323" s="245"/>
      <c r="AV323" s="245"/>
      <c r="AW323" s="245"/>
      <c r="AX323" s="246"/>
      <c r="AY323" s="245"/>
      <c r="AZ323" s="245"/>
      <c r="BA323" s="246"/>
      <c r="BB323" s="245"/>
      <c r="BC323" s="245"/>
      <c r="BD323" s="245"/>
      <c r="BE323" s="245"/>
      <c r="BF323" s="245"/>
      <c r="BG323" s="245"/>
      <c r="BH323" s="245"/>
      <c r="BI323" s="245"/>
      <c r="BJ323" s="245"/>
      <c r="BK323" s="245"/>
      <c r="BL323" s="245"/>
      <c r="BM323" s="245"/>
      <c r="BN323" s="245"/>
      <c r="BO323" s="245"/>
      <c r="BP323" s="245"/>
      <c r="BQ323" s="245"/>
      <c r="BR323" s="245"/>
      <c r="BS323" s="245"/>
      <c r="BT323" s="246"/>
      <c r="BU323" s="245"/>
      <c r="BV323" s="245"/>
      <c r="BW323" s="245"/>
      <c r="BX323" s="245"/>
      <c r="BY323" s="245"/>
      <c r="BZ323" s="282"/>
      <c r="CA323" s="245"/>
      <c r="CB323" s="245"/>
      <c r="CC323" s="245"/>
      <c r="CD323" s="245"/>
      <c r="CE323" s="245"/>
      <c r="CF323" s="245"/>
    </row>
    <row r="324">
      <c r="A324" s="245"/>
      <c r="B324" s="245"/>
      <c r="C324" s="245"/>
      <c r="D324" s="246"/>
      <c r="E324" s="245"/>
      <c r="F324" s="245"/>
      <c r="G324" s="245"/>
      <c r="H324" s="245"/>
      <c r="I324" s="245"/>
      <c r="J324" s="245"/>
      <c r="K324" s="265"/>
      <c r="L324" s="245"/>
      <c r="M324" s="245"/>
      <c r="N324" s="245"/>
      <c r="O324" s="245"/>
      <c r="P324" s="245"/>
      <c r="Q324" s="247"/>
      <c r="R324" s="254"/>
      <c r="S324" s="245"/>
      <c r="T324" s="245"/>
      <c r="U324" s="245"/>
      <c r="V324" s="245"/>
      <c r="W324" s="245"/>
      <c r="X324" s="245"/>
      <c r="Y324" s="249"/>
      <c r="Z324" s="276"/>
      <c r="AA324" s="245"/>
      <c r="AB324" s="276"/>
      <c r="AC324" s="276"/>
      <c r="AD324" s="246"/>
      <c r="AE324" s="278"/>
      <c r="AF324" s="370"/>
      <c r="AG324" s="371"/>
      <c r="AH324" s="276"/>
      <c r="AI324" s="245"/>
      <c r="AJ324" s="287"/>
      <c r="AK324" s="278"/>
      <c r="AL324" s="246"/>
      <c r="AM324" s="245"/>
      <c r="AN324" s="245"/>
      <c r="AO324" s="274"/>
      <c r="AP324" s="245"/>
      <c r="AQ324" s="245"/>
      <c r="AR324" s="246"/>
      <c r="AS324" s="245"/>
      <c r="AT324" s="245"/>
      <c r="AU324" s="245"/>
      <c r="AV324" s="245"/>
      <c r="AW324" s="245"/>
      <c r="AX324" s="246"/>
      <c r="AY324" s="245"/>
      <c r="AZ324" s="245"/>
      <c r="BA324" s="246"/>
      <c r="BB324" s="245"/>
      <c r="BC324" s="245"/>
      <c r="BD324" s="245"/>
      <c r="BE324" s="245"/>
      <c r="BF324" s="245"/>
      <c r="BG324" s="245"/>
      <c r="BH324" s="245"/>
      <c r="BI324" s="245"/>
      <c r="BJ324" s="245"/>
      <c r="BK324" s="245"/>
      <c r="BL324" s="245"/>
      <c r="BM324" s="245"/>
      <c r="BN324" s="245"/>
      <c r="BO324" s="245"/>
      <c r="BP324" s="245"/>
      <c r="BQ324" s="245"/>
      <c r="BR324" s="245"/>
      <c r="BS324" s="245"/>
      <c r="BT324" s="246"/>
      <c r="BU324" s="245"/>
      <c r="BV324" s="245"/>
      <c r="BW324" s="245"/>
      <c r="BX324" s="245"/>
      <c r="BY324" s="245"/>
      <c r="BZ324" s="282"/>
      <c r="CA324" s="245"/>
      <c r="CB324" s="245"/>
      <c r="CC324" s="245"/>
      <c r="CD324" s="245"/>
      <c r="CE324" s="245"/>
      <c r="CF324" s="245"/>
    </row>
    <row r="325">
      <c r="A325" s="245"/>
      <c r="B325" s="245"/>
      <c r="C325" s="245"/>
      <c r="D325" s="246"/>
      <c r="E325" s="245"/>
      <c r="F325" s="245"/>
      <c r="G325" s="245"/>
      <c r="H325" s="245"/>
      <c r="I325" s="245"/>
      <c r="J325" s="245"/>
      <c r="K325" s="265"/>
      <c r="L325" s="245"/>
      <c r="M325" s="245"/>
      <c r="N325" s="245"/>
      <c r="O325" s="245"/>
      <c r="P325" s="245"/>
      <c r="Q325" s="247"/>
      <c r="R325" s="254"/>
      <c r="S325" s="245"/>
      <c r="T325" s="245"/>
      <c r="U325" s="245"/>
      <c r="V325" s="245"/>
      <c r="W325" s="245"/>
      <c r="X325" s="245"/>
      <c r="Y325" s="249"/>
      <c r="Z325" s="276"/>
      <c r="AA325" s="245"/>
      <c r="AB325" s="276"/>
      <c r="AC325" s="276"/>
      <c r="AD325" s="246"/>
      <c r="AE325" s="278"/>
      <c r="AF325" s="370"/>
      <c r="AG325" s="371"/>
      <c r="AH325" s="276"/>
      <c r="AI325" s="245"/>
      <c r="AJ325" s="287"/>
      <c r="AK325" s="278"/>
      <c r="AL325" s="246"/>
      <c r="AM325" s="245"/>
      <c r="AN325" s="245"/>
      <c r="AO325" s="274"/>
      <c r="AP325" s="245"/>
      <c r="AQ325" s="245"/>
      <c r="AR325" s="246"/>
      <c r="AS325" s="245"/>
      <c r="AT325" s="245"/>
      <c r="AU325" s="245"/>
      <c r="AV325" s="245"/>
      <c r="AW325" s="245"/>
      <c r="AX325" s="246"/>
      <c r="AY325" s="245"/>
      <c r="AZ325" s="245"/>
      <c r="BA325" s="246"/>
      <c r="BB325" s="245"/>
      <c r="BC325" s="245"/>
      <c r="BD325" s="245"/>
      <c r="BE325" s="245"/>
      <c r="BF325" s="245"/>
      <c r="BG325" s="245"/>
      <c r="BH325" s="245"/>
      <c r="BI325" s="245"/>
      <c r="BJ325" s="245"/>
      <c r="BK325" s="245"/>
      <c r="BL325" s="245"/>
      <c r="BM325" s="245"/>
      <c r="BN325" s="245"/>
      <c r="BO325" s="245"/>
      <c r="BP325" s="245"/>
      <c r="BQ325" s="245"/>
      <c r="BR325" s="245"/>
      <c r="BS325" s="245"/>
      <c r="BT325" s="246"/>
      <c r="BU325" s="245"/>
      <c r="BV325" s="245"/>
      <c r="BW325" s="245"/>
      <c r="BX325" s="245"/>
      <c r="BY325" s="245"/>
      <c r="BZ325" s="282"/>
      <c r="CA325" s="245"/>
      <c r="CB325" s="245"/>
      <c r="CC325" s="245"/>
      <c r="CD325" s="245"/>
      <c r="CE325" s="245"/>
      <c r="CF325" s="245"/>
    </row>
    <row r="326">
      <c r="A326" s="245"/>
      <c r="B326" s="245"/>
      <c r="C326" s="245"/>
      <c r="D326" s="246"/>
      <c r="E326" s="245"/>
      <c r="F326" s="245"/>
      <c r="G326" s="245"/>
      <c r="H326" s="245"/>
      <c r="I326" s="245"/>
      <c r="J326" s="245"/>
      <c r="K326" s="265"/>
      <c r="L326" s="245"/>
      <c r="M326" s="245"/>
      <c r="N326" s="245"/>
      <c r="O326" s="245"/>
      <c r="P326" s="245"/>
      <c r="Q326" s="247"/>
      <c r="R326" s="254"/>
      <c r="S326" s="245"/>
      <c r="T326" s="245"/>
      <c r="U326" s="245"/>
      <c r="V326" s="245"/>
      <c r="W326" s="245"/>
      <c r="X326" s="245"/>
      <c r="Y326" s="249"/>
      <c r="Z326" s="276"/>
      <c r="AA326" s="245"/>
      <c r="AB326" s="276"/>
      <c r="AC326" s="276"/>
      <c r="AD326" s="246"/>
      <c r="AE326" s="278"/>
      <c r="AF326" s="370"/>
      <c r="AG326" s="371"/>
      <c r="AH326" s="276"/>
      <c r="AI326" s="245"/>
      <c r="AJ326" s="287"/>
      <c r="AK326" s="278"/>
      <c r="AL326" s="246"/>
      <c r="AM326" s="245"/>
      <c r="AN326" s="245"/>
      <c r="AO326" s="274"/>
      <c r="AP326" s="245"/>
      <c r="AQ326" s="245"/>
      <c r="AR326" s="246"/>
      <c r="AS326" s="245"/>
      <c r="AT326" s="245"/>
      <c r="AU326" s="245"/>
      <c r="AV326" s="245"/>
      <c r="AW326" s="245"/>
      <c r="AX326" s="246"/>
      <c r="AY326" s="245"/>
      <c r="AZ326" s="245"/>
      <c r="BA326" s="246"/>
      <c r="BB326" s="245"/>
      <c r="BC326" s="245"/>
      <c r="BD326" s="245"/>
      <c r="BE326" s="245"/>
      <c r="BF326" s="245"/>
      <c r="BG326" s="245"/>
      <c r="BH326" s="245"/>
      <c r="BI326" s="245"/>
      <c r="BJ326" s="245"/>
      <c r="BK326" s="245"/>
      <c r="BL326" s="245"/>
      <c r="BM326" s="245"/>
      <c r="BN326" s="245"/>
      <c r="BO326" s="245"/>
      <c r="BP326" s="245"/>
      <c r="BQ326" s="245"/>
      <c r="BR326" s="245"/>
      <c r="BS326" s="245"/>
      <c r="BT326" s="246"/>
      <c r="BU326" s="245"/>
      <c r="BV326" s="245"/>
      <c r="BW326" s="245"/>
      <c r="BX326" s="245"/>
      <c r="BY326" s="245"/>
      <c r="BZ326" s="282"/>
      <c r="CA326" s="245"/>
      <c r="CB326" s="245"/>
      <c r="CC326" s="245"/>
      <c r="CD326" s="245"/>
      <c r="CE326" s="245"/>
      <c r="CF326" s="245"/>
    </row>
    <row r="327">
      <c r="A327" s="245"/>
      <c r="B327" s="245"/>
      <c r="C327" s="245"/>
      <c r="D327" s="246"/>
      <c r="E327" s="245"/>
      <c r="F327" s="245"/>
      <c r="G327" s="245"/>
      <c r="H327" s="245"/>
      <c r="I327" s="245"/>
      <c r="J327" s="245"/>
      <c r="K327" s="265"/>
      <c r="L327" s="245"/>
      <c r="M327" s="245"/>
      <c r="N327" s="245"/>
      <c r="O327" s="245"/>
      <c r="P327" s="245"/>
      <c r="Q327" s="247"/>
      <c r="R327" s="254"/>
      <c r="S327" s="245"/>
      <c r="T327" s="245"/>
      <c r="U327" s="245"/>
      <c r="V327" s="245"/>
      <c r="W327" s="245"/>
      <c r="X327" s="245"/>
      <c r="Y327" s="249"/>
      <c r="Z327" s="276"/>
      <c r="AA327" s="245"/>
      <c r="AB327" s="276"/>
      <c r="AC327" s="276"/>
      <c r="AD327" s="246"/>
      <c r="AE327" s="278"/>
      <c r="AF327" s="370"/>
      <c r="AG327" s="371"/>
      <c r="AH327" s="276"/>
      <c r="AI327" s="245"/>
      <c r="AJ327" s="287"/>
      <c r="AK327" s="278"/>
      <c r="AL327" s="246"/>
      <c r="AM327" s="245"/>
      <c r="AN327" s="245"/>
      <c r="AO327" s="274"/>
      <c r="AP327" s="245"/>
      <c r="AQ327" s="245"/>
      <c r="AR327" s="246"/>
      <c r="AS327" s="245"/>
      <c r="AT327" s="245"/>
      <c r="AU327" s="245"/>
      <c r="AV327" s="245"/>
      <c r="AW327" s="245"/>
      <c r="AX327" s="246"/>
      <c r="AY327" s="245"/>
      <c r="AZ327" s="245"/>
      <c r="BA327" s="246"/>
      <c r="BB327" s="245"/>
      <c r="BC327" s="245"/>
      <c r="BD327" s="245"/>
      <c r="BE327" s="245"/>
      <c r="BF327" s="245"/>
      <c r="BG327" s="245"/>
      <c r="BH327" s="245"/>
      <c r="BI327" s="245"/>
      <c r="BJ327" s="245"/>
      <c r="BK327" s="245"/>
      <c r="BL327" s="245"/>
      <c r="BM327" s="245"/>
      <c r="BN327" s="245"/>
      <c r="BO327" s="245"/>
      <c r="BP327" s="245"/>
      <c r="BQ327" s="245"/>
      <c r="BR327" s="245"/>
      <c r="BS327" s="245"/>
      <c r="BT327" s="246"/>
      <c r="BU327" s="245"/>
      <c r="BV327" s="245"/>
      <c r="BW327" s="245"/>
      <c r="BX327" s="245"/>
      <c r="BY327" s="245"/>
      <c r="BZ327" s="282"/>
      <c r="CA327" s="245"/>
      <c r="CB327" s="245"/>
      <c r="CC327" s="245"/>
      <c r="CD327" s="245"/>
      <c r="CE327" s="245"/>
      <c r="CF327" s="245"/>
    </row>
    <row r="328">
      <c r="A328" s="245"/>
      <c r="B328" s="245"/>
      <c r="C328" s="245"/>
      <c r="D328" s="246"/>
      <c r="E328" s="245"/>
      <c r="F328" s="245"/>
      <c r="G328" s="245"/>
      <c r="H328" s="245"/>
      <c r="I328" s="245"/>
      <c r="J328" s="245"/>
      <c r="K328" s="265"/>
      <c r="L328" s="245"/>
      <c r="M328" s="245"/>
      <c r="N328" s="245"/>
      <c r="O328" s="245"/>
      <c r="P328" s="245"/>
      <c r="Q328" s="247"/>
      <c r="R328" s="254"/>
      <c r="S328" s="245"/>
      <c r="T328" s="245"/>
      <c r="U328" s="245"/>
      <c r="V328" s="245"/>
      <c r="W328" s="245"/>
      <c r="X328" s="245"/>
      <c r="Y328" s="249"/>
      <c r="Z328" s="276"/>
      <c r="AA328" s="245"/>
      <c r="AB328" s="276"/>
      <c r="AC328" s="276"/>
      <c r="AD328" s="246"/>
      <c r="AE328" s="278"/>
      <c r="AF328" s="370"/>
      <c r="AG328" s="371"/>
      <c r="AH328" s="276"/>
      <c r="AI328" s="245"/>
      <c r="AJ328" s="287"/>
      <c r="AK328" s="278"/>
      <c r="AL328" s="246"/>
      <c r="AM328" s="245"/>
      <c r="AN328" s="245"/>
      <c r="AO328" s="274"/>
      <c r="AP328" s="245"/>
      <c r="AQ328" s="245"/>
      <c r="AR328" s="246"/>
      <c r="AS328" s="245"/>
      <c r="AT328" s="245"/>
      <c r="AU328" s="245"/>
      <c r="AV328" s="245"/>
      <c r="AW328" s="245"/>
      <c r="AX328" s="246"/>
      <c r="AY328" s="245"/>
      <c r="AZ328" s="245"/>
      <c r="BA328" s="246"/>
      <c r="BB328" s="245"/>
      <c r="BC328" s="245"/>
      <c r="BD328" s="245"/>
      <c r="BE328" s="245"/>
      <c r="BF328" s="245"/>
      <c r="BG328" s="245"/>
      <c r="BH328" s="245"/>
      <c r="BI328" s="245"/>
      <c r="BJ328" s="245"/>
      <c r="BK328" s="245"/>
      <c r="BL328" s="245"/>
      <c r="BM328" s="245"/>
      <c r="BN328" s="245"/>
      <c r="BO328" s="245"/>
      <c r="BP328" s="245"/>
      <c r="BQ328" s="245"/>
      <c r="BR328" s="245"/>
      <c r="BS328" s="245"/>
      <c r="BT328" s="246"/>
      <c r="BU328" s="245"/>
      <c r="BV328" s="245"/>
      <c r="BW328" s="245"/>
      <c r="BX328" s="245"/>
      <c r="BY328" s="245"/>
      <c r="BZ328" s="282"/>
      <c r="CA328" s="245"/>
      <c r="CB328" s="245"/>
      <c r="CC328" s="245"/>
      <c r="CD328" s="245"/>
      <c r="CE328" s="245"/>
      <c r="CF328" s="245"/>
    </row>
    <row r="329">
      <c r="A329" s="245"/>
      <c r="B329" s="245"/>
      <c r="C329" s="245"/>
      <c r="D329" s="246"/>
      <c r="E329" s="245"/>
      <c r="F329" s="245"/>
      <c r="G329" s="245"/>
      <c r="H329" s="245"/>
      <c r="I329" s="245"/>
      <c r="J329" s="245"/>
      <c r="K329" s="265"/>
      <c r="L329" s="245"/>
      <c r="M329" s="245"/>
      <c r="N329" s="245"/>
      <c r="O329" s="245"/>
      <c r="P329" s="245"/>
      <c r="Q329" s="247"/>
      <c r="R329" s="254"/>
      <c r="S329" s="245"/>
      <c r="T329" s="245"/>
      <c r="U329" s="245"/>
      <c r="V329" s="245"/>
      <c r="W329" s="245"/>
      <c r="X329" s="245"/>
      <c r="Y329" s="249"/>
      <c r="Z329" s="276"/>
      <c r="AA329" s="245"/>
      <c r="AB329" s="276"/>
      <c r="AC329" s="276"/>
      <c r="AD329" s="246"/>
      <c r="AE329" s="278"/>
      <c r="AF329" s="370"/>
      <c r="AG329" s="371"/>
      <c r="AH329" s="276"/>
      <c r="AI329" s="245"/>
      <c r="AJ329" s="287"/>
      <c r="AK329" s="278"/>
      <c r="AL329" s="246"/>
      <c r="AM329" s="245"/>
      <c r="AN329" s="245"/>
      <c r="AO329" s="274"/>
      <c r="AP329" s="245"/>
      <c r="AQ329" s="245"/>
      <c r="AR329" s="246"/>
      <c r="AS329" s="245"/>
      <c r="AT329" s="245"/>
      <c r="AU329" s="245"/>
      <c r="AV329" s="245"/>
      <c r="AW329" s="245"/>
      <c r="AX329" s="246"/>
      <c r="AY329" s="245"/>
      <c r="AZ329" s="245"/>
      <c r="BA329" s="246"/>
      <c r="BB329" s="245"/>
      <c r="BC329" s="245"/>
      <c r="BD329" s="245"/>
      <c r="BE329" s="245"/>
      <c r="BF329" s="245"/>
      <c r="BG329" s="245"/>
      <c r="BH329" s="245"/>
      <c r="BI329" s="245"/>
      <c r="BJ329" s="245"/>
      <c r="BK329" s="245"/>
      <c r="BL329" s="245"/>
      <c r="BM329" s="245"/>
      <c r="BN329" s="245"/>
      <c r="BO329" s="245"/>
      <c r="BP329" s="245"/>
      <c r="BQ329" s="245"/>
      <c r="BR329" s="245"/>
      <c r="BS329" s="245"/>
      <c r="BT329" s="246"/>
      <c r="BU329" s="245"/>
      <c r="BV329" s="245"/>
      <c r="BW329" s="245"/>
      <c r="BX329" s="245"/>
      <c r="BY329" s="245"/>
      <c r="BZ329" s="282"/>
      <c r="CA329" s="245"/>
      <c r="CB329" s="245"/>
      <c r="CC329" s="245"/>
      <c r="CD329" s="245"/>
      <c r="CE329" s="245"/>
      <c r="CF329" s="245"/>
    </row>
    <row r="330">
      <c r="A330" s="245"/>
      <c r="B330" s="245"/>
      <c r="C330" s="245"/>
      <c r="D330" s="246"/>
      <c r="E330" s="245"/>
      <c r="F330" s="245"/>
      <c r="G330" s="245"/>
      <c r="H330" s="245"/>
      <c r="I330" s="245"/>
      <c r="J330" s="245"/>
      <c r="K330" s="265"/>
      <c r="L330" s="245"/>
      <c r="M330" s="245"/>
      <c r="N330" s="245"/>
      <c r="O330" s="245"/>
      <c r="P330" s="245"/>
      <c r="Q330" s="247"/>
      <c r="R330" s="254"/>
      <c r="S330" s="245"/>
      <c r="T330" s="245"/>
      <c r="U330" s="245"/>
      <c r="V330" s="245"/>
      <c r="W330" s="245"/>
      <c r="X330" s="245"/>
      <c r="Y330" s="249"/>
      <c r="Z330" s="276"/>
      <c r="AA330" s="245"/>
      <c r="AB330" s="276"/>
      <c r="AC330" s="276"/>
      <c r="AD330" s="246"/>
      <c r="AE330" s="278"/>
      <c r="AF330" s="370"/>
      <c r="AG330" s="371"/>
      <c r="AH330" s="276"/>
      <c r="AI330" s="245"/>
      <c r="AJ330" s="287"/>
      <c r="AK330" s="278"/>
      <c r="AL330" s="246"/>
      <c r="AM330" s="245"/>
      <c r="AN330" s="245"/>
      <c r="AO330" s="274"/>
      <c r="AP330" s="245"/>
      <c r="AQ330" s="245"/>
      <c r="AR330" s="246"/>
      <c r="AS330" s="245"/>
      <c r="AT330" s="245"/>
      <c r="AU330" s="245"/>
      <c r="AV330" s="245"/>
      <c r="AW330" s="245"/>
      <c r="AX330" s="246"/>
      <c r="AY330" s="245"/>
      <c r="AZ330" s="245"/>
      <c r="BA330" s="246"/>
      <c r="BB330" s="245"/>
      <c r="BC330" s="245"/>
      <c r="BD330" s="245"/>
      <c r="BE330" s="245"/>
      <c r="BF330" s="245"/>
      <c r="BG330" s="245"/>
      <c r="BH330" s="245"/>
      <c r="BI330" s="245"/>
      <c r="BJ330" s="245"/>
      <c r="BK330" s="245"/>
      <c r="BL330" s="245"/>
      <c r="BM330" s="245"/>
      <c r="BN330" s="245"/>
      <c r="BO330" s="245"/>
      <c r="BP330" s="245"/>
      <c r="BQ330" s="245"/>
      <c r="BR330" s="245"/>
      <c r="BS330" s="245"/>
      <c r="BT330" s="246"/>
      <c r="BU330" s="245"/>
      <c r="BV330" s="245"/>
      <c r="BW330" s="245"/>
      <c r="BX330" s="245"/>
      <c r="BY330" s="245"/>
      <c r="BZ330" s="282"/>
      <c r="CA330" s="245"/>
      <c r="CB330" s="245"/>
      <c r="CC330" s="245"/>
      <c r="CD330" s="245"/>
      <c r="CE330" s="245"/>
      <c r="CF330" s="245"/>
    </row>
    <row r="331">
      <c r="A331" s="245"/>
      <c r="B331" s="245"/>
      <c r="C331" s="245"/>
      <c r="D331" s="246"/>
      <c r="E331" s="245"/>
      <c r="F331" s="245"/>
      <c r="G331" s="245"/>
      <c r="H331" s="245"/>
      <c r="I331" s="245"/>
      <c r="J331" s="245"/>
      <c r="K331" s="265"/>
      <c r="L331" s="245"/>
      <c r="M331" s="245"/>
      <c r="N331" s="245"/>
      <c r="O331" s="245"/>
      <c r="P331" s="245"/>
      <c r="Q331" s="247"/>
      <c r="R331" s="254"/>
      <c r="S331" s="245"/>
      <c r="T331" s="245"/>
      <c r="U331" s="245"/>
      <c r="V331" s="245"/>
      <c r="W331" s="245"/>
      <c r="X331" s="245"/>
      <c r="Y331" s="249"/>
      <c r="Z331" s="276"/>
      <c r="AA331" s="245"/>
      <c r="AB331" s="276"/>
      <c r="AC331" s="276"/>
      <c r="AD331" s="246"/>
      <c r="AE331" s="278"/>
      <c r="AF331" s="370"/>
      <c r="AG331" s="371"/>
      <c r="AH331" s="276"/>
      <c r="AI331" s="245"/>
      <c r="AJ331" s="287"/>
      <c r="AK331" s="278"/>
      <c r="AL331" s="246"/>
      <c r="AM331" s="245"/>
      <c r="AN331" s="245"/>
      <c r="AO331" s="274"/>
      <c r="AP331" s="245"/>
      <c r="AQ331" s="245"/>
      <c r="AR331" s="246"/>
      <c r="AS331" s="245"/>
      <c r="AT331" s="245"/>
      <c r="AU331" s="245"/>
      <c r="AV331" s="245"/>
      <c r="AW331" s="245"/>
      <c r="AX331" s="246"/>
      <c r="AY331" s="245"/>
      <c r="AZ331" s="245"/>
      <c r="BA331" s="246"/>
      <c r="BB331" s="245"/>
      <c r="BC331" s="245"/>
      <c r="BD331" s="245"/>
      <c r="BE331" s="245"/>
      <c r="BF331" s="245"/>
      <c r="BG331" s="245"/>
      <c r="BH331" s="245"/>
      <c r="BI331" s="245"/>
      <c r="BJ331" s="245"/>
      <c r="BK331" s="245"/>
      <c r="BL331" s="245"/>
      <c r="BM331" s="245"/>
      <c r="BN331" s="245"/>
      <c r="BO331" s="245"/>
      <c r="BP331" s="245"/>
      <c r="BQ331" s="245"/>
      <c r="BR331" s="245"/>
      <c r="BS331" s="245"/>
      <c r="BT331" s="246"/>
      <c r="BU331" s="245"/>
      <c r="BV331" s="245"/>
      <c r="BW331" s="245"/>
      <c r="BX331" s="245"/>
      <c r="BY331" s="245"/>
      <c r="BZ331" s="282"/>
      <c r="CA331" s="245"/>
      <c r="CB331" s="245"/>
      <c r="CC331" s="245"/>
      <c r="CD331" s="245"/>
      <c r="CE331" s="245"/>
      <c r="CF331" s="245"/>
    </row>
    <row r="332">
      <c r="A332" s="245"/>
      <c r="B332" s="245"/>
      <c r="C332" s="245"/>
      <c r="D332" s="246"/>
      <c r="E332" s="245"/>
      <c r="F332" s="245"/>
      <c r="G332" s="245"/>
      <c r="H332" s="245"/>
      <c r="I332" s="245"/>
      <c r="J332" s="245"/>
      <c r="K332" s="265"/>
      <c r="L332" s="245"/>
      <c r="M332" s="245"/>
      <c r="N332" s="245"/>
      <c r="O332" s="245"/>
      <c r="P332" s="245"/>
      <c r="Q332" s="247"/>
      <c r="R332" s="254"/>
      <c r="S332" s="245"/>
      <c r="T332" s="245"/>
      <c r="U332" s="245"/>
      <c r="V332" s="245"/>
      <c r="W332" s="245"/>
      <c r="X332" s="245"/>
      <c r="Y332" s="249"/>
      <c r="Z332" s="276"/>
      <c r="AA332" s="245"/>
      <c r="AB332" s="276"/>
      <c r="AC332" s="276"/>
      <c r="AD332" s="246"/>
      <c r="AE332" s="278"/>
      <c r="AF332" s="370"/>
      <c r="AG332" s="371"/>
      <c r="AH332" s="276"/>
      <c r="AI332" s="245"/>
      <c r="AJ332" s="287"/>
      <c r="AK332" s="278"/>
      <c r="AL332" s="246"/>
      <c r="AM332" s="245"/>
      <c r="AN332" s="245"/>
      <c r="AO332" s="274"/>
      <c r="AP332" s="245"/>
      <c r="AQ332" s="245"/>
      <c r="AR332" s="246"/>
      <c r="AS332" s="245"/>
      <c r="AT332" s="245"/>
      <c r="AU332" s="245"/>
      <c r="AV332" s="245"/>
      <c r="AW332" s="245"/>
      <c r="AX332" s="246"/>
      <c r="AY332" s="245"/>
      <c r="AZ332" s="245"/>
      <c r="BA332" s="246"/>
      <c r="BB332" s="245"/>
      <c r="BC332" s="245"/>
      <c r="BD332" s="245"/>
      <c r="BE332" s="245"/>
      <c r="BF332" s="245"/>
      <c r="BG332" s="245"/>
      <c r="BH332" s="245"/>
      <c r="BI332" s="245"/>
      <c r="BJ332" s="245"/>
      <c r="BK332" s="245"/>
      <c r="BL332" s="245"/>
      <c r="BM332" s="245"/>
      <c r="BN332" s="245"/>
      <c r="BO332" s="245"/>
      <c r="BP332" s="245"/>
      <c r="BQ332" s="245"/>
      <c r="BR332" s="245"/>
      <c r="BS332" s="245"/>
      <c r="BT332" s="246"/>
      <c r="BU332" s="245"/>
      <c r="BV332" s="245"/>
      <c r="BW332" s="245"/>
      <c r="BX332" s="245"/>
      <c r="BY332" s="245"/>
      <c r="BZ332" s="282"/>
      <c r="CA332" s="245"/>
      <c r="CB332" s="245"/>
      <c r="CC332" s="245"/>
      <c r="CD332" s="245"/>
      <c r="CE332" s="245"/>
      <c r="CF332" s="245"/>
    </row>
    <row r="333">
      <c r="A333" s="245"/>
      <c r="B333" s="245"/>
      <c r="C333" s="245"/>
      <c r="D333" s="246"/>
      <c r="E333" s="245"/>
      <c r="F333" s="245"/>
      <c r="G333" s="245"/>
      <c r="H333" s="245"/>
      <c r="I333" s="245"/>
      <c r="J333" s="245"/>
      <c r="K333" s="265"/>
      <c r="L333" s="245"/>
      <c r="M333" s="245"/>
      <c r="N333" s="245"/>
      <c r="O333" s="245"/>
      <c r="P333" s="245"/>
      <c r="Q333" s="247"/>
      <c r="R333" s="254"/>
      <c r="S333" s="245"/>
      <c r="T333" s="245"/>
      <c r="U333" s="245"/>
      <c r="V333" s="245"/>
      <c r="W333" s="245"/>
      <c r="X333" s="245"/>
      <c r="Y333" s="249"/>
      <c r="Z333" s="276"/>
      <c r="AA333" s="245"/>
      <c r="AB333" s="276"/>
      <c r="AC333" s="276"/>
      <c r="AD333" s="246"/>
      <c r="AE333" s="278"/>
      <c r="AF333" s="370"/>
      <c r="AG333" s="371"/>
      <c r="AH333" s="276"/>
      <c r="AI333" s="245"/>
      <c r="AJ333" s="287"/>
      <c r="AK333" s="278"/>
      <c r="AL333" s="246"/>
      <c r="AM333" s="245"/>
      <c r="AN333" s="245"/>
      <c r="AO333" s="274"/>
      <c r="AP333" s="245"/>
      <c r="AQ333" s="245"/>
      <c r="AR333" s="246"/>
      <c r="AS333" s="245"/>
      <c r="AT333" s="245"/>
      <c r="AU333" s="245"/>
      <c r="AV333" s="245"/>
      <c r="AW333" s="245"/>
      <c r="AX333" s="246"/>
      <c r="AY333" s="245"/>
      <c r="AZ333" s="245"/>
      <c r="BA333" s="246"/>
      <c r="BB333" s="245"/>
      <c r="BC333" s="245"/>
      <c r="BD333" s="245"/>
      <c r="BE333" s="245"/>
      <c r="BF333" s="245"/>
      <c r="BG333" s="245"/>
      <c r="BH333" s="245"/>
      <c r="BI333" s="245"/>
      <c r="BJ333" s="245"/>
      <c r="BK333" s="245"/>
      <c r="BL333" s="245"/>
      <c r="BM333" s="245"/>
      <c r="BN333" s="245"/>
      <c r="BO333" s="245"/>
      <c r="BP333" s="245"/>
      <c r="BQ333" s="245"/>
      <c r="BR333" s="245"/>
      <c r="BS333" s="245"/>
      <c r="BT333" s="246"/>
      <c r="BU333" s="245"/>
      <c r="BV333" s="245"/>
      <c r="BW333" s="245"/>
      <c r="BX333" s="245"/>
      <c r="BY333" s="245"/>
      <c r="BZ333" s="282"/>
      <c r="CA333" s="245"/>
      <c r="CB333" s="245"/>
      <c r="CC333" s="245"/>
      <c r="CD333" s="245"/>
      <c r="CE333" s="245"/>
      <c r="CF333" s="245"/>
    </row>
    <row r="334">
      <c r="A334" s="245"/>
      <c r="B334" s="245"/>
      <c r="C334" s="245"/>
      <c r="D334" s="246"/>
      <c r="E334" s="245"/>
      <c r="F334" s="245"/>
      <c r="G334" s="245"/>
      <c r="H334" s="245"/>
      <c r="I334" s="245"/>
      <c r="J334" s="245"/>
      <c r="K334" s="265"/>
      <c r="L334" s="245"/>
      <c r="M334" s="245"/>
      <c r="N334" s="245"/>
      <c r="O334" s="245"/>
      <c r="P334" s="245"/>
      <c r="Q334" s="247"/>
      <c r="R334" s="254"/>
      <c r="S334" s="245"/>
      <c r="T334" s="245"/>
      <c r="U334" s="245"/>
      <c r="V334" s="245"/>
      <c r="W334" s="245"/>
      <c r="X334" s="245"/>
      <c r="Y334" s="249"/>
      <c r="Z334" s="276"/>
      <c r="AA334" s="245"/>
      <c r="AB334" s="276"/>
      <c r="AC334" s="276"/>
      <c r="AD334" s="246"/>
      <c r="AE334" s="278"/>
      <c r="AF334" s="370"/>
      <c r="AG334" s="371"/>
      <c r="AH334" s="276"/>
      <c r="AI334" s="245"/>
      <c r="AJ334" s="287"/>
      <c r="AK334" s="278"/>
      <c r="AL334" s="246"/>
      <c r="AM334" s="245"/>
      <c r="AN334" s="245"/>
      <c r="AO334" s="274"/>
      <c r="AP334" s="245"/>
      <c r="AQ334" s="245"/>
      <c r="AR334" s="246"/>
      <c r="AS334" s="245"/>
      <c r="AT334" s="245"/>
      <c r="AU334" s="245"/>
      <c r="AV334" s="245"/>
      <c r="AW334" s="245"/>
      <c r="AX334" s="246"/>
      <c r="AY334" s="245"/>
      <c r="AZ334" s="245"/>
      <c r="BA334" s="246"/>
      <c r="BB334" s="245"/>
      <c r="BC334" s="245"/>
      <c r="BD334" s="245"/>
      <c r="BE334" s="245"/>
      <c r="BF334" s="245"/>
      <c r="BG334" s="245"/>
      <c r="BH334" s="245"/>
      <c r="BI334" s="245"/>
      <c r="BJ334" s="245"/>
      <c r="BK334" s="245"/>
      <c r="BL334" s="245"/>
      <c r="BM334" s="245"/>
      <c r="BN334" s="245"/>
      <c r="BO334" s="245"/>
      <c r="BP334" s="245"/>
      <c r="BQ334" s="245"/>
      <c r="BR334" s="245"/>
      <c r="BS334" s="245"/>
      <c r="BT334" s="246"/>
      <c r="BU334" s="245"/>
      <c r="BV334" s="245"/>
      <c r="BW334" s="245"/>
      <c r="BX334" s="245"/>
      <c r="BY334" s="245"/>
      <c r="BZ334" s="282"/>
      <c r="CA334" s="245"/>
      <c r="CB334" s="245"/>
      <c r="CC334" s="245"/>
      <c r="CD334" s="245"/>
      <c r="CE334" s="245"/>
      <c r="CF334" s="245"/>
    </row>
    <row r="335">
      <c r="A335" s="245"/>
      <c r="B335" s="245"/>
      <c r="C335" s="245"/>
      <c r="D335" s="246"/>
      <c r="E335" s="245"/>
      <c r="F335" s="245"/>
      <c r="G335" s="245"/>
      <c r="H335" s="245"/>
      <c r="I335" s="245"/>
      <c r="J335" s="245"/>
      <c r="K335" s="265"/>
      <c r="L335" s="245"/>
      <c r="M335" s="245"/>
      <c r="N335" s="245"/>
      <c r="O335" s="245"/>
      <c r="P335" s="245"/>
      <c r="Q335" s="247"/>
      <c r="R335" s="254"/>
      <c r="S335" s="245"/>
      <c r="T335" s="245"/>
      <c r="U335" s="245"/>
      <c r="V335" s="245"/>
      <c r="W335" s="245"/>
      <c r="X335" s="245"/>
      <c r="Y335" s="249"/>
      <c r="Z335" s="276"/>
      <c r="AA335" s="245"/>
      <c r="AB335" s="276"/>
      <c r="AC335" s="276"/>
      <c r="AD335" s="246"/>
      <c r="AE335" s="278"/>
      <c r="AF335" s="370"/>
      <c r="AG335" s="371"/>
      <c r="AH335" s="276"/>
      <c r="AI335" s="245"/>
      <c r="AJ335" s="287"/>
      <c r="AK335" s="278"/>
      <c r="AL335" s="246"/>
      <c r="AM335" s="245"/>
      <c r="AN335" s="245"/>
      <c r="AO335" s="274"/>
      <c r="AP335" s="245"/>
      <c r="AQ335" s="245"/>
      <c r="AR335" s="246"/>
      <c r="AS335" s="245"/>
      <c r="AT335" s="245"/>
      <c r="AU335" s="245"/>
      <c r="AV335" s="245"/>
      <c r="AW335" s="245"/>
      <c r="AX335" s="246"/>
      <c r="AY335" s="245"/>
      <c r="AZ335" s="245"/>
      <c r="BA335" s="246"/>
      <c r="BB335" s="245"/>
      <c r="BC335" s="245"/>
      <c r="BD335" s="245"/>
      <c r="BE335" s="245"/>
      <c r="BF335" s="245"/>
      <c r="BG335" s="245"/>
      <c r="BH335" s="245"/>
      <c r="BI335" s="245"/>
      <c r="BJ335" s="245"/>
      <c r="BK335" s="245"/>
      <c r="BL335" s="245"/>
      <c r="BM335" s="245"/>
      <c r="BN335" s="245"/>
      <c r="BO335" s="245"/>
      <c r="BP335" s="245"/>
      <c r="BQ335" s="245"/>
      <c r="BR335" s="245"/>
      <c r="BS335" s="245"/>
      <c r="BT335" s="246"/>
      <c r="BU335" s="245"/>
      <c r="BV335" s="245"/>
      <c r="BW335" s="245"/>
      <c r="BX335" s="245"/>
      <c r="BY335" s="245"/>
      <c r="BZ335" s="282"/>
      <c r="CA335" s="245"/>
      <c r="CB335" s="245"/>
      <c r="CC335" s="245"/>
      <c r="CD335" s="245"/>
      <c r="CE335" s="245"/>
      <c r="CF335" s="245"/>
    </row>
    <row r="336">
      <c r="A336" s="245"/>
      <c r="B336" s="245"/>
      <c r="C336" s="245"/>
      <c r="D336" s="246"/>
      <c r="E336" s="245"/>
      <c r="F336" s="245"/>
      <c r="G336" s="245"/>
      <c r="H336" s="245"/>
      <c r="I336" s="245"/>
      <c r="J336" s="245"/>
      <c r="K336" s="265"/>
      <c r="L336" s="245"/>
      <c r="M336" s="245"/>
      <c r="N336" s="245"/>
      <c r="O336" s="245"/>
      <c r="P336" s="245"/>
      <c r="Q336" s="247"/>
      <c r="R336" s="254"/>
      <c r="S336" s="245"/>
      <c r="T336" s="245"/>
      <c r="U336" s="245"/>
      <c r="V336" s="245"/>
      <c r="W336" s="245"/>
      <c r="X336" s="245"/>
      <c r="Y336" s="249"/>
      <c r="Z336" s="276"/>
      <c r="AA336" s="245"/>
      <c r="AB336" s="276"/>
      <c r="AC336" s="276"/>
      <c r="AD336" s="246"/>
      <c r="AE336" s="278"/>
      <c r="AF336" s="370"/>
      <c r="AG336" s="371"/>
      <c r="AH336" s="276"/>
      <c r="AI336" s="245"/>
      <c r="AJ336" s="287"/>
      <c r="AK336" s="278"/>
      <c r="AL336" s="246"/>
      <c r="AM336" s="245"/>
      <c r="AN336" s="245"/>
      <c r="AO336" s="274"/>
      <c r="AP336" s="245"/>
      <c r="AQ336" s="245"/>
      <c r="AR336" s="246"/>
      <c r="AS336" s="245"/>
      <c r="AT336" s="245"/>
      <c r="AU336" s="245"/>
      <c r="AV336" s="245"/>
      <c r="AW336" s="245"/>
      <c r="AX336" s="246"/>
      <c r="AY336" s="245"/>
      <c r="AZ336" s="245"/>
      <c r="BA336" s="246"/>
      <c r="BB336" s="245"/>
      <c r="BC336" s="245"/>
      <c r="BD336" s="245"/>
      <c r="BE336" s="245"/>
      <c r="BF336" s="245"/>
      <c r="BG336" s="245"/>
      <c r="BH336" s="245"/>
      <c r="BI336" s="245"/>
      <c r="BJ336" s="245"/>
      <c r="BK336" s="245"/>
      <c r="BL336" s="245"/>
      <c r="BM336" s="245"/>
      <c r="BN336" s="245"/>
      <c r="BO336" s="245"/>
      <c r="BP336" s="245"/>
      <c r="BQ336" s="245"/>
      <c r="BR336" s="245"/>
      <c r="BS336" s="245"/>
      <c r="BT336" s="246"/>
      <c r="BU336" s="245"/>
      <c r="BV336" s="245"/>
      <c r="BW336" s="245"/>
      <c r="BX336" s="245"/>
      <c r="BY336" s="245"/>
      <c r="BZ336" s="282"/>
      <c r="CA336" s="245"/>
      <c r="CB336" s="245"/>
      <c r="CC336" s="245"/>
      <c r="CD336" s="245"/>
      <c r="CE336" s="245"/>
      <c r="CF336" s="245"/>
    </row>
    <row r="337">
      <c r="A337" s="245"/>
      <c r="B337" s="245"/>
      <c r="C337" s="245"/>
      <c r="D337" s="246"/>
      <c r="E337" s="245"/>
      <c r="F337" s="245"/>
      <c r="G337" s="245"/>
      <c r="H337" s="245"/>
      <c r="I337" s="245"/>
      <c r="J337" s="245"/>
      <c r="K337" s="265"/>
      <c r="L337" s="245"/>
      <c r="M337" s="245"/>
      <c r="N337" s="245"/>
      <c r="O337" s="245"/>
      <c r="P337" s="245"/>
      <c r="Q337" s="247"/>
      <c r="R337" s="254"/>
      <c r="S337" s="245"/>
      <c r="T337" s="245"/>
      <c r="U337" s="245"/>
      <c r="V337" s="245"/>
      <c r="W337" s="245"/>
      <c r="X337" s="245"/>
      <c r="Y337" s="249"/>
      <c r="Z337" s="276"/>
      <c r="AA337" s="245"/>
      <c r="AB337" s="276"/>
      <c r="AC337" s="276"/>
      <c r="AD337" s="246"/>
      <c r="AE337" s="278"/>
      <c r="AF337" s="370"/>
      <c r="AG337" s="371"/>
      <c r="AH337" s="276"/>
      <c r="AI337" s="245"/>
      <c r="AJ337" s="287"/>
      <c r="AK337" s="278"/>
      <c r="AL337" s="246"/>
      <c r="AM337" s="245"/>
      <c r="AN337" s="245"/>
      <c r="AO337" s="274"/>
      <c r="AP337" s="245"/>
      <c r="AQ337" s="245"/>
      <c r="AR337" s="246"/>
      <c r="AS337" s="245"/>
      <c r="AT337" s="245"/>
      <c r="AU337" s="245"/>
      <c r="AV337" s="245"/>
      <c r="AW337" s="245"/>
      <c r="AX337" s="246"/>
      <c r="AY337" s="245"/>
      <c r="AZ337" s="245"/>
      <c r="BA337" s="246"/>
      <c r="BB337" s="245"/>
      <c r="BC337" s="245"/>
      <c r="BD337" s="245"/>
      <c r="BE337" s="245"/>
      <c r="BF337" s="245"/>
      <c r="BG337" s="245"/>
      <c r="BH337" s="245"/>
      <c r="BI337" s="245"/>
      <c r="BJ337" s="245"/>
      <c r="BK337" s="245"/>
      <c r="BL337" s="245"/>
      <c r="BM337" s="245"/>
      <c r="BN337" s="245"/>
      <c r="BO337" s="245"/>
      <c r="BP337" s="245"/>
      <c r="BQ337" s="245"/>
      <c r="BR337" s="245"/>
      <c r="BS337" s="245"/>
      <c r="BT337" s="246"/>
      <c r="BU337" s="245"/>
      <c r="BV337" s="245"/>
      <c r="BW337" s="245"/>
      <c r="BX337" s="245"/>
      <c r="BY337" s="245"/>
      <c r="BZ337" s="282"/>
      <c r="CA337" s="245"/>
      <c r="CB337" s="245"/>
      <c r="CC337" s="245"/>
      <c r="CD337" s="245"/>
      <c r="CE337" s="245"/>
      <c r="CF337" s="245"/>
    </row>
    <row r="338">
      <c r="A338" s="245"/>
      <c r="B338" s="245"/>
      <c r="C338" s="245"/>
      <c r="D338" s="246"/>
      <c r="E338" s="245"/>
      <c r="F338" s="245"/>
      <c r="G338" s="245"/>
      <c r="H338" s="245"/>
      <c r="I338" s="245"/>
      <c r="J338" s="245"/>
      <c r="K338" s="265"/>
      <c r="L338" s="245"/>
      <c r="M338" s="245"/>
      <c r="N338" s="245"/>
      <c r="O338" s="245"/>
      <c r="P338" s="245"/>
      <c r="Q338" s="247"/>
      <c r="R338" s="254"/>
      <c r="S338" s="245"/>
      <c r="T338" s="245"/>
      <c r="U338" s="245"/>
      <c r="V338" s="245"/>
      <c r="W338" s="245"/>
      <c r="X338" s="245"/>
      <c r="Y338" s="249"/>
      <c r="Z338" s="276"/>
      <c r="AA338" s="245"/>
      <c r="AB338" s="276"/>
      <c r="AC338" s="276"/>
      <c r="AD338" s="246"/>
      <c r="AE338" s="278"/>
      <c r="AF338" s="370"/>
      <c r="AG338" s="371"/>
      <c r="AH338" s="276"/>
      <c r="AI338" s="245"/>
      <c r="AJ338" s="287"/>
      <c r="AK338" s="278"/>
      <c r="AL338" s="246"/>
      <c r="AM338" s="245"/>
      <c r="AN338" s="245"/>
      <c r="AO338" s="274"/>
      <c r="AP338" s="245"/>
      <c r="AQ338" s="245"/>
      <c r="AR338" s="246"/>
      <c r="AS338" s="245"/>
      <c r="AT338" s="245"/>
      <c r="AU338" s="245"/>
      <c r="AV338" s="245"/>
      <c r="AW338" s="245"/>
      <c r="AX338" s="246"/>
      <c r="AY338" s="245"/>
      <c r="AZ338" s="245"/>
      <c r="BA338" s="246"/>
      <c r="BB338" s="245"/>
      <c r="BC338" s="245"/>
      <c r="BD338" s="245"/>
      <c r="BE338" s="245"/>
      <c r="BF338" s="245"/>
      <c r="BG338" s="245"/>
      <c r="BH338" s="245"/>
      <c r="BI338" s="245"/>
      <c r="BJ338" s="245"/>
      <c r="BK338" s="245"/>
      <c r="BL338" s="245"/>
      <c r="BM338" s="245"/>
      <c r="BN338" s="245"/>
      <c r="BO338" s="245"/>
      <c r="BP338" s="245"/>
      <c r="BQ338" s="245"/>
      <c r="BR338" s="245"/>
      <c r="BS338" s="245"/>
      <c r="BT338" s="246"/>
      <c r="BU338" s="245"/>
      <c r="BV338" s="245"/>
      <c r="BW338" s="245"/>
      <c r="BX338" s="245"/>
      <c r="BY338" s="245"/>
      <c r="BZ338" s="282"/>
      <c r="CA338" s="245"/>
      <c r="CB338" s="245"/>
      <c r="CC338" s="245"/>
      <c r="CD338" s="245"/>
      <c r="CE338" s="245"/>
      <c r="CF338" s="245"/>
    </row>
    <row r="339">
      <c r="A339" s="245"/>
      <c r="B339" s="245"/>
      <c r="C339" s="245"/>
      <c r="D339" s="246"/>
      <c r="E339" s="245"/>
      <c r="F339" s="245"/>
      <c r="G339" s="245"/>
      <c r="H339" s="245"/>
      <c r="I339" s="245"/>
      <c r="J339" s="245"/>
      <c r="K339" s="265"/>
      <c r="L339" s="245"/>
      <c r="M339" s="245"/>
      <c r="N339" s="245"/>
      <c r="O339" s="245"/>
      <c r="P339" s="245"/>
      <c r="Q339" s="247"/>
      <c r="R339" s="254"/>
      <c r="S339" s="245"/>
      <c r="T339" s="245"/>
      <c r="U339" s="245"/>
      <c r="V339" s="245"/>
      <c r="W339" s="245"/>
      <c r="X339" s="245"/>
      <c r="Y339" s="249"/>
      <c r="Z339" s="276"/>
      <c r="AA339" s="245"/>
      <c r="AB339" s="276"/>
      <c r="AC339" s="276"/>
      <c r="AD339" s="246"/>
      <c r="AE339" s="278"/>
      <c r="AF339" s="370"/>
      <c r="AG339" s="371"/>
      <c r="AH339" s="276"/>
      <c r="AI339" s="245"/>
      <c r="AJ339" s="287"/>
      <c r="AK339" s="278"/>
      <c r="AL339" s="246"/>
      <c r="AM339" s="245"/>
      <c r="AN339" s="245"/>
      <c r="AO339" s="274"/>
      <c r="AP339" s="245"/>
      <c r="AQ339" s="245"/>
      <c r="AR339" s="246"/>
      <c r="AS339" s="245"/>
      <c r="AT339" s="245"/>
      <c r="AU339" s="245"/>
      <c r="AV339" s="245"/>
      <c r="AW339" s="245"/>
      <c r="AX339" s="246"/>
      <c r="AY339" s="245"/>
      <c r="AZ339" s="245"/>
      <c r="BA339" s="246"/>
      <c r="BB339" s="245"/>
      <c r="BC339" s="245"/>
      <c r="BD339" s="245"/>
      <c r="BE339" s="245"/>
      <c r="BF339" s="245"/>
      <c r="BG339" s="245"/>
      <c r="BH339" s="245"/>
      <c r="BI339" s="245"/>
      <c r="BJ339" s="245"/>
      <c r="BK339" s="245"/>
      <c r="BL339" s="245"/>
      <c r="BM339" s="245"/>
      <c r="BN339" s="245"/>
      <c r="BO339" s="245"/>
      <c r="BP339" s="245"/>
      <c r="BQ339" s="245"/>
      <c r="BR339" s="245"/>
      <c r="BS339" s="245"/>
      <c r="BT339" s="246"/>
      <c r="BU339" s="245"/>
      <c r="BV339" s="245"/>
      <c r="BW339" s="245"/>
      <c r="BX339" s="245"/>
      <c r="BY339" s="245"/>
      <c r="BZ339" s="282"/>
      <c r="CA339" s="245"/>
      <c r="CB339" s="245"/>
      <c r="CC339" s="245"/>
      <c r="CD339" s="245"/>
      <c r="CE339" s="245"/>
      <c r="CF339" s="245"/>
    </row>
    <row r="340">
      <c r="A340" s="245"/>
      <c r="B340" s="245"/>
      <c r="C340" s="245"/>
      <c r="D340" s="246"/>
      <c r="E340" s="245"/>
      <c r="F340" s="245"/>
      <c r="G340" s="245"/>
      <c r="H340" s="245"/>
      <c r="I340" s="245"/>
      <c r="J340" s="245"/>
      <c r="K340" s="265"/>
      <c r="L340" s="245"/>
      <c r="M340" s="245"/>
      <c r="N340" s="245"/>
      <c r="O340" s="245"/>
      <c r="P340" s="245"/>
      <c r="Q340" s="247"/>
      <c r="R340" s="254"/>
      <c r="S340" s="245"/>
      <c r="T340" s="245"/>
      <c r="U340" s="245"/>
      <c r="V340" s="245"/>
      <c r="W340" s="245"/>
      <c r="X340" s="245"/>
      <c r="Y340" s="249"/>
      <c r="Z340" s="276"/>
      <c r="AA340" s="245"/>
      <c r="AB340" s="276"/>
      <c r="AC340" s="276"/>
      <c r="AD340" s="246"/>
      <c r="AE340" s="278"/>
      <c r="AF340" s="370"/>
      <c r="AG340" s="371"/>
      <c r="AH340" s="276"/>
      <c r="AI340" s="245"/>
      <c r="AJ340" s="287"/>
      <c r="AK340" s="278"/>
      <c r="AL340" s="246"/>
      <c r="AM340" s="245"/>
      <c r="AN340" s="245"/>
      <c r="AO340" s="274"/>
      <c r="AP340" s="245"/>
      <c r="AQ340" s="245"/>
      <c r="AR340" s="246"/>
      <c r="AS340" s="245"/>
      <c r="AT340" s="245"/>
      <c r="AU340" s="245"/>
      <c r="AV340" s="245"/>
      <c r="AW340" s="245"/>
      <c r="AX340" s="246"/>
      <c r="AY340" s="245"/>
      <c r="AZ340" s="245"/>
      <c r="BA340" s="246"/>
      <c r="BB340" s="245"/>
      <c r="BC340" s="245"/>
      <c r="BD340" s="245"/>
      <c r="BE340" s="245"/>
      <c r="BF340" s="245"/>
      <c r="BG340" s="245"/>
      <c r="BH340" s="245"/>
      <c r="BI340" s="245"/>
      <c r="BJ340" s="245"/>
      <c r="BK340" s="245"/>
      <c r="BL340" s="245"/>
      <c r="BM340" s="245"/>
      <c r="BN340" s="245"/>
      <c r="BO340" s="245"/>
      <c r="BP340" s="245"/>
      <c r="BQ340" s="245"/>
      <c r="BR340" s="245"/>
      <c r="BS340" s="245"/>
      <c r="BT340" s="246"/>
      <c r="BU340" s="245"/>
      <c r="BV340" s="245"/>
      <c r="BW340" s="245"/>
      <c r="BX340" s="245"/>
      <c r="BY340" s="245"/>
      <c r="BZ340" s="282"/>
      <c r="CA340" s="245"/>
      <c r="CB340" s="245"/>
      <c r="CC340" s="245"/>
      <c r="CD340" s="245"/>
      <c r="CE340" s="245"/>
      <c r="CF340" s="245"/>
    </row>
    <row r="341">
      <c r="A341" s="245"/>
      <c r="B341" s="245"/>
      <c r="C341" s="245"/>
      <c r="D341" s="246"/>
      <c r="E341" s="245"/>
      <c r="F341" s="245"/>
      <c r="G341" s="245"/>
      <c r="H341" s="245"/>
      <c r="I341" s="245"/>
      <c r="J341" s="245"/>
      <c r="K341" s="265"/>
      <c r="L341" s="245"/>
      <c r="M341" s="245"/>
      <c r="N341" s="245"/>
      <c r="O341" s="245"/>
      <c r="P341" s="245"/>
      <c r="Q341" s="247"/>
      <c r="R341" s="254"/>
      <c r="S341" s="245"/>
      <c r="T341" s="245"/>
      <c r="U341" s="245"/>
      <c r="V341" s="245"/>
      <c r="W341" s="245"/>
      <c r="X341" s="245"/>
      <c r="Y341" s="249"/>
      <c r="Z341" s="276"/>
      <c r="AA341" s="245"/>
      <c r="AB341" s="276"/>
      <c r="AC341" s="276"/>
      <c r="AD341" s="246"/>
      <c r="AE341" s="278"/>
      <c r="AF341" s="370"/>
      <c r="AG341" s="371"/>
      <c r="AH341" s="276"/>
      <c r="AI341" s="245"/>
      <c r="AJ341" s="287"/>
      <c r="AK341" s="278"/>
      <c r="AL341" s="246"/>
      <c r="AM341" s="245"/>
      <c r="AN341" s="245"/>
      <c r="AO341" s="274"/>
      <c r="AP341" s="245"/>
      <c r="AQ341" s="245"/>
      <c r="AR341" s="246"/>
      <c r="AS341" s="245"/>
      <c r="AT341" s="245"/>
      <c r="AU341" s="245"/>
      <c r="AV341" s="245"/>
      <c r="AW341" s="245"/>
      <c r="AX341" s="246"/>
      <c r="AY341" s="245"/>
      <c r="AZ341" s="245"/>
      <c r="BA341" s="246"/>
      <c r="BB341" s="245"/>
      <c r="BC341" s="245"/>
      <c r="BD341" s="245"/>
      <c r="BE341" s="245"/>
      <c r="BF341" s="245"/>
      <c r="BG341" s="245"/>
      <c r="BH341" s="245"/>
      <c r="BI341" s="245"/>
      <c r="BJ341" s="245"/>
      <c r="BK341" s="245"/>
      <c r="BL341" s="245"/>
      <c r="BM341" s="245"/>
      <c r="BN341" s="245"/>
      <c r="BO341" s="245"/>
      <c r="BP341" s="245"/>
      <c r="BQ341" s="245"/>
      <c r="BR341" s="245"/>
      <c r="BS341" s="245"/>
      <c r="BT341" s="246"/>
      <c r="BU341" s="245"/>
      <c r="BV341" s="245"/>
      <c r="BW341" s="245"/>
      <c r="BX341" s="245"/>
      <c r="BY341" s="245"/>
      <c r="BZ341" s="282"/>
      <c r="CA341" s="245"/>
      <c r="CB341" s="245"/>
      <c r="CC341" s="245"/>
      <c r="CD341" s="245"/>
      <c r="CE341" s="245"/>
      <c r="CF341" s="245"/>
    </row>
    <row r="342">
      <c r="A342" s="245"/>
      <c r="B342" s="245"/>
      <c r="C342" s="245"/>
      <c r="D342" s="246"/>
      <c r="E342" s="245"/>
      <c r="F342" s="245"/>
      <c r="G342" s="245"/>
      <c r="H342" s="245"/>
      <c r="I342" s="245"/>
      <c r="J342" s="245"/>
      <c r="K342" s="265"/>
      <c r="L342" s="245"/>
      <c r="M342" s="245"/>
      <c r="N342" s="245"/>
      <c r="O342" s="245"/>
      <c r="P342" s="245"/>
      <c r="Q342" s="247"/>
      <c r="R342" s="254"/>
      <c r="S342" s="245"/>
      <c r="T342" s="245"/>
      <c r="U342" s="245"/>
      <c r="V342" s="245"/>
      <c r="W342" s="245"/>
      <c r="X342" s="245"/>
      <c r="Y342" s="249"/>
      <c r="Z342" s="276"/>
      <c r="AA342" s="245"/>
      <c r="AB342" s="276"/>
      <c r="AC342" s="276"/>
      <c r="AD342" s="246"/>
      <c r="AE342" s="278"/>
      <c r="AF342" s="370"/>
      <c r="AG342" s="371"/>
      <c r="AH342" s="276"/>
      <c r="AI342" s="245"/>
      <c r="AJ342" s="287"/>
      <c r="AK342" s="278"/>
      <c r="AL342" s="246"/>
      <c r="AM342" s="245"/>
      <c r="AN342" s="245"/>
      <c r="AO342" s="274"/>
      <c r="AP342" s="245"/>
      <c r="AQ342" s="245"/>
      <c r="AR342" s="246"/>
      <c r="AS342" s="245"/>
      <c r="AT342" s="245"/>
      <c r="AU342" s="245"/>
      <c r="AV342" s="245"/>
      <c r="AW342" s="245"/>
      <c r="AX342" s="246"/>
      <c r="AY342" s="245"/>
      <c r="AZ342" s="245"/>
      <c r="BA342" s="246"/>
      <c r="BB342" s="245"/>
      <c r="BC342" s="245"/>
      <c r="BD342" s="245"/>
      <c r="BE342" s="245"/>
      <c r="BF342" s="245"/>
      <c r="BG342" s="245"/>
      <c r="BH342" s="245"/>
      <c r="BI342" s="245"/>
      <c r="BJ342" s="245"/>
      <c r="BK342" s="245"/>
      <c r="BL342" s="245"/>
      <c r="BM342" s="245"/>
      <c r="BN342" s="245"/>
      <c r="BO342" s="245"/>
      <c r="BP342" s="245"/>
      <c r="BQ342" s="245"/>
      <c r="BR342" s="245"/>
      <c r="BS342" s="245"/>
      <c r="BT342" s="246"/>
      <c r="BU342" s="245"/>
      <c r="BV342" s="245"/>
      <c r="BW342" s="245"/>
      <c r="BX342" s="245"/>
      <c r="BY342" s="245"/>
      <c r="BZ342" s="282"/>
      <c r="CA342" s="245"/>
      <c r="CB342" s="245"/>
      <c r="CC342" s="245"/>
      <c r="CD342" s="245"/>
      <c r="CE342" s="245"/>
      <c r="CF342" s="245"/>
    </row>
    <row r="343">
      <c r="A343" s="245"/>
      <c r="B343" s="245"/>
      <c r="C343" s="245"/>
      <c r="D343" s="246"/>
      <c r="E343" s="245"/>
      <c r="F343" s="245"/>
      <c r="G343" s="245"/>
      <c r="H343" s="245"/>
      <c r="I343" s="245"/>
      <c r="J343" s="245"/>
      <c r="K343" s="265"/>
      <c r="L343" s="245"/>
      <c r="M343" s="245"/>
      <c r="N343" s="245"/>
      <c r="O343" s="245"/>
      <c r="P343" s="245"/>
      <c r="Q343" s="247"/>
      <c r="R343" s="254"/>
      <c r="S343" s="245"/>
      <c r="T343" s="245"/>
      <c r="U343" s="245"/>
      <c r="V343" s="245"/>
      <c r="W343" s="245"/>
      <c r="X343" s="245"/>
      <c r="Y343" s="249"/>
      <c r="Z343" s="276"/>
      <c r="AA343" s="245"/>
      <c r="AB343" s="276"/>
      <c r="AC343" s="276"/>
      <c r="AD343" s="246"/>
      <c r="AE343" s="278"/>
      <c r="AF343" s="370"/>
      <c r="AG343" s="371"/>
      <c r="AH343" s="276"/>
      <c r="AI343" s="245"/>
      <c r="AJ343" s="287"/>
      <c r="AK343" s="278"/>
      <c r="AL343" s="246"/>
      <c r="AM343" s="245"/>
      <c r="AN343" s="245"/>
      <c r="AO343" s="274"/>
      <c r="AP343" s="245"/>
      <c r="AQ343" s="245"/>
      <c r="AR343" s="246"/>
      <c r="AS343" s="245"/>
      <c r="AT343" s="245"/>
      <c r="AU343" s="245"/>
      <c r="AV343" s="245"/>
      <c r="AW343" s="245"/>
      <c r="AX343" s="246"/>
      <c r="AY343" s="245"/>
      <c r="AZ343" s="245"/>
      <c r="BA343" s="246"/>
      <c r="BB343" s="245"/>
      <c r="BC343" s="245"/>
      <c r="BD343" s="245"/>
      <c r="BE343" s="245"/>
      <c r="BF343" s="245"/>
      <c r="BG343" s="245"/>
      <c r="BH343" s="245"/>
      <c r="BI343" s="245"/>
      <c r="BJ343" s="245"/>
      <c r="BK343" s="245"/>
      <c r="BL343" s="245"/>
      <c r="BM343" s="245"/>
      <c r="BN343" s="245"/>
      <c r="BO343" s="245"/>
      <c r="BP343" s="245"/>
      <c r="BQ343" s="245"/>
      <c r="BR343" s="245"/>
      <c r="BS343" s="245"/>
      <c r="BT343" s="246"/>
      <c r="BU343" s="245"/>
      <c r="BV343" s="245"/>
      <c r="BW343" s="245"/>
      <c r="BX343" s="245"/>
      <c r="BY343" s="245"/>
      <c r="BZ343" s="282"/>
      <c r="CA343" s="245"/>
      <c r="CB343" s="245"/>
      <c r="CC343" s="245"/>
      <c r="CD343" s="245"/>
      <c r="CE343" s="245"/>
      <c r="CF343" s="245"/>
    </row>
    <row r="344">
      <c r="A344" s="245"/>
      <c r="B344" s="245"/>
      <c r="C344" s="245"/>
      <c r="D344" s="246"/>
      <c r="E344" s="245"/>
      <c r="F344" s="245"/>
      <c r="G344" s="245"/>
      <c r="H344" s="245"/>
      <c r="I344" s="245"/>
      <c r="J344" s="245"/>
      <c r="K344" s="265"/>
      <c r="L344" s="245"/>
      <c r="M344" s="245"/>
      <c r="N344" s="245"/>
      <c r="O344" s="245"/>
      <c r="P344" s="245"/>
      <c r="Q344" s="247"/>
      <c r="R344" s="254"/>
      <c r="S344" s="245"/>
      <c r="T344" s="245"/>
      <c r="U344" s="245"/>
      <c r="V344" s="245"/>
      <c r="W344" s="245"/>
      <c r="X344" s="245"/>
      <c r="Y344" s="249"/>
      <c r="Z344" s="276"/>
      <c r="AA344" s="245"/>
      <c r="AB344" s="276"/>
      <c r="AC344" s="276"/>
      <c r="AD344" s="246"/>
      <c r="AE344" s="278"/>
      <c r="AF344" s="370"/>
      <c r="AG344" s="371"/>
      <c r="AH344" s="276"/>
      <c r="AI344" s="245"/>
      <c r="AJ344" s="287"/>
      <c r="AK344" s="278"/>
      <c r="AL344" s="246"/>
      <c r="AM344" s="245"/>
      <c r="AN344" s="245"/>
      <c r="AO344" s="274"/>
      <c r="AP344" s="245"/>
      <c r="AQ344" s="245"/>
      <c r="AR344" s="246"/>
      <c r="AS344" s="245"/>
      <c r="AT344" s="245"/>
      <c r="AU344" s="245"/>
      <c r="AV344" s="245"/>
      <c r="AW344" s="245"/>
      <c r="AX344" s="246"/>
      <c r="AY344" s="245"/>
      <c r="AZ344" s="245"/>
      <c r="BA344" s="246"/>
      <c r="BB344" s="245"/>
      <c r="BC344" s="245"/>
      <c r="BD344" s="245"/>
      <c r="BE344" s="245"/>
      <c r="BF344" s="245"/>
      <c r="BG344" s="245"/>
      <c r="BH344" s="245"/>
      <c r="BI344" s="245"/>
      <c r="BJ344" s="245"/>
      <c r="BK344" s="245"/>
      <c r="BL344" s="245"/>
      <c r="BM344" s="245"/>
      <c r="BN344" s="245"/>
      <c r="BO344" s="245"/>
      <c r="BP344" s="245"/>
      <c r="BQ344" s="245"/>
      <c r="BR344" s="245"/>
      <c r="BS344" s="245"/>
      <c r="BT344" s="246"/>
      <c r="BU344" s="245"/>
      <c r="BV344" s="245"/>
      <c r="BW344" s="245"/>
      <c r="BX344" s="245"/>
      <c r="BY344" s="245"/>
      <c r="BZ344" s="282"/>
      <c r="CA344" s="245"/>
      <c r="CB344" s="245"/>
      <c r="CC344" s="245"/>
      <c r="CD344" s="245"/>
      <c r="CE344" s="245"/>
      <c r="CF344" s="245"/>
    </row>
    <row r="345">
      <c r="A345" s="305"/>
      <c r="B345" s="245"/>
      <c r="C345" s="245"/>
      <c r="D345" s="246"/>
      <c r="E345" s="245"/>
      <c r="F345" s="245"/>
      <c r="G345" s="245"/>
      <c r="H345" s="245"/>
      <c r="I345" s="245"/>
      <c r="J345" s="245"/>
      <c r="K345" s="265"/>
      <c r="L345" s="245"/>
      <c r="M345" s="245"/>
      <c r="N345" s="245"/>
      <c r="O345" s="245"/>
      <c r="P345" s="245"/>
      <c r="Q345" s="247"/>
      <c r="R345" s="254"/>
      <c r="S345" s="245"/>
      <c r="T345" s="245"/>
      <c r="U345" s="245"/>
      <c r="V345" s="245"/>
      <c r="W345" s="245"/>
      <c r="X345" s="245"/>
      <c r="Y345" s="249"/>
      <c r="Z345" s="276"/>
      <c r="AA345" s="245"/>
      <c r="AB345" s="276"/>
      <c r="AC345" s="276"/>
      <c r="AD345" s="246"/>
      <c r="AE345" s="278"/>
      <c r="AF345" s="370"/>
      <c r="AG345" s="371"/>
      <c r="AH345" s="276"/>
      <c r="AI345" s="245"/>
      <c r="AJ345" s="287"/>
      <c r="AK345" s="278"/>
      <c r="AL345" s="246"/>
      <c r="AM345" s="245"/>
      <c r="AN345" s="245"/>
      <c r="AO345" s="274"/>
      <c r="AP345" s="245"/>
      <c r="AQ345" s="245"/>
      <c r="AR345" s="246"/>
      <c r="AS345" s="245"/>
      <c r="AT345" s="245"/>
      <c r="AU345" s="245"/>
      <c r="AV345" s="245"/>
      <c r="AW345" s="245"/>
      <c r="AX345" s="246"/>
      <c r="AY345" s="245"/>
      <c r="AZ345" s="245"/>
      <c r="BA345" s="246"/>
      <c r="BB345" s="245"/>
      <c r="BC345" s="245"/>
      <c r="BD345" s="245"/>
      <c r="BE345" s="245"/>
      <c r="BF345" s="245"/>
      <c r="BG345" s="245"/>
      <c r="BH345" s="245"/>
      <c r="BI345" s="245"/>
      <c r="BJ345" s="245"/>
      <c r="BK345" s="245"/>
      <c r="BL345" s="245"/>
      <c r="BM345" s="245"/>
      <c r="BN345" s="245"/>
      <c r="BO345" s="245"/>
      <c r="BP345" s="245"/>
      <c r="BQ345" s="245"/>
      <c r="BR345" s="245"/>
      <c r="BS345" s="245"/>
      <c r="BT345" s="246"/>
      <c r="BU345" s="245"/>
      <c r="BV345" s="245"/>
      <c r="BW345" s="245"/>
      <c r="BX345" s="245"/>
      <c r="BY345" s="245"/>
      <c r="BZ345" s="282"/>
      <c r="CA345" s="245"/>
      <c r="CB345" s="245"/>
      <c r="CC345" s="245"/>
      <c r="CD345" s="245"/>
      <c r="CE345" s="245"/>
      <c r="CF345" s="245"/>
    </row>
    <row r="346">
      <c r="A346" s="305"/>
      <c r="B346" s="245"/>
      <c r="C346" s="245"/>
      <c r="D346" s="246"/>
      <c r="E346" s="245"/>
      <c r="F346" s="245"/>
      <c r="G346" s="245"/>
      <c r="H346" s="245"/>
      <c r="I346" s="245"/>
      <c r="J346" s="245"/>
      <c r="K346" s="265"/>
      <c r="L346" s="245"/>
      <c r="M346" s="245"/>
      <c r="N346" s="245"/>
      <c r="O346" s="245"/>
      <c r="P346" s="245"/>
      <c r="Q346" s="247"/>
      <c r="R346" s="254"/>
      <c r="S346" s="245"/>
      <c r="T346" s="245"/>
      <c r="U346" s="245"/>
      <c r="V346" s="245"/>
      <c r="W346" s="245"/>
      <c r="X346" s="245"/>
      <c r="Y346" s="249"/>
      <c r="Z346" s="276"/>
      <c r="AA346" s="245"/>
      <c r="AB346" s="276"/>
      <c r="AC346" s="276"/>
      <c r="AD346" s="246"/>
      <c r="AE346" s="278"/>
      <c r="AF346" s="370"/>
      <c r="AG346" s="371"/>
      <c r="AH346" s="276"/>
      <c r="AI346" s="245"/>
      <c r="AJ346" s="287"/>
      <c r="AK346" s="278"/>
      <c r="AL346" s="246"/>
      <c r="AM346" s="245"/>
      <c r="AN346" s="245"/>
      <c r="AO346" s="274"/>
      <c r="AP346" s="245"/>
      <c r="AQ346" s="245"/>
      <c r="AR346" s="246"/>
      <c r="AS346" s="245"/>
      <c r="AT346" s="245"/>
      <c r="AU346" s="245"/>
      <c r="AV346" s="245"/>
      <c r="AW346" s="245"/>
      <c r="AX346" s="246"/>
      <c r="AY346" s="245"/>
      <c r="AZ346" s="245"/>
      <c r="BA346" s="246"/>
      <c r="BB346" s="245"/>
      <c r="BC346" s="245"/>
      <c r="BD346" s="245"/>
      <c r="BE346" s="245"/>
      <c r="BF346" s="245"/>
      <c r="BG346" s="245"/>
      <c r="BH346" s="245"/>
      <c r="BI346" s="245"/>
      <c r="BJ346" s="245"/>
      <c r="BK346" s="245"/>
      <c r="BL346" s="245"/>
      <c r="BM346" s="245"/>
      <c r="BN346" s="245"/>
      <c r="BO346" s="245"/>
      <c r="BP346" s="245"/>
      <c r="BQ346" s="245"/>
      <c r="BR346" s="245"/>
      <c r="BS346" s="245"/>
      <c r="BT346" s="246"/>
      <c r="BU346" s="245"/>
      <c r="BV346" s="245"/>
      <c r="BW346" s="245"/>
      <c r="BX346" s="245"/>
      <c r="BY346" s="245"/>
      <c r="BZ346" s="282"/>
      <c r="CA346" s="245"/>
      <c r="CB346" s="245"/>
      <c r="CC346" s="245"/>
      <c r="CD346" s="245"/>
      <c r="CE346" s="245"/>
      <c r="CF346" s="245"/>
    </row>
    <row r="347">
      <c r="A347" s="305"/>
      <c r="B347" s="245"/>
      <c r="C347" s="245"/>
      <c r="D347" s="246"/>
      <c r="E347" s="245"/>
      <c r="F347" s="245"/>
      <c r="G347" s="245"/>
      <c r="H347" s="245"/>
      <c r="I347" s="245"/>
      <c r="J347" s="245"/>
      <c r="K347" s="265"/>
      <c r="L347" s="245"/>
      <c r="M347" s="245"/>
      <c r="N347" s="245"/>
      <c r="O347" s="245"/>
      <c r="P347" s="245"/>
      <c r="Q347" s="247"/>
      <c r="R347" s="254"/>
      <c r="S347" s="245"/>
      <c r="T347" s="245"/>
      <c r="U347" s="245"/>
      <c r="V347" s="245"/>
      <c r="W347" s="245"/>
      <c r="X347" s="245"/>
      <c r="Y347" s="249"/>
      <c r="Z347" s="276"/>
      <c r="AA347" s="245"/>
      <c r="AB347" s="276"/>
      <c r="AC347" s="276"/>
      <c r="AD347" s="246"/>
      <c r="AE347" s="278"/>
      <c r="AF347" s="370"/>
      <c r="AG347" s="371"/>
      <c r="AH347" s="276"/>
      <c r="AI347" s="245"/>
      <c r="AJ347" s="287"/>
      <c r="AK347" s="278"/>
      <c r="AL347" s="246"/>
      <c r="AM347" s="245"/>
      <c r="AN347" s="245"/>
      <c r="AO347" s="274"/>
      <c r="AP347" s="245"/>
      <c r="AQ347" s="245"/>
      <c r="AR347" s="246"/>
      <c r="AS347" s="245"/>
      <c r="AT347" s="245"/>
      <c r="AU347" s="245"/>
      <c r="AV347" s="245"/>
      <c r="AW347" s="245"/>
      <c r="AX347" s="246"/>
      <c r="AY347" s="245"/>
      <c r="AZ347" s="245"/>
      <c r="BA347" s="246"/>
      <c r="BB347" s="245"/>
      <c r="BC347" s="245"/>
      <c r="BD347" s="245"/>
      <c r="BE347" s="245"/>
      <c r="BF347" s="245"/>
      <c r="BG347" s="245"/>
      <c r="BH347" s="245"/>
      <c r="BI347" s="245"/>
      <c r="BJ347" s="245"/>
      <c r="BK347" s="245"/>
      <c r="BL347" s="245"/>
      <c r="BM347" s="245"/>
      <c r="BN347" s="245"/>
      <c r="BO347" s="245"/>
      <c r="BP347" s="245"/>
      <c r="BQ347" s="245"/>
      <c r="BR347" s="245"/>
      <c r="BS347" s="245"/>
      <c r="BT347" s="246"/>
      <c r="BU347" s="245"/>
      <c r="BV347" s="245"/>
      <c r="BW347" s="245"/>
      <c r="BX347" s="245"/>
      <c r="BY347" s="245"/>
      <c r="BZ347" s="282"/>
      <c r="CA347" s="245"/>
      <c r="CB347" s="245"/>
      <c r="CC347" s="245"/>
      <c r="CD347" s="245"/>
      <c r="CE347" s="245"/>
      <c r="CF347" s="245"/>
    </row>
    <row r="348">
      <c r="A348" s="305"/>
      <c r="B348" s="245"/>
      <c r="C348" s="245"/>
      <c r="D348" s="246"/>
      <c r="E348" s="245"/>
      <c r="F348" s="245"/>
      <c r="G348" s="245"/>
      <c r="H348" s="245"/>
      <c r="I348" s="245"/>
      <c r="J348" s="245"/>
      <c r="K348" s="265"/>
      <c r="L348" s="245"/>
      <c r="M348" s="245"/>
      <c r="N348" s="245"/>
      <c r="O348" s="245"/>
      <c r="P348" s="245"/>
      <c r="Q348" s="247"/>
      <c r="R348" s="254"/>
      <c r="S348" s="245"/>
      <c r="T348" s="245"/>
      <c r="U348" s="245"/>
      <c r="V348" s="245"/>
      <c r="W348" s="245"/>
      <c r="X348" s="245"/>
      <c r="Y348" s="249"/>
      <c r="Z348" s="276"/>
      <c r="AA348" s="245"/>
      <c r="AB348" s="276"/>
      <c r="AC348" s="276"/>
      <c r="AD348" s="246"/>
      <c r="AE348" s="278"/>
      <c r="AF348" s="370"/>
      <c r="AG348" s="371"/>
      <c r="AH348" s="276"/>
      <c r="AI348" s="245"/>
      <c r="AJ348" s="287"/>
      <c r="AK348" s="278"/>
      <c r="AL348" s="246"/>
      <c r="AM348" s="245"/>
      <c r="AN348" s="245"/>
      <c r="AO348" s="274"/>
      <c r="AP348" s="245"/>
      <c r="AQ348" s="245"/>
      <c r="AR348" s="246"/>
      <c r="AS348" s="245"/>
      <c r="AT348" s="245"/>
      <c r="AU348" s="245"/>
      <c r="AV348" s="245"/>
      <c r="AW348" s="245"/>
      <c r="AX348" s="246"/>
      <c r="AY348" s="245"/>
      <c r="AZ348" s="245"/>
      <c r="BA348" s="246"/>
      <c r="BB348" s="245"/>
      <c r="BC348" s="245"/>
      <c r="BD348" s="245"/>
      <c r="BE348" s="245"/>
      <c r="BF348" s="245"/>
      <c r="BG348" s="245"/>
      <c r="BH348" s="245"/>
      <c r="BI348" s="245"/>
      <c r="BJ348" s="245"/>
      <c r="BK348" s="245"/>
      <c r="BL348" s="245"/>
      <c r="BM348" s="245"/>
      <c r="BN348" s="245"/>
      <c r="BO348" s="245"/>
      <c r="BP348" s="245"/>
      <c r="BQ348" s="245"/>
      <c r="BR348" s="245"/>
      <c r="BS348" s="245"/>
      <c r="BT348" s="246"/>
      <c r="BU348" s="245"/>
      <c r="BV348" s="245"/>
      <c r="BW348" s="245"/>
      <c r="BX348" s="245"/>
      <c r="BY348" s="245"/>
      <c r="BZ348" s="282"/>
      <c r="CA348" s="245"/>
      <c r="CB348" s="245"/>
      <c r="CC348" s="245"/>
      <c r="CD348" s="245"/>
      <c r="CE348" s="245"/>
      <c r="CF348" s="245"/>
    </row>
    <row r="349">
      <c r="A349" s="305"/>
      <c r="B349" s="245"/>
      <c r="C349" s="245"/>
      <c r="D349" s="246"/>
      <c r="E349" s="245"/>
      <c r="F349" s="245"/>
      <c r="G349" s="245"/>
      <c r="H349" s="245"/>
      <c r="I349" s="245"/>
      <c r="J349" s="245"/>
      <c r="K349" s="265"/>
      <c r="L349" s="245"/>
      <c r="M349" s="245"/>
      <c r="N349" s="245"/>
      <c r="O349" s="245"/>
      <c r="P349" s="245"/>
      <c r="Q349" s="247"/>
      <c r="R349" s="254"/>
      <c r="S349" s="245"/>
      <c r="T349" s="245"/>
      <c r="U349" s="245"/>
      <c r="V349" s="245"/>
      <c r="W349" s="245"/>
      <c r="X349" s="245"/>
      <c r="Y349" s="249"/>
      <c r="Z349" s="276"/>
      <c r="AA349" s="245"/>
      <c r="AB349" s="276"/>
      <c r="AC349" s="276"/>
      <c r="AD349" s="246"/>
      <c r="AE349" s="278"/>
      <c r="AF349" s="370"/>
      <c r="AG349" s="371"/>
      <c r="AH349" s="276"/>
      <c r="AI349" s="245"/>
      <c r="AJ349" s="287"/>
      <c r="AK349" s="278"/>
      <c r="AL349" s="246"/>
      <c r="AM349" s="245"/>
      <c r="AN349" s="245"/>
      <c r="AO349" s="274"/>
      <c r="AP349" s="245"/>
      <c r="AQ349" s="245"/>
      <c r="AR349" s="246"/>
      <c r="AS349" s="245"/>
      <c r="AT349" s="245"/>
      <c r="AU349" s="245"/>
      <c r="AV349" s="245"/>
      <c r="AW349" s="245"/>
      <c r="AX349" s="246"/>
      <c r="AY349" s="245"/>
      <c r="AZ349" s="245"/>
      <c r="BA349" s="246"/>
      <c r="BB349" s="245"/>
      <c r="BC349" s="245"/>
      <c r="BD349" s="245"/>
      <c r="BE349" s="245"/>
      <c r="BF349" s="245"/>
      <c r="BG349" s="245"/>
      <c r="BH349" s="245"/>
      <c r="BI349" s="245"/>
      <c r="BJ349" s="245"/>
      <c r="BK349" s="245"/>
      <c r="BL349" s="245"/>
      <c r="BM349" s="245"/>
      <c r="BN349" s="245"/>
      <c r="BO349" s="245"/>
      <c r="BP349" s="245"/>
      <c r="BQ349" s="245"/>
      <c r="BR349" s="245"/>
      <c r="BS349" s="245"/>
      <c r="BT349" s="246"/>
      <c r="BU349" s="245"/>
      <c r="BV349" s="245"/>
      <c r="BW349" s="245"/>
      <c r="BX349" s="245"/>
      <c r="BY349" s="245"/>
      <c r="BZ349" s="282"/>
      <c r="CA349" s="245"/>
      <c r="CB349" s="245"/>
      <c r="CC349" s="245"/>
      <c r="CD349" s="245"/>
      <c r="CE349" s="245"/>
      <c r="CF349" s="245"/>
    </row>
    <row r="350">
      <c r="A350" s="305"/>
      <c r="B350" s="245"/>
      <c r="C350" s="245"/>
      <c r="D350" s="246"/>
      <c r="E350" s="245"/>
      <c r="F350" s="245"/>
      <c r="G350" s="245"/>
      <c r="H350" s="245"/>
      <c r="I350" s="245"/>
      <c r="J350" s="245"/>
      <c r="K350" s="265"/>
      <c r="L350" s="245"/>
      <c r="M350" s="245"/>
      <c r="N350" s="245"/>
      <c r="O350" s="245"/>
      <c r="P350" s="245"/>
      <c r="Q350" s="247"/>
      <c r="R350" s="254"/>
      <c r="S350" s="245"/>
      <c r="T350" s="245"/>
      <c r="U350" s="245"/>
      <c r="V350" s="245"/>
      <c r="W350" s="245"/>
      <c r="X350" s="245"/>
      <c r="Y350" s="249"/>
      <c r="Z350" s="276"/>
      <c r="AA350" s="245"/>
      <c r="AB350" s="276"/>
      <c r="AC350" s="276"/>
      <c r="AD350" s="246"/>
      <c r="AE350" s="278"/>
      <c r="AF350" s="370"/>
      <c r="AG350" s="371"/>
      <c r="AH350" s="276"/>
      <c r="AI350" s="245"/>
      <c r="AJ350" s="287"/>
      <c r="AK350" s="278"/>
      <c r="AL350" s="246"/>
      <c r="AM350" s="245"/>
      <c r="AN350" s="245"/>
      <c r="AO350" s="274"/>
      <c r="AP350" s="245"/>
      <c r="AQ350" s="245"/>
      <c r="AR350" s="246"/>
      <c r="AS350" s="245"/>
      <c r="AT350" s="245"/>
      <c r="AU350" s="245"/>
      <c r="AV350" s="245"/>
      <c r="AW350" s="245"/>
      <c r="AX350" s="246"/>
      <c r="AY350" s="245"/>
      <c r="AZ350" s="245"/>
      <c r="BA350" s="246"/>
      <c r="BB350" s="245"/>
      <c r="BC350" s="245"/>
      <c r="BD350" s="245"/>
      <c r="BE350" s="245"/>
      <c r="BF350" s="245"/>
      <c r="BG350" s="245"/>
      <c r="BH350" s="245"/>
      <c r="BI350" s="245"/>
      <c r="BJ350" s="245"/>
      <c r="BK350" s="245"/>
      <c r="BL350" s="245"/>
      <c r="BM350" s="245"/>
      <c r="BN350" s="245"/>
      <c r="BO350" s="245"/>
      <c r="BP350" s="245"/>
      <c r="BQ350" s="245"/>
      <c r="BR350" s="245"/>
      <c r="BS350" s="245"/>
      <c r="BT350" s="246"/>
      <c r="BU350" s="245"/>
      <c r="BV350" s="245"/>
      <c r="BW350" s="245"/>
      <c r="BX350" s="245"/>
      <c r="BY350" s="245"/>
      <c r="BZ350" s="282"/>
      <c r="CA350" s="245"/>
      <c r="CB350" s="245"/>
      <c r="CC350" s="245"/>
      <c r="CD350" s="245"/>
      <c r="CE350" s="245"/>
      <c r="CF350" s="245"/>
    </row>
    <row r="351">
      <c r="A351" s="305"/>
      <c r="B351" s="245"/>
      <c r="C351" s="245"/>
      <c r="D351" s="246"/>
      <c r="E351" s="245"/>
      <c r="F351" s="245"/>
      <c r="G351" s="245"/>
      <c r="H351" s="245"/>
      <c r="I351" s="245"/>
      <c r="J351" s="245"/>
      <c r="K351" s="265"/>
      <c r="L351" s="245"/>
      <c r="M351" s="245"/>
      <c r="N351" s="245"/>
      <c r="O351" s="245"/>
      <c r="P351" s="245"/>
      <c r="Q351" s="247"/>
      <c r="R351" s="254"/>
      <c r="S351" s="245"/>
      <c r="T351" s="245"/>
      <c r="U351" s="245"/>
      <c r="V351" s="245"/>
      <c r="W351" s="245"/>
      <c r="X351" s="245"/>
      <c r="Y351" s="249"/>
      <c r="Z351" s="276"/>
      <c r="AA351" s="245"/>
      <c r="AB351" s="276"/>
      <c r="AC351" s="276"/>
      <c r="AD351" s="246"/>
      <c r="AE351" s="278"/>
      <c r="AF351" s="370"/>
      <c r="AG351" s="371"/>
      <c r="AH351" s="276"/>
      <c r="AI351" s="245"/>
      <c r="AJ351" s="287"/>
      <c r="AK351" s="278"/>
      <c r="AL351" s="246"/>
      <c r="AM351" s="245"/>
      <c r="AN351" s="245"/>
      <c r="AO351" s="274"/>
      <c r="AP351" s="245"/>
      <c r="AQ351" s="245"/>
      <c r="AR351" s="246"/>
      <c r="AS351" s="245"/>
      <c r="AT351" s="245"/>
      <c r="AU351" s="245"/>
      <c r="AV351" s="245"/>
      <c r="AW351" s="245"/>
      <c r="AX351" s="246"/>
      <c r="AY351" s="245"/>
      <c r="AZ351" s="245"/>
      <c r="BA351" s="246"/>
      <c r="BB351" s="245"/>
      <c r="BC351" s="245"/>
      <c r="BD351" s="245"/>
      <c r="BE351" s="245"/>
      <c r="BF351" s="245"/>
      <c r="BG351" s="245"/>
      <c r="BH351" s="245"/>
      <c r="BI351" s="245"/>
      <c r="BJ351" s="245"/>
      <c r="BK351" s="245"/>
      <c r="BL351" s="245"/>
      <c r="BM351" s="245"/>
      <c r="BN351" s="245"/>
      <c r="BO351" s="245"/>
      <c r="BP351" s="245"/>
      <c r="BQ351" s="245"/>
      <c r="BR351" s="245"/>
      <c r="BS351" s="245"/>
      <c r="BT351" s="246"/>
      <c r="BU351" s="245"/>
      <c r="BV351" s="245"/>
      <c r="BW351" s="245"/>
      <c r="BX351" s="245"/>
      <c r="BY351" s="245"/>
      <c r="BZ351" s="282"/>
      <c r="CA351" s="245"/>
      <c r="CB351" s="245"/>
      <c r="CC351" s="245"/>
      <c r="CD351" s="245"/>
      <c r="CE351" s="245"/>
      <c r="CF351" s="245"/>
    </row>
    <row r="352">
      <c r="A352" s="305"/>
      <c r="B352" s="245"/>
      <c r="C352" s="245"/>
      <c r="D352" s="246"/>
      <c r="E352" s="245"/>
      <c r="F352" s="245"/>
      <c r="G352" s="245"/>
      <c r="H352" s="245"/>
      <c r="I352" s="245"/>
      <c r="J352" s="245"/>
      <c r="K352" s="265"/>
      <c r="L352" s="245"/>
      <c r="M352" s="245"/>
      <c r="N352" s="245"/>
      <c r="O352" s="245"/>
      <c r="P352" s="245"/>
      <c r="Q352" s="247"/>
      <c r="R352" s="254"/>
      <c r="S352" s="245"/>
      <c r="T352" s="245"/>
      <c r="U352" s="245"/>
      <c r="V352" s="245"/>
      <c r="W352" s="245"/>
      <c r="X352" s="245"/>
      <c r="Y352" s="249"/>
      <c r="Z352" s="276"/>
      <c r="AA352" s="245"/>
      <c r="AB352" s="276"/>
      <c r="AC352" s="276"/>
      <c r="AD352" s="246"/>
      <c r="AE352" s="278"/>
      <c r="AF352" s="370"/>
      <c r="AG352" s="371"/>
      <c r="AH352" s="276"/>
      <c r="AI352" s="245"/>
      <c r="AJ352" s="287"/>
      <c r="AK352" s="278"/>
      <c r="AL352" s="246"/>
      <c r="AM352" s="245"/>
      <c r="AN352" s="245"/>
      <c r="AO352" s="274"/>
      <c r="AP352" s="245"/>
      <c r="AQ352" s="245"/>
      <c r="AR352" s="246"/>
      <c r="AS352" s="245"/>
      <c r="AT352" s="245"/>
      <c r="AU352" s="245"/>
      <c r="AV352" s="245"/>
      <c r="AW352" s="245"/>
      <c r="AX352" s="246"/>
      <c r="AY352" s="245"/>
      <c r="AZ352" s="245"/>
      <c r="BA352" s="246"/>
      <c r="BB352" s="245"/>
      <c r="BC352" s="245"/>
      <c r="BD352" s="245"/>
      <c r="BE352" s="245"/>
      <c r="BF352" s="245"/>
      <c r="BG352" s="245"/>
      <c r="BH352" s="245"/>
      <c r="BI352" s="245"/>
      <c r="BJ352" s="245"/>
      <c r="BK352" s="245"/>
      <c r="BL352" s="245"/>
      <c r="BM352" s="245"/>
      <c r="BN352" s="245"/>
      <c r="BO352" s="245"/>
      <c r="BP352" s="245"/>
      <c r="BQ352" s="245"/>
      <c r="BR352" s="245"/>
      <c r="BS352" s="245"/>
      <c r="BT352" s="246"/>
      <c r="BU352" s="245"/>
      <c r="BV352" s="245"/>
      <c r="BW352" s="245"/>
      <c r="BX352" s="245"/>
      <c r="BY352" s="245"/>
      <c r="BZ352" s="282"/>
      <c r="CA352" s="245"/>
      <c r="CB352" s="245"/>
      <c r="CC352" s="245"/>
      <c r="CD352" s="245"/>
      <c r="CE352" s="245"/>
      <c r="CF352" s="245"/>
    </row>
    <row r="353">
      <c r="A353" s="305"/>
      <c r="B353" s="245"/>
      <c r="C353" s="245"/>
      <c r="D353" s="246"/>
      <c r="E353" s="245"/>
      <c r="F353" s="245"/>
      <c r="G353" s="245"/>
      <c r="H353" s="245"/>
      <c r="I353" s="245"/>
      <c r="J353" s="245"/>
      <c r="K353" s="265"/>
      <c r="L353" s="245"/>
      <c r="M353" s="245"/>
      <c r="N353" s="245"/>
      <c r="O353" s="245"/>
      <c r="P353" s="245"/>
      <c r="Q353" s="247"/>
      <c r="R353" s="254"/>
      <c r="S353" s="245"/>
      <c r="T353" s="245"/>
      <c r="U353" s="245"/>
      <c r="V353" s="245"/>
      <c r="W353" s="245"/>
      <c r="X353" s="245"/>
      <c r="Y353" s="249"/>
      <c r="Z353" s="276"/>
      <c r="AA353" s="245"/>
      <c r="AB353" s="276"/>
      <c r="AC353" s="276"/>
      <c r="AD353" s="246"/>
      <c r="AE353" s="278"/>
      <c r="AF353" s="370"/>
      <c r="AG353" s="371"/>
      <c r="AH353" s="276"/>
      <c r="AI353" s="245"/>
      <c r="AJ353" s="287"/>
      <c r="AK353" s="278"/>
      <c r="AL353" s="246"/>
      <c r="AM353" s="245"/>
      <c r="AN353" s="245"/>
      <c r="AO353" s="274"/>
      <c r="AP353" s="245"/>
      <c r="AQ353" s="245"/>
      <c r="AR353" s="246"/>
      <c r="AS353" s="245"/>
      <c r="AT353" s="245"/>
      <c r="AU353" s="245"/>
      <c r="AV353" s="245"/>
      <c r="AW353" s="245"/>
      <c r="AX353" s="246"/>
      <c r="AY353" s="245"/>
      <c r="AZ353" s="245"/>
      <c r="BA353" s="246"/>
      <c r="BB353" s="245"/>
      <c r="BC353" s="245"/>
      <c r="BD353" s="245"/>
      <c r="BE353" s="245"/>
      <c r="BF353" s="245"/>
      <c r="BG353" s="245"/>
      <c r="BH353" s="245"/>
      <c r="BI353" s="245"/>
      <c r="BJ353" s="245"/>
      <c r="BK353" s="245"/>
      <c r="BL353" s="245"/>
      <c r="BM353" s="245"/>
      <c r="BN353" s="245"/>
      <c r="BO353" s="245"/>
      <c r="BP353" s="245"/>
      <c r="BQ353" s="245"/>
      <c r="BR353" s="245"/>
      <c r="BS353" s="245"/>
      <c r="BT353" s="246"/>
      <c r="BU353" s="245"/>
      <c r="BV353" s="245"/>
      <c r="BW353" s="245"/>
      <c r="BX353" s="245"/>
      <c r="BY353" s="245"/>
      <c r="BZ353" s="282"/>
      <c r="CA353" s="245"/>
      <c r="CB353" s="245"/>
      <c r="CC353" s="245"/>
      <c r="CD353" s="245"/>
      <c r="CE353" s="245"/>
      <c r="CF353" s="245"/>
    </row>
    <row r="354">
      <c r="A354" s="305"/>
      <c r="B354" s="245"/>
      <c r="C354" s="245"/>
      <c r="D354" s="246"/>
      <c r="E354" s="245"/>
      <c r="F354" s="245"/>
      <c r="G354" s="245"/>
      <c r="H354" s="245"/>
      <c r="I354" s="245"/>
      <c r="J354" s="245"/>
      <c r="K354" s="265"/>
      <c r="L354" s="245"/>
      <c r="M354" s="245"/>
      <c r="N354" s="245"/>
      <c r="O354" s="245"/>
      <c r="P354" s="245"/>
      <c r="Q354" s="247"/>
      <c r="R354" s="254"/>
      <c r="S354" s="245"/>
      <c r="T354" s="245"/>
      <c r="U354" s="245"/>
      <c r="V354" s="245"/>
      <c r="W354" s="245"/>
      <c r="X354" s="245"/>
      <c r="Y354" s="249"/>
      <c r="Z354" s="276"/>
      <c r="AA354" s="245"/>
      <c r="AB354" s="276"/>
      <c r="AC354" s="276"/>
      <c r="AD354" s="246"/>
      <c r="AE354" s="278"/>
      <c r="AF354" s="370"/>
      <c r="AG354" s="371"/>
      <c r="AH354" s="276"/>
      <c r="AI354" s="245"/>
      <c r="AJ354" s="287"/>
      <c r="AK354" s="278"/>
      <c r="AL354" s="246"/>
      <c r="AM354" s="245"/>
      <c r="AN354" s="245"/>
      <c r="AO354" s="274"/>
      <c r="AP354" s="245"/>
      <c r="AQ354" s="245"/>
      <c r="AR354" s="246"/>
      <c r="AS354" s="245"/>
      <c r="AT354" s="245"/>
      <c r="AU354" s="245"/>
      <c r="AV354" s="245"/>
      <c r="AW354" s="245"/>
      <c r="AX354" s="246"/>
      <c r="AY354" s="245"/>
      <c r="AZ354" s="245"/>
      <c r="BA354" s="246"/>
      <c r="BB354" s="245"/>
      <c r="BC354" s="245"/>
      <c r="BD354" s="245"/>
      <c r="BE354" s="245"/>
      <c r="BF354" s="245"/>
      <c r="BG354" s="245"/>
      <c r="BH354" s="245"/>
      <c r="BI354" s="245"/>
      <c r="BJ354" s="245"/>
      <c r="BK354" s="245"/>
      <c r="BL354" s="245"/>
      <c r="BM354" s="245"/>
      <c r="BN354" s="245"/>
      <c r="BO354" s="245"/>
      <c r="BP354" s="245"/>
      <c r="BQ354" s="245"/>
      <c r="BR354" s="245"/>
      <c r="BS354" s="245"/>
      <c r="BT354" s="246"/>
      <c r="BU354" s="245"/>
      <c r="BV354" s="245"/>
      <c r="BW354" s="245"/>
      <c r="BX354" s="245"/>
      <c r="BY354" s="245"/>
      <c r="BZ354" s="282"/>
      <c r="CA354" s="245"/>
      <c r="CB354" s="245"/>
      <c r="CC354" s="245"/>
      <c r="CD354" s="245"/>
      <c r="CE354" s="245"/>
      <c r="CF354" s="245"/>
    </row>
    <row r="355">
      <c r="A355" s="305"/>
      <c r="B355" s="245"/>
      <c r="C355" s="245"/>
      <c r="D355" s="246"/>
      <c r="E355" s="245"/>
      <c r="F355" s="245"/>
      <c r="G355" s="245"/>
      <c r="H355" s="245"/>
      <c r="I355" s="245"/>
      <c r="J355" s="245"/>
      <c r="K355" s="265"/>
      <c r="L355" s="245"/>
      <c r="M355" s="245"/>
      <c r="N355" s="245"/>
      <c r="O355" s="245"/>
      <c r="P355" s="245"/>
      <c r="Q355" s="247"/>
      <c r="R355" s="254"/>
      <c r="S355" s="245"/>
      <c r="T355" s="245"/>
      <c r="U355" s="245"/>
      <c r="V355" s="245"/>
      <c r="W355" s="245"/>
      <c r="X355" s="245"/>
      <c r="Y355" s="249"/>
      <c r="Z355" s="276"/>
      <c r="AA355" s="245"/>
      <c r="AB355" s="276"/>
      <c r="AC355" s="276"/>
      <c r="AD355" s="246"/>
      <c r="AE355" s="278"/>
      <c r="AF355" s="370"/>
      <c r="AG355" s="371"/>
      <c r="AH355" s="276"/>
      <c r="AI355" s="245"/>
      <c r="AJ355" s="287"/>
      <c r="AK355" s="278"/>
      <c r="AL355" s="246"/>
      <c r="AM355" s="245"/>
      <c r="AN355" s="245"/>
      <c r="AO355" s="274"/>
      <c r="AP355" s="245"/>
      <c r="AQ355" s="245"/>
      <c r="AR355" s="246"/>
      <c r="AS355" s="245"/>
      <c r="AT355" s="245"/>
      <c r="AU355" s="245"/>
      <c r="AV355" s="245"/>
      <c r="AW355" s="245"/>
      <c r="AX355" s="246"/>
      <c r="AY355" s="245"/>
      <c r="AZ355" s="245"/>
      <c r="BA355" s="246"/>
      <c r="BB355" s="245"/>
      <c r="BC355" s="245"/>
      <c r="BD355" s="245"/>
      <c r="BE355" s="245"/>
      <c r="BF355" s="245"/>
      <c r="BG355" s="245"/>
      <c r="BH355" s="245"/>
      <c r="BI355" s="245"/>
      <c r="BJ355" s="245"/>
      <c r="BK355" s="245"/>
      <c r="BL355" s="245"/>
      <c r="BM355" s="245"/>
      <c r="BN355" s="245"/>
      <c r="BO355" s="245"/>
      <c r="BP355" s="245"/>
      <c r="BQ355" s="245"/>
      <c r="BR355" s="245"/>
      <c r="BS355" s="245"/>
      <c r="BT355" s="246"/>
      <c r="BU355" s="245"/>
      <c r="BV355" s="245"/>
      <c r="BW355" s="245"/>
      <c r="BX355" s="245"/>
      <c r="BY355" s="245"/>
      <c r="BZ355" s="282"/>
      <c r="CA355" s="245"/>
      <c r="CB355" s="245"/>
      <c r="CC355" s="245"/>
      <c r="CD355" s="245"/>
      <c r="CE355" s="245"/>
      <c r="CF355" s="245"/>
    </row>
    <row r="356">
      <c r="A356" s="305"/>
      <c r="B356" s="245"/>
      <c r="C356" s="245"/>
      <c r="D356" s="246"/>
      <c r="E356" s="245"/>
      <c r="F356" s="245"/>
      <c r="G356" s="245"/>
      <c r="H356" s="245"/>
      <c r="I356" s="245"/>
      <c r="J356" s="245"/>
      <c r="K356" s="265"/>
      <c r="L356" s="245"/>
      <c r="M356" s="245"/>
      <c r="N356" s="245"/>
      <c r="O356" s="245"/>
      <c r="P356" s="245"/>
      <c r="Q356" s="247"/>
      <c r="R356" s="254"/>
      <c r="S356" s="245"/>
      <c r="T356" s="245"/>
      <c r="U356" s="245"/>
      <c r="V356" s="245"/>
      <c r="W356" s="245"/>
      <c r="X356" s="245"/>
      <c r="Y356" s="249"/>
      <c r="Z356" s="276"/>
      <c r="AA356" s="245"/>
      <c r="AB356" s="276"/>
      <c r="AC356" s="276"/>
      <c r="AD356" s="246"/>
      <c r="AE356" s="278"/>
      <c r="AF356" s="370"/>
      <c r="AG356" s="371"/>
      <c r="AH356" s="276"/>
      <c r="AI356" s="245"/>
      <c r="AJ356" s="287"/>
      <c r="AK356" s="278"/>
      <c r="AL356" s="246"/>
      <c r="AM356" s="245"/>
      <c r="AN356" s="245"/>
      <c r="AO356" s="274"/>
      <c r="AP356" s="245"/>
      <c r="AQ356" s="245"/>
      <c r="AR356" s="246"/>
      <c r="AS356" s="245"/>
      <c r="AT356" s="245"/>
      <c r="AU356" s="245"/>
      <c r="AV356" s="245"/>
      <c r="AW356" s="245"/>
      <c r="AX356" s="246"/>
      <c r="AY356" s="245"/>
      <c r="AZ356" s="245"/>
      <c r="BA356" s="246"/>
      <c r="BB356" s="245"/>
      <c r="BC356" s="245"/>
      <c r="BD356" s="245"/>
      <c r="BE356" s="245"/>
      <c r="BF356" s="245"/>
      <c r="BG356" s="245"/>
      <c r="BH356" s="245"/>
      <c r="BI356" s="245"/>
      <c r="BJ356" s="245"/>
      <c r="BK356" s="245"/>
      <c r="BL356" s="245"/>
      <c r="BM356" s="245"/>
      <c r="BN356" s="245"/>
      <c r="BO356" s="245"/>
      <c r="BP356" s="245"/>
      <c r="BQ356" s="245"/>
      <c r="BR356" s="245"/>
      <c r="BS356" s="245"/>
      <c r="BT356" s="246"/>
      <c r="BU356" s="245"/>
      <c r="BV356" s="245"/>
      <c r="BW356" s="245"/>
      <c r="BX356" s="245"/>
      <c r="BY356" s="245"/>
      <c r="BZ356" s="282"/>
      <c r="CA356" s="245"/>
      <c r="CB356" s="245"/>
      <c r="CC356" s="245"/>
      <c r="CD356" s="245"/>
      <c r="CE356" s="245"/>
      <c r="CF356" s="245"/>
    </row>
    <row r="357">
      <c r="A357" s="305"/>
      <c r="B357" s="245"/>
      <c r="C357" s="245"/>
      <c r="D357" s="246"/>
      <c r="E357" s="245"/>
      <c r="F357" s="245"/>
      <c r="G357" s="245"/>
      <c r="H357" s="245"/>
      <c r="I357" s="245"/>
      <c r="J357" s="245"/>
      <c r="K357" s="265"/>
      <c r="L357" s="245"/>
      <c r="M357" s="245"/>
      <c r="N357" s="245"/>
      <c r="O357" s="245"/>
      <c r="P357" s="245"/>
      <c r="Q357" s="247"/>
      <c r="R357" s="254"/>
      <c r="S357" s="245"/>
      <c r="T357" s="245"/>
      <c r="U357" s="245"/>
      <c r="V357" s="245"/>
      <c r="W357" s="245"/>
      <c r="X357" s="245"/>
      <c r="Y357" s="249"/>
      <c r="Z357" s="276"/>
      <c r="AA357" s="245"/>
      <c r="AB357" s="276"/>
      <c r="AC357" s="276"/>
      <c r="AD357" s="246"/>
      <c r="AE357" s="278"/>
      <c r="AF357" s="370"/>
      <c r="AG357" s="371"/>
      <c r="AH357" s="276"/>
      <c r="AI357" s="245"/>
      <c r="AJ357" s="287"/>
      <c r="AK357" s="278"/>
      <c r="AL357" s="246"/>
      <c r="AM357" s="245"/>
      <c r="AN357" s="245"/>
      <c r="AO357" s="274"/>
      <c r="AP357" s="245"/>
      <c r="AQ357" s="245"/>
      <c r="AR357" s="246"/>
      <c r="AS357" s="245"/>
      <c r="AT357" s="245"/>
      <c r="AU357" s="245"/>
      <c r="AV357" s="245"/>
      <c r="AW357" s="245"/>
      <c r="AX357" s="246"/>
      <c r="AY357" s="245"/>
      <c r="AZ357" s="245"/>
      <c r="BA357" s="246"/>
      <c r="BB357" s="245"/>
      <c r="BC357" s="245"/>
      <c r="BD357" s="245"/>
      <c r="BE357" s="245"/>
      <c r="BF357" s="245"/>
      <c r="BG357" s="245"/>
      <c r="BH357" s="245"/>
      <c r="BI357" s="245"/>
      <c r="BJ357" s="245"/>
      <c r="BK357" s="245"/>
      <c r="BL357" s="245"/>
      <c r="BM357" s="245"/>
      <c r="BN357" s="245"/>
      <c r="BO357" s="245"/>
      <c r="BP357" s="245"/>
      <c r="BQ357" s="245"/>
      <c r="BR357" s="245"/>
      <c r="BS357" s="245"/>
      <c r="BT357" s="246"/>
      <c r="BU357" s="245"/>
      <c r="BV357" s="245"/>
      <c r="BW357" s="245"/>
      <c r="BX357" s="245"/>
      <c r="BY357" s="245"/>
      <c r="BZ357" s="282"/>
      <c r="CA357" s="245"/>
      <c r="CB357" s="245"/>
      <c r="CC357" s="245"/>
      <c r="CD357" s="245"/>
      <c r="CE357" s="245"/>
      <c r="CF357" s="245"/>
    </row>
    <row r="358">
      <c r="A358" s="305"/>
      <c r="B358" s="245"/>
      <c r="C358" s="245"/>
      <c r="D358" s="246"/>
      <c r="E358" s="245"/>
      <c r="F358" s="245"/>
      <c r="G358" s="245"/>
      <c r="H358" s="245"/>
      <c r="I358" s="245"/>
      <c r="J358" s="245"/>
      <c r="K358" s="265"/>
      <c r="L358" s="245"/>
      <c r="M358" s="245"/>
      <c r="N358" s="245"/>
      <c r="O358" s="245"/>
      <c r="P358" s="245"/>
      <c r="Q358" s="247"/>
      <c r="R358" s="254"/>
      <c r="S358" s="245"/>
      <c r="T358" s="245"/>
      <c r="U358" s="245"/>
      <c r="V358" s="245"/>
      <c r="W358" s="245"/>
      <c r="X358" s="245"/>
      <c r="Y358" s="249"/>
      <c r="Z358" s="276"/>
      <c r="AA358" s="245"/>
      <c r="AB358" s="276"/>
      <c r="AC358" s="276"/>
      <c r="AD358" s="246"/>
      <c r="AE358" s="278"/>
      <c r="AF358" s="370"/>
      <c r="AG358" s="371"/>
      <c r="AH358" s="276"/>
      <c r="AI358" s="245"/>
      <c r="AJ358" s="287"/>
      <c r="AK358" s="278"/>
      <c r="AL358" s="246"/>
      <c r="AM358" s="245"/>
      <c r="AN358" s="245"/>
      <c r="AO358" s="274"/>
      <c r="AP358" s="245"/>
      <c r="AQ358" s="245"/>
      <c r="AR358" s="246"/>
      <c r="AS358" s="245"/>
      <c r="AT358" s="245"/>
      <c r="AU358" s="245"/>
      <c r="AV358" s="245"/>
      <c r="AW358" s="245"/>
      <c r="AX358" s="246"/>
      <c r="AY358" s="245"/>
      <c r="AZ358" s="245"/>
      <c r="BA358" s="246"/>
      <c r="BB358" s="245"/>
      <c r="BC358" s="245"/>
      <c r="BD358" s="245"/>
      <c r="BE358" s="245"/>
      <c r="BF358" s="245"/>
      <c r="BG358" s="245"/>
      <c r="BH358" s="245"/>
      <c r="BI358" s="245"/>
      <c r="BJ358" s="245"/>
      <c r="BK358" s="245"/>
      <c r="BL358" s="245"/>
      <c r="BM358" s="245"/>
      <c r="BN358" s="245"/>
      <c r="BO358" s="245"/>
      <c r="BP358" s="245"/>
      <c r="BQ358" s="245"/>
      <c r="BR358" s="245"/>
      <c r="BS358" s="245"/>
      <c r="BT358" s="246"/>
      <c r="BU358" s="245"/>
      <c r="BV358" s="245"/>
      <c r="BW358" s="245"/>
      <c r="BX358" s="245"/>
      <c r="BY358" s="245"/>
      <c r="BZ358" s="282"/>
      <c r="CA358" s="245"/>
      <c r="CB358" s="245"/>
      <c r="CC358" s="245"/>
      <c r="CD358" s="245"/>
      <c r="CE358" s="245"/>
      <c r="CF358" s="245"/>
    </row>
    <row r="359">
      <c r="A359" s="305"/>
      <c r="B359" s="245"/>
      <c r="C359" s="245"/>
      <c r="D359" s="246"/>
      <c r="E359" s="245"/>
      <c r="F359" s="245"/>
      <c r="G359" s="245"/>
      <c r="H359" s="245"/>
      <c r="I359" s="245"/>
      <c r="J359" s="245"/>
      <c r="K359" s="265"/>
      <c r="L359" s="245"/>
      <c r="M359" s="245"/>
      <c r="N359" s="245"/>
      <c r="O359" s="245"/>
      <c r="P359" s="245"/>
      <c r="Q359" s="247"/>
      <c r="R359" s="254"/>
      <c r="S359" s="245"/>
      <c r="T359" s="245"/>
      <c r="U359" s="245"/>
      <c r="V359" s="245"/>
      <c r="W359" s="245"/>
      <c r="X359" s="245"/>
      <c r="Y359" s="249"/>
      <c r="Z359" s="276"/>
      <c r="AA359" s="245"/>
      <c r="AB359" s="276"/>
      <c r="AC359" s="276"/>
      <c r="AD359" s="246"/>
      <c r="AE359" s="278"/>
      <c r="AF359" s="370"/>
      <c r="AG359" s="371"/>
      <c r="AH359" s="276"/>
      <c r="AI359" s="245"/>
      <c r="AJ359" s="287"/>
      <c r="AK359" s="278"/>
      <c r="AL359" s="246"/>
      <c r="AM359" s="245"/>
      <c r="AN359" s="245"/>
      <c r="AO359" s="274"/>
      <c r="AP359" s="245"/>
      <c r="AQ359" s="245"/>
      <c r="AR359" s="246"/>
      <c r="AS359" s="245"/>
      <c r="AT359" s="245"/>
      <c r="AU359" s="245"/>
      <c r="AV359" s="245"/>
      <c r="AW359" s="245"/>
      <c r="AX359" s="246"/>
      <c r="AY359" s="245"/>
      <c r="AZ359" s="245"/>
      <c r="BA359" s="246"/>
      <c r="BB359" s="245"/>
      <c r="BC359" s="245"/>
      <c r="BD359" s="245"/>
      <c r="BE359" s="245"/>
      <c r="BF359" s="245"/>
      <c r="BG359" s="245"/>
      <c r="BH359" s="245"/>
      <c r="BI359" s="245"/>
      <c r="BJ359" s="245"/>
      <c r="BK359" s="245"/>
      <c r="BL359" s="245"/>
      <c r="BM359" s="245"/>
      <c r="BN359" s="245"/>
      <c r="BO359" s="245"/>
      <c r="BP359" s="245"/>
      <c r="BQ359" s="245"/>
      <c r="BR359" s="245"/>
      <c r="BS359" s="245"/>
      <c r="BT359" s="246"/>
      <c r="BU359" s="245"/>
      <c r="BV359" s="245"/>
      <c r="BW359" s="245"/>
      <c r="BX359" s="245"/>
      <c r="BY359" s="245"/>
      <c r="BZ359" s="282"/>
      <c r="CA359" s="245"/>
      <c r="CB359" s="245"/>
      <c r="CC359" s="245"/>
      <c r="CD359" s="245"/>
      <c r="CE359" s="245"/>
      <c r="CF359" s="245"/>
    </row>
    <row r="360">
      <c r="A360" s="305"/>
      <c r="B360" s="245"/>
      <c r="C360" s="245"/>
      <c r="D360" s="246"/>
      <c r="E360" s="245"/>
      <c r="F360" s="245"/>
      <c r="G360" s="245"/>
      <c r="H360" s="245"/>
      <c r="I360" s="245"/>
      <c r="J360" s="245"/>
      <c r="K360" s="265"/>
      <c r="L360" s="245"/>
      <c r="M360" s="245"/>
      <c r="N360" s="245"/>
      <c r="O360" s="245"/>
      <c r="P360" s="245"/>
      <c r="Q360" s="247"/>
      <c r="R360" s="254"/>
      <c r="S360" s="245"/>
      <c r="T360" s="245"/>
      <c r="U360" s="245"/>
      <c r="V360" s="245"/>
      <c r="W360" s="245"/>
      <c r="X360" s="245"/>
      <c r="Y360" s="249"/>
      <c r="Z360" s="276"/>
      <c r="AA360" s="245"/>
      <c r="AB360" s="276"/>
      <c r="AC360" s="276"/>
      <c r="AD360" s="246"/>
      <c r="AE360" s="278"/>
      <c r="AF360" s="370"/>
      <c r="AG360" s="371"/>
      <c r="AH360" s="276"/>
      <c r="AI360" s="245"/>
      <c r="AJ360" s="287"/>
      <c r="AK360" s="278"/>
      <c r="AL360" s="246"/>
      <c r="AM360" s="245"/>
      <c r="AN360" s="245"/>
      <c r="AO360" s="274"/>
      <c r="AP360" s="245"/>
      <c r="AQ360" s="245"/>
      <c r="AR360" s="246"/>
      <c r="AS360" s="245"/>
      <c r="AT360" s="245"/>
      <c r="AU360" s="245"/>
      <c r="AV360" s="245"/>
      <c r="AW360" s="245"/>
      <c r="AX360" s="246"/>
      <c r="AY360" s="245"/>
      <c r="AZ360" s="245"/>
      <c r="BA360" s="246"/>
      <c r="BB360" s="245"/>
      <c r="BC360" s="245"/>
      <c r="BD360" s="245"/>
      <c r="BE360" s="245"/>
      <c r="BF360" s="245"/>
      <c r="BG360" s="245"/>
      <c r="BH360" s="245"/>
      <c r="BI360" s="245"/>
      <c r="BJ360" s="245"/>
      <c r="BK360" s="245"/>
      <c r="BL360" s="245"/>
      <c r="BM360" s="245"/>
      <c r="BN360" s="245"/>
      <c r="BO360" s="245"/>
      <c r="BP360" s="245"/>
      <c r="BQ360" s="245"/>
      <c r="BR360" s="245"/>
      <c r="BS360" s="245"/>
      <c r="BT360" s="246"/>
      <c r="BU360" s="245"/>
      <c r="BV360" s="245"/>
      <c r="BW360" s="245"/>
      <c r="BX360" s="245"/>
      <c r="BY360" s="245"/>
      <c r="BZ360" s="282"/>
      <c r="CA360" s="245"/>
      <c r="CB360" s="245"/>
      <c r="CC360" s="245"/>
      <c r="CD360" s="245"/>
      <c r="CE360" s="245"/>
      <c r="CF360" s="245"/>
    </row>
    <row r="361">
      <c r="A361" s="305"/>
      <c r="B361" s="245"/>
      <c r="C361" s="245"/>
      <c r="D361" s="246"/>
      <c r="E361" s="245"/>
      <c r="F361" s="245"/>
      <c r="G361" s="245"/>
      <c r="H361" s="245"/>
      <c r="I361" s="245"/>
      <c r="J361" s="245"/>
      <c r="K361" s="265"/>
      <c r="L361" s="245"/>
      <c r="M361" s="245"/>
      <c r="N361" s="245"/>
      <c r="O361" s="245"/>
      <c r="P361" s="245"/>
      <c r="Q361" s="247"/>
      <c r="R361" s="254"/>
      <c r="S361" s="245"/>
      <c r="T361" s="245"/>
      <c r="U361" s="245"/>
      <c r="V361" s="245"/>
      <c r="W361" s="245"/>
      <c r="X361" s="245"/>
      <c r="Y361" s="249"/>
      <c r="Z361" s="276"/>
      <c r="AA361" s="245"/>
      <c r="AB361" s="276"/>
      <c r="AC361" s="276"/>
      <c r="AD361" s="246"/>
      <c r="AE361" s="278"/>
      <c r="AF361" s="370"/>
      <c r="AG361" s="371"/>
      <c r="AH361" s="276"/>
      <c r="AI361" s="245"/>
      <c r="AJ361" s="287"/>
      <c r="AK361" s="278"/>
      <c r="AL361" s="246"/>
      <c r="AM361" s="245"/>
      <c r="AN361" s="245"/>
      <c r="AO361" s="274"/>
      <c r="AP361" s="245"/>
      <c r="AQ361" s="245"/>
      <c r="AR361" s="246"/>
      <c r="AS361" s="245"/>
      <c r="AT361" s="245"/>
      <c r="AU361" s="245"/>
      <c r="AV361" s="245"/>
      <c r="AW361" s="245"/>
      <c r="AX361" s="246"/>
      <c r="AY361" s="245"/>
      <c r="AZ361" s="245"/>
      <c r="BA361" s="246"/>
      <c r="BB361" s="245"/>
      <c r="BC361" s="245"/>
      <c r="BD361" s="245"/>
      <c r="BE361" s="245"/>
      <c r="BF361" s="245"/>
      <c r="BG361" s="245"/>
      <c r="BH361" s="245"/>
      <c r="BI361" s="245"/>
      <c r="BJ361" s="245"/>
      <c r="BK361" s="245"/>
      <c r="BL361" s="245"/>
      <c r="BM361" s="245"/>
      <c r="BN361" s="245"/>
      <c r="BO361" s="245"/>
      <c r="BP361" s="245"/>
      <c r="BQ361" s="245"/>
      <c r="BR361" s="245"/>
      <c r="BS361" s="245"/>
      <c r="BT361" s="246"/>
      <c r="BU361" s="245"/>
      <c r="BV361" s="245"/>
      <c r="BW361" s="245"/>
      <c r="BX361" s="245"/>
      <c r="BY361" s="245"/>
      <c r="BZ361" s="282"/>
      <c r="CA361" s="245"/>
      <c r="CB361" s="245"/>
      <c r="CC361" s="245"/>
      <c r="CD361" s="245"/>
      <c r="CE361" s="245"/>
      <c r="CF361" s="245"/>
    </row>
    <row r="362">
      <c r="A362" s="305"/>
      <c r="B362" s="245"/>
      <c r="C362" s="245"/>
      <c r="D362" s="246"/>
      <c r="E362" s="245"/>
      <c r="F362" s="245"/>
      <c r="G362" s="245"/>
      <c r="H362" s="245"/>
      <c r="I362" s="245"/>
      <c r="J362" s="245"/>
      <c r="K362" s="265"/>
      <c r="L362" s="245"/>
      <c r="M362" s="245"/>
      <c r="N362" s="245"/>
      <c r="O362" s="245"/>
      <c r="P362" s="245"/>
      <c r="Q362" s="247"/>
      <c r="R362" s="254"/>
      <c r="S362" s="245"/>
      <c r="T362" s="245"/>
      <c r="U362" s="245"/>
      <c r="V362" s="245"/>
      <c r="W362" s="245"/>
      <c r="X362" s="245"/>
      <c r="Y362" s="249"/>
      <c r="Z362" s="276"/>
      <c r="AA362" s="245"/>
      <c r="AB362" s="276"/>
      <c r="AC362" s="276"/>
      <c r="AD362" s="246"/>
      <c r="AE362" s="278"/>
      <c r="AF362" s="370"/>
      <c r="AG362" s="371"/>
      <c r="AH362" s="276"/>
      <c r="AI362" s="245"/>
      <c r="AJ362" s="287"/>
      <c r="AK362" s="278"/>
      <c r="AL362" s="246"/>
      <c r="AM362" s="245"/>
      <c r="AN362" s="245"/>
      <c r="AO362" s="274"/>
      <c r="AP362" s="245"/>
      <c r="AQ362" s="245"/>
      <c r="AR362" s="246"/>
      <c r="AS362" s="245"/>
      <c r="AT362" s="245"/>
      <c r="AU362" s="245"/>
      <c r="AV362" s="245"/>
      <c r="AW362" s="245"/>
      <c r="AX362" s="246"/>
      <c r="AY362" s="245"/>
      <c r="AZ362" s="245"/>
      <c r="BA362" s="246"/>
      <c r="BB362" s="245"/>
      <c r="BC362" s="245"/>
      <c r="BD362" s="245"/>
      <c r="BE362" s="245"/>
      <c r="BF362" s="245"/>
      <c r="BG362" s="245"/>
      <c r="BH362" s="245"/>
      <c r="BI362" s="245"/>
      <c r="BJ362" s="245"/>
      <c r="BK362" s="245"/>
      <c r="BL362" s="245"/>
      <c r="BM362" s="245"/>
      <c r="BN362" s="245"/>
      <c r="BO362" s="245"/>
      <c r="BP362" s="245"/>
      <c r="BQ362" s="245"/>
      <c r="BR362" s="245"/>
      <c r="BS362" s="245"/>
      <c r="BT362" s="246"/>
      <c r="BU362" s="245"/>
      <c r="BV362" s="245"/>
      <c r="BW362" s="245"/>
      <c r="BX362" s="245"/>
      <c r="BY362" s="245"/>
      <c r="BZ362" s="282"/>
      <c r="CA362" s="245"/>
      <c r="CB362" s="245"/>
      <c r="CC362" s="245"/>
      <c r="CD362" s="245"/>
      <c r="CE362" s="245"/>
      <c r="CF362" s="245"/>
    </row>
    <row r="363">
      <c r="A363" s="305"/>
      <c r="B363" s="245"/>
      <c r="C363" s="245"/>
      <c r="D363" s="246"/>
      <c r="E363" s="245"/>
      <c r="F363" s="245"/>
      <c r="G363" s="245"/>
      <c r="H363" s="245"/>
      <c r="I363" s="245"/>
      <c r="J363" s="245"/>
      <c r="K363" s="265"/>
      <c r="L363" s="245"/>
      <c r="M363" s="245"/>
      <c r="N363" s="245"/>
      <c r="O363" s="245"/>
      <c r="P363" s="245"/>
      <c r="Q363" s="247"/>
      <c r="R363" s="254"/>
      <c r="S363" s="245"/>
      <c r="T363" s="245"/>
      <c r="U363" s="245"/>
      <c r="V363" s="245"/>
      <c r="W363" s="245"/>
      <c r="X363" s="245"/>
      <c r="Y363" s="249"/>
      <c r="Z363" s="276"/>
      <c r="AA363" s="245"/>
      <c r="AB363" s="276"/>
      <c r="AC363" s="276"/>
      <c r="AD363" s="246"/>
      <c r="AE363" s="278"/>
      <c r="AF363" s="370"/>
      <c r="AG363" s="371"/>
      <c r="AH363" s="276"/>
      <c r="AI363" s="245"/>
      <c r="AJ363" s="287"/>
      <c r="AK363" s="278"/>
      <c r="AL363" s="246"/>
      <c r="AM363" s="245"/>
      <c r="AN363" s="245"/>
      <c r="AO363" s="274"/>
      <c r="AP363" s="245"/>
      <c r="AQ363" s="245"/>
      <c r="AR363" s="246"/>
      <c r="AS363" s="245"/>
      <c r="AT363" s="245"/>
      <c r="AU363" s="245"/>
      <c r="AV363" s="245"/>
      <c r="AW363" s="245"/>
      <c r="AX363" s="246"/>
      <c r="AY363" s="245"/>
      <c r="AZ363" s="245"/>
      <c r="BA363" s="246"/>
      <c r="BB363" s="245"/>
      <c r="BC363" s="245"/>
      <c r="BD363" s="245"/>
      <c r="BE363" s="245"/>
      <c r="BF363" s="245"/>
      <c r="BG363" s="245"/>
      <c r="BH363" s="245"/>
      <c r="BI363" s="245"/>
      <c r="BJ363" s="245"/>
      <c r="BK363" s="245"/>
      <c r="BL363" s="245"/>
      <c r="BM363" s="245"/>
      <c r="BN363" s="245"/>
      <c r="BO363" s="245"/>
      <c r="BP363" s="245"/>
      <c r="BQ363" s="245"/>
      <c r="BR363" s="245"/>
      <c r="BS363" s="245"/>
      <c r="BT363" s="246"/>
      <c r="BU363" s="245"/>
      <c r="BV363" s="245"/>
      <c r="BW363" s="245"/>
      <c r="BX363" s="245"/>
      <c r="BY363" s="245"/>
      <c r="BZ363" s="282"/>
      <c r="CA363" s="245"/>
      <c r="CB363" s="245"/>
      <c r="CC363" s="245"/>
      <c r="CD363" s="245"/>
      <c r="CE363" s="245"/>
      <c r="CF363" s="245"/>
    </row>
    <row r="364">
      <c r="A364" s="305"/>
      <c r="B364" s="245"/>
      <c r="C364" s="245"/>
      <c r="D364" s="246"/>
      <c r="E364" s="245"/>
      <c r="F364" s="245"/>
      <c r="G364" s="245"/>
      <c r="H364" s="245"/>
      <c r="I364" s="245"/>
      <c r="J364" s="245"/>
      <c r="K364" s="265"/>
      <c r="L364" s="245"/>
      <c r="M364" s="245"/>
      <c r="N364" s="245"/>
      <c r="O364" s="245"/>
      <c r="P364" s="245"/>
      <c r="Q364" s="247"/>
      <c r="R364" s="254"/>
      <c r="S364" s="245"/>
      <c r="T364" s="245"/>
      <c r="U364" s="245"/>
      <c r="V364" s="245"/>
      <c r="W364" s="245"/>
      <c r="X364" s="245"/>
      <c r="Y364" s="249"/>
      <c r="Z364" s="276"/>
      <c r="AA364" s="245"/>
      <c r="AB364" s="276"/>
      <c r="AC364" s="276"/>
      <c r="AD364" s="246"/>
      <c r="AE364" s="278"/>
      <c r="AF364" s="370"/>
      <c r="AG364" s="371"/>
      <c r="AH364" s="276"/>
      <c r="AI364" s="245"/>
      <c r="AJ364" s="287"/>
      <c r="AK364" s="278"/>
      <c r="AL364" s="246"/>
      <c r="AM364" s="245"/>
      <c r="AN364" s="245"/>
      <c r="AO364" s="274"/>
      <c r="AP364" s="245"/>
      <c r="AQ364" s="245"/>
      <c r="AR364" s="246"/>
      <c r="AS364" s="245"/>
      <c r="AT364" s="245"/>
      <c r="AU364" s="245"/>
      <c r="AV364" s="245"/>
      <c r="AW364" s="245"/>
      <c r="AX364" s="246"/>
      <c r="AY364" s="245"/>
      <c r="AZ364" s="245"/>
      <c r="BA364" s="246"/>
      <c r="BB364" s="245"/>
      <c r="BC364" s="245"/>
      <c r="BD364" s="245"/>
      <c r="BE364" s="245"/>
      <c r="BF364" s="245"/>
      <c r="BG364" s="245"/>
      <c r="BH364" s="245"/>
      <c r="BI364" s="245"/>
      <c r="BJ364" s="245"/>
      <c r="BK364" s="245"/>
      <c r="BL364" s="245"/>
      <c r="BM364" s="245"/>
      <c r="BN364" s="245"/>
      <c r="BO364" s="245"/>
      <c r="BP364" s="245"/>
      <c r="BQ364" s="245"/>
      <c r="BR364" s="245"/>
      <c r="BS364" s="245"/>
      <c r="BT364" s="246"/>
      <c r="BU364" s="245"/>
      <c r="BV364" s="245"/>
      <c r="BW364" s="245"/>
      <c r="BX364" s="245"/>
      <c r="BY364" s="245"/>
      <c r="BZ364" s="282"/>
      <c r="CA364" s="245"/>
      <c r="CB364" s="245"/>
      <c r="CC364" s="245"/>
      <c r="CD364" s="245"/>
      <c r="CE364" s="245"/>
      <c r="CF364" s="245"/>
    </row>
    <row r="365">
      <c r="A365" s="305"/>
      <c r="B365" s="245"/>
      <c r="C365" s="245"/>
      <c r="D365" s="246"/>
      <c r="E365" s="245"/>
      <c r="F365" s="245"/>
      <c r="G365" s="245"/>
      <c r="H365" s="245"/>
      <c r="I365" s="245"/>
      <c r="J365" s="245"/>
      <c r="K365" s="265"/>
      <c r="L365" s="245"/>
      <c r="M365" s="245"/>
      <c r="N365" s="245"/>
      <c r="O365" s="245"/>
      <c r="P365" s="245"/>
      <c r="Q365" s="247"/>
      <c r="R365" s="254"/>
      <c r="S365" s="245"/>
      <c r="T365" s="245"/>
      <c r="U365" s="245"/>
      <c r="V365" s="245"/>
      <c r="W365" s="245"/>
      <c r="X365" s="245"/>
      <c r="Y365" s="249"/>
      <c r="Z365" s="276"/>
      <c r="AA365" s="245"/>
      <c r="AB365" s="276"/>
      <c r="AC365" s="276"/>
      <c r="AD365" s="246"/>
      <c r="AE365" s="278"/>
      <c r="AF365" s="370"/>
      <c r="AG365" s="371"/>
      <c r="AH365" s="276"/>
      <c r="AI365" s="245"/>
      <c r="AJ365" s="287"/>
      <c r="AK365" s="278"/>
      <c r="AL365" s="246"/>
      <c r="AM365" s="245"/>
      <c r="AN365" s="245"/>
      <c r="AO365" s="274"/>
      <c r="AP365" s="245"/>
      <c r="AQ365" s="245"/>
      <c r="AR365" s="246"/>
      <c r="AS365" s="245"/>
      <c r="AT365" s="245"/>
      <c r="AU365" s="245"/>
      <c r="AV365" s="245"/>
      <c r="AW365" s="245"/>
      <c r="AX365" s="246"/>
      <c r="AY365" s="245"/>
      <c r="AZ365" s="245"/>
      <c r="BA365" s="246"/>
      <c r="BB365" s="245"/>
      <c r="BC365" s="245"/>
      <c r="BD365" s="245"/>
      <c r="BE365" s="245"/>
      <c r="BF365" s="245"/>
      <c r="BG365" s="245"/>
      <c r="BH365" s="245"/>
      <c r="BI365" s="245"/>
      <c r="BJ365" s="245"/>
      <c r="BK365" s="245"/>
      <c r="BL365" s="245"/>
      <c r="BM365" s="245"/>
      <c r="BN365" s="245"/>
      <c r="BO365" s="245"/>
      <c r="BP365" s="245"/>
      <c r="BQ365" s="245"/>
      <c r="BR365" s="245"/>
      <c r="BS365" s="245"/>
      <c r="BT365" s="246"/>
      <c r="BU365" s="245"/>
      <c r="BV365" s="245"/>
      <c r="BW365" s="245"/>
      <c r="BX365" s="245"/>
      <c r="BY365" s="245"/>
      <c r="BZ365" s="282"/>
      <c r="CA365" s="245"/>
      <c r="CB365" s="245"/>
      <c r="CC365" s="245"/>
      <c r="CD365" s="245"/>
      <c r="CE365" s="245"/>
      <c r="CF365" s="245"/>
    </row>
    <row r="366">
      <c r="A366" s="305"/>
      <c r="B366" s="245"/>
      <c r="C366" s="245"/>
      <c r="D366" s="246"/>
      <c r="E366" s="245"/>
      <c r="F366" s="245"/>
      <c r="G366" s="245"/>
      <c r="H366" s="245"/>
      <c r="I366" s="245"/>
      <c r="J366" s="245"/>
      <c r="K366" s="265"/>
      <c r="L366" s="245"/>
      <c r="M366" s="245"/>
      <c r="N366" s="245"/>
      <c r="O366" s="245"/>
      <c r="P366" s="245"/>
      <c r="Q366" s="247"/>
      <c r="R366" s="254"/>
      <c r="S366" s="245"/>
      <c r="T366" s="245"/>
      <c r="U366" s="245"/>
      <c r="V366" s="245"/>
      <c r="W366" s="245"/>
      <c r="X366" s="245"/>
      <c r="Y366" s="249"/>
      <c r="Z366" s="276"/>
      <c r="AA366" s="245"/>
      <c r="AB366" s="276"/>
      <c r="AC366" s="276"/>
      <c r="AD366" s="246"/>
      <c r="AE366" s="278"/>
      <c r="AF366" s="370"/>
      <c r="AG366" s="371"/>
      <c r="AH366" s="276"/>
      <c r="AI366" s="245"/>
      <c r="AJ366" s="287"/>
      <c r="AK366" s="278"/>
      <c r="AL366" s="246"/>
      <c r="AM366" s="245"/>
      <c r="AN366" s="245"/>
      <c r="AO366" s="274"/>
      <c r="AP366" s="245"/>
      <c r="AQ366" s="245"/>
      <c r="AR366" s="246"/>
      <c r="AS366" s="245"/>
      <c r="AT366" s="245"/>
      <c r="AU366" s="245"/>
      <c r="AV366" s="245"/>
      <c r="AW366" s="245"/>
      <c r="AX366" s="246"/>
      <c r="AY366" s="245"/>
      <c r="AZ366" s="245"/>
      <c r="BA366" s="246"/>
      <c r="BB366" s="245"/>
      <c r="BC366" s="245"/>
      <c r="BD366" s="245"/>
      <c r="BE366" s="245"/>
      <c r="BF366" s="245"/>
      <c r="BG366" s="245"/>
      <c r="BH366" s="245"/>
      <c r="BI366" s="245"/>
      <c r="BJ366" s="245"/>
      <c r="BK366" s="245"/>
      <c r="BL366" s="245"/>
      <c r="BM366" s="245"/>
      <c r="BN366" s="245"/>
      <c r="BO366" s="245"/>
      <c r="BP366" s="245"/>
      <c r="BQ366" s="245"/>
      <c r="BR366" s="245"/>
      <c r="BS366" s="245"/>
      <c r="BT366" s="246"/>
      <c r="BU366" s="245"/>
      <c r="BV366" s="245"/>
      <c r="BW366" s="245"/>
      <c r="BX366" s="245"/>
      <c r="BY366" s="245"/>
      <c r="BZ366" s="282"/>
      <c r="CA366" s="245"/>
      <c r="CB366" s="245"/>
      <c r="CC366" s="245"/>
      <c r="CD366" s="245"/>
      <c r="CE366" s="245"/>
      <c r="CF366" s="245"/>
    </row>
    <row r="367">
      <c r="A367" s="305"/>
      <c r="B367" s="245"/>
      <c r="C367" s="245"/>
      <c r="D367" s="246"/>
      <c r="E367" s="245"/>
      <c r="F367" s="245"/>
      <c r="G367" s="245"/>
      <c r="H367" s="245"/>
      <c r="I367" s="245"/>
      <c r="J367" s="245"/>
      <c r="K367" s="265"/>
      <c r="L367" s="245"/>
      <c r="M367" s="245"/>
      <c r="N367" s="245"/>
      <c r="O367" s="245"/>
      <c r="P367" s="245"/>
      <c r="Q367" s="247"/>
      <c r="R367" s="254"/>
      <c r="S367" s="245"/>
      <c r="T367" s="245"/>
      <c r="U367" s="245"/>
      <c r="V367" s="245"/>
      <c r="W367" s="245"/>
      <c r="X367" s="245"/>
      <c r="Y367" s="249"/>
      <c r="Z367" s="276"/>
      <c r="AA367" s="245"/>
      <c r="AB367" s="276"/>
      <c r="AC367" s="276"/>
      <c r="AD367" s="246"/>
      <c r="AE367" s="278"/>
      <c r="AF367" s="370"/>
      <c r="AG367" s="371"/>
      <c r="AH367" s="276"/>
      <c r="AI367" s="245"/>
      <c r="AJ367" s="287"/>
      <c r="AK367" s="278"/>
      <c r="AL367" s="246"/>
      <c r="AM367" s="245"/>
      <c r="AN367" s="245"/>
      <c r="AO367" s="274"/>
      <c r="AP367" s="245"/>
      <c r="AQ367" s="245"/>
      <c r="AR367" s="246"/>
      <c r="AS367" s="245"/>
      <c r="AT367" s="245"/>
      <c r="AU367" s="245"/>
      <c r="AV367" s="245"/>
      <c r="AW367" s="245"/>
      <c r="AX367" s="246"/>
      <c r="AY367" s="245"/>
      <c r="AZ367" s="245"/>
      <c r="BA367" s="246"/>
      <c r="BB367" s="245"/>
      <c r="BC367" s="245"/>
      <c r="BD367" s="245"/>
      <c r="BE367" s="245"/>
      <c r="BF367" s="245"/>
      <c r="BG367" s="245"/>
      <c r="BH367" s="245"/>
      <c r="BI367" s="245"/>
      <c r="BJ367" s="245"/>
      <c r="BK367" s="245"/>
      <c r="BL367" s="245"/>
      <c r="BM367" s="245"/>
      <c r="BN367" s="245"/>
      <c r="BO367" s="245"/>
      <c r="BP367" s="245"/>
      <c r="BQ367" s="245"/>
      <c r="BR367" s="245"/>
      <c r="BS367" s="245"/>
      <c r="BT367" s="246"/>
      <c r="BU367" s="245"/>
      <c r="BV367" s="245"/>
      <c r="BW367" s="245"/>
      <c r="BX367" s="245"/>
      <c r="BY367" s="245"/>
      <c r="BZ367" s="282"/>
      <c r="CA367" s="245"/>
      <c r="CB367" s="245"/>
      <c r="CC367" s="245"/>
      <c r="CD367" s="245"/>
      <c r="CE367" s="245"/>
      <c r="CF367" s="245"/>
    </row>
    <row r="368">
      <c r="A368" s="305"/>
      <c r="B368" s="245"/>
      <c r="C368" s="245"/>
      <c r="D368" s="246"/>
      <c r="E368" s="245"/>
      <c r="F368" s="245"/>
      <c r="G368" s="245"/>
      <c r="H368" s="245"/>
      <c r="I368" s="245"/>
      <c r="J368" s="245"/>
      <c r="K368" s="265"/>
      <c r="L368" s="245"/>
      <c r="M368" s="245"/>
      <c r="N368" s="245"/>
      <c r="O368" s="245"/>
      <c r="P368" s="245"/>
      <c r="Q368" s="247"/>
      <c r="R368" s="254"/>
      <c r="S368" s="245"/>
      <c r="T368" s="245"/>
      <c r="U368" s="245"/>
      <c r="V368" s="245"/>
      <c r="W368" s="245"/>
      <c r="X368" s="245"/>
      <c r="Y368" s="249"/>
      <c r="Z368" s="276"/>
      <c r="AA368" s="245"/>
      <c r="AB368" s="276"/>
      <c r="AC368" s="276"/>
      <c r="AD368" s="246"/>
      <c r="AE368" s="278"/>
      <c r="AF368" s="370"/>
      <c r="AG368" s="371"/>
      <c r="AH368" s="276"/>
      <c r="AI368" s="245"/>
      <c r="AJ368" s="287"/>
      <c r="AK368" s="278"/>
      <c r="AL368" s="246"/>
      <c r="AM368" s="245"/>
      <c r="AN368" s="245"/>
      <c r="AO368" s="274"/>
      <c r="AP368" s="245"/>
      <c r="AQ368" s="245"/>
      <c r="AR368" s="246"/>
      <c r="AS368" s="245"/>
      <c r="AT368" s="245"/>
      <c r="AU368" s="245"/>
      <c r="AV368" s="245"/>
      <c r="AW368" s="245"/>
      <c r="AX368" s="246"/>
      <c r="AY368" s="245"/>
      <c r="AZ368" s="245"/>
      <c r="BA368" s="246"/>
      <c r="BB368" s="245"/>
      <c r="BC368" s="245"/>
      <c r="BD368" s="245"/>
      <c r="BE368" s="245"/>
      <c r="BF368" s="245"/>
      <c r="BG368" s="245"/>
      <c r="BH368" s="245"/>
      <c r="BI368" s="245"/>
      <c r="BJ368" s="245"/>
      <c r="BK368" s="245"/>
      <c r="BL368" s="245"/>
      <c r="BM368" s="245"/>
      <c r="BN368" s="245"/>
      <c r="BO368" s="245"/>
      <c r="BP368" s="245"/>
      <c r="BQ368" s="245"/>
      <c r="BR368" s="245"/>
      <c r="BS368" s="245"/>
      <c r="BT368" s="246"/>
      <c r="BU368" s="245"/>
      <c r="BV368" s="245"/>
      <c r="BW368" s="245"/>
      <c r="BX368" s="245"/>
      <c r="BY368" s="245"/>
      <c r="BZ368" s="282"/>
      <c r="CA368" s="245"/>
      <c r="CB368" s="245"/>
      <c r="CC368" s="245"/>
      <c r="CD368" s="245"/>
      <c r="CE368" s="245"/>
      <c r="CF368" s="245"/>
    </row>
    <row r="369">
      <c r="A369" s="305"/>
      <c r="B369" s="245"/>
      <c r="C369" s="245"/>
      <c r="D369" s="246"/>
      <c r="E369" s="245"/>
      <c r="F369" s="245"/>
      <c r="G369" s="245"/>
      <c r="H369" s="245"/>
      <c r="I369" s="245"/>
      <c r="J369" s="245"/>
      <c r="K369" s="265"/>
      <c r="L369" s="245"/>
      <c r="M369" s="245"/>
      <c r="N369" s="245"/>
      <c r="O369" s="245"/>
      <c r="P369" s="245"/>
      <c r="Q369" s="247"/>
      <c r="R369" s="254"/>
      <c r="S369" s="245"/>
      <c r="T369" s="245"/>
      <c r="U369" s="245"/>
      <c r="V369" s="245"/>
      <c r="W369" s="245"/>
      <c r="X369" s="245"/>
      <c r="Y369" s="249"/>
      <c r="Z369" s="276"/>
      <c r="AA369" s="245"/>
      <c r="AB369" s="276"/>
      <c r="AC369" s="276"/>
      <c r="AD369" s="246"/>
      <c r="AE369" s="278"/>
      <c r="AF369" s="370"/>
      <c r="AG369" s="371"/>
      <c r="AH369" s="276"/>
      <c r="AI369" s="245"/>
      <c r="AJ369" s="287"/>
      <c r="AK369" s="278"/>
      <c r="AL369" s="246"/>
      <c r="AM369" s="245"/>
      <c r="AN369" s="245"/>
      <c r="AO369" s="274"/>
      <c r="AP369" s="245"/>
      <c r="AQ369" s="245"/>
      <c r="AR369" s="246"/>
      <c r="AS369" s="245"/>
      <c r="AT369" s="245"/>
      <c r="AU369" s="245"/>
      <c r="AV369" s="245"/>
      <c r="AW369" s="245"/>
      <c r="AX369" s="246"/>
      <c r="AY369" s="245"/>
      <c r="AZ369" s="245"/>
      <c r="BA369" s="246"/>
      <c r="BB369" s="245"/>
      <c r="BC369" s="245"/>
      <c r="BD369" s="245"/>
      <c r="BE369" s="245"/>
      <c r="BF369" s="245"/>
      <c r="BG369" s="245"/>
      <c r="BH369" s="245"/>
      <c r="BI369" s="245"/>
      <c r="BJ369" s="245"/>
      <c r="BK369" s="245"/>
      <c r="BL369" s="245"/>
      <c r="BM369" s="245"/>
      <c r="BN369" s="245"/>
      <c r="BO369" s="245"/>
      <c r="BP369" s="245"/>
      <c r="BQ369" s="245"/>
      <c r="BR369" s="245"/>
      <c r="BS369" s="245"/>
      <c r="BT369" s="246"/>
      <c r="BU369" s="245"/>
      <c r="BV369" s="245"/>
      <c r="BW369" s="245"/>
      <c r="BX369" s="245"/>
      <c r="BY369" s="245"/>
      <c r="BZ369" s="282"/>
      <c r="CA369" s="245"/>
      <c r="CB369" s="245"/>
      <c r="CC369" s="245"/>
      <c r="CD369" s="245"/>
      <c r="CE369" s="245"/>
      <c r="CF369" s="245"/>
    </row>
    <row r="370">
      <c r="A370" s="305"/>
      <c r="B370" s="245"/>
      <c r="C370" s="245"/>
      <c r="D370" s="246"/>
      <c r="E370" s="245"/>
      <c r="F370" s="245"/>
      <c r="G370" s="245"/>
      <c r="H370" s="245"/>
      <c r="I370" s="245"/>
      <c r="J370" s="245"/>
      <c r="K370" s="265"/>
      <c r="L370" s="245"/>
      <c r="M370" s="245"/>
      <c r="N370" s="245"/>
      <c r="O370" s="245"/>
      <c r="P370" s="245"/>
      <c r="Q370" s="247"/>
      <c r="R370" s="254"/>
      <c r="S370" s="245"/>
      <c r="T370" s="245"/>
      <c r="U370" s="245"/>
      <c r="V370" s="245"/>
      <c r="W370" s="245"/>
      <c r="X370" s="245"/>
      <c r="Y370" s="249"/>
      <c r="Z370" s="276"/>
      <c r="AA370" s="245"/>
      <c r="AB370" s="276"/>
      <c r="AC370" s="276"/>
      <c r="AD370" s="246"/>
      <c r="AE370" s="278"/>
      <c r="AF370" s="370"/>
      <c r="AG370" s="371"/>
      <c r="AH370" s="276"/>
      <c r="AI370" s="245"/>
      <c r="AJ370" s="287"/>
      <c r="AK370" s="278"/>
      <c r="AL370" s="246"/>
      <c r="AM370" s="245"/>
      <c r="AN370" s="245"/>
      <c r="AO370" s="274"/>
      <c r="AP370" s="245"/>
      <c r="AQ370" s="245"/>
      <c r="AR370" s="246"/>
      <c r="AS370" s="245"/>
      <c r="AT370" s="245"/>
      <c r="AU370" s="245"/>
      <c r="AV370" s="245"/>
      <c r="AW370" s="245"/>
      <c r="AX370" s="246"/>
      <c r="AY370" s="245"/>
      <c r="AZ370" s="245"/>
      <c r="BA370" s="246"/>
      <c r="BB370" s="245"/>
      <c r="BC370" s="245"/>
      <c r="BD370" s="245"/>
      <c r="BE370" s="245"/>
      <c r="BF370" s="245"/>
      <c r="BG370" s="245"/>
      <c r="BH370" s="245"/>
      <c r="BI370" s="245"/>
      <c r="BJ370" s="245"/>
      <c r="BK370" s="245"/>
      <c r="BL370" s="245"/>
      <c r="BM370" s="245"/>
      <c r="BN370" s="245"/>
      <c r="BO370" s="245"/>
      <c r="BP370" s="245"/>
      <c r="BQ370" s="245"/>
      <c r="BR370" s="245"/>
      <c r="BS370" s="245"/>
      <c r="BT370" s="246"/>
      <c r="BU370" s="245"/>
      <c r="BV370" s="245"/>
      <c r="BW370" s="245"/>
      <c r="BX370" s="245"/>
      <c r="BY370" s="245"/>
      <c r="BZ370" s="282"/>
      <c r="CA370" s="245"/>
      <c r="CB370" s="245"/>
      <c r="CC370" s="245"/>
      <c r="CD370" s="245"/>
      <c r="CE370" s="245"/>
      <c r="CF370" s="245"/>
    </row>
    <row r="371">
      <c r="A371" s="305"/>
      <c r="B371" s="245"/>
      <c r="C371" s="245"/>
      <c r="D371" s="246"/>
      <c r="E371" s="245"/>
      <c r="F371" s="245"/>
      <c r="G371" s="245"/>
      <c r="H371" s="245"/>
      <c r="I371" s="245"/>
      <c r="J371" s="245"/>
      <c r="K371" s="265"/>
      <c r="L371" s="245"/>
      <c r="M371" s="245"/>
      <c r="N371" s="245"/>
      <c r="O371" s="245"/>
      <c r="P371" s="245"/>
      <c r="Q371" s="247"/>
      <c r="R371" s="254"/>
      <c r="S371" s="245"/>
      <c r="T371" s="245"/>
      <c r="U371" s="245"/>
      <c r="V371" s="245"/>
      <c r="W371" s="245"/>
      <c r="X371" s="245"/>
      <c r="Y371" s="249"/>
      <c r="Z371" s="276"/>
      <c r="AA371" s="245"/>
      <c r="AB371" s="276"/>
      <c r="AC371" s="276"/>
      <c r="AD371" s="246"/>
      <c r="AE371" s="278"/>
      <c r="AF371" s="370"/>
      <c r="AG371" s="371"/>
      <c r="AH371" s="276"/>
      <c r="AI371" s="245"/>
      <c r="AJ371" s="287"/>
      <c r="AK371" s="278"/>
      <c r="AL371" s="246"/>
      <c r="AM371" s="245"/>
      <c r="AN371" s="245"/>
      <c r="AO371" s="274"/>
      <c r="AP371" s="245"/>
      <c r="AQ371" s="245"/>
      <c r="AR371" s="246"/>
      <c r="AS371" s="245"/>
      <c r="AT371" s="245"/>
      <c r="AU371" s="245"/>
      <c r="AV371" s="245"/>
      <c r="AW371" s="245"/>
      <c r="AX371" s="246"/>
      <c r="AY371" s="245"/>
      <c r="AZ371" s="245"/>
      <c r="BA371" s="246"/>
      <c r="BB371" s="245"/>
      <c r="BC371" s="245"/>
      <c r="BD371" s="245"/>
      <c r="BE371" s="245"/>
      <c r="BF371" s="245"/>
      <c r="BG371" s="245"/>
      <c r="BH371" s="245"/>
      <c r="BI371" s="245"/>
      <c r="BJ371" s="245"/>
      <c r="BK371" s="245"/>
      <c r="BL371" s="245"/>
      <c r="BM371" s="245"/>
      <c r="BN371" s="245"/>
      <c r="BO371" s="245"/>
      <c r="BP371" s="245"/>
      <c r="BQ371" s="245"/>
      <c r="BR371" s="245"/>
      <c r="BS371" s="245"/>
      <c r="BT371" s="246"/>
      <c r="BU371" s="245"/>
      <c r="BV371" s="245"/>
      <c r="BW371" s="245"/>
      <c r="BX371" s="245"/>
      <c r="BY371" s="245"/>
      <c r="BZ371" s="282"/>
      <c r="CA371" s="245"/>
      <c r="CB371" s="245"/>
      <c r="CC371" s="245"/>
      <c r="CD371" s="245"/>
      <c r="CE371" s="245"/>
      <c r="CF371" s="245"/>
    </row>
    <row r="372">
      <c r="A372" s="305"/>
      <c r="B372" s="245"/>
      <c r="C372" s="245"/>
      <c r="D372" s="246"/>
      <c r="E372" s="245"/>
      <c r="F372" s="245"/>
      <c r="G372" s="245"/>
      <c r="H372" s="245"/>
      <c r="I372" s="245"/>
      <c r="J372" s="245"/>
      <c r="K372" s="265"/>
      <c r="L372" s="245"/>
      <c r="M372" s="245"/>
      <c r="N372" s="245"/>
      <c r="O372" s="245"/>
      <c r="P372" s="245"/>
      <c r="Q372" s="247"/>
      <c r="R372" s="254"/>
      <c r="S372" s="245"/>
      <c r="T372" s="245"/>
      <c r="U372" s="245"/>
      <c r="V372" s="245"/>
      <c r="W372" s="245"/>
      <c r="X372" s="245"/>
      <c r="Y372" s="249"/>
      <c r="Z372" s="276"/>
      <c r="AA372" s="245"/>
      <c r="AB372" s="276"/>
      <c r="AC372" s="276"/>
      <c r="AD372" s="246"/>
      <c r="AE372" s="278"/>
      <c r="AF372" s="370"/>
      <c r="AG372" s="371"/>
      <c r="AH372" s="276"/>
      <c r="AI372" s="245"/>
      <c r="AJ372" s="287"/>
      <c r="AK372" s="278"/>
      <c r="AL372" s="246"/>
      <c r="AM372" s="245"/>
      <c r="AN372" s="245"/>
      <c r="AO372" s="274"/>
      <c r="AP372" s="245"/>
      <c r="AQ372" s="245"/>
      <c r="AR372" s="246"/>
      <c r="AS372" s="245"/>
      <c r="AT372" s="245"/>
      <c r="AU372" s="245"/>
      <c r="AV372" s="245"/>
      <c r="AW372" s="245"/>
      <c r="AX372" s="246"/>
      <c r="AY372" s="245"/>
      <c r="AZ372" s="245"/>
      <c r="BA372" s="246"/>
      <c r="BB372" s="245"/>
      <c r="BC372" s="245"/>
      <c r="BD372" s="245"/>
      <c r="BE372" s="245"/>
      <c r="BF372" s="245"/>
      <c r="BG372" s="245"/>
      <c r="BH372" s="245"/>
      <c r="BI372" s="245"/>
      <c r="BJ372" s="245"/>
      <c r="BK372" s="245"/>
      <c r="BL372" s="245"/>
      <c r="BM372" s="245"/>
      <c r="BN372" s="245"/>
      <c r="BO372" s="245"/>
      <c r="BP372" s="245"/>
      <c r="BQ372" s="245"/>
      <c r="BR372" s="245"/>
      <c r="BS372" s="245"/>
      <c r="BT372" s="246"/>
      <c r="BU372" s="245"/>
      <c r="BV372" s="245"/>
      <c r="BW372" s="245"/>
      <c r="BX372" s="245"/>
      <c r="BY372" s="245"/>
      <c r="BZ372" s="282"/>
      <c r="CA372" s="245"/>
      <c r="CB372" s="245"/>
      <c r="CC372" s="245"/>
      <c r="CD372" s="245"/>
      <c r="CE372" s="245"/>
      <c r="CF372" s="245"/>
    </row>
    <row r="373">
      <c r="A373" s="305"/>
      <c r="B373" s="245"/>
      <c r="C373" s="245"/>
      <c r="D373" s="246"/>
      <c r="E373" s="245"/>
      <c r="F373" s="245"/>
      <c r="G373" s="245"/>
      <c r="H373" s="245"/>
      <c r="I373" s="245"/>
      <c r="J373" s="245"/>
      <c r="K373" s="265"/>
      <c r="L373" s="245"/>
      <c r="M373" s="245"/>
      <c r="N373" s="245"/>
      <c r="O373" s="245"/>
      <c r="P373" s="245"/>
      <c r="Q373" s="247"/>
      <c r="R373" s="254"/>
      <c r="S373" s="245"/>
      <c r="T373" s="245"/>
      <c r="U373" s="245"/>
      <c r="V373" s="245"/>
      <c r="W373" s="245"/>
      <c r="X373" s="245"/>
      <c r="Y373" s="249"/>
      <c r="Z373" s="276"/>
      <c r="AA373" s="245"/>
      <c r="AB373" s="276"/>
      <c r="AC373" s="276"/>
      <c r="AD373" s="246"/>
      <c r="AE373" s="278"/>
      <c r="AF373" s="370"/>
      <c r="AG373" s="371"/>
      <c r="AH373" s="276"/>
      <c r="AI373" s="245"/>
      <c r="AJ373" s="287"/>
      <c r="AK373" s="278"/>
      <c r="AL373" s="246"/>
      <c r="AM373" s="245"/>
      <c r="AN373" s="245"/>
      <c r="AO373" s="274"/>
      <c r="AP373" s="245"/>
      <c r="AQ373" s="245"/>
      <c r="AR373" s="246"/>
      <c r="AS373" s="245"/>
      <c r="AT373" s="245"/>
      <c r="AU373" s="245"/>
      <c r="AV373" s="245"/>
      <c r="AW373" s="245"/>
      <c r="AX373" s="246"/>
      <c r="AY373" s="245"/>
      <c r="AZ373" s="245"/>
      <c r="BA373" s="246"/>
      <c r="BB373" s="245"/>
      <c r="BC373" s="245"/>
      <c r="BD373" s="245"/>
      <c r="BE373" s="245"/>
      <c r="BF373" s="245"/>
      <c r="BG373" s="245"/>
      <c r="BH373" s="245"/>
      <c r="BI373" s="245"/>
      <c r="BJ373" s="245"/>
      <c r="BK373" s="245"/>
      <c r="BL373" s="245"/>
      <c r="BM373" s="245"/>
      <c r="BN373" s="245"/>
      <c r="BO373" s="245"/>
      <c r="BP373" s="245"/>
      <c r="BQ373" s="245"/>
      <c r="BR373" s="245"/>
      <c r="BS373" s="245"/>
      <c r="BT373" s="246"/>
      <c r="BU373" s="245"/>
      <c r="BV373" s="245"/>
      <c r="BW373" s="245"/>
      <c r="BX373" s="245"/>
      <c r="BY373" s="245"/>
      <c r="BZ373" s="282"/>
      <c r="CA373" s="245"/>
      <c r="CB373" s="245"/>
      <c r="CC373" s="245"/>
      <c r="CD373" s="245"/>
      <c r="CE373" s="245"/>
      <c r="CF373" s="245"/>
    </row>
    <row r="374">
      <c r="A374" s="305"/>
      <c r="B374" s="245"/>
      <c r="C374" s="245"/>
      <c r="D374" s="246"/>
      <c r="E374" s="245"/>
      <c r="F374" s="245"/>
      <c r="G374" s="245"/>
      <c r="H374" s="245"/>
      <c r="I374" s="245"/>
      <c r="J374" s="245"/>
      <c r="K374" s="265"/>
      <c r="L374" s="245"/>
      <c r="M374" s="245"/>
      <c r="N374" s="245"/>
      <c r="O374" s="245"/>
      <c r="P374" s="245"/>
      <c r="Q374" s="247"/>
      <c r="R374" s="254"/>
      <c r="S374" s="245"/>
      <c r="T374" s="245"/>
      <c r="U374" s="245"/>
      <c r="V374" s="245"/>
      <c r="W374" s="245"/>
      <c r="X374" s="245"/>
      <c r="Y374" s="249"/>
      <c r="Z374" s="276"/>
      <c r="AA374" s="245"/>
      <c r="AB374" s="276"/>
      <c r="AC374" s="276"/>
      <c r="AD374" s="246"/>
      <c r="AE374" s="278"/>
      <c r="AF374" s="370"/>
      <c r="AG374" s="371"/>
      <c r="AH374" s="276"/>
      <c r="AI374" s="245"/>
      <c r="AJ374" s="287"/>
      <c r="AK374" s="278"/>
      <c r="AL374" s="246"/>
      <c r="AM374" s="245"/>
      <c r="AN374" s="245"/>
      <c r="AO374" s="274"/>
      <c r="AP374" s="245"/>
      <c r="AQ374" s="245"/>
      <c r="AR374" s="246"/>
      <c r="AS374" s="245"/>
      <c r="AT374" s="245"/>
      <c r="AU374" s="245"/>
      <c r="AV374" s="245"/>
      <c r="AW374" s="245"/>
      <c r="AX374" s="246"/>
      <c r="AY374" s="245"/>
      <c r="AZ374" s="245"/>
      <c r="BA374" s="246"/>
      <c r="BB374" s="245"/>
      <c r="BC374" s="245"/>
      <c r="BD374" s="245"/>
      <c r="BE374" s="245"/>
      <c r="BF374" s="245"/>
      <c r="BG374" s="245"/>
      <c r="BH374" s="245"/>
      <c r="BI374" s="245"/>
      <c r="BJ374" s="245"/>
      <c r="BK374" s="245"/>
      <c r="BL374" s="245"/>
      <c r="BM374" s="245"/>
      <c r="BN374" s="245"/>
      <c r="BO374" s="245"/>
      <c r="BP374" s="245"/>
      <c r="BQ374" s="245"/>
      <c r="BR374" s="245"/>
      <c r="BS374" s="245"/>
      <c r="BT374" s="246"/>
      <c r="BU374" s="245"/>
      <c r="BV374" s="245"/>
      <c r="BW374" s="245"/>
      <c r="BX374" s="245"/>
      <c r="BY374" s="245"/>
      <c r="BZ374" s="282"/>
      <c r="CA374" s="245"/>
      <c r="CB374" s="245"/>
      <c r="CC374" s="245"/>
      <c r="CD374" s="245"/>
      <c r="CE374" s="245"/>
      <c r="CF374" s="245"/>
    </row>
    <row r="375">
      <c r="A375" s="245"/>
      <c r="B375" s="245"/>
      <c r="C375" s="245"/>
      <c r="D375" s="246"/>
      <c r="E375" s="245"/>
      <c r="F375" s="245"/>
      <c r="G375" s="245"/>
      <c r="H375" s="245"/>
      <c r="I375" s="245"/>
      <c r="J375" s="245"/>
      <c r="K375" s="265"/>
      <c r="L375" s="245"/>
      <c r="M375" s="245"/>
      <c r="N375" s="245"/>
      <c r="O375" s="245"/>
      <c r="P375" s="245"/>
      <c r="Q375" s="247"/>
      <c r="R375" s="254"/>
      <c r="S375" s="245"/>
      <c r="T375" s="245"/>
      <c r="U375" s="245"/>
      <c r="V375" s="245"/>
      <c r="W375" s="245"/>
      <c r="X375" s="245"/>
      <c r="Y375" s="249"/>
      <c r="Z375" s="276"/>
      <c r="AA375" s="245"/>
      <c r="AB375" s="276"/>
      <c r="AC375" s="276"/>
      <c r="AD375" s="246"/>
      <c r="AE375" s="278"/>
      <c r="AF375" s="370"/>
      <c r="AG375" s="371"/>
      <c r="AH375" s="276"/>
      <c r="AI375" s="245"/>
      <c r="AJ375" s="287"/>
      <c r="AK375" s="278"/>
      <c r="AL375" s="246"/>
      <c r="AM375" s="245"/>
      <c r="AN375" s="245"/>
      <c r="AO375" s="274"/>
      <c r="AP375" s="245"/>
      <c r="AQ375" s="245"/>
      <c r="AR375" s="246"/>
      <c r="AS375" s="245"/>
      <c r="AT375" s="245"/>
      <c r="AU375" s="245"/>
      <c r="AV375" s="245"/>
      <c r="AW375" s="245"/>
      <c r="AX375" s="246"/>
      <c r="AY375" s="245"/>
      <c r="AZ375" s="245"/>
      <c r="BA375" s="246"/>
      <c r="BB375" s="245"/>
      <c r="BC375" s="245"/>
      <c r="BD375" s="245"/>
      <c r="BE375" s="245"/>
      <c r="BF375" s="245"/>
      <c r="BG375" s="245"/>
      <c r="BH375" s="245"/>
      <c r="BI375" s="245"/>
      <c r="BJ375" s="245"/>
      <c r="BK375" s="245"/>
      <c r="BL375" s="245"/>
      <c r="BM375" s="245"/>
      <c r="BN375" s="245"/>
      <c r="BO375" s="245"/>
      <c r="BP375" s="245"/>
      <c r="BQ375" s="245"/>
      <c r="BR375" s="245"/>
      <c r="BS375" s="245"/>
      <c r="BT375" s="246"/>
      <c r="BU375" s="245"/>
      <c r="BV375" s="245"/>
      <c r="BW375" s="245"/>
      <c r="BX375" s="245"/>
      <c r="BY375" s="245"/>
      <c r="BZ375" s="282"/>
      <c r="CA375" s="245"/>
      <c r="CB375" s="245"/>
      <c r="CC375" s="245"/>
      <c r="CD375" s="245"/>
      <c r="CE375" s="245"/>
      <c r="CF375" s="245"/>
    </row>
    <row r="376">
      <c r="A376" s="245"/>
      <c r="B376" s="245"/>
      <c r="C376" s="245"/>
      <c r="D376" s="246"/>
      <c r="E376" s="245"/>
      <c r="F376" s="245"/>
      <c r="G376" s="245"/>
      <c r="H376" s="245"/>
      <c r="I376" s="245"/>
      <c r="J376" s="245"/>
      <c r="K376" s="265"/>
      <c r="L376" s="245"/>
      <c r="M376" s="245"/>
      <c r="N376" s="245"/>
      <c r="O376" s="245"/>
      <c r="P376" s="245"/>
      <c r="Q376" s="247"/>
      <c r="R376" s="254"/>
      <c r="S376" s="245"/>
      <c r="T376" s="245"/>
      <c r="U376" s="245"/>
      <c r="V376" s="245"/>
      <c r="W376" s="245"/>
      <c r="X376" s="245"/>
      <c r="Y376" s="249"/>
      <c r="Z376" s="276"/>
      <c r="AA376" s="245"/>
      <c r="AB376" s="276"/>
      <c r="AC376" s="276"/>
      <c r="AD376" s="246"/>
      <c r="AE376" s="278"/>
      <c r="AF376" s="370"/>
      <c r="AG376" s="371"/>
      <c r="AH376" s="276"/>
      <c r="AI376" s="245"/>
      <c r="AJ376" s="287"/>
      <c r="AK376" s="278"/>
      <c r="AL376" s="246"/>
      <c r="AM376" s="245"/>
      <c r="AN376" s="245"/>
      <c r="AO376" s="274"/>
      <c r="AP376" s="245"/>
      <c r="AQ376" s="245"/>
      <c r="AR376" s="246"/>
      <c r="AS376" s="245"/>
      <c r="AT376" s="245"/>
      <c r="AU376" s="245"/>
      <c r="AV376" s="245"/>
      <c r="AW376" s="245"/>
      <c r="AX376" s="246"/>
      <c r="AY376" s="245"/>
      <c r="AZ376" s="245"/>
      <c r="BA376" s="246"/>
      <c r="BB376" s="245"/>
      <c r="BC376" s="245"/>
      <c r="BD376" s="245"/>
      <c r="BE376" s="245"/>
      <c r="BF376" s="245"/>
      <c r="BG376" s="245"/>
      <c r="BH376" s="245"/>
      <c r="BI376" s="245"/>
      <c r="BJ376" s="245"/>
      <c r="BK376" s="245"/>
      <c r="BL376" s="245"/>
      <c r="BM376" s="245"/>
      <c r="BN376" s="245"/>
      <c r="BO376" s="245"/>
      <c r="BP376" s="245"/>
      <c r="BQ376" s="245"/>
      <c r="BR376" s="245"/>
      <c r="BS376" s="245"/>
      <c r="BT376" s="246"/>
      <c r="BU376" s="245"/>
      <c r="BV376" s="245"/>
      <c r="BW376" s="245"/>
      <c r="BX376" s="245"/>
      <c r="BY376" s="245"/>
      <c r="BZ376" s="282"/>
      <c r="CA376" s="245"/>
      <c r="CB376" s="245"/>
      <c r="CC376" s="245"/>
      <c r="CD376" s="245"/>
      <c r="CE376" s="245"/>
      <c r="CF376" s="245"/>
    </row>
    <row r="377">
      <c r="A377" s="245"/>
      <c r="B377" s="245"/>
      <c r="C377" s="245"/>
      <c r="D377" s="246"/>
      <c r="E377" s="245"/>
      <c r="F377" s="245"/>
      <c r="G377" s="245"/>
      <c r="H377" s="245"/>
      <c r="I377" s="245"/>
      <c r="J377" s="245"/>
      <c r="K377" s="265"/>
      <c r="L377" s="245"/>
      <c r="M377" s="245"/>
      <c r="N377" s="245"/>
      <c r="O377" s="245"/>
      <c r="P377" s="245"/>
      <c r="Q377" s="247"/>
      <c r="R377" s="254"/>
      <c r="S377" s="245"/>
      <c r="T377" s="245"/>
      <c r="U377" s="245"/>
      <c r="V377" s="245"/>
      <c r="W377" s="245"/>
      <c r="X377" s="245"/>
      <c r="Y377" s="249"/>
      <c r="Z377" s="276"/>
      <c r="AA377" s="245"/>
      <c r="AB377" s="276"/>
      <c r="AC377" s="276"/>
      <c r="AD377" s="246"/>
      <c r="AE377" s="278"/>
      <c r="AF377" s="370"/>
      <c r="AG377" s="371"/>
      <c r="AH377" s="276"/>
      <c r="AI377" s="245"/>
      <c r="AJ377" s="287"/>
      <c r="AK377" s="278"/>
      <c r="AL377" s="246"/>
      <c r="AM377" s="245"/>
      <c r="AN377" s="245"/>
      <c r="AO377" s="274"/>
      <c r="AP377" s="245"/>
      <c r="AQ377" s="245"/>
      <c r="AR377" s="246"/>
      <c r="AS377" s="245"/>
      <c r="AT377" s="245"/>
      <c r="AU377" s="245"/>
      <c r="AV377" s="245"/>
      <c r="AW377" s="245"/>
      <c r="AX377" s="246"/>
      <c r="AY377" s="245"/>
      <c r="AZ377" s="245"/>
      <c r="BA377" s="246"/>
      <c r="BB377" s="245"/>
      <c r="BC377" s="245"/>
      <c r="BD377" s="245"/>
      <c r="BE377" s="245"/>
      <c r="BF377" s="245"/>
      <c r="BG377" s="245"/>
      <c r="BH377" s="245"/>
      <c r="BI377" s="245"/>
      <c r="BJ377" s="245"/>
      <c r="BK377" s="245"/>
      <c r="BL377" s="245"/>
      <c r="BM377" s="245"/>
      <c r="BN377" s="245"/>
      <c r="BO377" s="245"/>
      <c r="BP377" s="245"/>
      <c r="BQ377" s="245"/>
      <c r="BR377" s="245"/>
      <c r="BS377" s="245"/>
      <c r="BT377" s="246"/>
      <c r="BU377" s="245"/>
      <c r="BV377" s="245"/>
      <c r="BW377" s="245"/>
      <c r="BX377" s="245"/>
      <c r="BY377" s="245"/>
      <c r="BZ377" s="282"/>
      <c r="CA377" s="245"/>
      <c r="CB377" s="245"/>
      <c r="CC377" s="245"/>
      <c r="CD377" s="245"/>
      <c r="CE377" s="245"/>
      <c r="CF377" s="245"/>
    </row>
    <row r="378">
      <c r="A378" s="245"/>
      <c r="B378" s="245"/>
      <c r="C378" s="245"/>
      <c r="D378" s="246"/>
      <c r="E378" s="245"/>
      <c r="F378" s="245"/>
      <c r="G378" s="245"/>
      <c r="H378" s="245"/>
      <c r="I378" s="245"/>
      <c r="J378" s="245"/>
      <c r="K378" s="265"/>
      <c r="L378" s="245"/>
      <c r="M378" s="245"/>
      <c r="N378" s="245"/>
      <c r="O378" s="245"/>
      <c r="P378" s="245"/>
      <c r="Q378" s="247"/>
      <c r="R378" s="254"/>
      <c r="S378" s="245"/>
      <c r="T378" s="245"/>
      <c r="U378" s="245"/>
      <c r="V378" s="245"/>
      <c r="W378" s="245"/>
      <c r="X378" s="245"/>
      <c r="Y378" s="249"/>
      <c r="Z378" s="276"/>
      <c r="AA378" s="245"/>
      <c r="AB378" s="276"/>
      <c r="AC378" s="276"/>
      <c r="AD378" s="246"/>
      <c r="AE378" s="278"/>
      <c r="AF378" s="370"/>
      <c r="AG378" s="371"/>
      <c r="AH378" s="276"/>
      <c r="AI378" s="245"/>
      <c r="AJ378" s="287"/>
      <c r="AK378" s="278"/>
      <c r="AL378" s="246"/>
      <c r="AM378" s="245"/>
      <c r="AN378" s="245"/>
      <c r="AO378" s="274"/>
      <c r="AP378" s="245"/>
      <c r="AQ378" s="245"/>
      <c r="AR378" s="246"/>
      <c r="AS378" s="245"/>
      <c r="AT378" s="245"/>
      <c r="AU378" s="245"/>
      <c r="AV378" s="245"/>
      <c r="AW378" s="245"/>
      <c r="AX378" s="246"/>
      <c r="AY378" s="245"/>
      <c r="AZ378" s="245"/>
      <c r="BA378" s="246"/>
      <c r="BB378" s="245"/>
      <c r="BC378" s="245"/>
      <c r="BD378" s="245"/>
      <c r="BE378" s="245"/>
      <c r="BF378" s="245"/>
      <c r="BG378" s="245"/>
      <c r="BH378" s="245"/>
      <c r="BI378" s="245"/>
      <c r="BJ378" s="245"/>
      <c r="BK378" s="245"/>
      <c r="BL378" s="245"/>
      <c r="BM378" s="245"/>
      <c r="BN378" s="245"/>
      <c r="BO378" s="245"/>
      <c r="BP378" s="245"/>
      <c r="BQ378" s="245"/>
      <c r="BR378" s="245"/>
      <c r="BS378" s="245"/>
      <c r="BT378" s="246"/>
      <c r="BU378" s="245"/>
      <c r="BV378" s="245"/>
      <c r="BW378" s="245"/>
      <c r="BX378" s="245"/>
      <c r="BY378" s="245"/>
      <c r="BZ378" s="282"/>
      <c r="CA378" s="245"/>
      <c r="CB378" s="245"/>
      <c r="CC378" s="245"/>
      <c r="CD378" s="245"/>
      <c r="CE378" s="245"/>
      <c r="CF378" s="245"/>
    </row>
    <row r="379">
      <c r="A379" s="245"/>
      <c r="B379" s="245"/>
      <c r="C379" s="245"/>
      <c r="D379" s="246"/>
      <c r="E379" s="245"/>
      <c r="F379" s="245"/>
      <c r="G379" s="245"/>
      <c r="H379" s="245"/>
      <c r="I379" s="245"/>
      <c r="J379" s="245"/>
      <c r="K379" s="265"/>
      <c r="L379" s="245"/>
      <c r="M379" s="245"/>
      <c r="N379" s="245"/>
      <c r="O379" s="245"/>
      <c r="P379" s="245"/>
      <c r="Q379" s="247"/>
      <c r="R379" s="254"/>
      <c r="S379" s="245"/>
      <c r="T379" s="245"/>
      <c r="U379" s="245"/>
      <c r="V379" s="245"/>
      <c r="W379" s="245"/>
      <c r="X379" s="245"/>
      <c r="Y379" s="249"/>
      <c r="Z379" s="276"/>
      <c r="AA379" s="245"/>
      <c r="AB379" s="276"/>
      <c r="AC379" s="276"/>
      <c r="AD379" s="246"/>
      <c r="AE379" s="278"/>
      <c r="AF379" s="370"/>
      <c r="AG379" s="371"/>
      <c r="AH379" s="276"/>
      <c r="AI379" s="245"/>
      <c r="AJ379" s="287"/>
      <c r="AK379" s="278"/>
      <c r="AL379" s="246"/>
      <c r="AM379" s="245"/>
      <c r="AN379" s="245"/>
      <c r="AO379" s="274"/>
      <c r="AP379" s="245"/>
      <c r="AQ379" s="245"/>
      <c r="AR379" s="246"/>
      <c r="AS379" s="245"/>
      <c r="AT379" s="245"/>
      <c r="AU379" s="245"/>
      <c r="AV379" s="245"/>
      <c r="AW379" s="245"/>
      <c r="AX379" s="246"/>
      <c r="AY379" s="245"/>
      <c r="AZ379" s="245"/>
      <c r="BA379" s="246"/>
      <c r="BB379" s="245"/>
      <c r="BC379" s="245"/>
      <c r="BD379" s="245"/>
      <c r="BE379" s="245"/>
      <c r="BF379" s="245"/>
      <c r="BG379" s="245"/>
      <c r="BH379" s="245"/>
      <c r="BI379" s="245"/>
      <c r="BJ379" s="245"/>
      <c r="BK379" s="245"/>
      <c r="BL379" s="245"/>
      <c r="BM379" s="245"/>
      <c r="BN379" s="245"/>
      <c r="BO379" s="245"/>
      <c r="BP379" s="245"/>
      <c r="BQ379" s="245"/>
      <c r="BR379" s="245"/>
      <c r="BS379" s="245"/>
      <c r="BT379" s="246"/>
      <c r="BU379" s="245"/>
      <c r="BV379" s="245"/>
      <c r="BW379" s="245"/>
      <c r="BX379" s="245"/>
      <c r="BY379" s="245"/>
      <c r="BZ379" s="282"/>
      <c r="CA379" s="245"/>
      <c r="CB379" s="245"/>
      <c r="CC379" s="245"/>
      <c r="CD379" s="245"/>
      <c r="CE379" s="245"/>
      <c r="CF379" s="245"/>
    </row>
    <row r="380">
      <c r="A380" s="245"/>
      <c r="B380" s="245"/>
      <c r="C380" s="245"/>
      <c r="D380" s="246"/>
      <c r="E380" s="245"/>
      <c r="F380" s="245"/>
      <c r="G380" s="245"/>
      <c r="H380" s="245"/>
      <c r="I380" s="245"/>
      <c r="J380" s="245"/>
      <c r="K380" s="265"/>
      <c r="L380" s="245"/>
      <c r="M380" s="245"/>
      <c r="N380" s="245"/>
      <c r="O380" s="245"/>
      <c r="P380" s="245"/>
      <c r="Q380" s="247"/>
      <c r="R380" s="254"/>
      <c r="S380" s="245"/>
      <c r="T380" s="245"/>
      <c r="U380" s="245"/>
      <c r="V380" s="245"/>
      <c r="W380" s="245"/>
      <c r="X380" s="245"/>
      <c r="Y380" s="249"/>
      <c r="Z380" s="276"/>
      <c r="AA380" s="245"/>
      <c r="AB380" s="276"/>
      <c r="AC380" s="276"/>
      <c r="AD380" s="246"/>
      <c r="AE380" s="278"/>
      <c r="AF380" s="370"/>
      <c r="AG380" s="371"/>
      <c r="AH380" s="276"/>
      <c r="AI380" s="245"/>
      <c r="AJ380" s="287"/>
      <c r="AK380" s="278"/>
      <c r="AL380" s="246"/>
      <c r="AM380" s="245"/>
      <c r="AN380" s="245"/>
      <c r="AO380" s="274"/>
      <c r="AP380" s="245"/>
      <c r="AQ380" s="245"/>
      <c r="AR380" s="246"/>
      <c r="AS380" s="245"/>
      <c r="AT380" s="245"/>
      <c r="AU380" s="245"/>
      <c r="AV380" s="245"/>
      <c r="AW380" s="245"/>
      <c r="AX380" s="246"/>
      <c r="AY380" s="245"/>
      <c r="AZ380" s="245"/>
      <c r="BA380" s="246"/>
      <c r="BB380" s="245"/>
      <c r="BC380" s="245"/>
      <c r="BD380" s="245"/>
      <c r="BE380" s="245"/>
      <c r="BF380" s="245"/>
      <c r="BG380" s="245"/>
      <c r="BH380" s="245"/>
      <c r="BI380" s="245"/>
      <c r="BJ380" s="245"/>
      <c r="BK380" s="245"/>
      <c r="BL380" s="245"/>
      <c r="BM380" s="245"/>
      <c r="BN380" s="245"/>
      <c r="BO380" s="245"/>
      <c r="BP380" s="245"/>
      <c r="BQ380" s="245"/>
      <c r="BR380" s="245"/>
      <c r="BS380" s="245"/>
      <c r="BT380" s="246"/>
      <c r="BU380" s="245"/>
      <c r="BV380" s="245"/>
      <c r="BW380" s="245"/>
      <c r="BX380" s="245"/>
      <c r="BY380" s="245"/>
      <c r="BZ380" s="282"/>
      <c r="CA380" s="245"/>
      <c r="CB380" s="245"/>
      <c r="CC380" s="245"/>
      <c r="CD380" s="245"/>
      <c r="CE380" s="245"/>
      <c r="CF380" s="245"/>
    </row>
    <row r="381">
      <c r="A381" s="245"/>
      <c r="B381" s="245"/>
      <c r="C381" s="245"/>
      <c r="D381" s="246"/>
      <c r="E381" s="245"/>
      <c r="F381" s="245"/>
      <c r="G381" s="245"/>
      <c r="H381" s="245"/>
      <c r="I381" s="245"/>
      <c r="J381" s="245"/>
      <c r="K381" s="265"/>
      <c r="L381" s="245"/>
      <c r="M381" s="245"/>
      <c r="N381" s="245"/>
      <c r="O381" s="245"/>
      <c r="P381" s="245"/>
      <c r="Q381" s="247"/>
      <c r="R381" s="254"/>
      <c r="S381" s="245"/>
      <c r="T381" s="245"/>
      <c r="U381" s="245"/>
      <c r="V381" s="245"/>
      <c r="W381" s="245"/>
      <c r="X381" s="245"/>
      <c r="Y381" s="249"/>
      <c r="Z381" s="276"/>
      <c r="AA381" s="245"/>
      <c r="AB381" s="276"/>
      <c r="AC381" s="276"/>
      <c r="AD381" s="246"/>
      <c r="AE381" s="278"/>
      <c r="AF381" s="370"/>
      <c r="AG381" s="371"/>
      <c r="AH381" s="276"/>
      <c r="AI381" s="245"/>
      <c r="AJ381" s="287"/>
      <c r="AK381" s="278"/>
      <c r="AL381" s="246"/>
      <c r="AM381" s="245"/>
      <c r="AN381" s="245"/>
      <c r="AO381" s="274"/>
      <c r="AP381" s="245"/>
      <c r="AQ381" s="245"/>
      <c r="AR381" s="246"/>
      <c r="AS381" s="245"/>
      <c r="AT381" s="245"/>
      <c r="AU381" s="245"/>
      <c r="AV381" s="245"/>
      <c r="AW381" s="245"/>
      <c r="AX381" s="246"/>
      <c r="AY381" s="245"/>
      <c r="AZ381" s="245"/>
      <c r="BA381" s="246"/>
      <c r="BB381" s="245"/>
      <c r="BC381" s="245"/>
      <c r="BD381" s="245"/>
      <c r="BE381" s="245"/>
      <c r="BF381" s="245"/>
      <c r="BG381" s="245"/>
      <c r="BH381" s="245"/>
      <c r="BI381" s="245"/>
      <c r="BJ381" s="245"/>
      <c r="BK381" s="245"/>
      <c r="BL381" s="245"/>
      <c r="BM381" s="245"/>
      <c r="BN381" s="245"/>
      <c r="BO381" s="245"/>
      <c r="BP381" s="245"/>
      <c r="BQ381" s="245"/>
      <c r="BR381" s="245"/>
      <c r="BS381" s="245"/>
      <c r="BT381" s="246"/>
      <c r="BU381" s="245"/>
      <c r="BV381" s="245"/>
      <c r="BW381" s="245"/>
      <c r="BX381" s="245"/>
      <c r="BY381" s="245"/>
      <c r="BZ381" s="282"/>
      <c r="CA381" s="245"/>
      <c r="CB381" s="245"/>
      <c r="CC381" s="245"/>
      <c r="CD381" s="245"/>
      <c r="CE381" s="245"/>
      <c r="CF381" s="245"/>
    </row>
    <row r="382">
      <c r="A382" s="245"/>
      <c r="B382" s="245"/>
      <c r="C382" s="245"/>
      <c r="D382" s="246"/>
      <c r="E382" s="245"/>
      <c r="F382" s="245"/>
      <c r="G382" s="245"/>
      <c r="H382" s="245"/>
      <c r="I382" s="245"/>
      <c r="J382" s="245"/>
      <c r="K382" s="265"/>
      <c r="L382" s="245"/>
      <c r="M382" s="245"/>
      <c r="N382" s="245"/>
      <c r="O382" s="245"/>
      <c r="P382" s="245"/>
      <c r="Q382" s="247"/>
      <c r="R382" s="254"/>
      <c r="S382" s="245"/>
      <c r="T382" s="245"/>
      <c r="U382" s="245"/>
      <c r="V382" s="245"/>
      <c r="W382" s="245"/>
      <c r="X382" s="245"/>
      <c r="Y382" s="249"/>
      <c r="Z382" s="276"/>
      <c r="AA382" s="245"/>
      <c r="AB382" s="276"/>
      <c r="AC382" s="276"/>
      <c r="AD382" s="246"/>
      <c r="AE382" s="278"/>
      <c r="AF382" s="370"/>
      <c r="AG382" s="371"/>
      <c r="AH382" s="276"/>
      <c r="AI382" s="245"/>
      <c r="AJ382" s="287"/>
      <c r="AK382" s="278"/>
      <c r="AL382" s="246"/>
      <c r="AM382" s="245"/>
      <c r="AN382" s="245"/>
      <c r="AO382" s="274"/>
      <c r="AP382" s="245"/>
      <c r="AQ382" s="245"/>
      <c r="AR382" s="246"/>
      <c r="AS382" s="245"/>
      <c r="AT382" s="245"/>
      <c r="AU382" s="245"/>
      <c r="AV382" s="245"/>
      <c r="AW382" s="245"/>
      <c r="AX382" s="246"/>
      <c r="AY382" s="245"/>
      <c r="AZ382" s="245"/>
      <c r="BA382" s="246"/>
      <c r="BB382" s="245"/>
      <c r="BC382" s="245"/>
      <c r="BD382" s="245"/>
      <c r="BE382" s="245"/>
      <c r="BF382" s="245"/>
      <c r="BG382" s="245"/>
      <c r="BH382" s="245"/>
      <c r="BI382" s="245"/>
      <c r="BJ382" s="245"/>
      <c r="BK382" s="245"/>
      <c r="BL382" s="245"/>
      <c r="BM382" s="245"/>
      <c r="BN382" s="245"/>
      <c r="BO382" s="245"/>
      <c r="BP382" s="245"/>
      <c r="BQ382" s="245"/>
      <c r="BR382" s="245"/>
      <c r="BS382" s="245"/>
      <c r="BT382" s="246"/>
      <c r="BU382" s="245"/>
      <c r="BV382" s="245"/>
      <c r="BW382" s="245"/>
      <c r="BX382" s="245"/>
      <c r="BY382" s="245"/>
      <c r="BZ382" s="282"/>
      <c r="CA382" s="245"/>
      <c r="CB382" s="245"/>
      <c r="CC382" s="245"/>
      <c r="CD382" s="245"/>
      <c r="CE382" s="245"/>
      <c r="CF382" s="245"/>
    </row>
    <row r="383">
      <c r="A383" s="245"/>
      <c r="B383" s="245"/>
      <c r="C383" s="245"/>
      <c r="D383" s="246"/>
      <c r="E383" s="245"/>
      <c r="F383" s="245"/>
      <c r="G383" s="245"/>
      <c r="H383" s="245"/>
      <c r="I383" s="245"/>
      <c r="J383" s="245"/>
      <c r="K383" s="265"/>
      <c r="L383" s="245"/>
      <c r="M383" s="245"/>
      <c r="N383" s="245"/>
      <c r="O383" s="245"/>
      <c r="P383" s="245"/>
      <c r="Q383" s="247"/>
      <c r="R383" s="254"/>
      <c r="S383" s="245"/>
      <c r="T383" s="245"/>
      <c r="U383" s="245"/>
      <c r="V383" s="245"/>
      <c r="W383" s="245"/>
      <c r="X383" s="245"/>
      <c r="Y383" s="249"/>
      <c r="Z383" s="276"/>
      <c r="AA383" s="245"/>
      <c r="AB383" s="276"/>
      <c r="AC383" s="276"/>
      <c r="AD383" s="246"/>
      <c r="AE383" s="278"/>
      <c r="AF383" s="370"/>
      <c r="AG383" s="371"/>
      <c r="AH383" s="276"/>
      <c r="AI383" s="245"/>
      <c r="AJ383" s="287"/>
      <c r="AK383" s="278"/>
      <c r="AL383" s="246"/>
      <c r="AM383" s="245"/>
      <c r="AN383" s="245"/>
      <c r="AO383" s="274"/>
      <c r="AP383" s="245"/>
      <c r="AQ383" s="245"/>
      <c r="AR383" s="246"/>
      <c r="AS383" s="245"/>
      <c r="AT383" s="245"/>
      <c r="AU383" s="245"/>
      <c r="AV383" s="245"/>
      <c r="AW383" s="245"/>
      <c r="AX383" s="246"/>
      <c r="AY383" s="245"/>
      <c r="AZ383" s="245"/>
      <c r="BA383" s="246"/>
      <c r="BB383" s="245"/>
      <c r="BC383" s="245"/>
      <c r="BD383" s="245"/>
      <c r="BE383" s="245"/>
      <c r="BF383" s="245"/>
      <c r="BG383" s="245"/>
      <c r="BH383" s="245"/>
      <c r="BI383" s="245"/>
      <c r="BJ383" s="245"/>
      <c r="BK383" s="245"/>
      <c r="BL383" s="245"/>
      <c r="BM383" s="245"/>
      <c r="BN383" s="245"/>
      <c r="BO383" s="245"/>
      <c r="BP383" s="245"/>
      <c r="BQ383" s="245"/>
      <c r="BR383" s="245"/>
      <c r="BS383" s="245"/>
      <c r="BT383" s="246"/>
      <c r="BU383" s="245"/>
      <c r="BV383" s="245"/>
      <c r="BW383" s="245"/>
      <c r="BX383" s="245"/>
      <c r="BY383" s="245"/>
      <c r="BZ383" s="282"/>
      <c r="CA383" s="245"/>
      <c r="CB383" s="245"/>
      <c r="CC383" s="245"/>
      <c r="CD383" s="245"/>
      <c r="CE383" s="245"/>
      <c r="CF383" s="245"/>
    </row>
    <row r="384">
      <c r="A384" s="245"/>
      <c r="B384" s="245"/>
      <c r="C384" s="245"/>
      <c r="D384" s="246"/>
      <c r="E384" s="245"/>
      <c r="F384" s="245"/>
      <c r="G384" s="245"/>
      <c r="H384" s="245"/>
      <c r="I384" s="245"/>
      <c r="J384" s="245"/>
      <c r="K384" s="265"/>
      <c r="L384" s="245"/>
      <c r="M384" s="245"/>
      <c r="N384" s="245"/>
      <c r="O384" s="245"/>
      <c r="P384" s="245"/>
      <c r="Q384" s="247"/>
      <c r="R384" s="254"/>
      <c r="S384" s="245"/>
      <c r="T384" s="245"/>
      <c r="U384" s="245"/>
      <c r="V384" s="245"/>
      <c r="W384" s="245"/>
      <c r="X384" s="245"/>
      <c r="Y384" s="249"/>
      <c r="Z384" s="276"/>
      <c r="AA384" s="245"/>
      <c r="AB384" s="276"/>
      <c r="AC384" s="276"/>
      <c r="AD384" s="246"/>
      <c r="AE384" s="278"/>
      <c r="AF384" s="370"/>
      <c r="AG384" s="371"/>
      <c r="AH384" s="276"/>
      <c r="AI384" s="245"/>
      <c r="AJ384" s="287"/>
      <c r="AK384" s="278"/>
      <c r="AL384" s="246"/>
      <c r="AM384" s="245"/>
      <c r="AN384" s="245"/>
      <c r="AO384" s="274"/>
      <c r="AP384" s="245"/>
      <c r="AQ384" s="245"/>
      <c r="AR384" s="246"/>
      <c r="AS384" s="245"/>
      <c r="AT384" s="245"/>
      <c r="AU384" s="245"/>
      <c r="AV384" s="245"/>
      <c r="AW384" s="245"/>
      <c r="AX384" s="246"/>
      <c r="AY384" s="245"/>
      <c r="AZ384" s="245"/>
      <c r="BA384" s="246"/>
      <c r="BB384" s="245"/>
      <c r="BC384" s="245"/>
      <c r="BD384" s="245"/>
      <c r="BE384" s="245"/>
      <c r="BF384" s="245"/>
      <c r="BG384" s="245"/>
      <c r="BH384" s="245"/>
      <c r="BI384" s="245"/>
      <c r="BJ384" s="245"/>
      <c r="BK384" s="245"/>
      <c r="BL384" s="245"/>
      <c r="BM384" s="245"/>
      <c r="BN384" s="245"/>
      <c r="BO384" s="245"/>
      <c r="BP384" s="245"/>
      <c r="BQ384" s="245"/>
      <c r="BR384" s="245"/>
      <c r="BS384" s="245"/>
      <c r="BT384" s="246"/>
      <c r="BU384" s="245"/>
      <c r="BV384" s="245"/>
      <c r="BW384" s="245"/>
      <c r="BX384" s="245"/>
      <c r="BY384" s="245"/>
      <c r="BZ384" s="282"/>
      <c r="CA384" s="245"/>
      <c r="CB384" s="245"/>
      <c r="CC384" s="245"/>
      <c r="CD384" s="245"/>
      <c r="CE384" s="245"/>
      <c r="CF384" s="245"/>
    </row>
    <row r="385">
      <c r="A385" s="245"/>
      <c r="B385" s="245"/>
      <c r="C385" s="245"/>
      <c r="D385" s="246"/>
      <c r="E385" s="245"/>
      <c r="F385" s="245"/>
      <c r="G385" s="245"/>
      <c r="H385" s="245"/>
      <c r="I385" s="245"/>
      <c r="J385" s="245"/>
      <c r="K385" s="265"/>
      <c r="L385" s="245"/>
      <c r="M385" s="245"/>
      <c r="N385" s="245"/>
      <c r="O385" s="245"/>
      <c r="P385" s="245"/>
      <c r="Q385" s="247"/>
      <c r="R385" s="254"/>
      <c r="S385" s="245"/>
      <c r="T385" s="245"/>
      <c r="U385" s="245"/>
      <c r="V385" s="245"/>
      <c r="W385" s="245"/>
      <c r="X385" s="245"/>
      <c r="Y385" s="249"/>
      <c r="Z385" s="276"/>
      <c r="AA385" s="245"/>
      <c r="AB385" s="276"/>
      <c r="AC385" s="276"/>
      <c r="AD385" s="246"/>
      <c r="AE385" s="278"/>
      <c r="AF385" s="370"/>
      <c r="AG385" s="371"/>
      <c r="AH385" s="276"/>
      <c r="AI385" s="245"/>
      <c r="AJ385" s="287"/>
      <c r="AK385" s="278"/>
      <c r="AL385" s="246"/>
      <c r="AM385" s="245"/>
      <c r="AN385" s="245"/>
      <c r="AO385" s="274"/>
      <c r="AP385" s="245"/>
      <c r="AQ385" s="245"/>
      <c r="AR385" s="246"/>
      <c r="AS385" s="245"/>
      <c r="AT385" s="245"/>
      <c r="AU385" s="245"/>
      <c r="AV385" s="245"/>
      <c r="AW385" s="245"/>
      <c r="AX385" s="246"/>
      <c r="AY385" s="245"/>
      <c r="AZ385" s="245"/>
      <c r="BA385" s="246"/>
      <c r="BB385" s="245"/>
      <c r="BC385" s="245"/>
      <c r="BD385" s="245"/>
      <c r="BE385" s="245"/>
      <c r="BF385" s="245"/>
      <c r="BG385" s="245"/>
      <c r="BH385" s="245"/>
      <c r="BI385" s="245"/>
      <c r="BJ385" s="245"/>
      <c r="BK385" s="245"/>
      <c r="BL385" s="245"/>
      <c r="BM385" s="245"/>
      <c r="BN385" s="245"/>
      <c r="BO385" s="245"/>
      <c r="BP385" s="245"/>
      <c r="BQ385" s="245"/>
      <c r="BR385" s="245"/>
      <c r="BS385" s="245"/>
      <c r="BT385" s="246"/>
      <c r="BU385" s="245"/>
      <c r="BV385" s="245"/>
      <c r="BW385" s="245"/>
      <c r="BX385" s="245"/>
      <c r="BY385" s="245"/>
      <c r="BZ385" s="282"/>
      <c r="CA385" s="245"/>
      <c r="CB385" s="245"/>
      <c r="CC385" s="245"/>
      <c r="CD385" s="245"/>
      <c r="CE385" s="245"/>
      <c r="CF385" s="245"/>
    </row>
    <row r="386">
      <c r="A386" s="245"/>
      <c r="B386" s="245"/>
      <c r="C386" s="245"/>
      <c r="D386" s="246"/>
      <c r="E386" s="245"/>
      <c r="F386" s="245"/>
      <c r="G386" s="245"/>
      <c r="H386" s="245"/>
      <c r="I386" s="245"/>
      <c r="J386" s="245"/>
      <c r="K386" s="265"/>
      <c r="L386" s="245"/>
      <c r="M386" s="245"/>
      <c r="N386" s="245"/>
      <c r="O386" s="245"/>
      <c r="P386" s="245"/>
      <c r="Q386" s="247"/>
      <c r="R386" s="254"/>
      <c r="S386" s="245"/>
      <c r="T386" s="245"/>
      <c r="U386" s="245"/>
      <c r="V386" s="245"/>
      <c r="W386" s="245"/>
      <c r="X386" s="245"/>
      <c r="Y386" s="249"/>
      <c r="Z386" s="276"/>
      <c r="AA386" s="245"/>
      <c r="AB386" s="276"/>
      <c r="AC386" s="276"/>
      <c r="AD386" s="246"/>
      <c r="AE386" s="278"/>
      <c r="AF386" s="370"/>
      <c r="AG386" s="371"/>
      <c r="AH386" s="276"/>
      <c r="AI386" s="245"/>
      <c r="AJ386" s="287"/>
      <c r="AK386" s="278"/>
      <c r="AL386" s="246"/>
      <c r="AM386" s="245"/>
      <c r="AN386" s="245"/>
      <c r="AO386" s="274"/>
      <c r="AP386" s="245"/>
      <c r="AQ386" s="245"/>
      <c r="AR386" s="246"/>
      <c r="AS386" s="245"/>
      <c r="AT386" s="245"/>
      <c r="AU386" s="245"/>
      <c r="AV386" s="245"/>
      <c r="AW386" s="245"/>
      <c r="AX386" s="246"/>
      <c r="AY386" s="245"/>
      <c r="AZ386" s="245"/>
      <c r="BA386" s="246"/>
      <c r="BB386" s="245"/>
      <c r="BC386" s="245"/>
      <c r="BD386" s="245"/>
      <c r="BE386" s="245"/>
      <c r="BF386" s="245"/>
      <c r="BG386" s="245"/>
      <c r="BH386" s="245"/>
      <c r="BI386" s="245"/>
      <c r="BJ386" s="245"/>
      <c r="BK386" s="245"/>
      <c r="BL386" s="245"/>
      <c r="BM386" s="245"/>
      <c r="BN386" s="245"/>
      <c r="BO386" s="245"/>
      <c r="BP386" s="245"/>
      <c r="BQ386" s="245"/>
      <c r="BR386" s="245"/>
      <c r="BS386" s="245"/>
      <c r="BT386" s="246"/>
      <c r="BU386" s="245"/>
      <c r="BV386" s="245"/>
      <c r="BW386" s="245"/>
      <c r="BX386" s="245"/>
      <c r="BY386" s="245"/>
      <c r="BZ386" s="282"/>
      <c r="CA386" s="245"/>
      <c r="CB386" s="245"/>
      <c r="CC386" s="245"/>
      <c r="CD386" s="245"/>
      <c r="CE386" s="245"/>
      <c r="CF386" s="245"/>
    </row>
    <row r="387">
      <c r="A387" s="245"/>
      <c r="B387" s="245"/>
      <c r="C387" s="245"/>
      <c r="D387" s="246"/>
      <c r="E387" s="245"/>
      <c r="F387" s="245"/>
      <c r="G387" s="245"/>
      <c r="H387" s="245"/>
      <c r="I387" s="245"/>
      <c r="J387" s="245"/>
      <c r="K387" s="265"/>
      <c r="L387" s="245"/>
      <c r="M387" s="245"/>
      <c r="N387" s="245"/>
      <c r="O387" s="245"/>
      <c r="P387" s="245"/>
      <c r="Q387" s="247"/>
      <c r="R387" s="254"/>
      <c r="S387" s="245"/>
      <c r="T387" s="245"/>
      <c r="U387" s="245"/>
      <c r="V387" s="245"/>
      <c r="W387" s="245"/>
      <c r="X387" s="245"/>
      <c r="Y387" s="249"/>
      <c r="Z387" s="276"/>
      <c r="AA387" s="245"/>
      <c r="AB387" s="276"/>
      <c r="AC387" s="276"/>
      <c r="AD387" s="246"/>
      <c r="AE387" s="278"/>
      <c r="AF387" s="370"/>
      <c r="AG387" s="371"/>
      <c r="AH387" s="276"/>
      <c r="AI387" s="245"/>
      <c r="AJ387" s="287"/>
      <c r="AK387" s="278"/>
      <c r="AL387" s="246"/>
      <c r="AM387" s="245"/>
      <c r="AN387" s="245"/>
      <c r="AO387" s="274"/>
      <c r="AP387" s="245"/>
      <c r="AQ387" s="245"/>
      <c r="AR387" s="246"/>
      <c r="AS387" s="245"/>
      <c r="AT387" s="245"/>
      <c r="AU387" s="245"/>
      <c r="AV387" s="245"/>
      <c r="AW387" s="245"/>
      <c r="AX387" s="246"/>
      <c r="AY387" s="245"/>
      <c r="AZ387" s="245"/>
      <c r="BA387" s="246"/>
      <c r="BB387" s="245"/>
      <c r="BC387" s="245"/>
      <c r="BD387" s="245"/>
      <c r="BE387" s="245"/>
      <c r="BF387" s="245"/>
      <c r="BG387" s="245"/>
      <c r="BH387" s="245"/>
      <c r="BI387" s="245"/>
      <c r="BJ387" s="245"/>
      <c r="BK387" s="245"/>
      <c r="BL387" s="245"/>
      <c r="BM387" s="245"/>
      <c r="BN387" s="245"/>
      <c r="BO387" s="245"/>
      <c r="BP387" s="245"/>
      <c r="BQ387" s="245"/>
      <c r="BR387" s="245"/>
      <c r="BS387" s="245"/>
      <c r="BT387" s="246"/>
      <c r="BU387" s="245"/>
      <c r="BV387" s="245"/>
      <c r="BW387" s="245"/>
      <c r="BX387" s="245"/>
      <c r="BY387" s="245"/>
      <c r="BZ387" s="282"/>
      <c r="CA387" s="245"/>
      <c r="CB387" s="245"/>
      <c r="CC387" s="245"/>
      <c r="CD387" s="245"/>
      <c r="CE387" s="245"/>
      <c r="CF387" s="245"/>
    </row>
    <row r="388">
      <c r="A388" s="245"/>
      <c r="B388" s="245"/>
      <c r="C388" s="245"/>
      <c r="D388" s="246"/>
      <c r="E388" s="245"/>
      <c r="F388" s="245"/>
      <c r="G388" s="245"/>
      <c r="H388" s="245"/>
      <c r="I388" s="245"/>
      <c r="J388" s="245"/>
      <c r="K388" s="265"/>
      <c r="L388" s="245"/>
      <c r="M388" s="245"/>
      <c r="N388" s="245"/>
      <c r="O388" s="245"/>
      <c r="P388" s="245"/>
      <c r="Q388" s="247"/>
      <c r="R388" s="254"/>
      <c r="S388" s="245"/>
      <c r="T388" s="245"/>
      <c r="U388" s="245"/>
      <c r="V388" s="245"/>
      <c r="W388" s="245"/>
      <c r="X388" s="245"/>
      <c r="Y388" s="249"/>
      <c r="Z388" s="276"/>
      <c r="AA388" s="245"/>
      <c r="AB388" s="276"/>
      <c r="AC388" s="276"/>
      <c r="AD388" s="246"/>
      <c r="AE388" s="278"/>
      <c r="AF388" s="370"/>
      <c r="AG388" s="371"/>
      <c r="AH388" s="276"/>
      <c r="AI388" s="245"/>
      <c r="AJ388" s="287"/>
      <c r="AK388" s="278"/>
      <c r="AL388" s="246"/>
      <c r="AM388" s="245"/>
      <c r="AN388" s="245"/>
      <c r="AO388" s="274"/>
      <c r="AP388" s="245"/>
      <c r="AQ388" s="245"/>
      <c r="AR388" s="246"/>
      <c r="AS388" s="245"/>
      <c r="AT388" s="245"/>
      <c r="AU388" s="245"/>
      <c r="AV388" s="245"/>
      <c r="AW388" s="245"/>
      <c r="AX388" s="246"/>
      <c r="AY388" s="245"/>
      <c r="AZ388" s="245"/>
      <c r="BA388" s="246"/>
      <c r="BB388" s="245"/>
      <c r="BC388" s="245"/>
      <c r="BD388" s="245"/>
      <c r="BE388" s="245"/>
      <c r="BF388" s="245"/>
      <c r="BG388" s="245"/>
      <c r="BH388" s="245"/>
      <c r="BI388" s="245"/>
      <c r="BJ388" s="245"/>
      <c r="BK388" s="245"/>
      <c r="BL388" s="245"/>
      <c r="BM388" s="245"/>
      <c r="BN388" s="245"/>
      <c r="BO388" s="245"/>
      <c r="BP388" s="245"/>
      <c r="BQ388" s="245"/>
      <c r="BR388" s="245"/>
      <c r="BS388" s="245"/>
      <c r="BT388" s="246"/>
      <c r="BU388" s="245"/>
      <c r="BV388" s="245"/>
      <c r="BW388" s="245"/>
      <c r="BX388" s="245"/>
      <c r="BY388" s="245"/>
      <c r="BZ388" s="282"/>
      <c r="CA388" s="245"/>
      <c r="CB388" s="245"/>
      <c r="CC388" s="245"/>
      <c r="CD388" s="245"/>
      <c r="CE388" s="245"/>
      <c r="CF388" s="245"/>
    </row>
    <row r="389">
      <c r="A389" s="245"/>
      <c r="B389" s="245"/>
      <c r="C389" s="245"/>
      <c r="D389" s="246"/>
      <c r="E389" s="245"/>
      <c r="F389" s="245"/>
      <c r="G389" s="245"/>
      <c r="H389" s="245"/>
      <c r="I389" s="245"/>
      <c r="J389" s="245"/>
      <c r="K389" s="265"/>
      <c r="L389" s="245"/>
      <c r="M389" s="245"/>
      <c r="N389" s="245"/>
      <c r="O389" s="245"/>
      <c r="P389" s="245"/>
      <c r="Q389" s="247"/>
      <c r="R389" s="254"/>
      <c r="S389" s="245"/>
      <c r="T389" s="245"/>
      <c r="U389" s="245"/>
      <c r="V389" s="245"/>
      <c r="W389" s="245"/>
      <c r="X389" s="245"/>
      <c r="Y389" s="249"/>
      <c r="Z389" s="276"/>
      <c r="AA389" s="245"/>
      <c r="AB389" s="276"/>
      <c r="AC389" s="276"/>
      <c r="AD389" s="246"/>
      <c r="AE389" s="278"/>
      <c r="AF389" s="370"/>
      <c r="AG389" s="371"/>
      <c r="AH389" s="276"/>
      <c r="AI389" s="245"/>
      <c r="AJ389" s="287"/>
      <c r="AK389" s="278"/>
      <c r="AL389" s="246"/>
      <c r="AM389" s="245"/>
      <c r="AN389" s="245"/>
      <c r="AO389" s="274"/>
      <c r="AP389" s="245"/>
      <c r="AQ389" s="245"/>
      <c r="AR389" s="246"/>
      <c r="AS389" s="245"/>
      <c r="AT389" s="245"/>
      <c r="AU389" s="245"/>
      <c r="AV389" s="245"/>
      <c r="AW389" s="245"/>
      <c r="AX389" s="246"/>
      <c r="AY389" s="245"/>
      <c r="AZ389" s="245"/>
      <c r="BA389" s="246"/>
      <c r="BB389" s="245"/>
      <c r="BC389" s="245"/>
      <c r="BD389" s="245"/>
      <c r="BE389" s="245"/>
      <c r="BF389" s="245"/>
      <c r="BG389" s="245"/>
      <c r="BH389" s="245"/>
      <c r="BI389" s="245"/>
      <c r="BJ389" s="245"/>
      <c r="BK389" s="245"/>
      <c r="BL389" s="245"/>
      <c r="BM389" s="245"/>
      <c r="BN389" s="245"/>
      <c r="BO389" s="245"/>
      <c r="BP389" s="245"/>
      <c r="BQ389" s="245"/>
      <c r="BR389" s="245"/>
      <c r="BS389" s="245"/>
      <c r="BT389" s="246"/>
      <c r="BU389" s="245"/>
      <c r="BV389" s="245"/>
      <c r="BW389" s="245"/>
      <c r="BX389" s="245"/>
      <c r="BY389" s="245"/>
      <c r="BZ389" s="282"/>
      <c r="CA389" s="245"/>
      <c r="CB389" s="245"/>
      <c r="CC389" s="245"/>
      <c r="CD389" s="245"/>
      <c r="CE389" s="245"/>
      <c r="CF389" s="245"/>
    </row>
    <row r="390">
      <c r="A390" s="245"/>
      <c r="B390" s="245"/>
      <c r="C390" s="245"/>
      <c r="D390" s="246"/>
      <c r="E390" s="245"/>
      <c r="F390" s="245"/>
      <c r="G390" s="245"/>
      <c r="H390" s="245"/>
      <c r="I390" s="245"/>
      <c r="J390" s="245"/>
      <c r="K390" s="265"/>
      <c r="L390" s="245"/>
      <c r="M390" s="245"/>
      <c r="N390" s="245"/>
      <c r="O390" s="245"/>
      <c r="P390" s="245"/>
      <c r="Q390" s="247"/>
      <c r="R390" s="254"/>
      <c r="S390" s="245"/>
      <c r="T390" s="245"/>
      <c r="U390" s="245"/>
      <c r="V390" s="245"/>
      <c r="W390" s="245"/>
      <c r="X390" s="245"/>
      <c r="Y390" s="249"/>
      <c r="Z390" s="276"/>
      <c r="AA390" s="245"/>
      <c r="AB390" s="276"/>
      <c r="AC390" s="276"/>
      <c r="AD390" s="246"/>
      <c r="AE390" s="278"/>
      <c r="AF390" s="370"/>
      <c r="AG390" s="371"/>
      <c r="AH390" s="276"/>
      <c r="AI390" s="245"/>
      <c r="AJ390" s="287"/>
      <c r="AK390" s="278"/>
      <c r="AL390" s="246"/>
      <c r="AM390" s="245"/>
      <c r="AN390" s="245"/>
      <c r="AO390" s="274"/>
      <c r="AP390" s="245"/>
      <c r="AQ390" s="245"/>
      <c r="AR390" s="246"/>
      <c r="AS390" s="245"/>
      <c r="AT390" s="245"/>
      <c r="AU390" s="245"/>
      <c r="AV390" s="245"/>
      <c r="AW390" s="245"/>
      <c r="AX390" s="246"/>
      <c r="AY390" s="245"/>
      <c r="AZ390" s="245"/>
      <c r="BA390" s="246"/>
      <c r="BB390" s="245"/>
      <c r="BC390" s="245"/>
      <c r="BD390" s="245"/>
      <c r="BE390" s="245"/>
      <c r="BF390" s="245"/>
      <c r="BG390" s="245"/>
      <c r="BH390" s="245"/>
      <c r="BI390" s="245"/>
      <c r="BJ390" s="245"/>
      <c r="BK390" s="245"/>
      <c r="BL390" s="245"/>
      <c r="BM390" s="245"/>
      <c r="BN390" s="245"/>
      <c r="BO390" s="245"/>
      <c r="BP390" s="245"/>
      <c r="BQ390" s="245"/>
      <c r="BR390" s="245"/>
      <c r="BS390" s="245"/>
      <c r="BT390" s="246"/>
      <c r="BU390" s="245"/>
      <c r="BV390" s="245"/>
      <c r="BW390" s="245"/>
      <c r="BX390" s="245"/>
      <c r="BY390" s="245"/>
      <c r="BZ390" s="282"/>
      <c r="CA390" s="245"/>
      <c r="CB390" s="245"/>
      <c r="CC390" s="245"/>
      <c r="CD390" s="245"/>
      <c r="CE390" s="245"/>
      <c r="CF390" s="245"/>
    </row>
    <row r="391">
      <c r="A391" s="245"/>
      <c r="B391" s="245"/>
      <c r="C391" s="245"/>
      <c r="D391" s="246"/>
      <c r="E391" s="245"/>
      <c r="F391" s="245"/>
      <c r="G391" s="245"/>
      <c r="H391" s="245"/>
      <c r="I391" s="245"/>
      <c r="J391" s="245"/>
      <c r="K391" s="265"/>
      <c r="L391" s="245"/>
      <c r="M391" s="245"/>
      <c r="N391" s="245"/>
      <c r="O391" s="245"/>
      <c r="P391" s="245"/>
      <c r="Q391" s="247"/>
      <c r="R391" s="254"/>
      <c r="S391" s="245"/>
      <c r="T391" s="245"/>
      <c r="U391" s="245"/>
      <c r="V391" s="245"/>
      <c r="W391" s="245"/>
      <c r="X391" s="245"/>
      <c r="Y391" s="249"/>
      <c r="Z391" s="276"/>
      <c r="AA391" s="245"/>
      <c r="AB391" s="276"/>
      <c r="AC391" s="276"/>
      <c r="AD391" s="246"/>
      <c r="AE391" s="278"/>
      <c r="AF391" s="370"/>
      <c r="AG391" s="371"/>
      <c r="AH391" s="276"/>
      <c r="AI391" s="245"/>
      <c r="AJ391" s="287"/>
      <c r="AK391" s="278"/>
      <c r="AL391" s="246"/>
      <c r="AM391" s="245"/>
      <c r="AN391" s="245"/>
      <c r="AO391" s="274"/>
      <c r="AP391" s="245"/>
      <c r="AQ391" s="245"/>
      <c r="AR391" s="246"/>
      <c r="AS391" s="245"/>
      <c r="AT391" s="245"/>
      <c r="AU391" s="245"/>
      <c r="AV391" s="245"/>
      <c r="AW391" s="245"/>
      <c r="AX391" s="246"/>
      <c r="AY391" s="245"/>
      <c r="AZ391" s="245"/>
      <c r="BA391" s="246"/>
      <c r="BB391" s="245"/>
      <c r="BC391" s="245"/>
      <c r="BD391" s="245"/>
      <c r="BE391" s="245"/>
      <c r="BF391" s="245"/>
      <c r="BG391" s="245"/>
      <c r="BH391" s="245"/>
      <c r="BI391" s="245"/>
      <c r="BJ391" s="245"/>
      <c r="BK391" s="245"/>
      <c r="BL391" s="245"/>
      <c r="BM391" s="245"/>
      <c r="BN391" s="245"/>
      <c r="BO391" s="245"/>
      <c r="BP391" s="245"/>
      <c r="BQ391" s="245"/>
      <c r="BR391" s="245"/>
      <c r="BS391" s="245"/>
      <c r="BT391" s="246"/>
      <c r="BU391" s="245"/>
      <c r="BV391" s="245"/>
      <c r="BW391" s="245"/>
      <c r="BX391" s="245"/>
      <c r="BY391" s="245"/>
      <c r="BZ391" s="282"/>
      <c r="CA391" s="245"/>
      <c r="CB391" s="245"/>
      <c r="CC391" s="245"/>
      <c r="CD391" s="245"/>
      <c r="CE391" s="245"/>
      <c r="CF391" s="245"/>
    </row>
    <row r="392">
      <c r="A392" s="245"/>
      <c r="B392" s="245"/>
      <c r="C392" s="245"/>
      <c r="D392" s="246"/>
      <c r="E392" s="245"/>
      <c r="F392" s="245"/>
      <c r="G392" s="245"/>
      <c r="H392" s="245"/>
      <c r="I392" s="245"/>
      <c r="J392" s="245"/>
      <c r="K392" s="265"/>
      <c r="L392" s="245"/>
      <c r="M392" s="245"/>
      <c r="N392" s="245"/>
      <c r="O392" s="245"/>
      <c r="P392" s="245"/>
      <c r="Q392" s="247"/>
      <c r="R392" s="254"/>
      <c r="S392" s="245"/>
      <c r="T392" s="245"/>
      <c r="U392" s="245"/>
      <c r="V392" s="245"/>
      <c r="W392" s="245"/>
      <c r="X392" s="245"/>
      <c r="Y392" s="249"/>
      <c r="Z392" s="276"/>
      <c r="AA392" s="245"/>
      <c r="AB392" s="276"/>
      <c r="AC392" s="276"/>
      <c r="AD392" s="246"/>
      <c r="AE392" s="278"/>
      <c r="AF392" s="370"/>
      <c r="AG392" s="371"/>
      <c r="AH392" s="276"/>
      <c r="AI392" s="245"/>
      <c r="AJ392" s="287"/>
      <c r="AK392" s="278"/>
      <c r="AL392" s="246"/>
      <c r="AM392" s="245"/>
      <c r="AN392" s="245"/>
      <c r="AO392" s="274"/>
      <c r="AP392" s="245"/>
      <c r="AQ392" s="245"/>
      <c r="AR392" s="246"/>
      <c r="AS392" s="245"/>
      <c r="AT392" s="245"/>
      <c r="AU392" s="245"/>
      <c r="AV392" s="245"/>
      <c r="AW392" s="245"/>
      <c r="AX392" s="246"/>
      <c r="AY392" s="245"/>
      <c r="AZ392" s="245"/>
      <c r="BA392" s="246"/>
      <c r="BB392" s="245"/>
      <c r="BC392" s="245"/>
      <c r="BD392" s="245"/>
      <c r="BE392" s="245"/>
      <c r="BF392" s="245"/>
      <c r="BG392" s="245"/>
      <c r="BH392" s="245"/>
      <c r="BI392" s="245"/>
      <c r="BJ392" s="245"/>
      <c r="BK392" s="245"/>
      <c r="BL392" s="245"/>
      <c r="BM392" s="245"/>
      <c r="BN392" s="245"/>
      <c r="BO392" s="245"/>
      <c r="BP392" s="245"/>
      <c r="BQ392" s="245"/>
      <c r="BR392" s="245"/>
      <c r="BS392" s="245"/>
      <c r="BT392" s="246"/>
      <c r="BU392" s="245"/>
      <c r="BV392" s="245"/>
      <c r="BW392" s="245"/>
      <c r="BX392" s="245"/>
      <c r="BY392" s="245"/>
      <c r="BZ392" s="282"/>
      <c r="CA392" s="245"/>
      <c r="CB392" s="245"/>
      <c r="CC392" s="245"/>
      <c r="CD392" s="245"/>
      <c r="CE392" s="245"/>
      <c r="CF392" s="245"/>
    </row>
    <row r="393">
      <c r="A393" s="245"/>
      <c r="B393" s="245"/>
      <c r="C393" s="245"/>
      <c r="D393" s="246"/>
      <c r="E393" s="245"/>
      <c r="F393" s="245"/>
      <c r="G393" s="245"/>
      <c r="H393" s="245"/>
      <c r="I393" s="245"/>
      <c r="J393" s="245"/>
      <c r="K393" s="265"/>
      <c r="L393" s="245"/>
      <c r="M393" s="245"/>
      <c r="N393" s="245"/>
      <c r="O393" s="245"/>
      <c r="P393" s="245"/>
      <c r="Q393" s="247"/>
      <c r="R393" s="254"/>
      <c r="S393" s="245"/>
      <c r="T393" s="245"/>
      <c r="U393" s="245"/>
      <c r="V393" s="245"/>
      <c r="W393" s="245"/>
      <c r="X393" s="245"/>
      <c r="Y393" s="249"/>
      <c r="Z393" s="276"/>
      <c r="AA393" s="245"/>
      <c r="AB393" s="276"/>
      <c r="AC393" s="276"/>
      <c r="AD393" s="246"/>
      <c r="AE393" s="278"/>
      <c r="AF393" s="370"/>
      <c r="AG393" s="371"/>
      <c r="AH393" s="276"/>
      <c r="AI393" s="245"/>
      <c r="AJ393" s="287"/>
      <c r="AK393" s="278"/>
      <c r="AL393" s="246"/>
      <c r="AM393" s="245"/>
      <c r="AN393" s="245"/>
      <c r="AO393" s="274"/>
      <c r="AP393" s="245"/>
      <c r="AQ393" s="245"/>
      <c r="AR393" s="246"/>
      <c r="AS393" s="245"/>
      <c r="AT393" s="245"/>
      <c r="AU393" s="245"/>
      <c r="AV393" s="245"/>
      <c r="AW393" s="245"/>
      <c r="AX393" s="246"/>
      <c r="AY393" s="245"/>
      <c r="AZ393" s="245"/>
      <c r="BA393" s="246"/>
      <c r="BB393" s="245"/>
      <c r="BC393" s="245"/>
      <c r="BD393" s="245"/>
      <c r="BE393" s="245"/>
      <c r="BF393" s="245"/>
      <c r="BG393" s="245"/>
      <c r="BH393" s="245"/>
      <c r="BI393" s="245"/>
      <c r="BJ393" s="245"/>
      <c r="BK393" s="245"/>
      <c r="BL393" s="245"/>
      <c r="BM393" s="245"/>
      <c r="BN393" s="245"/>
      <c r="BO393" s="245"/>
      <c r="BP393" s="245"/>
      <c r="BQ393" s="245"/>
      <c r="BR393" s="245"/>
      <c r="BS393" s="245"/>
      <c r="BT393" s="246"/>
      <c r="BU393" s="245"/>
      <c r="BV393" s="245"/>
      <c r="BW393" s="245"/>
      <c r="BX393" s="245"/>
      <c r="BY393" s="245"/>
      <c r="BZ393" s="282"/>
      <c r="CA393" s="245"/>
      <c r="CB393" s="245"/>
      <c r="CC393" s="245"/>
      <c r="CD393" s="245"/>
      <c r="CE393" s="245"/>
      <c r="CF393" s="245"/>
    </row>
    <row r="394">
      <c r="A394" s="245"/>
      <c r="B394" s="245"/>
      <c r="C394" s="245"/>
      <c r="D394" s="246"/>
      <c r="E394" s="245"/>
      <c r="F394" s="245"/>
      <c r="G394" s="245"/>
      <c r="H394" s="245"/>
      <c r="I394" s="245"/>
      <c r="J394" s="245"/>
      <c r="K394" s="265"/>
      <c r="L394" s="245"/>
      <c r="M394" s="245"/>
      <c r="N394" s="245"/>
      <c r="O394" s="245"/>
      <c r="P394" s="245"/>
      <c r="Q394" s="247"/>
      <c r="R394" s="254"/>
      <c r="S394" s="245"/>
      <c r="T394" s="245"/>
      <c r="U394" s="245"/>
      <c r="V394" s="245"/>
      <c r="W394" s="245"/>
      <c r="X394" s="245"/>
      <c r="Y394" s="249"/>
      <c r="Z394" s="276"/>
      <c r="AA394" s="245"/>
      <c r="AB394" s="276"/>
      <c r="AC394" s="276"/>
      <c r="AD394" s="246"/>
      <c r="AE394" s="278"/>
      <c r="AF394" s="370"/>
      <c r="AG394" s="371"/>
      <c r="AH394" s="276"/>
      <c r="AI394" s="245"/>
      <c r="AJ394" s="287"/>
      <c r="AK394" s="278"/>
      <c r="AL394" s="246"/>
      <c r="AM394" s="245"/>
      <c r="AN394" s="245"/>
      <c r="AO394" s="274"/>
      <c r="AP394" s="245"/>
      <c r="AQ394" s="245"/>
      <c r="AR394" s="246"/>
      <c r="AS394" s="245"/>
      <c r="AT394" s="245"/>
      <c r="AU394" s="245"/>
      <c r="AV394" s="245"/>
      <c r="AW394" s="245"/>
      <c r="AX394" s="246"/>
      <c r="AY394" s="245"/>
      <c r="AZ394" s="245"/>
      <c r="BA394" s="246"/>
      <c r="BB394" s="245"/>
      <c r="BC394" s="245"/>
      <c r="BD394" s="245"/>
      <c r="BE394" s="245"/>
      <c r="BF394" s="245"/>
      <c r="BG394" s="245"/>
      <c r="BH394" s="245"/>
      <c r="BI394" s="245"/>
      <c r="BJ394" s="245"/>
      <c r="BK394" s="245"/>
      <c r="BL394" s="245"/>
      <c r="BM394" s="245"/>
      <c r="BN394" s="245"/>
      <c r="BO394" s="245"/>
      <c r="BP394" s="245"/>
      <c r="BQ394" s="245"/>
      <c r="BR394" s="245"/>
      <c r="BS394" s="245"/>
      <c r="BT394" s="246"/>
      <c r="BU394" s="245"/>
      <c r="BV394" s="245"/>
      <c r="BW394" s="245"/>
      <c r="BX394" s="245"/>
      <c r="BY394" s="245"/>
      <c r="BZ394" s="282"/>
      <c r="CA394" s="245"/>
      <c r="CB394" s="245"/>
      <c r="CC394" s="245"/>
      <c r="CD394" s="245"/>
      <c r="CE394" s="245"/>
      <c r="CF394" s="245"/>
    </row>
    <row r="395">
      <c r="A395" s="245"/>
      <c r="B395" s="245"/>
      <c r="C395" s="245"/>
      <c r="D395" s="246"/>
      <c r="E395" s="245"/>
      <c r="F395" s="245"/>
      <c r="G395" s="245"/>
      <c r="H395" s="245"/>
      <c r="I395" s="245"/>
      <c r="J395" s="245"/>
      <c r="K395" s="265"/>
      <c r="L395" s="245"/>
      <c r="M395" s="245"/>
      <c r="N395" s="245"/>
      <c r="O395" s="245"/>
      <c r="P395" s="245"/>
      <c r="Q395" s="247"/>
      <c r="R395" s="254"/>
      <c r="S395" s="245"/>
      <c r="T395" s="245"/>
      <c r="U395" s="245"/>
      <c r="V395" s="245"/>
      <c r="W395" s="245"/>
      <c r="X395" s="245"/>
      <c r="Y395" s="249"/>
      <c r="Z395" s="276"/>
      <c r="AA395" s="245"/>
      <c r="AB395" s="276"/>
      <c r="AC395" s="276"/>
      <c r="AD395" s="246"/>
      <c r="AE395" s="278"/>
      <c r="AF395" s="370"/>
      <c r="AG395" s="371"/>
      <c r="AH395" s="276"/>
      <c r="AI395" s="245"/>
      <c r="AJ395" s="287"/>
      <c r="AK395" s="278"/>
      <c r="AL395" s="246"/>
      <c r="AM395" s="245"/>
      <c r="AN395" s="245"/>
      <c r="AO395" s="274"/>
      <c r="AP395" s="245"/>
      <c r="AQ395" s="245"/>
      <c r="AR395" s="246"/>
      <c r="AS395" s="245"/>
      <c r="AT395" s="245"/>
      <c r="AU395" s="245"/>
      <c r="AV395" s="245"/>
      <c r="AW395" s="245"/>
      <c r="AX395" s="246"/>
      <c r="AY395" s="245"/>
      <c r="AZ395" s="245"/>
      <c r="BA395" s="246"/>
      <c r="BB395" s="245"/>
      <c r="BC395" s="245"/>
      <c r="BD395" s="245"/>
      <c r="BE395" s="245"/>
      <c r="BF395" s="245"/>
      <c r="BG395" s="245"/>
      <c r="BH395" s="245"/>
      <c r="BI395" s="245"/>
      <c r="BJ395" s="245"/>
      <c r="BK395" s="245"/>
      <c r="BL395" s="245"/>
      <c r="BM395" s="245"/>
      <c r="BN395" s="245"/>
      <c r="BO395" s="245"/>
      <c r="BP395" s="245"/>
      <c r="BQ395" s="245"/>
      <c r="BR395" s="245"/>
      <c r="BS395" s="245"/>
      <c r="BT395" s="246"/>
      <c r="BU395" s="245"/>
      <c r="BV395" s="245"/>
      <c r="BW395" s="245"/>
      <c r="BX395" s="245"/>
      <c r="BY395" s="245"/>
      <c r="BZ395" s="282"/>
      <c r="CA395" s="245"/>
      <c r="CB395" s="245"/>
      <c r="CC395" s="245"/>
      <c r="CD395" s="245"/>
      <c r="CE395" s="245"/>
      <c r="CF395" s="245"/>
    </row>
    <row r="396">
      <c r="A396" s="245"/>
      <c r="B396" s="245"/>
      <c r="C396" s="245"/>
      <c r="D396" s="246"/>
      <c r="E396" s="245"/>
      <c r="F396" s="245"/>
      <c r="G396" s="245"/>
      <c r="H396" s="245"/>
      <c r="I396" s="245"/>
      <c r="J396" s="245"/>
      <c r="K396" s="265"/>
      <c r="L396" s="245"/>
      <c r="M396" s="245"/>
      <c r="N396" s="245"/>
      <c r="O396" s="245"/>
      <c r="P396" s="245"/>
      <c r="Q396" s="247"/>
      <c r="R396" s="254"/>
      <c r="S396" s="245"/>
      <c r="T396" s="245"/>
      <c r="U396" s="245"/>
      <c r="V396" s="245"/>
      <c r="W396" s="245"/>
      <c r="X396" s="245"/>
      <c r="Y396" s="249"/>
      <c r="Z396" s="276"/>
      <c r="AA396" s="245"/>
      <c r="AB396" s="276"/>
      <c r="AC396" s="276"/>
      <c r="AD396" s="246"/>
      <c r="AE396" s="278"/>
      <c r="AF396" s="370"/>
      <c r="AG396" s="371"/>
      <c r="AH396" s="276"/>
      <c r="AI396" s="245"/>
      <c r="AJ396" s="287"/>
      <c r="AK396" s="278"/>
      <c r="AL396" s="246"/>
      <c r="AM396" s="245"/>
      <c r="AN396" s="245"/>
      <c r="AO396" s="274"/>
      <c r="AP396" s="245"/>
      <c r="AQ396" s="245"/>
      <c r="AR396" s="246"/>
      <c r="AS396" s="245"/>
      <c r="AT396" s="245"/>
      <c r="AU396" s="245"/>
      <c r="AV396" s="245"/>
      <c r="AW396" s="245"/>
      <c r="AX396" s="246"/>
      <c r="AY396" s="245"/>
      <c r="AZ396" s="245"/>
      <c r="BA396" s="246"/>
      <c r="BB396" s="245"/>
      <c r="BC396" s="245"/>
      <c r="BD396" s="245"/>
      <c r="BE396" s="245"/>
      <c r="BF396" s="245"/>
      <c r="BG396" s="245"/>
      <c r="BH396" s="245"/>
      <c r="BI396" s="245"/>
      <c r="BJ396" s="245"/>
      <c r="BK396" s="245"/>
      <c r="BL396" s="245"/>
      <c r="BM396" s="245"/>
      <c r="BN396" s="245"/>
      <c r="BO396" s="245"/>
      <c r="BP396" s="245"/>
      <c r="BQ396" s="245"/>
      <c r="BR396" s="245"/>
      <c r="BS396" s="245"/>
      <c r="BT396" s="246"/>
      <c r="BU396" s="245"/>
      <c r="BV396" s="245"/>
      <c r="BW396" s="245"/>
      <c r="BX396" s="245"/>
      <c r="BY396" s="245"/>
      <c r="BZ396" s="282"/>
      <c r="CA396" s="245"/>
      <c r="CB396" s="245"/>
      <c r="CC396" s="245"/>
      <c r="CD396" s="245"/>
      <c r="CE396" s="245"/>
      <c r="CF396" s="245"/>
    </row>
    <row r="397">
      <c r="A397" s="245"/>
      <c r="B397" s="245"/>
      <c r="C397" s="245"/>
      <c r="D397" s="246"/>
      <c r="E397" s="245"/>
      <c r="F397" s="245"/>
      <c r="G397" s="245"/>
      <c r="H397" s="245"/>
      <c r="I397" s="245"/>
      <c r="J397" s="245"/>
      <c r="K397" s="265"/>
      <c r="L397" s="245"/>
      <c r="M397" s="245"/>
      <c r="N397" s="245"/>
      <c r="O397" s="245"/>
      <c r="P397" s="245"/>
      <c r="Q397" s="247"/>
      <c r="R397" s="254"/>
      <c r="S397" s="245"/>
      <c r="T397" s="245"/>
      <c r="U397" s="245"/>
      <c r="V397" s="245"/>
      <c r="W397" s="245"/>
      <c r="X397" s="245"/>
      <c r="Y397" s="249"/>
      <c r="Z397" s="276"/>
      <c r="AA397" s="245"/>
      <c r="AB397" s="276"/>
      <c r="AC397" s="276"/>
      <c r="AD397" s="246"/>
      <c r="AE397" s="278"/>
      <c r="AF397" s="370"/>
      <c r="AG397" s="371"/>
      <c r="AH397" s="276"/>
      <c r="AI397" s="245"/>
      <c r="AJ397" s="287"/>
      <c r="AK397" s="278"/>
      <c r="AL397" s="246"/>
      <c r="AM397" s="245"/>
      <c r="AN397" s="245"/>
      <c r="AO397" s="274"/>
      <c r="AP397" s="245"/>
      <c r="AQ397" s="245"/>
      <c r="AR397" s="246"/>
      <c r="AS397" s="245"/>
      <c r="AT397" s="245"/>
      <c r="AU397" s="245"/>
      <c r="AV397" s="245"/>
      <c r="AW397" s="245"/>
      <c r="AX397" s="246"/>
      <c r="AY397" s="245"/>
      <c r="AZ397" s="245"/>
      <c r="BA397" s="246"/>
      <c r="BB397" s="245"/>
      <c r="BC397" s="245"/>
      <c r="BD397" s="245"/>
      <c r="BE397" s="245"/>
      <c r="BF397" s="245"/>
      <c r="BG397" s="245"/>
      <c r="BH397" s="245"/>
      <c r="BI397" s="245"/>
      <c r="BJ397" s="245"/>
      <c r="BK397" s="245"/>
      <c r="BL397" s="245"/>
      <c r="BM397" s="245"/>
      <c r="BN397" s="245"/>
      <c r="BO397" s="245"/>
      <c r="BP397" s="245"/>
      <c r="BQ397" s="245"/>
      <c r="BR397" s="245"/>
      <c r="BS397" s="245"/>
      <c r="BT397" s="246"/>
      <c r="BU397" s="245"/>
      <c r="BV397" s="245"/>
      <c r="BW397" s="245"/>
      <c r="BX397" s="245"/>
      <c r="BY397" s="245"/>
      <c r="BZ397" s="282"/>
      <c r="CA397" s="245"/>
      <c r="CB397" s="245"/>
      <c r="CC397" s="245"/>
      <c r="CD397" s="245"/>
      <c r="CE397" s="245"/>
      <c r="CF397" s="245"/>
    </row>
    <row r="398">
      <c r="A398" s="245"/>
      <c r="B398" s="245"/>
      <c r="C398" s="245"/>
      <c r="D398" s="246"/>
      <c r="E398" s="245"/>
      <c r="F398" s="245"/>
      <c r="G398" s="245"/>
      <c r="H398" s="245"/>
      <c r="I398" s="245"/>
      <c r="J398" s="245"/>
      <c r="K398" s="265"/>
      <c r="L398" s="245"/>
      <c r="M398" s="245"/>
      <c r="N398" s="245"/>
      <c r="O398" s="245"/>
      <c r="P398" s="245"/>
      <c r="Q398" s="247"/>
      <c r="R398" s="254"/>
      <c r="S398" s="245"/>
      <c r="T398" s="245"/>
      <c r="U398" s="245"/>
      <c r="V398" s="245"/>
      <c r="W398" s="245"/>
      <c r="X398" s="245"/>
      <c r="Y398" s="249"/>
      <c r="Z398" s="276"/>
      <c r="AA398" s="245"/>
      <c r="AB398" s="276"/>
      <c r="AC398" s="276"/>
      <c r="AD398" s="246"/>
      <c r="AE398" s="278"/>
      <c r="AF398" s="370"/>
      <c r="AG398" s="371"/>
      <c r="AH398" s="276"/>
      <c r="AI398" s="245"/>
      <c r="AJ398" s="287"/>
      <c r="AK398" s="278"/>
      <c r="AL398" s="246"/>
      <c r="AM398" s="245"/>
      <c r="AN398" s="245"/>
      <c r="AO398" s="274"/>
      <c r="AP398" s="245"/>
      <c r="AQ398" s="245"/>
      <c r="AR398" s="246"/>
      <c r="AS398" s="245"/>
      <c r="AT398" s="245"/>
      <c r="AU398" s="245"/>
      <c r="AV398" s="245"/>
      <c r="AW398" s="245"/>
      <c r="AX398" s="246"/>
      <c r="AY398" s="245"/>
      <c r="AZ398" s="245"/>
      <c r="BA398" s="246"/>
      <c r="BB398" s="245"/>
      <c r="BC398" s="245"/>
      <c r="BD398" s="245"/>
      <c r="BE398" s="245"/>
      <c r="BF398" s="245"/>
      <c r="BG398" s="245"/>
      <c r="BH398" s="245"/>
      <c r="BI398" s="245"/>
      <c r="BJ398" s="245"/>
      <c r="BK398" s="245"/>
      <c r="BL398" s="245"/>
      <c r="BM398" s="245"/>
      <c r="BN398" s="245"/>
      <c r="BO398" s="245"/>
      <c r="BP398" s="245"/>
      <c r="BQ398" s="245"/>
      <c r="BR398" s="245"/>
      <c r="BS398" s="245"/>
      <c r="BT398" s="246"/>
      <c r="BU398" s="245"/>
      <c r="BV398" s="245"/>
      <c r="BW398" s="245"/>
      <c r="BX398" s="245"/>
      <c r="BY398" s="245"/>
      <c r="BZ398" s="282"/>
      <c r="CA398" s="245"/>
      <c r="CB398" s="245"/>
      <c r="CC398" s="245"/>
      <c r="CD398" s="245"/>
      <c r="CE398" s="245"/>
      <c r="CF398" s="245"/>
    </row>
    <row r="399">
      <c r="A399" s="245"/>
      <c r="B399" s="245"/>
      <c r="C399" s="245"/>
      <c r="D399" s="246"/>
      <c r="E399" s="245"/>
      <c r="F399" s="245"/>
      <c r="G399" s="245"/>
      <c r="H399" s="245"/>
      <c r="I399" s="245"/>
      <c r="J399" s="245"/>
      <c r="K399" s="265"/>
      <c r="L399" s="245"/>
      <c r="M399" s="245"/>
      <c r="N399" s="245"/>
      <c r="O399" s="245"/>
      <c r="P399" s="245"/>
      <c r="Q399" s="247"/>
      <c r="R399" s="254"/>
      <c r="S399" s="245"/>
      <c r="T399" s="245"/>
      <c r="U399" s="245"/>
      <c r="V399" s="245"/>
      <c r="W399" s="245"/>
      <c r="X399" s="245"/>
      <c r="Y399" s="249"/>
      <c r="Z399" s="276"/>
      <c r="AA399" s="245"/>
      <c r="AB399" s="276"/>
      <c r="AC399" s="276"/>
      <c r="AD399" s="246"/>
      <c r="AE399" s="278"/>
      <c r="AF399" s="370"/>
      <c r="AG399" s="371"/>
      <c r="AH399" s="276"/>
      <c r="AI399" s="245"/>
      <c r="AJ399" s="287"/>
      <c r="AK399" s="278"/>
      <c r="AL399" s="246"/>
      <c r="AM399" s="245"/>
      <c r="AN399" s="245"/>
      <c r="AO399" s="274"/>
      <c r="AP399" s="245"/>
      <c r="AQ399" s="245"/>
      <c r="AR399" s="246"/>
      <c r="AS399" s="245"/>
      <c r="AT399" s="245"/>
      <c r="AU399" s="245"/>
      <c r="AV399" s="245"/>
      <c r="AW399" s="245"/>
      <c r="AX399" s="246"/>
      <c r="AY399" s="245"/>
      <c r="AZ399" s="245"/>
      <c r="BA399" s="246"/>
      <c r="BB399" s="245"/>
      <c r="BC399" s="245"/>
      <c r="BD399" s="245"/>
      <c r="BE399" s="245"/>
      <c r="BF399" s="245"/>
      <c r="BG399" s="245"/>
      <c r="BH399" s="245"/>
      <c r="BI399" s="245"/>
      <c r="BJ399" s="245"/>
      <c r="BK399" s="245"/>
      <c r="BL399" s="245"/>
      <c r="BM399" s="245"/>
      <c r="BN399" s="245"/>
      <c r="BO399" s="245"/>
      <c r="BP399" s="245"/>
      <c r="BQ399" s="245"/>
      <c r="BR399" s="245"/>
      <c r="BS399" s="245"/>
      <c r="BT399" s="246"/>
      <c r="BU399" s="245"/>
      <c r="BV399" s="245"/>
      <c r="BW399" s="245"/>
      <c r="BX399" s="245"/>
      <c r="BY399" s="245"/>
      <c r="BZ399" s="282"/>
      <c r="CA399" s="245"/>
      <c r="CB399" s="245"/>
      <c r="CC399" s="245"/>
      <c r="CD399" s="245"/>
      <c r="CE399" s="245"/>
      <c r="CF399" s="245"/>
    </row>
    <row r="400">
      <c r="A400" s="245"/>
      <c r="B400" s="245"/>
      <c r="C400" s="245"/>
      <c r="D400" s="246"/>
      <c r="E400" s="245"/>
      <c r="F400" s="245"/>
      <c r="G400" s="245"/>
      <c r="H400" s="245"/>
      <c r="I400" s="245"/>
      <c r="J400" s="245"/>
      <c r="K400" s="265"/>
      <c r="L400" s="245"/>
      <c r="M400" s="245"/>
      <c r="N400" s="245"/>
      <c r="O400" s="245"/>
      <c r="P400" s="245"/>
      <c r="Q400" s="247"/>
      <c r="R400" s="254"/>
      <c r="S400" s="245"/>
      <c r="T400" s="245"/>
      <c r="U400" s="245"/>
      <c r="V400" s="245"/>
      <c r="W400" s="245"/>
      <c r="X400" s="245"/>
      <c r="Y400" s="249"/>
      <c r="Z400" s="276"/>
      <c r="AA400" s="245"/>
      <c r="AB400" s="276"/>
      <c r="AC400" s="276"/>
      <c r="AD400" s="246"/>
      <c r="AE400" s="278"/>
      <c r="AF400" s="370"/>
      <c r="AG400" s="371"/>
      <c r="AH400" s="276"/>
      <c r="AI400" s="245"/>
      <c r="AJ400" s="287"/>
      <c r="AK400" s="278"/>
      <c r="AL400" s="246"/>
      <c r="AM400" s="245"/>
      <c r="AN400" s="245"/>
      <c r="AO400" s="274"/>
      <c r="AP400" s="245"/>
      <c r="AQ400" s="245"/>
      <c r="AR400" s="246"/>
      <c r="AS400" s="245"/>
      <c r="AT400" s="245"/>
      <c r="AU400" s="245"/>
      <c r="AV400" s="245"/>
      <c r="AW400" s="245"/>
      <c r="AX400" s="246"/>
      <c r="AY400" s="245"/>
      <c r="AZ400" s="245"/>
      <c r="BA400" s="246"/>
      <c r="BB400" s="245"/>
      <c r="BC400" s="245"/>
      <c r="BD400" s="245"/>
      <c r="BE400" s="245"/>
      <c r="BF400" s="245"/>
      <c r="BG400" s="245"/>
      <c r="BH400" s="245"/>
      <c r="BI400" s="245"/>
      <c r="BJ400" s="245"/>
      <c r="BK400" s="245"/>
      <c r="BL400" s="245"/>
      <c r="BM400" s="245"/>
      <c r="BN400" s="245"/>
      <c r="BO400" s="245"/>
      <c r="BP400" s="245"/>
      <c r="BQ400" s="245"/>
      <c r="BR400" s="245"/>
      <c r="BS400" s="245"/>
      <c r="BT400" s="246"/>
      <c r="BU400" s="245"/>
      <c r="BV400" s="245"/>
      <c r="BW400" s="245"/>
      <c r="BX400" s="245"/>
      <c r="BY400" s="245"/>
      <c r="BZ400" s="282"/>
      <c r="CA400" s="245"/>
      <c r="CB400" s="245"/>
      <c r="CC400" s="245"/>
      <c r="CD400" s="245"/>
      <c r="CE400" s="245"/>
      <c r="CF400" s="245"/>
    </row>
    <row r="401">
      <c r="A401" s="245"/>
      <c r="B401" s="245"/>
      <c r="C401" s="245"/>
      <c r="D401" s="246"/>
      <c r="E401" s="245"/>
      <c r="F401" s="245"/>
      <c r="G401" s="245"/>
      <c r="H401" s="245"/>
      <c r="I401" s="245"/>
      <c r="J401" s="245"/>
      <c r="K401" s="265"/>
      <c r="L401" s="245"/>
      <c r="M401" s="245"/>
      <c r="N401" s="245"/>
      <c r="O401" s="245"/>
      <c r="P401" s="245"/>
      <c r="Q401" s="247"/>
      <c r="R401" s="254"/>
      <c r="S401" s="245"/>
      <c r="T401" s="245"/>
      <c r="U401" s="245"/>
      <c r="V401" s="245"/>
      <c r="W401" s="245"/>
      <c r="X401" s="245"/>
      <c r="Y401" s="249"/>
      <c r="Z401" s="276"/>
      <c r="AA401" s="245"/>
      <c r="AB401" s="276"/>
      <c r="AC401" s="276"/>
      <c r="AD401" s="246"/>
      <c r="AE401" s="278"/>
      <c r="AF401" s="370"/>
      <c r="AG401" s="371"/>
      <c r="AH401" s="250"/>
      <c r="AI401" s="245"/>
      <c r="AJ401" s="287"/>
      <c r="AK401" s="278"/>
      <c r="AL401" s="246"/>
      <c r="AM401" s="245"/>
      <c r="AN401" s="245"/>
      <c r="AO401" s="274"/>
      <c r="AP401" s="245"/>
      <c r="AQ401" s="245"/>
      <c r="AR401" s="246"/>
      <c r="AS401" s="245"/>
      <c r="AT401" s="245"/>
      <c r="AU401" s="245"/>
      <c r="AV401" s="245"/>
      <c r="AW401" s="245"/>
      <c r="AX401" s="246"/>
      <c r="AY401" s="245"/>
      <c r="AZ401" s="245"/>
      <c r="BA401" s="246"/>
      <c r="BB401" s="245"/>
      <c r="BC401" s="245"/>
      <c r="BD401" s="245"/>
      <c r="BE401" s="245"/>
      <c r="BF401" s="245"/>
      <c r="BG401" s="245"/>
      <c r="BH401" s="245"/>
      <c r="BI401" s="245"/>
      <c r="BJ401" s="245"/>
      <c r="BK401" s="245"/>
      <c r="BL401" s="245"/>
      <c r="BM401" s="245"/>
      <c r="BN401" s="245"/>
      <c r="BO401" s="245"/>
      <c r="BP401" s="245"/>
      <c r="BQ401" s="245"/>
      <c r="BR401" s="245"/>
      <c r="BS401" s="245"/>
      <c r="BT401" s="246"/>
      <c r="BU401" s="245"/>
      <c r="BV401" s="245"/>
      <c r="BW401" s="245"/>
      <c r="BX401" s="245"/>
      <c r="BY401" s="245"/>
      <c r="BZ401" s="282"/>
      <c r="CA401" s="245"/>
      <c r="CB401" s="245"/>
      <c r="CC401" s="245"/>
      <c r="CD401" s="245"/>
      <c r="CE401" s="245"/>
      <c r="CF401" s="245"/>
    </row>
    <row r="402">
      <c r="A402" s="245"/>
      <c r="B402" s="245"/>
      <c r="C402" s="245"/>
      <c r="D402" s="246"/>
      <c r="E402" s="245"/>
      <c r="F402" s="245"/>
      <c r="G402" s="245"/>
      <c r="H402" s="245"/>
      <c r="I402" s="245"/>
      <c r="J402" s="245"/>
      <c r="K402" s="265"/>
      <c r="L402" s="245"/>
      <c r="M402" s="245"/>
      <c r="N402" s="245"/>
      <c r="O402" s="245"/>
      <c r="P402" s="245"/>
      <c r="Q402" s="247"/>
      <c r="R402" s="254"/>
      <c r="S402" s="265"/>
      <c r="T402" s="245"/>
      <c r="U402" s="245"/>
      <c r="V402" s="245"/>
      <c r="W402" s="245"/>
      <c r="X402" s="245"/>
      <c r="Y402" s="249"/>
      <c r="Z402" s="276"/>
      <c r="AA402" s="245"/>
      <c r="AB402" s="276"/>
      <c r="AC402" s="276"/>
      <c r="AD402" s="246"/>
      <c r="AE402" s="278"/>
      <c r="AF402" s="370"/>
      <c r="AG402" s="371"/>
      <c r="AH402" s="250"/>
      <c r="AI402" s="254"/>
      <c r="AJ402" s="287"/>
      <c r="AK402" s="278"/>
      <c r="AL402" s="246"/>
      <c r="AM402" s="245"/>
      <c r="AN402" s="245"/>
      <c r="AO402" s="274"/>
      <c r="AP402" s="245"/>
      <c r="AQ402" s="276"/>
      <c r="AR402" s="246"/>
      <c r="AS402" s="245"/>
      <c r="AT402" s="276"/>
      <c r="AU402" s="245"/>
      <c r="AV402" s="245"/>
      <c r="AW402" s="278"/>
      <c r="AX402" s="246"/>
      <c r="AY402" s="245"/>
      <c r="AZ402" s="245"/>
      <c r="BA402" s="274"/>
      <c r="BB402" s="245"/>
      <c r="BC402" s="245"/>
      <c r="BD402" s="245"/>
      <c r="BE402" s="245"/>
      <c r="BF402" s="245"/>
      <c r="BG402" s="245"/>
      <c r="BH402" s="245"/>
      <c r="BI402" s="245"/>
      <c r="BJ402" s="245"/>
      <c r="BK402" s="245"/>
      <c r="BL402" s="245"/>
      <c r="BM402" s="245"/>
      <c r="BN402" s="245"/>
      <c r="BO402" s="245"/>
      <c r="BP402" s="245"/>
      <c r="BQ402" s="245"/>
      <c r="BR402" s="245"/>
      <c r="BS402" s="245"/>
      <c r="BT402" s="246"/>
      <c r="BU402" s="245"/>
      <c r="BV402" s="245"/>
      <c r="BW402" s="245"/>
      <c r="BX402" s="245"/>
      <c r="BY402" s="245"/>
      <c r="BZ402" s="282"/>
      <c r="CA402" s="245"/>
      <c r="CB402" s="245"/>
      <c r="CC402" s="245"/>
      <c r="CD402" s="245"/>
      <c r="CE402" s="245"/>
      <c r="CF402" s="245"/>
    </row>
    <row r="403">
      <c r="A403" s="245"/>
      <c r="B403" s="245"/>
      <c r="C403" s="245"/>
      <c r="D403" s="246"/>
      <c r="E403" s="245"/>
      <c r="F403" s="245"/>
      <c r="G403" s="245"/>
      <c r="H403" s="245"/>
      <c r="I403" s="245"/>
      <c r="J403" s="245"/>
      <c r="K403" s="265"/>
      <c r="L403" s="245"/>
      <c r="M403" s="245"/>
      <c r="N403" s="245"/>
      <c r="O403" s="245"/>
      <c r="P403" s="245"/>
      <c r="Q403" s="247"/>
      <c r="R403" s="254"/>
      <c r="S403" s="265"/>
      <c r="T403" s="245"/>
      <c r="U403" s="245"/>
      <c r="V403" s="245"/>
      <c r="W403" s="245"/>
      <c r="X403" s="245"/>
      <c r="Y403" s="249"/>
      <c r="Z403" s="276"/>
      <c r="AA403" s="245"/>
      <c r="AB403" s="276"/>
      <c r="AC403" s="276"/>
      <c r="AD403" s="246"/>
      <c r="AE403" s="278"/>
      <c r="AF403" s="370"/>
      <c r="AG403" s="371"/>
      <c r="AH403" s="286"/>
      <c r="AI403" s="254"/>
      <c r="AJ403" s="287"/>
      <c r="AK403" s="278"/>
      <c r="AL403" s="246"/>
      <c r="AM403" s="245"/>
      <c r="AN403" s="245"/>
      <c r="AO403" s="274"/>
      <c r="AP403" s="245"/>
      <c r="AQ403" s="289"/>
      <c r="AR403" s="246"/>
      <c r="AS403" s="245"/>
      <c r="AT403" s="289"/>
      <c r="AU403" s="245"/>
      <c r="AV403" s="245"/>
      <c r="AW403" s="245"/>
      <c r="AX403" s="246"/>
      <c r="AY403" s="245"/>
      <c r="AZ403" s="245"/>
      <c r="BA403" s="292"/>
      <c r="BB403" s="291"/>
      <c r="BC403" s="245"/>
      <c r="BD403" s="245"/>
      <c r="BE403" s="245"/>
      <c r="BF403" s="245"/>
      <c r="BG403" s="245"/>
      <c r="BH403" s="245"/>
      <c r="BI403" s="245"/>
      <c r="BJ403" s="245"/>
      <c r="BK403" s="245"/>
      <c r="BL403" s="245"/>
      <c r="BM403" s="245"/>
      <c r="BN403" s="245"/>
      <c r="BO403" s="245"/>
      <c r="BP403" s="245"/>
      <c r="BQ403" s="245"/>
      <c r="BR403" s="245"/>
      <c r="BS403" s="245"/>
      <c r="BT403" s="246"/>
      <c r="BU403" s="245"/>
      <c r="BV403" s="245"/>
      <c r="BW403" s="245"/>
      <c r="BX403" s="245"/>
      <c r="BY403" s="245"/>
      <c r="BZ403" s="282"/>
      <c r="CA403" s="245"/>
      <c r="CB403" s="245"/>
      <c r="CC403" s="245"/>
      <c r="CD403" s="245"/>
      <c r="CE403" s="245"/>
      <c r="CF403" s="245"/>
    </row>
    <row r="404">
      <c r="A404" s="245"/>
      <c r="B404" s="245"/>
      <c r="C404" s="245"/>
      <c r="D404" s="246"/>
      <c r="E404" s="245"/>
      <c r="F404" s="245"/>
      <c r="G404" s="245"/>
      <c r="H404" s="245"/>
      <c r="I404" s="245"/>
      <c r="J404" s="245"/>
      <c r="K404" s="265"/>
      <c r="L404" s="245"/>
      <c r="M404" s="245"/>
      <c r="N404" s="245"/>
      <c r="O404" s="245"/>
      <c r="P404" s="245"/>
      <c r="Q404" s="247"/>
      <c r="R404" s="254"/>
      <c r="S404" s="265"/>
      <c r="T404" s="245"/>
      <c r="U404" s="245"/>
      <c r="V404" s="245"/>
      <c r="W404" s="245"/>
      <c r="X404" s="245"/>
      <c r="Y404" s="249"/>
      <c r="Z404" s="276"/>
      <c r="AA404" s="245"/>
      <c r="AB404" s="276"/>
      <c r="AC404" s="276"/>
      <c r="AD404" s="246"/>
      <c r="AE404" s="278"/>
      <c r="AF404" s="370"/>
      <c r="AG404" s="371"/>
      <c r="AH404" s="276"/>
      <c r="AI404" s="254"/>
      <c r="AJ404" s="287"/>
      <c r="AK404" s="278"/>
      <c r="AL404" s="246"/>
      <c r="AM404" s="245"/>
      <c r="AN404" s="245"/>
      <c r="AO404" s="274"/>
      <c r="AP404" s="245"/>
      <c r="AQ404" s="289"/>
      <c r="AR404" s="246"/>
      <c r="AS404" s="245"/>
      <c r="AT404" s="289"/>
      <c r="AU404" s="245"/>
      <c r="AV404" s="245"/>
      <c r="AW404" s="245"/>
      <c r="AX404" s="246"/>
      <c r="AY404" s="245"/>
      <c r="AZ404" s="245"/>
      <c r="BA404" s="264"/>
      <c r="BB404" s="302"/>
      <c r="BC404" s="245"/>
      <c r="BD404" s="245"/>
      <c r="BE404" s="245"/>
      <c r="BF404" s="245"/>
      <c r="BG404" s="245"/>
      <c r="BH404" s="245"/>
      <c r="BI404" s="245"/>
      <c r="BJ404" s="245"/>
      <c r="BK404" s="245"/>
      <c r="BL404" s="245"/>
      <c r="BM404" s="245"/>
      <c r="BN404" s="245"/>
      <c r="BO404" s="245"/>
      <c r="BP404" s="245"/>
      <c r="BQ404" s="245"/>
      <c r="BR404" s="245"/>
      <c r="BS404" s="245"/>
      <c r="BT404" s="246"/>
      <c r="BU404" s="245"/>
      <c r="BV404" s="245"/>
      <c r="BW404" s="245"/>
      <c r="BX404" s="245"/>
      <c r="BY404" s="245"/>
      <c r="BZ404" s="282"/>
      <c r="CA404" s="245"/>
      <c r="CB404" s="245"/>
      <c r="CC404" s="245"/>
      <c r="CD404" s="245"/>
      <c r="CE404" s="245"/>
      <c r="CF404" s="245"/>
    </row>
    <row r="405">
      <c r="A405" s="245"/>
      <c r="B405" s="245"/>
      <c r="C405" s="245"/>
      <c r="D405" s="246"/>
      <c r="E405" s="245"/>
      <c r="F405" s="245"/>
      <c r="G405" s="245"/>
      <c r="H405" s="245"/>
      <c r="I405" s="245"/>
      <c r="J405" s="245"/>
      <c r="K405" s="265"/>
      <c r="L405" s="245"/>
      <c r="M405" s="245"/>
      <c r="N405" s="245"/>
      <c r="O405" s="245"/>
      <c r="P405" s="245"/>
      <c r="Q405" s="247"/>
      <c r="R405" s="254"/>
      <c r="S405" s="265"/>
      <c r="T405" s="245"/>
      <c r="U405" s="245"/>
      <c r="V405" s="245"/>
      <c r="W405" s="245"/>
      <c r="X405" s="245"/>
      <c r="Y405" s="249"/>
      <c r="Z405" s="276"/>
      <c r="AA405" s="245"/>
      <c r="AB405" s="276"/>
      <c r="AC405" s="276"/>
      <c r="AD405" s="246"/>
      <c r="AE405" s="278"/>
      <c r="AF405" s="370"/>
      <c r="AG405" s="371"/>
      <c r="AH405" s="309"/>
      <c r="AI405" s="254"/>
      <c r="AJ405" s="287"/>
      <c r="AK405" s="278"/>
      <c r="AL405" s="246"/>
      <c r="AM405" s="245"/>
      <c r="AN405" s="245"/>
      <c r="AO405" s="274"/>
      <c r="AP405" s="245"/>
      <c r="AQ405" s="289"/>
      <c r="AR405" s="246"/>
      <c r="AS405" s="245"/>
      <c r="AT405" s="289"/>
      <c r="AU405" s="245"/>
      <c r="AV405" s="245"/>
      <c r="AW405" s="245"/>
      <c r="AX405" s="246"/>
      <c r="AY405" s="305"/>
      <c r="AZ405" s="245"/>
      <c r="BA405" s="314"/>
      <c r="BB405" s="313"/>
      <c r="BC405" s="245"/>
      <c r="BD405" s="245"/>
      <c r="BE405" s="245"/>
      <c r="BF405" s="245"/>
      <c r="BG405" s="245"/>
      <c r="BH405" s="245"/>
      <c r="BI405" s="245"/>
      <c r="BJ405" s="245"/>
      <c r="BK405" s="245"/>
      <c r="BL405" s="245"/>
      <c r="BM405" s="245"/>
      <c r="BN405" s="245"/>
      <c r="BO405" s="245"/>
      <c r="BP405" s="245"/>
      <c r="BQ405" s="245"/>
      <c r="BR405" s="245"/>
      <c r="BS405" s="245"/>
      <c r="BT405" s="246"/>
      <c r="BU405" s="245"/>
      <c r="BV405" s="245"/>
      <c r="BW405" s="245"/>
      <c r="BX405" s="245"/>
      <c r="BY405" s="245"/>
      <c r="BZ405" s="282"/>
      <c r="CA405" s="245"/>
      <c r="CB405" s="245"/>
      <c r="CC405" s="245"/>
      <c r="CD405" s="245"/>
      <c r="CE405" s="245"/>
      <c r="CF405" s="245"/>
    </row>
    <row r="406">
      <c r="A406" s="245"/>
      <c r="B406" s="245"/>
      <c r="C406" s="245"/>
      <c r="D406" s="246"/>
      <c r="E406" s="245"/>
      <c r="F406" s="245"/>
      <c r="G406" s="245"/>
      <c r="H406" s="245"/>
      <c r="I406" s="245"/>
      <c r="J406" s="245"/>
      <c r="K406" s="265"/>
      <c r="L406" s="245"/>
      <c r="M406" s="245"/>
      <c r="N406" s="245"/>
      <c r="O406" s="245"/>
      <c r="P406" s="245"/>
      <c r="Q406" s="247"/>
      <c r="R406" s="254"/>
      <c r="S406" s="265"/>
      <c r="T406" s="245"/>
      <c r="U406" s="245"/>
      <c r="V406" s="245"/>
      <c r="W406" s="245"/>
      <c r="X406" s="245"/>
      <c r="Y406" s="249"/>
      <c r="Z406" s="276"/>
      <c r="AA406" s="245"/>
      <c r="AB406" s="276"/>
      <c r="AC406" s="276"/>
      <c r="AD406" s="246"/>
      <c r="AE406" s="278"/>
      <c r="AF406" s="370"/>
      <c r="AG406" s="371"/>
      <c r="AH406" s="317"/>
      <c r="AI406" s="254"/>
      <c r="AJ406" s="287"/>
      <c r="AK406" s="278"/>
      <c r="AL406" s="246"/>
      <c r="AM406" s="245"/>
      <c r="AN406" s="245"/>
      <c r="AO406" s="274"/>
      <c r="AP406" s="245"/>
      <c r="AQ406" s="289"/>
      <c r="AR406" s="246"/>
      <c r="AS406" s="245"/>
      <c r="AT406" s="289"/>
      <c r="AU406" s="245"/>
      <c r="AV406" s="245"/>
      <c r="AW406" s="313"/>
      <c r="AX406" s="246"/>
      <c r="AY406" s="245"/>
      <c r="AZ406" s="245"/>
      <c r="BA406" s="321"/>
      <c r="BB406" s="319"/>
      <c r="BC406" s="245"/>
      <c r="BD406" s="245"/>
      <c r="BE406" s="245"/>
      <c r="BF406" s="245"/>
      <c r="BG406" s="245"/>
      <c r="BH406" s="245"/>
      <c r="BI406" s="245"/>
      <c r="BJ406" s="245"/>
      <c r="BK406" s="245"/>
      <c r="BL406" s="245"/>
      <c r="BM406" s="245"/>
      <c r="BN406" s="245"/>
      <c r="BO406" s="245"/>
      <c r="BP406" s="245"/>
      <c r="BQ406" s="245"/>
      <c r="BR406" s="245"/>
      <c r="BS406" s="245"/>
      <c r="BT406" s="246"/>
      <c r="BU406" s="245"/>
      <c r="BV406" s="245"/>
      <c r="BW406" s="245"/>
      <c r="BX406" s="245"/>
      <c r="BY406" s="245"/>
      <c r="BZ406" s="282"/>
      <c r="CA406" s="245"/>
      <c r="CB406" s="245"/>
      <c r="CC406" s="245"/>
      <c r="CD406" s="245"/>
      <c r="CE406" s="245"/>
      <c r="CF406" s="245"/>
    </row>
    <row r="407">
      <c r="A407" s="245"/>
      <c r="B407" s="245"/>
      <c r="C407" s="245"/>
      <c r="D407" s="246"/>
      <c r="E407" s="245"/>
      <c r="F407" s="245"/>
      <c r="G407" s="245"/>
      <c r="H407" s="245"/>
      <c r="I407" s="245"/>
      <c r="J407" s="245"/>
      <c r="K407" s="265"/>
      <c r="L407" s="245"/>
      <c r="M407" s="245"/>
      <c r="N407" s="245"/>
      <c r="O407" s="245"/>
      <c r="P407" s="245"/>
      <c r="Q407" s="247"/>
      <c r="R407" s="254"/>
      <c r="S407" s="265"/>
      <c r="T407" s="245"/>
      <c r="U407" s="245"/>
      <c r="V407" s="245"/>
      <c r="W407" s="245"/>
      <c r="X407" s="245"/>
      <c r="Y407" s="249"/>
      <c r="Z407" s="276"/>
      <c r="AA407" s="245"/>
      <c r="AB407" s="276"/>
      <c r="AC407" s="276"/>
      <c r="AD407" s="246"/>
      <c r="AE407" s="278"/>
      <c r="AF407" s="370"/>
      <c r="AG407" s="371"/>
      <c r="AH407" s="286"/>
      <c r="AI407" s="245"/>
      <c r="AJ407" s="287"/>
      <c r="AK407" s="278"/>
      <c r="AL407" s="246"/>
      <c r="AM407" s="245"/>
      <c r="AN407" s="245"/>
      <c r="AO407" s="274"/>
      <c r="AP407" s="245"/>
      <c r="AQ407" s="245"/>
      <c r="AR407" s="246"/>
      <c r="AS407" s="245"/>
      <c r="AT407" s="245"/>
      <c r="AU407" s="245"/>
      <c r="AV407" s="245"/>
      <c r="AW407" s="276"/>
      <c r="AX407" s="246"/>
      <c r="AY407" s="245"/>
      <c r="AZ407" s="245"/>
      <c r="BA407" s="325"/>
      <c r="BB407" s="324"/>
      <c r="BC407" s="245"/>
      <c r="BD407" s="245"/>
      <c r="BE407" s="245"/>
      <c r="BF407" s="245"/>
      <c r="BG407" s="245"/>
      <c r="BH407" s="245"/>
      <c r="BI407" s="245"/>
      <c r="BJ407" s="245"/>
      <c r="BK407" s="245"/>
      <c r="BL407" s="245"/>
      <c r="BM407" s="245"/>
      <c r="BN407" s="245"/>
      <c r="BO407" s="245"/>
      <c r="BP407" s="245"/>
      <c r="BQ407" s="245"/>
      <c r="BR407" s="245"/>
      <c r="BS407" s="245"/>
      <c r="BT407" s="246"/>
      <c r="BU407" s="245"/>
      <c r="BV407" s="245"/>
      <c r="BW407" s="245"/>
      <c r="BX407" s="245"/>
      <c r="BY407" s="245"/>
      <c r="BZ407" s="282"/>
      <c r="CA407" s="245"/>
      <c r="CB407" s="245"/>
      <c r="CC407" s="245"/>
      <c r="CD407" s="245"/>
      <c r="CE407" s="245"/>
      <c r="CF407" s="245"/>
    </row>
    <row r="408">
      <c r="A408" s="245"/>
      <c r="B408" s="245"/>
      <c r="C408" s="245"/>
      <c r="D408" s="246"/>
      <c r="E408" s="245"/>
      <c r="F408" s="245"/>
      <c r="G408" s="245"/>
      <c r="H408" s="245"/>
      <c r="I408" s="245"/>
      <c r="J408" s="245"/>
      <c r="K408" s="265"/>
      <c r="L408" s="245"/>
      <c r="M408" s="245"/>
      <c r="N408" s="245"/>
      <c r="O408" s="245"/>
      <c r="P408" s="245"/>
      <c r="Q408" s="247"/>
      <c r="R408" s="254"/>
      <c r="S408" s="265"/>
      <c r="T408" s="245"/>
      <c r="U408" s="245"/>
      <c r="V408" s="245"/>
      <c r="W408" s="245"/>
      <c r="X408" s="245"/>
      <c r="Y408" s="249"/>
      <c r="Z408" s="276"/>
      <c r="AA408" s="245"/>
      <c r="AB408" s="276"/>
      <c r="AC408" s="276"/>
      <c r="AD408" s="246"/>
      <c r="AE408" s="278"/>
      <c r="AF408" s="370"/>
      <c r="AG408" s="371"/>
      <c r="AH408" s="327"/>
      <c r="AI408" s="254"/>
      <c r="AJ408" s="287"/>
      <c r="AK408" s="278"/>
      <c r="AL408" s="246"/>
      <c r="AM408" s="245"/>
      <c r="AN408" s="245"/>
      <c r="AO408" s="274"/>
      <c r="AP408" s="245"/>
      <c r="AQ408" s="245"/>
      <c r="AR408" s="246"/>
      <c r="AS408" s="245"/>
      <c r="AT408" s="276"/>
      <c r="AU408" s="245"/>
      <c r="AV408" s="245"/>
      <c r="AW408" s="276"/>
      <c r="AX408" s="246"/>
      <c r="AY408" s="245"/>
      <c r="AZ408" s="245"/>
      <c r="BA408" s="274"/>
      <c r="BB408" s="245"/>
      <c r="BC408" s="245"/>
      <c r="BD408" s="245"/>
      <c r="BE408" s="245"/>
      <c r="BF408" s="245"/>
      <c r="BG408" s="245"/>
      <c r="BH408" s="245"/>
      <c r="BI408" s="245"/>
      <c r="BJ408" s="245"/>
      <c r="BK408" s="245"/>
      <c r="BL408" s="245"/>
      <c r="BM408" s="245"/>
      <c r="BN408" s="245"/>
      <c r="BO408" s="245"/>
      <c r="BP408" s="245"/>
      <c r="BQ408" s="245"/>
      <c r="BR408" s="245"/>
      <c r="BS408" s="245"/>
      <c r="BT408" s="246"/>
      <c r="BU408" s="245"/>
      <c r="BV408" s="245"/>
      <c r="BW408" s="245"/>
      <c r="BX408" s="245"/>
      <c r="BY408" s="245"/>
      <c r="BZ408" s="282"/>
      <c r="CA408" s="245"/>
      <c r="CB408" s="245"/>
      <c r="CC408" s="245"/>
      <c r="CD408" s="245"/>
      <c r="CE408" s="245"/>
      <c r="CF408" s="245"/>
    </row>
    <row r="409">
      <c r="A409" s="245"/>
      <c r="B409" s="245"/>
      <c r="C409" s="245"/>
      <c r="D409" s="246"/>
      <c r="E409" s="245"/>
      <c r="F409" s="245"/>
      <c r="G409" s="245"/>
      <c r="H409" s="245"/>
      <c r="I409" s="245"/>
      <c r="J409" s="245"/>
      <c r="K409" s="265"/>
      <c r="L409" s="245"/>
      <c r="M409" s="245"/>
      <c r="N409" s="245"/>
      <c r="O409" s="245"/>
      <c r="P409" s="245"/>
      <c r="Q409" s="247"/>
      <c r="R409" s="254"/>
      <c r="S409" s="265"/>
      <c r="T409" s="245"/>
      <c r="U409" s="245"/>
      <c r="V409" s="245"/>
      <c r="W409" s="245"/>
      <c r="X409" s="245"/>
      <c r="Y409" s="249"/>
      <c r="Z409" s="276"/>
      <c r="AA409" s="245"/>
      <c r="AB409" s="276"/>
      <c r="AC409" s="276"/>
      <c r="AD409" s="246"/>
      <c r="AE409" s="278"/>
      <c r="AF409" s="370"/>
      <c r="AG409" s="371"/>
      <c r="AH409" s="327"/>
      <c r="AI409" s="254"/>
      <c r="AJ409" s="287"/>
      <c r="AK409" s="278"/>
      <c r="AL409" s="246"/>
      <c r="AM409" s="245"/>
      <c r="AN409" s="245"/>
      <c r="AO409" s="274"/>
      <c r="AP409" s="245"/>
      <c r="AQ409" s="245"/>
      <c r="AR409" s="246"/>
      <c r="AS409" s="245"/>
      <c r="AT409" s="245"/>
      <c r="AU409" s="245"/>
      <c r="AV409" s="245"/>
      <c r="AW409" s="245"/>
      <c r="AX409" s="246"/>
      <c r="AY409" s="245"/>
      <c r="AZ409" s="245"/>
      <c r="BA409" s="333"/>
      <c r="BB409" s="313"/>
      <c r="BC409" s="245"/>
      <c r="BD409" s="245"/>
      <c r="BE409" s="245"/>
      <c r="BF409" s="245"/>
      <c r="BG409" s="245"/>
      <c r="BH409" s="245"/>
      <c r="BI409" s="245"/>
      <c r="BJ409" s="245"/>
      <c r="BK409" s="245"/>
      <c r="BL409" s="245"/>
      <c r="BM409" s="245"/>
      <c r="BN409" s="245"/>
      <c r="BO409" s="245"/>
      <c r="BP409" s="245"/>
      <c r="BQ409" s="245"/>
      <c r="BR409" s="245"/>
      <c r="BS409" s="245"/>
      <c r="BT409" s="246"/>
      <c r="BU409" s="245"/>
      <c r="BV409" s="245"/>
      <c r="BW409" s="245"/>
      <c r="BX409" s="245"/>
      <c r="BY409" s="245"/>
      <c r="BZ409" s="282"/>
      <c r="CA409" s="245"/>
      <c r="CB409" s="245"/>
      <c r="CC409" s="245"/>
      <c r="CD409" s="245"/>
      <c r="CE409" s="245"/>
      <c r="CF409" s="245"/>
    </row>
    <row r="410">
      <c r="A410" s="245"/>
      <c r="B410" s="245"/>
      <c r="C410" s="245"/>
      <c r="D410" s="246"/>
      <c r="E410" s="245"/>
      <c r="F410" s="245"/>
      <c r="G410" s="245"/>
      <c r="H410" s="245"/>
      <c r="I410" s="245"/>
      <c r="J410" s="245"/>
      <c r="K410" s="265"/>
      <c r="L410" s="245"/>
      <c r="M410" s="245"/>
      <c r="N410" s="245"/>
      <c r="O410" s="245"/>
      <c r="P410" s="245"/>
      <c r="Q410" s="247"/>
      <c r="R410" s="254"/>
      <c r="S410" s="265"/>
      <c r="T410" s="245"/>
      <c r="U410" s="245"/>
      <c r="V410" s="245"/>
      <c r="W410" s="245"/>
      <c r="X410" s="245"/>
      <c r="Y410" s="249"/>
      <c r="Z410" s="276"/>
      <c r="AA410" s="245"/>
      <c r="AB410" s="276"/>
      <c r="AC410" s="276"/>
      <c r="AD410" s="246"/>
      <c r="AE410" s="278"/>
      <c r="AF410" s="370"/>
      <c r="AG410" s="371"/>
      <c r="AH410" s="250"/>
      <c r="AI410" s="245"/>
      <c r="AJ410" s="287"/>
      <c r="AK410" s="278"/>
      <c r="AL410" s="246"/>
      <c r="AM410" s="245"/>
      <c r="AN410" s="245"/>
      <c r="AO410" s="274"/>
      <c r="AP410" s="245"/>
      <c r="AQ410" s="276"/>
      <c r="AR410" s="246"/>
      <c r="AS410" s="245"/>
      <c r="AT410" s="276"/>
      <c r="AU410" s="276"/>
      <c r="AV410" s="276"/>
      <c r="AW410" s="276"/>
      <c r="AX410" s="246"/>
      <c r="AY410" s="245"/>
      <c r="AZ410" s="245"/>
      <c r="BA410" s="335"/>
      <c r="BB410" s="254"/>
      <c r="BC410" s="245"/>
      <c r="BD410" s="245"/>
      <c r="BE410" s="245"/>
      <c r="BF410" s="245"/>
      <c r="BG410" s="245"/>
      <c r="BH410" s="245"/>
      <c r="BI410" s="245"/>
      <c r="BJ410" s="245"/>
      <c r="BK410" s="245"/>
      <c r="BL410" s="245"/>
      <c r="BM410" s="245"/>
      <c r="BN410" s="245"/>
      <c r="BO410" s="245"/>
      <c r="BP410" s="245"/>
      <c r="BQ410" s="245"/>
      <c r="BR410" s="245"/>
      <c r="BS410" s="245"/>
      <c r="BT410" s="246"/>
      <c r="BU410" s="245"/>
      <c r="BV410" s="245"/>
      <c r="BW410" s="245"/>
      <c r="BX410" s="245"/>
      <c r="BY410" s="245"/>
      <c r="BZ410" s="282"/>
      <c r="CA410" s="245"/>
      <c r="CB410" s="245"/>
      <c r="CC410" s="245"/>
      <c r="CD410" s="245"/>
      <c r="CE410" s="245"/>
      <c r="CF410" s="245"/>
    </row>
    <row r="411">
      <c r="A411" s="245"/>
      <c r="B411" s="245"/>
      <c r="C411" s="245"/>
      <c r="D411" s="246"/>
      <c r="E411" s="245"/>
      <c r="F411" s="245"/>
      <c r="G411" s="245"/>
      <c r="H411" s="245"/>
      <c r="I411" s="245"/>
      <c r="J411" s="245"/>
      <c r="K411" s="265"/>
      <c r="L411" s="245"/>
      <c r="M411" s="245"/>
      <c r="N411" s="245"/>
      <c r="O411" s="245"/>
      <c r="P411" s="245"/>
      <c r="Q411" s="247"/>
      <c r="R411" s="254"/>
      <c r="S411" s="265"/>
      <c r="T411" s="245"/>
      <c r="U411" s="245"/>
      <c r="V411" s="245"/>
      <c r="W411" s="245"/>
      <c r="X411" s="245"/>
      <c r="Y411" s="249"/>
      <c r="Z411" s="276"/>
      <c r="AA411" s="245"/>
      <c r="AB411" s="276"/>
      <c r="AC411" s="276"/>
      <c r="AD411" s="246"/>
      <c r="AE411" s="278"/>
      <c r="AF411" s="370"/>
      <c r="AG411" s="371"/>
      <c r="AH411" s="337"/>
      <c r="AI411" s="245"/>
      <c r="AJ411" s="287"/>
      <c r="AK411" s="278"/>
      <c r="AL411" s="246"/>
      <c r="AM411" s="245"/>
      <c r="AN411" s="245"/>
      <c r="AO411" s="274"/>
      <c r="AP411" s="245"/>
      <c r="AQ411" s="313"/>
      <c r="AR411" s="246"/>
      <c r="AS411" s="245"/>
      <c r="AT411" s="313"/>
      <c r="AU411" s="245"/>
      <c r="AV411" s="245"/>
      <c r="AW411" s="245"/>
      <c r="AX411" s="246"/>
      <c r="AY411" s="245"/>
      <c r="AZ411" s="245"/>
      <c r="BA411" s="341"/>
      <c r="BB411" s="254"/>
      <c r="BC411" s="245"/>
      <c r="BD411" s="245"/>
      <c r="BE411" s="245"/>
      <c r="BF411" s="245"/>
      <c r="BG411" s="245"/>
      <c r="BH411" s="245"/>
      <c r="BI411" s="245"/>
      <c r="BJ411" s="245"/>
      <c r="BK411" s="245"/>
      <c r="BL411" s="245"/>
      <c r="BM411" s="245"/>
      <c r="BN411" s="245"/>
      <c r="BO411" s="245"/>
      <c r="BP411" s="245"/>
      <c r="BQ411" s="245"/>
      <c r="BR411" s="245"/>
      <c r="BS411" s="245"/>
      <c r="BT411" s="246"/>
      <c r="BU411" s="245"/>
      <c r="BV411" s="245"/>
      <c r="BW411" s="245"/>
      <c r="BX411" s="245"/>
      <c r="BY411" s="245"/>
      <c r="BZ411" s="282"/>
      <c r="CA411" s="245"/>
      <c r="CB411" s="245"/>
      <c r="CC411" s="245"/>
      <c r="CD411" s="245"/>
      <c r="CE411" s="245"/>
      <c r="CF411" s="245"/>
    </row>
    <row r="412">
      <c r="A412" s="245"/>
      <c r="B412" s="245"/>
      <c r="C412" s="245"/>
      <c r="D412" s="246"/>
      <c r="E412" s="245"/>
      <c r="F412" s="245"/>
      <c r="G412" s="245"/>
      <c r="H412" s="245"/>
      <c r="I412" s="245"/>
      <c r="J412" s="245"/>
      <c r="K412" s="265"/>
      <c r="L412" s="245"/>
      <c r="M412" s="245"/>
      <c r="N412" s="245"/>
      <c r="O412" s="245"/>
      <c r="P412" s="245"/>
      <c r="Q412" s="247"/>
      <c r="R412" s="254"/>
      <c r="S412" s="265"/>
      <c r="T412" s="245"/>
      <c r="U412" s="245"/>
      <c r="V412" s="245"/>
      <c r="W412" s="245"/>
      <c r="X412" s="245"/>
      <c r="Y412" s="249"/>
      <c r="Z412" s="276"/>
      <c r="AA412" s="245"/>
      <c r="AB412" s="276"/>
      <c r="AC412" s="276"/>
      <c r="AD412" s="246"/>
      <c r="AE412" s="278"/>
      <c r="AF412" s="370"/>
      <c r="AG412" s="371"/>
      <c r="AH412" s="291"/>
      <c r="AI412" s="245"/>
      <c r="AJ412" s="287"/>
      <c r="AK412" s="278"/>
      <c r="AL412" s="246"/>
      <c r="AM412" s="245"/>
      <c r="AN412" s="245"/>
      <c r="AO412" s="274"/>
      <c r="AP412" s="245"/>
      <c r="AQ412" s="245"/>
      <c r="AR412" s="246"/>
      <c r="AS412" s="245"/>
      <c r="AT412" s="245"/>
      <c r="AU412" s="245"/>
      <c r="AV412" s="245"/>
      <c r="AW412" s="245"/>
      <c r="AX412" s="246"/>
      <c r="AY412" s="245"/>
      <c r="AZ412" s="245"/>
      <c r="BA412" s="345"/>
      <c r="BB412" s="254"/>
      <c r="BC412" s="245"/>
      <c r="BD412" s="245"/>
      <c r="BE412" s="245"/>
      <c r="BF412" s="245"/>
      <c r="BG412" s="245"/>
      <c r="BH412" s="245"/>
      <c r="BI412" s="245"/>
      <c r="BJ412" s="245"/>
      <c r="BK412" s="245"/>
      <c r="BL412" s="245"/>
      <c r="BM412" s="245"/>
      <c r="BN412" s="245"/>
      <c r="BO412" s="245"/>
      <c r="BP412" s="245"/>
      <c r="BQ412" s="245"/>
      <c r="BR412" s="245"/>
      <c r="BS412" s="245"/>
      <c r="BT412" s="246"/>
      <c r="BU412" s="245"/>
      <c r="BV412" s="245"/>
      <c r="BW412" s="245"/>
      <c r="BX412" s="245"/>
      <c r="BY412" s="245"/>
      <c r="BZ412" s="282"/>
      <c r="CA412" s="245"/>
      <c r="CB412" s="245"/>
      <c r="CC412" s="245"/>
      <c r="CD412" s="245"/>
      <c r="CE412" s="245"/>
      <c r="CF412" s="245"/>
    </row>
    <row r="413">
      <c r="A413" s="245"/>
      <c r="B413" s="245"/>
      <c r="C413" s="245"/>
      <c r="D413" s="246"/>
      <c r="E413" s="245"/>
      <c r="F413" s="245"/>
      <c r="G413" s="245"/>
      <c r="H413" s="245"/>
      <c r="I413" s="245"/>
      <c r="J413" s="245"/>
      <c r="K413" s="265"/>
      <c r="L413" s="245"/>
      <c r="M413" s="245"/>
      <c r="N413" s="245"/>
      <c r="O413" s="245"/>
      <c r="P413" s="245"/>
      <c r="Q413" s="247"/>
      <c r="R413" s="254"/>
      <c r="S413" s="265"/>
      <c r="T413" s="245"/>
      <c r="U413" s="245"/>
      <c r="V413" s="245"/>
      <c r="W413" s="245"/>
      <c r="X413" s="245"/>
      <c r="Y413" s="249"/>
      <c r="Z413" s="276"/>
      <c r="AA413" s="245"/>
      <c r="AB413" s="276"/>
      <c r="AC413" s="276"/>
      <c r="AD413" s="246"/>
      <c r="AE413" s="278"/>
      <c r="AF413" s="370"/>
      <c r="AG413" s="371"/>
      <c r="AH413" s="347"/>
      <c r="AI413" s="245"/>
      <c r="AJ413" s="287"/>
      <c r="AK413" s="278"/>
      <c r="AL413" s="246"/>
      <c r="AM413" s="245"/>
      <c r="AN413" s="245"/>
      <c r="AO413" s="274"/>
      <c r="AP413" s="245"/>
      <c r="AQ413" s="276"/>
      <c r="AR413" s="246"/>
      <c r="AS413" s="245"/>
      <c r="AT413" s="276"/>
      <c r="AU413" s="245"/>
      <c r="AV413" s="245"/>
      <c r="AW413" s="287"/>
      <c r="AX413" s="246"/>
      <c r="AY413" s="305"/>
      <c r="AZ413" s="245"/>
      <c r="BA413" s="333"/>
      <c r="BB413" s="254"/>
      <c r="BC413" s="245"/>
      <c r="BD413" s="245"/>
      <c r="BE413" s="245"/>
      <c r="BF413" s="245"/>
      <c r="BG413" s="245"/>
      <c r="BH413" s="245"/>
      <c r="BI413" s="245"/>
      <c r="BJ413" s="245"/>
      <c r="BK413" s="245"/>
      <c r="BL413" s="245"/>
      <c r="BM413" s="245"/>
      <c r="BN413" s="245"/>
      <c r="BO413" s="245"/>
      <c r="BP413" s="245"/>
      <c r="BQ413" s="245"/>
      <c r="BR413" s="245"/>
      <c r="BS413" s="245"/>
      <c r="BT413" s="246"/>
      <c r="BU413" s="245"/>
      <c r="BV413" s="245"/>
      <c r="BW413" s="245"/>
      <c r="BX413" s="245"/>
      <c r="BY413" s="245"/>
      <c r="BZ413" s="282"/>
      <c r="CA413" s="245"/>
      <c r="CB413" s="245"/>
      <c r="CC413" s="245"/>
      <c r="CD413" s="245"/>
      <c r="CE413" s="245"/>
      <c r="CF413" s="245"/>
    </row>
    <row r="414">
      <c r="A414" s="245"/>
      <c r="B414" s="245"/>
      <c r="C414" s="245"/>
      <c r="D414" s="246"/>
      <c r="E414" s="245"/>
      <c r="F414" s="245"/>
      <c r="G414" s="245"/>
      <c r="H414" s="245"/>
      <c r="I414" s="245"/>
      <c r="J414" s="245"/>
      <c r="K414" s="265"/>
      <c r="L414" s="245"/>
      <c r="M414" s="245"/>
      <c r="N414" s="245"/>
      <c r="O414" s="245"/>
      <c r="P414" s="245"/>
      <c r="Q414" s="247"/>
      <c r="R414" s="254"/>
      <c r="S414" s="265"/>
      <c r="T414" s="245"/>
      <c r="U414" s="245"/>
      <c r="V414" s="245"/>
      <c r="W414" s="245"/>
      <c r="X414" s="245"/>
      <c r="Y414" s="249"/>
      <c r="Z414" s="276"/>
      <c r="AA414" s="245"/>
      <c r="AB414" s="276"/>
      <c r="AC414" s="276"/>
      <c r="AD414" s="246"/>
      <c r="AE414" s="278"/>
      <c r="AF414" s="370"/>
      <c r="AG414" s="371"/>
      <c r="AH414" s="327"/>
      <c r="AI414" s="254"/>
      <c r="AJ414" s="287"/>
      <c r="AK414" s="278"/>
      <c r="AL414" s="246"/>
      <c r="AM414" s="245"/>
      <c r="AN414" s="245"/>
      <c r="AO414" s="274"/>
      <c r="AP414" s="245"/>
      <c r="AQ414" s="276"/>
      <c r="AR414" s="246"/>
      <c r="AS414" s="245"/>
      <c r="AT414" s="276"/>
      <c r="AU414" s="245"/>
      <c r="AV414" s="245"/>
      <c r="AW414" s="287"/>
      <c r="AX414" s="246"/>
      <c r="AY414" s="245"/>
      <c r="AZ414" s="245"/>
      <c r="BA414" s="335"/>
      <c r="BB414" s="254"/>
      <c r="BC414" s="245"/>
      <c r="BD414" s="245"/>
      <c r="BE414" s="245"/>
      <c r="BF414" s="245"/>
      <c r="BG414" s="245"/>
      <c r="BH414" s="245"/>
      <c r="BI414" s="245"/>
      <c r="BJ414" s="245"/>
      <c r="BK414" s="245"/>
      <c r="BL414" s="245"/>
      <c r="BM414" s="245"/>
      <c r="BN414" s="245"/>
      <c r="BO414" s="245"/>
      <c r="BP414" s="245"/>
      <c r="BQ414" s="245"/>
      <c r="BR414" s="245"/>
      <c r="BS414" s="245"/>
      <c r="BT414" s="246"/>
      <c r="BU414" s="245"/>
      <c r="BV414" s="245"/>
      <c r="BW414" s="245"/>
      <c r="BX414" s="245"/>
      <c r="BY414" s="245"/>
      <c r="BZ414" s="282"/>
      <c r="CA414" s="245"/>
      <c r="CB414" s="245"/>
      <c r="CC414" s="245"/>
      <c r="CD414" s="245"/>
      <c r="CE414" s="245"/>
      <c r="CF414" s="245"/>
    </row>
    <row r="415">
      <c r="A415" s="245"/>
      <c r="B415" s="245"/>
      <c r="C415" s="245"/>
      <c r="D415" s="246"/>
      <c r="E415" s="245"/>
      <c r="F415" s="245"/>
      <c r="G415" s="245"/>
      <c r="H415" s="245"/>
      <c r="I415" s="245"/>
      <c r="J415" s="245"/>
      <c r="K415" s="265"/>
      <c r="L415" s="245"/>
      <c r="M415" s="245"/>
      <c r="N415" s="245"/>
      <c r="O415" s="245"/>
      <c r="P415" s="245"/>
      <c r="Q415" s="247"/>
      <c r="R415" s="254"/>
      <c r="S415" s="265"/>
      <c r="T415" s="245"/>
      <c r="U415" s="245"/>
      <c r="V415" s="245"/>
      <c r="W415" s="245"/>
      <c r="X415" s="245"/>
      <c r="Y415" s="249"/>
      <c r="Z415" s="276"/>
      <c r="AA415" s="245"/>
      <c r="AB415" s="276"/>
      <c r="AC415" s="276"/>
      <c r="AD415" s="246"/>
      <c r="AE415" s="278"/>
      <c r="AF415" s="370"/>
      <c r="AG415" s="371"/>
      <c r="AH415" s="287"/>
      <c r="AI415" s="254"/>
      <c r="AJ415" s="287"/>
      <c r="AK415" s="278"/>
      <c r="AL415" s="246"/>
      <c r="AM415" s="245"/>
      <c r="AN415" s="245"/>
      <c r="AO415" s="274"/>
      <c r="AP415" s="245"/>
      <c r="AQ415" s="276"/>
      <c r="AR415" s="246"/>
      <c r="AS415" s="245"/>
      <c r="AT415" s="276"/>
      <c r="AU415" s="245"/>
      <c r="AV415" s="245"/>
      <c r="AW415" s="287"/>
      <c r="AX415" s="246"/>
      <c r="AY415" s="245"/>
      <c r="AZ415" s="245"/>
      <c r="BA415" s="352"/>
      <c r="BB415" s="254"/>
      <c r="BC415" s="245"/>
      <c r="BD415" s="245"/>
      <c r="BE415" s="245"/>
      <c r="BF415" s="245"/>
      <c r="BG415" s="245"/>
      <c r="BH415" s="245"/>
      <c r="BI415" s="245"/>
      <c r="BJ415" s="245"/>
      <c r="BK415" s="245"/>
      <c r="BL415" s="245"/>
      <c r="BM415" s="245"/>
      <c r="BN415" s="245"/>
      <c r="BO415" s="245"/>
      <c r="BP415" s="245"/>
      <c r="BQ415" s="245"/>
      <c r="BR415" s="245"/>
      <c r="BS415" s="245"/>
      <c r="BT415" s="246"/>
      <c r="BU415" s="245"/>
      <c r="BV415" s="245"/>
      <c r="BW415" s="245"/>
      <c r="BX415" s="245"/>
      <c r="BY415" s="245"/>
      <c r="BZ415" s="282"/>
      <c r="CA415" s="245"/>
      <c r="CB415" s="245"/>
      <c r="CC415" s="245"/>
      <c r="CD415" s="245"/>
      <c r="CE415" s="245"/>
      <c r="CF415" s="245"/>
    </row>
    <row r="416">
      <c r="A416" s="305"/>
      <c r="B416" s="245"/>
      <c r="C416" s="245"/>
      <c r="D416" s="246"/>
      <c r="E416" s="245"/>
      <c r="F416" s="245"/>
      <c r="G416" s="245"/>
      <c r="H416" s="245"/>
      <c r="I416" s="245"/>
      <c r="J416" s="245"/>
      <c r="K416" s="265"/>
      <c r="L416" s="245"/>
      <c r="M416" s="245"/>
      <c r="N416" s="245"/>
      <c r="O416" s="245"/>
      <c r="P416" s="245"/>
      <c r="Q416" s="247"/>
      <c r="R416" s="254"/>
      <c r="S416" s="265"/>
      <c r="T416" s="245"/>
      <c r="U416" s="245"/>
      <c r="V416" s="245"/>
      <c r="W416" s="245"/>
      <c r="X416" s="245"/>
      <c r="Y416" s="249"/>
      <c r="Z416" s="276"/>
      <c r="AA416" s="245"/>
      <c r="AB416" s="276"/>
      <c r="AC416" s="276"/>
      <c r="AD416" s="246"/>
      <c r="AE416" s="278"/>
      <c r="AF416" s="370"/>
      <c r="AG416" s="371"/>
      <c r="AH416" s="327"/>
      <c r="AI416" s="254"/>
      <c r="AJ416" s="287"/>
      <c r="AK416" s="278"/>
      <c r="AL416" s="246"/>
      <c r="AM416" s="245"/>
      <c r="AN416" s="245"/>
      <c r="AO416" s="274"/>
      <c r="AP416" s="245"/>
      <c r="AQ416" s="276"/>
      <c r="AR416" s="246"/>
      <c r="AS416" s="245"/>
      <c r="AT416" s="276"/>
      <c r="AU416" s="245"/>
      <c r="AV416" s="245"/>
      <c r="AW416" s="287"/>
      <c r="AX416" s="246"/>
      <c r="AY416" s="245"/>
      <c r="AZ416" s="245"/>
      <c r="BA416" s="345"/>
      <c r="BB416" s="254"/>
      <c r="BC416" s="245"/>
      <c r="BD416" s="245"/>
      <c r="BE416" s="245"/>
      <c r="BF416" s="245"/>
      <c r="BG416" s="245"/>
      <c r="BH416" s="245"/>
      <c r="BI416" s="245"/>
      <c r="BJ416" s="245"/>
      <c r="BK416" s="245"/>
      <c r="BL416" s="245"/>
      <c r="BM416" s="245"/>
      <c r="BN416" s="245"/>
      <c r="BO416" s="245"/>
      <c r="BP416" s="245"/>
      <c r="BQ416" s="245"/>
      <c r="BR416" s="245"/>
      <c r="BS416" s="245"/>
      <c r="BT416" s="246"/>
      <c r="BU416" s="245"/>
      <c r="BV416" s="245"/>
      <c r="BW416" s="245"/>
      <c r="BX416" s="245"/>
      <c r="BY416" s="245"/>
      <c r="BZ416" s="282"/>
      <c r="CA416" s="245"/>
      <c r="CB416" s="245"/>
      <c r="CC416" s="245"/>
      <c r="CD416" s="245"/>
      <c r="CE416" s="245"/>
      <c r="CF416" s="245"/>
    </row>
    <row r="417">
      <c r="A417" s="245"/>
      <c r="B417" s="245"/>
      <c r="C417" s="245"/>
      <c r="D417" s="246"/>
      <c r="E417" s="245"/>
      <c r="F417" s="245"/>
      <c r="G417" s="245"/>
      <c r="H417" s="245"/>
      <c r="I417" s="245"/>
      <c r="J417" s="245"/>
      <c r="K417" s="265"/>
      <c r="L417" s="245"/>
      <c r="M417" s="245"/>
      <c r="N417" s="245"/>
      <c r="O417" s="245"/>
      <c r="P417" s="245"/>
      <c r="Q417" s="247"/>
      <c r="R417" s="254"/>
      <c r="S417" s="265"/>
      <c r="T417" s="245"/>
      <c r="U417" s="245"/>
      <c r="V417" s="245"/>
      <c r="W417" s="245"/>
      <c r="X417" s="245"/>
      <c r="Y417" s="249"/>
      <c r="Z417" s="276"/>
      <c r="AA417" s="245"/>
      <c r="AB417" s="276"/>
      <c r="AC417" s="276"/>
      <c r="AD417" s="246"/>
      <c r="AE417" s="278"/>
      <c r="AF417" s="370"/>
      <c r="AG417" s="371"/>
      <c r="AH417" s="287"/>
      <c r="AI417" s="254"/>
      <c r="AJ417" s="287"/>
      <c r="AK417" s="278"/>
      <c r="AL417" s="246"/>
      <c r="AM417" s="245"/>
      <c r="AN417" s="245"/>
      <c r="AO417" s="274"/>
      <c r="AP417" s="245"/>
      <c r="AQ417" s="276"/>
      <c r="AR417" s="246"/>
      <c r="AS417" s="245"/>
      <c r="AT417" s="276"/>
      <c r="AU417" s="245"/>
      <c r="AV417" s="245"/>
      <c r="AW417" s="287"/>
      <c r="AX417" s="246"/>
      <c r="AY417" s="245"/>
      <c r="AZ417" s="245"/>
      <c r="BA417" s="333"/>
      <c r="BB417" s="254"/>
      <c r="BC417" s="245"/>
      <c r="BD417" s="245"/>
      <c r="BE417" s="245"/>
      <c r="BF417" s="245"/>
      <c r="BG417" s="245"/>
      <c r="BH417" s="245"/>
      <c r="BI417" s="245"/>
      <c r="BJ417" s="245"/>
      <c r="BK417" s="245"/>
      <c r="BL417" s="245"/>
      <c r="BM417" s="245"/>
      <c r="BN417" s="245"/>
      <c r="BO417" s="245"/>
      <c r="BP417" s="245"/>
      <c r="BQ417" s="245"/>
      <c r="BR417" s="245"/>
      <c r="BS417" s="245"/>
      <c r="BT417" s="246"/>
      <c r="BU417" s="245"/>
      <c r="BV417" s="245"/>
      <c r="BW417" s="245"/>
      <c r="BX417" s="245"/>
      <c r="BY417" s="245"/>
      <c r="BZ417" s="282"/>
      <c r="CA417" s="245"/>
      <c r="CB417" s="245"/>
      <c r="CC417" s="245"/>
      <c r="CD417" s="245"/>
      <c r="CE417" s="245"/>
      <c r="CF417" s="245"/>
    </row>
    <row r="418">
      <c r="A418" s="245"/>
      <c r="B418" s="245"/>
      <c r="C418" s="245"/>
      <c r="D418" s="246"/>
      <c r="E418" s="245"/>
      <c r="F418" s="245"/>
      <c r="G418" s="245"/>
      <c r="H418" s="245"/>
      <c r="I418" s="245"/>
      <c r="J418" s="245"/>
      <c r="K418" s="265"/>
      <c r="L418" s="245"/>
      <c r="M418" s="245"/>
      <c r="N418" s="245"/>
      <c r="O418" s="245"/>
      <c r="P418" s="245"/>
      <c r="Q418" s="247"/>
      <c r="R418" s="254"/>
      <c r="S418" s="265"/>
      <c r="T418" s="245"/>
      <c r="U418" s="245"/>
      <c r="V418" s="245"/>
      <c r="W418" s="245"/>
      <c r="X418" s="245"/>
      <c r="Y418" s="249"/>
      <c r="Z418" s="276"/>
      <c r="AA418" s="245"/>
      <c r="AB418" s="276"/>
      <c r="AC418" s="276"/>
      <c r="AD418" s="246"/>
      <c r="AE418" s="278"/>
      <c r="AF418" s="370"/>
      <c r="AG418" s="371"/>
      <c r="AH418" s="317"/>
      <c r="AI418" s="254"/>
      <c r="AJ418" s="287"/>
      <c r="AK418" s="278"/>
      <c r="AL418" s="246"/>
      <c r="AM418" s="245"/>
      <c r="AN418" s="245"/>
      <c r="AO418" s="274"/>
      <c r="AP418" s="245"/>
      <c r="AQ418" s="276"/>
      <c r="AR418" s="246"/>
      <c r="AS418" s="245"/>
      <c r="AT418" s="276"/>
      <c r="AU418" s="245"/>
      <c r="AV418" s="245"/>
      <c r="AW418" s="287"/>
      <c r="AX418" s="246"/>
      <c r="AY418" s="245"/>
      <c r="AZ418" s="245"/>
      <c r="BA418" s="246"/>
      <c r="BB418" s="245"/>
      <c r="BC418" s="245"/>
      <c r="BD418" s="245"/>
      <c r="BE418" s="245"/>
      <c r="BF418" s="245"/>
      <c r="BG418" s="245"/>
      <c r="BH418" s="245"/>
      <c r="BI418" s="245"/>
      <c r="BJ418" s="245"/>
      <c r="BK418" s="245"/>
      <c r="BL418" s="245"/>
      <c r="BM418" s="245"/>
      <c r="BN418" s="245"/>
      <c r="BO418" s="245"/>
      <c r="BP418" s="245"/>
      <c r="BQ418" s="245"/>
      <c r="BR418" s="245"/>
      <c r="BS418" s="245"/>
      <c r="BT418" s="246"/>
      <c r="BU418" s="245"/>
      <c r="BV418" s="245"/>
      <c r="BW418" s="245"/>
      <c r="BX418" s="245"/>
      <c r="BY418" s="245"/>
      <c r="BZ418" s="282"/>
      <c r="CA418" s="245"/>
      <c r="CB418" s="245"/>
      <c r="CC418" s="245"/>
      <c r="CD418" s="245"/>
      <c r="CE418" s="245"/>
      <c r="CF418" s="245"/>
    </row>
    <row r="419">
      <c r="A419" s="245"/>
      <c r="B419" s="245"/>
      <c r="C419" s="245"/>
      <c r="D419" s="246"/>
      <c r="E419" s="245"/>
      <c r="F419" s="245"/>
      <c r="G419" s="245"/>
      <c r="H419" s="245"/>
      <c r="I419" s="245"/>
      <c r="J419" s="245"/>
      <c r="K419" s="265"/>
      <c r="L419" s="245"/>
      <c r="M419" s="245"/>
      <c r="N419" s="245"/>
      <c r="O419" s="245"/>
      <c r="P419" s="245"/>
      <c r="Q419" s="247"/>
      <c r="R419" s="254"/>
      <c r="S419" s="265"/>
      <c r="T419" s="245"/>
      <c r="U419" s="245"/>
      <c r="V419" s="245"/>
      <c r="W419" s="245"/>
      <c r="X419" s="245"/>
      <c r="Y419" s="249"/>
      <c r="Z419" s="276"/>
      <c r="AA419" s="245"/>
      <c r="AB419" s="276"/>
      <c r="AC419" s="276"/>
      <c r="AD419" s="246"/>
      <c r="AE419" s="278"/>
      <c r="AF419" s="370"/>
      <c r="AG419" s="371"/>
      <c r="AH419" s="286"/>
      <c r="AI419" s="254"/>
      <c r="AJ419" s="287"/>
      <c r="AK419" s="278"/>
      <c r="AL419" s="246"/>
      <c r="AM419" s="245"/>
      <c r="AN419" s="245"/>
      <c r="AO419" s="274"/>
      <c r="AP419" s="245"/>
      <c r="AQ419" s="276"/>
      <c r="AR419" s="246"/>
      <c r="AS419" s="245"/>
      <c r="AT419" s="276"/>
      <c r="AU419" s="245"/>
      <c r="AV419" s="245"/>
      <c r="AW419" s="287"/>
      <c r="AX419" s="246"/>
      <c r="AY419" s="245"/>
      <c r="AZ419" s="245"/>
      <c r="BA419" s="246"/>
      <c r="BB419" s="245"/>
      <c r="BC419" s="245"/>
      <c r="BD419" s="245"/>
      <c r="BE419" s="245"/>
      <c r="BF419" s="245"/>
      <c r="BG419" s="245"/>
      <c r="BH419" s="245"/>
      <c r="BI419" s="245"/>
      <c r="BJ419" s="245"/>
      <c r="BK419" s="245"/>
      <c r="BL419" s="245"/>
      <c r="BM419" s="245"/>
      <c r="BN419" s="245"/>
      <c r="BO419" s="245"/>
      <c r="BP419" s="245"/>
      <c r="BQ419" s="245"/>
      <c r="BR419" s="245"/>
      <c r="BS419" s="245"/>
      <c r="BT419" s="246"/>
      <c r="BU419" s="245"/>
      <c r="BV419" s="245"/>
      <c r="BW419" s="245"/>
      <c r="BX419" s="245"/>
      <c r="BY419" s="245"/>
      <c r="BZ419" s="282"/>
      <c r="CA419" s="245"/>
      <c r="CB419" s="245"/>
      <c r="CC419" s="245"/>
      <c r="CD419" s="245"/>
      <c r="CE419" s="245"/>
      <c r="CF419" s="245"/>
    </row>
    <row r="420">
      <c r="A420" s="245"/>
      <c r="B420" s="245"/>
      <c r="C420" s="245"/>
      <c r="D420" s="246"/>
      <c r="E420" s="245"/>
      <c r="F420" s="245"/>
      <c r="G420" s="245"/>
      <c r="H420" s="245"/>
      <c r="I420" s="245"/>
      <c r="J420" s="245"/>
      <c r="K420" s="265"/>
      <c r="L420" s="245"/>
      <c r="M420" s="245"/>
      <c r="N420" s="245"/>
      <c r="O420" s="245"/>
      <c r="P420" s="245"/>
      <c r="Q420" s="247"/>
      <c r="R420" s="254"/>
      <c r="S420" s="245"/>
      <c r="T420" s="245"/>
      <c r="U420" s="245"/>
      <c r="V420" s="245"/>
      <c r="W420" s="245"/>
      <c r="X420" s="245"/>
      <c r="Y420" s="249"/>
      <c r="Z420" s="276"/>
      <c r="AA420" s="245"/>
      <c r="AB420" s="276"/>
      <c r="AC420" s="276"/>
      <c r="AD420" s="246"/>
      <c r="AE420" s="278"/>
      <c r="AF420" s="370"/>
      <c r="AG420" s="371"/>
      <c r="AH420" s="327"/>
      <c r="AI420" s="254"/>
      <c r="AJ420" s="287"/>
      <c r="AK420" s="278"/>
      <c r="AL420" s="246"/>
      <c r="AM420" s="245"/>
      <c r="AN420" s="245"/>
      <c r="AO420" s="274"/>
      <c r="AP420" s="245"/>
      <c r="AQ420" s="245"/>
      <c r="AR420" s="246"/>
      <c r="AS420" s="245"/>
      <c r="AT420" s="276"/>
      <c r="AU420" s="245"/>
      <c r="AV420" s="245"/>
      <c r="AW420" s="287"/>
      <c r="AX420" s="246"/>
      <c r="AY420" s="245"/>
      <c r="AZ420" s="245"/>
      <c r="BA420" s="246"/>
      <c r="BB420" s="245"/>
      <c r="BC420" s="245"/>
      <c r="BD420" s="245"/>
      <c r="BE420" s="245"/>
      <c r="BF420" s="245"/>
      <c r="BG420" s="245"/>
      <c r="BH420" s="245"/>
      <c r="BI420" s="245"/>
      <c r="BJ420" s="245"/>
      <c r="BK420" s="245"/>
      <c r="BL420" s="245"/>
      <c r="BM420" s="245"/>
      <c r="BN420" s="245"/>
      <c r="BO420" s="245"/>
      <c r="BP420" s="245"/>
      <c r="BQ420" s="245"/>
      <c r="BR420" s="245"/>
      <c r="BS420" s="245"/>
      <c r="BT420" s="246"/>
      <c r="BU420" s="245"/>
      <c r="BV420" s="245"/>
      <c r="BW420" s="245"/>
      <c r="BX420" s="245"/>
      <c r="BY420" s="245"/>
      <c r="BZ420" s="282"/>
      <c r="CA420" s="245"/>
      <c r="CB420" s="245"/>
      <c r="CC420" s="245"/>
      <c r="CD420" s="245"/>
      <c r="CE420" s="245"/>
      <c r="CF420" s="245"/>
    </row>
    <row r="421">
      <c r="A421" s="245"/>
      <c r="B421" s="245"/>
      <c r="C421" s="245"/>
      <c r="D421" s="246"/>
      <c r="E421" s="245"/>
      <c r="F421" s="245"/>
      <c r="G421" s="245"/>
      <c r="H421" s="245"/>
      <c r="I421" s="245"/>
      <c r="J421" s="245"/>
      <c r="K421" s="265"/>
      <c r="L421" s="245"/>
      <c r="M421" s="245"/>
      <c r="N421" s="245"/>
      <c r="O421" s="245"/>
      <c r="P421" s="245"/>
      <c r="Q421" s="247"/>
      <c r="R421" s="254"/>
      <c r="S421" s="245"/>
      <c r="T421" s="245"/>
      <c r="U421" s="245"/>
      <c r="V421" s="245"/>
      <c r="W421" s="245"/>
      <c r="X421" s="245"/>
      <c r="Y421" s="249"/>
      <c r="Z421" s="276"/>
      <c r="AA421" s="245"/>
      <c r="AB421" s="276"/>
      <c r="AC421" s="276"/>
      <c r="AD421" s="246"/>
      <c r="AE421" s="278"/>
      <c r="AF421" s="370"/>
      <c r="AG421" s="371"/>
      <c r="AH421" s="358"/>
      <c r="AI421" s="254"/>
      <c r="AJ421" s="287"/>
      <c r="AK421" s="278"/>
      <c r="AL421" s="246"/>
      <c r="AM421" s="245"/>
      <c r="AN421" s="245"/>
      <c r="AO421" s="274"/>
      <c r="AP421" s="245"/>
      <c r="AQ421" s="276"/>
      <c r="AR421" s="246"/>
      <c r="AS421" s="245"/>
      <c r="AT421" s="276"/>
      <c r="AU421" s="245"/>
      <c r="AV421" s="245"/>
      <c r="AW421" s="287"/>
      <c r="AX421" s="246"/>
      <c r="AY421" s="245"/>
      <c r="AZ421" s="245"/>
      <c r="BA421" s="246"/>
      <c r="BB421" s="245"/>
      <c r="BC421" s="245"/>
      <c r="BD421" s="245"/>
      <c r="BE421" s="245"/>
      <c r="BF421" s="245"/>
      <c r="BG421" s="245"/>
      <c r="BH421" s="245"/>
      <c r="BI421" s="245"/>
      <c r="BJ421" s="245"/>
      <c r="BK421" s="245"/>
      <c r="BL421" s="245"/>
      <c r="BM421" s="245"/>
      <c r="BN421" s="245"/>
      <c r="BO421" s="245"/>
      <c r="BP421" s="245"/>
      <c r="BQ421" s="245"/>
      <c r="BR421" s="245"/>
      <c r="BS421" s="245"/>
      <c r="BT421" s="246"/>
      <c r="BU421" s="245"/>
      <c r="BV421" s="245"/>
      <c r="BW421" s="245"/>
      <c r="BX421" s="245"/>
      <c r="BY421" s="245"/>
      <c r="BZ421" s="282"/>
      <c r="CA421" s="245"/>
      <c r="CB421" s="245"/>
      <c r="CC421" s="245"/>
      <c r="CD421" s="245"/>
      <c r="CE421" s="245"/>
      <c r="CF421" s="245"/>
    </row>
    <row r="422">
      <c r="A422" s="245"/>
      <c r="B422" s="245"/>
      <c r="C422" s="245"/>
      <c r="D422" s="246"/>
      <c r="E422" s="245"/>
      <c r="F422" s="245"/>
      <c r="G422" s="245"/>
      <c r="H422" s="245"/>
      <c r="I422" s="245"/>
      <c r="J422" s="245"/>
      <c r="K422" s="265"/>
      <c r="L422" s="245"/>
      <c r="M422" s="245"/>
      <c r="N422" s="245"/>
      <c r="O422" s="245"/>
      <c r="P422" s="245"/>
      <c r="Q422" s="247"/>
      <c r="R422" s="254"/>
      <c r="S422" s="245"/>
      <c r="T422" s="245"/>
      <c r="U422" s="245"/>
      <c r="V422" s="245"/>
      <c r="W422" s="245"/>
      <c r="X422" s="245"/>
      <c r="Y422" s="249"/>
      <c r="Z422" s="276"/>
      <c r="AA422" s="245"/>
      <c r="AB422" s="276"/>
      <c r="AC422" s="276"/>
      <c r="AD422" s="246"/>
      <c r="AE422" s="278"/>
      <c r="AF422" s="370"/>
      <c r="AG422" s="371"/>
      <c r="AH422" s="360"/>
      <c r="AI422" s="254"/>
      <c r="AJ422" s="287"/>
      <c r="AK422" s="278"/>
      <c r="AL422" s="246"/>
      <c r="AM422" s="245"/>
      <c r="AN422" s="245"/>
      <c r="AO422" s="274"/>
      <c r="AP422" s="245"/>
      <c r="AQ422" s="276"/>
      <c r="AR422" s="246"/>
      <c r="AS422" s="245"/>
      <c r="AT422" s="276"/>
      <c r="AU422" s="245"/>
      <c r="AV422" s="245"/>
      <c r="AW422" s="287"/>
      <c r="AX422" s="246"/>
      <c r="AY422" s="245"/>
      <c r="AZ422" s="245"/>
      <c r="BA422" s="246"/>
      <c r="BB422" s="245"/>
      <c r="BC422" s="245"/>
      <c r="BD422" s="245"/>
      <c r="BE422" s="245"/>
      <c r="BF422" s="245"/>
      <c r="BG422" s="245"/>
      <c r="BH422" s="245"/>
      <c r="BI422" s="245"/>
      <c r="BJ422" s="245"/>
      <c r="BK422" s="245"/>
      <c r="BL422" s="245"/>
      <c r="BM422" s="245"/>
      <c r="BN422" s="245"/>
      <c r="BO422" s="245"/>
      <c r="BP422" s="245"/>
      <c r="BQ422" s="245"/>
      <c r="BR422" s="245"/>
      <c r="BS422" s="245"/>
      <c r="BT422" s="246"/>
      <c r="BU422" s="245"/>
      <c r="BV422" s="245"/>
      <c r="BW422" s="245"/>
      <c r="BX422" s="245"/>
      <c r="BY422" s="245"/>
      <c r="BZ422" s="282"/>
      <c r="CA422" s="245"/>
      <c r="CB422" s="245"/>
      <c r="CC422" s="245"/>
      <c r="CD422" s="245"/>
      <c r="CE422" s="245"/>
      <c r="CF422" s="245"/>
    </row>
    <row r="423">
      <c r="A423" s="245"/>
      <c r="B423" s="245"/>
      <c r="C423" s="245"/>
      <c r="D423" s="246"/>
      <c r="E423" s="245"/>
      <c r="F423" s="245"/>
      <c r="G423" s="245"/>
      <c r="H423" s="245"/>
      <c r="I423" s="245"/>
      <c r="J423" s="245"/>
      <c r="K423" s="265"/>
      <c r="L423" s="245"/>
      <c r="M423" s="245"/>
      <c r="N423" s="245"/>
      <c r="O423" s="245"/>
      <c r="P423" s="245"/>
      <c r="Q423" s="247"/>
      <c r="R423" s="254"/>
      <c r="S423" s="245"/>
      <c r="T423" s="245"/>
      <c r="U423" s="245"/>
      <c r="V423" s="245"/>
      <c r="W423" s="245"/>
      <c r="X423" s="245"/>
      <c r="Y423" s="249"/>
      <c r="Z423" s="276"/>
      <c r="AA423" s="245"/>
      <c r="AB423" s="276"/>
      <c r="AC423" s="276"/>
      <c r="AD423" s="246"/>
      <c r="AE423" s="278"/>
      <c r="AF423" s="370"/>
      <c r="AG423" s="371"/>
      <c r="AH423" s="362"/>
      <c r="AI423" s="254"/>
      <c r="AJ423" s="287"/>
      <c r="AK423" s="278"/>
      <c r="AL423" s="246"/>
      <c r="AM423" s="245"/>
      <c r="AN423" s="245"/>
      <c r="AO423" s="274"/>
      <c r="AP423" s="245"/>
      <c r="AQ423" s="276"/>
      <c r="AR423" s="246"/>
      <c r="AS423" s="245"/>
      <c r="AT423" s="276"/>
      <c r="AU423" s="245"/>
      <c r="AV423" s="245"/>
      <c r="AW423" s="287"/>
      <c r="AX423" s="246"/>
      <c r="AY423" s="245"/>
      <c r="AZ423" s="245"/>
      <c r="BA423" s="246"/>
      <c r="BB423" s="245"/>
      <c r="BC423" s="245"/>
      <c r="BD423" s="245"/>
      <c r="BE423" s="245"/>
      <c r="BF423" s="245"/>
      <c r="BG423" s="245"/>
      <c r="BH423" s="245"/>
      <c r="BI423" s="245"/>
      <c r="BJ423" s="245"/>
      <c r="BK423" s="245"/>
      <c r="BL423" s="245"/>
      <c r="BM423" s="245"/>
      <c r="BN423" s="245"/>
      <c r="BO423" s="245"/>
      <c r="BP423" s="245"/>
      <c r="BQ423" s="245"/>
      <c r="BR423" s="245"/>
      <c r="BS423" s="245"/>
      <c r="BT423" s="246"/>
      <c r="BU423" s="245"/>
      <c r="BV423" s="245"/>
      <c r="BW423" s="245"/>
      <c r="BX423" s="245"/>
      <c r="BY423" s="245"/>
      <c r="BZ423" s="282"/>
      <c r="CA423" s="245"/>
      <c r="CB423" s="245"/>
      <c r="CC423" s="245"/>
      <c r="CD423" s="245"/>
      <c r="CE423" s="245"/>
      <c r="CF423" s="245"/>
    </row>
    <row r="424">
      <c r="A424" s="245"/>
      <c r="B424" s="245"/>
      <c r="C424" s="245"/>
      <c r="D424" s="246"/>
      <c r="E424" s="245"/>
      <c r="F424" s="245"/>
      <c r="G424" s="245"/>
      <c r="H424" s="245"/>
      <c r="I424" s="245"/>
      <c r="J424" s="245"/>
      <c r="K424" s="265"/>
      <c r="L424" s="245"/>
      <c r="M424" s="245"/>
      <c r="N424" s="245"/>
      <c r="O424" s="245"/>
      <c r="P424" s="245"/>
      <c r="Q424" s="247"/>
      <c r="R424" s="254"/>
      <c r="S424" s="245"/>
      <c r="T424" s="245"/>
      <c r="U424" s="245"/>
      <c r="V424" s="245"/>
      <c r="W424" s="245"/>
      <c r="X424" s="245"/>
      <c r="Y424" s="249"/>
      <c r="Z424" s="276"/>
      <c r="AA424" s="245"/>
      <c r="AB424" s="276"/>
      <c r="AC424" s="276"/>
      <c r="AD424" s="246"/>
      <c r="AE424" s="278"/>
      <c r="AF424" s="370"/>
      <c r="AG424" s="371"/>
      <c r="AH424" s="327"/>
      <c r="AI424" s="254"/>
      <c r="AJ424" s="287"/>
      <c r="AK424" s="278"/>
      <c r="AL424" s="246"/>
      <c r="AM424" s="245"/>
      <c r="AN424" s="245"/>
      <c r="AO424" s="274"/>
      <c r="AP424" s="245"/>
      <c r="AQ424" s="276"/>
      <c r="AR424" s="246"/>
      <c r="AS424" s="245"/>
      <c r="AT424" s="276"/>
      <c r="AU424" s="245"/>
      <c r="AV424" s="245"/>
      <c r="AW424" s="287"/>
      <c r="AX424" s="246"/>
      <c r="AY424" s="245"/>
      <c r="AZ424" s="245"/>
      <c r="BA424" s="246"/>
      <c r="BB424" s="245"/>
      <c r="BC424" s="245"/>
      <c r="BD424" s="245"/>
      <c r="BE424" s="245"/>
      <c r="BF424" s="245"/>
      <c r="BG424" s="245"/>
      <c r="BH424" s="245"/>
      <c r="BI424" s="245"/>
      <c r="BJ424" s="245"/>
      <c r="BK424" s="245"/>
      <c r="BL424" s="245"/>
      <c r="BM424" s="245"/>
      <c r="BN424" s="245"/>
      <c r="BO424" s="245"/>
      <c r="BP424" s="245"/>
      <c r="BQ424" s="245"/>
      <c r="BR424" s="245"/>
      <c r="BS424" s="245"/>
      <c r="BT424" s="246"/>
      <c r="BU424" s="245"/>
      <c r="BV424" s="245"/>
      <c r="BW424" s="245"/>
      <c r="BX424" s="245"/>
      <c r="BY424" s="245"/>
      <c r="BZ424" s="282"/>
      <c r="CA424" s="245"/>
      <c r="CB424" s="245"/>
      <c r="CC424" s="245"/>
      <c r="CD424" s="245"/>
      <c r="CE424" s="245"/>
      <c r="CF424" s="245"/>
    </row>
    <row r="425">
      <c r="A425" s="245"/>
      <c r="B425" s="245"/>
      <c r="C425" s="245"/>
      <c r="D425" s="246"/>
      <c r="E425" s="245"/>
      <c r="F425" s="245"/>
      <c r="G425" s="245"/>
      <c r="H425" s="245"/>
      <c r="I425" s="245"/>
      <c r="J425" s="245"/>
      <c r="K425" s="265"/>
      <c r="L425" s="245"/>
      <c r="M425" s="245"/>
      <c r="N425" s="245"/>
      <c r="O425" s="245"/>
      <c r="P425" s="245"/>
      <c r="Q425" s="247"/>
      <c r="R425" s="254"/>
      <c r="S425" s="245"/>
      <c r="T425" s="245"/>
      <c r="U425" s="245"/>
      <c r="V425" s="245"/>
      <c r="W425" s="245"/>
      <c r="X425" s="245"/>
      <c r="Y425" s="249"/>
      <c r="Z425" s="276"/>
      <c r="AA425" s="245"/>
      <c r="AB425" s="276"/>
      <c r="AC425" s="276"/>
      <c r="AD425" s="246"/>
      <c r="AE425" s="278"/>
      <c r="AF425" s="370"/>
      <c r="AG425" s="371"/>
      <c r="AH425" s="309"/>
      <c r="AI425" s="254"/>
      <c r="AJ425" s="287"/>
      <c r="AK425" s="278"/>
      <c r="AL425" s="246"/>
      <c r="AM425" s="245"/>
      <c r="AN425" s="245"/>
      <c r="AO425" s="274"/>
      <c r="AP425" s="245"/>
      <c r="AQ425" s="276"/>
      <c r="AR425" s="246"/>
      <c r="AS425" s="245"/>
      <c r="AT425" s="276"/>
      <c r="AU425" s="245"/>
      <c r="AV425" s="245"/>
      <c r="AW425" s="287"/>
      <c r="AX425" s="246"/>
      <c r="AY425" s="245"/>
      <c r="AZ425" s="245"/>
      <c r="BA425" s="246"/>
      <c r="BB425" s="245"/>
      <c r="BC425" s="245"/>
      <c r="BD425" s="245"/>
      <c r="BE425" s="245"/>
      <c r="BF425" s="245"/>
      <c r="BG425" s="245"/>
      <c r="BH425" s="245"/>
      <c r="BI425" s="245"/>
      <c r="BJ425" s="245"/>
      <c r="BK425" s="245"/>
      <c r="BL425" s="245"/>
      <c r="BM425" s="245"/>
      <c r="BN425" s="245"/>
      <c r="BO425" s="245"/>
      <c r="BP425" s="245"/>
      <c r="BQ425" s="245"/>
      <c r="BR425" s="245"/>
      <c r="BS425" s="245"/>
      <c r="BT425" s="246"/>
      <c r="BU425" s="245"/>
      <c r="BV425" s="245"/>
      <c r="BW425" s="245"/>
      <c r="BX425" s="245"/>
      <c r="BY425" s="245"/>
      <c r="BZ425" s="282"/>
      <c r="CA425" s="245"/>
      <c r="CB425" s="245"/>
      <c r="CC425" s="245"/>
      <c r="CD425" s="245"/>
      <c r="CE425" s="245"/>
      <c r="CF425" s="245"/>
    </row>
    <row r="426">
      <c r="A426" s="245"/>
      <c r="B426" s="245"/>
      <c r="C426" s="245"/>
      <c r="D426" s="246"/>
      <c r="E426" s="245"/>
      <c r="F426" s="245"/>
      <c r="G426" s="245"/>
      <c r="H426" s="245"/>
      <c r="I426" s="245"/>
      <c r="J426" s="245"/>
      <c r="K426" s="265"/>
      <c r="L426" s="245"/>
      <c r="M426" s="245"/>
      <c r="N426" s="245"/>
      <c r="O426" s="245"/>
      <c r="P426" s="245"/>
      <c r="Q426" s="247"/>
      <c r="R426" s="254"/>
      <c r="S426" s="245"/>
      <c r="T426" s="245"/>
      <c r="U426" s="245"/>
      <c r="V426" s="245"/>
      <c r="W426" s="245"/>
      <c r="X426" s="245"/>
      <c r="Y426" s="249"/>
      <c r="Z426" s="276"/>
      <c r="AA426" s="245"/>
      <c r="AB426" s="276"/>
      <c r="AC426" s="276"/>
      <c r="AD426" s="246"/>
      <c r="AE426" s="278"/>
      <c r="AF426" s="370"/>
      <c r="AG426" s="371"/>
      <c r="AH426" s="365"/>
      <c r="AI426" s="254"/>
      <c r="AJ426" s="287"/>
      <c r="AK426" s="278"/>
      <c r="AL426" s="246"/>
      <c r="AM426" s="245"/>
      <c r="AN426" s="245"/>
      <c r="AO426" s="274"/>
      <c r="AP426" s="245"/>
      <c r="AQ426" s="245"/>
      <c r="AR426" s="246"/>
      <c r="AS426" s="245"/>
      <c r="AT426" s="276"/>
      <c r="AU426" s="245"/>
      <c r="AV426" s="245"/>
      <c r="AW426" s="245"/>
      <c r="AX426" s="246"/>
      <c r="AY426" s="245"/>
      <c r="AZ426" s="245"/>
      <c r="BA426" s="246"/>
      <c r="BB426" s="245"/>
      <c r="BC426" s="245"/>
      <c r="BD426" s="245"/>
      <c r="BE426" s="245"/>
      <c r="BF426" s="245"/>
      <c r="BG426" s="245"/>
      <c r="BH426" s="245"/>
      <c r="BI426" s="245"/>
      <c r="BJ426" s="245"/>
      <c r="BK426" s="245"/>
      <c r="BL426" s="245"/>
      <c r="BM426" s="245"/>
      <c r="BN426" s="245"/>
      <c r="BO426" s="245"/>
      <c r="BP426" s="245"/>
      <c r="BQ426" s="245"/>
      <c r="BR426" s="245"/>
      <c r="BS426" s="245"/>
      <c r="BT426" s="246"/>
      <c r="BU426" s="245"/>
      <c r="BV426" s="245"/>
      <c r="BW426" s="245"/>
      <c r="BX426" s="245"/>
      <c r="BY426" s="245"/>
      <c r="BZ426" s="282"/>
      <c r="CA426" s="245"/>
      <c r="CB426" s="245"/>
      <c r="CC426" s="245"/>
      <c r="CD426" s="245"/>
      <c r="CE426" s="245"/>
      <c r="CF426" s="245"/>
    </row>
    <row r="427">
      <c r="A427" s="245"/>
      <c r="B427" s="245"/>
      <c r="C427" s="245"/>
      <c r="D427" s="246"/>
      <c r="E427" s="245"/>
      <c r="F427" s="245"/>
      <c r="G427" s="245"/>
      <c r="H427" s="245"/>
      <c r="I427" s="245"/>
      <c r="J427" s="245"/>
      <c r="K427" s="265"/>
      <c r="L427" s="245"/>
      <c r="M427" s="245"/>
      <c r="N427" s="245"/>
      <c r="O427" s="245"/>
      <c r="P427" s="245"/>
      <c r="Q427" s="247"/>
      <c r="R427" s="254"/>
      <c r="S427" s="245"/>
      <c r="T427" s="245"/>
      <c r="U427" s="245"/>
      <c r="V427" s="245"/>
      <c r="W427" s="245"/>
      <c r="X427" s="245"/>
      <c r="Y427" s="249"/>
      <c r="Z427" s="276"/>
      <c r="AA427" s="245"/>
      <c r="AB427" s="276"/>
      <c r="AC427" s="276"/>
      <c r="AD427" s="246"/>
      <c r="AE427" s="278"/>
      <c r="AF427" s="370"/>
      <c r="AG427" s="371"/>
      <c r="AH427" s="327"/>
      <c r="AI427" s="254"/>
      <c r="AJ427" s="287"/>
      <c r="AK427" s="278"/>
      <c r="AL427" s="246"/>
      <c r="AM427" s="245"/>
      <c r="AN427" s="245"/>
      <c r="AO427" s="274"/>
      <c r="AP427" s="245"/>
      <c r="AQ427" s="276"/>
      <c r="AR427" s="246"/>
      <c r="AS427" s="245"/>
      <c r="AT427" s="276"/>
      <c r="AU427" s="245"/>
      <c r="AV427" s="245"/>
      <c r="AW427" s="287"/>
      <c r="AX427" s="246"/>
      <c r="AY427" s="245"/>
      <c r="AZ427" s="245"/>
      <c r="BA427" s="246"/>
      <c r="BB427" s="245"/>
      <c r="BC427" s="245"/>
      <c r="BD427" s="245"/>
      <c r="BE427" s="245"/>
      <c r="BF427" s="245"/>
      <c r="BG427" s="245"/>
      <c r="BH427" s="245"/>
      <c r="BI427" s="245"/>
      <c r="BJ427" s="245"/>
      <c r="BK427" s="245"/>
      <c r="BL427" s="245"/>
      <c r="BM427" s="245"/>
      <c r="BN427" s="245"/>
      <c r="BO427" s="245"/>
      <c r="BP427" s="245"/>
      <c r="BQ427" s="245"/>
      <c r="BR427" s="245"/>
      <c r="BS427" s="245"/>
      <c r="BT427" s="246"/>
      <c r="BU427" s="245"/>
      <c r="BV427" s="245"/>
      <c r="BW427" s="245"/>
      <c r="BX427" s="245"/>
      <c r="BY427" s="245"/>
      <c r="BZ427" s="282"/>
      <c r="CA427" s="245"/>
      <c r="CB427" s="245"/>
      <c r="CC427" s="245"/>
      <c r="CD427" s="245"/>
      <c r="CE427" s="245"/>
      <c r="CF427" s="245"/>
    </row>
    <row r="428">
      <c r="A428" s="245"/>
      <c r="B428" s="245"/>
      <c r="C428" s="245"/>
      <c r="D428" s="246"/>
      <c r="E428" s="245"/>
      <c r="F428" s="245"/>
      <c r="G428" s="245"/>
      <c r="H428" s="245"/>
      <c r="I428" s="245"/>
      <c r="J428" s="245"/>
      <c r="K428" s="265"/>
      <c r="L428" s="245"/>
      <c r="M428" s="245"/>
      <c r="N428" s="245"/>
      <c r="O428" s="245"/>
      <c r="P428" s="245"/>
      <c r="Q428" s="247"/>
      <c r="R428" s="254"/>
      <c r="S428" s="245"/>
      <c r="T428" s="245"/>
      <c r="U428" s="245"/>
      <c r="V428" s="245"/>
      <c r="W428" s="245"/>
      <c r="X428" s="245"/>
      <c r="Y428" s="249"/>
      <c r="Z428" s="276"/>
      <c r="AA428" s="245"/>
      <c r="AB428" s="276"/>
      <c r="AC428" s="276"/>
      <c r="AD428" s="246"/>
      <c r="AE428" s="278"/>
      <c r="AF428" s="370"/>
      <c r="AG428" s="371"/>
      <c r="AH428" s="327"/>
      <c r="AI428" s="254"/>
      <c r="AJ428" s="287"/>
      <c r="AK428" s="278"/>
      <c r="AL428" s="246"/>
      <c r="AM428" s="245"/>
      <c r="AN428" s="245"/>
      <c r="AO428" s="274"/>
      <c r="AP428" s="245"/>
      <c r="AQ428" s="276"/>
      <c r="AR428" s="246"/>
      <c r="AS428" s="245"/>
      <c r="AT428" s="276"/>
      <c r="AU428" s="245"/>
      <c r="AV428" s="245"/>
      <c r="AW428" s="287"/>
      <c r="AX428" s="246"/>
      <c r="AY428" s="245"/>
      <c r="AZ428" s="245"/>
      <c r="BA428" s="246"/>
      <c r="BB428" s="245"/>
      <c r="BC428" s="245"/>
      <c r="BD428" s="245"/>
      <c r="BE428" s="245"/>
      <c r="BF428" s="245"/>
      <c r="BG428" s="245"/>
      <c r="BH428" s="245"/>
      <c r="BI428" s="245"/>
      <c r="BJ428" s="245"/>
      <c r="BK428" s="245"/>
      <c r="BL428" s="245"/>
      <c r="BM428" s="245"/>
      <c r="BN428" s="245"/>
      <c r="BO428" s="245"/>
      <c r="BP428" s="245"/>
      <c r="BQ428" s="245"/>
      <c r="BR428" s="245"/>
      <c r="BS428" s="245"/>
      <c r="BT428" s="246"/>
      <c r="BU428" s="245"/>
      <c r="BV428" s="245"/>
      <c r="BW428" s="245"/>
      <c r="BX428" s="245"/>
      <c r="BY428" s="245"/>
      <c r="BZ428" s="282"/>
      <c r="CA428" s="245"/>
      <c r="CB428" s="245"/>
      <c r="CC428" s="245"/>
      <c r="CD428" s="245"/>
      <c r="CE428" s="245"/>
      <c r="CF428" s="245"/>
    </row>
    <row r="429">
      <c r="A429" s="245"/>
      <c r="B429" s="245"/>
      <c r="C429" s="245"/>
      <c r="D429" s="246"/>
      <c r="E429" s="245"/>
      <c r="F429" s="245"/>
      <c r="G429" s="245"/>
      <c r="H429" s="245"/>
      <c r="I429" s="245"/>
      <c r="J429" s="245"/>
      <c r="K429" s="265"/>
      <c r="L429" s="245"/>
      <c r="M429" s="245"/>
      <c r="N429" s="245"/>
      <c r="O429" s="245"/>
      <c r="P429" s="245"/>
      <c r="Q429" s="247"/>
      <c r="R429" s="254"/>
      <c r="S429" s="245"/>
      <c r="T429" s="245"/>
      <c r="U429" s="245"/>
      <c r="V429" s="245"/>
      <c r="W429" s="245"/>
      <c r="X429" s="245"/>
      <c r="Y429" s="249"/>
      <c r="Z429" s="276"/>
      <c r="AA429" s="245"/>
      <c r="AB429" s="276"/>
      <c r="AC429" s="276"/>
      <c r="AD429" s="246"/>
      <c r="AE429" s="278"/>
      <c r="AF429" s="370"/>
      <c r="AG429" s="371"/>
      <c r="AH429" s="287"/>
      <c r="AI429" s="254"/>
      <c r="AJ429" s="287"/>
      <c r="AK429" s="278"/>
      <c r="AL429" s="246"/>
      <c r="AM429" s="245"/>
      <c r="AN429" s="245"/>
      <c r="AO429" s="274"/>
      <c r="AP429" s="245"/>
      <c r="AQ429" s="276"/>
      <c r="AR429" s="246"/>
      <c r="AS429" s="245"/>
      <c r="AT429" s="276"/>
      <c r="AU429" s="245"/>
      <c r="AV429" s="245"/>
      <c r="AW429" s="276"/>
      <c r="AX429" s="246"/>
      <c r="AY429" s="245"/>
      <c r="AZ429" s="245"/>
      <c r="BA429" s="246"/>
      <c r="BB429" s="245"/>
      <c r="BC429" s="245"/>
      <c r="BD429" s="245"/>
      <c r="BE429" s="245"/>
      <c r="BF429" s="245"/>
      <c r="BG429" s="245"/>
      <c r="BH429" s="245"/>
      <c r="BI429" s="245"/>
      <c r="BJ429" s="245"/>
      <c r="BK429" s="245"/>
      <c r="BL429" s="245"/>
      <c r="BM429" s="245"/>
      <c r="BN429" s="245"/>
      <c r="BO429" s="245"/>
      <c r="BP429" s="245"/>
      <c r="BQ429" s="245"/>
      <c r="BR429" s="245"/>
      <c r="BS429" s="245"/>
      <c r="BT429" s="246"/>
      <c r="BU429" s="245"/>
      <c r="BV429" s="245"/>
      <c r="BW429" s="245"/>
      <c r="BX429" s="245"/>
      <c r="BY429" s="245"/>
      <c r="BZ429" s="282"/>
      <c r="CA429" s="245"/>
      <c r="CB429" s="245"/>
      <c r="CC429" s="245"/>
      <c r="CD429" s="245"/>
      <c r="CE429" s="245"/>
      <c r="CF429" s="245"/>
    </row>
    <row r="430">
      <c r="A430" s="245"/>
      <c r="B430" s="245"/>
      <c r="C430" s="245"/>
      <c r="D430" s="246"/>
      <c r="E430" s="245"/>
      <c r="F430" s="245"/>
      <c r="G430" s="245"/>
      <c r="H430" s="245"/>
      <c r="I430" s="245"/>
      <c r="J430" s="245"/>
      <c r="K430" s="265"/>
      <c r="L430" s="245"/>
      <c r="M430" s="245"/>
      <c r="N430" s="245"/>
      <c r="O430" s="245"/>
      <c r="P430" s="245"/>
      <c r="Q430" s="247"/>
      <c r="R430" s="254"/>
      <c r="S430" s="245"/>
      <c r="T430" s="245"/>
      <c r="U430" s="245"/>
      <c r="V430" s="245"/>
      <c r="W430" s="245"/>
      <c r="X430" s="245"/>
      <c r="Y430" s="249"/>
      <c r="Z430" s="276"/>
      <c r="AA430" s="245"/>
      <c r="AB430" s="276"/>
      <c r="AC430" s="276"/>
      <c r="AD430" s="246"/>
      <c r="AE430" s="278"/>
      <c r="AF430" s="370"/>
      <c r="AG430" s="371"/>
      <c r="AH430" s="313"/>
      <c r="AI430" s="254"/>
      <c r="AJ430" s="287"/>
      <c r="AK430" s="278"/>
      <c r="AL430" s="246"/>
      <c r="AM430" s="245"/>
      <c r="AN430" s="245"/>
      <c r="AO430" s="274"/>
      <c r="AP430" s="245"/>
      <c r="AQ430" s="276"/>
      <c r="AR430" s="246"/>
      <c r="AS430" s="245"/>
      <c r="AT430" s="276"/>
      <c r="AU430" s="245"/>
      <c r="AV430" s="245"/>
      <c r="AW430" s="287"/>
      <c r="AX430" s="246"/>
      <c r="AY430" s="245"/>
      <c r="AZ430" s="245"/>
      <c r="BA430" s="246"/>
      <c r="BB430" s="245"/>
      <c r="BC430" s="245"/>
      <c r="BD430" s="245"/>
      <c r="BE430" s="245"/>
      <c r="BF430" s="245"/>
      <c r="BG430" s="245"/>
      <c r="BH430" s="245"/>
      <c r="BI430" s="245"/>
      <c r="BJ430" s="245"/>
      <c r="BK430" s="245"/>
      <c r="BL430" s="245"/>
      <c r="BM430" s="245"/>
      <c r="BN430" s="245"/>
      <c r="BO430" s="245"/>
      <c r="BP430" s="245"/>
      <c r="BQ430" s="245"/>
      <c r="BR430" s="245"/>
      <c r="BS430" s="245"/>
      <c r="BT430" s="246"/>
      <c r="BU430" s="245"/>
      <c r="BV430" s="245"/>
      <c r="BW430" s="245"/>
      <c r="BX430" s="245"/>
      <c r="BY430" s="245"/>
      <c r="BZ430" s="282"/>
      <c r="CA430" s="245"/>
      <c r="CB430" s="245"/>
      <c r="CC430" s="245"/>
      <c r="CD430" s="245"/>
      <c r="CE430" s="245"/>
      <c r="CF430" s="245"/>
    </row>
    <row r="431">
      <c r="A431" s="245"/>
      <c r="B431" s="245"/>
      <c r="C431" s="245"/>
      <c r="D431" s="246"/>
      <c r="E431" s="245"/>
      <c r="F431" s="245"/>
      <c r="G431" s="245"/>
      <c r="H431" s="245"/>
      <c r="I431" s="245"/>
      <c r="J431" s="245"/>
      <c r="K431" s="265"/>
      <c r="L431" s="245"/>
      <c r="M431" s="245"/>
      <c r="N431" s="245"/>
      <c r="O431" s="245"/>
      <c r="P431" s="245"/>
      <c r="Q431" s="247"/>
      <c r="R431" s="254"/>
      <c r="S431" s="245"/>
      <c r="T431" s="245"/>
      <c r="U431" s="245"/>
      <c r="V431" s="245"/>
      <c r="W431" s="245"/>
      <c r="X431" s="245"/>
      <c r="Y431" s="249"/>
      <c r="Z431" s="276"/>
      <c r="AA431" s="245"/>
      <c r="AB431" s="276"/>
      <c r="AC431" s="276"/>
      <c r="AD431" s="246"/>
      <c r="AE431" s="278"/>
      <c r="AF431" s="370"/>
      <c r="AG431" s="371"/>
      <c r="AH431" s="291"/>
      <c r="AI431" s="254"/>
      <c r="AJ431" s="287"/>
      <c r="AK431" s="278"/>
      <c r="AL431" s="246"/>
      <c r="AM431" s="245"/>
      <c r="AN431" s="245"/>
      <c r="AO431" s="274"/>
      <c r="AP431" s="245"/>
      <c r="AQ431" s="276"/>
      <c r="AR431" s="246"/>
      <c r="AS431" s="245"/>
      <c r="AT431" s="276"/>
      <c r="AU431" s="245"/>
      <c r="AV431" s="245"/>
      <c r="AW431" s="287"/>
      <c r="AX431" s="246"/>
      <c r="AY431" s="245"/>
      <c r="AZ431" s="245"/>
      <c r="BA431" s="246"/>
      <c r="BB431" s="245"/>
      <c r="BC431" s="245"/>
      <c r="BD431" s="245"/>
      <c r="BE431" s="245"/>
      <c r="BF431" s="245"/>
      <c r="BG431" s="245"/>
      <c r="BH431" s="245"/>
      <c r="BI431" s="245"/>
      <c r="BJ431" s="245"/>
      <c r="BK431" s="245"/>
      <c r="BL431" s="245"/>
      <c r="BM431" s="245"/>
      <c r="BN431" s="245"/>
      <c r="BO431" s="245"/>
      <c r="BP431" s="245"/>
      <c r="BQ431" s="245"/>
      <c r="BR431" s="245"/>
      <c r="BS431" s="245"/>
      <c r="BT431" s="246"/>
      <c r="BU431" s="245"/>
      <c r="BV431" s="245"/>
      <c r="BW431" s="245"/>
      <c r="BX431" s="245"/>
      <c r="BY431" s="245"/>
      <c r="BZ431" s="282"/>
      <c r="CA431" s="245"/>
      <c r="CB431" s="245"/>
      <c r="CC431" s="245"/>
      <c r="CD431" s="245"/>
      <c r="CE431" s="245"/>
      <c r="CF431" s="245"/>
    </row>
    <row r="432">
      <c r="A432" s="245"/>
      <c r="B432" s="245"/>
      <c r="C432" s="245"/>
      <c r="D432" s="246"/>
      <c r="E432" s="245"/>
      <c r="F432" s="245"/>
      <c r="G432" s="245"/>
      <c r="H432" s="245"/>
      <c r="I432" s="245"/>
      <c r="J432" s="245"/>
      <c r="K432" s="265"/>
      <c r="L432" s="245"/>
      <c r="M432" s="245"/>
      <c r="N432" s="245"/>
      <c r="O432" s="245"/>
      <c r="P432" s="245"/>
      <c r="Q432" s="247"/>
      <c r="R432" s="254"/>
      <c r="S432" s="245"/>
      <c r="T432" s="245"/>
      <c r="U432" s="245"/>
      <c r="V432" s="245"/>
      <c r="W432" s="245"/>
      <c r="X432" s="245"/>
      <c r="Y432" s="249"/>
      <c r="Z432" s="276"/>
      <c r="AA432" s="245"/>
      <c r="AB432" s="276"/>
      <c r="AC432" s="276"/>
      <c r="AD432" s="246"/>
      <c r="AE432" s="278"/>
      <c r="AF432" s="370"/>
      <c r="AG432" s="371"/>
      <c r="AH432" s="291"/>
      <c r="AI432" s="254"/>
      <c r="AJ432" s="287"/>
      <c r="AK432" s="278"/>
      <c r="AL432" s="246"/>
      <c r="AM432" s="245"/>
      <c r="AN432" s="245"/>
      <c r="AO432" s="274"/>
      <c r="AP432" s="245"/>
      <c r="AQ432" s="245"/>
      <c r="AR432" s="246"/>
      <c r="AS432" s="245"/>
      <c r="AT432" s="276"/>
      <c r="AU432" s="245"/>
      <c r="AV432" s="245"/>
      <c r="AW432" s="287"/>
      <c r="AX432" s="246"/>
      <c r="AY432" s="245"/>
      <c r="AZ432" s="245"/>
      <c r="BA432" s="246"/>
      <c r="BB432" s="245"/>
      <c r="BC432" s="245"/>
      <c r="BD432" s="245"/>
      <c r="BE432" s="245"/>
      <c r="BF432" s="245"/>
      <c r="BG432" s="245"/>
      <c r="BH432" s="245"/>
      <c r="BI432" s="245"/>
      <c r="BJ432" s="245"/>
      <c r="BK432" s="245"/>
      <c r="BL432" s="245"/>
      <c r="BM432" s="245"/>
      <c r="BN432" s="245"/>
      <c r="BO432" s="245"/>
      <c r="BP432" s="245"/>
      <c r="BQ432" s="245"/>
      <c r="BR432" s="245"/>
      <c r="BS432" s="245"/>
      <c r="BT432" s="246"/>
      <c r="BU432" s="245"/>
      <c r="BV432" s="245"/>
      <c r="BW432" s="245"/>
      <c r="BX432" s="245"/>
      <c r="BY432" s="245"/>
      <c r="BZ432" s="282"/>
      <c r="CA432" s="245"/>
      <c r="CB432" s="245"/>
      <c r="CC432" s="245"/>
      <c r="CD432" s="245"/>
      <c r="CE432" s="245"/>
      <c r="CF432" s="245"/>
    </row>
    <row r="433">
      <c r="A433" s="245"/>
      <c r="B433" s="245"/>
      <c r="C433" s="245"/>
      <c r="D433" s="246"/>
      <c r="E433" s="245"/>
      <c r="F433" s="245"/>
      <c r="G433" s="245"/>
      <c r="H433" s="245"/>
      <c r="I433" s="245"/>
      <c r="J433" s="245"/>
      <c r="K433" s="265"/>
      <c r="L433" s="245"/>
      <c r="M433" s="245"/>
      <c r="N433" s="245"/>
      <c r="O433" s="245"/>
      <c r="P433" s="245"/>
      <c r="Q433" s="247"/>
      <c r="R433" s="254"/>
      <c r="S433" s="245"/>
      <c r="T433" s="245"/>
      <c r="U433" s="245"/>
      <c r="V433" s="245"/>
      <c r="W433" s="245"/>
      <c r="X433" s="245"/>
      <c r="Y433" s="249"/>
      <c r="Z433" s="276"/>
      <c r="AA433" s="245"/>
      <c r="AB433" s="276"/>
      <c r="AC433" s="276"/>
      <c r="AD433" s="246"/>
      <c r="AE433" s="278"/>
      <c r="AF433" s="370"/>
      <c r="AG433" s="371"/>
      <c r="AH433" s="309"/>
      <c r="AI433" s="254"/>
      <c r="AJ433" s="287"/>
      <c r="AK433" s="278"/>
      <c r="AL433" s="246"/>
      <c r="AM433" s="245"/>
      <c r="AN433" s="245"/>
      <c r="AO433" s="274"/>
      <c r="AP433" s="245"/>
      <c r="AQ433" s="245"/>
      <c r="AR433" s="246"/>
      <c r="AS433" s="245"/>
      <c r="AT433" s="276"/>
      <c r="AU433" s="245"/>
      <c r="AV433" s="245"/>
      <c r="AW433" s="287"/>
      <c r="AX433" s="246"/>
      <c r="AY433" s="245"/>
      <c r="AZ433" s="245"/>
      <c r="BA433" s="246"/>
      <c r="BB433" s="245"/>
      <c r="BC433" s="245"/>
      <c r="BD433" s="245"/>
      <c r="BE433" s="245"/>
      <c r="BF433" s="245"/>
      <c r="BG433" s="245"/>
      <c r="BH433" s="245"/>
      <c r="BI433" s="245"/>
      <c r="BJ433" s="245"/>
      <c r="BK433" s="245"/>
      <c r="BL433" s="245"/>
      <c r="BM433" s="245"/>
      <c r="BN433" s="245"/>
      <c r="BO433" s="245"/>
      <c r="BP433" s="245"/>
      <c r="BQ433" s="245"/>
      <c r="BR433" s="245"/>
      <c r="BS433" s="245"/>
      <c r="BT433" s="246"/>
      <c r="BU433" s="245"/>
      <c r="BV433" s="245"/>
      <c r="BW433" s="245"/>
      <c r="BX433" s="245"/>
      <c r="BY433" s="245"/>
      <c r="BZ433" s="282"/>
      <c r="CA433" s="245"/>
      <c r="CB433" s="245"/>
      <c r="CC433" s="245"/>
      <c r="CD433" s="245"/>
      <c r="CE433" s="245"/>
      <c r="CF433" s="245"/>
    </row>
    <row r="434">
      <c r="A434" s="245"/>
      <c r="B434" s="245"/>
      <c r="C434" s="245"/>
      <c r="D434" s="246"/>
      <c r="E434" s="245"/>
      <c r="F434" s="245"/>
      <c r="G434" s="245"/>
      <c r="H434" s="245"/>
      <c r="I434" s="245"/>
      <c r="J434" s="245"/>
      <c r="K434" s="265"/>
      <c r="L434" s="245"/>
      <c r="M434" s="245"/>
      <c r="N434" s="245"/>
      <c r="O434" s="245"/>
      <c r="P434" s="245"/>
      <c r="Q434" s="247"/>
      <c r="R434" s="254"/>
      <c r="S434" s="245"/>
      <c r="T434" s="245"/>
      <c r="U434" s="245"/>
      <c r="V434" s="245"/>
      <c r="W434" s="245"/>
      <c r="X434" s="245"/>
      <c r="Y434" s="249"/>
      <c r="Z434" s="276"/>
      <c r="AA434" s="245"/>
      <c r="AB434" s="276"/>
      <c r="AC434" s="276"/>
      <c r="AD434" s="246"/>
      <c r="AE434" s="278"/>
      <c r="AF434" s="370"/>
      <c r="AG434" s="371"/>
      <c r="AH434" s="360"/>
      <c r="AI434" s="254"/>
      <c r="AJ434" s="287"/>
      <c r="AK434" s="278"/>
      <c r="AL434" s="246"/>
      <c r="AM434" s="245"/>
      <c r="AN434" s="245"/>
      <c r="AO434" s="274"/>
      <c r="AP434" s="245"/>
      <c r="AQ434" s="245"/>
      <c r="AR434" s="246"/>
      <c r="AS434" s="245"/>
      <c r="AT434" s="276"/>
      <c r="AU434" s="245"/>
      <c r="AV434" s="245"/>
      <c r="AW434" s="287"/>
      <c r="AX434" s="246"/>
      <c r="AY434" s="245"/>
      <c r="AZ434" s="245"/>
      <c r="BA434" s="246"/>
      <c r="BB434" s="245"/>
      <c r="BC434" s="245"/>
      <c r="BD434" s="245"/>
      <c r="BE434" s="245"/>
      <c r="BF434" s="245"/>
      <c r="BG434" s="245"/>
      <c r="BH434" s="245"/>
      <c r="BI434" s="245"/>
      <c r="BJ434" s="245"/>
      <c r="BK434" s="245"/>
      <c r="BL434" s="245"/>
      <c r="BM434" s="245"/>
      <c r="BN434" s="245"/>
      <c r="BO434" s="245"/>
      <c r="BP434" s="245"/>
      <c r="BQ434" s="245"/>
      <c r="BR434" s="245"/>
      <c r="BS434" s="245"/>
      <c r="BT434" s="246"/>
      <c r="BU434" s="245"/>
      <c r="BV434" s="245"/>
      <c r="BW434" s="245"/>
      <c r="BX434" s="245"/>
      <c r="BY434" s="245"/>
      <c r="BZ434" s="282"/>
      <c r="CA434" s="245"/>
      <c r="CB434" s="245"/>
      <c r="CC434" s="245"/>
      <c r="CD434" s="245"/>
      <c r="CE434" s="245"/>
      <c r="CF434" s="245"/>
    </row>
    <row r="435">
      <c r="A435" s="245"/>
      <c r="B435" s="245"/>
      <c r="C435" s="245"/>
      <c r="D435" s="246"/>
      <c r="E435" s="245"/>
      <c r="F435" s="245"/>
      <c r="G435" s="245"/>
      <c r="H435" s="245"/>
      <c r="I435" s="245"/>
      <c r="J435" s="245"/>
      <c r="K435" s="265"/>
      <c r="L435" s="245"/>
      <c r="M435" s="245"/>
      <c r="N435" s="245"/>
      <c r="O435" s="245"/>
      <c r="P435" s="245"/>
      <c r="Q435" s="247"/>
      <c r="R435" s="254"/>
      <c r="S435" s="245"/>
      <c r="T435" s="245"/>
      <c r="U435" s="245"/>
      <c r="V435" s="245"/>
      <c r="W435" s="245"/>
      <c r="X435" s="245"/>
      <c r="Y435" s="249"/>
      <c r="Z435" s="276"/>
      <c r="AA435" s="245"/>
      <c r="AB435" s="276"/>
      <c r="AC435" s="276"/>
      <c r="AD435" s="246"/>
      <c r="AE435" s="278"/>
      <c r="AF435" s="370"/>
      <c r="AG435" s="371"/>
      <c r="AH435" s="276"/>
      <c r="AI435" s="254"/>
      <c r="AJ435" s="287"/>
      <c r="AK435" s="278"/>
      <c r="AL435" s="246"/>
      <c r="AM435" s="245"/>
      <c r="AN435" s="245"/>
      <c r="AO435" s="274"/>
      <c r="AP435" s="245"/>
      <c r="AQ435" s="245"/>
      <c r="AR435" s="246"/>
      <c r="AS435" s="245"/>
      <c r="AT435" s="276"/>
      <c r="AU435" s="245"/>
      <c r="AV435" s="245"/>
      <c r="AW435" s="245"/>
      <c r="AX435" s="246"/>
      <c r="AY435" s="245"/>
      <c r="AZ435" s="245"/>
      <c r="BA435" s="246"/>
      <c r="BB435" s="245"/>
      <c r="BC435" s="245"/>
      <c r="BD435" s="245"/>
      <c r="BE435" s="245"/>
      <c r="BF435" s="245"/>
      <c r="BG435" s="245"/>
      <c r="BH435" s="245"/>
      <c r="BI435" s="245"/>
      <c r="BJ435" s="245"/>
      <c r="BK435" s="245"/>
      <c r="BL435" s="245"/>
      <c r="BM435" s="245"/>
      <c r="BN435" s="245"/>
      <c r="BO435" s="245"/>
      <c r="BP435" s="245"/>
      <c r="BQ435" s="245"/>
      <c r="BR435" s="245"/>
      <c r="BS435" s="245"/>
      <c r="BT435" s="246"/>
      <c r="BU435" s="245"/>
      <c r="BV435" s="245"/>
      <c r="BW435" s="245"/>
      <c r="BX435" s="245"/>
      <c r="BY435" s="245"/>
      <c r="BZ435" s="282"/>
      <c r="CA435" s="245"/>
      <c r="CB435" s="245"/>
      <c r="CC435" s="245"/>
      <c r="CD435" s="245"/>
      <c r="CE435" s="245"/>
      <c r="CF435" s="245"/>
    </row>
    <row r="436">
      <c r="A436" s="245"/>
      <c r="B436" s="245"/>
      <c r="C436" s="245"/>
      <c r="D436" s="246"/>
      <c r="E436" s="245"/>
      <c r="F436" s="245"/>
      <c r="G436" s="245"/>
      <c r="H436" s="245"/>
      <c r="I436" s="245"/>
      <c r="J436" s="245"/>
      <c r="K436" s="265"/>
      <c r="L436" s="245"/>
      <c r="M436" s="245"/>
      <c r="N436" s="245"/>
      <c r="O436" s="245"/>
      <c r="P436" s="245"/>
      <c r="Q436" s="247"/>
      <c r="R436" s="254"/>
      <c r="S436" s="245"/>
      <c r="T436" s="245"/>
      <c r="U436" s="245"/>
      <c r="V436" s="245"/>
      <c r="W436" s="245"/>
      <c r="X436" s="245"/>
      <c r="Y436" s="249"/>
      <c r="Z436" s="276"/>
      <c r="AA436" s="245"/>
      <c r="AB436" s="276"/>
      <c r="AC436" s="276"/>
      <c r="AD436" s="246"/>
      <c r="AE436" s="278"/>
      <c r="AF436" s="370"/>
      <c r="AG436" s="371"/>
      <c r="AH436" s="286"/>
      <c r="AI436" s="254"/>
      <c r="AJ436" s="287"/>
      <c r="AK436" s="278"/>
      <c r="AL436" s="246"/>
      <c r="AM436" s="245"/>
      <c r="AN436" s="245"/>
      <c r="AO436" s="274"/>
      <c r="AP436" s="245"/>
      <c r="AQ436" s="245"/>
      <c r="AR436" s="246"/>
      <c r="AS436" s="245"/>
      <c r="AT436" s="276"/>
      <c r="AU436" s="245"/>
      <c r="AV436" s="245"/>
      <c r="AW436" s="327"/>
      <c r="AX436" s="246"/>
      <c r="AY436" s="245"/>
      <c r="AZ436" s="245"/>
      <c r="BA436" s="246"/>
      <c r="BB436" s="245"/>
      <c r="BC436" s="245"/>
      <c r="BD436" s="245"/>
      <c r="BE436" s="245"/>
      <c r="BF436" s="245"/>
      <c r="BG436" s="245"/>
      <c r="BH436" s="245"/>
      <c r="BI436" s="245"/>
      <c r="BJ436" s="245"/>
      <c r="BK436" s="245"/>
      <c r="BL436" s="245"/>
      <c r="BM436" s="245"/>
      <c r="BN436" s="245"/>
      <c r="BO436" s="245"/>
      <c r="BP436" s="245"/>
      <c r="BQ436" s="245"/>
      <c r="BR436" s="245"/>
      <c r="BS436" s="245"/>
      <c r="BT436" s="246"/>
      <c r="BU436" s="245"/>
      <c r="BV436" s="245"/>
      <c r="BW436" s="245"/>
      <c r="BX436" s="245"/>
      <c r="BY436" s="245"/>
      <c r="BZ436" s="282"/>
      <c r="CA436" s="245"/>
      <c r="CB436" s="245"/>
      <c r="CC436" s="245"/>
      <c r="CD436" s="245"/>
      <c r="CE436" s="245"/>
      <c r="CF436" s="245"/>
    </row>
    <row r="437">
      <c r="A437" s="245"/>
      <c r="B437" s="245"/>
      <c r="C437" s="245"/>
      <c r="D437" s="246"/>
      <c r="E437" s="245"/>
      <c r="F437" s="245"/>
      <c r="G437" s="245"/>
      <c r="H437" s="245"/>
      <c r="I437" s="245"/>
      <c r="J437" s="245"/>
      <c r="K437" s="265"/>
      <c r="L437" s="245"/>
      <c r="M437" s="245"/>
      <c r="N437" s="245"/>
      <c r="O437" s="245"/>
      <c r="P437" s="245"/>
      <c r="Q437" s="247"/>
      <c r="R437" s="254"/>
      <c r="S437" s="245"/>
      <c r="T437" s="245"/>
      <c r="U437" s="245"/>
      <c r="V437" s="245"/>
      <c r="W437" s="245"/>
      <c r="X437" s="245"/>
      <c r="Y437" s="249"/>
      <c r="Z437" s="276"/>
      <c r="AA437" s="245"/>
      <c r="AB437" s="276"/>
      <c r="AC437" s="276"/>
      <c r="AD437" s="246"/>
      <c r="AE437" s="278"/>
      <c r="AF437" s="370"/>
      <c r="AG437" s="371"/>
      <c r="AH437" s="287"/>
      <c r="AI437" s="254"/>
      <c r="AJ437" s="287"/>
      <c r="AK437" s="278"/>
      <c r="AL437" s="246"/>
      <c r="AM437" s="245"/>
      <c r="AN437" s="245"/>
      <c r="AO437" s="274"/>
      <c r="AP437" s="245"/>
      <c r="AQ437" s="245"/>
      <c r="AR437" s="246"/>
      <c r="AS437" s="245"/>
      <c r="AT437" s="276"/>
      <c r="AU437" s="245"/>
      <c r="AV437" s="245"/>
      <c r="AW437" s="287"/>
      <c r="AX437" s="246"/>
      <c r="AY437" s="245"/>
      <c r="AZ437" s="245"/>
      <c r="BA437" s="246"/>
      <c r="BB437" s="245"/>
      <c r="BC437" s="245"/>
      <c r="BD437" s="245"/>
      <c r="BE437" s="245"/>
      <c r="BF437" s="245"/>
      <c r="BG437" s="245"/>
      <c r="BH437" s="245"/>
      <c r="BI437" s="245"/>
      <c r="BJ437" s="245"/>
      <c r="BK437" s="245"/>
      <c r="BL437" s="245"/>
      <c r="BM437" s="245"/>
      <c r="BN437" s="245"/>
      <c r="BO437" s="245"/>
      <c r="BP437" s="245"/>
      <c r="BQ437" s="245"/>
      <c r="BR437" s="245"/>
      <c r="BS437" s="245"/>
      <c r="BT437" s="246"/>
      <c r="BU437" s="245"/>
      <c r="BV437" s="245"/>
      <c r="BW437" s="245"/>
      <c r="BX437" s="245"/>
      <c r="BY437" s="245"/>
      <c r="BZ437" s="282"/>
      <c r="CA437" s="245"/>
      <c r="CB437" s="245"/>
      <c r="CC437" s="245"/>
      <c r="CD437" s="245"/>
      <c r="CE437" s="245"/>
      <c r="CF437" s="245"/>
    </row>
    <row r="438">
      <c r="A438" s="245"/>
      <c r="B438" s="245"/>
      <c r="C438" s="245"/>
      <c r="D438" s="246"/>
      <c r="E438" s="245"/>
      <c r="F438" s="245"/>
      <c r="G438" s="245"/>
      <c r="H438" s="245"/>
      <c r="I438" s="245"/>
      <c r="J438" s="245"/>
      <c r="K438" s="265"/>
      <c r="L438" s="245"/>
      <c r="M438" s="245"/>
      <c r="N438" s="245"/>
      <c r="O438" s="245"/>
      <c r="P438" s="245"/>
      <c r="Q438" s="247"/>
      <c r="R438" s="254"/>
      <c r="S438" s="245"/>
      <c r="T438" s="245"/>
      <c r="U438" s="245"/>
      <c r="V438" s="245"/>
      <c r="W438" s="245"/>
      <c r="X438" s="245"/>
      <c r="Y438" s="249"/>
      <c r="Z438" s="276"/>
      <c r="AA438" s="245"/>
      <c r="AB438" s="276"/>
      <c r="AC438" s="276"/>
      <c r="AD438" s="246"/>
      <c r="AE438" s="278"/>
      <c r="AF438" s="370"/>
      <c r="AG438" s="371"/>
      <c r="AH438" s="276"/>
      <c r="AI438" s="245"/>
      <c r="AJ438" s="287"/>
      <c r="AK438" s="278"/>
      <c r="AL438" s="246"/>
      <c r="AM438" s="245"/>
      <c r="AN438" s="245"/>
      <c r="AO438" s="274"/>
      <c r="AP438" s="245"/>
      <c r="AQ438" s="245"/>
      <c r="AR438" s="246"/>
      <c r="AS438" s="245"/>
      <c r="AT438" s="245"/>
      <c r="AU438" s="245"/>
      <c r="AV438" s="245"/>
      <c r="AW438" s="327"/>
      <c r="AX438" s="246"/>
      <c r="AY438" s="245"/>
      <c r="AZ438" s="245"/>
      <c r="BA438" s="246"/>
      <c r="BB438" s="245"/>
      <c r="BC438" s="245"/>
      <c r="BD438" s="245"/>
      <c r="BE438" s="245"/>
      <c r="BF438" s="245"/>
      <c r="BG438" s="245"/>
      <c r="BH438" s="245"/>
      <c r="BI438" s="245"/>
      <c r="BJ438" s="245"/>
      <c r="BK438" s="245"/>
      <c r="BL438" s="245"/>
      <c r="BM438" s="245"/>
      <c r="BN438" s="245"/>
      <c r="BO438" s="245"/>
      <c r="BP438" s="245"/>
      <c r="BQ438" s="245"/>
      <c r="BR438" s="245"/>
      <c r="BS438" s="245"/>
      <c r="BT438" s="246"/>
      <c r="BU438" s="245"/>
      <c r="BV438" s="245"/>
      <c r="BW438" s="245"/>
      <c r="BX438" s="245"/>
      <c r="BY438" s="245"/>
      <c r="BZ438" s="282"/>
      <c r="CA438" s="245"/>
      <c r="CB438" s="245"/>
      <c r="CC438" s="245"/>
      <c r="CD438" s="245"/>
      <c r="CE438" s="245"/>
      <c r="CF438" s="245"/>
    </row>
    <row r="439">
      <c r="A439" s="245"/>
      <c r="B439" s="245"/>
      <c r="C439" s="245"/>
      <c r="D439" s="246"/>
      <c r="E439" s="245"/>
      <c r="F439" s="245"/>
      <c r="G439" s="245"/>
      <c r="H439" s="245"/>
      <c r="I439" s="245"/>
      <c r="J439" s="245"/>
      <c r="K439" s="265"/>
      <c r="L439" s="245"/>
      <c r="M439" s="245"/>
      <c r="N439" s="245"/>
      <c r="O439" s="245"/>
      <c r="P439" s="245"/>
      <c r="Q439" s="247"/>
      <c r="R439" s="254"/>
      <c r="S439" s="245"/>
      <c r="T439" s="245"/>
      <c r="U439" s="245"/>
      <c r="V439" s="245"/>
      <c r="W439" s="245"/>
      <c r="X439" s="245"/>
      <c r="Y439" s="249"/>
      <c r="Z439" s="276"/>
      <c r="AA439" s="245"/>
      <c r="AB439" s="276"/>
      <c r="AC439" s="276"/>
      <c r="AD439" s="246"/>
      <c r="AE439" s="278"/>
      <c r="AF439" s="370"/>
      <c r="AG439" s="371"/>
      <c r="AH439" s="276"/>
      <c r="AI439" s="245"/>
      <c r="AJ439" s="287"/>
      <c r="AK439" s="278"/>
      <c r="AL439" s="246"/>
      <c r="AM439" s="245"/>
      <c r="AN439" s="245"/>
      <c r="AO439" s="274"/>
      <c r="AP439" s="245"/>
      <c r="AQ439" s="245"/>
      <c r="AR439" s="246"/>
      <c r="AS439" s="245"/>
      <c r="AT439" s="245"/>
      <c r="AU439" s="245"/>
      <c r="AV439" s="245"/>
      <c r="AW439" s="245"/>
      <c r="AX439" s="246"/>
      <c r="AY439" s="245"/>
      <c r="AZ439" s="245"/>
      <c r="BA439" s="246"/>
      <c r="BB439" s="245"/>
      <c r="BC439" s="245"/>
      <c r="BD439" s="245"/>
      <c r="BE439" s="245"/>
      <c r="BF439" s="245"/>
      <c r="BG439" s="245"/>
      <c r="BH439" s="245"/>
      <c r="BI439" s="245"/>
      <c r="BJ439" s="245"/>
      <c r="BK439" s="245"/>
      <c r="BL439" s="245"/>
      <c r="BM439" s="245"/>
      <c r="BN439" s="245"/>
      <c r="BO439" s="245"/>
      <c r="BP439" s="245"/>
      <c r="BQ439" s="245"/>
      <c r="BR439" s="245"/>
      <c r="BS439" s="245"/>
      <c r="BT439" s="246"/>
      <c r="BU439" s="245"/>
      <c r="BV439" s="245"/>
      <c r="BW439" s="245"/>
      <c r="BX439" s="245"/>
      <c r="BY439" s="245"/>
      <c r="BZ439" s="282"/>
      <c r="CA439" s="245"/>
      <c r="CB439" s="245"/>
      <c r="CC439" s="245"/>
      <c r="CD439" s="245"/>
      <c r="CE439" s="245"/>
      <c r="CF439" s="245"/>
    </row>
    <row r="440">
      <c r="A440" s="245"/>
      <c r="B440" s="245"/>
      <c r="C440" s="245"/>
      <c r="D440" s="246"/>
      <c r="E440" s="245"/>
      <c r="F440" s="245"/>
      <c r="G440" s="245"/>
      <c r="H440" s="245"/>
      <c r="I440" s="245"/>
      <c r="J440" s="245"/>
      <c r="K440" s="265"/>
      <c r="L440" s="245"/>
      <c r="M440" s="245"/>
      <c r="N440" s="245"/>
      <c r="O440" s="245"/>
      <c r="P440" s="245"/>
      <c r="Q440" s="247"/>
      <c r="R440" s="254"/>
      <c r="S440" s="245"/>
      <c r="T440" s="245"/>
      <c r="U440" s="245"/>
      <c r="V440" s="245"/>
      <c r="W440" s="245"/>
      <c r="X440" s="245"/>
      <c r="Y440" s="249"/>
      <c r="Z440" s="276"/>
      <c r="AA440" s="245"/>
      <c r="AB440" s="276"/>
      <c r="AC440" s="276"/>
      <c r="AD440" s="246"/>
      <c r="AE440" s="278"/>
      <c r="AF440" s="370"/>
      <c r="AG440" s="371"/>
      <c r="AH440" s="276"/>
      <c r="AI440" s="245"/>
      <c r="AJ440" s="287"/>
      <c r="AK440" s="278"/>
      <c r="AL440" s="246"/>
      <c r="AM440" s="245"/>
      <c r="AN440" s="245"/>
      <c r="AO440" s="274"/>
      <c r="AP440" s="245"/>
      <c r="AQ440" s="245"/>
      <c r="AR440" s="246"/>
      <c r="AS440" s="245"/>
      <c r="AT440" s="245"/>
      <c r="AU440" s="245"/>
      <c r="AV440" s="245"/>
      <c r="AW440" s="287"/>
      <c r="AX440" s="246"/>
      <c r="AY440" s="245"/>
      <c r="AZ440" s="245"/>
      <c r="BA440" s="246"/>
      <c r="BB440" s="245"/>
      <c r="BC440" s="245"/>
      <c r="BD440" s="245"/>
      <c r="BE440" s="245"/>
      <c r="BF440" s="245"/>
      <c r="BG440" s="245"/>
      <c r="BH440" s="245"/>
      <c r="BI440" s="245"/>
      <c r="BJ440" s="245"/>
      <c r="BK440" s="245"/>
      <c r="BL440" s="245"/>
      <c r="BM440" s="245"/>
      <c r="BN440" s="245"/>
      <c r="BO440" s="245"/>
      <c r="BP440" s="245"/>
      <c r="BQ440" s="245"/>
      <c r="BR440" s="245"/>
      <c r="BS440" s="245"/>
      <c r="BT440" s="246"/>
      <c r="BU440" s="245"/>
      <c r="BV440" s="245"/>
      <c r="BW440" s="245"/>
      <c r="BX440" s="245"/>
      <c r="BY440" s="245"/>
      <c r="BZ440" s="282"/>
      <c r="CA440" s="245"/>
      <c r="CB440" s="245"/>
      <c r="CC440" s="245"/>
      <c r="CD440" s="245"/>
      <c r="CE440" s="245"/>
      <c r="CF440" s="245"/>
    </row>
    <row r="441">
      <c r="A441" s="245"/>
      <c r="B441" s="245"/>
      <c r="C441" s="245"/>
      <c r="D441" s="246"/>
      <c r="E441" s="245"/>
      <c r="F441" s="245"/>
      <c r="G441" s="245"/>
      <c r="H441" s="245"/>
      <c r="I441" s="245"/>
      <c r="J441" s="245"/>
      <c r="K441" s="265"/>
      <c r="L441" s="245"/>
      <c r="M441" s="245"/>
      <c r="N441" s="245"/>
      <c r="O441" s="245"/>
      <c r="P441" s="245"/>
      <c r="Q441" s="247"/>
      <c r="R441" s="254"/>
      <c r="S441" s="245"/>
      <c r="T441" s="245"/>
      <c r="U441" s="245"/>
      <c r="V441" s="245"/>
      <c r="W441" s="245"/>
      <c r="X441" s="245"/>
      <c r="Y441" s="249"/>
      <c r="Z441" s="276"/>
      <c r="AA441" s="245"/>
      <c r="AB441" s="276"/>
      <c r="AC441" s="276"/>
      <c r="AD441" s="246"/>
      <c r="AE441" s="278"/>
      <c r="AF441" s="370"/>
      <c r="AG441" s="371"/>
      <c r="AH441" s="276"/>
      <c r="AI441" s="245"/>
      <c r="AJ441" s="287"/>
      <c r="AK441" s="278"/>
      <c r="AL441" s="246"/>
      <c r="AM441" s="245"/>
      <c r="AN441" s="245"/>
      <c r="AO441" s="274"/>
      <c r="AP441" s="245"/>
      <c r="AQ441" s="245"/>
      <c r="AR441" s="246"/>
      <c r="AS441" s="245"/>
      <c r="AT441" s="245"/>
      <c r="AU441" s="245"/>
      <c r="AV441" s="245"/>
      <c r="AW441" s="287"/>
      <c r="AX441" s="246"/>
      <c r="AY441" s="245"/>
      <c r="AZ441" s="245"/>
      <c r="BA441" s="246"/>
      <c r="BB441" s="245"/>
      <c r="BC441" s="245"/>
      <c r="BD441" s="245"/>
      <c r="BE441" s="245"/>
      <c r="BF441" s="245"/>
      <c r="BG441" s="245"/>
      <c r="BH441" s="245"/>
      <c r="BI441" s="245"/>
      <c r="BJ441" s="245"/>
      <c r="BK441" s="245"/>
      <c r="BL441" s="245"/>
      <c r="BM441" s="245"/>
      <c r="BN441" s="245"/>
      <c r="BO441" s="245"/>
      <c r="BP441" s="245"/>
      <c r="BQ441" s="245"/>
      <c r="BR441" s="245"/>
      <c r="BS441" s="245"/>
      <c r="BT441" s="246"/>
      <c r="BU441" s="245"/>
      <c r="BV441" s="245"/>
      <c r="BW441" s="245"/>
      <c r="BX441" s="245"/>
      <c r="BY441" s="245"/>
      <c r="BZ441" s="282"/>
      <c r="CA441" s="245"/>
      <c r="CB441" s="245"/>
      <c r="CC441" s="245"/>
      <c r="CD441" s="245"/>
      <c r="CE441" s="245"/>
      <c r="CF441" s="245"/>
    </row>
    <row r="442">
      <c r="A442" s="245"/>
      <c r="B442" s="245"/>
      <c r="C442" s="245"/>
      <c r="D442" s="246"/>
      <c r="E442" s="245"/>
      <c r="F442" s="245"/>
      <c r="G442" s="245"/>
      <c r="H442" s="245"/>
      <c r="I442" s="245"/>
      <c r="J442" s="245"/>
      <c r="K442" s="265"/>
      <c r="L442" s="245"/>
      <c r="M442" s="245"/>
      <c r="N442" s="245"/>
      <c r="O442" s="245"/>
      <c r="P442" s="245"/>
      <c r="Q442" s="247"/>
      <c r="R442" s="254"/>
      <c r="S442" s="245"/>
      <c r="T442" s="245"/>
      <c r="U442" s="245"/>
      <c r="V442" s="245"/>
      <c r="W442" s="245"/>
      <c r="X442" s="245"/>
      <c r="Y442" s="249"/>
      <c r="Z442" s="276"/>
      <c r="AA442" s="245"/>
      <c r="AB442" s="276"/>
      <c r="AC442" s="276"/>
      <c r="AD442" s="246"/>
      <c r="AE442" s="278"/>
      <c r="AF442" s="370"/>
      <c r="AG442" s="371"/>
      <c r="AH442" s="276"/>
      <c r="AI442" s="245"/>
      <c r="AJ442" s="287"/>
      <c r="AK442" s="278"/>
      <c r="AL442" s="246"/>
      <c r="AM442" s="245"/>
      <c r="AN442" s="245"/>
      <c r="AO442" s="274"/>
      <c r="AP442" s="245"/>
      <c r="AQ442" s="245"/>
      <c r="AR442" s="246"/>
      <c r="AS442" s="245"/>
      <c r="AT442" s="245"/>
      <c r="AU442" s="245"/>
      <c r="AV442" s="245"/>
      <c r="AW442" s="287"/>
      <c r="AX442" s="246"/>
      <c r="AY442" s="245"/>
      <c r="AZ442" s="245"/>
      <c r="BA442" s="246"/>
      <c r="BB442" s="245"/>
      <c r="BC442" s="245"/>
      <c r="BD442" s="245"/>
      <c r="BE442" s="245"/>
      <c r="BF442" s="245"/>
      <c r="BG442" s="245"/>
      <c r="BH442" s="245"/>
      <c r="BI442" s="245"/>
      <c r="BJ442" s="245"/>
      <c r="BK442" s="245"/>
      <c r="BL442" s="245"/>
      <c r="BM442" s="245"/>
      <c r="BN442" s="245"/>
      <c r="BO442" s="245"/>
      <c r="BP442" s="245"/>
      <c r="BQ442" s="245"/>
      <c r="BR442" s="245"/>
      <c r="BS442" s="245"/>
      <c r="BT442" s="246"/>
      <c r="BU442" s="245"/>
      <c r="BV442" s="245"/>
      <c r="BW442" s="245"/>
      <c r="BX442" s="245"/>
      <c r="BY442" s="245"/>
      <c r="BZ442" s="282"/>
      <c r="CA442" s="245"/>
      <c r="CB442" s="245"/>
      <c r="CC442" s="245"/>
      <c r="CD442" s="245"/>
      <c r="CE442" s="245"/>
      <c r="CF442" s="245"/>
    </row>
    <row r="443">
      <c r="A443" s="245"/>
      <c r="B443" s="245"/>
      <c r="C443" s="245"/>
      <c r="D443" s="246"/>
      <c r="E443" s="245"/>
      <c r="F443" s="245"/>
      <c r="G443" s="245"/>
      <c r="H443" s="245"/>
      <c r="I443" s="245"/>
      <c r="J443" s="245"/>
      <c r="K443" s="265"/>
      <c r="L443" s="245"/>
      <c r="M443" s="245"/>
      <c r="N443" s="245"/>
      <c r="O443" s="245"/>
      <c r="P443" s="245"/>
      <c r="Q443" s="247"/>
      <c r="R443" s="254"/>
      <c r="S443" s="245"/>
      <c r="T443" s="245"/>
      <c r="U443" s="245"/>
      <c r="V443" s="245"/>
      <c r="W443" s="245"/>
      <c r="X443" s="245"/>
      <c r="Y443" s="249"/>
      <c r="Z443" s="276"/>
      <c r="AA443" s="245"/>
      <c r="AB443" s="276"/>
      <c r="AC443" s="276"/>
      <c r="AD443" s="246"/>
      <c r="AE443" s="278"/>
      <c r="AF443" s="370"/>
      <c r="AG443" s="371"/>
      <c r="AH443" s="276"/>
      <c r="AI443" s="245"/>
      <c r="AJ443" s="287"/>
      <c r="AK443" s="278"/>
      <c r="AL443" s="246"/>
      <c r="AM443" s="245"/>
      <c r="AN443" s="245"/>
      <c r="AO443" s="274"/>
      <c r="AP443" s="245"/>
      <c r="AQ443" s="245"/>
      <c r="AR443" s="246"/>
      <c r="AS443" s="245"/>
      <c r="AT443" s="245"/>
      <c r="AU443" s="245"/>
      <c r="AV443" s="245"/>
      <c r="AW443" s="287"/>
      <c r="AX443" s="246"/>
      <c r="AY443" s="245"/>
      <c r="AZ443" s="245"/>
      <c r="BA443" s="246"/>
      <c r="BB443" s="245"/>
      <c r="BC443" s="245"/>
      <c r="BD443" s="245"/>
      <c r="BE443" s="245"/>
      <c r="BF443" s="245"/>
      <c r="BG443" s="245"/>
      <c r="BH443" s="245"/>
      <c r="BI443" s="245"/>
      <c r="BJ443" s="245"/>
      <c r="BK443" s="245"/>
      <c r="BL443" s="245"/>
      <c r="BM443" s="245"/>
      <c r="BN443" s="245"/>
      <c r="BO443" s="245"/>
      <c r="BP443" s="245"/>
      <c r="BQ443" s="245"/>
      <c r="BR443" s="245"/>
      <c r="BS443" s="245"/>
      <c r="BT443" s="246"/>
      <c r="BU443" s="245"/>
      <c r="BV443" s="245"/>
      <c r="BW443" s="245"/>
      <c r="BX443" s="245"/>
      <c r="BY443" s="245"/>
      <c r="BZ443" s="282"/>
      <c r="CA443" s="245"/>
      <c r="CB443" s="245"/>
      <c r="CC443" s="245"/>
      <c r="CD443" s="245"/>
      <c r="CE443" s="245"/>
      <c r="CF443" s="245"/>
    </row>
    <row r="444">
      <c r="A444" s="245"/>
      <c r="B444" s="245"/>
      <c r="C444" s="245"/>
      <c r="D444" s="246"/>
      <c r="E444" s="245"/>
      <c r="F444" s="245"/>
      <c r="G444" s="245"/>
      <c r="H444" s="245"/>
      <c r="I444" s="245"/>
      <c r="J444" s="245"/>
      <c r="K444" s="265"/>
      <c r="L444" s="245"/>
      <c r="M444" s="245"/>
      <c r="N444" s="245"/>
      <c r="O444" s="245"/>
      <c r="P444" s="245"/>
      <c r="Q444" s="247"/>
      <c r="R444" s="254"/>
      <c r="S444" s="245"/>
      <c r="T444" s="245"/>
      <c r="U444" s="245"/>
      <c r="V444" s="245"/>
      <c r="W444" s="245"/>
      <c r="X444" s="245"/>
      <c r="Y444" s="249"/>
      <c r="Z444" s="276"/>
      <c r="AA444" s="245"/>
      <c r="AB444" s="276"/>
      <c r="AC444" s="276"/>
      <c r="AD444" s="246"/>
      <c r="AE444" s="278"/>
      <c r="AF444" s="370"/>
      <c r="AG444" s="371"/>
      <c r="AH444" s="276"/>
      <c r="AI444" s="245"/>
      <c r="AJ444" s="287"/>
      <c r="AK444" s="278"/>
      <c r="AL444" s="246"/>
      <c r="AM444" s="245"/>
      <c r="AN444" s="245"/>
      <c r="AO444" s="274"/>
      <c r="AP444" s="245"/>
      <c r="AQ444" s="245"/>
      <c r="AR444" s="246"/>
      <c r="AS444" s="245"/>
      <c r="AT444" s="245"/>
      <c r="AU444" s="245"/>
      <c r="AV444" s="245"/>
      <c r="AW444" s="287"/>
      <c r="AX444" s="246"/>
      <c r="AY444" s="245"/>
      <c r="AZ444" s="245"/>
      <c r="BA444" s="246"/>
      <c r="BB444" s="245"/>
      <c r="BC444" s="245"/>
      <c r="BD444" s="245"/>
      <c r="BE444" s="245"/>
      <c r="BF444" s="245"/>
      <c r="BG444" s="245"/>
      <c r="BH444" s="245"/>
      <c r="BI444" s="245"/>
      <c r="BJ444" s="245"/>
      <c r="BK444" s="245"/>
      <c r="BL444" s="245"/>
      <c r="BM444" s="245"/>
      <c r="BN444" s="245"/>
      <c r="BO444" s="245"/>
      <c r="BP444" s="245"/>
      <c r="BQ444" s="245"/>
      <c r="BR444" s="245"/>
      <c r="BS444" s="245"/>
      <c r="BT444" s="246"/>
      <c r="BU444" s="245"/>
      <c r="BV444" s="245"/>
      <c r="BW444" s="245"/>
      <c r="BX444" s="245"/>
      <c r="BY444" s="245"/>
      <c r="BZ444" s="282"/>
      <c r="CA444" s="245"/>
      <c r="CB444" s="245"/>
      <c r="CC444" s="245"/>
      <c r="CD444" s="245"/>
      <c r="CE444" s="245"/>
      <c r="CF444" s="245"/>
    </row>
    <row r="445">
      <c r="A445" s="245"/>
      <c r="B445" s="245"/>
      <c r="C445" s="245"/>
      <c r="D445" s="246"/>
      <c r="E445" s="245"/>
      <c r="F445" s="245"/>
      <c r="G445" s="245"/>
      <c r="H445" s="245"/>
      <c r="I445" s="245"/>
      <c r="J445" s="245"/>
      <c r="K445" s="265"/>
      <c r="L445" s="245"/>
      <c r="M445" s="245"/>
      <c r="N445" s="245"/>
      <c r="O445" s="245"/>
      <c r="P445" s="245"/>
      <c r="Q445" s="247"/>
      <c r="R445" s="254"/>
      <c r="S445" s="245"/>
      <c r="T445" s="245"/>
      <c r="U445" s="245"/>
      <c r="V445" s="245"/>
      <c r="W445" s="245"/>
      <c r="X445" s="245"/>
      <c r="Y445" s="249"/>
      <c r="Z445" s="276"/>
      <c r="AA445" s="245"/>
      <c r="AB445" s="276"/>
      <c r="AC445" s="276"/>
      <c r="AD445" s="246"/>
      <c r="AE445" s="278"/>
      <c r="AF445" s="370"/>
      <c r="AG445" s="371"/>
      <c r="AH445" s="276"/>
      <c r="AI445" s="245"/>
      <c r="AJ445" s="287"/>
      <c r="AK445" s="278"/>
      <c r="AL445" s="246"/>
      <c r="AM445" s="245"/>
      <c r="AN445" s="245"/>
      <c r="AO445" s="274"/>
      <c r="AP445" s="245"/>
      <c r="AQ445" s="245"/>
      <c r="AR445" s="246"/>
      <c r="AS445" s="245"/>
      <c r="AT445" s="245"/>
      <c r="AU445" s="245"/>
      <c r="AV445" s="245"/>
      <c r="AW445" s="287"/>
      <c r="AX445" s="246"/>
      <c r="AY445" s="245"/>
      <c r="AZ445" s="245"/>
      <c r="BA445" s="246"/>
      <c r="BB445" s="245"/>
      <c r="BC445" s="245"/>
      <c r="BD445" s="245"/>
      <c r="BE445" s="245"/>
      <c r="BF445" s="245"/>
      <c r="BG445" s="245"/>
      <c r="BH445" s="245"/>
      <c r="BI445" s="245"/>
      <c r="BJ445" s="245"/>
      <c r="BK445" s="245"/>
      <c r="BL445" s="245"/>
      <c r="BM445" s="245"/>
      <c r="BN445" s="245"/>
      <c r="BO445" s="245"/>
      <c r="BP445" s="245"/>
      <c r="BQ445" s="245"/>
      <c r="BR445" s="245"/>
      <c r="BS445" s="245"/>
      <c r="BT445" s="246"/>
      <c r="BU445" s="245"/>
      <c r="BV445" s="245"/>
      <c r="BW445" s="245"/>
      <c r="BX445" s="245"/>
      <c r="BY445" s="245"/>
      <c r="BZ445" s="282"/>
      <c r="CA445" s="245"/>
      <c r="CB445" s="245"/>
      <c r="CC445" s="245"/>
      <c r="CD445" s="245"/>
      <c r="CE445" s="245"/>
      <c r="CF445" s="245"/>
    </row>
    <row r="446">
      <c r="A446" s="245"/>
      <c r="B446" s="245"/>
      <c r="C446" s="245"/>
      <c r="D446" s="246"/>
      <c r="E446" s="245"/>
      <c r="F446" s="245"/>
      <c r="G446" s="245"/>
      <c r="H446" s="245"/>
      <c r="I446" s="245"/>
      <c r="J446" s="245"/>
      <c r="K446" s="265"/>
      <c r="L446" s="245"/>
      <c r="M446" s="245"/>
      <c r="N446" s="245"/>
      <c r="O446" s="245"/>
      <c r="P446" s="245"/>
      <c r="Q446" s="247"/>
      <c r="R446" s="254"/>
      <c r="S446" s="245"/>
      <c r="T446" s="245"/>
      <c r="U446" s="245"/>
      <c r="V446" s="245"/>
      <c r="W446" s="245"/>
      <c r="X446" s="245"/>
      <c r="Y446" s="249"/>
      <c r="Z446" s="276"/>
      <c r="AA446" s="245"/>
      <c r="AB446" s="276"/>
      <c r="AC446" s="276"/>
      <c r="AD446" s="246"/>
      <c r="AE446" s="278"/>
      <c r="AF446" s="370"/>
      <c r="AG446" s="371"/>
      <c r="AH446" s="276"/>
      <c r="AI446" s="245"/>
      <c r="AJ446" s="287"/>
      <c r="AK446" s="278"/>
      <c r="AL446" s="246"/>
      <c r="AM446" s="245"/>
      <c r="AN446" s="245"/>
      <c r="AO446" s="274"/>
      <c r="AP446" s="245"/>
      <c r="AQ446" s="245"/>
      <c r="AR446" s="246"/>
      <c r="AS446" s="245"/>
      <c r="AT446" s="245"/>
      <c r="AU446" s="245"/>
      <c r="AV446" s="245"/>
      <c r="AW446" s="287"/>
      <c r="AX446" s="246"/>
      <c r="AY446" s="245"/>
      <c r="AZ446" s="245"/>
      <c r="BA446" s="246"/>
      <c r="BB446" s="245"/>
      <c r="BC446" s="245"/>
      <c r="BD446" s="245"/>
      <c r="BE446" s="245"/>
      <c r="BF446" s="245"/>
      <c r="BG446" s="245"/>
      <c r="BH446" s="245"/>
      <c r="BI446" s="245"/>
      <c r="BJ446" s="245"/>
      <c r="BK446" s="245"/>
      <c r="BL446" s="245"/>
      <c r="BM446" s="245"/>
      <c r="BN446" s="245"/>
      <c r="BO446" s="245"/>
      <c r="BP446" s="245"/>
      <c r="BQ446" s="245"/>
      <c r="BR446" s="245"/>
      <c r="BS446" s="245"/>
      <c r="BT446" s="246"/>
      <c r="BU446" s="245"/>
      <c r="BV446" s="245"/>
      <c r="BW446" s="245"/>
      <c r="BX446" s="245"/>
      <c r="BY446" s="245"/>
      <c r="BZ446" s="282"/>
      <c r="CA446" s="245"/>
      <c r="CB446" s="245"/>
      <c r="CC446" s="245"/>
      <c r="CD446" s="245"/>
      <c r="CE446" s="245"/>
      <c r="CF446" s="245"/>
    </row>
    <row r="447">
      <c r="A447" s="245"/>
      <c r="B447" s="245"/>
      <c r="C447" s="245"/>
      <c r="D447" s="246"/>
      <c r="E447" s="245"/>
      <c r="F447" s="245"/>
      <c r="G447" s="245"/>
      <c r="H447" s="245"/>
      <c r="I447" s="245"/>
      <c r="J447" s="245"/>
      <c r="K447" s="265"/>
      <c r="L447" s="245"/>
      <c r="M447" s="245"/>
      <c r="N447" s="245"/>
      <c r="O447" s="245"/>
      <c r="P447" s="245"/>
      <c r="Q447" s="247"/>
      <c r="R447" s="254"/>
      <c r="S447" s="245"/>
      <c r="T447" s="245"/>
      <c r="U447" s="245"/>
      <c r="V447" s="245"/>
      <c r="W447" s="245"/>
      <c r="X447" s="245"/>
      <c r="Y447" s="249"/>
      <c r="Z447" s="276"/>
      <c r="AA447" s="245"/>
      <c r="AB447" s="276"/>
      <c r="AC447" s="276"/>
      <c r="AD447" s="246"/>
      <c r="AE447" s="278"/>
      <c r="AF447" s="370"/>
      <c r="AG447" s="371"/>
      <c r="AH447" s="276"/>
      <c r="AI447" s="245"/>
      <c r="AJ447" s="287"/>
      <c r="AK447" s="278"/>
      <c r="AL447" s="246"/>
      <c r="AM447" s="245"/>
      <c r="AN447" s="245"/>
      <c r="AO447" s="274"/>
      <c r="AP447" s="245"/>
      <c r="AQ447" s="245"/>
      <c r="AR447" s="246"/>
      <c r="AS447" s="245"/>
      <c r="AT447" s="245"/>
      <c r="AU447" s="245"/>
      <c r="AV447" s="245"/>
      <c r="AW447" s="287"/>
      <c r="AX447" s="246"/>
      <c r="AY447" s="245"/>
      <c r="AZ447" s="245"/>
      <c r="BA447" s="246"/>
      <c r="BB447" s="245"/>
      <c r="BC447" s="245"/>
      <c r="BD447" s="245"/>
      <c r="BE447" s="245"/>
      <c r="BF447" s="245"/>
      <c r="BG447" s="245"/>
      <c r="BH447" s="245"/>
      <c r="BI447" s="245"/>
      <c r="BJ447" s="245"/>
      <c r="BK447" s="245"/>
      <c r="BL447" s="245"/>
      <c r="BM447" s="245"/>
      <c r="BN447" s="245"/>
      <c r="BO447" s="245"/>
      <c r="BP447" s="245"/>
      <c r="BQ447" s="245"/>
      <c r="BR447" s="245"/>
      <c r="BS447" s="245"/>
      <c r="BT447" s="246"/>
      <c r="BU447" s="245"/>
      <c r="BV447" s="245"/>
      <c r="BW447" s="245"/>
      <c r="BX447" s="245"/>
      <c r="BY447" s="245"/>
      <c r="BZ447" s="282"/>
      <c r="CA447" s="245"/>
      <c r="CB447" s="245"/>
      <c r="CC447" s="245"/>
      <c r="CD447" s="245"/>
      <c r="CE447" s="245"/>
      <c r="CF447" s="245"/>
    </row>
    <row r="448">
      <c r="A448" s="245"/>
      <c r="B448" s="245"/>
      <c r="C448" s="245"/>
      <c r="D448" s="246"/>
      <c r="E448" s="245"/>
      <c r="F448" s="245"/>
      <c r="G448" s="245"/>
      <c r="H448" s="245"/>
      <c r="I448" s="245"/>
      <c r="J448" s="245"/>
      <c r="K448" s="265"/>
      <c r="L448" s="245"/>
      <c r="M448" s="245"/>
      <c r="N448" s="245"/>
      <c r="O448" s="245"/>
      <c r="P448" s="245"/>
      <c r="Q448" s="247"/>
      <c r="R448" s="254"/>
      <c r="S448" s="245"/>
      <c r="T448" s="245"/>
      <c r="U448" s="245"/>
      <c r="V448" s="245"/>
      <c r="W448" s="245"/>
      <c r="X448" s="245"/>
      <c r="Y448" s="249"/>
      <c r="Z448" s="276"/>
      <c r="AA448" s="245"/>
      <c r="AB448" s="276"/>
      <c r="AC448" s="276"/>
      <c r="AD448" s="246"/>
      <c r="AE448" s="278"/>
      <c r="AF448" s="370"/>
      <c r="AG448" s="371"/>
      <c r="AH448" s="276"/>
      <c r="AI448" s="245"/>
      <c r="AJ448" s="287"/>
      <c r="AK448" s="278"/>
      <c r="AL448" s="246"/>
      <c r="AM448" s="245"/>
      <c r="AN448" s="245"/>
      <c r="AO448" s="274"/>
      <c r="AP448" s="245"/>
      <c r="AQ448" s="245"/>
      <c r="AR448" s="246"/>
      <c r="AS448" s="245"/>
      <c r="AT448" s="245"/>
      <c r="AU448" s="245"/>
      <c r="AV448" s="245"/>
      <c r="AW448" s="287"/>
      <c r="AX448" s="246"/>
      <c r="AY448" s="245"/>
      <c r="AZ448" s="245"/>
      <c r="BA448" s="246"/>
      <c r="BB448" s="245"/>
      <c r="BC448" s="245"/>
      <c r="BD448" s="245"/>
      <c r="BE448" s="245"/>
      <c r="BF448" s="245"/>
      <c r="BG448" s="245"/>
      <c r="BH448" s="245"/>
      <c r="BI448" s="245"/>
      <c r="BJ448" s="245"/>
      <c r="BK448" s="245"/>
      <c r="BL448" s="245"/>
      <c r="BM448" s="245"/>
      <c r="BN448" s="245"/>
      <c r="BO448" s="245"/>
      <c r="BP448" s="245"/>
      <c r="BQ448" s="245"/>
      <c r="BR448" s="245"/>
      <c r="BS448" s="245"/>
      <c r="BT448" s="246"/>
      <c r="BU448" s="245"/>
      <c r="BV448" s="245"/>
      <c r="BW448" s="245"/>
      <c r="BX448" s="245"/>
      <c r="BY448" s="245"/>
      <c r="BZ448" s="282"/>
      <c r="CA448" s="245"/>
      <c r="CB448" s="245"/>
      <c r="CC448" s="245"/>
      <c r="CD448" s="245"/>
      <c r="CE448" s="245"/>
      <c r="CF448" s="245"/>
    </row>
    <row r="449">
      <c r="A449" s="245"/>
      <c r="B449" s="245"/>
      <c r="C449" s="245"/>
      <c r="D449" s="246"/>
      <c r="E449" s="245"/>
      <c r="F449" s="245"/>
      <c r="G449" s="245"/>
      <c r="H449" s="245"/>
      <c r="I449" s="245"/>
      <c r="J449" s="245"/>
      <c r="K449" s="265"/>
      <c r="L449" s="245"/>
      <c r="M449" s="245"/>
      <c r="N449" s="245"/>
      <c r="O449" s="245"/>
      <c r="P449" s="245"/>
      <c r="Q449" s="247"/>
      <c r="R449" s="254"/>
      <c r="S449" s="245"/>
      <c r="T449" s="245"/>
      <c r="U449" s="245"/>
      <c r="V449" s="245"/>
      <c r="W449" s="245"/>
      <c r="X449" s="245"/>
      <c r="Y449" s="249"/>
      <c r="Z449" s="276"/>
      <c r="AA449" s="245"/>
      <c r="AB449" s="276"/>
      <c r="AC449" s="276"/>
      <c r="AD449" s="246"/>
      <c r="AE449" s="278"/>
      <c r="AF449" s="370"/>
      <c r="AG449" s="371"/>
      <c r="AH449" s="276"/>
      <c r="AI449" s="245"/>
      <c r="AJ449" s="287"/>
      <c r="AK449" s="278"/>
      <c r="AL449" s="246"/>
      <c r="AM449" s="245"/>
      <c r="AN449" s="245"/>
      <c r="AO449" s="274"/>
      <c r="AP449" s="245"/>
      <c r="AQ449" s="245"/>
      <c r="AR449" s="246"/>
      <c r="AS449" s="245"/>
      <c r="AT449" s="245"/>
      <c r="AU449" s="245"/>
      <c r="AV449" s="245"/>
      <c r="AW449" s="287"/>
      <c r="AX449" s="246"/>
      <c r="AY449" s="245"/>
      <c r="AZ449" s="245"/>
      <c r="BA449" s="246"/>
      <c r="BB449" s="245"/>
      <c r="BC449" s="245"/>
      <c r="BD449" s="245"/>
      <c r="BE449" s="245"/>
      <c r="BF449" s="245"/>
      <c r="BG449" s="245"/>
      <c r="BH449" s="245"/>
      <c r="BI449" s="245"/>
      <c r="BJ449" s="245"/>
      <c r="BK449" s="245"/>
      <c r="BL449" s="245"/>
      <c r="BM449" s="245"/>
      <c r="BN449" s="245"/>
      <c r="BO449" s="245"/>
      <c r="BP449" s="245"/>
      <c r="BQ449" s="245"/>
      <c r="BR449" s="245"/>
      <c r="BS449" s="245"/>
      <c r="BT449" s="246"/>
      <c r="BU449" s="245"/>
      <c r="BV449" s="245"/>
      <c r="BW449" s="245"/>
      <c r="BX449" s="245"/>
      <c r="BY449" s="245"/>
      <c r="BZ449" s="282"/>
      <c r="CA449" s="245"/>
      <c r="CB449" s="245"/>
      <c r="CC449" s="245"/>
      <c r="CD449" s="245"/>
      <c r="CE449" s="245"/>
      <c r="CF449" s="245"/>
    </row>
    <row r="450">
      <c r="A450" s="245"/>
      <c r="B450" s="245"/>
      <c r="C450" s="245"/>
      <c r="D450" s="246"/>
      <c r="E450" s="245"/>
      <c r="F450" s="245"/>
      <c r="G450" s="245"/>
      <c r="H450" s="245"/>
      <c r="I450" s="245"/>
      <c r="J450" s="245"/>
      <c r="K450" s="265"/>
      <c r="L450" s="245"/>
      <c r="M450" s="245"/>
      <c r="N450" s="245"/>
      <c r="O450" s="245"/>
      <c r="P450" s="245"/>
      <c r="Q450" s="247"/>
      <c r="R450" s="254"/>
      <c r="S450" s="245"/>
      <c r="T450" s="245"/>
      <c r="U450" s="245"/>
      <c r="V450" s="245"/>
      <c r="W450" s="245"/>
      <c r="X450" s="245"/>
      <c r="Y450" s="249"/>
      <c r="Z450" s="276"/>
      <c r="AA450" s="245"/>
      <c r="AB450" s="276"/>
      <c r="AC450" s="276"/>
      <c r="AD450" s="246"/>
      <c r="AE450" s="278"/>
      <c r="AF450" s="370"/>
      <c r="AG450" s="371"/>
      <c r="AH450" s="276"/>
      <c r="AI450" s="245"/>
      <c r="AJ450" s="287"/>
      <c r="AK450" s="278"/>
      <c r="AL450" s="246"/>
      <c r="AM450" s="245"/>
      <c r="AN450" s="245"/>
      <c r="AO450" s="274"/>
      <c r="AP450" s="245"/>
      <c r="AQ450" s="245"/>
      <c r="AR450" s="246"/>
      <c r="AS450" s="245"/>
      <c r="AT450" s="245"/>
      <c r="AU450" s="245"/>
      <c r="AV450" s="245"/>
      <c r="AW450" s="276"/>
      <c r="AX450" s="246"/>
      <c r="AY450" s="245"/>
      <c r="AZ450" s="245"/>
      <c r="BA450" s="246"/>
      <c r="BB450" s="245"/>
      <c r="BC450" s="245"/>
      <c r="BD450" s="245"/>
      <c r="BE450" s="245"/>
      <c r="BF450" s="245"/>
      <c r="BG450" s="245"/>
      <c r="BH450" s="245"/>
      <c r="BI450" s="245"/>
      <c r="BJ450" s="245"/>
      <c r="BK450" s="245"/>
      <c r="BL450" s="245"/>
      <c r="BM450" s="245"/>
      <c r="BN450" s="245"/>
      <c r="BO450" s="245"/>
      <c r="BP450" s="245"/>
      <c r="BQ450" s="245"/>
      <c r="BR450" s="245"/>
      <c r="BS450" s="245"/>
      <c r="BT450" s="246"/>
      <c r="BU450" s="245"/>
      <c r="BV450" s="245"/>
      <c r="BW450" s="245"/>
      <c r="BX450" s="245"/>
      <c r="BY450" s="245"/>
      <c r="BZ450" s="282"/>
      <c r="CA450" s="245"/>
      <c r="CB450" s="245"/>
      <c r="CC450" s="245"/>
      <c r="CD450" s="245"/>
      <c r="CE450" s="245"/>
      <c r="CF450" s="245"/>
    </row>
    <row r="451">
      <c r="A451" s="245"/>
      <c r="B451" s="245"/>
      <c r="C451" s="245"/>
      <c r="D451" s="246"/>
      <c r="E451" s="245"/>
      <c r="F451" s="245"/>
      <c r="G451" s="245"/>
      <c r="H451" s="245"/>
      <c r="I451" s="245"/>
      <c r="J451" s="245"/>
      <c r="K451" s="265"/>
      <c r="L451" s="245"/>
      <c r="M451" s="245"/>
      <c r="N451" s="245"/>
      <c r="O451" s="245"/>
      <c r="P451" s="245"/>
      <c r="Q451" s="247"/>
      <c r="R451" s="254"/>
      <c r="S451" s="245"/>
      <c r="T451" s="245"/>
      <c r="U451" s="245"/>
      <c r="V451" s="245"/>
      <c r="W451" s="245"/>
      <c r="X451" s="245"/>
      <c r="Y451" s="249"/>
      <c r="Z451" s="276"/>
      <c r="AA451" s="245"/>
      <c r="AB451" s="276"/>
      <c r="AC451" s="276"/>
      <c r="AD451" s="246"/>
      <c r="AE451" s="278"/>
      <c r="AF451" s="370"/>
      <c r="AG451" s="371"/>
      <c r="AH451" s="276"/>
      <c r="AI451" s="245"/>
      <c r="AJ451" s="287"/>
      <c r="AK451" s="278"/>
      <c r="AL451" s="246"/>
      <c r="AM451" s="245"/>
      <c r="AN451" s="245"/>
      <c r="AO451" s="274"/>
      <c r="AP451" s="245"/>
      <c r="AQ451" s="245"/>
      <c r="AR451" s="246"/>
      <c r="AS451" s="245"/>
      <c r="AT451" s="245"/>
      <c r="AU451" s="245"/>
      <c r="AV451" s="245"/>
      <c r="AW451" s="276"/>
      <c r="AX451" s="246"/>
      <c r="AY451" s="245"/>
      <c r="AZ451" s="245"/>
      <c r="BA451" s="246"/>
      <c r="BB451" s="245"/>
      <c r="BC451" s="245"/>
      <c r="BD451" s="245"/>
      <c r="BE451" s="245"/>
      <c r="BF451" s="245"/>
      <c r="BG451" s="245"/>
      <c r="BH451" s="245"/>
      <c r="BI451" s="245"/>
      <c r="BJ451" s="245"/>
      <c r="BK451" s="245"/>
      <c r="BL451" s="245"/>
      <c r="BM451" s="245"/>
      <c r="BN451" s="245"/>
      <c r="BO451" s="245"/>
      <c r="BP451" s="245"/>
      <c r="BQ451" s="245"/>
      <c r="BR451" s="245"/>
      <c r="BS451" s="245"/>
      <c r="BT451" s="246"/>
      <c r="BU451" s="245"/>
      <c r="BV451" s="245"/>
      <c r="BW451" s="245"/>
      <c r="BX451" s="245"/>
      <c r="BY451" s="245"/>
      <c r="BZ451" s="282"/>
      <c r="CA451" s="245"/>
      <c r="CB451" s="245"/>
      <c r="CC451" s="245"/>
      <c r="CD451" s="245"/>
      <c r="CE451" s="245"/>
      <c r="CF451" s="245"/>
    </row>
    <row r="452">
      <c r="A452" s="245"/>
      <c r="B452" s="245"/>
      <c r="C452" s="245"/>
      <c r="D452" s="246"/>
      <c r="E452" s="245"/>
      <c r="F452" s="245"/>
      <c r="G452" s="245"/>
      <c r="H452" s="245"/>
      <c r="I452" s="245"/>
      <c r="J452" s="245"/>
      <c r="K452" s="265"/>
      <c r="L452" s="245"/>
      <c r="M452" s="245"/>
      <c r="N452" s="245"/>
      <c r="O452" s="245"/>
      <c r="P452" s="245"/>
      <c r="Q452" s="247"/>
      <c r="R452" s="254"/>
      <c r="S452" s="245"/>
      <c r="T452" s="245"/>
      <c r="U452" s="245"/>
      <c r="V452" s="245"/>
      <c r="W452" s="245"/>
      <c r="X452" s="245"/>
      <c r="Y452" s="249"/>
      <c r="Z452" s="276"/>
      <c r="AA452" s="245"/>
      <c r="AB452" s="276"/>
      <c r="AC452" s="276"/>
      <c r="AD452" s="246"/>
      <c r="AE452" s="278"/>
      <c r="AF452" s="370"/>
      <c r="AG452" s="371"/>
      <c r="AH452" s="276"/>
      <c r="AI452" s="245"/>
      <c r="AJ452" s="287"/>
      <c r="AK452" s="278"/>
      <c r="AL452" s="246"/>
      <c r="AM452" s="245"/>
      <c r="AN452" s="245"/>
      <c r="AO452" s="274"/>
      <c r="AP452" s="245"/>
      <c r="AQ452" s="245"/>
      <c r="AR452" s="246"/>
      <c r="AS452" s="245"/>
      <c r="AT452" s="245"/>
      <c r="AU452" s="245"/>
      <c r="AV452" s="245"/>
      <c r="AW452" s="245"/>
      <c r="AX452" s="246"/>
      <c r="AY452" s="245"/>
      <c r="AZ452" s="245"/>
      <c r="BA452" s="246"/>
      <c r="BB452" s="245"/>
      <c r="BC452" s="245"/>
      <c r="BD452" s="245"/>
      <c r="BE452" s="245"/>
      <c r="BF452" s="245"/>
      <c r="BG452" s="245"/>
      <c r="BH452" s="245"/>
      <c r="BI452" s="245"/>
      <c r="BJ452" s="245"/>
      <c r="BK452" s="245"/>
      <c r="BL452" s="245"/>
      <c r="BM452" s="245"/>
      <c r="BN452" s="245"/>
      <c r="BO452" s="245"/>
      <c r="BP452" s="245"/>
      <c r="BQ452" s="245"/>
      <c r="BR452" s="245"/>
      <c r="BS452" s="245"/>
      <c r="BT452" s="246"/>
      <c r="BU452" s="245"/>
      <c r="BV452" s="245"/>
      <c r="BW452" s="245"/>
      <c r="BX452" s="245"/>
      <c r="BY452" s="245"/>
      <c r="BZ452" s="282"/>
      <c r="CA452" s="245"/>
      <c r="CB452" s="245"/>
      <c r="CC452" s="245"/>
      <c r="CD452" s="245"/>
      <c r="CE452" s="245"/>
      <c r="CF452" s="245"/>
    </row>
    <row r="453">
      <c r="A453" s="245"/>
      <c r="B453" s="245"/>
      <c r="C453" s="245"/>
      <c r="D453" s="246"/>
      <c r="E453" s="245"/>
      <c r="F453" s="245"/>
      <c r="G453" s="245"/>
      <c r="H453" s="245"/>
      <c r="I453" s="245"/>
      <c r="J453" s="245"/>
      <c r="K453" s="265"/>
      <c r="L453" s="245"/>
      <c r="M453" s="245"/>
      <c r="N453" s="245"/>
      <c r="O453" s="245"/>
      <c r="P453" s="245"/>
      <c r="Q453" s="247"/>
      <c r="R453" s="254"/>
      <c r="S453" s="245"/>
      <c r="T453" s="245"/>
      <c r="U453" s="245"/>
      <c r="V453" s="245"/>
      <c r="W453" s="245"/>
      <c r="X453" s="245"/>
      <c r="Y453" s="249"/>
      <c r="Z453" s="276"/>
      <c r="AA453" s="245"/>
      <c r="AB453" s="276"/>
      <c r="AC453" s="276"/>
      <c r="AD453" s="246"/>
      <c r="AE453" s="278"/>
      <c r="AF453" s="370"/>
      <c r="AG453" s="371"/>
      <c r="AH453" s="276"/>
      <c r="AI453" s="245"/>
      <c r="AJ453" s="287"/>
      <c r="AK453" s="278"/>
      <c r="AL453" s="246"/>
      <c r="AM453" s="245"/>
      <c r="AN453" s="245"/>
      <c r="AO453" s="274"/>
      <c r="AP453" s="245"/>
      <c r="AQ453" s="245"/>
      <c r="AR453" s="246"/>
      <c r="AS453" s="245"/>
      <c r="AT453" s="245"/>
      <c r="AU453" s="245"/>
      <c r="AV453" s="245"/>
      <c r="AW453" s="245"/>
      <c r="AX453" s="246"/>
      <c r="AY453" s="245"/>
      <c r="AZ453" s="245"/>
      <c r="BA453" s="246"/>
      <c r="BB453" s="245"/>
      <c r="BC453" s="245"/>
      <c r="BD453" s="245"/>
      <c r="BE453" s="245"/>
      <c r="BF453" s="245"/>
      <c r="BG453" s="245"/>
      <c r="BH453" s="245"/>
      <c r="BI453" s="245"/>
      <c r="BJ453" s="245"/>
      <c r="BK453" s="245"/>
      <c r="BL453" s="245"/>
      <c r="BM453" s="245"/>
      <c r="BN453" s="245"/>
      <c r="BO453" s="245"/>
      <c r="BP453" s="245"/>
      <c r="BQ453" s="245"/>
      <c r="BR453" s="245"/>
      <c r="BS453" s="245"/>
      <c r="BT453" s="246"/>
      <c r="BU453" s="245"/>
      <c r="BV453" s="245"/>
      <c r="BW453" s="245"/>
      <c r="BX453" s="245"/>
      <c r="BY453" s="245"/>
      <c r="BZ453" s="282"/>
      <c r="CA453" s="245"/>
      <c r="CB453" s="245"/>
      <c r="CC453" s="245"/>
      <c r="CD453" s="245"/>
      <c r="CE453" s="245"/>
      <c r="CF453" s="245"/>
    </row>
    <row r="454">
      <c r="A454" s="245"/>
      <c r="B454" s="245"/>
      <c r="C454" s="245"/>
      <c r="D454" s="246"/>
      <c r="E454" s="245"/>
      <c r="F454" s="245"/>
      <c r="G454" s="245"/>
      <c r="H454" s="245"/>
      <c r="I454" s="245"/>
      <c r="J454" s="245"/>
      <c r="K454" s="265"/>
      <c r="L454" s="245"/>
      <c r="M454" s="245"/>
      <c r="N454" s="245"/>
      <c r="O454" s="245"/>
      <c r="P454" s="245"/>
      <c r="Q454" s="247"/>
      <c r="R454" s="254"/>
      <c r="S454" s="245"/>
      <c r="T454" s="245"/>
      <c r="U454" s="245"/>
      <c r="V454" s="245"/>
      <c r="W454" s="245"/>
      <c r="X454" s="245"/>
      <c r="Y454" s="249"/>
      <c r="Z454" s="276"/>
      <c r="AA454" s="245"/>
      <c r="AB454" s="276"/>
      <c r="AC454" s="276"/>
      <c r="AD454" s="246"/>
      <c r="AE454" s="278"/>
      <c r="AF454" s="370"/>
      <c r="AG454" s="371"/>
      <c r="AH454" s="276"/>
      <c r="AI454" s="245"/>
      <c r="AJ454" s="287"/>
      <c r="AK454" s="278"/>
      <c r="AL454" s="246"/>
      <c r="AM454" s="245"/>
      <c r="AN454" s="245"/>
      <c r="AO454" s="274"/>
      <c r="AP454" s="245"/>
      <c r="AQ454" s="245"/>
      <c r="AR454" s="246"/>
      <c r="AS454" s="245"/>
      <c r="AT454" s="245"/>
      <c r="AU454" s="245"/>
      <c r="AV454" s="245"/>
      <c r="AW454" s="245"/>
      <c r="AX454" s="246"/>
      <c r="AY454" s="245"/>
      <c r="AZ454" s="245"/>
      <c r="BA454" s="246"/>
      <c r="BB454" s="245"/>
      <c r="BC454" s="245"/>
      <c r="BD454" s="245"/>
      <c r="BE454" s="245"/>
      <c r="BF454" s="245"/>
      <c r="BG454" s="245"/>
      <c r="BH454" s="245"/>
      <c r="BI454" s="245"/>
      <c r="BJ454" s="245"/>
      <c r="BK454" s="245"/>
      <c r="BL454" s="245"/>
      <c r="BM454" s="245"/>
      <c r="BN454" s="245"/>
      <c r="BO454" s="245"/>
      <c r="BP454" s="245"/>
      <c r="BQ454" s="245"/>
      <c r="BR454" s="245"/>
      <c r="BS454" s="245"/>
      <c r="BT454" s="246"/>
      <c r="BU454" s="245"/>
      <c r="BV454" s="245"/>
      <c r="BW454" s="245"/>
      <c r="BX454" s="245"/>
      <c r="BY454" s="245"/>
      <c r="BZ454" s="282"/>
      <c r="CA454" s="245"/>
      <c r="CB454" s="245"/>
      <c r="CC454" s="245"/>
      <c r="CD454" s="245"/>
      <c r="CE454" s="245"/>
      <c r="CF454" s="245"/>
    </row>
    <row r="455">
      <c r="A455" s="245"/>
      <c r="B455" s="245"/>
      <c r="C455" s="245"/>
      <c r="D455" s="246"/>
      <c r="E455" s="245"/>
      <c r="F455" s="245"/>
      <c r="G455" s="245"/>
      <c r="H455" s="245"/>
      <c r="I455" s="245"/>
      <c r="J455" s="245"/>
      <c r="K455" s="265"/>
      <c r="L455" s="245"/>
      <c r="M455" s="245"/>
      <c r="N455" s="245"/>
      <c r="O455" s="245"/>
      <c r="P455" s="245"/>
      <c r="Q455" s="247"/>
      <c r="R455" s="254"/>
      <c r="S455" s="245"/>
      <c r="T455" s="245"/>
      <c r="U455" s="245"/>
      <c r="V455" s="245"/>
      <c r="W455" s="245"/>
      <c r="X455" s="245"/>
      <c r="Y455" s="249"/>
      <c r="Z455" s="276"/>
      <c r="AA455" s="245"/>
      <c r="AB455" s="276"/>
      <c r="AC455" s="276"/>
      <c r="AD455" s="246"/>
      <c r="AE455" s="278"/>
      <c r="AF455" s="370"/>
      <c r="AG455" s="371"/>
      <c r="AH455" s="276"/>
      <c r="AI455" s="245"/>
      <c r="AJ455" s="287"/>
      <c r="AK455" s="278"/>
      <c r="AL455" s="246"/>
      <c r="AM455" s="245"/>
      <c r="AN455" s="245"/>
      <c r="AO455" s="274"/>
      <c r="AP455" s="245"/>
      <c r="AQ455" s="245"/>
      <c r="AR455" s="246"/>
      <c r="AS455" s="245"/>
      <c r="AT455" s="245"/>
      <c r="AU455" s="245"/>
      <c r="AV455" s="245"/>
      <c r="AW455" s="245"/>
      <c r="AX455" s="246"/>
      <c r="AY455" s="245"/>
      <c r="AZ455" s="245"/>
      <c r="BA455" s="246"/>
      <c r="BB455" s="245"/>
      <c r="BC455" s="245"/>
      <c r="BD455" s="245"/>
      <c r="BE455" s="245"/>
      <c r="BF455" s="245"/>
      <c r="BG455" s="245"/>
      <c r="BH455" s="245"/>
      <c r="BI455" s="245"/>
      <c r="BJ455" s="245"/>
      <c r="BK455" s="245"/>
      <c r="BL455" s="245"/>
      <c r="BM455" s="245"/>
      <c r="BN455" s="245"/>
      <c r="BO455" s="245"/>
      <c r="BP455" s="245"/>
      <c r="BQ455" s="245"/>
      <c r="BR455" s="245"/>
      <c r="BS455" s="245"/>
      <c r="BT455" s="246"/>
      <c r="BU455" s="245"/>
      <c r="BV455" s="245"/>
      <c r="BW455" s="245"/>
      <c r="BX455" s="245"/>
      <c r="BY455" s="245"/>
      <c r="BZ455" s="282"/>
      <c r="CA455" s="245"/>
      <c r="CB455" s="245"/>
      <c r="CC455" s="245"/>
      <c r="CD455" s="245"/>
      <c r="CE455" s="245"/>
      <c r="CF455" s="245"/>
    </row>
    <row r="456">
      <c r="A456" s="245"/>
      <c r="B456" s="245"/>
      <c r="C456" s="245"/>
      <c r="D456" s="246"/>
      <c r="E456" s="245"/>
      <c r="F456" s="245"/>
      <c r="G456" s="245"/>
      <c r="H456" s="245"/>
      <c r="I456" s="245"/>
      <c r="J456" s="245"/>
      <c r="K456" s="265"/>
      <c r="L456" s="245"/>
      <c r="M456" s="245"/>
      <c r="N456" s="245"/>
      <c r="O456" s="245"/>
      <c r="P456" s="245"/>
      <c r="Q456" s="247"/>
      <c r="R456" s="254"/>
      <c r="S456" s="245"/>
      <c r="T456" s="245"/>
      <c r="U456" s="245"/>
      <c r="V456" s="245"/>
      <c r="W456" s="245"/>
      <c r="X456" s="245"/>
      <c r="Y456" s="249"/>
      <c r="Z456" s="276"/>
      <c r="AA456" s="245"/>
      <c r="AB456" s="276"/>
      <c r="AC456" s="276"/>
      <c r="AD456" s="246"/>
      <c r="AE456" s="278"/>
      <c r="AF456" s="370"/>
      <c r="AG456" s="371"/>
      <c r="AH456" s="276"/>
      <c r="AI456" s="245"/>
      <c r="AJ456" s="287"/>
      <c r="AK456" s="278"/>
      <c r="AL456" s="246"/>
      <c r="AM456" s="245"/>
      <c r="AN456" s="245"/>
      <c r="AO456" s="274"/>
      <c r="AP456" s="245"/>
      <c r="AQ456" s="245"/>
      <c r="AR456" s="246"/>
      <c r="AS456" s="245"/>
      <c r="AT456" s="245"/>
      <c r="AU456" s="245"/>
      <c r="AV456" s="245"/>
      <c r="AW456" s="245"/>
      <c r="AX456" s="246"/>
      <c r="AY456" s="245"/>
      <c r="AZ456" s="245"/>
      <c r="BA456" s="246"/>
      <c r="BB456" s="245"/>
      <c r="BC456" s="245"/>
      <c r="BD456" s="245"/>
      <c r="BE456" s="245"/>
      <c r="BF456" s="245"/>
      <c r="BG456" s="245"/>
      <c r="BH456" s="245"/>
      <c r="BI456" s="245"/>
      <c r="BJ456" s="245"/>
      <c r="BK456" s="245"/>
      <c r="BL456" s="245"/>
      <c r="BM456" s="245"/>
      <c r="BN456" s="245"/>
      <c r="BO456" s="245"/>
      <c r="BP456" s="245"/>
      <c r="BQ456" s="245"/>
      <c r="BR456" s="245"/>
      <c r="BS456" s="245"/>
      <c r="BT456" s="246"/>
      <c r="BU456" s="245"/>
      <c r="BV456" s="245"/>
      <c r="BW456" s="245"/>
      <c r="BX456" s="245"/>
      <c r="BY456" s="245"/>
      <c r="BZ456" s="282"/>
      <c r="CA456" s="245"/>
      <c r="CB456" s="245"/>
      <c r="CC456" s="245"/>
      <c r="CD456" s="245"/>
      <c r="CE456" s="245"/>
      <c r="CF456" s="245"/>
    </row>
    <row r="457">
      <c r="A457" s="245"/>
      <c r="B457" s="245"/>
      <c r="C457" s="245"/>
      <c r="D457" s="246"/>
      <c r="E457" s="245"/>
      <c r="F457" s="245"/>
      <c r="G457" s="245"/>
      <c r="H457" s="245"/>
      <c r="I457" s="245"/>
      <c r="J457" s="245"/>
      <c r="K457" s="265"/>
      <c r="L457" s="245"/>
      <c r="M457" s="245"/>
      <c r="N457" s="245"/>
      <c r="O457" s="245"/>
      <c r="P457" s="245"/>
      <c r="Q457" s="247"/>
      <c r="R457" s="254"/>
      <c r="S457" s="245"/>
      <c r="T457" s="245"/>
      <c r="U457" s="245"/>
      <c r="V457" s="245"/>
      <c r="W457" s="245"/>
      <c r="X457" s="245"/>
      <c r="Y457" s="249"/>
      <c r="Z457" s="276"/>
      <c r="AA457" s="245"/>
      <c r="AB457" s="276"/>
      <c r="AC457" s="276"/>
      <c r="AD457" s="246"/>
      <c r="AE457" s="278"/>
      <c r="AF457" s="370"/>
      <c r="AG457" s="371"/>
      <c r="AH457" s="276"/>
      <c r="AI457" s="245"/>
      <c r="AJ457" s="287"/>
      <c r="AK457" s="278"/>
      <c r="AL457" s="246"/>
      <c r="AM457" s="245"/>
      <c r="AN457" s="245"/>
      <c r="AO457" s="274"/>
      <c r="AP457" s="245"/>
      <c r="AQ457" s="245"/>
      <c r="AR457" s="246"/>
      <c r="AS457" s="245"/>
      <c r="AT457" s="245"/>
      <c r="AU457" s="245"/>
      <c r="AV457" s="245"/>
      <c r="AW457" s="245"/>
      <c r="AX457" s="246"/>
      <c r="AY457" s="245"/>
      <c r="AZ457" s="245"/>
      <c r="BA457" s="246"/>
      <c r="BB457" s="245"/>
      <c r="BC457" s="245"/>
      <c r="BD457" s="245"/>
      <c r="BE457" s="245"/>
      <c r="BF457" s="245"/>
      <c r="BG457" s="245"/>
      <c r="BH457" s="245"/>
      <c r="BI457" s="245"/>
      <c r="BJ457" s="245"/>
      <c r="BK457" s="245"/>
      <c r="BL457" s="245"/>
      <c r="BM457" s="245"/>
      <c r="BN457" s="245"/>
      <c r="BO457" s="245"/>
      <c r="BP457" s="245"/>
      <c r="BQ457" s="245"/>
      <c r="BR457" s="245"/>
      <c r="BS457" s="245"/>
      <c r="BT457" s="246"/>
      <c r="BU457" s="245"/>
      <c r="BV457" s="245"/>
      <c r="BW457" s="245"/>
      <c r="BX457" s="245"/>
      <c r="BY457" s="245"/>
      <c r="BZ457" s="282"/>
      <c r="CA457" s="245"/>
      <c r="CB457" s="245"/>
      <c r="CC457" s="245"/>
      <c r="CD457" s="245"/>
      <c r="CE457" s="245"/>
      <c r="CF457" s="245"/>
    </row>
    <row r="458">
      <c r="A458" s="245"/>
      <c r="B458" s="245"/>
      <c r="C458" s="245"/>
      <c r="D458" s="246"/>
      <c r="E458" s="245"/>
      <c r="F458" s="245"/>
      <c r="G458" s="245"/>
      <c r="H458" s="245"/>
      <c r="I458" s="245"/>
      <c r="J458" s="245"/>
      <c r="K458" s="265"/>
      <c r="L458" s="245"/>
      <c r="M458" s="245"/>
      <c r="N458" s="245"/>
      <c r="O458" s="245"/>
      <c r="P458" s="245"/>
      <c r="Q458" s="247"/>
      <c r="R458" s="254"/>
      <c r="S458" s="245"/>
      <c r="T458" s="245"/>
      <c r="U458" s="245"/>
      <c r="V458" s="245"/>
      <c r="W458" s="245"/>
      <c r="X458" s="245"/>
      <c r="Y458" s="249"/>
      <c r="Z458" s="276"/>
      <c r="AA458" s="245"/>
      <c r="AB458" s="276"/>
      <c r="AC458" s="276"/>
      <c r="AD458" s="246"/>
      <c r="AE458" s="278"/>
      <c r="AF458" s="370"/>
      <c r="AG458" s="371"/>
      <c r="AH458" s="276"/>
      <c r="AI458" s="245"/>
      <c r="AJ458" s="287"/>
      <c r="AK458" s="278"/>
      <c r="AL458" s="246"/>
      <c r="AM458" s="245"/>
      <c r="AN458" s="245"/>
      <c r="AO458" s="274"/>
      <c r="AP458" s="245"/>
      <c r="AQ458" s="245"/>
      <c r="AR458" s="246"/>
      <c r="AS458" s="245"/>
      <c r="AT458" s="245"/>
      <c r="AU458" s="245"/>
      <c r="AV458" s="245"/>
      <c r="AW458" s="245"/>
      <c r="AX458" s="246"/>
      <c r="AY458" s="245"/>
      <c r="AZ458" s="245"/>
      <c r="BA458" s="246"/>
      <c r="BB458" s="245"/>
      <c r="BC458" s="245"/>
      <c r="BD458" s="245"/>
      <c r="BE458" s="245"/>
      <c r="BF458" s="245"/>
      <c r="BG458" s="245"/>
      <c r="BH458" s="245"/>
      <c r="BI458" s="245"/>
      <c r="BJ458" s="245"/>
      <c r="BK458" s="245"/>
      <c r="BL458" s="245"/>
      <c r="BM458" s="245"/>
      <c r="BN458" s="245"/>
      <c r="BO458" s="245"/>
      <c r="BP458" s="245"/>
      <c r="BQ458" s="245"/>
      <c r="BR458" s="245"/>
      <c r="BS458" s="245"/>
      <c r="BT458" s="246"/>
      <c r="BU458" s="245"/>
      <c r="BV458" s="245"/>
      <c r="BW458" s="245"/>
      <c r="BX458" s="245"/>
      <c r="BY458" s="245"/>
      <c r="BZ458" s="282"/>
      <c r="CA458" s="245"/>
      <c r="CB458" s="245"/>
      <c r="CC458" s="245"/>
      <c r="CD458" s="245"/>
      <c r="CE458" s="245"/>
      <c r="CF458" s="245"/>
    </row>
    <row r="459">
      <c r="A459" s="245"/>
      <c r="B459" s="245"/>
      <c r="C459" s="245"/>
      <c r="D459" s="246"/>
      <c r="E459" s="245"/>
      <c r="F459" s="245"/>
      <c r="G459" s="245"/>
      <c r="H459" s="245"/>
      <c r="I459" s="245"/>
      <c r="J459" s="245"/>
      <c r="K459" s="265"/>
      <c r="L459" s="245"/>
      <c r="M459" s="245"/>
      <c r="N459" s="245"/>
      <c r="O459" s="245"/>
      <c r="P459" s="245"/>
      <c r="Q459" s="247"/>
      <c r="R459" s="254"/>
      <c r="S459" s="245"/>
      <c r="T459" s="245"/>
      <c r="U459" s="245"/>
      <c r="V459" s="245"/>
      <c r="W459" s="245"/>
      <c r="X459" s="245"/>
      <c r="Y459" s="249"/>
      <c r="Z459" s="276"/>
      <c r="AA459" s="245"/>
      <c r="AB459" s="276"/>
      <c r="AC459" s="276"/>
      <c r="AD459" s="246"/>
      <c r="AE459" s="278"/>
      <c r="AF459" s="370"/>
      <c r="AG459" s="371"/>
      <c r="AH459" s="276"/>
      <c r="AI459" s="245"/>
      <c r="AJ459" s="287"/>
      <c r="AK459" s="278"/>
      <c r="AL459" s="246"/>
      <c r="AM459" s="245"/>
      <c r="AN459" s="245"/>
      <c r="AO459" s="274"/>
      <c r="AP459" s="245"/>
      <c r="AQ459" s="245"/>
      <c r="AR459" s="246"/>
      <c r="AS459" s="245"/>
      <c r="AT459" s="245"/>
      <c r="AU459" s="245"/>
      <c r="AV459" s="245"/>
      <c r="AW459" s="245"/>
      <c r="AX459" s="246"/>
      <c r="AY459" s="245"/>
      <c r="AZ459" s="245"/>
      <c r="BA459" s="246"/>
      <c r="BB459" s="245"/>
      <c r="BC459" s="245"/>
      <c r="BD459" s="245"/>
      <c r="BE459" s="245"/>
      <c r="BF459" s="245"/>
      <c r="BG459" s="245"/>
      <c r="BH459" s="245"/>
      <c r="BI459" s="245"/>
      <c r="BJ459" s="245"/>
      <c r="BK459" s="245"/>
      <c r="BL459" s="245"/>
      <c r="BM459" s="245"/>
      <c r="BN459" s="245"/>
      <c r="BO459" s="245"/>
      <c r="BP459" s="245"/>
      <c r="BQ459" s="245"/>
      <c r="BR459" s="245"/>
      <c r="BS459" s="245"/>
      <c r="BT459" s="246"/>
      <c r="BU459" s="245"/>
      <c r="BV459" s="245"/>
      <c r="BW459" s="245"/>
      <c r="BX459" s="245"/>
      <c r="BY459" s="245"/>
      <c r="BZ459" s="282"/>
      <c r="CA459" s="245"/>
      <c r="CB459" s="245"/>
      <c r="CC459" s="245"/>
      <c r="CD459" s="245"/>
      <c r="CE459" s="245"/>
      <c r="CF459" s="245"/>
    </row>
    <row r="460">
      <c r="A460" s="245"/>
      <c r="B460" s="245"/>
      <c r="C460" s="245"/>
      <c r="D460" s="246"/>
      <c r="E460" s="245"/>
      <c r="F460" s="245"/>
      <c r="G460" s="245"/>
      <c r="H460" s="245"/>
      <c r="I460" s="245"/>
      <c r="J460" s="245"/>
      <c r="K460" s="265"/>
      <c r="L460" s="245"/>
      <c r="M460" s="245"/>
      <c r="N460" s="245"/>
      <c r="O460" s="245"/>
      <c r="P460" s="245"/>
      <c r="Q460" s="247"/>
      <c r="R460" s="254"/>
      <c r="S460" s="245"/>
      <c r="T460" s="245"/>
      <c r="U460" s="245"/>
      <c r="V460" s="245"/>
      <c r="W460" s="245"/>
      <c r="X460" s="245"/>
      <c r="Y460" s="249"/>
      <c r="Z460" s="276"/>
      <c r="AA460" s="245"/>
      <c r="AB460" s="276"/>
      <c r="AC460" s="276"/>
      <c r="AD460" s="246"/>
      <c r="AE460" s="278"/>
      <c r="AF460" s="370"/>
      <c r="AG460" s="371"/>
      <c r="AH460" s="276"/>
      <c r="AI460" s="245"/>
      <c r="AJ460" s="287"/>
      <c r="AK460" s="278"/>
      <c r="AL460" s="246"/>
      <c r="AM460" s="245"/>
      <c r="AN460" s="245"/>
      <c r="AO460" s="274"/>
      <c r="AP460" s="245"/>
      <c r="AQ460" s="245"/>
      <c r="AR460" s="246"/>
      <c r="AS460" s="245"/>
      <c r="AT460" s="245"/>
      <c r="AU460" s="245"/>
      <c r="AV460" s="245"/>
      <c r="AW460" s="245"/>
      <c r="AX460" s="246"/>
      <c r="AY460" s="245"/>
      <c r="AZ460" s="245"/>
      <c r="BA460" s="246"/>
      <c r="BB460" s="245"/>
      <c r="BC460" s="245"/>
      <c r="BD460" s="245"/>
      <c r="BE460" s="245"/>
      <c r="BF460" s="245"/>
      <c r="BG460" s="245"/>
      <c r="BH460" s="245"/>
      <c r="BI460" s="245"/>
      <c r="BJ460" s="245"/>
      <c r="BK460" s="245"/>
      <c r="BL460" s="245"/>
      <c r="BM460" s="245"/>
      <c r="BN460" s="245"/>
      <c r="BO460" s="245"/>
      <c r="BP460" s="245"/>
      <c r="BQ460" s="245"/>
      <c r="BR460" s="245"/>
      <c r="BS460" s="245"/>
      <c r="BT460" s="246"/>
      <c r="BU460" s="245"/>
      <c r="BV460" s="245"/>
      <c r="BW460" s="245"/>
      <c r="BX460" s="245"/>
      <c r="BY460" s="245"/>
      <c r="BZ460" s="282"/>
      <c r="CA460" s="245"/>
      <c r="CB460" s="245"/>
      <c r="CC460" s="245"/>
      <c r="CD460" s="245"/>
      <c r="CE460" s="245"/>
      <c r="CF460" s="245"/>
    </row>
    <row r="461">
      <c r="A461" s="245"/>
      <c r="B461" s="245"/>
      <c r="C461" s="245"/>
      <c r="D461" s="246"/>
      <c r="E461" s="245"/>
      <c r="F461" s="245"/>
      <c r="G461" s="245"/>
      <c r="H461" s="245"/>
      <c r="I461" s="245"/>
      <c r="J461" s="245"/>
      <c r="K461" s="265"/>
      <c r="L461" s="245"/>
      <c r="M461" s="245"/>
      <c r="N461" s="245"/>
      <c r="O461" s="245"/>
      <c r="P461" s="245"/>
      <c r="Q461" s="247"/>
      <c r="R461" s="254"/>
      <c r="S461" s="245"/>
      <c r="T461" s="245"/>
      <c r="U461" s="245"/>
      <c r="V461" s="245"/>
      <c r="W461" s="245"/>
      <c r="X461" s="245"/>
      <c r="Y461" s="249"/>
      <c r="Z461" s="276"/>
      <c r="AA461" s="245"/>
      <c r="AB461" s="276"/>
      <c r="AC461" s="276"/>
      <c r="AD461" s="246"/>
      <c r="AE461" s="278"/>
      <c r="AF461" s="370"/>
      <c r="AG461" s="371"/>
      <c r="AH461" s="276"/>
      <c r="AI461" s="245"/>
      <c r="AJ461" s="287"/>
      <c r="AK461" s="278"/>
      <c r="AL461" s="246"/>
      <c r="AM461" s="245"/>
      <c r="AN461" s="245"/>
      <c r="AO461" s="274"/>
      <c r="AP461" s="245"/>
      <c r="AQ461" s="245"/>
      <c r="AR461" s="246"/>
      <c r="AS461" s="245"/>
      <c r="AT461" s="245"/>
      <c r="AU461" s="245"/>
      <c r="AV461" s="245"/>
      <c r="AW461" s="245"/>
      <c r="AX461" s="246"/>
      <c r="AY461" s="245"/>
      <c r="AZ461" s="245"/>
      <c r="BA461" s="246"/>
      <c r="BB461" s="245"/>
      <c r="BC461" s="245"/>
      <c r="BD461" s="245"/>
      <c r="BE461" s="245"/>
      <c r="BF461" s="245"/>
      <c r="BG461" s="245"/>
      <c r="BH461" s="245"/>
      <c r="BI461" s="245"/>
      <c r="BJ461" s="245"/>
      <c r="BK461" s="245"/>
      <c r="BL461" s="245"/>
      <c r="BM461" s="245"/>
      <c r="BN461" s="245"/>
      <c r="BO461" s="245"/>
      <c r="BP461" s="245"/>
      <c r="BQ461" s="245"/>
      <c r="BR461" s="245"/>
      <c r="BS461" s="245"/>
      <c r="BT461" s="246"/>
      <c r="BU461" s="245"/>
      <c r="BV461" s="245"/>
      <c r="BW461" s="245"/>
      <c r="BX461" s="245"/>
      <c r="BY461" s="245"/>
      <c r="BZ461" s="282"/>
      <c r="CA461" s="245"/>
      <c r="CB461" s="245"/>
      <c r="CC461" s="245"/>
      <c r="CD461" s="245"/>
      <c r="CE461" s="245"/>
      <c r="CF461" s="245"/>
    </row>
    <row r="462">
      <c r="A462" s="245"/>
      <c r="B462" s="245"/>
      <c r="C462" s="245"/>
      <c r="D462" s="246"/>
      <c r="E462" s="245"/>
      <c r="F462" s="245"/>
      <c r="G462" s="245"/>
      <c r="H462" s="245"/>
      <c r="I462" s="245"/>
      <c r="J462" s="245"/>
      <c r="K462" s="265"/>
      <c r="L462" s="245"/>
      <c r="M462" s="245"/>
      <c r="N462" s="245"/>
      <c r="O462" s="245"/>
      <c r="P462" s="245"/>
      <c r="Q462" s="247"/>
      <c r="R462" s="254"/>
      <c r="S462" s="245"/>
      <c r="T462" s="245"/>
      <c r="U462" s="245"/>
      <c r="V462" s="245"/>
      <c r="W462" s="245"/>
      <c r="X462" s="245"/>
      <c r="Y462" s="249"/>
      <c r="Z462" s="276"/>
      <c r="AA462" s="245"/>
      <c r="AB462" s="276"/>
      <c r="AC462" s="276"/>
      <c r="AD462" s="246"/>
      <c r="AE462" s="278"/>
      <c r="AF462" s="370"/>
      <c r="AG462" s="371"/>
      <c r="AH462" s="276"/>
      <c r="AI462" s="245"/>
      <c r="AJ462" s="287"/>
      <c r="AK462" s="278"/>
      <c r="AL462" s="246"/>
      <c r="AM462" s="245"/>
      <c r="AN462" s="245"/>
      <c r="AO462" s="274"/>
      <c r="AP462" s="245"/>
      <c r="AQ462" s="245"/>
      <c r="AR462" s="246"/>
      <c r="AS462" s="245"/>
      <c r="AT462" s="245"/>
      <c r="AU462" s="245"/>
      <c r="AV462" s="245"/>
      <c r="AW462" s="245"/>
      <c r="AX462" s="246"/>
      <c r="AY462" s="245"/>
      <c r="AZ462" s="245"/>
      <c r="BA462" s="246"/>
      <c r="BB462" s="245"/>
      <c r="BC462" s="245"/>
      <c r="BD462" s="245"/>
      <c r="BE462" s="245"/>
      <c r="BF462" s="245"/>
      <c r="BG462" s="245"/>
      <c r="BH462" s="245"/>
      <c r="BI462" s="245"/>
      <c r="BJ462" s="245"/>
      <c r="BK462" s="245"/>
      <c r="BL462" s="245"/>
      <c r="BM462" s="245"/>
      <c r="BN462" s="245"/>
      <c r="BO462" s="245"/>
      <c r="BP462" s="245"/>
      <c r="BQ462" s="245"/>
      <c r="BR462" s="245"/>
      <c r="BS462" s="245"/>
      <c r="BT462" s="246"/>
      <c r="BU462" s="245"/>
      <c r="BV462" s="245"/>
      <c r="BW462" s="245"/>
      <c r="BX462" s="245"/>
      <c r="BY462" s="245"/>
      <c r="BZ462" s="282"/>
      <c r="CA462" s="245"/>
      <c r="CB462" s="245"/>
      <c r="CC462" s="245"/>
      <c r="CD462" s="245"/>
      <c r="CE462" s="245"/>
      <c r="CF462" s="245"/>
    </row>
    <row r="463">
      <c r="A463" s="245"/>
      <c r="B463" s="245"/>
      <c r="C463" s="245"/>
      <c r="D463" s="246"/>
      <c r="E463" s="245"/>
      <c r="F463" s="245"/>
      <c r="G463" s="245"/>
      <c r="H463" s="245"/>
      <c r="I463" s="245"/>
      <c r="J463" s="245"/>
      <c r="K463" s="265"/>
      <c r="L463" s="245"/>
      <c r="M463" s="245"/>
      <c r="N463" s="245"/>
      <c r="O463" s="245"/>
      <c r="P463" s="245"/>
      <c r="Q463" s="247"/>
      <c r="R463" s="254"/>
      <c r="S463" s="245"/>
      <c r="T463" s="245"/>
      <c r="U463" s="245"/>
      <c r="V463" s="245"/>
      <c r="W463" s="245"/>
      <c r="X463" s="245"/>
      <c r="Y463" s="249"/>
      <c r="Z463" s="276"/>
      <c r="AA463" s="245"/>
      <c r="AB463" s="276"/>
      <c r="AC463" s="276"/>
      <c r="AD463" s="246"/>
      <c r="AE463" s="278"/>
      <c r="AF463" s="370"/>
      <c r="AG463" s="371"/>
      <c r="AH463" s="276"/>
      <c r="AI463" s="245"/>
      <c r="AJ463" s="287"/>
      <c r="AK463" s="278"/>
      <c r="AL463" s="246"/>
      <c r="AM463" s="245"/>
      <c r="AN463" s="245"/>
      <c r="AO463" s="274"/>
      <c r="AP463" s="245"/>
      <c r="AQ463" s="245"/>
      <c r="AR463" s="246"/>
      <c r="AS463" s="245"/>
      <c r="AT463" s="245"/>
      <c r="AU463" s="245"/>
      <c r="AV463" s="245"/>
      <c r="AW463" s="245"/>
      <c r="AX463" s="246"/>
      <c r="AY463" s="245"/>
      <c r="AZ463" s="245"/>
      <c r="BA463" s="246"/>
      <c r="BB463" s="245"/>
      <c r="BC463" s="245"/>
      <c r="BD463" s="245"/>
      <c r="BE463" s="245"/>
      <c r="BF463" s="245"/>
      <c r="BG463" s="245"/>
      <c r="BH463" s="245"/>
      <c r="BI463" s="245"/>
      <c r="BJ463" s="245"/>
      <c r="BK463" s="245"/>
      <c r="BL463" s="245"/>
      <c r="BM463" s="245"/>
      <c r="BN463" s="245"/>
      <c r="BO463" s="245"/>
      <c r="BP463" s="245"/>
      <c r="BQ463" s="245"/>
      <c r="BR463" s="245"/>
      <c r="BS463" s="245"/>
      <c r="BT463" s="246"/>
      <c r="BU463" s="245"/>
      <c r="BV463" s="245"/>
      <c r="BW463" s="245"/>
      <c r="BX463" s="245"/>
      <c r="BY463" s="245"/>
      <c r="BZ463" s="282"/>
      <c r="CA463" s="245"/>
      <c r="CB463" s="245"/>
      <c r="CC463" s="245"/>
      <c r="CD463" s="245"/>
      <c r="CE463" s="245"/>
      <c r="CF463" s="245"/>
    </row>
    <row r="464">
      <c r="A464" s="245"/>
      <c r="B464" s="245"/>
      <c r="C464" s="245"/>
      <c r="D464" s="246"/>
      <c r="E464" s="245"/>
      <c r="F464" s="245"/>
      <c r="G464" s="245"/>
      <c r="H464" s="245"/>
      <c r="I464" s="245"/>
      <c r="J464" s="245"/>
      <c r="K464" s="265"/>
      <c r="L464" s="245"/>
      <c r="M464" s="245"/>
      <c r="N464" s="245"/>
      <c r="O464" s="245"/>
      <c r="P464" s="245"/>
      <c r="Q464" s="247"/>
      <c r="R464" s="254"/>
      <c r="S464" s="245"/>
      <c r="T464" s="245"/>
      <c r="U464" s="245"/>
      <c r="V464" s="245"/>
      <c r="W464" s="245"/>
      <c r="X464" s="245"/>
      <c r="Y464" s="249"/>
      <c r="Z464" s="276"/>
      <c r="AA464" s="245"/>
      <c r="AB464" s="276"/>
      <c r="AC464" s="276"/>
      <c r="AD464" s="246"/>
      <c r="AE464" s="278"/>
      <c r="AF464" s="370"/>
      <c r="AG464" s="371"/>
      <c r="AH464" s="276"/>
      <c r="AI464" s="245"/>
      <c r="AJ464" s="287"/>
      <c r="AK464" s="278"/>
      <c r="AL464" s="246"/>
      <c r="AM464" s="245"/>
      <c r="AN464" s="245"/>
      <c r="AO464" s="274"/>
      <c r="AP464" s="245"/>
      <c r="AQ464" s="245"/>
      <c r="AR464" s="246"/>
      <c r="AS464" s="245"/>
      <c r="AT464" s="245"/>
      <c r="AU464" s="245"/>
      <c r="AV464" s="245"/>
      <c r="AW464" s="245"/>
      <c r="AX464" s="246"/>
      <c r="AY464" s="245"/>
      <c r="AZ464" s="245"/>
      <c r="BA464" s="246"/>
      <c r="BB464" s="245"/>
      <c r="BC464" s="245"/>
      <c r="BD464" s="245"/>
      <c r="BE464" s="245"/>
      <c r="BF464" s="245"/>
      <c r="BG464" s="245"/>
      <c r="BH464" s="245"/>
      <c r="BI464" s="245"/>
      <c r="BJ464" s="245"/>
      <c r="BK464" s="245"/>
      <c r="BL464" s="245"/>
      <c r="BM464" s="245"/>
      <c r="BN464" s="245"/>
      <c r="BO464" s="245"/>
      <c r="BP464" s="245"/>
      <c r="BQ464" s="245"/>
      <c r="BR464" s="245"/>
      <c r="BS464" s="245"/>
      <c r="BT464" s="246"/>
      <c r="BU464" s="245"/>
      <c r="BV464" s="245"/>
      <c r="BW464" s="245"/>
      <c r="BX464" s="245"/>
      <c r="BY464" s="245"/>
      <c r="BZ464" s="282"/>
      <c r="CA464" s="245"/>
      <c r="CB464" s="245"/>
      <c r="CC464" s="245"/>
      <c r="CD464" s="245"/>
      <c r="CE464" s="245"/>
      <c r="CF464" s="245"/>
    </row>
    <row r="465">
      <c r="A465" s="245"/>
      <c r="B465" s="245"/>
      <c r="C465" s="245"/>
      <c r="D465" s="246"/>
      <c r="E465" s="245"/>
      <c r="F465" s="245"/>
      <c r="G465" s="245"/>
      <c r="H465" s="245"/>
      <c r="I465" s="245"/>
      <c r="J465" s="245"/>
      <c r="K465" s="265"/>
      <c r="L465" s="245"/>
      <c r="M465" s="245"/>
      <c r="N465" s="245"/>
      <c r="O465" s="245"/>
      <c r="P465" s="245"/>
      <c r="Q465" s="247"/>
      <c r="R465" s="254"/>
      <c r="S465" s="245"/>
      <c r="T465" s="245"/>
      <c r="U465" s="245"/>
      <c r="V465" s="245"/>
      <c r="W465" s="245"/>
      <c r="X465" s="245"/>
      <c r="Y465" s="249"/>
      <c r="Z465" s="276"/>
      <c r="AA465" s="245"/>
      <c r="AB465" s="276"/>
      <c r="AC465" s="276"/>
      <c r="AD465" s="246"/>
      <c r="AE465" s="278"/>
      <c r="AF465" s="370"/>
      <c r="AG465" s="371"/>
      <c r="AH465" s="276"/>
      <c r="AI465" s="245"/>
      <c r="AJ465" s="287"/>
      <c r="AK465" s="278"/>
      <c r="AL465" s="246"/>
      <c r="AM465" s="245"/>
      <c r="AN465" s="245"/>
      <c r="AO465" s="274"/>
      <c r="AP465" s="245"/>
      <c r="AQ465" s="245"/>
      <c r="AR465" s="246"/>
      <c r="AS465" s="245"/>
      <c r="AT465" s="245"/>
      <c r="AU465" s="245"/>
      <c r="AV465" s="245"/>
      <c r="AW465" s="245"/>
      <c r="AX465" s="246"/>
      <c r="AY465" s="245"/>
      <c r="AZ465" s="245"/>
      <c r="BA465" s="246"/>
      <c r="BB465" s="245"/>
      <c r="BC465" s="245"/>
      <c r="BD465" s="245"/>
      <c r="BE465" s="245"/>
      <c r="BF465" s="245"/>
      <c r="BG465" s="245"/>
      <c r="BH465" s="245"/>
      <c r="BI465" s="245"/>
      <c r="BJ465" s="245"/>
      <c r="BK465" s="245"/>
      <c r="BL465" s="245"/>
      <c r="BM465" s="245"/>
      <c r="BN465" s="245"/>
      <c r="BO465" s="245"/>
      <c r="BP465" s="245"/>
      <c r="BQ465" s="245"/>
      <c r="BR465" s="245"/>
      <c r="BS465" s="245"/>
      <c r="BT465" s="246"/>
      <c r="BU465" s="245"/>
      <c r="BV465" s="245"/>
      <c r="BW465" s="245"/>
      <c r="BX465" s="245"/>
      <c r="BY465" s="245"/>
      <c r="BZ465" s="282"/>
      <c r="CA465" s="245"/>
      <c r="CB465" s="245"/>
      <c r="CC465" s="245"/>
      <c r="CD465" s="245"/>
      <c r="CE465" s="245"/>
      <c r="CF465" s="245"/>
    </row>
    <row r="466">
      <c r="A466" s="245"/>
      <c r="B466" s="245"/>
      <c r="C466" s="245"/>
      <c r="D466" s="246"/>
      <c r="E466" s="245"/>
      <c r="F466" s="245"/>
      <c r="G466" s="245"/>
      <c r="H466" s="245"/>
      <c r="I466" s="245"/>
      <c r="J466" s="245"/>
      <c r="K466" s="265"/>
      <c r="L466" s="245"/>
      <c r="M466" s="245"/>
      <c r="N466" s="245"/>
      <c r="O466" s="245"/>
      <c r="P466" s="245"/>
      <c r="Q466" s="247"/>
      <c r="R466" s="254"/>
      <c r="S466" s="245"/>
      <c r="T466" s="245"/>
      <c r="U466" s="245"/>
      <c r="V466" s="245"/>
      <c r="W466" s="245"/>
      <c r="X466" s="245"/>
      <c r="Y466" s="249"/>
      <c r="Z466" s="276"/>
      <c r="AA466" s="245"/>
      <c r="AB466" s="276"/>
      <c r="AC466" s="276"/>
      <c r="AD466" s="246"/>
      <c r="AE466" s="278"/>
      <c r="AF466" s="370"/>
      <c r="AG466" s="371"/>
      <c r="AH466" s="276"/>
      <c r="AI466" s="245"/>
      <c r="AJ466" s="287"/>
      <c r="AK466" s="278"/>
      <c r="AL466" s="246"/>
      <c r="AM466" s="245"/>
      <c r="AN466" s="245"/>
      <c r="AO466" s="274"/>
      <c r="AP466" s="245"/>
      <c r="AQ466" s="245"/>
      <c r="AR466" s="246"/>
      <c r="AS466" s="245"/>
      <c r="AT466" s="245"/>
      <c r="AU466" s="245"/>
      <c r="AV466" s="245"/>
      <c r="AW466" s="245"/>
      <c r="AX466" s="246"/>
      <c r="AY466" s="245"/>
      <c r="AZ466" s="245"/>
      <c r="BA466" s="246"/>
      <c r="BB466" s="245"/>
      <c r="BC466" s="245"/>
      <c r="BD466" s="245"/>
      <c r="BE466" s="245"/>
      <c r="BF466" s="245"/>
      <c r="BG466" s="245"/>
      <c r="BH466" s="245"/>
      <c r="BI466" s="245"/>
      <c r="BJ466" s="245"/>
      <c r="BK466" s="245"/>
      <c r="BL466" s="245"/>
      <c r="BM466" s="245"/>
      <c r="BN466" s="245"/>
      <c r="BO466" s="245"/>
      <c r="BP466" s="245"/>
      <c r="BQ466" s="245"/>
      <c r="BR466" s="245"/>
      <c r="BS466" s="245"/>
      <c r="BT466" s="246"/>
      <c r="BU466" s="245"/>
      <c r="BV466" s="245"/>
      <c r="BW466" s="245"/>
      <c r="BX466" s="245"/>
      <c r="BY466" s="245"/>
      <c r="BZ466" s="282"/>
      <c r="CA466" s="245"/>
      <c r="CB466" s="245"/>
      <c r="CC466" s="245"/>
      <c r="CD466" s="245"/>
      <c r="CE466" s="245"/>
      <c r="CF466" s="245"/>
    </row>
    <row r="467">
      <c r="A467" s="245"/>
      <c r="B467" s="245"/>
      <c r="C467" s="245"/>
      <c r="D467" s="246"/>
      <c r="E467" s="245"/>
      <c r="F467" s="245"/>
      <c r="G467" s="245"/>
      <c r="H467" s="245"/>
      <c r="I467" s="245"/>
      <c r="J467" s="245"/>
      <c r="K467" s="265"/>
      <c r="L467" s="245"/>
      <c r="M467" s="245"/>
      <c r="N467" s="245"/>
      <c r="O467" s="245"/>
      <c r="P467" s="245"/>
      <c r="Q467" s="247"/>
      <c r="R467" s="254"/>
      <c r="S467" s="245"/>
      <c r="T467" s="245"/>
      <c r="U467" s="245"/>
      <c r="V467" s="245"/>
      <c r="W467" s="245"/>
      <c r="X467" s="245"/>
      <c r="Y467" s="249"/>
      <c r="Z467" s="276"/>
      <c r="AA467" s="245"/>
      <c r="AB467" s="276"/>
      <c r="AC467" s="276"/>
      <c r="AD467" s="246"/>
      <c r="AE467" s="278"/>
      <c r="AF467" s="370"/>
      <c r="AG467" s="371"/>
      <c r="AH467" s="276"/>
      <c r="AI467" s="245"/>
      <c r="AJ467" s="287"/>
      <c r="AK467" s="278"/>
      <c r="AL467" s="246"/>
      <c r="AM467" s="245"/>
      <c r="AN467" s="245"/>
      <c r="AO467" s="274"/>
      <c r="AP467" s="245"/>
      <c r="AQ467" s="245"/>
      <c r="AR467" s="246"/>
      <c r="AS467" s="245"/>
      <c r="AT467" s="245"/>
      <c r="AU467" s="245"/>
      <c r="AV467" s="245"/>
      <c r="AW467" s="245"/>
      <c r="AX467" s="246"/>
      <c r="AY467" s="245"/>
      <c r="AZ467" s="245"/>
      <c r="BA467" s="246"/>
      <c r="BB467" s="245"/>
      <c r="BC467" s="245"/>
      <c r="BD467" s="245"/>
      <c r="BE467" s="245"/>
      <c r="BF467" s="245"/>
      <c r="BG467" s="245"/>
      <c r="BH467" s="245"/>
      <c r="BI467" s="245"/>
      <c r="BJ467" s="245"/>
      <c r="BK467" s="245"/>
      <c r="BL467" s="245"/>
      <c r="BM467" s="245"/>
      <c r="BN467" s="245"/>
      <c r="BO467" s="245"/>
      <c r="BP467" s="245"/>
      <c r="BQ467" s="245"/>
      <c r="BR467" s="245"/>
      <c r="BS467" s="245"/>
      <c r="BT467" s="246"/>
      <c r="BU467" s="245"/>
      <c r="BV467" s="245"/>
      <c r="BW467" s="245"/>
      <c r="BX467" s="245"/>
      <c r="BY467" s="245"/>
      <c r="BZ467" s="282"/>
      <c r="CA467" s="245"/>
      <c r="CB467" s="245"/>
      <c r="CC467" s="245"/>
      <c r="CD467" s="245"/>
      <c r="CE467" s="245"/>
      <c r="CF467" s="245"/>
    </row>
    <row r="468">
      <c r="A468" s="245"/>
      <c r="B468" s="245"/>
      <c r="C468" s="245"/>
      <c r="D468" s="246"/>
      <c r="E468" s="245"/>
      <c r="F468" s="245"/>
      <c r="G468" s="245"/>
      <c r="H468" s="245"/>
      <c r="I468" s="245"/>
      <c r="J468" s="245"/>
      <c r="K468" s="265"/>
      <c r="L468" s="245"/>
      <c r="M468" s="245"/>
      <c r="N468" s="245"/>
      <c r="O468" s="245"/>
      <c r="P468" s="245"/>
      <c r="Q468" s="247"/>
      <c r="R468" s="254"/>
      <c r="S468" s="245"/>
      <c r="T468" s="245"/>
      <c r="U468" s="245"/>
      <c r="V468" s="245"/>
      <c r="W468" s="245"/>
      <c r="X468" s="245"/>
      <c r="Y468" s="249"/>
      <c r="Z468" s="276"/>
      <c r="AA468" s="245"/>
      <c r="AB468" s="276"/>
      <c r="AC468" s="276"/>
      <c r="AD468" s="246"/>
      <c r="AE468" s="278"/>
      <c r="AF468" s="370"/>
      <c r="AG468" s="371"/>
      <c r="AH468" s="276"/>
      <c r="AI468" s="245"/>
      <c r="AJ468" s="287"/>
      <c r="AK468" s="278"/>
      <c r="AL468" s="246"/>
      <c r="AM468" s="245"/>
      <c r="AN468" s="245"/>
      <c r="AO468" s="274"/>
      <c r="AP468" s="245"/>
      <c r="AQ468" s="245"/>
      <c r="AR468" s="246"/>
      <c r="AS468" s="245"/>
      <c r="AT468" s="245"/>
      <c r="AU468" s="245"/>
      <c r="AV468" s="245"/>
      <c r="AW468" s="245"/>
      <c r="AX468" s="246"/>
      <c r="AY468" s="245"/>
      <c r="AZ468" s="245"/>
      <c r="BA468" s="246"/>
      <c r="BB468" s="245"/>
      <c r="BC468" s="245"/>
      <c r="BD468" s="245"/>
      <c r="BE468" s="245"/>
      <c r="BF468" s="245"/>
      <c r="BG468" s="245"/>
      <c r="BH468" s="245"/>
      <c r="BI468" s="245"/>
      <c r="BJ468" s="245"/>
      <c r="BK468" s="245"/>
      <c r="BL468" s="245"/>
      <c r="BM468" s="245"/>
      <c r="BN468" s="245"/>
      <c r="BO468" s="245"/>
      <c r="BP468" s="245"/>
      <c r="BQ468" s="245"/>
      <c r="BR468" s="245"/>
      <c r="BS468" s="245"/>
      <c r="BT468" s="246"/>
      <c r="BU468" s="245"/>
      <c r="BV468" s="245"/>
      <c r="BW468" s="245"/>
      <c r="BX468" s="245"/>
      <c r="BY468" s="245"/>
      <c r="BZ468" s="282"/>
      <c r="CA468" s="245"/>
      <c r="CB468" s="245"/>
      <c r="CC468" s="245"/>
      <c r="CD468" s="245"/>
      <c r="CE468" s="245"/>
      <c r="CF468" s="245"/>
    </row>
    <row r="469">
      <c r="A469" s="245"/>
      <c r="B469" s="245"/>
      <c r="C469" s="245"/>
      <c r="D469" s="246"/>
      <c r="E469" s="245"/>
      <c r="F469" s="245"/>
      <c r="G469" s="245"/>
      <c r="H469" s="245"/>
      <c r="I469" s="245"/>
      <c r="J469" s="245"/>
      <c r="K469" s="265"/>
      <c r="L469" s="245"/>
      <c r="M469" s="245"/>
      <c r="N469" s="245"/>
      <c r="O469" s="245"/>
      <c r="P469" s="245"/>
      <c r="Q469" s="247"/>
      <c r="R469" s="254"/>
      <c r="S469" s="245"/>
      <c r="T469" s="245"/>
      <c r="U469" s="245"/>
      <c r="V469" s="245"/>
      <c r="W469" s="245"/>
      <c r="X469" s="245"/>
      <c r="Y469" s="249"/>
      <c r="Z469" s="276"/>
      <c r="AA469" s="245"/>
      <c r="AB469" s="276"/>
      <c r="AC469" s="276"/>
      <c r="AD469" s="246"/>
      <c r="AE469" s="278"/>
      <c r="AF469" s="370"/>
      <c r="AG469" s="371"/>
      <c r="AH469" s="276"/>
      <c r="AI469" s="245"/>
      <c r="AJ469" s="287"/>
      <c r="AK469" s="278"/>
      <c r="AL469" s="246"/>
      <c r="AM469" s="245"/>
      <c r="AN469" s="245"/>
      <c r="AO469" s="274"/>
      <c r="AP469" s="245"/>
      <c r="AQ469" s="245"/>
      <c r="AR469" s="246"/>
      <c r="AS469" s="245"/>
      <c r="AT469" s="245"/>
      <c r="AU469" s="245"/>
      <c r="AV469" s="245"/>
      <c r="AW469" s="245"/>
      <c r="AX469" s="246"/>
      <c r="AY469" s="245"/>
      <c r="AZ469" s="245"/>
      <c r="BA469" s="246"/>
      <c r="BB469" s="245"/>
      <c r="BC469" s="245"/>
      <c r="BD469" s="245"/>
      <c r="BE469" s="245"/>
      <c r="BF469" s="245"/>
      <c r="BG469" s="245"/>
      <c r="BH469" s="245"/>
      <c r="BI469" s="245"/>
      <c r="BJ469" s="245"/>
      <c r="BK469" s="245"/>
      <c r="BL469" s="245"/>
      <c r="BM469" s="245"/>
      <c r="BN469" s="245"/>
      <c r="BO469" s="245"/>
      <c r="BP469" s="245"/>
      <c r="BQ469" s="245"/>
      <c r="BR469" s="245"/>
      <c r="BS469" s="245"/>
      <c r="BT469" s="246"/>
      <c r="BU469" s="245"/>
      <c r="BV469" s="245"/>
      <c r="BW469" s="245"/>
      <c r="BX469" s="245"/>
      <c r="BY469" s="245"/>
      <c r="BZ469" s="282"/>
      <c r="CA469" s="245"/>
      <c r="CB469" s="245"/>
      <c r="CC469" s="245"/>
      <c r="CD469" s="245"/>
      <c r="CE469" s="245"/>
      <c r="CF469" s="245"/>
    </row>
    <row r="470">
      <c r="A470" s="245"/>
      <c r="B470" s="245"/>
      <c r="C470" s="245"/>
      <c r="D470" s="246"/>
      <c r="E470" s="245"/>
      <c r="F470" s="245"/>
      <c r="G470" s="245"/>
      <c r="H470" s="245"/>
      <c r="I470" s="245"/>
      <c r="J470" s="245"/>
      <c r="K470" s="265"/>
      <c r="L470" s="245"/>
      <c r="M470" s="245"/>
      <c r="N470" s="245"/>
      <c r="O470" s="245"/>
      <c r="P470" s="245"/>
      <c r="Q470" s="247"/>
      <c r="R470" s="254"/>
      <c r="S470" s="245"/>
      <c r="T470" s="245"/>
      <c r="U470" s="245"/>
      <c r="V470" s="245"/>
      <c r="W470" s="245"/>
      <c r="X470" s="245"/>
      <c r="Y470" s="249"/>
      <c r="Z470" s="276"/>
      <c r="AA470" s="245"/>
      <c r="AB470" s="276"/>
      <c r="AC470" s="276"/>
      <c r="AD470" s="246"/>
      <c r="AE470" s="278"/>
      <c r="AF470" s="370"/>
      <c r="AG470" s="371"/>
      <c r="AH470" s="276"/>
      <c r="AI470" s="245"/>
      <c r="AJ470" s="287"/>
      <c r="AK470" s="278"/>
      <c r="AL470" s="246"/>
      <c r="AM470" s="245"/>
      <c r="AN470" s="245"/>
      <c r="AO470" s="274"/>
      <c r="AP470" s="245"/>
      <c r="AQ470" s="245"/>
      <c r="AR470" s="246"/>
      <c r="AS470" s="245"/>
      <c r="AT470" s="245"/>
      <c r="AU470" s="245"/>
      <c r="AV470" s="245"/>
      <c r="AW470" s="245"/>
      <c r="AX470" s="246"/>
      <c r="AY470" s="245"/>
      <c r="AZ470" s="245"/>
      <c r="BA470" s="246"/>
      <c r="BB470" s="245"/>
      <c r="BC470" s="245"/>
      <c r="BD470" s="245"/>
      <c r="BE470" s="245"/>
      <c r="BF470" s="245"/>
      <c r="BG470" s="245"/>
      <c r="BH470" s="245"/>
      <c r="BI470" s="245"/>
      <c r="BJ470" s="245"/>
      <c r="BK470" s="245"/>
      <c r="BL470" s="245"/>
      <c r="BM470" s="245"/>
      <c r="BN470" s="245"/>
      <c r="BO470" s="245"/>
      <c r="BP470" s="245"/>
      <c r="BQ470" s="245"/>
      <c r="BR470" s="245"/>
      <c r="BS470" s="245"/>
      <c r="BT470" s="246"/>
      <c r="BU470" s="245"/>
      <c r="BV470" s="245"/>
      <c r="BW470" s="245"/>
      <c r="BX470" s="245"/>
      <c r="BY470" s="245"/>
      <c r="BZ470" s="282"/>
      <c r="CA470" s="245"/>
      <c r="CB470" s="245"/>
      <c r="CC470" s="245"/>
      <c r="CD470" s="245"/>
      <c r="CE470" s="245"/>
      <c r="CF470" s="245"/>
    </row>
    <row r="471">
      <c r="A471" s="245"/>
      <c r="B471" s="245"/>
      <c r="C471" s="245"/>
      <c r="D471" s="246"/>
      <c r="E471" s="245"/>
      <c r="F471" s="245"/>
      <c r="G471" s="245"/>
      <c r="H471" s="245"/>
      <c r="I471" s="245"/>
      <c r="J471" s="245"/>
      <c r="K471" s="265"/>
      <c r="L471" s="245"/>
      <c r="M471" s="245"/>
      <c r="N471" s="245"/>
      <c r="O471" s="245"/>
      <c r="P471" s="245"/>
      <c r="Q471" s="247"/>
      <c r="R471" s="254"/>
      <c r="S471" s="245"/>
      <c r="T471" s="245"/>
      <c r="U471" s="245"/>
      <c r="V471" s="245"/>
      <c r="W471" s="245"/>
      <c r="X471" s="245"/>
      <c r="Y471" s="249"/>
      <c r="Z471" s="276"/>
      <c r="AA471" s="245"/>
      <c r="AB471" s="276"/>
      <c r="AC471" s="276"/>
      <c r="AD471" s="246"/>
      <c r="AE471" s="278"/>
      <c r="AF471" s="370"/>
      <c r="AG471" s="371"/>
      <c r="AH471" s="276"/>
      <c r="AI471" s="245"/>
      <c r="AJ471" s="287"/>
      <c r="AK471" s="278"/>
      <c r="AL471" s="246"/>
      <c r="AM471" s="245"/>
      <c r="AN471" s="245"/>
      <c r="AO471" s="274"/>
      <c r="AP471" s="245"/>
      <c r="AQ471" s="245"/>
      <c r="AR471" s="246"/>
      <c r="AS471" s="245"/>
      <c r="AT471" s="245"/>
      <c r="AU471" s="245"/>
      <c r="AV471" s="245"/>
      <c r="AW471" s="245"/>
      <c r="AX471" s="246"/>
      <c r="AY471" s="245"/>
      <c r="AZ471" s="245"/>
      <c r="BA471" s="246"/>
      <c r="BB471" s="245"/>
      <c r="BC471" s="245"/>
      <c r="BD471" s="245"/>
      <c r="BE471" s="245"/>
      <c r="BF471" s="245"/>
      <c r="BG471" s="245"/>
      <c r="BH471" s="245"/>
      <c r="BI471" s="245"/>
      <c r="BJ471" s="245"/>
      <c r="BK471" s="245"/>
      <c r="BL471" s="245"/>
      <c r="BM471" s="245"/>
      <c r="BN471" s="245"/>
      <c r="BO471" s="245"/>
      <c r="BP471" s="245"/>
      <c r="BQ471" s="245"/>
      <c r="BR471" s="245"/>
      <c r="BS471" s="245"/>
      <c r="BT471" s="246"/>
      <c r="BU471" s="245"/>
      <c r="BV471" s="245"/>
      <c r="BW471" s="245"/>
      <c r="BX471" s="245"/>
      <c r="BY471" s="245"/>
      <c r="BZ471" s="282"/>
      <c r="CA471" s="245"/>
      <c r="CB471" s="245"/>
      <c r="CC471" s="245"/>
      <c r="CD471" s="245"/>
      <c r="CE471" s="245"/>
      <c r="CF471" s="245"/>
    </row>
    <row r="472">
      <c r="A472" s="245"/>
      <c r="B472" s="245"/>
      <c r="C472" s="245"/>
      <c r="D472" s="246"/>
      <c r="E472" s="245"/>
      <c r="F472" s="245"/>
      <c r="G472" s="245"/>
      <c r="H472" s="245"/>
      <c r="I472" s="245"/>
      <c r="J472" s="245"/>
      <c r="K472" s="265"/>
      <c r="L472" s="245"/>
      <c r="M472" s="245"/>
      <c r="N472" s="245"/>
      <c r="O472" s="245"/>
      <c r="P472" s="245"/>
      <c r="Q472" s="247"/>
      <c r="R472" s="254"/>
      <c r="S472" s="245"/>
      <c r="T472" s="245"/>
      <c r="U472" s="245"/>
      <c r="V472" s="245"/>
      <c r="W472" s="245"/>
      <c r="X472" s="245"/>
      <c r="Y472" s="249"/>
      <c r="Z472" s="276"/>
      <c r="AA472" s="245"/>
      <c r="AB472" s="276"/>
      <c r="AC472" s="276"/>
      <c r="AD472" s="246"/>
      <c r="AE472" s="278"/>
      <c r="AF472" s="370"/>
      <c r="AG472" s="371"/>
      <c r="AH472" s="276"/>
      <c r="AI472" s="245"/>
      <c r="AJ472" s="287"/>
      <c r="AK472" s="278"/>
      <c r="AL472" s="246"/>
      <c r="AM472" s="245"/>
      <c r="AN472" s="245"/>
      <c r="AO472" s="274"/>
      <c r="AP472" s="245"/>
      <c r="AQ472" s="245"/>
      <c r="AR472" s="246"/>
      <c r="AS472" s="245"/>
      <c r="AT472" s="245"/>
      <c r="AU472" s="245"/>
      <c r="AV472" s="245"/>
      <c r="AW472" s="245"/>
      <c r="AX472" s="246"/>
      <c r="AY472" s="245"/>
      <c r="AZ472" s="245"/>
      <c r="BA472" s="246"/>
      <c r="BB472" s="245"/>
      <c r="BC472" s="245"/>
      <c r="BD472" s="245"/>
      <c r="BE472" s="245"/>
      <c r="BF472" s="245"/>
      <c r="BG472" s="245"/>
      <c r="BH472" s="245"/>
      <c r="BI472" s="245"/>
      <c r="BJ472" s="245"/>
      <c r="BK472" s="245"/>
      <c r="BL472" s="245"/>
      <c r="BM472" s="245"/>
      <c r="BN472" s="245"/>
      <c r="BO472" s="245"/>
      <c r="BP472" s="245"/>
      <c r="BQ472" s="245"/>
      <c r="BR472" s="245"/>
      <c r="BS472" s="245"/>
      <c r="BT472" s="246"/>
      <c r="BU472" s="245"/>
      <c r="BV472" s="245"/>
      <c r="BW472" s="245"/>
      <c r="BX472" s="245"/>
      <c r="BY472" s="245"/>
      <c r="BZ472" s="282"/>
      <c r="CA472" s="245"/>
      <c r="CB472" s="245"/>
      <c r="CC472" s="245"/>
      <c r="CD472" s="245"/>
      <c r="CE472" s="245"/>
      <c r="CF472" s="245"/>
    </row>
    <row r="473">
      <c r="A473" s="245"/>
      <c r="B473" s="245"/>
      <c r="C473" s="245"/>
      <c r="D473" s="246"/>
      <c r="E473" s="245"/>
      <c r="F473" s="245"/>
      <c r="G473" s="245"/>
      <c r="H473" s="245"/>
      <c r="I473" s="245"/>
      <c r="J473" s="245"/>
      <c r="K473" s="265"/>
      <c r="L473" s="245"/>
      <c r="M473" s="245"/>
      <c r="N473" s="245"/>
      <c r="O473" s="245"/>
      <c r="P473" s="245"/>
      <c r="Q473" s="247"/>
      <c r="R473" s="254"/>
      <c r="S473" s="245"/>
      <c r="T473" s="245"/>
      <c r="U473" s="245"/>
      <c r="V473" s="245"/>
      <c r="W473" s="245"/>
      <c r="X473" s="245"/>
      <c r="Y473" s="249"/>
      <c r="Z473" s="276"/>
      <c r="AA473" s="245"/>
      <c r="AB473" s="276"/>
      <c r="AC473" s="276"/>
      <c r="AD473" s="246"/>
      <c r="AE473" s="278"/>
      <c r="AF473" s="370"/>
      <c r="AG473" s="371"/>
      <c r="AH473" s="276"/>
      <c r="AI473" s="245"/>
      <c r="AJ473" s="287"/>
      <c r="AK473" s="278"/>
      <c r="AL473" s="246"/>
      <c r="AM473" s="245"/>
      <c r="AN473" s="245"/>
      <c r="AO473" s="274"/>
      <c r="AP473" s="245"/>
      <c r="AQ473" s="245"/>
      <c r="AR473" s="246"/>
      <c r="AS473" s="245"/>
      <c r="AT473" s="245"/>
      <c r="AU473" s="245"/>
      <c r="AV473" s="245"/>
      <c r="AW473" s="245"/>
      <c r="AX473" s="246"/>
      <c r="AY473" s="245"/>
      <c r="AZ473" s="245"/>
      <c r="BA473" s="246"/>
      <c r="BB473" s="245"/>
      <c r="BC473" s="245"/>
      <c r="BD473" s="245"/>
      <c r="BE473" s="245"/>
      <c r="BF473" s="245"/>
      <c r="BG473" s="245"/>
      <c r="BH473" s="245"/>
      <c r="BI473" s="245"/>
      <c r="BJ473" s="245"/>
      <c r="BK473" s="245"/>
      <c r="BL473" s="245"/>
      <c r="BM473" s="245"/>
      <c r="BN473" s="245"/>
      <c r="BO473" s="245"/>
      <c r="BP473" s="245"/>
      <c r="BQ473" s="245"/>
      <c r="BR473" s="245"/>
      <c r="BS473" s="245"/>
      <c r="BT473" s="246"/>
      <c r="BU473" s="245"/>
      <c r="BV473" s="245"/>
      <c r="BW473" s="245"/>
      <c r="BX473" s="245"/>
      <c r="BY473" s="245"/>
      <c r="BZ473" s="282"/>
      <c r="CA473" s="245"/>
      <c r="CB473" s="245"/>
      <c r="CC473" s="245"/>
      <c r="CD473" s="245"/>
      <c r="CE473" s="245"/>
      <c r="CF473" s="245"/>
    </row>
    <row r="474">
      <c r="A474" s="245"/>
      <c r="B474" s="245"/>
      <c r="C474" s="245"/>
      <c r="D474" s="246"/>
      <c r="E474" s="245"/>
      <c r="F474" s="245"/>
      <c r="G474" s="245"/>
      <c r="H474" s="245"/>
      <c r="I474" s="245"/>
      <c r="J474" s="245"/>
      <c r="K474" s="265"/>
      <c r="L474" s="245"/>
      <c r="M474" s="245"/>
      <c r="N474" s="245"/>
      <c r="O474" s="245"/>
      <c r="P474" s="245"/>
      <c r="Q474" s="247"/>
      <c r="R474" s="254"/>
      <c r="S474" s="245"/>
      <c r="T474" s="245"/>
      <c r="U474" s="245"/>
      <c r="V474" s="245"/>
      <c r="W474" s="245"/>
      <c r="X474" s="245"/>
      <c r="Y474" s="249"/>
      <c r="Z474" s="276"/>
      <c r="AA474" s="245"/>
      <c r="AB474" s="276"/>
      <c r="AC474" s="276"/>
      <c r="AD474" s="246"/>
      <c r="AE474" s="278"/>
      <c r="AF474" s="370"/>
      <c r="AG474" s="371"/>
      <c r="AH474" s="276"/>
      <c r="AI474" s="245"/>
      <c r="AJ474" s="287"/>
      <c r="AK474" s="278"/>
      <c r="AL474" s="246"/>
      <c r="AM474" s="245"/>
      <c r="AN474" s="245"/>
      <c r="AO474" s="274"/>
      <c r="AP474" s="245"/>
      <c r="AQ474" s="245"/>
      <c r="AR474" s="246"/>
      <c r="AS474" s="245"/>
      <c r="AT474" s="245"/>
      <c r="AU474" s="245"/>
      <c r="AV474" s="245"/>
      <c r="AW474" s="245"/>
      <c r="AX474" s="246"/>
      <c r="AY474" s="245"/>
      <c r="AZ474" s="245"/>
      <c r="BA474" s="246"/>
      <c r="BB474" s="245"/>
      <c r="BC474" s="245"/>
      <c r="BD474" s="245"/>
      <c r="BE474" s="245"/>
      <c r="BF474" s="245"/>
      <c r="BG474" s="245"/>
      <c r="BH474" s="245"/>
      <c r="BI474" s="245"/>
      <c r="BJ474" s="245"/>
      <c r="BK474" s="245"/>
      <c r="BL474" s="245"/>
      <c r="BM474" s="245"/>
      <c r="BN474" s="245"/>
      <c r="BO474" s="245"/>
      <c r="BP474" s="245"/>
      <c r="BQ474" s="245"/>
      <c r="BR474" s="245"/>
      <c r="BS474" s="245"/>
      <c r="BT474" s="246"/>
      <c r="BU474" s="245"/>
      <c r="BV474" s="245"/>
      <c r="BW474" s="245"/>
      <c r="BX474" s="245"/>
      <c r="BY474" s="245"/>
      <c r="BZ474" s="282"/>
      <c r="CA474" s="245"/>
      <c r="CB474" s="245"/>
      <c r="CC474" s="245"/>
      <c r="CD474" s="245"/>
      <c r="CE474" s="245"/>
      <c r="CF474" s="245"/>
    </row>
    <row r="475">
      <c r="A475" s="245"/>
      <c r="B475" s="245"/>
      <c r="C475" s="245"/>
      <c r="D475" s="246"/>
      <c r="E475" s="245"/>
      <c r="F475" s="245"/>
      <c r="G475" s="245"/>
      <c r="H475" s="245"/>
      <c r="I475" s="245"/>
      <c r="J475" s="245"/>
      <c r="K475" s="265"/>
      <c r="L475" s="245"/>
      <c r="M475" s="245"/>
      <c r="N475" s="245"/>
      <c r="O475" s="245"/>
      <c r="P475" s="245"/>
      <c r="Q475" s="247"/>
      <c r="R475" s="254"/>
      <c r="S475" s="245"/>
      <c r="T475" s="245"/>
      <c r="U475" s="245"/>
      <c r="V475" s="245"/>
      <c r="W475" s="245"/>
      <c r="X475" s="245"/>
      <c r="Y475" s="249"/>
      <c r="Z475" s="276"/>
      <c r="AA475" s="245"/>
      <c r="AB475" s="276"/>
      <c r="AC475" s="276"/>
      <c r="AD475" s="246"/>
      <c r="AE475" s="278"/>
      <c r="AF475" s="370"/>
      <c r="AG475" s="371"/>
      <c r="AH475" s="276"/>
      <c r="AI475" s="245"/>
      <c r="AJ475" s="287"/>
      <c r="AK475" s="278"/>
      <c r="AL475" s="246"/>
      <c r="AM475" s="245"/>
      <c r="AN475" s="245"/>
      <c r="AO475" s="274"/>
      <c r="AP475" s="245"/>
      <c r="AQ475" s="245"/>
      <c r="AR475" s="246"/>
      <c r="AS475" s="245"/>
      <c r="AT475" s="245"/>
      <c r="AU475" s="245"/>
      <c r="AV475" s="245"/>
      <c r="AW475" s="245"/>
      <c r="AX475" s="246"/>
      <c r="AY475" s="245"/>
      <c r="AZ475" s="245"/>
      <c r="BA475" s="246"/>
      <c r="BB475" s="245"/>
      <c r="BC475" s="245"/>
      <c r="BD475" s="245"/>
      <c r="BE475" s="245"/>
      <c r="BF475" s="245"/>
      <c r="BG475" s="245"/>
      <c r="BH475" s="245"/>
      <c r="BI475" s="245"/>
      <c r="BJ475" s="245"/>
      <c r="BK475" s="245"/>
      <c r="BL475" s="245"/>
      <c r="BM475" s="245"/>
      <c r="BN475" s="245"/>
      <c r="BO475" s="245"/>
      <c r="BP475" s="245"/>
      <c r="BQ475" s="245"/>
      <c r="BR475" s="245"/>
      <c r="BS475" s="245"/>
      <c r="BT475" s="246"/>
      <c r="BU475" s="245"/>
      <c r="BV475" s="245"/>
      <c r="BW475" s="245"/>
      <c r="BX475" s="245"/>
      <c r="BY475" s="245"/>
      <c r="BZ475" s="282"/>
      <c r="CA475" s="245"/>
      <c r="CB475" s="245"/>
      <c r="CC475" s="245"/>
      <c r="CD475" s="245"/>
      <c r="CE475" s="245"/>
      <c r="CF475" s="245"/>
    </row>
    <row r="476">
      <c r="A476" s="245"/>
      <c r="B476" s="245"/>
      <c r="C476" s="245"/>
      <c r="D476" s="246"/>
      <c r="E476" s="245"/>
      <c r="F476" s="245"/>
      <c r="G476" s="245"/>
      <c r="H476" s="245"/>
      <c r="I476" s="245"/>
      <c r="J476" s="245"/>
      <c r="K476" s="265"/>
      <c r="L476" s="245"/>
      <c r="M476" s="245"/>
      <c r="N476" s="245"/>
      <c r="O476" s="245"/>
      <c r="P476" s="245"/>
      <c r="Q476" s="247"/>
      <c r="R476" s="254"/>
      <c r="S476" s="245"/>
      <c r="T476" s="245"/>
      <c r="U476" s="245"/>
      <c r="V476" s="245"/>
      <c r="W476" s="245"/>
      <c r="X476" s="245"/>
      <c r="Y476" s="249"/>
      <c r="Z476" s="276"/>
      <c r="AA476" s="245"/>
      <c r="AB476" s="276"/>
      <c r="AC476" s="276"/>
      <c r="AD476" s="246"/>
      <c r="AE476" s="278"/>
      <c r="AF476" s="370"/>
      <c r="AG476" s="371"/>
      <c r="AH476" s="276"/>
      <c r="AI476" s="245"/>
      <c r="AJ476" s="287"/>
      <c r="AK476" s="278"/>
      <c r="AL476" s="246"/>
      <c r="AM476" s="245"/>
      <c r="AN476" s="245"/>
      <c r="AO476" s="274"/>
      <c r="AP476" s="245"/>
      <c r="AQ476" s="245"/>
      <c r="AR476" s="246"/>
      <c r="AS476" s="245"/>
      <c r="AT476" s="245"/>
      <c r="AU476" s="245"/>
      <c r="AV476" s="245"/>
      <c r="AW476" s="245"/>
      <c r="AX476" s="246"/>
      <c r="AY476" s="245"/>
      <c r="AZ476" s="245"/>
      <c r="BA476" s="246"/>
      <c r="BB476" s="245"/>
      <c r="BC476" s="245"/>
      <c r="BD476" s="245"/>
      <c r="BE476" s="245"/>
      <c r="BF476" s="245"/>
      <c r="BG476" s="245"/>
      <c r="BH476" s="245"/>
      <c r="BI476" s="245"/>
      <c r="BJ476" s="245"/>
      <c r="BK476" s="245"/>
      <c r="BL476" s="245"/>
      <c r="BM476" s="245"/>
      <c r="BN476" s="245"/>
      <c r="BO476" s="245"/>
      <c r="BP476" s="245"/>
      <c r="BQ476" s="245"/>
      <c r="BR476" s="245"/>
      <c r="BS476" s="245"/>
      <c r="BT476" s="246"/>
      <c r="BU476" s="245"/>
      <c r="BV476" s="245"/>
      <c r="BW476" s="245"/>
      <c r="BX476" s="245"/>
      <c r="BY476" s="245"/>
      <c r="BZ476" s="282"/>
      <c r="CA476" s="245"/>
      <c r="CB476" s="245"/>
      <c r="CC476" s="245"/>
      <c r="CD476" s="245"/>
      <c r="CE476" s="245"/>
      <c r="CF476" s="245"/>
    </row>
    <row r="477">
      <c r="A477" s="245"/>
      <c r="B477" s="245"/>
      <c r="C477" s="245"/>
      <c r="D477" s="246"/>
      <c r="E477" s="245"/>
      <c r="F477" s="245"/>
      <c r="G477" s="245"/>
      <c r="H477" s="245"/>
      <c r="I477" s="245"/>
      <c r="J477" s="245"/>
      <c r="K477" s="265"/>
      <c r="L477" s="245"/>
      <c r="M477" s="245"/>
      <c r="N477" s="245"/>
      <c r="O477" s="245"/>
      <c r="P477" s="245"/>
      <c r="Q477" s="247"/>
      <c r="R477" s="254"/>
      <c r="S477" s="245"/>
      <c r="T477" s="245"/>
      <c r="U477" s="245"/>
      <c r="V477" s="245"/>
      <c r="W477" s="245"/>
      <c r="X477" s="245"/>
      <c r="Y477" s="249"/>
      <c r="Z477" s="276"/>
      <c r="AA477" s="245"/>
      <c r="AB477" s="276"/>
      <c r="AC477" s="276"/>
      <c r="AD477" s="246"/>
      <c r="AE477" s="278"/>
      <c r="AF477" s="370"/>
      <c r="AG477" s="371"/>
      <c r="AH477" s="276"/>
      <c r="AI477" s="245"/>
      <c r="AJ477" s="287"/>
      <c r="AK477" s="278"/>
      <c r="AL477" s="246"/>
      <c r="AM477" s="245"/>
      <c r="AN477" s="245"/>
      <c r="AO477" s="274"/>
      <c r="AP477" s="245"/>
      <c r="AQ477" s="245"/>
      <c r="AR477" s="246"/>
      <c r="AS477" s="245"/>
      <c r="AT477" s="245"/>
      <c r="AU477" s="245"/>
      <c r="AV477" s="245"/>
      <c r="AW477" s="245"/>
      <c r="AX477" s="246"/>
      <c r="AY477" s="245"/>
      <c r="AZ477" s="245"/>
      <c r="BA477" s="246"/>
      <c r="BB477" s="245"/>
      <c r="BC477" s="245"/>
      <c r="BD477" s="245"/>
      <c r="BE477" s="245"/>
      <c r="BF477" s="245"/>
      <c r="BG477" s="245"/>
      <c r="BH477" s="245"/>
      <c r="BI477" s="245"/>
      <c r="BJ477" s="245"/>
      <c r="BK477" s="245"/>
      <c r="BL477" s="245"/>
      <c r="BM477" s="245"/>
      <c r="BN477" s="245"/>
      <c r="BO477" s="245"/>
      <c r="BP477" s="245"/>
      <c r="BQ477" s="245"/>
      <c r="BR477" s="245"/>
      <c r="BS477" s="245"/>
      <c r="BT477" s="246"/>
      <c r="BU477" s="245"/>
      <c r="BV477" s="245"/>
      <c r="BW477" s="245"/>
      <c r="BX477" s="245"/>
      <c r="BY477" s="245"/>
      <c r="BZ477" s="282"/>
      <c r="CA477" s="245"/>
      <c r="CB477" s="245"/>
      <c r="CC477" s="245"/>
      <c r="CD477" s="245"/>
      <c r="CE477" s="245"/>
      <c r="CF477" s="245"/>
    </row>
    <row r="478">
      <c r="A478" s="245"/>
      <c r="B478" s="245"/>
      <c r="C478" s="245"/>
      <c r="D478" s="246"/>
      <c r="E478" s="245"/>
      <c r="F478" s="245"/>
      <c r="G478" s="245"/>
      <c r="H478" s="245"/>
      <c r="I478" s="245"/>
      <c r="J478" s="245"/>
      <c r="K478" s="265"/>
      <c r="L478" s="245"/>
      <c r="M478" s="245"/>
      <c r="N478" s="245"/>
      <c r="O478" s="245"/>
      <c r="P478" s="245"/>
      <c r="Q478" s="247"/>
      <c r="R478" s="254"/>
      <c r="S478" s="245"/>
      <c r="T478" s="245"/>
      <c r="U478" s="245"/>
      <c r="V478" s="245"/>
      <c r="W478" s="245"/>
      <c r="X478" s="245"/>
      <c r="Y478" s="249"/>
      <c r="Z478" s="276"/>
      <c r="AA478" s="245"/>
      <c r="AB478" s="276"/>
      <c r="AC478" s="276"/>
      <c r="AD478" s="246"/>
      <c r="AE478" s="278"/>
      <c r="AF478" s="370"/>
      <c r="AG478" s="371"/>
      <c r="AH478" s="276"/>
      <c r="AI478" s="245"/>
      <c r="AJ478" s="287"/>
      <c r="AK478" s="278"/>
      <c r="AL478" s="246"/>
      <c r="AM478" s="245"/>
      <c r="AN478" s="245"/>
      <c r="AO478" s="274"/>
      <c r="AP478" s="245"/>
      <c r="AQ478" s="245"/>
      <c r="AR478" s="246"/>
      <c r="AS478" s="245"/>
      <c r="AT478" s="245"/>
      <c r="AU478" s="245"/>
      <c r="AV478" s="245"/>
      <c r="AW478" s="245"/>
      <c r="AX478" s="246"/>
      <c r="AY478" s="245"/>
      <c r="AZ478" s="245"/>
      <c r="BA478" s="246"/>
      <c r="BB478" s="245"/>
      <c r="BC478" s="245"/>
      <c r="BD478" s="245"/>
      <c r="BE478" s="245"/>
      <c r="BF478" s="245"/>
      <c r="BG478" s="245"/>
      <c r="BH478" s="245"/>
      <c r="BI478" s="245"/>
      <c r="BJ478" s="245"/>
      <c r="BK478" s="245"/>
      <c r="BL478" s="245"/>
      <c r="BM478" s="245"/>
      <c r="BN478" s="245"/>
      <c r="BO478" s="245"/>
      <c r="BP478" s="245"/>
      <c r="BQ478" s="245"/>
      <c r="BR478" s="245"/>
      <c r="BS478" s="245"/>
      <c r="BT478" s="246"/>
      <c r="BU478" s="245"/>
      <c r="BV478" s="245"/>
      <c r="BW478" s="245"/>
      <c r="BX478" s="245"/>
      <c r="BY478" s="245"/>
      <c r="BZ478" s="282"/>
      <c r="CA478" s="245"/>
      <c r="CB478" s="245"/>
      <c r="CC478" s="245"/>
      <c r="CD478" s="245"/>
      <c r="CE478" s="245"/>
      <c r="CF478" s="245"/>
    </row>
    <row r="479">
      <c r="A479" s="245"/>
      <c r="B479" s="245"/>
      <c r="C479" s="245"/>
      <c r="D479" s="246"/>
      <c r="E479" s="245"/>
      <c r="F479" s="245"/>
      <c r="G479" s="245"/>
      <c r="H479" s="245"/>
      <c r="I479" s="245"/>
      <c r="J479" s="245"/>
      <c r="K479" s="265"/>
      <c r="L479" s="245"/>
      <c r="M479" s="245"/>
      <c r="N479" s="245"/>
      <c r="O479" s="245"/>
      <c r="P479" s="245"/>
      <c r="Q479" s="247"/>
      <c r="R479" s="254"/>
      <c r="S479" s="245"/>
      <c r="T479" s="245"/>
      <c r="U479" s="245"/>
      <c r="V479" s="245"/>
      <c r="W479" s="245"/>
      <c r="X479" s="245"/>
      <c r="Y479" s="249"/>
      <c r="Z479" s="276"/>
      <c r="AA479" s="245"/>
      <c r="AB479" s="276"/>
      <c r="AC479" s="276"/>
      <c r="AD479" s="246"/>
      <c r="AE479" s="278"/>
      <c r="AF479" s="370"/>
      <c r="AG479" s="371"/>
      <c r="AH479" s="276"/>
      <c r="AI479" s="245"/>
      <c r="AJ479" s="287"/>
      <c r="AK479" s="278"/>
      <c r="AL479" s="246"/>
      <c r="AM479" s="245"/>
      <c r="AN479" s="245"/>
      <c r="AO479" s="274"/>
      <c r="AP479" s="245"/>
      <c r="AQ479" s="245"/>
      <c r="AR479" s="246"/>
      <c r="AS479" s="245"/>
      <c r="AT479" s="245"/>
      <c r="AU479" s="245"/>
      <c r="AV479" s="245"/>
      <c r="AW479" s="245"/>
      <c r="AX479" s="246"/>
      <c r="AY479" s="245"/>
      <c r="AZ479" s="245"/>
      <c r="BA479" s="246"/>
      <c r="BB479" s="245"/>
      <c r="BC479" s="245"/>
      <c r="BD479" s="245"/>
      <c r="BE479" s="245"/>
      <c r="BF479" s="245"/>
      <c r="BG479" s="245"/>
      <c r="BH479" s="245"/>
      <c r="BI479" s="245"/>
      <c r="BJ479" s="245"/>
      <c r="BK479" s="245"/>
      <c r="BL479" s="245"/>
      <c r="BM479" s="245"/>
      <c r="BN479" s="245"/>
      <c r="BO479" s="245"/>
      <c r="BP479" s="245"/>
      <c r="BQ479" s="245"/>
      <c r="BR479" s="245"/>
      <c r="BS479" s="245"/>
      <c r="BT479" s="246"/>
      <c r="BU479" s="245"/>
      <c r="BV479" s="245"/>
      <c r="BW479" s="245"/>
      <c r="BX479" s="245"/>
      <c r="BY479" s="245"/>
      <c r="BZ479" s="282"/>
      <c r="CA479" s="245"/>
      <c r="CB479" s="245"/>
      <c r="CC479" s="245"/>
      <c r="CD479" s="245"/>
      <c r="CE479" s="245"/>
      <c r="CF479" s="245"/>
    </row>
    <row r="480">
      <c r="A480" s="245"/>
      <c r="B480" s="245"/>
      <c r="C480" s="245"/>
      <c r="D480" s="246"/>
      <c r="E480" s="245"/>
      <c r="F480" s="245"/>
      <c r="G480" s="245"/>
      <c r="H480" s="245"/>
      <c r="I480" s="245"/>
      <c r="J480" s="245"/>
      <c r="K480" s="265"/>
      <c r="L480" s="245"/>
      <c r="M480" s="245"/>
      <c r="N480" s="245"/>
      <c r="O480" s="245"/>
      <c r="P480" s="245"/>
      <c r="Q480" s="247"/>
      <c r="R480" s="254"/>
      <c r="S480" s="245"/>
      <c r="T480" s="245"/>
      <c r="U480" s="245"/>
      <c r="V480" s="245"/>
      <c r="W480" s="245"/>
      <c r="X480" s="245"/>
      <c r="Y480" s="249"/>
      <c r="Z480" s="276"/>
      <c r="AA480" s="245"/>
      <c r="AB480" s="276"/>
      <c r="AC480" s="276"/>
      <c r="AD480" s="246"/>
      <c r="AE480" s="278"/>
      <c r="AF480" s="370"/>
      <c r="AG480" s="371"/>
      <c r="AH480" s="276"/>
      <c r="AI480" s="245"/>
      <c r="AJ480" s="287"/>
      <c r="AK480" s="278"/>
      <c r="AL480" s="246"/>
      <c r="AM480" s="245"/>
      <c r="AN480" s="245"/>
      <c r="AO480" s="274"/>
      <c r="AP480" s="245"/>
      <c r="AQ480" s="245"/>
      <c r="AR480" s="246"/>
      <c r="AS480" s="245"/>
      <c r="AT480" s="245"/>
      <c r="AU480" s="245"/>
      <c r="AV480" s="245"/>
      <c r="AW480" s="245"/>
      <c r="AX480" s="246"/>
      <c r="AY480" s="245"/>
      <c r="AZ480" s="245"/>
      <c r="BA480" s="246"/>
      <c r="BB480" s="245"/>
      <c r="BC480" s="245"/>
      <c r="BD480" s="245"/>
      <c r="BE480" s="245"/>
      <c r="BF480" s="245"/>
      <c r="BG480" s="245"/>
      <c r="BH480" s="245"/>
      <c r="BI480" s="245"/>
      <c r="BJ480" s="245"/>
      <c r="BK480" s="245"/>
      <c r="BL480" s="245"/>
      <c r="BM480" s="245"/>
      <c r="BN480" s="245"/>
      <c r="BO480" s="245"/>
      <c r="BP480" s="245"/>
      <c r="BQ480" s="245"/>
      <c r="BR480" s="245"/>
      <c r="BS480" s="245"/>
      <c r="BT480" s="246"/>
      <c r="BU480" s="245"/>
      <c r="BV480" s="245"/>
      <c r="BW480" s="245"/>
      <c r="BX480" s="245"/>
      <c r="BY480" s="245"/>
      <c r="BZ480" s="282"/>
      <c r="CA480" s="245"/>
      <c r="CB480" s="245"/>
      <c r="CC480" s="245"/>
      <c r="CD480" s="245"/>
      <c r="CE480" s="245"/>
      <c r="CF480" s="245"/>
    </row>
    <row r="481">
      <c r="A481" s="245"/>
      <c r="B481" s="245"/>
      <c r="C481" s="245"/>
      <c r="D481" s="246"/>
      <c r="E481" s="245"/>
      <c r="F481" s="245"/>
      <c r="G481" s="245"/>
      <c r="H481" s="245"/>
      <c r="I481" s="245"/>
      <c r="J481" s="245"/>
      <c r="K481" s="265"/>
      <c r="L481" s="245"/>
      <c r="M481" s="245"/>
      <c r="N481" s="245"/>
      <c r="O481" s="245"/>
      <c r="P481" s="245"/>
      <c r="Q481" s="247"/>
      <c r="R481" s="254"/>
      <c r="S481" s="245"/>
      <c r="T481" s="245"/>
      <c r="U481" s="245"/>
      <c r="V481" s="245"/>
      <c r="W481" s="245"/>
      <c r="X481" s="245"/>
      <c r="Y481" s="249"/>
      <c r="Z481" s="276"/>
      <c r="AA481" s="245"/>
      <c r="AB481" s="276"/>
      <c r="AC481" s="276"/>
      <c r="AD481" s="246"/>
      <c r="AE481" s="278"/>
      <c r="AF481" s="370"/>
      <c r="AG481" s="371"/>
      <c r="AH481" s="276"/>
      <c r="AI481" s="245"/>
      <c r="AJ481" s="287"/>
      <c r="AK481" s="278"/>
      <c r="AL481" s="246"/>
      <c r="AM481" s="245"/>
      <c r="AN481" s="245"/>
      <c r="AO481" s="274"/>
      <c r="AP481" s="245"/>
      <c r="AQ481" s="245"/>
      <c r="AR481" s="246"/>
      <c r="AS481" s="245"/>
      <c r="AT481" s="245"/>
      <c r="AU481" s="245"/>
      <c r="AV481" s="245"/>
      <c r="AW481" s="245"/>
      <c r="AX481" s="246"/>
      <c r="AY481" s="245"/>
      <c r="AZ481" s="245"/>
      <c r="BA481" s="246"/>
      <c r="BB481" s="245"/>
      <c r="BC481" s="245"/>
      <c r="BD481" s="245"/>
      <c r="BE481" s="245"/>
      <c r="BF481" s="245"/>
      <c r="BG481" s="245"/>
      <c r="BH481" s="245"/>
      <c r="BI481" s="245"/>
      <c r="BJ481" s="245"/>
      <c r="BK481" s="245"/>
      <c r="BL481" s="245"/>
      <c r="BM481" s="245"/>
      <c r="BN481" s="245"/>
      <c r="BO481" s="245"/>
      <c r="BP481" s="245"/>
      <c r="BQ481" s="245"/>
      <c r="BR481" s="245"/>
      <c r="BS481" s="245"/>
      <c r="BT481" s="246"/>
      <c r="BU481" s="245"/>
      <c r="BV481" s="245"/>
      <c r="BW481" s="245"/>
      <c r="BX481" s="245"/>
      <c r="BY481" s="245"/>
      <c r="BZ481" s="282"/>
      <c r="CA481" s="245"/>
      <c r="CB481" s="245"/>
      <c r="CC481" s="245"/>
      <c r="CD481" s="245"/>
      <c r="CE481" s="245"/>
      <c r="CF481" s="245"/>
    </row>
    <row r="482">
      <c r="A482" s="245"/>
      <c r="B482" s="245"/>
      <c r="C482" s="245"/>
      <c r="D482" s="246"/>
      <c r="E482" s="245"/>
      <c r="F482" s="245"/>
      <c r="G482" s="245"/>
      <c r="H482" s="245"/>
      <c r="I482" s="245"/>
      <c r="J482" s="245"/>
      <c r="K482" s="265"/>
      <c r="L482" s="245"/>
      <c r="M482" s="245"/>
      <c r="N482" s="245"/>
      <c r="O482" s="245"/>
      <c r="P482" s="245"/>
      <c r="Q482" s="247"/>
      <c r="R482" s="254"/>
      <c r="S482" s="245"/>
      <c r="T482" s="245"/>
      <c r="U482" s="245"/>
      <c r="V482" s="245"/>
      <c r="W482" s="245"/>
      <c r="X482" s="245"/>
      <c r="Y482" s="249"/>
      <c r="Z482" s="276"/>
      <c r="AA482" s="245"/>
      <c r="AB482" s="276"/>
      <c r="AC482" s="276"/>
      <c r="AD482" s="246"/>
      <c r="AE482" s="278"/>
      <c r="AF482" s="370"/>
      <c r="AG482" s="371"/>
      <c r="AH482" s="276"/>
      <c r="AI482" s="245"/>
      <c r="AJ482" s="287"/>
      <c r="AK482" s="278"/>
      <c r="AL482" s="246"/>
      <c r="AM482" s="245"/>
      <c r="AN482" s="245"/>
      <c r="AO482" s="274"/>
      <c r="AP482" s="245"/>
      <c r="AQ482" s="245"/>
      <c r="AR482" s="246"/>
      <c r="AS482" s="245"/>
      <c r="AT482" s="245"/>
      <c r="AU482" s="245"/>
      <c r="AV482" s="245"/>
      <c r="AW482" s="245"/>
      <c r="AX482" s="246"/>
      <c r="AY482" s="245"/>
      <c r="AZ482" s="245"/>
      <c r="BA482" s="246"/>
      <c r="BB482" s="245"/>
      <c r="BC482" s="245"/>
      <c r="BD482" s="245"/>
      <c r="BE482" s="245"/>
      <c r="BF482" s="245"/>
      <c r="BG482" s="245"/>
      <c r="BH482" s="245"/>
      <c r="BI482" s="245"/>
      <c r="BJ482" s="245"/>
      <c r="BK482" s="245"/>
      <c r="BL482" s="245"/>
      <c r="BM482" s="245"/>
      <c r="BN482" s="245"/>
      <c r="BO482" s="245"/>
      <c r="BP482" s="245"/>
      <c r="BQ482" s="245"/>
      <c r="BR482" s="245"/>
      <c r="BS482" s="245"/>
      <c r="BT482" s="246"/>
      <c r="BU482" s="245"/>
      <c r="BV482" s="245"/>
      <c r="BW482" s="245"/>
      <c r="BX482" s="245"/>
      <c r="BY482" s="245"/>
      <c r="BZ482" s="282"/>
      <c r="CA482" s="245"/>
      <c r="CB482" s="245"/>
      <c r="CC482" s="245"/>
      <c r="CD482" s="245"/>
      <c r="CE482" s="245"/>
      <c r="CF482" s="245"/>
    </row>
    <row r="483">
      <c r="A483" s="245"/>
      <c r="B483" s="245"/>
      <c r="C483" s="245"/>
      <c r="D483" s="246"/>
      <c r="E483" s="245"/>
      <c r="F483" s="245"/>
      <c r="G483" s="245"/>
      <c r="H483" s="245"/>
      <c r="I483" s="245"/>
      <c r="J483" s="245"/>
      <c r="K483" s="265"/>
      <c r="L483" s="245"/>
      <c r="M483" s="245"/>
      <c r="N483" s="245"/>
      <c r="O483" s="245"/>
      <c r="P483" s="245"/>
      <c r="Q483" s="247"/>
      <c r="R483" s="254"/>
      <c r="S483" s="245"/>
      <c r="T483" s="245"/>
      <c r="U483" s="245"/>
      <c r="V483" s="245"/>
      <c r="W483" s="245"/>
      <c r="X483" s="245"/>
      <c r="Y483" s="249"/>
      <c r="Z483" s="276"/>
      <c r="AA483" s="245"/>
      <c r="AB483" s="276"/>
      <c r="AC483" s="276"/>
      <c r="AD483" s="246"/>
      <c r="AE483" s="278"/>
      <c r="AF483" s="370"/>
      <c r="AG483" s="371"/>
      <c r="AH483" s="276"/>
      <c r="AI483" s="245"/>
      <c r="AJ483" s="287"/>
      <c r="AK483" s="278"/>
      <c r="AL483" s="246"/>
      <c r="AM483" s="245"/>
      <c r="AN483" s="245"/>
      <c r="AO483" s="274"/>
      <c r="AP483" s="245"/>
      <c r="AQ483" s="245"/>
      <c r="AR483" s="246"/>
      <c r="AS483" s="245"/>
      <c r="AT483" s="245"/>
      <c r="AU483" s="245"/>
      <c r="AV483" s="245"/>
      <c r="AW483" s="245"/>
      <c r="AX483" s="246"/>
      <c r="AY483" s="245"/>
      <c r="AZ483" s="245"/>
      <c r="BA483" s="246"/>
      <c r="BB483" s="245"/>
      <c r="BC483" s="245"/>
      <c r="BD483" s="245"/>
      <c r="BE483" s="245"/>
      <c r="BF483" s="245"/>
      <c r="BG483" s="245"/>
      <c r="BH483" s="245"/>
      <c r="BI483" s="245"/>
      <c r="BJ483" s="245"/>
      <c r="BK483" s="245"/>
      <c r="BL483" s="245"/>
      <c r="BM483" s="245"/>
      <c r="BN483" s="245"/>
      <c r="BO483" s="245"/>
      <c r="BP483" s="245"/>
      <c r="BQ483" s="245"/>
      <c r="BR483" s="245"/>
      <c r="BS483" s="245"/>
      <c r="BT483" s="246"/>
      <c r="BU483" s="245"/>
      <c r="BV483" s="245"/>
      <c r="BW483" s="245"/>
      <c r="BX483" s="245"/>
      <c r="BY483" s="245"/>
      <c r="BZ483" s="282"/>
      <c r="CA483" s="245"/>
      <c r="CB483" s="245"/>
      <c r="CC483" s="245"/>
      <c r="CD483" s="245"/>
      <c r="CE483" s="245"/>
      <c r="CF483" s="245"/>
    </row>
    <row r="484">
      <c r="A484" s="245"/>
      <c r="B484" s="245"/>
      <c r="C484" s="245"/>
      <c r="D484" s="246"/>
      <c r="E484" s="245"/>
      <c r="F484" s="245"/>
      <c r="G484" s="245"/>
      <c r="H484" s="245"/>
      <c r="I484" s="245"/>
      <c r="J484" s="245"/>
      <c r="K484" s="265"/>
      <c r="L484" s="245"/>
      <c r="M484" s="245"/>
      <c r="N484" s="245"/>
      <c r="O484" s="245"/>
      <c r="P484" s="245"/>
      <c r="Q484" s="247"/>
      <c r="R484" s="254"/>
      <c r="S484" s="245"/>
      <c r="T484" s="245"/>
      <c r="U484" s="245"/>
      <c r="V484" s="245"/>
      <c r="W484" s="245"/>
      <c r="X484" s="245"/>
      <c r="Y484" s="249"/>
      <c r="Z484" s="276"/>
      <c r="AA484" s="245"/>
      <c r="AB484" s="276"/>
      <c r="AC484" s="276"/>
      <c r="AD484" s="246"/>
      <c r="AE484" s="278"/>
      <c r="AF484" s="370"/>
      <c r="AG484" s="371"/>
      <c r="AH484" s="276"/>
      <c r="AI484" s="245"/>
      <c r="AJ484" s="287"/>
      <c r="AK484" s="278"/>
      <c r="AL484" s="246"/>
      <c r="AM484" s="245"/>
      <c r="AN484" s="245"/>
      <c r="AO484" s="274"/>
      <c r="AP484" s="245"/>
      <c r="AQ484" s="245"/>
      <c r="AR484" s="246"/>
      <c r="AS484" s="245"/>
      <c r="AT484" s="245"/>
      <c r="AU484" s="245"/>
      <c r="AV484" s="245"/>
      <c r="AW484" s="245"/>
      <c r="AX484" s="246"/>
      <c r="AY484" s="245"/>
      <c r="AZ484" s="245"/>
      <c r="BA484" s="246"/>
      <c r="BB484" s="245"/>
      <c r="BC484" s="245"/>
      <c r="BD484" s="245"/>
      <c r="BE484" s="245"/>
      <c r="BF484" s="245"/>
      <c r="BG484" s="245"/>
      <c r="BH484" s="245"/>
      <c r="BI484" s="245"/>
      <c r="BJ484" s="245"/>
      <c r="BK484" s="245"/>
      <c r="BL484" s="245"/>
      <c r="BM484" s="245"/>
      <c r="BN484" s="245"/>
      <c r="BO484" s="245"/>
      <c r="BP484" s="245"/>
      <c r="BQ484" s="245"/>
      <c r="BR484" s="245"/>
      <c r="BS484" s="245"/>
      <c r="BT484" s="246"/>
      <c r="BU484" s="245"/>
      <c r="BV484" s="245"/>
      <c r="BW484" s="245"/>
      <c r="BX484" s="245"/>
      <c r="BY484" s="245"/>
      <c r="BZ484" s="282"/>
      <c r="CA484" s="245"/>
      <c r="CB484" s="245"/>
      <c r="CC484" s="245"/>
      <c r="CD484" s="245"/>
      <c r="CE484" s="245"/>
      <c r="CF484" s="245"/>
    </row>
    <row r="485">
      <c r="A485" s="245"/>
      <c r="B485" s="245"/>
      <c r="C485" s="245"/>
      <c r="D485" s="246"/>
      <c r="E485" s="245"/>
      <c r="F485" s="245"/>
      <c r="G485" s="245"/>
      <c r="H485" s="245"/>
      <c r="I485" s="245"/>
      <c r="J485" s="245"/>
      <c r="K485" s="265"/>
      <c r="L485" s="245"/>
      <c r="M485" s="245"/>
      <c r="N485" s="245"/>
      <c r="O485" s="245"/>
      <c r="P485" s="245"/>
      <c r="Q485" s="247"/>
      <c r="R485" s="254"/>
      <c r="S485" s="245"/>
      <c r="T485" s="245"/>
      <c r="U485" s="245"/>
      <c r="V485" s="245"/>
      <c r="W485" s="245"/>
      <c r="X485" s="245"/>
      <c r="Y485" s="249"/>
      <c r="Z485" s="276"/>
      <c r="AA485" s="245"/>
      <c r="AB485" s="276"/>
      <c r="AC485" s="276"/>
      <c r="AD485" s="246"/>
      <c r="AE485" s="278"/>
      <c r="AF485" s="370"/>
      <c r="AG485" s="371"/>
      <c r="AH485" s="276"/>
      <c r="AI485" s="245"/>
      <c r="AJ485" s="287"/>
      <c r="AK485" s="278"/>
      <c r="AL485" s="246"/>
      <c r="AM485" s="245"/>
      <c r="AN485" s="245"/>
      <c r="AO485" s="274"/>
      <c r="AP485" s="245"/>
      <c r="AQ485" s="245"/>
      <c r="AR485" s="246"/>
      <c r="AS485" s="245"/>
      <c r="AT485" s="245"/>
      <c r="AU485" s="245"/>
      <c r="AV485" s="245"/>
      <c r="AW485" s="245"/>
      <c r="AX485" s="246"/>
      <c r="AY485" s="245"/>
      <c r="AZ485" s="245"/>
      <c r="BA485" s="246"/>
      <c r="BB485" s="245"/>
      <c r="BC485" s="245"/>
      <c r="BD485" s="245"/>
      <c r="BE485" s="245"/>
      <c r="BF485" s="245"/>
      <c r="BG485" s="245"/>
      <c r="BH485" s="245"/>
      <c r="BI485" s="245"/>
      <c r="BJ485" s="245"/>
      <c r="BK485" s="245"/>
      <c r="BL485" s="245"/>
      <c r="BM485" s="245"/>
      <c r="BN485" s="245"/>
      <c r="BO485" s="245"/>
      <c r="BP485" s="245"/>
      <c r="BQ485" s="245"/>
      <c r="BR485" s="245"/>
      <c r="BS485" s="245"/>
      <c r="BT485" s="246"/>
      <c r="BU485" s="245"/>
      <c r="BV485" s="245"/>
      <c r="BW485" s="245"/>
      <c r="BX485" s="245"/>
      <c r="BY485" s="245"/>
      <c r="BZ485" s="282"/>
      <c r="CA485" s="245"/>
      <c r="CB485" s="245"/>
      <c r="CC485" s="245"/>
      <c r="CD485" s="245"/>
      <c r="CE485" s="245"/>
      <c r="CF485" s="245"/>
    </row>
    <row r="486">
      <c r="A486" s="245"/>
      <c r="B486" s="245"/>
      <c r="C486" s="245"/>
      <c r="D486" s="246"/>
      <c r="E486" s="245"/>
      <c r="F486" s="245"/>
      <c r="G486" s="245"/>
      <c r="H486" s="245"/>
      <c r="I486" s="245"/>
      <c r="J486" s="245"/>
      <c r="K486" s="265"/>
      <c r="L486" s="245"/>
      <c r="M486" s="245"/>
      <c r="N486" s="245"/>
      <c r="O486" s="245"/>
      <c r="P486" s="245"/>
      <c r="Q486" s="247"/>
      <c r="R486" s="254"/>
      <c r="S486" s="245"/>
      <c r="T486" s="245"/>
      <c r="U486" s="245"/>
      <c r="V486" s="245"/>
      <c r="W486" s="245"/>
      <c r="X486" s="245"/>
      <c r="Y486" s="249"/>
      <c r="Z486" s="276"/>
      <c r="AA486" s="245"/>
      <c r="AB486" s="276"/>
      <c r="AC486" s="276"/>
      <c r="AD486" s="246"/>
      <c r="AE486" s="278"/>
      <c r="AF486" s="370"/>
      <c r="AG486" s="371"/>
      <c r="AH486" s="276"/>
      <c r="AI486" s="245"/>
      <c r="AJ486" s="287"/>
      <c r="AK486" s="278"/>
      <c r="AL486" s="246"/>
      <c r="AM486" s="245"/>
      <c r="AN486" s="245"/>
      <c r="AO486" s="274"/>
      <c r="AP486" s="245"/>
      <c r="AQ486" s="245"/>
      <c r="AR486" s="246"/>
      <c r="AS486" s="245"/>
      <c r="AT486" s="245"/>
      <c r="AU486" s="245"/>
      <c r="AV486" s="245"/>
      <c r="AW486" s="245"/>
      <c r="AX486" s="246"/>
      <c r="AY486" s="245"/>
      <c r="AZ486" s="245"/>
      <c r="BA486" s="246"/>
      <c r="BB486" s="245"/>
      <c r="BC486" s="245"/>
      <c r="BD486" s="245"/>
      <c r="BE486" s="245"/>
      <c r="BF486" s="245"/>
      <c r="BG486" s="245"/>
      <c r="BH486" s="245"/>
      <c r="BI486" s="245"/>
      <c r="BJ486" s="245"/>
      <c r="BK486" s="245"/>
      <c r="BL486" s="245"/>
      <c r="BM486" s="245"/>
      <c r="BN486" s="245"/>
      <c r="BO486" s="245"/>
      <c r="BP486" s="245"/>
      <c r="BQ486" s="245"/>
      <c r="BR486" s="245"/>
      <c r="BS486" s="245"/>
      <c r="BT486" s="246"/>
      <c r="BU486" s="245"/>
      <c r="BV486" s="245"/>
      <c r="BW486" s="245"/>
      <c r="BX486" s="245"/>
      <c r="BY486" s="245"/>
      <c r="BZ486" s="282"/>
      <c r="CA486" s="245"/>
      <c r="CB486" s="245"/>
      <c r="CC486" s="245"/>
      <c r="CD486" s="245"/>
      <c r="CE486" s="245"/>
      <c r="CF486" s="245"/>
    </row>
    <row r="487">
      <c r="A487" s="245"/>
      <c r="B487" s="245"/>
      <c r="C487" s="245"/>
      <c r="D487" s="246"/>
      <c r="E487" s="245"/>
      <c r="F487" s="245"/>
      <c r="G487" s="245"/>
      <c r="H487" s="245"/>
      <c r="I487" s="245"/>
      <c r="J487" s="245"/>
      <c r="K487" s="265"/>
      <c r="L487" s="245"/>
      <c r="M487" s="245"/>
      <c r="N487" s="245"/>
      <c r="O487" s="245"/>
      <c r="P487" s="245"/>
      <c r="Q487" s="247"/>
      <c r="R487" s="254"/>
      <c r="S487" s="245"/>
      <c r="T487" s="245"/>
      <c r="U487" s="245"/>
      <c r="V487" s="245"/>
      <c r="W487" s="245"/>
      <c r="X487" s="245"/>
      <c r="Y487" s="249"/>
      <c r="Z487" s="276"/>
      <c r="AA487" s="245"/>
      <c r="AB487" s="276"/>
      <c r="AC487" s="276"/>
      <c r="AD487" s="246"/>
      <c r="AE487" s="278"/>
      <c r="AF487" s="370"/>
      <c r="AG487" s="371"/>
      <c r="AH487" s="276"/>
      <c r="AI487" s="245"/>
      <c r="AJ487" s="287"/>
      <c r="AK487" s="278"/>
      <c r="AL487" s="246"/>
      <c r="AM487" s="245"/>
      <c r="AN487" s="245"/>
      <c r="AO487" s="274"/>
      <c r="AP487" s="245"/>
      <c r="AQ487" s="245"/>
      <c r="AR487" s="246"/>
      <c r="AS487" s="245"/>
      <c r="AT487" s="245"/>
      <c r="AU487" s="245"/>
      <c r="AV487" s="245"/>
      <c r="AW487" s="245"/>
      <c r="AX487" s="246"/>
      <c r="AY487" s="245"/>
      <c r="AZ487" s="245"/>
      <c r="BA487" s="246"/>
      <c r="BB487" s="245"/>
      <c r="BC487" s="245"/>
      <c r="BD487" s="245"/>
      <c r="BE487" s="245"/>
      <c r="BF487" s="245"/>
      <c r="BG487" s="245"/>
      <c r="BH487" s="245"/>
      <c r="BI487" s="245"/>
      <c r="BJ487" s="245"/>
      <c r="BK487" s="245"/>
      <c r="BL487" s="245"/>
      <c r="BM487" s="245"/>
      <c r="BN487" s="245"/>
      <c r="BO487" s="245"/>
      <c r="BP487" s="245"/>
      <c r="BQ487" s="245"/>
      <c r="BR487" s="245"/>
      <c r="BS487" s="245"/>
      <c r="BT487" s="246"/>
      <c r="BU487" s="245"/>
      <c r="BV487" s="245"/>
      <c r="BW487" s="245"/>
      <c r="BX487" s="245"/>
      <c r="BY487" s="245"/>
      <c r="BZ487" s="282"/>
      <c r="CA487" s="245"/>
      <c r="CB487" s="245"/>
      <c r="CC487" s="245"/>
      <c r="CD487" s="245"/>
      <c r="CE487" s="245"/>
      <c r="CF487" s="245"/>
    </row>
    <row r="488">
      <c r="A488" s="245"/>
      <c r="B488" s="245"/>
      <c r="C488" s="245"/>
      <c r="D488" s="246"/>
      <c r="E488" s="245"/>
      <c r="F488" s="245"/>
      <c r="G488" s="245"/>
      <c r="H488" s="245"/>
      <c r="I488" s="245"/>
      <c r="J488" s="245"/>
      <c r="K488" s="265"/>
      <c r="L488" s="245"/>
      <c r="M488" s="245"/>
      <c r="N488" s="245"/>
      <c r="O488" s="245"/>
      <c r="P488" s="245"/>
      <c r="Q488" s="247"/>
      <c r="R488" s="254"/>
      <c r="S488" s="245"/>
      <c r="T488" s="245"/>
      <c r="U488" s="245"/>
      <c r="V488" s="245"/>
      <c r="W488" s="245"/>
      <c r="X488" s="245"/>
      <c r="Y488" s="249"/>
      <c r="Z488" s="276"/>
      <c r="AA488" s="245"/>
      <c r="AB488" s="276"/>
      <c r="AC488" s="276"/>
      <c r="AD488" s="246"/>
      <c r="AE488" s="278"/>
      <c r="AF488" s="370"/>
      <c r="AG488" s="371"/>
      <c r="AH488" s="276"/>
      <c r="AI488" s="245"/>
      <c r="AJ488" s="287"/>
      <c r="AK488" s="278"/>
      <c r="AL488" s="246"/>
      <c r="AM488" s="245"/>
      <c r="AN488" s="245"/>
      <c r="AO488" s="274"/>
      <c r="AP488" s="245"/>
      <c r="AQ488" s="245"/>
      <c r="AR488" s="246"/>
      <c r="AS488" s="245"/>
      <c r="AT488" s="245"/>
      <c r="AU488" s="245"/>
      <c r="AV488" s="245"/>
      <c r="AW488" s="245"/>
      <c r="AX488" s="246"/>
      <c r="AY488" s="245"/>
      <c r="AZ488" s="245"/>
      <c r="BA488" s="246"/>
      <c r="BB488" s="245"/>
      <c r="BC488" s="245"/>
      <c r="BD488" s="245"/>
      <c r="BE488" s="245"/>
      <c r="BF488" s="245"/>
      <c r="BG488" s="245"/>
      <c r="BH488" s="245"/>
      <c r="BI488" s="245"/>
      <c r="BJ488" s="245"/>
      <c r="BK488" s="245"/>
      <c r="BL488" s="245"/>
      <c r="BM488" s="245"/>
      <c r="BN488" s="245"/>
      <c r="BO488" s="245"/>
      <c r="BP488" s="245"/>
      <c r="BQ488" s="245"/>
      <c r="BR488" s="245"/>
      <c r="BS488" s="245"/>
      <c r="BT488" s="246"/>
      <c r="BU488" s="245"/>
      <c r="BV488" s="245"/>
      <c r="BW488" s="245"/>
      <c r="BX488" s="245"/>
      <c r="BY488" s="245"/>
      <c r="BZ488" s="282"/>
      <c r="CA488" s="245"/>
      <c r="CB488" s="245"/>
      <c r="CC488" s="245"/>
      <c r="CD488" s="245"/>
      <c r="CE488" s="245"/>
      <c r="CF488" s="245"/>
    </row>
    <row r="489">
      <c r="A489" s="245"/>
      <c r="B489" s="245"/>
      <c r="C489" s="245"/>
      <c r="D489" s="246"/>
      <c r="E489" s="245"/>
      <c r="F489" s="245"/>
      <c r="G489" s="245"/>
      <c r="H489" s="245"/>
      <c r="I489" s="245"/>
      <c r="J489" s="245"/>
      <c r="K489" s="265"/>
      <c r="L489" s="245"/>
      <c r="M489" s="245"/>
      <c r="N489" s="245"/>
      <c r="O489" s="245"/>
      <c r="P489" s="245"/>
      <c r="Q489" s="247"/>
      <c r="R489" s="254"/>
      <c r="S489" s="245"/>
      <c r="T489" s="245"/>
      <c r="U489" s="245"/>
      <c r="V489" s="245"/>
      <c r="W489" s="245"/>
      <c r="X489" s="245"/>
      <c r="Y489" s="249"/>
      <c r="Z489" s="276"/>
      <c r="AA489" s="245"/>
      <c r="AB489" s="276"/>
      <c r="AC489" s="276"/>
      <c r="AD489" s="246"/>
      <c r="AE489" s="278"/>
      <c r="AF489" s="370"/>
      <c r="AG489" s="371"/>
      <c r="AH489" s="276"/>
      <c r="AI489" s="245"/>
      <c r="AJ489" s="287"/>
      <c r="AK489" s="278"/>
      <c r="AL489" s="246"/>
      <c r="AM489" s="245"/>
      <c r="AN489" s="245"/>
      <c r="AO489" s="274"/>
      <c r="AP489" s="245"/>
      <c r="AQ489" s="245"/>
      <c r="AR489" s="246"/>
      <c r="AS489" s="245"/>
      <c r="AT489" s="245"/>
      <c r="AU489" s="245"/>
      <c r="AV489" s="245"/>
      <c r="AW489" s="245"/>
      <c r="AX489" s="246"/>
      <c r="AY489" s="245"/>
      <c r="AZ489" s="245"/>
      <c r="BA489" s="246"/>
      <c r="BB489" s="245"/>
      <c r="BC489" s="245"/>
      <c r="BD489" s="245"/>
      <c r="BE489" s="245"/>
      <c r="BF489" s="245"/>
      <c r="BG489" s="245"/>
      <c r="BH489" s="245"/>
      <c r="BI489" s="245"/>
      <c r="BJ489" s="245"/>
      <c r="BK489" s="245"/>
      <c r="BL489" s="245"/>
      <c r="BM489" s="245"/>
      <c r="BN489" s="245"/>
      <c r="BO489" s="245"/>
      <c r="BP489" s="245"/>
      <c r="BQ489" s="245"/>
      <c r="BR489" s="245"/>
      <c r="BS489" s="245"/>
      <c r="BT489" s="246"/>
      <c r="BU489" s="245"/>
      <c r="BV489" s="245"/>
      <c r="BW489" s="245"/>
      <c r="BX489" s="245"/>
      <c r="BY489" s="245"/>
      <c r="BZ489" s="282"/>
      <c r="CA489" s="245"/>
      <c r="CB489" s="245"/>
      <c r="CC489" s="245"/>
      <c r="CD489" s="245"/>
      <c r="CE489" s="245"/>
      <c r="CF489" s="245"/>
    </row>
    <row r="490">
      <c r="A490" s="245"/>
      <c r="B490" s="245"/>
      <c r="C490" s="245"/>
      <c r="D490" s="246"/>
      <c r="E490" s="245"/>
      <c r="F490" s="245"/>
      <c r="G490" s="245"/>
      <c r="H490" s="245"/>
      <c r="I490" s="245"/>
      <c r="J490" s="245"/>
      <c r="K490" s="265"/>
      <c r="L490" s="245"/>
      <c r="M490" s="245"/>
      <c r="N490" s="245"/>
      <c r="O490" s="245"/>
      <c r="P490" s="245"/>
      <c r="Q490" s="247"/>
      <c r="R490" s="254"/>
      <c r="S490" s="245"/>
      <c r="T490" s="245"/>
      <c r="U490" s="245"/>
      <c r="V490" s="245"/>
      <c r="W490" s="245"/>
      <c r="X490" s="245"/>
      <c r="Y490" s="249"/>
      <c r="Z490" s="276"/>
      <c r="AA490" s="245"/>
      <c r="AB490" s="276"/>
      <c r="AC490" s="276"/>
      <c r="AD490" s="246"/>
      <c r="AE490" s="278"/>
      <c r="AF490" s="370"/>
      <c r="AG490" s="371"/>
      <c r="AH490" s="276"/>
      <c r="AI490" s="245"/>
      <c r="AJ490" s="287"/>
      <c r="AK490" s="278"/>
      <c r="AL490" s="246"/>
      <c r="AM490" s="245"/>
      <c r="AN490" s="245"/>
      <c r="AO490" s="274"/>
      <c r="AP490" s="245"/>
      <c r="AQ490" s="245"/>
      <c r="AR490" s="246"/>
      <c r="AS490" s="245"/>
      <c r="AT490" s="245"/>
      <c r="AU490" s="245"/>
      <c r="AV490" s="245"/>
      <c r="AW490" s="245"/>
      <c r="AX490" s="246"/>
      <c r="AY490" s="245"/>
      <c r="AZ490" s="245"/>
      <c r="BA490" s="246"/>
      <c r="BB490" s="245"/>
      <c r="BC490" s="245"/>
      <c r="BD490" s="245"/>
      <c r="BE490" s="245"/>
      <c r="BF490" s="245"/>
      <c r="BG490" s="245"/>
      <c r="BH490" s="245"/>
      <c r="BI490" s="245"/>
      <c r="BJ490" s="245"/>
      <c r="BK490" s="245"/>
      <c r="BL490" s="245"/>
      <c r="BM490" s="245"/>
      <c r="BN490" s="245"/>
      <c r="BO490" s="245"/>
      <c r="BP490" s="245"/>
      <c r="BQ490" s="245"/>
      <c r="BR490" s="245"/>
      <c r="BS490" s="245"/>
      <c r="BT490" s="246"/>
      <c r="BU490" s="245"/>
      <c r="BV490" s="245"/>
      <c r="BW490" s="245"/>
      <c r="BX490" s="245"/>
      <c r="BY490" s="245"/>
      <c r="BZ490" s="282"/>
      <c r="CA490" s="245"/>
      <c r="CB490" s="245"/>
      <c r="CC490" s="245"/>
      <c r="CD490" s="245"/>
      <c r="CE490" s="245"/>
      <c r="CF490" s="245"/>
    </row>
    <row r="491">
      <c r="A491" s="245"/>
      <c r="B491" s="245"/>
      <c r="C491" s="245"/>
      <c r="D491" s="246"/>
      <c r="E491" s="245"/>
      <c r="F491" s="245"/>
      <c r="G491" s="245"/>
      <c r="H491" s="245"/>
      <c r="I491" s="245"/>
      <c r="J491" s="245"/>
      <c r="K491" s="265"/>
      <c r="L491" s="245"/>
      <c r="M491" s="245"/>
      <c r="N491" s="245"/>
      <c r="O491" s="245"/>
      <c r="P491" s="245"/>
      <c r="Q491" s="247"/>
      <c r="R491" s="254"/>
      <c r="S491" s="245"/>
      <c r="T491" s="245"/>
      <c r="U491" s="245"/>
      <c r="V491" s="245"/>
      <c r="W491" s="245"/>
      <c r="X491" s="245"/>
      <c r="Y491" s="249"/>
      <c r="Z491" s="276"/>
      <c r="AA491" s="245"/>
      <c r="AB491" s="276"/>
      <c r="AC491" s="276"/>
      <c r="AD491" s="246"/>
      <c r="AE491" s="278"/>
      <c r="AF491" s="370"/>
      <c r="AG491" s="371"/>
      <c r="AH491" s="276"/>
      <c r="AI491" s="245"/>
      <c r="AJ491" s="287"/>
      <c r="AK491" s="278"/>
      <c r="AL491" s="246"/>
      <c r="AM491" s="245"/>
      <c r="AN491" s="245"/>
      <c r="AO491" s="274"/>
      <c r="AP491" s="245"/>
      <c r="AQ491" s="245"/>
      <c r="AR491" s="246"/>
      <c r="AS491" s="245"/>
      <c r="AT491" s="245"/>
      <c r="AU491" s="245"/>
      <c r="AV491" s="245"/>
      <c r="AW491" s="245"/>
      <c r="AX491" s="246"/>
      <c r="AY491" s="245"/>
      <c r="AZ491" s="245"/>
      <c r="BA491" s="246"/>
      <c r="BB491" s="245"/>
      <c r="BC491" s="245"/>
      <c r="BD491" s="245"/>
      <c r="BE491" s="245"/>
      <c r="BF491" s="245"/>
      <c r="BG491" s="245"/>
      <c r="BH491" s="245"/>
      <c r="BI491" s="245"/>
      <c r="BJ491" s="245"/>
      <c r="BK491" s="245"/>
      <c r="BL491" s="245"/>
      <c r="BM491" s="245"/>
      <c r="BN491" s="245"/>
      <c r="BO491" s="245"/>
      <c r="BP491" s="245"/>
      <c r="BQ491" s="245"/>
      <c r="BR491" s="245"/>
      <c r="BS491" s="245"/>
      <c r="BT491" s="246"/>
      <c r="BU491" s="245"/>
      <c r="BV491" s="245"/>
      <c r="BW491" s="245"/>
      <c r="BX491" s="245"/>
      <c r="BY491" s="245"/>
      <c r="BZ491" s="282"/>
      <c r="CA491" s="245"/>
      <c r="CB491" s="245"/>
      <c r="CC491" s="245"/>
      <c r="CD491" s="245"/>
      <c r="CE491" s="245"/>
      <c r="CF491" s="245"/>
    </row>
    <row r="492">
      <c r="A492" s="305"/>
      <c r="B492" s="245"/>
      <c r="C492" s="245"/>
      <c r="D492" s="246"/>
      <c r="E492" s="245"/>
      <c r="F492" s="245"/>
      <c r="G492" s="245"/>
      <c r="H492" s="245"/>
      <c r="I492" s="245"/>
      <c r="J492" s="245"/>
      <c r="K492" s="265"/>
      <c r="L492" s="245"/>
      <c r="M492" s="245"/>
      <c r="N492" s="245"/>
      <c r="O492" s="245"/>
      <c r="P492" s="245"/>
      <c r="Q492" s="247"/>
      <c r="R492" s="254"/>
      <c r="S492" s="245"/>
      <c r="T492" s="245"/>
      <c r="U492" s="245"/>
      <c r="V492" s="245"/>
      <c r="W492" s="245"/>
      <c r="X492" s="245"/>
      <c r="Y492" s="249"/>
      <c r="Z492" s="276"/>
      <c r="AA492" s="245"/>
      <c r="AB492" s="276"/>
      <c r="AC492" s="276"/>
      <c r="AD492" s="246"/>
      <c r="AE492" s="278"/>
      <c r="AF492" s="370"/>
      <c r="AG492" s="371"/>
      <c r="AH492" s="276"/>
      <c r="AI492" s="245"/>
      <c r="AJ492" s="287"/>
      <c r="AK492" s="278"/>
      <c r="AL492" s="246"/>
      <c r="AM492" s="245"/>
      <c r="AN492" s="245"/>
      <c r="AO492" s="274"/>
      <c r="AP492" s="245"/>
      <c r="AQ492" s="245"/>
      <c r="AR492" s="246"/>
      <c r="AS492" s="245"/>
      <c r="AT492" s="245"/>
      <c r="AU492" s="245"/>
      <c r="AV492" s="245"/>
      <c r="AW492" s="245"/>
      <c r="AX492" s="246"/>
      <c r="AY492" s="245"/>
      <c r="AZ492" s="245"/>
      <c r="BA492" s="246"/>
      <c r="BB492" s="245"/>
      <c r="BC492" s="245"/>
      <c r="BD492" s="245"/>
      <c r="BE492" s="245"/>
      <c r="BF492" s="245"/>
      <c r="BG492" s="245"/>
      <c r="BH492" s="245"/>
      <c r="BI492" s="245"/>
      <c r="BJ492" s="245"/>
      <c r="BK492" s="245"/>
      <c r="BL492" s="245"/>
      <c r="BM492" s="245"/>
      <c r="BN492" s="245"/>
      <c r="BO492" s="245"/>
      <c r="BP492" s="245"/>
      <c r="BQ492" s="245"/>
      <c r="BR492" s="245"/>
      <c r="BS492" s="245"/>
      <c r="BT492" s="246"/>
      <c r="BU492" s="245"/>
      <c r="BV492" s="245"/>
      <c r="BW492" s="245"/>
      <c r="BX492" s="245"/>
      <c r="BY492" s="245"/>
      <c r="BZ492" s="282"/>
      <c r="CA492" s="245"/>
      <c r="CB492" s="245"/>
      <c r="CC492" s="245"/>
      <c r="CD492" s="245"/>
      <c r="CE492" s="245"/>
      <c r="CF492" s="245"/>
    </row>
    <row r="493">
      <c r="A493" s="245"/>
      <c r="B493" s="245"/>
      <c r="C493" s="245"/>
      <c r="D493" s="246"/>
      <c r="E493" s="245"/>
      <c r="F493" s="245"/>
      <c r="G493" s="245"/>
      <c r="H493" s="245"/>
      <c r="I493" s="245"/>
      <c r="J493" s="245"/>
      <c r="K493" s="265"/>
      <c r="L493" s="245"/>
      <c r="M493" s="245"/>
      <c r="N493" s="245"/>
      <c r="O493" s="245"/>
      <c r="P493" s="245"/>
      <c r="Q493" s="247"/>
      <c r="R493" s="254"/>
      <c r="S493" s="245"/>
      <c r="T493" s="245"/>
      <c r="U493" s="245"/>
      <c r="V493" s="245"/>
      <c r="W493" s="245"/>
      <c r="X493" s="245"/>
      <c r="Y493" s="249"/>
      <c r="Z493" s="276"/>
      <c r="AA493" s="245"/>
      <c r="AB493" s="276"/>
      <c r="AC493" s="276"/>
      <c r="AD493" s="246"/>
      <c r="AE493" s="278"/>
      <c r="AF493" s="370"/>
      <c r="AG493" s="371"/>
      <c r="AH493" s="276"/>
      <c r="AI493" s="245"/>
      <c r="AJ493" s="287"/>
      <c r="AK493" s="278"/>
      <c r="AL493" s="246"/>
      <c r="AM493" s="245"/>
      <c r="AN493" s="245"/>
      <c r="AO493" s="274"/>
      <c r="AP493" s="245"/>
      <c r="AQ493" s="245"/>
      <c r="AR493" s="246"/>
      <c r="AS493" s="245"/>
      <c r="AT493" s="245"/>
      <c r="AU493" s="245"/>
      <c r="AV493" s="245"/>
      <c r="AW493" s="245"/>
      <c r="AX493" s="246"/>
      <c r="AY493" s="245"/>
      <c r="AZ493" s="245"/>
      <c r="BA493" s="246"/>
      <c r="BB493" s="245"/>
      <c r="BC493" s="245"/>
      <c r="BD493" s="245"/>
      <c r="BE493" s="245"/>
      <c r="BF493" s="245"/>
      <c r="BG493" s="245"/>
      <c r="BH493" s="245"/>
      <c r="BI493" s="245"/>
      <c r="BJ493" s="245"/>
      <c r="BK493" s="245"/>
      <c r="BL493" s="245"/>
      <c r="BM493" s="245"/>
      <c r="BN493" s="245"/>
      <c r="BO493" s="245"/>
      <c r="BP493" s="245"/>
      <c r="BQ493" s="245"/>
      <c r="BR493" s="245"/>
      <c r="BS493" s="245"/>
      <c r="BT493" s="246"/>
      <c r="BU493" s="245"/>
      <c r="BV493" s="245"/>
      <c r="BW493" s="245"/>
      <c r="BX493" s="245"/>
      <c r="BY493" s="245"/>
      <c r="BZ493" s="282"/>
      <c r="CA493" s="245"/>
      <c r="CB493" s="245"/>
      <c r="CC493" s="245"/>
      <c r="CD493" s="245"/>
      <c r="CE493" s="245"/>
      <c r="CF493" s="245"/>
    </row>
    <row r="494">
      <c r="A494" s="245"/>
      <c r="B494" s="245"/>
      <c r="C494" s="245"/>
      <c r="D494" s="246"/>
      <c r="E494" s="245"/>
      <c r="F494" s="245"/>
      <c r="G494" s="245"/>
      <c r="H494" s="245"/>
      <c r="I494" s="245"/>
      <c r="J494" s="245"/>
      <c r="K494" s="265"/>
      <c r="L494" s="245"/>
      <c r="M494" s="245"/>
      <c r="N494" s="245"/>
      <c r="O494" s="245"/>
      <c r="P494" s="245"/>
      <c r="Q494" s="247"/>
      <c r="R494" s="254"/>
      <c r="S494" s="245"/>
      <c r="T494" s="245"/>
      <c r="U494" s="245"/>
      <c r="V494" s="245"/>
      <c r="W494" s="245"/>
      <c r="X494" s="245"/>
      <c r="Y494" s="249"/>
      <c r="Z494" s="276"/>
      <c r="AA494" s="245"/>
      <c r="AB494" s="276"/>
      <c r="AC494" s="276"/>
      <c r="AD494" s="246"/>
      <c r="AE494" s="278"/>
      <c r="AF494" s="370"/>
      <c r="AG494" s="371"/>
      <c r="AH494" s="276"/>
      <c r="AI494" s="245"/>
      <c r="AJ494" s="287"/>
      <c r="AK494" s="278"/>
      <c r="AL494" s="246"/>
      <c r="AM494" s="245"/>
      <c r="AN494" s="245"/>
      <c r="AO494" s="274"/>
      <c r="AP494" s="245"/>
      <c r="AQ494" s="245"/>
      <c r="AR494" s="246"/>
      <c r="AS494" s="245"/>
      <c r="AT494" s="245"/>
      <c r="AU494" s="245"/>
      <c r="AV494" s="245"/>
      <c r="AW494" s="245"/>
      <c r="AX494" s="246"/>
      <c r="AY494" s="245"/>
      <c r="AZ494" s="245"/>
      <c r="BA494" s="246"/>
      <c r="BB494" s="245"/>
      <c r="BC494" s="245"/>
      <c r="BD494" s="245"/>
      <c r="BE494" s="245"/>
      <c r="BF494" s="245"/>
      <c r="BG494" s="245"/>
      <c r="BH494" s="245"/>
      <c r="BI494" s="245"/>
      <c r="BJ494" s="245"/>
      <c r="BK494" s="245"/>
      <c r="BL494" s="245"/>
      <c r="BM494" s="245"/>
      <c r="BN494" s="245"/>
      <c r="BO494" s="245"/>
      <c r="BP494" s="245"/>
      <c r="BQ494" s="245"/>
      <c r="BR494" s="245"/>
      <c r="BS494" s="245"/>
      <c r="BT494" s="246"/>
      <c r="BU494" s="245"/>
      <c r="BV494" s="245"/>
      <c r="BW494" s="245"/>
      <c r="BX494" s="245"/>
      <c r="BY494" s="245"/>
      <c r="BZ494" s="282"/>
      <c r="CA494" s="245"/>
      <c r="CB494" s="245"/>
      <c r="CC494" s="245"/>
      <c r="CD494" s="245"/>
      <c r="CE494" s="245"/>
      <c r="CF494" s="245"/>
    </row>
    <row r="495">
      <c r="A495" s="245"/>
      <c r="B495" s="245"/>
      <c r="C495" s="245"/>
      <c r="D495" s="246"/>
      <c r="E495" s="245"/>
      <c r="F495" s="245"/>
      <c r="G495" s="245"/>
      <c r="H495" s="245"/>
      <c r="I495" s="245"/>
      <c r="J495" s="245"/>
      <c r="K495" s="265"/>
      <c r="L495" s="245"/>
      <c r="M495" s="245"/>
      <c r="N495" s="245"/>
      <c r="O495" s="245"/>
      <c r="P495" s="245"/>
      <c r="Q495" s="247"/>
      <c r="R495" s="254"/>
      <c r="S495" s="245"/>
      <c r="T495" s="245"/>
      <c r="U495" s="245"/>
      <c r="V495" s="245"/>
      <c r="W495" s="245"/>
      <c r="X495" s="245"/>
      <c r="Y495" s="249"/>
      <c r="Z495" s="276"/>
      <c r="AA495" s="245"/>
      <c r="AB495" s="276"/>
      <c r="AC495" s="276"/>
      <c r="AD495" s="246"/>
      <c r="AE495" s="278"/>
      <c r="AF495" s="370"/>
      <c r="AG495" s="371"/>
      <c r="AH495" s="276"/>
      <c r="AI495" s="245"/>
      <c r="AJ495" s="287"/>
      <c r="AK495" s="278"/>
      <c r="AL495" s="246"/>
      <c r="AM495" s="245"/>
      <c r="AN495" s="245"/>
      <c r="AO495" s="274"/>
      <c r="AP495" s="245"/>
      <c r="AQ495" s="245"/>
      <c r="AR495" s="246"/>
      <c r="AS495" s="245"/>
      <c r="AT495" s="245"/>
      <c r="AU495" s="245"/>
      <c r="AV495" s="245"/>
      <c r="AW495" s="245"/>
      <c r="AX495" s="246"/>
      <c r="AY495" s="245"/>
      <c r="AZ495" s="245"/>
      <c r="BA495" s="246"/>
      <c r="BB495" s="245"/>
      <c r="BC495" s="245"/>
      <c r="BD495" s="245"/>
      <c r="BE495" s="245"/>
      <c r="BF495" s="245"/>
      <c r="BG495" s="245"/>
      <c r="BH495" s="245"/>
      <c r="BI495" s="245"/>
      <c r="BJ495" s="245"/>
      <c r="BK495" s="245"/>
      <c r="BL495" s="245"/>
      <c r="BM495" s="245"/>
      <c r="BN495" s="245"/>
      <c r="BO495" s="245"/>
      <c r="BP495" s="245"/>
      <c r="BQ495" s="245"/>
      <c r="BR495" s="245"/>
      <c r="BS495" s="245"/>
      <c r="BT495" s="246"/>
      <c r="BU495" s="245"/>
      <c r="BV495" s="245"/>
      <c r="BW495" s="245"/>
      <c r="BX495" s="245"/>
      <c r="BY495" s="245"/>
      <c r="BZ495" s="282"/>
      <c r="CA495" s="245"/>
      <c r="CB495" s="245"/>
      <c r="CC495" s="245"/>
      <c r="CD495" s="245"/>
      <c r="CE495" s="245"/>
      <c r="CF495" s="245"/>
    </row>
    <row r="496">
      <c r="A496" s="245"/>
      <c r="B496" s="245"/>
      <c r="C496" s="245"/>
      <c r="D496" s="246"/>
      <c r="E496" s="245"/>
      <c r="F496" s="245"/>
      <c r="G496" s="245"/>
      <c r="H496" s="245"/>
      <c r="I496" s="245"/>
      <c r="J496" s="245"/>
      <c r="K496" s="265"/>
      <c r="L496" s="245"/>
      <c r="M496" s="245"/>
      <c r="N496" s="245"/>
      <c r="O496" s="245"/>
      <c r="P496" s="245"/>
      <c r="Q496" s="247"/>
      <c r="R496" s="254"/>
      <c r="S496" s="245"/>
      <c r="T496" s="245"/>
      <c r="U496" s="245"/>
      <c r="V496" s="245"/>
      <c r="W496" s="245"/>
      <c r="X496" s="245"/>
      <c r="Y496" s="249"/>
      <c r="Z496" s="276"/>
      <c r="AA496" s="245"/>
      <c r="AB496" s="276"/>
      <c r="AC496" s="276"/>
      <c r="AD496" s="246"/>
      <c r="AE496" s="278"/>
      <c r="AF496" s="370"/>
      <c r="AG496" s="371"/>
      <c r="AH496" s="276"/>
      <c r="AI496" s="245"/>
      <c r="AJ496" s="287"/>
      <c r="AK496" s="278"/>
      <c r="AL496" s="246"/>
      <c r="AM496" s="245"/>
      <c r="AN496" s="245"/>
      <c r="AO496" s="274"/>
      <c r="AP496" s="245"/>
      <c r="AQ496" s="245"/>
      <c r="AR496" s="246"/>
      <c r="AS496" s="245"/>
      <c r="AT496" s="245"/>
      <c r="AU496" s="245"/>
      <c r="AV496" s="245"/>
      <c r="AW496" s="245"/>
      <c r="AX496" s="246"/>
      <c r="AY496" s="245"/>
      <c r="AZ496" s="245"/>
      <c r="BA496" s="246"/>
      <c r="BB496" s="245"/>
      <c r="BC496" s="245"/>
      <c r="BD496" s="245"/>
      <c r="BE496" s="245"/>
      <c r="BF496" s="245"/>
      <c r="BG496" s="245"/>
      <c r="BH496" s="245"/>
      <c r="BI496" s="245"/>
      <c r="BJ496" s="245"/>
      <c r="BK496" s="245"/>
      <c r="BL496" s="245"/>
      <c r="BM496" s="245"/>
      <c r="BN496" s="245"/>
      <c r="BO496" s="245"/>
      <c r="BP496" s="245"/>
      <c r="BQ496" s="245"/>
      <c r="BR496" s="245"/>
      <c r="BS496" s="245"/>
      <c r="BT496" s="246"/>
      <c r="BU496" s="245"/>
      <c r="BV496" s="245"/>
      <c r="BW496" s="245"/>
      <c r="BX496" s="245"/>
      <c r="BY496" s="245"/>
      <c r="BZ496" s="282"/>
      <c r="CA496" s="245"/>
      <c r="CB496" s="245"/>
      <c r="CC496" s="245"/>
      <c r="CD496" s="245"/>
      <c r="CE496" s="245"/>
      <c r="CF496" s="245"/>
    </row>
    <row r="497">
      <c r="A497" s="245"/>
      <c r="B497" s="245"/>
      <c r="C497" s="245"/>
      <c r="D497" s="246"/>
      <c r="E497" s="245"/>
      <c r="F497" s="245"/>
      <c r="G497" s="245"/>
      <c r="H497" s="245"/>
      <c r="I497" s="245"/>
      <c r="J497" s="245"/>
      <c r="K497" s="265"/>
      <c r="L497" s="245"/>
      <c r="M497" s="245"/>
      <c r="N497" s="245"/>
      <c r="O497" s="245"/>
      <c r="P497" s="245"/>
      <c r="Q497" s="247"/>
      <c r="R497" s="254"/>
      <c r="S497" s="245"/>
      <c r="T497" s="245"/>
      <c r="U497" s="245"/>
      <c r="V497" s="245"/>
      <c r="W497" s="245"/>
      <c r="X497" s="245"/>
      <c r="Y497" s="249"/>
      <c r="Z497" s="276"/>
      <c r="AA497" s="245"/>
      <c r="AB497" s="276"/>
      <c r="AC497" s="276"/>
      <c r="AD497" s="246"/>
      <c r="AE497" s="278"/>
      <c r="AF497" s="370"/>
      <c r="AG497" s="371"/>
      <c r="AH497" s="276"/>
      <c r="AI497" s="245"/>
      <c r="AJ497" s="287"/>
      <c r="AK497" s="278"/>
      <c r="AL497" s="246"/>
      <c r="AM497" s="245"/>
      <c r="AN497" s="245"/>
      <c r="AO497" s="274"/>
      <c r="AP497" s="245"/>
      <c r="AQ497" s="245"/>
      <c r="AR497" s="246"/>
      <c r="AS497" s="245"/>
      <c r="AT497" s="245"/>
      <c r="AU497" s="245"/>
      <c r="AV497" s="245"/>
      <c r="AW497" s="245"/>
      <c r="AX497" s="246"/>
      <c r="AY497" s="245"/>
      <c r="AZ497" s="245"/>
      <c r="BA497" s="246"/>
      <c r="BB497" s="245"/>
      <c r="BC497" s="245"/>
      <c r="BD497" s="245"/>
      <c r="BE497" s="245"/>
      <c r="BF497" s="245"/>
      <c r="BG497" s="245"/>
      <c r="BH497" s="245"/>
      <c r="BI497" s="245"/>
      <c r="BJ497" s="245"/>
      <c r="BK497" s="245"/>
      <c r="BL497" s="245"/>
      <c r="BM497" s="245"/>
      <c r="BN497" s="245"/>
      <c r="BO497" s="245"/>
      <c r="BP497" s="245"/>
      <c r="BQ497" s="245"/>
      <c r="BR497" s="245"/>
      <c r="BS497" s="245"/>
      <c r="BT497" s="246"/>
      <c r="BU497" s="245"/>
      <c r="BV497" s="245"/>
      <c r="BW497" s="245"/>
      <c r="BX497" s="245"/>
      <c r="BY497" s="245"/>
      <c r="BZ497" s="282"/>
      <c r="CA497" s="245"/>
      <c r="CB497" s="245"/>
      <c r="CC497" s="245"/>
      <c r="CD497" s="245"/>
      <c r="CE497" s="245"/>
      <c r="CF497" s="245"/>
    </row>
    <row r="498">
      <c r="A498" s="245"/>
      <c r="B498" s="245"/>
      <c r="C498" s="245"/>
      <c r="D498" s="246"/>
      <c r="E498" s="245"/>
      <c r="F498" s="245"/>
      <c r="G498" s="245"/>
      <c r="H498" s="245"/>
      <c r="I498" s="245"/>
      <c r="J498" s="245"/>
      <c r="K498" s="265"/>
      <c r="L498" s="245"/>
      <c r="M498" s="245"/>
      <c r="N498" s="245"/>
      <c r="O498" s="245"/>
      <c r="P498" s="245"/>
      <c r="Q498" s="247"/>
      <c r="R498" s="254"/>
      <c r="S498" s="245"/>
      <c r="T498" s="245"/>
      <c r="U498" s="245"/>
      <c r="V498" s="245"/>
      <c r="W498" s="245"/>
      <c r="X498" s="245"/>
      <c r="Y498" s="249"/>
      <c r="Z498" s="276"/>
      <c r="AA498" s="245"/>
      <c r="AB498" s="276"/>
      <c r="AC498" s="276"/>
      <c r="AD498" s="246"/>
      <c r="AE498" s="278"/>
      <c r="AF498" s="370"/>
      <c r="AG498" s="371"/>
      <c r="AH498" s="276"/>
      <c r="AI498" s="245"/>
      <c r="AJ498" s="287"/>
      <c r="AK498" s="278"/>
      <c r="AL498" s="246"/>
      <c r="AM498" s="245"/>
      <c r="AN498" s="245"/>
      <c r="AO498" s="274"/>
      <c r="AP498" s="245"/>
      <c r="AQ498" s="245"/>
      <c r="AR498" s="246"/>
      <c r="AS498" s="245"/>
      <c r="AT498" s="245"/>
      <c r="AU498" s="245"/>
      <c r="AV498" s="245"/>
      <c r="AW498" s="245"/>
      <c r="AX498" s="246"/>
      <c r="AY498" s="245"/>
      <c r="AZ498" s="245"/>
      <c r="BA498" s="246"/>
      <c r="BB498" s="245"/>
      <c r="BC498" s="245"/>
      <c r="BD498" s="245"/>
      <c r="BE498" s="245"/>
      <c r="BF498" s="245"/>
      <c r="BG498" s="245"/>
      <c r="BH498" s="245"/>
      <c r="BI498" s="245"/>
      <c r="BJ498" s="245"/>
      <c r="BK498" s="245"/>
      <c r="BL498" s="245"/>
      <c r="BM498" s="245"/>
      <c r="BN498" s="245"/>
      <c r="BO498" s="245"/>
      <c r="BP498" s="245"/>
      <c r="BQ498" s="245"/>
      <c r="BR498" s="245"/>
      <c r="BS498" s="245"/>
      <c r="BT498" s="246"/>
      <c r="BU498" s="245"/>
      <c r="BV498" s="245"/>
      <c r="BW498" s="245"/>
      <c r="BX498" s="245"/>
      <c r="BY498" s="245"/>
      <c r="BZ498" s="282"/>
      <c r="CA498" s="245"/>
      <c r="CB498" s="245"/>
      <c r="CC498" s="245"/>
      <c r="CD498" s="245"/>
      <c r="CE498" s="245"/>
      <c r="CF498" s="245"/>
    </row>
    <row r="499">
      <c r="A499" s="245"/>
      <c r="B499" s="245"/>
      <c r="C499" s="245"/>
      <c r="D499" s="246"/>
      <c r="E499" s="245"/>
      <c r="F499" s="245"/>
      <c r="G499" s="245"/>
      <c r="H499" s="245"/>
      <c r="I499" s="245"/>
      <c r="J499" s="245"/>
      <c r="K499" s="265"/>
      <c r="L499" s="245"/>
      <c r="M499" s="245"/>
      <c r="N499" s="245"/>
      <c r="O499" s="245"/>
      <c r="P499" s="245"/>
      <c r="Q499" s="247"/>
      <c r="R499" s="254"/>
      <c r="S499" s="245"/>
      <c r="T499" s="245"/>
      <c r="U499" s="245"/>
      <c r="V499" s="245"/>
      <c r="W499" s="245"/>
      <c r="X499" s="245"/>
      <c r="Y499" s="249"/>
      <c r="Z499" s="276"/>
      <c r="AA499" s="245"/>
      <c r="AB499" s="276"/>
      <c r="AC499" s="276"/>
      <c r="AD499" s="246"/>
      <c r="AE499" s="278"/>
      <c r="AF499" s="370"/>
      <c r="AG499" s="371"/>
      <c r="AH499" s="276"/>
      <c r="AI499" s="245"/>
      <c r="AJ499" s="287"/>
      <c r="AK499" s="278"/>
      <c r="AL499" s="246"/>
      <c r="AM499" s="245"/>
      <c r="AN499" s="245"/>
      <c r="AO499" s="274"/>
      <c r="AP499" s="245"/>
      <c r="AQ499" s="245"/>
      <c r="AR499" s="246"/>
      <c r="AS499" s="245"/>
      <c r="AT499" s="245"/>
      <c r="AU499" s="245"/>
      <c r="AV499" s="245"/>
      <c r="AW499" s="245"/>
      <c r="AX499" s="246"/>
      <c r="AY499" s="245"/>
      <c r="AZ499" s="245"/>
      <c r="BA499" s="246"/>
      <c r="BB499" s="245"/>
      <c r="BC499" s="245"/>
      <c r="BD499" s="245"/>
      <c r="BE499" s="245"/>
      <c r="BF499" s="245"/>
      <c r="BG499" s="245"/>
      <c r="BH499" s="245"/>
      <c r="BI499" s="245"/>
      <c r="BJ499" s="245"/>
      <c r="BK499" s="245"/>
      <c r="BL499" s="245"/>
      <c r="BM499" s="245"/>
      <c r="BN499" s="245"/>
      <c r="BO499" s="245"/>
      <c r="BP499" s="245"/>
      <c r="BQ499" s="245"/>
      <c r="BR499" s="245"/>
      <c r="BS499" s="245"/>
      <c r="BT499" s="246"/>
      <c r="BU499" s="245"/>
      <c r="BV499" s="245"/>
      <c r="BW499" s="245"/>
      <c r="BX499" s="245"/>
      <c r="BY499" s="245"/>
      <c r="BZ499" s="282"/>
      <c r="CA499" s="245"/>
      <c r="CB499" s="245"/>
      <c r="CC499" s="245"/>
      <c r="CD499" s="245"/>
      <c r="CE499" s="245"/>
      <c r="CF499" s="245"/>
    </row>
    <row r="500">
      <c r="A500" s="245"/>
      <c r="B500" s="245"/>
      <c r="C500" s="245"/>
      <c r="D500" s="246"/>
      <c r="E500" s="245"/>
      <c r="F500" s="245"/>
      <c r="G500" s="245"/>
      <c r="H500" s="245"/>
      <c r="I500" s="245"/>
      <c r="J500" s="245"/>
      <c r="K500" s="265"/>
      <c r="L500" s="245"/>
      <c r="M500" s="245"/>
      <c r="N500" s="245"/>
      <c r="O500" s="245"/>
      <c r="P500" s="245"/>
      <c r="Q500" s="247"/>
      <c r="R500" s="254"/>
      <c r="S500" s="245"/>
      <c r="T500" s="245"/>
      <c r="U500" s="245"/>
      <c r="V500" s="245"/>
      <c r="W500" s="245"/>
      <c r="X500" s="245"/>
      <c r="Y500" s="249"/>
      <c r="Z500" s="276"/>
      <c r="AA500" s="245"/>
      <c r="AB500" s="276"/>
      <c r="AC500" s="276"/>
      <c r="AD500" s="246"/>
      <c r="AE500" s="278"/>
      <c r="AF500" s="370"/>
      <c r="AG500" s="371"/>
      <c r="AH500" s="276"/>
      <c r="AI500" s="245"/>
      <c r="AJ500" s="287"/>
      <c r="AK500" s="278"/>
      <c r="AL500" s="246"/>
      <c r="AM500" s="245"/>
      <c r="AN500" s="245"/>
      <c r="AO500" s="274"/>
      <c r="AP500" s="245"/>
      <c r="AQ500" s="245"/>
      <c r="AR500" s="246"/>
      <c r="AS500" s="245"/>
      <c r="AT500" s="245"/>
      <c r="AU500" s="245"/>
      <c r="AV500" s="245"/>
      <c r="AW500" s="245"/>
      <c r="AX500" s="246"/>
      <c r="AY500" s="245"/>
      <c r="AZ500" s="245"/>
      <c r="BA500" s="246"/>
      <c r="BB500" s="245"/>
      <c r="BC500" s="245"/>
      <c r="BD500" s="245"/>
      <c r="BE500" s="245"/>
      <c r="BF500" s="245"/>
      <c r="BG500" s="245"/>
      <c r="BH500" s="245"/>
      <c r="BI500" s="245"/>
      <c r="BJ500" s="245"/>
      <c r="BK500" s="245"/>
      <c r="BL500" s="245"/>
      <c r="BM500" s="245"/>
      <c r="BN500" s="245"/>
      <c r="BO500" s="245"/>
      <c r="BP500" s="245"/>
      <c r="BQ500" s="245"/>
      <c r="BR500" s="245"/>
      <c r="BS500" s="245"/>
      <c r="BT500" s="246"/>
      <c r="BU500" s="245"/>
      <c r="BV500" s="245"/>
      <c r="BW500" s="245"/>
      <c r="BX500" s="245"/>
      <c r="BY500" s="245"/>
      <c r="BZ500" s="282"/>
      <c r="CA500" s="245"/>
      <c r="CB500" s="245"/>
      <c r="CC500" s="245"/>
      <c r="CD500" s="245"/>
      <c r="CE500" s="245"/>
      <c r="CF500" s="245"/>
    </row>
    <row r="501">
      <c r="A501" s="245"/>
      <c r="B501" s="245"/>
      <c r="C501" s="245"/>
      <c r="D501" s="246"/>
      <c r="E501" s="245"/>
      <c r="F501" s="245"/>
      <c r="G501" s="245"/>
      <c r="H501" s="245"/>
      <c r="I501" s="245"/>
      <c r="J501" s="245"/>
      <c r="K501" s="265"/>
      <c r="L501" s="245"/>
      <c r="M501" s="245"/>
      <c r="N501" s="245"/>
      <c r="O501" s="245"/>
      <c r="P501" s="245"/>
      <c r="Q501" s="247"/>
      <c r="R501" s="254"/>
      <c r="S501" s="245"/>
      <c r="T501" s="245"/>
      <c r="U501" s="245"/>
      <c r="V501" s="245"/>
      <c r="W501" s="245"/>
      <c r="X501" s="245"/>
      <c r="Y501" s="249"/>
      <c r="Z501" s="276"/>
      <c r="AA501" s="245"/>
      <c r="AB501" s="276"/>
      <c r="AC501" s="276"/>
      <c r="AD501" s="246"/>
      <c r="AE501" s="278"/>
      <c r="AF501" s="370"/>
      <c r="AG501" s="371"/>
      <c r="AH501" s="276"/>
      <c r="AI501" s="245"/>
      <c r="AJ501" s="287"/>
      <c r="AK501" s="278"/>
      <c r="AL501" s="246"/>
      <c r="AM501" s="245"/>
      <c r="AN501" s="245"/>
      <c r="AO501" s="274"/>
      <c r="AP501" s="245"/>
      <c r="AQ501" s="245"/>
      <c r="AR501" s="246"/>
      <c r="AS501" s="245"/>
      <c r="AT501" s="245"/>
      <c r="AU501" s="245"/>
      <c r="AV501" s="245"/>
      <c r="AW501" s="245"/>
      <c r="AX501" s="246"/>
      <c r="AY501" s="245"/>
      <c r="AZ501" s="245"/>
      <c r="BA501" s="246"/>
      <c r="BB501" s="245"/>
      <c r="BC501" s="245"/>
      <c r="BD501" s="245"/>
      <c r="BE501" s="245"/>
      <c r="BF501" s="245"/>
      <c r="BG501" s="245"/>
      <c r="BH501" s="245"/>
      <c r="BI501" s="245"/>
      <c r="BJ501" s="245"/>
      <c r="BK501" s="245"/>
      <c r="BL501" s="245"/>
      <c r="BM501" s="245"/>
      <c r="BN501" s="245"/>
      <c r="BO501" s="245"/>
      <c r="BP501" s="245"/>
      <c r="BQ501" s="245"/>
      <c r="BR501" s="245"/>
      <c r="BS501" s="245"/>
      <c r="BT501" s="246"/>
      <c r="BU501" s="245"/>
      <c r="BV501" s="245"/>
      <c r="BW501" s="245"/>
      <c r="BX501" s="245"/>
      <c r="BY501" s="245"/>
      <c r="BZ501" s="282"/>
      <c r="CA501" s="245"/>
      <c r="CB501" s="245"/>
      <c r="CC501" s="245"/>
      <c r="CD501" s="245"/>
      <c r="CE501" s="245"/>
      <c r="CF501" s="245"/>
    </row>
    <row r="502">
      <c r="A502" s="245"/>
      <c r="B502" s="245"/>
      <c r="C502" s="245"/>
      <c r="D502" s="246"/>
      <c r="E502" s="245"/>
      <c r="F502" s="245"/>
      <c r="G502" s="245"/>
      <c r="H502" s="245"/>
      <c r="I502" s="245"/>
      <c r="J502" s="245"/>
      <c r="K502" s="265"/>
      <c r="L502" s="245"/>
      <c r="M502" s="245"/>
      <c r="N502" s="245"/>
      <c r="O502" s="245"/>
      <c r="P502" s="245"/>
      <c r="Q502" s="247"/>
      <c r="R502" s="254"/>
      <c r="S502" s="245"/>
      <c r="T502" s="245"/>
      <c r="U502" s="245"/>
      <c r="V502" s="245"/>
      <c r="W502" s="245"/>
      <c r="X502" s="245"/>
      <c r="Y502" s="249"/>
      <c r="Z502" s="276"/>
      <c r="AA502" s="245"/>
      <c r="AB502" s="276"/>
      <c r="AC502" s="276"/>
      <c r="AD502" s="246"/>
      <c r="AE502" s="278"/>
      <c r="AF502" s="370"/>
      <c r="AG502" s="371"/>
      <c r="AH502" s="276"/>
      <c r="AI502" s="245"/>
      <c r="AJ502" s="287"/>
      <c r="AK502" s="278"/>
      <c r="AL502" s="246"/>
      <c r="AM502" s="245"/>
      <c r="AN502" s="245"/>
      <c r="AO502" s="274"/>
      <c r="AP502" s="245"/>
      <c r="AQ502" s="245"/>
      <c r="AR502" s="246"/>
      <c r="AS502" s="245"/>
      <c r="AT502" s="245"/>
      <c r="AU502" s="245"/>
      <c r="AV502" s="245"/>
      <c r="AW502" s="245"/>
      <c r="AX502" s="246"/>
      <c r="AY502" s="245"/>
      <c r="AZ502" s="245"/>
      <c r="BA502" s="246"/>
      <c r="BB502" s="245"/>
      <c r="BC502" s="245"/>
      <c r="BD502" s="245"/>
      <c r="BE502" s="245"/>
      <c r="BF502" s="245"/>
      <c r="BG502" s="245"/>
      <c r="BH502" s="245"/>
      <c r="BI502" s="245"/>
      <c r="BJ502" s="245"/>
      <c r="BK502" s="245"/>
      <c r="BL502" s="245"/>
      <c r="BM502" s="245"/>
      <c r="BN502" s="245"/>
      <c r="BO502" s="245"/>
      <c r="BP502" s="245"/>
      <c r="BQ502" s="245"/>
      <c r="BR502" s="245"/>
      <c r="BS502" s="245"/>
      <c r="BT502" s="246"/>
      <c r="BU502" s="245"/>
      <c r="BV502" s="245"/>
      <c r="BW502" s="245"/>
      <c r="BX502" s="245"/>
      <c r="BY502" s="245"/>
      <c r="BZ502" s="282"/>
      <c r="CA502" s="245"/>
      <c r="CB502" s="245"/>
      <c r="CC502" s="245"/>
      <c r="CD502" s="245"/>
      <c r="CE502" s="245"/>
      <c r="CF502" s="245"/>
    </row>
    <row r="503">
      <c r="A503" s="245"/>
      <c r="B503" s="245"/>
      <c r="C503" s="245"/>
      <c r="D503" s="246"/>
      <c r="E503" s="245"/>
      <c r="F503" s="245"/>
      <c r="G503" s="245"/>
      <c r="H503" s="245"/>
      <c r="I503" s="245"/>
      <c r="J503" s="245"/>
      <c r="K503" s="265"/>
      <c r="L503" s="245"/>
      <c r="M503" s="245"/>
      <c r="N503" s="245"/>
      <c r="O503" s="245"/>
      <c r="P503" s="245"/>
      <c r="Q503" s="247"/>
      <c r="R503" s="254"/>
      <c r="S503" s="245"/>
      <c r="T503" s="245"/>
      <c r="U503" s="245"/>
      <c r="V503" s="245"/>
      <c r="W503" s="245"/>
      <c r="X503" s="245"/>
      <c r="Y503" s="249"/>
      <c r="Z503" s="276"/>
      <c r="AA503" s="245"/>
      <c r="AB503" s="276"/>
      <c r="AC503" s="276"/>
      <c r="AD503" s="246"/>
      <c r="AE503" s="278"/>
      <c r="AF503" s="370"/>
      <c r="AG503" s="371"/>
      <c r="AH503" s="276"/>
      <c r="AI503" s="245"/>
      <c r="AJ503" s="287"/>
      <c r="AK503" s="278"/>
      <c r="AL503" s="246"/>
      <c r="AM503" s="245"/>
      <c r="AN503" s="245"/>
      <c r="AO503" s="274"/>
      <c r="AP503" s="245"/>
      <c r="AQ503" s="245"/>
      <c r="AR503" s="246"/>
      <c r="AS503" s="245"/>
      <c r="AT503" s="245"/>
      <c r="AU503" s="245"/>
      <c r="AV503" s="245"/>
      <c r="AW503" s="245"/>
      <c r="AX503" s="246"/>
      <c r="AY503" s="245"/>
      <c r="AZ503" s="245"/>
      <c r="BA503" s="246"/>
      <c r="BB503" s="245"/>
      <c r="BC503" s="245"/>
      <c r="BD503" s="245"/>
      <c r="BE503" s="245"/>
      <c r="BF503" s="245"/>
      <c r="BG503" s="245"/>
      <c r="BH503" s="245"/>
      <c r="BI503" s="245"/>
      <c r="BJ503" s="245"/>
      <c r="BK503" s="245"/>
      <c r="BL503" s="245"/>
      <c r="BM503" s="245"/>
      <c r="BN503" s="245"/>
      <c r="BO503" s="245"/>
      <c r="BP503" s="245"/>
      <c r="BQ503" s="245"/>
      <c r="BR503" s="245"/>
      <c r="BS503" s="245"/>
      <c r="BT503" s="246"/>
      <c r="BU503" s="245"/>
      <c r="BV503" s="245"/>
      <c r="BW503" s="245"/>
      <c r="BX503" s="245"/>
      <c r="BY503" s="245"/>
      <c r="BZ503" s="282"/>
      <c r="CA503" s="245"/>
      <c r="CB503" s="245"/>
      <c r="CC503" s="245"/>
      <c r="CD503" s="245"/>
      <c r="CE503" s="245"/>
      <c r="CF503" s="245"/>
    </row>
    <row r="504">
      <c r="A504" s="245"/>
      <c r="B504" s="245"/>
      <c r="C504" s="245"/>
      <c r="D504" s="246"/>
      <c r="E504" s="245"/>
      <c r="F504" s="245"/>
      <c r="G504" s="245"/>
      <c r="H504" s="245"/>
      <c r="I504" s="245"/>
      <c r="J504" s="245"/>
      <c r="K504" s="265"/>
      <c r="L504" s="245"/>
      <c r="M504" s="245"/>
      <c r="N504" s="245"/>
      <c r="O504" s="245"/>
      <c r="P504" s="245"/>
      <c r="Q504" s="247"/>
      <c r="R504" s="254"/>
      <c r="S504" s="245"/>
      <c r="T504" s="245"/>
      <c r="U504" s="245"/>
      <c r="V504" s="245"/>
      <c r="W504" s="245"/>
      <c r="X504" s="245"/>
      <c r="Y504" s="249"/>
      <c r="Z504" s="276"/>
      <c r="AA504" s="245"/>
      <c r="AB504" s="276"/>
      <c r="AC504" s="276"/>
      <c r="AD504" s="246"/>
      <c r="AE504" s="278"/>
      <c r="AF504" s="370"/>
      <c r="AG504" s="371"/>
      <c r="AH504" s="276"/>
      <c r="AI504" s="245"/>
      <c r="AJ504" s="287"/>
      <c r="AK504" s="278"/>
      <c r="AL504" s="246"/>
      <c r="AM504" s="245"/>
      <c r="AN504" s="245"/>
      <c r="AO504" s="274"/>
      <c r="AP504" s="245"/>
      <c r="AQ504" s="245"/>
      <c r="AR504" s="246"/>
      <c r="AS504" s="245"/>
      <c r="AT504" s="245"/>
      <c r="AU504" s="245"/>
      <c r="AV504" s="245"/>
      <c r="AW504" s="245"/>
      <c r="AX504" s="246"/>
      <c r="AY504" s="245"/>
      <c r="AZ504" s="245"/>
      <c r="BA504" s="246"/>
      <c r="BB504" s="245"/>
      <c r="BC504" s="245"/>
      <c r="BD504" s="245"/>
      <c r="BE504" s="245"/>
      <c r="BF504" s="245"/>
      <c r="BG504" s="245"/>
      <c r="BH504" s="245"/>
      <c r="BI504" s="245"/>
      <c r="BJ504" s="245"/>
      <c r="BK504" s="245"/>
      <c r="BL504" s="245"/>
      <c r="BM504" s="245"/>
      <c r="BN504" s="245"/>
      <c r="BO504" s="245"/>
      <c r="BP504" s="245"/>
      <c r="BQ504" s="245"/>
      <c r="BR504" s="245"/>
      <c r="BS504" s="245"/>
      <c r="BT504" s="246"/>
      <c r="BU504" s="245"/>
      <c r="BV504" s="245"/>
      <c r="BW504" s="245"/>
      <c r="BX504" s="245"/>
      <c r="BY504" s="245"/>
      <c r="BZ504" s="282"/>
      <c r="CA504" s="245"/>
      <c r="CB504" s="245"/>
      <c r="CC504" s="245"/>
      <c r="CD504" s="245"/>
      <c r="CE504" s="245"/>
      <c r="CF504" s="245"/>
    </row>
    <row r="505">
      <c r="A505" s="245"/>
      <c r="B505" s="245"/>
      <c r="C505" s="245"/>
      <c r="D505" s="246"/>
      <c r="E505" s="245"/>
      <c r="F505" s="245"/>
      <c r="G505" s="245"/>
      <c r="H505" s="245"/>
      <c r="I505" s="245"/>
      <c r="J505" s="245"/>
      <c r="K505" s="265"/>
      <c r="L505" s="245"/>
      <c r="M505" s="245"/>
      <c r="N505" s="245"/>
      <c r="O505" s="245"/>
      <c r="P505" s="245"/>
      <c r="Q505" s="247"/>
      <c r="R505" s="254"/>
      <c r="S505" s="245"/>
      <c r="T505" s="245"/>
      <c r="U505" s="245"/>
      <c r="V505" s="245"/>
      <c r="W505" s="245"/>
      <c r="X505" s="245"/>
      <c r="Y505" s="249"/>
      <c r="Z505" s="276"/>
      <c r="AA505" s="245"/>
      <c r="AB505" s="276"/>
      <c r="AC505" s="276"/>
      <c r="AD505" s="246"/>
      <c r="AE505" s="278"/>
      <c r="AF505" s="370"/>
      <c r="AG505" s="371"/>
      <c r="AH505" s="276"/>
      <c r="AI505" s="245"/>
      <c r="AJ505" s="287"/>
      <c r="AK505" s="278"/>
      <c r="AL505" s="246"/>
      <c r="AM505" s="245"/>
      <c r="AN505" s="245"/>
      <c r="AO505" s="274"/>
      <c r="AP505" s="245"/>
      <c r="AQ505" s="245"/>
      <c r="AR505" s="246"/>
      <c r="AS505" s="245"/>
      <c r="AT505" s="245"/>
      <c r="AU505" s="245"/>
      <c r="AV505" s="245"/>
      <c r="AW505" s="245"/>
      <c r="AX505" s="246"/>
      <c r="AY505" s="245"/>
      <c r="AZ505" s="245"/>
      <c r="BA505" s="246"/>
      <c r="BB505" s="245"/>
      <c r="BC505" s="245"/>
      <c r="BD505" s="245"/>
      <c r="BE505" s="245"/>
      <c r="BF505" s="245"/>
      <c r="BG505" s="245"/>
      <c r="BH505" s="245"/>
      <c r="BI505" s="245"/>
      <c r="BJ505" s="245"/>
      <c r="BK505" s="245"/>
      <c r="BL505" s="245"/>
      <c r="BM505" s="245"/>
      <c r="BN505" s="245"/>
      <c r="BO505" s="245"/>
      <c r="BP505" s="245"/>
      <c r="BQ505" s="245"/>
      <c r="BR505" s="245"/>
      <c r="BS505" s="245"/>
      <c r="BT505" s="246"/>
      <c r="BU505" s="245"/>
      <c r="BV505" s="245"/>
      <c r="BW505" s="245"/>
      <c r="BX505" s="245"/>
      <c r="BY505" s="245"/>
      <c r="BZ505" s="282"/>
      <c r="CA505" s="245"/>
      <c r="CB505" s="245"/>
      <c r="CC505" s="245"/>
      <c r="CD505" s="245"/>
      <c r="CE505" s="245"/>
      <c r="CF505" s="245"/>
    </row>
    <row r="506">
      <c r="A506" s="245"/>
      <c r="B506" s="245"/>
      <c r="C506" s="245"/>
      <c r="D506" s="246"/>
      <c r="E506" s="245"/>
      <c r="F506" s="245"/>
      <c r="G506" s="245"/>
      <c r="H506" s="245"/>
      <c r="I506" s="245"/>
      <c r="J506" s="245"/>
      <c r="K506" s="265"/>
      <c r="L506" s="245"/>
      <c r="M506" s="245"/>
      <c r="N506" s="245"/>
      <c r="O506" s="245"/>
      <c r="P506" s="245"/>
      <c r="Q506" s="247"/>
      <c r="R506" s="254"/>
      <c r="S506" s="245"/>
      <c r="T506" s="245"/>
      <c r="U506" s="245"/>
      <c r="V506" s="245"/>
      <c r="W506" s="245"/>
      <c r="X506" s="245"/>
      <c r="Y506" s="249"/>
      <c r="Z506" s="276"/>
      <c r="AA506" s="245"/>
      <c r="AB506" s="276"/>
      <c r="AC506" s="276"/>
      <c r="AD506" s="246"/>
      <c r="AE506" s="278"/>
      <c r="AF506" s="370"/>
      <c r="AG506" s="371"/>
      <c r="AH506" s="276"/>
      <c r="AI506" s="245"/>
      <c r="AJ506" s="287"/>
      <c r="AK506" s="278"/>
      <c r="AL506" s="246"/>
      <c r="AM506" s="245"/>
      <c r="AN506" s="245"/>
      <c r="AO506" s="274"/>
      <c r="AP506" s="245"/>
      <c r="AQ506" s="245"/>
      <c r="AR506" s="246"/>
      <c r="AS506" s="245"/>
      <c r="AT506" s="245"/>
      <c r="AU506" s="245"/>
      <c r="AV506" s="245"/>
      <c r="AW506" s="245"/>
      <c r="AX506" s="246"/>
      <c r="AY506" s="245"/>
      <c r="AZ506" s="245"/>
      <c r="BA506" s="246"/>
      <c r="BB506" s="245"/>
      <c r="BC506" s="245"/>
      <c r="BD506" s="245"/>
      <c r="BE506" s="245"/>
      <c r="BF506" s="245"/>
      <c r="BG506" s="245"/>
      <c r="BH506" s="245"/>
      <c r="BI506" s="245"/>
      <c r="BJ506" s="245"/>
      <c r="BK506" s="245"/>
      <c r="BL506" s="245"/>
      <c r="BM506" s="245"/>
      <c r="BN506" s="245"/>
      <c r="BO506" s="245"/>
      <c r="BP506" s="245"/>
      <c r="BQ506" s="245"/>
      <c r="BR506" s="245"/>
      <c r="BS506" s="245"/>
      <c r="BT506" s="246"/>
      <c r="BU506" s="245"/>
      <c r="BV506" s="245"/>
      <c r="BW506" s="245"/>
      <c r="BX506" s="245"/>
      <c r="BY506" s="245"/>
      <c r="BZ506" s="282"/>
      <c r="CA506" s="245"/>
      <c r="CB506" s="245"/>
      <c r="CC506" s="245"/>
      <c r="CD506" s="245"/>
      <c r="CE506" s="245"/>
      <c r="CF506" s="245"/>
    </row>
    <row r="507">
      <c r="A507" s="245"/>
      <c r="B507" s="245"/>
      <c r="C507" s="245"/>
      <c r="D507" s="246"/>
      <c r="E507" s="245"/>
      <c r="F507" s="245"/>
      <c r="G507" s="245"/>
      <c r="H507" s="245"/>
      <c r="I507" s="245"/>
      <c r="J507" s="245"/>
      <c r="K507" s="265"/>
      <c r="L507" s="245"/>
      <c r="M507" s="245"/>
      <c r="N507" s="245"/>
      <c r="O507" s="245"/>
      <c r="P507" s="245"/>
      <c r="Q507" s="247"/>
      <c r="R507" s="254"/>
      <c r="S507" s="245"/>
      <c r="T507" s="245"/>
      <c r="U507" s="245"/>
      <c r="V507" s="245"/>
      <c r="W507" s="245"/>
      <c r="X507" s="245"/>
      <c r="Y507" s="249"/>
      <c r="Z507" s="276"/>
      <c r="AA507" s="245"/>
      <c r="AB507" s="276"/>
      <c r="AC507" s="276"/>
      <c r="AD507" s="246"/>
      <c r="AE507" s="278"/>
      <c r="AF507" s="370"/>
      <c r="AG507" s="371"/>
      <c r="AH507" s="276"/>
      <c r="AI507" s="245"/>
      <c r="AJ507" s="287"/>
      <c r="AK507" s="278"/>
      <c r="AL507" s="246"/>
      <c r="AM507" s="245"/>
      <c r="AN507" s="245"/>
      <c r="AO507" s="274"/>
      <c r="AP507" s="245"/>
      <c r="AQ507" s="245"/>
      <c r="AR507" s="246"/>
      <c r="AS507" s="245"/>
      <c r="AT507" s="245"/>
      <c r="AU507" s="245"/>
      <c r="AV507" s="245"/>
      <c r="AW507" s="245"/>
      <c r="AX507" s="246"/>
      <c r="AY507" s="245"/>
      <c r="AZ507" s="245"/>
      <c r="BA507" s="246"/>
      <c r="BB507" s="245"/>
      <c r="BC507" s="245"/>
      <c r="BD507" s="245"/>
      <c r="BE507" s="245"/>
      <c r="BF507" s="245"/>
      <c r="BG507" s="245"/>
      <c r="BH507" s="245"/>
      <c r="BI507" s="245"/>
      <c r="BJ507" s="245"/>
      <c r="BK507" s="245"/>
      <c r="BL507" s="245"/>
      <c r="BM507" s="245"/>
      <c r="BN507" s="245"/>
      <c r="BO507" s="245"/>
      <c r="BP507" s="245"/>
      <c r="BQ507" s="245"/>
      <c r="BR507" s="245"/>
      <c r="BS507" s="245"/>
      <c r="BT507" s="246"/>
      <c r="BU507" s="245"/>
      <c r="BV507" s="245"/>
      <c r="BW507" s="245"/>
      <c r="BX507" s="245"/>
      <c r="BY507" s="245"/>
      <c r="BZ507" s="282"/>
      <c r="CA507" s="245"/>
      <c r="CB507" s="245"/>
      <c r="CC507" s="245"/>
      <c r="CD507" s="245"/>
      <c r="CE507" s="245"/>
      <c r="CF507" s="245"/>
    </row>
    <row r="508">
      <c r="A508" s="245"/>
      <c r="B508" s="245"/>
      <c r="C508" s="245"/>
      <c r="D508" s="246"/>
      <c r="E508" s="245"/>
      <c r="F508" s="245"/>
      <c r="G508" s="245"/>
      <c r="H508" s="245"/>
      <c r="I508" s="245"/>
      <c r="J508" s="245"/>
      <c r="K508" s="265"/>
      <c r="L508" s="245"/>
      <c r="M508" s="245"/>
      <c r="N508" s="245"/>
      <c r="O508" s="245"/>
      <c r="P508" s="245"/>
      <c r="Q508" s="247"/>
      <c r="R508" s="254"/>
      <c r="S508" s="245"/>
      <c r="T508" s="245"/>
      <c r="U508" s="245"/>
      <c r="V508" s="245"/>
      <c r="W508" s="245"/>
      <c r="X508" s="245"/>
      <c r="Y508" s="249"/>
      <c r="Z508" s="276"/>
      <c r="AA508" s="245"/>
      <c r="AB508" s="276"/>
      <c r="AC508" s="276"/>
      <c r="AD508" s="246"/>
      <c r="AE508" s="278"/>
      <c r="AF508" s="370"/>
      <c r="AG508" s="371"/>
      <c r="AH508" s="276"/>
      <c r="AI508" s="245"/>
      <c r="AJ508" s="287"/>
      <c r="AK508" s="278"/>
      <c r="AL508" s="246"/>
      <c r="AM508" s="245"/>
      <c r="AN508" s="245"/>
      <c r="AO508" s="274"/>
      <c r="AP508" s="245"/>
      <c r="AQ508" s="245"/>
      <c r="AR508" s="246"/>
      <c r="AS508" s="245"/>
      <c r="AT508" s="245"/>
      <c r="AU508" s="245"/>
      <c r="AV508" s="245"/>
      <c r="AW508" s="245"/>
      <c r="AX508" s="246"/>
      <c r="AY508" s="245"/>
      <c r="AZ508" s="245"/>
      <c r="BA508" s="246"/>
      <c r="BB508" s="245"/>
      <c r="BC508" s="245"/>
      <c r="BD508" s="245"/>
      <c r="BE508" s="245"/>
      <c r="BF508" s="245"/>
      <c r="BG508" s="245"/>
      <c r="BH508" s="245"/>
      <c r="BI508" s="245"/>
      <c r="BJ508" s="245"/>
      <c r="BK508" s="245"/>
      <c r="BL508" s="245"/>
      <c r="BM508" s="245"/>
      <c r="BN508" s="245"/>
      <c r="BO508" s="245"/>
      <c r="BP508" s="245"/>
      <c r="BQ508" s="245"/>
      <c r="BR508" s="245"/>
      <c r="BS508" s="245"/>
      <c r="BT508" s="246"/>
      <c r="BU508" s="245"/>
      <c r="BV508" s="245"/>
      <c r="BW508" s="245"/>
      <c r="BX508" s="245"/>
      <c r="BY508" s="245"/>
      <c r="BZ508" s="282"/>
      <c r="CA508" s="245"/>
      <c r="CB508" s="245"/>
      <c r="CC508" s="245"/>
      <c r="CD508" s="245"/>
      <c r="CE508" s="245"/>
      <c r="CF508" s="245"/>
    </row>
    <row r="509">
      <c r="A509" s="245"/>
      <c r="B509" s="245"/>
      <c r="C509" s="245"/>
      <c r="D509" s="246"/>
      <c r="E509" s="245"/>
      <c r="F509" s="245"/>
      <c r="G509" s="245"/>
      <c r="H509" s="245"/>
      <c r="I509" s="245"/>
      <c r="J509" s="245"/>
      <c r="K509" s="265"/>
      <c r="L509" s="245"/>
      <c r="M509" s="245"/>
      <c r="N509" s="245"/>
      <c r="O509" s="245"/>
      <c r="P509" s="245"/>
      <c r="Q509" s="247"/>
      <c r="R509" s="254"/>
      <c r="S509" s="245"/>
      <c r="T509" s="245"/>
      <c r="U509" s="245"/>
      <c r="V509" s="245"/>
      <c r="W509" s="245"/>
      <c r="X509" s="245"/>
      <c r="Y509" s="249"/>
      <c r="Z509" s="276"/>
      <c r="AA509" s="245"/>
      <c r="AB509" s="276"/>
      <c r="AC509" s="276"/>
      <c r="AD509" s="246"/>
      <c r="AE509" s="278"/>
      <c r="AF509" s="370"/>
      <c r="AG509" s="371"/>
      <c r="AH509" s="276"/>
      <c r="AI509" s="245"/>
      <c r="AJ509" s="287"/>
      <c r="AK509" s="278"/>
      <c r="AL509" s="246"/>
      <c r="AM509" s="245"/>
      <c r="AN509" s="245"/>
      <c r="AO509" s="274"/>
      <c r="AP509" s="245"/>
      <c r="AQ509" s="245"/>
      <c r="AR509" s="246"/>
      <c r="AS509" s="245"/>
      <c r="AT509" s="245"/>
      <c r="AU509" s="245"/>
      <c r="AV509" s="245"/>
      <c r="AW509" s="245"/>
      <c r="AX509" s="246"/>
      <c r="AY509" s="245"/>
      <c r="AZ509" s="245"/>
      <c r="BA509" s="246"/>
      <c r="BB509" s="245"/>
      <c r="BC509" s="245"/>
      <c r="BD509" s="245"/>
      <c r="BE509" s="245"/>
      <c r="BF509" s="245"/>
      <c r="BG509" s="245"/>
      <c r="BH509" s="245"/>
      <c r="BI509" s="245"/>
      <c r="BJ509" s="245"/>
      <c r="BK509" s="245"/>
      <c r="BL509" s="245"/>
      <c r="BM509" s="245"/>
      <c r="BN509" s="245"/>
      <c r="BO509" s="245"/>
      <c r="BP509" s="245"/>
      <c r="BQ509" s="245"/>
      <c r="BR509" s="245"/>
      <c r="BS509" s="245"/>
      <c r="BT509" s="246"/>
      <c r="BU509" s="245"/>
      <c r="BV509" s="245"/>
      <c r="BW509" s="245"/>
      <c r="BX509" s="245"/>
      <c r="BY509" s="245"/>
      <c r="BZ509" s="282"/>
      <c r="CA509" s="245"/>
      <c r="CB509" s="245"/>
      <c r="CC509" s="245"/>
      <c r="CD509" s="245"/>
      <c r="CE509" s="245"/>
      <c r="CF509" s="245"/>
    </row>
    <row r="510">
      <c r="A510" s="245"/>
      <c r="B510" s="245"/>
      <c r="C510" s="245"/>
      <c r="D510" s="246"/>
      <c r="E510" s="245"/>
      <c r="F510" s="245"/>
      <c r="G510" s="245"/>
      <c r="H510" s="245"/>
      <c r="I510" s="245"/>
      <c r="J510" s="245"/>
      <c r="K510" s="265"/>
      <c r="L510" s="245"/>
      <c r="M510" s="245"/>
      <c r="N510" s="245"/>
      <c r="O510" s="245"/>
      <c r="P510" s="245"/>
      <c r="Q510" s="247"/>
      <c r="R510" s="254"/>
      <c r="S510" s="245"/>
      <c r="T510" s="245"/>
      <c r="U510" s="245"/>
      <c r="V510" s="245"/>
      <c r="W510" s="245"/>
      <c r="X510" s="245"/>
      <c r="Y510" s="249"/>
      <c r="Z510" s="276"/>
      <c r="AA510" s="245"/>
      <c r="AB510" s="276"/>
      <c r="AC510" s="276"/>
      <c r="AD510" s="246"/>
      <c r="AE510" s="278"/>
      <c r="AF510" s="370"/>
      <c r="AG510" s="371"/>
      <c r="AH510" s="276"/>
      <c r="AI510" s="245"/>
      <c r="AJ510" s="287"/>
      <c r="AK510" s="278"/>
      <c r="AL510" s="246"/>
      <c r="AM510" s="245"/>
      <c r="AN510" s="245"/>
      <c r="AO510" s="274"/>
      <c r="AP510" s="245"/>
      <c r="AQ510" s="245"/>
      <c r="AR510" s="246"/>
      <c r="AS510" s="245"/>
      <c r="AT510" s="245"/>
      <c r="AU510" s="245"/>
      <c r="AV510" s="245"/>
      <c r="AW510" s="245"/>
      <c r="AX510" s="246"/>
      <c r="AY510" s="245"/>
      <c r="AZ510" s="245"/>
      <c r="BA510" s="246"/>
      <c r="BB510" s="245"/>
      <c r="BC510" s="245"/>
      <c r="BD510" s="245"/>
      <c r="BE510" s="245"/>
      <c r="BF510" s="245"/>
      <c r="BG510" s="245"/>
      <c r="BH510" s="245"/>
      <c r="BI510" s="245"/>
      <c r="BJ510" s="245"/>
      <c r="BK510" s="245"/>
      <c r="BL510" s="245"/>
      <c r="BM510" s="245"/>
      <c r="BN510" s="245"/>
      <c r="BO510" s="245"/>
      <c r="BP510" s="245"/>
      <c r="BQ510" s="245"/>
      <c r="BR510" s="245"/>
      <c r="BS510" s="245"/>
      <c r="BT510" s="246"/>
      <c r="BU510" s="245"/>
      <c r="BV510" s="245"/>
      <c r="BW510" s="245"/>
      <c r="BX510" s="245"/>
      <c r="BY510" s="245"/>
      <c r="BZ510" s="282"/>
      <c r="CA510" s="245"/>
      <c r="CB510" s="245"/>
      <c r="CC510" s="245"/>
      <c r="CD510" s="245"/>
      <c r="CE510" s="245"/>
      <c r="CF510" s="245"/>
    </row>
    <row r="511">
      <c r="A511" s="245"/>
      <c r="B511" s="245"/>
      <c r="C511" s="245"/>
      <c r="D511" s="246"/>
      <c r="E511" s="245"/>
      <c r="F511" s="245"/>
      <c r="G511" s="245"/>
      <c r="H511" s="245"/>
      <c r="I511" s="245"/>
      <c r="J511" s="245"/>
      <c r="K511" s="265"/>
      <c r="L511" s="245"/>
      <c r="M511" s="245"/>
      <c r="N511" s="245"/>
      <c r="O511" s="245"/>
      <c r="P511" s="245"/>
      <c r="Q511" s="247"/>
      <c r="R511" s="254"/>
      <c r="S511" s="245"/>
      <c r="T511" s="245"/>
      <c r="U511" s="245"/>
      <c r="V511" s="245"/>
      <c r="W511" s="245"/>
      <c r="X511" s="245"/>
      <c r="Y511" s="249"/>
      <c r="Z511" s="276"/>
      <c r="AA511" s="245"/>
      <c r="AB511" s="276"/>
      <c r="AC511" s="276"/>
      <c r="AD511" s="246"/>
      <c r="AE511" s="278"/>
      <c r="AF511" s="370"/>
      <c r="AG511" s="371"/>
      <c r="AH511" s="276"/>
      <c r="AI511" s="245"/>
      <c r="AJ511" s="287"/>
      <c r="AK511" s="278"/>
      <c r="AL511" s="246"/>
      <c r="AM511" s="245"/>
      <c r="AN511" s="245"/>
      <c r="AO511" s="274"/>
      <c r="AP511" s="245"/>
      <c r="AQ511" s="245"/>
      <c r="AR511" s="246"/>
      <c r="AS511" s="245"/>
      <c r="AT511" s="245"/>
      <c r="AU511" s="245"/>
      <c r="AV511" s="245"/>
      <c r="AW511" s="245"/>
      <c r="AX511" s="246"/>
      <c r="AY511" s="245"/>
      <c r="AZ511" s="245"/>
      <c r="BA511" s="246"/>
      <c r="BB511" s="245"/>
      <c r="BC511" s="245"/>
      <c r="BD511" s="245"/>
      <c r="BE511" s="245"/>
      <c r="BF511" s="245"/>
      <c r="BG511" s="245"/>
      <c r="BH511" s="245"/>
      <c r="BI511" s="245"/>
      <c r="BJ511" s="245"/>
      <c r="BK511" s="245"/>
      <c r="BL511" s="245"/>
      <c r="BM511" s="245"/>
      <c r="BN511" s="245"/>
      <c r="BO511" s="245"/>
      <c r="BP511" s="245"/>
      <c r="BQ511" s="245"/>
      <c r="BR511" s="245"/>
      <c r="BS511" s="245"/>
      <c r="BT511" s="246"/>
      <c r="BU511" s="245"/>
      <c r="BV511" s="245"/>
      <c r="BW511" s="245"/>
      <c r="BX511" s="245"/>
      <c r="BY511" s="245"/>
      <c r="BZ511" s="282"/>
      <c r="CA511" s="245"/>
      <c r="CB511" s="245"/>
      <c r="CC511" s="245"/>
      <c r="CD511" s="245"/>
      <c r="CE511" s="245"/>
      <c r="CF511" s="245"/>
    </row>
    <row r="512">
      <c r="A512" s="245"/>
      <c r="B512" s="245"/>
      <c r="C512" s="245"/>
      <c r="D512" s="246"/>
      <c r="E512" s="245"/>
      <c r="F512" s="245"/>
      <c r="G512" s="245"/>
      <c r="H512" s="245"/>
      <c r="I512" s="245"/>
      <c r="J512" s="245"/>
      <c r="K512" s="265"/>
      <c r="L512" s="245"/>
      <c r="M512" s="245"/>
      <c r="N512" s="245"/>
      <c r="O512" s="245"/>
      <c r="P512" s="245"/>
      <c r="Q512" s="247"/>
      <c r="R512" s="254"/>
      <c r="S512" s="245"/>
      <c r="T512" s="245"/>
      <c r="U512" s="245"/>
      <c r="V512" s="245"/>
      <c r="W512" s="245"/>
      <c r="X512" s="245"/>
      <c r="Y512" s="249"/>
      <c r="Z512" s="276"/>
      <c r="AA512" s="245"/>
      <c r="AB512" s="276"/>
      <c r="AC512" s="276"/>
      <c r="AD512" s="246"/>
      <c r="AE512" s="278"/>
      <c r="AF512" s="370"/>
      <c r="AG512" s="371"/>
      <c r="AH512" s="276"/>
      <c r="AI512" s="245"/>
      <c r="AJ512" s="287"/>
      <c r="AK512" s="278"/>
      <c r="AL512" s="246"/>
      <c r="AM512" s="245"/>
      <c r="AN512" s="245"/>
      <c r="AO512" s="274"/>
      <c r="AP512" s="245"/>
      <c r="AQ512" s="245"/>
      <c r="AR512" s="246"/>
      <c r="AS512" s="245"/>
      <c r="AT512" s="245"/>
      <c r="AU512" s="245"/>
      <c r="AV512" s="245"/>
      <c r="AW512" s="245"/>
      <c r="AX512" s="246"/>
      <c r="AY512" s="245"/>
      <c r="AZ512" s="245"/>
      <c r="BA512" s="246"/>
      <c r="BB512" s="245"/>
      <c r="BC512" s="245"/>
      <c r="BD512" s="245"/>
      <c r="BE512" s="245"/>
      <c r="BF512" s="245"/>
      <c r="BG512" s="245"/>
      <c r="BH512" s="245"/>
      <c r="BI512" s="245"/>
      <c r="BJ512" s="245"/>
      <c r="BK512" s="245"/>
      <c r="BL512" s="245"/>
      <c r="BM512" s="245"/>
      <c r="BN512" s="245"/>
      <c r="BO512" s="245"/>
      <c r="BP512" s="245"/>
      <c r="BQ512" s="245"/>
      <c r="BR512" s="245"/>
      <c r="BS512" s="245"/>
      <c r="BT512" s="246"/>
      <c r="BU512" s="245"/>
      <c r="BV512" s="245"/>
      <c r="BW512" s="245"/>
      <c r="BX512" s="245"/>
      <c r="BY512" s="245"/>
      <c r="BZ512" s="282"/>
      <c r="CA512" s="245"/>
      <c r="CB512" s="245"/>
      <c r="CC512" s="245"/>
      <c r="CD512" s="245"/>
      <c r="CE512" s="245"/>
      <c r="CF512" s="245"/>
    </row>
    <row r="513">
      <c r="A513" s="245"/>
      <c r="B513" s="245"/>
      <c r="C513" s="245"/>
      <c r="D513" s="246"/>
      <c r="E513" s="245"/>
      <c r="F513" s="245"/>
      <c r="G513" s="245"/>
      <c r="H513" s="245"/>
      <c r="I513" s="245"/>
      <c r="J513" s="245"/>
      <c r="K513" s="265"/>
      <c r="L513" s="245"/>
      <c r="M513" s="245"/>
      <c r="N513" s="245"/>
      <c r="O513" s="245"/>
      <c r="P513" s="245"/>
      <c r="Q513" s="247"/>
      <c r="R513" s="254"/>
      <c r="S513" s="245"/>
      <c r="T513" s="245"/>
      <c r="U513" s="245"/>
      <c r="V513" s="245"/>
      <c r="W513" s="245"/>
      <c r="X513" s="245"/>
      <c r="Y513" s="249"/>
      <c r="Z513" s="276"/>
      <c r="AA513" s="245"/>
      <c r="AB513" s="276"/>
      <c r="AC513" s="276"/>
      <c r="AD513" s="246"/>
      <c r="AE513" s="278"/>
      <c r="AF513" s="370"/>
      <c r="AG513" s="371"/>
      <c r="AH513" s="276"/>
      <c r="AI513" s="245"/>
      <c r="AJ513" s="287"/>
      <c r="AK513" s="278"/>
      <c r="AL513" s="246"/>
      <c r="AM513" s="245"/>
      <c r="AN513" s="245"/>
      <c r="AO513" s="274"/>
      <c r="AP513" s="245"/>
      <c r="AQ513" s="245"/>
      <c r="AR513" s="246"/>
      <c r="AS513" s="245"/>
      <c r="AT513" s="245"/>
      <c r="AU513" s="245"/>
      <c r="AV513" s="245"/>
      <c r="AW513" s="245"/>
      <c r="AX513" s="246"/>
      <c r="AY513" s="245"/>
      <c r="AZ513" s="245"/>
      <c r="BA513" s="246"/>
      <c r="BB513" s="245"/>
      <c r="BC513" s="245"/>
      <c r="BD513" s="245"/>
      <c r="BE513" s="245"/>
      <c r="BF513" s="245"/>
      <c r="BG513" s="245"/>
      <c r="BH513" s="245"/>
      <c r="BI513" s="245"/>
      <c r="BJ513" s="245"/>
      <c r="BK513" s="245"/>
      <c r="BL513" s="245"/>
      <c r="BM513" s="245"/>
      <c r="BN513" s="245"/>
      <c r="BO513" s="245"/>
      <c r="BP513" s="245"/>
      <c r="BQ513" s="245"/>
      <c r="BR513" s="245"/>
      <c r="BS513" s="245"/>
      <c r="BT513" s="246"/>
      <c r="BU513" s="245"/>
      <c r="BV513" s="245"/>
      <c r="BW513" s="245"/>
      <c r="BX513" s="245"/>
      <c r="BY513" s="245"/>
      <c r="BZ513" s="282"/>
      <c r="CA513" s="245"/>
      <c r="CB513" s="245"/>
      <c r="CC513" s="245"/>
      <c r="CD513" s="245"/>
      <c r="CE513" s="245"/>
      <c r="CF513" s="245"/>
    </row>
    <row r="514">
      <c r="A514" s="245"/>
      <c r="B514" s="245"/>
      <c r="C514" s="245"/>
      <c r="D514" s="246"/>
      <c r="E514" s="245"/>
      <c r="F514" s="245"/>
      <c r="G514" s="245"/>
      <c r="H514" s="245"/>
      <c r="I514" s="245"/>
      <c r="J514" s="245"/>
      <c r="K514" s="265"/>
      <c r="L514" s="245"/>
      <c r="M514" s="245"/>
      <c r="N514" s="245"/>
      <c r="O514" s="245"/>
      <c r="P514" s="245"/>
      <c r="Q514" s="247"/>
      <c r="R514" s="254"/>
      <c r="S514" s="245"/>
      <c r="T514" s="245"/>
      <c r="U514" s="245"/>
      <c r="V514" s="245"/>
      <c r="W514" s="245"/>
      <c r="X514" s="245"/>
      <c r="Y514" s="249"/>
      <c r="Z514" s="276"/>
      <c r="AA514" s="245"/>
      <c r="AB514" s="276"/>
      <c r="AC514" s="276"/>
      <c r="AD514" s="246"/>
      <c r="AE514" s="278"/>
      <c r="AF514" s="370"/>
      <c r="AG514" s="371"/>
      <c r="AH514" s="276"/>
      <c r="AI514" s="245"/>
      <c r="AJ514" s="287"/>
      <c r="AK514" s="278"/>
      <c r="AL514" s="246"/>
      <c r="AM514" s="245"/>
      <c r="AN514" s="245"/>
      <c r="AO514" s="274"/>
      <c r="AP514" s="245"/>
      <c r="AQ514" s="245"/>
      <c r="AR514" s="246"/>
      <c r="AS514" s="245"/>
      <c r="AT514" s="245"/>
      <c r="AU514" s="245"/>
      <c r="AV514" s="245"/>
      <c r="AW514" s="245"/>
      <c r="AX514" s="246"/>
      <c r="AY514" s="245"/>
      <c r="AZ514" s="245"/>
      <c r="BA514" s="246"/>
      <c r="BB514" s="245"/>
      <c r="BC514" s="245"/>
      <c r="BD514" s="245"/>
      <c r="BE514" s="245"/>
      <c r="BF514" s="245"/>
      <c r="BG514" s="245"/>
      <c r="BH514" s="245"/>
      <c r="BI514" s="245"/>
      <c r="BJ514" s="245"/>
      <c r="BK514" s="245"/>
      <c r="BL514" s="245"/>
      <c r="BM514" s="245"/>
      <c r="BN514" s="245"/>
      <c r="BO514" s="245"/>
      <c r="BP514" s="245"/>
      <c r="BQ514" s="245"/>
      <c r="BR514" s="245"/>
      <c r="BS514" s="245"/>
      <c r="BT514" s="246"/>
      <c r="BU514" s="245"/>
      <c r="BV514" s="245"/>
      <c r="BW514" s="245"/>
      <c r="BX514" s="245"/>
      <c r="BY514" s="245"/>
      <c r="BZ514" s="282"/>
      <c r="CA514" s="245"/>
      <c r="CB514" s="245"/>
      <c r="CC514" s="245"/>
      <c r="CD514" s="245"/>
      <c r="CE514" s="245"/>
      <c r="CF514" s="245"/>
    </row>
    <row r="515">
      <c r="A515" s="245"/>
      <c r="B515" s="245"/>
      <c r="C515" s="245"/>
      <c r="D515" s="246"/>
      <c r="E515" s="245"/>
      <c r="F515" s="245"/>
      <c r="G515" s="245"/>
      <c r="H515" s="245"/>
      <c r="I515" s="245"/>
      <c r="J515" s="245"/>
      <c r="K515" s="265"/>
      <c r="L515" s="245"/>
      <c r="M515" s="245"/>
      <c r="N515" s="245"/>
      <c r="O515" s="245"/>
      <c r="P515" s="245"/>
      <c r="Q515" s="247"/>
      <c r="R515" s="254"/>
      <c r="S515" s="245"/>
      <c r="T515" s="245"/>
      <c r="U515" s="245"/>
      <c r="V515" s="245"/>
      <c r="W515" s="245"/>
      <c r="X515" s="245"/>
      <c r="Y515" s="249"/>
      <c r="Z515" s="276"/>
      <c r="AA515" s="245"/>
      <c r="AB515" s="276"/>
      <c r="AC515" s="276"/>
      <c r="AD515" s="246"/>
      <c r="AE515" s="278"/>
      <c r="AF515" s="370"/>
      <c r="AG515" s="371"/>
      <c r="AH515" s="276"/>
      <c r="AI515" s="245"/>
      <c r="AJ515" s="287"/>
      <c r="AK515" s="278"/>
      <c r="AL515" s="246"/>
      <c r="AM515" s="245"/>
      <c r="AN515" s="245"/>
      <c r="AO515" s="274"/>
      <c r="AP515" s="245"/>
      <c r="AQ515" s="245"/>
      <c r="AR515" s="246"/>
      <c r="AS515" s="245"/>
      <c r="AT515" s="245"/>
      <c r="AU515" s="245"/>
      <c r="AV515" s="245"/>
      <c r="AW515" s="245"/>
      <c r="AX515" s="246"/>
      <c r="AY515" s="245"/>
      <c r="AZ515" s="245"/>
      <c r="BA515" s="246"/>
      <c r="BB515" s="245"/>
      <c r="BC515" s="245"/>
      <c r="BD515" s="245"/>
      <c r="BE515" s="245"/>
      <c r="BF515" s="245"/>
      <c r="BG515" s="245"/>
      <c r="BH515" s="245"/>
      <c r="BI515" s="245"/>
      <c r="BJ515" s="245"/>
      <c r="BK515" s="245"/>
      <c r="BL515" s="245"/>
      <c r="BM515" s="245"/>
      <c r="BN515" s="245"/>
      <c r="BO515" s="245"/>
      <c r="BP515" s="245"/>
      <c r="BQ515" s="245"/>
      <c r="BR515" s="245"/>
      <c r="BS515" s="245"/>
      <c r="BT515" s="246"/>
      <c r="BU515" s="245"/>
      <c r="BV515" s="245"/>
      <c r="BW515" s="245"/>
      <c r="BX515" s="245"/>
      <c r="BY515" s="245"/>
      <c r="BZ515" s="282"/>
      <c r="CA515" s="245"/>
      <c r="CB515" s="245"/>
      <c r="CC515" s="245"/>
      <c r="CD515" s="245"/>
      <c r="CE515" s="245"/>
      <c r="CF515" s="245"/>
    </row>
    <row r="516">
      <c r="A516" s="245"/>
      <c r="B516" s="245"/>
      <c r="C516" s="245"/>
      <c r="D516" s="246"/>
      <c r="E516" s="245"/>
      <c r="F516" s="245"/>
      <c r="G516" s="245"/>
      <c r="H516" s="245"/>
      <c r="I516" s="245"/>
      <c r="J516" s="245"/>
      <c r="K516" s="265"/>
      <c r="L516" s="245"/>
      <c r="M516" s="245"/>
      <c r="N516" s="245"/>
      <c r="O516" s="245"/>
      <c r="P516" s="245"/>
      <c r="Q516" s="247"/>
      <c r="R516" s="254"/>
      <c r="S516" s="245"/>
      <c r="T516" s="245"/>
      <c r="U516" s="245"/>
      <c r="V516" s="245"/>
      <c r="W516" s="245"/>
      <c r="X516" s="245"/>
      <c r="Y516" s="249"/>
      <c r="Z516" s="276"/>
      <c r="AA516" s="245"/>
      <c r="AB516" s="276"/>
      <c r="AC516" s="276"/>
      <c r="AD516" s="246"/>
      <c r="AE516" s="278"/>
      <c r="AF516" s="370"/>
      <c r="AG516" s="371"/>
      <c r="AH516" s="276"/>
      <c r="AI516" s="245"/>
      <c r="AJ516" s="287"/>
      <c r="AK516" s="278"/>
      <c r="AL516" s="246"/>
      <c r="AM516" s="245"/>
      <c r="AN516" s="245"/>
      <c r="AO516" s="274"/>
      <c r="AP516" s="245"/>
      <c r="AQ516" s="245"/>
      <c r="AR516" s="246"/>
      <c r="AS516" s="245"/>
      <c r="AT516" s="245"/>
      <c r="AU516" s="245"/>
      <c r="AV516" s="245"/>
      <c r="AW516" s="245"/>
      <c r="AX516" s="246"/>
      <c r="AY516" s="245"/>
      <c r="AZ516" s="245"/>
      <c r="BA516" s="246"/>
      <c r="BB516" s="245"/>
      <c r="BC516" s="245"/>
      <c r="BD516" s="245"/>
      <c r="BE516" s="245"/>
      <c r="BF516" s="245"/>
      <c r="BG516" s="245"/>
      <c r="BH516" s="245"/>
      <c r="BI516" s="245"/>
      <c r="BJ516" s="245"/>
      <c r="BK516" s="245"/>
      <c r="BL516" s="245"/>
      <c r="BM516" s="245"/>
      <c r="BN516" s="245"/>
      <c r="BO516" s="245"/>
      <c r="BP516" s="245"/>
      <c r="BQ516" s="245"/>
      <c r="BR516" s="245"/>
      <c r="BS516" s="245"/>
      <c r="BT516" s="246"/>
      <c r="BU516" s="245"/>
      <c r="BV516" s="245"/>
      <c r="BW516" s="245"/>
      <c r="BX516" s="245"/>
      <c r="BY516" s="245"/>
      <c r="BZ516" s="282"/>
      <c r="CA516" s="245"/>
      <c r="CB516" s="245"/>
      <c r="CC516" s="245"/>
      <c r="CD516" s="245"/>
      <c r="CE516" s="245"/>
      <c r="CF516" s="245"/>
    </row>
    <row r="517">
      <c r="A517" s="245"/>
      <c r="B517" s="245"/>
      <c r="C517" s="245"/>
      <c r="D517" s="246"/>
      <c r="E517" s="245"/>
      <c r="F517" s="245"/>
      <c r="G517" s="245"/>
      <c r="H517" s="245"/>
      <c r="I517" s="245"/>
      <c r="J517" s="245"/>
      <c r="K517" s="265"/>
      <c r="L517" s="245"/>
      <c r="M517" s="245"/>
      <c r="N517" s="245"/>
      <c r="O517" s="245"/>
      <c r="P517" s="245"/>
      <c r="Q517" s="247"/>
      <c r="R517" s="254"/>
      <c r="S517" s="245"/>
      <c r="T517" s="245"/>
      <c r="U517" s="245"/>
      <c r="V517" s="245"/>
      <c r="W517" s="245"/>
      <c r="X517" s="245"/>
      <c r="Y517" s="249"/>
      <c r="Z517" s="276"/>
      <c r="AA517" s="245"/>
      <c r="AB517" s="276"/>
      <c r="AC517" s="276"/>
      <c r="AD517" s="246"/>
      <c r="AE517" s="278"/>
      <c r="AF517" s="370"/>
      <c r="AG517" s="371"/>
      <c r="AH517" s="276"/>
      <c r="AI517" s="245"/>
      <c r="AJ517" s="287"/>
      <c r="AK517" s="278"/>
      <c r="AL517" s="246"/>
      <c r="AM517" s="245"/>
      <c r="AN517" s="245"/>
      <c r="AO517" s="274"/>
      <c r="AP517" s="245"/>
      <c r="AQ517" s="245"/>
      <c r="AR517" s="246"/>
      <c r="AS517" s="245"/>
      <c r="AT517" s="245"/>
      <c r="AU517" s="245"/>
      <c r="AV517" s="245"/>
      <c r="AW517" s="245"/>
      <c r="AX517" s="246"/>
      <c r="AY517" s="245"/>
      <c r="AZ517" s="245"/>
      <c r="BA517" s="246"/>
      <c r="BB517" s="245"/>
      <c r="BC517" s="245"/>
      <c r="BD517" s="245"/>
      <c r="BE517" s="245"/>
      <c r="BF517" s="245"/>
      <c r="BG517" s="245"/>
      <c r="BH517" s="245"/>
      <c r="BI517" s="245"/>
      <c r="BJ517" s="245"/>
      <c r="BK517" s="245"/>
      <c r="BL517" s="245"/>
      <c r="BM517" s="245"/>
      <c r="BN517" s="245"/>
      <c r="BO517" s="245"/>
      <c r="BP517" s="245"/>
      <c r="BQ517" s="245"/>
      <c r="BR517" s="245"/>
      <c r="BS517" s="245"/>
      <c r="BT517" s="246"/>
      <c r="BU517" s="245"/>
      <c r="BV517" s="245"/>
      <c r="BW517" s="245"/>
      <c r="BX517" s="245"/>
      <c r="BY517" s="245"/>
      <c r="BZ517" s="282"/>
      <c r="CA517" s="245"/>
      <c r="CB517" s="245"/>
      <c r="CC517" s="245"/>
      <c r="CD517" s="245"/>
      <c r="CE517" s="245"/>
      <c r="CF517" s="245"/>
    </row>
    <row r="518">
      <c r="A518" s="245"/>
      <c r="B518" s="245"/>
      <c r="C518" s="245"/>
      <c r="D518" s="246"/>
      <c r="E518" s="245"/>
      <c r="F518" s="245"/>
      <c r="G518" s="245"/>
      <c r="H518" s="245"/>
      <c r="I518" s="245"/>
      <c r="J518" s="245"/>
      <c r="K518" s="265"/>
      <c r="L518" s="245"/>
      <c r="M518" s="245"/>
      <c r="N518" s="245"/>
      <c r="O518" s="245"/>
      <c r="P518" s="245"/>
      <c r="Q518" s="247"/>
      <c r="R518" s="254"/>
      <c r="S518" s="245"/>
      <c r="T518" s="245"/>
      <c r="U518" s="245"/>
      <c r="V518" s="245"/>
      <c r="W518" s="245"/>
      <c r="X518" s="245"/>
      <c r="Y518" s="249"/>
      <c r="Z518" s="276"/>
      <c r="AA518" s="245"/>
      <c r="AB518" s="276"/>
      <c r="AC518" s="276"/>
      <c r="AD518" s="246"/>
      <c r="AE518" s="278"/>
      <c r="AF518" s="370"/>
      <c r="AG518" s="371"/>
      <c r="AH518" s="276"/>
      <c r="AI518" s="245"/>
      <c r="AJ518" s="287"/>
      <c r="AK518" s="278"/>
      <c r="AL518" s="246"/>
      <c r="AM518" s="245"/>
      <c r="AN518" s="245"/>
      <c r="AO518" s="274"/>
      <c r="AP518" s="245"/>
      <c r="AQ518" s="245"/>
      <c r="AR518" s="246"/>
      <c r="AS518" s="245"/>
      <c r="AT518" s="245"/>
      <c r="AU518" s="245"/>
      <c r="AV518" s="245"/>
      <c r="AW518" s="245"/>
      <c r="AX518" s="246"/>
      <c r="AY518" s="245"/>
      <c r="AZ518" s="245"/>
      <c r="BA518" s="246"/>
      <c r="BB518" s="245"/>
      <c r="BC518" s="245"/>
      <c r="BD518" s="245"/>
      <c r="BE518" s="245"/>
      <c r="BF518" s="245"/>
      <c r="BG518" s="245"/>
      <c r="BH518" s="245"/>
      <c r="BI518" s="245"/>
      <c r="BJ518" s="245"/>
      <c r="BK518" s="245"/>
      <c r="BL518" s="245"/>
      <c r="BM518" s="245"/>
      <c r="BN518" s="245"/>
      <c r="BO518" s="245"/>
      <c r="BP518" s="245"/>
      <c r="BQ518" s="245"/>
      <c r="BR518" s="245"/>
      <c r="BS518" s="245"/>
      <c r="BT518" s="246"/>
      <c r="BU518" s="245"/>
      <c r="BV518" s="245"/>
      <c r="BW518" s="245"/>
      <c r="BX518" s="245"/>
      <c r="BY518" s="245"/>
      <c r="BZ518" s="282"/>
      <c r="CA518" s="245"/>
      <c r="CB518" s="245"/>
      <c r="CC518" s="245"/>
      <c r="CD518" s="245"/>
      <c r="CE518" s="245"/>
      <c r="CF518" s="245"/>
    </row>
    <row r="519">
      <c r="A519" s="245"/>
      <c r="B519" s="245"/>
      <c r="C519" s="245"/>
      <c r="D519" s="246"/>
      <c r="E519" s="245"/>
      <c r="F519" s="245"/>
      <c r="G519" s="245"/>
      <c r="H519" s="245"/>
      <c r="I519" s="245"/>
      <c r="J519" s="245"/>
      <c r="K519" s="265"/>
      <c r="L519" s="245"/>
      <c r="M519" s="245"/>
      <c r="N519" s="245"/>
      <c r="O519" s="245"/>
      <c r="P519" s="245"/>
      <c r="Q519" s="247"/>
      <c r="R519" s="254"/>
      <c r="S519" s="245"/>
      <c r="T519" s="245"/>
      <c r="U519" s="245"/>
      <c r="V519" s="245"/>
      <c r="W519" s="245"/>
      <c r="X519" s="245"/>
      <c r="Y519" s="249"/>
      <c r="Z519" s="276"/>
      <c r="AA519" s="245"/>
      <c r="AB519" s="276"/>
      <c r="AC519" s="276"/>
      <c r="AD519" s="246"/>
      <c r="AE519" s="278"/>
      <c r="AF519" s="370"/>
      <c r="AG519" s="371"/>
      <c r="AH519" s="276"/>
      <c r="AI519" s="245"/>
      <c r="AJ519" s="287"/>
      <c r="AK519" s="278"/>
      <c r="AL519" s="246"/>
      <c r="AM519" s="245"/>
      <c r="AN519" s="245"/>
      <c r="AO519" s="274"/>
      <c r="AP519" s="245"/>
      <c r="AQ519" s="245"/>
      <c r="AR519" s="246"/>
      <c r="AS519" s="245"/>
      <c r="AT519" s="245"/>
      <c r="AU519" s="245"/>
      <c r="AV519" s="245"/>
      <c r="AW519" s="245"/>
      <c r="AX519" s="246"/>
      <c r="AY519" s="245"/>
      <c r="AZ519" s="245"/>
      <c r="BA519" s="246"/>
      <c r="BB519" s="245"/>
      <c r="BC519" s="245"/>
      <c r="BD519" s="245"/>
      <c r="BE519" s="245"/>
      <c r="BF519" s="245"/>
      <c r="BG519" s="245"/>
      <c r="BH519" s="245"/>
      <c r="BI519" s="245"/>
      <c r="BJ519" s="245"/>
      <c r="BK519" s="245"/>
      <c r="BL519" s="245"/>
      <c r="BM519" s="245"/>
      <c r="BN519" s="245"/>
      <c r="BO519" s="245"/>
      <c r="BP519" s="245"/>
      <c r="BQ519" s="245"/>
      <c r="BR519" s="245"/>
      <c r="BS519" s="245"/>
      <c r="BT519" s="246"/>
      <c r="BU519" s="245"/>
      <c r="BV519" s="245"/>
      <c r="BW519" s="245"/>
      <c r="BX519" s="245"/>
      <c r="BY519" s="245"/>
      <c r="BZ519" s="282"/>
      <c r="CA519" s="245"/>
      <c r="CB519" s="245"/>
      <c r="CC519" s="245"/>
      <c r="CD519" s="245"/>
      <c r="CE519" s="245"/>
      <c r="CF519" s="245"/>
    </row>
    <row r="520">
      <c r="A520" s="245"/>
      <c r="B520" s="245"/>
      <c r="C520" s="245"/>
      <c r="D520" s="246"/>
      <c r="E520" s="245"/>
      <c r="F520" s="245"/>
      <c r="G520" s="245"/>
      <c r="H520" s="245"/>
      <c r="I520" s="245"/>
      <c r="J520" s="245"/>
      <c r="K520" s="265"/>
      <c r="L520" s="245"/>
      <c r="M520" s="245"/>
      <c r="N520" s="245"/>
      <c r="O520" s="245"/>
      <c r="P520" s="245"/>
      <c r="Q520" s="247"/>
      <c r="R520" s="254"/>
      <c r="S520" s="245"/>
      <c r="T520" s="245"/>
      <c r="U520" s="245"/>
      <c r="V520" s="245"/>
      <c r="W520" s="245"/>
      <c r="X520" s="245"/>
      <c r="Y520" s="249"/>
      <c r="Z520" s="276"/>
      <c r="AA520" s="245"/>
      <c r="AB520" s="276"/>
      <c r="AC520" s="276"/>
      <c r="AD520" s="246"/>
      <c r="AE520" s="278"/>
      <c r="AF520" s="370"/>
      <c r="AG520" s="371"/>
      <c r="AH520" s="276"/>
      <c r="AI520" s="245"/>
      <c r="AJ520" s="287"/>
      <c r="AK520" s="278"/>
      <c r="AL520" s="246"/>
      <c r="AM520" s="245"/>
      <c r="AN520" s="245"/>
      <c r="AO520" s="274"/>
      <c r="AP520" s="245"/>
      <c r="AQ520" s="245"/>
      <c r="AR520" s="246"/>
      <c r="AS520" s="245"/>
      <c r="AT520" s="245"/>
      <c r="AU520" s="245"/>
      <c r="AV520" s="245"/>
      <c r="AW520" s="245"/>
      <c r="AX520" s="246"/>
      <c r="AY520" s="245"/>
      <c r="AZ520" s="245"/>
      <c r="BA520" s="246"/>
      <c r="BB520" s="245"/>
      <c r="BC520" s="245"/>
      <c r="BD520" s="245"/>
      <c r="BE520" s="245"/>
      <c r="BF520" s="245"/>
      <c r="BG520" s="245"/>
      <c r="BH520" s="245"/>
      <c r="BI520" s="245"/>
      <c r="BJ520" s="245"/>
      <c r="BK520" s="245"/>
      <c r="BL520" s="245"/>
      <c r="BM520" s="245"/>
      <c r="BN520" s="245"/>
      <c r="BO520" s="245"/>
      <c r="BP520" s="245"/>
      <c r="BQ520" s="245"/>
      <c r="BR520" s="245"/>
      <c r="BS520" s="245"/>
      <c r="BT520" s="246"/>
      <c r="BU520" s="245"/>
      <c r="BV520" s="245"/>
      <c r="BW520" s="245"/>
      <c r="BX520" s="245"/>
      <c r="BY520" s="245"/>
      <c r="BZ520" s="282"/>
      <c r="CA520" s="245"/>
      <c r="CB520" s="245"/>
      <c r="CC520" s="245"/>
      <c r="CD520" s="245"/>
      <c r="CE520" s="245"/>
      <c r="CF520" s="245"/>
    </row>
    <row r="521">
      <c r="A521" s="245"/>
      <c r="B521" s="245"/>
      <c r="C521" s="245"/>
      <c r="D521" s="246"/>
      <c r="E521" s="245"/>
      <c r="F521" s="245"/>
      <c r="G521" s="245"/>
      <c r="H521" s="245"/>
      <c r="I521" s="245"/>
      <c r="J521" s="245"/>
      <c r="K521" s="265"/>
      <c r="L521" s="245"/>
      <c r="M521" s="245"/>
      <c r="N521" s="245"/>
      <c r="O521" s="245"/>
      <c r="P521" s="245"/>
      <c r="Q521" s="247"/>
      <c r="R521" s="254"/>
      <c r="S521" s="245"/>
      <c r="T521" s="245"/>
      <c r="U521" s="245"/>
      <c r="V521" s="245"/>
      <c r="W521" s="245"/>
      <c r="X521" s="245"/>
      <c r="Y521" s="249"/>
      <c r="Z521" s="276"/>
      <c r="AA521" s="245"/>
      <c r="AB521" s="276"/>
      <c r="AC521" s="276"/>
      <c r="AD521" s="246"/>
      <c r="AE521" s="278"/>
      <c r="AF521" s="370"/>
      <c r="AG521" s="371"/>
      <c r="AH521" s="276"/>
      <c r="AI521" s="245"/>
      <c r="AJ521" s="287"/>
      <c r="AK521" s="278"/>
      <c r="AL521" s="246"/>
      <c r="AM521" s="245"/>
      <c r="AN521" s="245"/>
      <c r="AO521" s="274"/>
      <c r="AP521" s="245"/>
      <c r="AQ521" s="245"/>
      <c r="AR521" s="246"/>
      <c r="AS521" s="245"/>
      <c r="AT521" s="245"/>
      <c r="AU521" s="245"/>
      <c r="AV521" s="245"/>
      <c r="AW521" s="245"/>
      <c r="AX521" s="246"/>
      <c r="AY521" s="245"/>
      <c r="AZ521" s="245"/>
      <c r="BA521" s="246"/>
      <c r="BB521" s="245"/>
      <c r="BC521" s="245"/>
      <c r="BD521" s="245"/>
      <c r="BE521" s="245"/>
      <c r="BF521" s="245"/>
      <c r="BG521" s="245"/>
      <c r="BH521" s="245"/>
      <c r="BI521" s="245"/>
      <c r="BJ521" s="245"/>
      <c r="BK521" s="245"/>
      <c r="BL521" s="245"/>
      <c r="BM521" s="245"/>
      <c r="BN521" s="245"/>
      <c r="BO521" s="245"/>
      <c r="BP521" s="245"/>
      <c r="BQ521" s="245"/>
      <c r="BR521" s="245"/>
      <c r="BS521" s="245"/>
      <c r="BT521" s="246"/>
      <c r="BU521" s="245"/>
      <c r="BV521" s="245"/>
      <c r="BW521" s="245"/>
      <c r="BX521" s="245"/>
      <c r="BY521" s="245"/>
      <c r="BZ521" s="282"/>
      <c r="CA521" s="245"/>
      <c r="CB521" s="245"/>
      <c r="CC521" s="245"/>
      <c r="CD521" s="245"/>
      <c r="CE521" s="245"/>
      <c r="CF521" s="245"/>
    </row>
    <row r="522">
      <c r="A522" s="245"/>
      <c r="B522" s="245"/>
      <c r="C522" s="245"/>
      <c r="D522" s="246"/>
      <c r="E522" s="245"/>
      <c r="F522" s="245"/>
      <c r="G522" s="245"/>
      <c r="H522" s="245"/>
      <c r="I522" s="245"/>
      <c r="J522" s="245"/>
      <c r="K522" s="265"/>
      <c r="L522" s="245"/>
      <c r="M522" s="245"/>
      <c r="N522" s="245"/>
      <c r="O522" s="245"/>
      <c r="P522" s="245"/>
      <c r="Q522" s="247"/>
      <c r="R522" s="254"/>
      <c r="S522" s="245"/>
      <c r="T522" s="245"/>
      <c r="U522" s="245"/>
      <c r="V522" s="245"/>
      <c r="W522" s="245"/>
      <c r="X522" s="245"/>
      <c r="Y522" s="249"/>
      <c r="Z522" s="276"/>
      <c r="AA522" s="245"/>
      <c r="AB522" s="276"/>
      <c r="AC522" s="276"/>
      <c r="AD522" s="246"/>
      <c r="AE522" s="278"/>
      <c r="AF522" s="370"/>
      <c r="AG522" s="371"/>
      <c r="AH522" s="276"/>
      <c r="AI522" s="245"/>
      <c r="AJ522" s="287"/>
      <c r="AK522" s="278"/>
      <c r="AL522" s="246"/>
      <c r="AM522" s="245"/>
      <c r="AN522" s="245"/>
      <c r="AO522" s="274"/>
      <c r="AP522" s="245"/>
      <c r="AQ522" s="245"/>
      <c r="AR522" s="246"/>
      <c r="AS522" s="245"/>
      <c r="AT522" s="245"/>
      <c r="AU522" s="245"/>
      <c r="AV522" s="245"/>
      <c r="AW522" s="245"/>
      <c r="AX522" s="246"/>
      <c r="AY522" s="245"/>
      <c r="AZ522" s="245"/>
      <c r="BA522" s="246"/>
      <c r="BB522" s="245"/>
      <c r="BC522" s="245"/>
      <c r="BD522" s="245"/>
      <c r="BE522" s="245"/>
      <c r="BF522" s="245"/>
      <c r="BG522" s="245"/>
      <c r="BH522" s="245"/>
      <c r="BI522" s="245"/>
      <c r="BJ522" s="245"/>
      <c r="BK522" s="245"/>
      <c r="BL522" s="245"/>
      <c r="BM522" s="245"/>
      <c r="BN522" s="245"/>
      <c r="BO522" s="245"/>
      <c r="BP522" s="245"/>
      <c r="BQ522" s="245"/>
      <c r="BR522" s="245"/>
      <c r="BS522" s="245"/>
      <c r="BT522" s="246"/>
      <c r="BU522" s="245"/>
      <c r="BV522" s="245"/>
      <c r="BW522" s="245"/>
      <c r="BX522" s="245"/>
      <c r="BY522" s="245"/>
      <c r="BZ522" s="282"/>
      <c r="CA522" s="245"/>
      <c r="CB522" s="245"/>
      <c r="CC522" s="245"/>
      <c r="CD522" s="245"/>
      <c r="CE522" s="245"/>
      <c r="CF522" s="245"/>
    </row>
    <row r="523">
      <c r="A523" s="245"/>
      <c r="B523" s="245"/>
      <c r="C523" s="245"/>
      <c r="D523" s="246"/>
      <c r="E523" s="245"/>
      <c r="F523" s="245"/>
      <c r="G523" s="245"/>
      <c r="H523" s="245"/>
      <c r="I523" s="245"/>
      <c r="J523" s="245"/>
      <c r="K523" s="265"/>
      <c r="L523" s="245"/>
      <c r="M523" s="245"/>
      <c r="N523" s="245"/>
      <c r="O523" s="245"/>
      <c r="P523" s="245"/>
      <c r="Q523" s="247"/>
      <c r="R523" s="254"/>
      <c r="S523" s="245"/>
      <c r="T523" s="245"/>
      <c r="U523" s="245"/>
      <c r="V523" s="245"/>
      <c r="W523" s="245"/>
      <c r="X523" s="245"/>
      <c r="Y523" s="249"/>
      <c r="Z523" s="276"/>
      <c r="AA523" s="245"/>
      <c r="AB523" s="276"/>
      <c r="AC523" s="276"/>
      <c r="AD523" s="246"/>
      <c r="AE523" s="278"/>
      <c r="AF523" s="370"/>
      <c r="AG523" s="371"/>
      <c r="AH523" s="276"/>
      <c r="AI523" s="245"/>
      <c r="AJ523" s="287"/>
      <c r="AK523" s="278"/>
      <c r="AL523" s="246"/>
      <c r="AM523" s="245"/>
      <c r="AN523" s="245"/>
      <c r="AO523" s="274"/>
      <c r="AP523" s="245"/>
      <c r="AQ523" s="245"/>
      <c r="AR523" s="246"/>
      <c r="AS523" s="245"/>
      <c r="AT523" s="245"/>
      <c r="AU523" s="245"/>
      <c r="AV523" s="245"/>
      <c r="AW523" s="245"/>
      <c r="AX523" s="246"/>
      <c r="AY523" s="245"/>
      <c r="AZ523" s="245"/>
      <c r="BA523" s="246"/>
      <c r="BB523" s="245"/>
      <c r="BC523" s="245"/>
      <c r="BD523" s="245"/>
      <c r="BE523" s="245"/>
      <c r="BF523" s="245"/>
      <c r="BG523" s="245"/>
      <c r="BH523" s="245"/>
      <c r="BI523" s="245"/>
      <c r="BJ523" s="245"/>
      <c r="BK523" s="245"/>
      <c r="BL523" s="245"/>
      <c r="BM523" s="245"/>
      <c r="BN523" s="245"/>
      <c r="BO523" s="245"/>
      <c r="BP523" s="245"/>
      <c r="BQ523" s="245"/>
      <c r="BR523" s="245"/>
      <c r="BS523" s="245"/>
      <c r="BT523" s="246"/>
      <c r="BU523" s="245"/>
      <c r="BV523" s="245"/>
      <c r="BW523" s="245"/>
      <c r="BX523" s="245"/>
      <c r="BY523" s="245"/>
      <c r="BZ523" s="282"/>
      <c r="CA523" s="245"/>
      <c r="CB523" s="245"/>
      <c r="CC523" s="245"/>
      <c r="CD523" s="245"/>
      <c r="CE523" s="245"/>
      <c r="CF523" s="245"/>
    </row>
    <row r="524">
      <c r="A524" s="245"/>
      <c r="B524" s="245"/>
      <c r="C524" s="245"/>
      <c r="D524" s="246"/>
      <c r="E524" s="245"/>
      <c r="F524" s="245"/>
      <c r="G524" s="245"/>
      <c r="H524" s="245"/>
      <c r="I524" s="245"/>
      <c r="J524" s="245"/>
      <c r="K524" s="265"/>
      <c r="L524" s="245"/>
      <c r="M524" s="245"/>
      <c r="N524" s="245"/>
      <c r="O524" s="245"/>
      <c r="P524" s="245"/>
      <c r="Q524" s="247"/>
      <c r="R524" s="254"/>
      <c r="S524" s="245"/>
      <c r="T524" s="245"/>
      <c r="U524" s="245"/>
      <c r="V524" s="245"/>
      <c r="W524" s="245"/>
      <c r="X524" s="245"/>
      <c r="Y524" s="249"/>
      <c r="Z524" s="276"/>
      <c r="AA524" s="245"/>
      <c r="AB524" s="276"/>
      <c r="AC524" s="276"/>
      <c r="AD524" s="246"/>
      <c r="AE524" s="278"/>
      <c r="AF524" s="370"/>
      <c r="AG524" s="371"/>
      <c r="AH524" s="276"/>
      <c r="AI524" s="245"/>
      <c r="AJ524" s="287"/>
      <c r="AK524" s="278"/>
      <c r="AL524" s="246"/>
      <c r="AM524" s="245"/>
      <c r="AN524" s="245"/>
      <c r="AO524" s="274"/>
      <c r="AP524" s="245"/>
      <c r="AQ524" s="245"/>
      <c r="AR524" s="246"/>
      <c r="AS524" s="245"/>
      <c r="AT524" s="245"/>
      <c r="AU524" s="245"/>
      <c r="AV524" s="245"/>
      <c r="AW524" s="245"/>
      <c r="AX524" s="246"/>
      <c r="AY524" s="245"/>
      <c r="AZ524" s="245"/>
      <c r="BA524" s="246"/>
      <c r="BB524" s="245"/>
      <c r="BC524" s="245"/>
      <c r="BD524" s="245"/>
      <c r="BE524" s="245"/>
      <c r="BF524" s="245"/>
      <c r="BG524" s="245"/>
      <c r="BH524" s="245"/>
      <c r="BI524" s="245"/>
      <c r="BJ524" s="245"/>
      <c r="BK524" s="245"/>
      <c r="BL524" s="245"/>
      <c r="BM524" s="245"/>
      <c r="BN524" s="245"/>
      <c r="BO524" s="245"/>
      <c r="BP524" s="245"/>
      <c r="BQ524" s="245"/>
      <c r="BR524" s="245"/>
      <c r="BS524" s="245"/>
      <c r="BT524" s="246"/>
      <c r="BU524" s="245"/>
      <c r="BV524" s="245"/>
      <c r="BW524" s="245"/>
      <c r="BX524" s="245"/>
      <c r="BY524" s="245"/>
      <c r="BZ524" s="282"/>
      <c r="CA524" s="245"/>
      <c r="CB524" s="245"/>
      <c r="CC524" s="245"/>
      <c r="CD524" s="245"/>
      <c r="CE524" s="245"/>
      <c r="CF524" s="245"/>
    </row>
    <row r="525">
      <c r="A525" s="245"/>
      <c r="B525" s="245"/>
      <c r="C525" s="245"/>
      <c r="D525" s="246"/>
      <c r="E525" s="245"/>
      <c r="F525" s="245"/>
      <c r="G525" s="245"/>
      <c r="H525" s="245"/>
      <c r="I525" s="245"/>
      <c r="J525" s="245"/>
      <c r="K525" s="265"/>
      <c r="L525" s="245"/>
      <c r="M525" s="245"/>
      <c r="N525" s="245"/>
      <c r="O525" s="245"/>
      <c r="P525" s="245"/>
      <c r="Q525" s="247"/>
      <c r="R525" s="254"/>
      <c r="S525" s="245"/>
      <c r="T525" s="245"/>
      <c r="U525" s="245"/>
      <c r="V525" s="245"/>
      <c r="W525" s="245"/>
      <c r="X525" s="245"/>
      <c r="Y525" s="249"/>
      <c r="Z525" s="276"/>
      <c r="AA525" s="245"/>
      <c r="AB525" s="276"/>
      <c r="AC525" s="276"/>
      <c r="AD525" s="246"/>
      <c r="AE525" s="278"/>
      <c r="AF525" s="370"/>
      <c r="AG525" s="371"/>
      <c r="AH525" s="276"/>
      <c r="AI525" s="245"/>
      <c r="AJ525" s="287"/>
      <c r="AK525" s="278"/>
      <c r="AL525" s="246"/>
      <c r="AM525" s="245"/>
      <c r="AN525" s="245"/>
      <c r="AO525" s="274"/>
      <c r="AP525" s="245"/>
      <c r="AQ525" s="245"/>
      <c r="AR525" s="246"/>
      <c r="AS525" s="245"/>
      <c r="AT525" s="245"/>
      <c r="AU525" s="245"/>
      <c r="AV525" s="245"/>
      <c r="AW525" s="245"/>
      <c r="AX525" s="246"/>
      <c r="AY525" s="245"/>
      <c r="AZ525" s="245"/>
      <c r="BA525" s="246"/>
      <c r="BB525" s="245"/>
      <c r="BC525" s="245"/>
      <c r="BD525" s="245"/>
      <c r="BE525" s="245"/>
      <c r="BF525" s="245"/>
      <c r="BG525" s="245"/>
      <c r="BH525" s="245"/>
      <c r="BI525" s="245"/>
      <c r="BJ525" s="245"/>
      <c r="BK525" s="245"/>
      <c r="BL525" s="245"/>
      <c r="BM525" s="245"/>
      <c r="BN525" s="245"/>
      <c r="BO525" s="245"/>
      <c r="BP525" s="245"/>
      <c r="BQ525" s="245"/>
      <c r="BR525" s="245"/>
      <c r="BS525" s="245"/>
      <c r="BT525" s="246"/>
      <c r="BU525" s="245"/>
      <c r="BV525" s="245"/>
      <c r="BW525" s="245"/>
      <c r="BX525" s="245"/>
      <c r="BY525" s="245"/>
      <c r="BZ525" s="282"/>
      <c r="CA525" s="245"/>
      <c r="CB525" s="245"/>
      <c r="CC525" s="245"/>
      <c r="CD525" s="245"/>
      <c r="CE525" s="245"/>
      <c r="CF525" s="245"/>
    </row>
    <row r="526">
      <c r="A526" s="245"/>
      <c r="B526" s="245"/>
      <c r="C526" s="245"/>
      <c r="D526" s="246"/>
      <c r="E526" s="245"/>
      <c r="F526" s="245"/>
      <c r="G526" s="245"/>
      <c r="H526" s="245"/>
      <c r="I526" s="245"/>
      <c r="J526" s="245"/>
      <c r="K526" s="265"/>
      <c r="L526" s="245"/>
      <c r="M526" s="245"/>
      <c r="N526" s="245"/>
      <c r="O526" s="245"/>
      <c r="P526" s="245"/>
      <c r="Q526" s="247"/>
      <c r="R526" s="254"/>
      <c r="S526" s="245"/>
      <c r="T526" s="245"/>
      <c r="U526" s="245"/>
      <c r="V526" s="245"/>
      <c r="W526" s="245"/>
      <c r="X526" s="245"/>
      <c r="Y526" s="249"/>
      <c r="Z526" s="276"/>
      <c r="AA526" s="245"/>
      <c r="AB526" s="276"/>
      <c r="AC526" s="276"/>
      <c r="AD526" s="246"/>
      <c r="AE526" s="278"/>
      <c r="AF526" s="370"/>
      <c r="AG526" s="371"/>
      <c r="AH526" s="276"/>
      <c r="AI526" s="245"/>
      <c r="AJ526" s="287"/>
      <c r="AK526" s="278"/>
      <c r="AL526" s="246"/>
      <c r="AM526" s="245"/>
      <c r="AN526" s="245"/>
      <c r="AO526" s="274"/>
      <c r="AP526" s="245"/>
      <c r="AQ526" s="245"/>
      <c r="AR526" s="246"/>
      <c r="AS526" s="245"/>
      <c r="AT526" s="245"/>
      <c r="AU526" s="245"/>
      <c r="AV526" s="245"/>
      <c r="AW526" s="245"/>
      <c r="AX526" s="246"/>
      <c r="AY526" s="245"/>
      <c r="AZ526" s="245"/>
      <c r="BA526" s="246"/>
      <c r="BB526" s="245"/>
      <c r="BC526" s="245"/>
      <c r="BD526" s="245"/>
      <c r="BE526" s="245"/>
      <c r="BF526" s="245"/>
      <c r="BG526" s="245"/>
      <c r="BH526" s="245"/>
      <c r="BI526" s="245"/>
      <c r="BJ526" s="245"/>
      <c r="BK526" s="245"/>
      <c r="BL526" s="245"/>
      <c r="BM526" s="245"/>
      <c r="BN526" s="245"/>
      <c r="BO526" s="245"/>
      <c r="BP526" s="245"/>
      <c r="BQ526" s="245"/>
      <c r="BR526" s="245"/>
      <c r="BS526" s="245"/>
      <c r="BT526" s="246"/>
      <c r="BU526" s="245"/>
      <c r="BV526" s="245"/>
      <c r="BW526" s="245"/>
      <c r="BX526" s="245"/>
      <c r="BY526" s="245"/>
      <c r="BZ526" s="282"/>
      <c r="CA526" s="245"/>
      <c r="CB526" s="245"/>
      <c r="CC526" s="245"/>
      <c r="CD526" s="245"/>
      <c r="CE526" s="245"/>
      <c r="CF526" s="245"/>
    </row>
    <row r="527">
      <c r="A527" s="245"/>
      <c r="B527" s="245"/>
      <c r="C527" s="245"/>
      <c r="D527" s="246"/>
      <c r="E527" s="245"/>
      <c r="F527" s="245"/>
      <c r="G527" s="245"/>
      <c r="H527" s="245"/>
      <c r="I527" s="245"/>
      <c r="J527" s="245"/>
      <c r="K527" s="265"/>
      <c r="L527" s="245"/>
      <c r="M527" s="245"/>
      <c r="N527" s="245"/>
      <c r="O527" s="245"/>
      <c r="P527" s="245"/>
      <c r="Q527" s="247"/>
      <c r="R527" s="254"/>
      <c r="S527" s="245"/>
      <c r="T527" s="245"/>
      <c r="U527" s="245"/>
      <c r="V527" s="245"/>
      <c r="W527" s="245"/>
      <c r="X527" s="245"/>
      <c r="Y527" s="249"/>
      <c r="Z527" s="276"/>
      <c r="AA527" s="245"/>
      <c r="AB527" s="276"/>
      <c r="AC527" s="276"/>
      <c r="AD527" s="246"/>
      <c r="AE527" s="278"/>
      <c r="AF527" s="370"/>
      <c r="AG527" s="371"/>
      <c r="AH527" s="276"/>
      <c r="AI527" s="245"/>
      <c r="AJ527" s="287"/>
      <c r="AK527" s="278"/>
      <c r="AL527" s="246"/>
      <c r="AM527" s="245"/>
      <c r="AN527" s="245"/>
      <c r="AO527" s="274"/>
      <c r="AP527" s="245"/>
      <c r="AQ527" s="245"/>
      <c r="AR527" s="246"/>
      <c r="AS527" s="245"/>
      <c r="AT527" s="245"/>
      <c r="AU527" s="245"/>
      <c r="AV527" s="245"/>
      <c r="AW527" s="245"/>
      <c r="AX527" s="246"/>
      <c r="AY527" s="245"/>
      <c r="AZ527" s="245"/>
      <c r="BA527" s="246"/>
      <c r="BB527" s="245"/>
      <c r="BC527" s="245"/>
      <c r="BD527" s="245"/>
      <c r="BE527" s="245"/>
      <c r="BF527" s="245"/>
      <c r="BG527" s="245"/>
      <c r="BH527" s="245"/>
      <c r="BI527" s="245"/>
      <c r="BJ527" s="245"/>
      <c r="BK527" s="245"/>
      <c r="BL527" s="245"/>
      <c r="BM527" s="245"/>
      <c r="BN527" s="245"/>
      <c r="BO527" s="245"/>
      <c r="BP527" s="245"/>
      <c r="BQ527" s="245"/>
      <c r="BR527" s="245"/>
      <c r="BS527" s="245"/>
      <c r="BT527" s="246"/>
      <c r="BU527" s="245"/>
      <c r="BV527" s="245"/>
      <c r="BW527" s="245"/>
      <c r="BX527" s="245"/>
      <c r="BY527" s="245"/>
      <c r="BZ527" s="282"/>
      <c r="CA527" s="245"/>
      <c r="CB527" s="245"/>
      <c r="CC527" s="245"/>
      <c r="CD527" s="245"/>
      <c r="CE527" s="245"/>
      <c r="CF527" s="245"/>
    </row>
    <row r="528">
      <c r="A528" s="245"/>
      <c r="B528" s="245"/>
      <c r="C528" s="245"/>
      <c r="D528" s="246"/>
      <c r="E528" s="245"/>
      <c r="F528" s="245"/>
      <c r="G528" s="245"/>
      <c r="H528" s="245"/>
      <c r="I528" s="245"/>
      <c r="J528" s="245"/>
      <c r="K528" s="265"/>
      <c r="L528" s="245"/>
      <c r="M528" s="245"/>
      <c r="N528" s="245"/>
      <c r="O528" s="245"/>
      <c r="P528" s="245"/>
      <c r="Q528" s="247"/>
      <c r="R528" s="254"/>
      <c r="S528" s="245"/>
      <c r="T528" s="245"/>
      <c r="U528" s="245"/>
      <c r="V528" s="245"/>
      <c r="W528" s="245"/>
      <c r="X528" s="245"/>
      <c r="Y528" s="249"/>
      <c r="Z528" s="276"/>
      <c r="AA528" s="245"/>
      <c r="AB528" s="276"/>
      <c r="AC528" s="276"/>
      <c r="AD528" s="246"/>
      <c r="AE528" s="278"/>
      <c r="AF528" s="370"/>
      <c r="AG528" s="371"/>
      <c r="AH528" s="276"/>
      <c r="AI528" s="245"/>
      <c r="AJ528" s="287"/>
      <c r="AK528" s="278"/>
      <c r="AL528" s="246"/>
      <c r="AM528" s="245"/>
      <c r="AN528" s="245"/>
      <c r="AO528" s="274"/>
      <c r="AP528" s="245"/>
      <c r="AQ528" s="245"/>
      <c r="AR528" s="246"/>
      <c r="AS528" s="245"/>
      <c r="AT528" s="245"/>
      <c r="AU528" s="245"/>
      <c r="AV528" s="245"/>
      <c r="AW528" s="245"/>
      <c r="AX528" s="246"/>
      <c r="AY528" s="245"/>
      <c r="AZ528" s="245"/>
      <c r="BA528" s="246"/>
      <c r="BB528" s="245"/>
      <c r="BC528" s="245"/>
      <c r="BD528" s="245"/>
      <c r="BE528" s="245"/>
      <c r="BF528" s="245"/>
      <c r="BG528" s="245"/>
      <c r="BH528" s="245"/>
      <c r="BI528" s="245"/>
      <c r="BJ528" s="245"/>
      <c r="BK528" s="245"/>
      <c r="BL528" s="245"/>
      <c r="BM528" s="245"/>
      <c r="BN528" s="245"/>
      <c r="BO528" s="245"/>
      <c r="BP528" s="245"/>
      <c r="BQ528" s="245"/>
      <c r="BR528" s="245"/>
      <c r="BS528" s="245"/>
      <c r="BT528" s="246"/>
      <c r="BU528" s="245"/>
      <c r="BV528" s="245"/>
      <c r="BW528" s="245"/>
      <c r="BX528" s="245"/>
      <c r="BY528" s="245"/>
      <c r="BZ528" s="282"/>
      <c r="CA528" s="245"/>
      <c r="CB528" s="245"/>
      <c r="CC528" s="245"/>
      <c r="CD528" s="245"/>
      <c r="CE528" s="245"/>
      <c r="CF528" s="245"/>
    </row>
    <row r="529">
      <c r="A529" s="245"/>
      <c r="B529" s="245"/>
      <c r="C529" s="245"/>
      <c r="D529" s="246"/>
      <c r="E529" s="245"/>
      <c r="F529" s="245"/>
      <c r="G529" s="245"/>
      <c r="H529" s="245"/>
      <c r="I529" s="245"/>
      <c r="J529" s="245"/>
      <c r="K529" s="265"/>
      <c r="L529" s="245"/>
      <c r="M529" s="245"/>
      <c r="N529" s="245"/>
      <c r="O529" s="245"/>
      <c r="P529" s="245"/>
      <c r="Q529" s="247"/>
      <c r="R529" s="254"/>
      <c r="S529" s="245"/>
      <c r="T529" s="245"/>
      <c r="U529" s="245"/>
      <c r="V529" s="245"/>
      <c r="W529" s="245"/>
      <c r="X529" s="245"/>
      <c r="Y529" s="249"/>
      <c r="Z529" s="276"/>
      <c r="AA529" s="245"/>
      <c r="AB529" s="276"/>
      <c r="AC529" s="276"/>
      <c r="AD529" s="246"/>
      <c r="AE529" s="278"/>
      <c r="AF529" s="370"/>
      <c r="AG529" s="371"/>
      <c r="AH529" s="276"/>
      <c r="AI529" s="245"/>
      <c r="AJ529" s="287"/>
      <c r="AK529" s="278"/>
      <c r="AL529" s="246"/>
      <c r="AM529" s="245"/>
      <c r="AN529" s="245"/>
      <c r="AO529" s="274"/>
      <c r="AP529" s="245"/>
      <c r="AQ529" s="245"/>
      <c r="AR529" s="246"/>
      <c r="AS529" s="245"/>
      <c r="AT529" s="245"/>
      <c r="AU529" s="245"/>
      <c r="AV529" s="245"/>
      <c r="AW529" s="245"/>
      <c r="AX529" s="246"/>
      <c r="AY529" s="245"/>
      <c r="AZ529" s="245"/>
      <c r="BA529" s="246"/>
      <c r="BB529" s="245"/>
      <c r="BC529" s="245"/>
      <c r="BD529" s="245"/>
      <c r="BE529" s="245"/>
      <c r="BF529" s="245"/>
      <c r="BG529" s="245"/>
      <c r="BH529" s="245"/>
      <c r="BI529" s="245"/>
      <c r="BJ529" s="245"/>
      <c r="BK529" s="245"/>
      <c r="BL529" s="245"/>
      <c r="BM529" s="245"/>
      <c r="BN529" s="245"/>
      <c r="BO529" s="245"/>
      <c r="BP529" s="245"/>
      <c r="BQ529" s="245"/>
      <c r="BR529" s="245"/>
      <c r="BS529" s="245"/>
      <c r="BT529" s="246"/>
      <c r="BU529" s="245"/>
      <c r="BV529" s="245"/>
      <c r="BW529" s="245"/>
      <c r="BX529" s="245"/>
      <c r="BY529" s="245"/>
      <c r="BZ529" s="282"/>
      <c r="CA529" s="245"/>
      <c r="CB529" s="245"/>
      <c r="CC529" s="245"/>
      <c r="CD529" s="245"/>
      <c r="CE529" s="245"/>
      <c r="CF529" s="245"/>
    </row>
    <row r="530">
      <c r="A530" s="245"/>
      <c r="B530" s="245"/>
      <c r="C530" s="245"/>
      <c r="D530" s="246"/>
      <c r="E530" s="245"/>
      <c r="F530" s="245"/>
      <c r="G530" s="245"/>
      <c r="H530" s="245"/>
      <c r="I530" s="245"/>
      <c r="J530" s="245"/>
      <c r="K530" s="265"/>
      <c r="L530" s="245"/>
      <c r="M530" s="245"/>
      <c r="N530" s="245"/>
      <c r="O530" s="245"/>
      <c r="P530" s="245"/>
      <c r="Q530" s="247"/>
      <c r="R530" s="254"/>
      <c r="S530" s="245"/>
      <c r="T530" s="245"/>
      <c r="U530" s="245"/>
      <c r="V530" s="245"/>
      <c r="W530" s="245"/>
      <c r="X530" s="245"/>
      <c r="Y530" s="249"/>
      <c r="Z530" s="276"/>
      <c r="AA530" s="245"/>
      <c r="AB530" s="276"/>
      <c r="AC530" s="276"/>
      <c r="AD530" s="246"/>
      <c r="AE530" s="278"/>
      <c r="AF530" s="370"/>
      <c r="AG530" s="371"/>
      <c r="AH530" s="276"/>
      <c r="AI530" s="245"/>
      <c r="AJ530" s="287"/>
      <c r="AK530" s="278"/>
      <c r="AL530" s="246"/>
      <c r="AM530" s="245"/>
      <c r="AN530" s="245"/>
      <c r="AO530" s="274"/>
      <c r="AP530" s="245"/>
      <c r="AQ530" s="245"/>
      <c r="AR530" s="246"/>
      <c r="AS530" s="245"/>
      <c r="AT530" s="245"/>
      <c r="AU530" s="245"/>
      <c r="AV530" s="245"/>
      <c r="AW530" s="245"/>
      <c r="AX530" s="246"/>
      <c r="AY530" s="245"/>
      <c r="AZ530" s="245"/>
      <c r="BA530" s="246"/>
      <c r="BB530" s="245"/>
      <c r="BC530" s="245"/>
      <c r="BD530" s="245"/>
      <c r="BE530" s="245"/>
      <c r="BF530" s="245"/>
      <c r="BG530" s="245"/>
      <c r="BH530" s="245"/>
      <c r="BI530" s="245"/>
      <c r="BJ530" s="245"/>
      <c r="BK530" s="245"/>
      <c r="BL530" s="245"/>
      <c r="BM530" s="245"/>
      <c r="BN530" s="245"/>
      <c r="BO530" s="245"/>
      <c r="BP530" s="245"/>
      <c r="BQ530" s="245"/>
      <c r="BR530" s="245"/>
      <c r="BS530" s="245"/>
      <c r="BT530" s="246"/>
      <c r="BU530" s="245"/>
      <c r="BV530" s="245"/>
      <c r="BW530" s="245"/>
      <c r="BX530" s="245"/>
      <c r="BY530" s="245"/>
      <c r="BZ530" s="282"/>
      <c r="CA530" s="245"/>
      <c r="CB530" s="245"/>
      <c r="CC530" s="245"/>
      <c r="CD530" s="245"/>
      <c r="CE530" s="245"/>
      <c r="CF530" s="245"/>
    </row>
    <row r="531">
      <c r="A531" s="245"/>
      <c r="B531" s="245"/>
      <c r="C531" s="245"/>
      <c r="D531" s="246"/>
      <c r="E531" s="245"/>
      <c r="F531" s="245"/>
      <c r="G531" s="245"/>
      <c r="H531" s="245"/>
      <c r="I531" s="245"/>
      <c r="J531" s="245"/>
      <c r="K531" s="265"/>
      <c r="L531" s="245"/>
      <c r="M531" s="245"/>
      <c r="N531" s="245"/>
      <c r="O531" s="245"/>
      <c r="P531" s="245"/>
      <c r="Q531" s="247"/>
      <c r="R531" s="254"/>
      <c r="S531" s="245"/>
      <c r="T531" s="245"/>
      <c r="U531" s="245"/>
      <c r="V531" s="245"/>
      <c r="W531" s="245"/>
      <c r="X531" s="245"/>
      <c r="Y531" s="249"/>
      <c r="Z531" s="276"/>
      <c r="AA531" s="245"/>
      <c r="AB531" s="276"/>
      <c r="AC531" s="276"/>
      <c r="AD531" s="246"/>
      <c r="AE531" s="278"/>
      <c r="AF531" s="370"/>
      <c r="AG531" s="371"/>
      <c r="AH531" s="276"/>
      <c r="AI531" s="245"/>
      <c r="AJ531" s="287"/>
      <c r="AK531" s="278"/>
      <c r="AL531" s="246"/>
      <c r="AM531" s="245"/>
      <c r="AN531" s="245"/>
      <c r="AO531" s="274"/>
      <c r="AP531" s="245"/>
      <c r="AQ531" s="245"/>
      <c r="AR531" s="246"/>
      <c r="AS531" s="245"/>
      <c r="AT531" s="245"/>
      <c r="AU531" s="245"/>
      <c r="AV531" s="245"/>
      <c r="AW531" s="245"/>
      <c r="AX531" s="246"/>
      <c r="AY531" s="245"/>
      <c r="AZ531" s="245"/>
      <c r="BA531" s="246"/>
      <c r="BB531" s="245"/>
      <c r="BC531" s="245"/>
      <c r="BD531" s="245"/>
      <c r="BE531" s="245"/>
      <c r="BF531" s="245"/>
      <c r="BG531" s="245"/>
      <c r="BH531" s="245"/>
      <c r="BI531" s="245"/>
      <c r="BJ531" s="245"/>
      <c r="BK531" s="245"/>
      <c r="BL531" s="245"/>
      <c r="BM531" s="245"/>
      <c r="BN531" s="245"/>
      <c r="BO531" s="245"/>
      <c r="BP531" s="245"/>
      <c r="BQ531" s="245"/>
      <c r="BR531" s="245"/>
      <c r="BS531" s="245"/>
      <c r="BT531" s="246"/>
      <c r="BU531" s="245"/>
      <c r="BV531" s="245"/>
      <c r="BW531" s="245"/>
      <c r="BX531" s="245"/>
      <c r="BY531" s="245"/>
      <c r="BZ531" s="282"/>
      <c r="CA531" s="245"/>
      <c r="CB531" s="245"/>
      <c r="CC531" s="245"/>
      <c r="CD531" s="245"/>
      <c r="CE531" s="245"/>
      <c r="CF531" s="245"/>
    </row>
    <row r="532">
      <c r="A532" s="245"/>
      <c r="B532" s="245"/>
      <c r="C532" s="245"/>
      <c r="D532" s="246"/>
      <c r="E532" s="245"/>
      <c r="F532" s="245"/>
      <c r="G532" s="245"/>
      <c r="H532" s="245"/>
      <c r="I532" s="245"/>
      <c r="J532" s="245"/>
      <c r="K532" s="265"/>
      <c r="L532" s="245"/>
      <c r="M532" s="245"/>
      <c r="N532" s="245"/>
      <c r="O532" s="245"/>
      <c r="P532" s="245"/>
      <c r="Q532" s="247"/>
      <c r="R532" s="254"/>
      <c r="S532" s="245"/>
      <c r="T532" s="245"/>
      <c r="U532" s="245"/>
      <c r="V532" s="245"/>
      <c r="W532" s="245"/>
      <c r="X532" s="245"/>
      <c r="Y532" s="249"/>
      <c r="Z532" s="276"/>
      <c r="AA532" s="245"/>
      <c r="AB532" s="276"/>
      <c r="AC532" s="276"/>
      <c r="AD532" s="246"/>
      <c r="AE532" s="278"/>
      <c r="AF532" s="370"/>
      <c r="AG532" s="371"/>
      <c r="AH532" s="276"/>
      <c r="AI532" s="245"/>
      <c r="AJ532" s="287"/>
      <c r="AK532" s="278"/>
      <c r="AL532" s="246"/>
      <c r="AM532" s="245"/>
      <c r="AN532" s="245"/>
      <c r="AO532" s="274"/>
      <c r="AP532" s="245"/>
      <c r="AQ532" s="245"/>
      <c r="AR532" s="246"/>
      <c r="AS532" s="245"/>
      <c r="AT532" s="245"/>
      <c r="AU532" s="245"/>
      <c r="AV532" s="245"/>
      <c r="AW532" s="245"/>
      <c r="AX532" s="246"/>
      <c r="AY532" s="245"/>
      <c r="AZ532" s="245"/>
      <c r="BA532" s="246"/>
      <c r="BB532" s="245"/>
      <c r="BC532" s="245"/>
      <c r="BD532" s="245"/>
      <c r="BE532" s="245"/>
      <c r="BF532" s="245"/>
      <c r="BG532" s="245"/>
      <c r="BH532" s="245"/>
      <c r="BI532" s="245"/>
      <c r="BJ532" s="245"/>
      <c r="BK532" s="245"/>
      <c r="BL532" s="245"/>
      <c r="BM532" s="245"/>
      <c r="BN532" s="245"/>
      <c r="BO532" s="245"/>
      <c r="BP532" s="245"/>
      <c r="BQ532" s="245"/>
      <c r="BR532" s="245"/>
      <c r="BS532" s="245"/>
      <c r="BT532" s="246"/>
      <c r="BU532" s="245"/>
      <c r="BV532" s="245"/>
      <c r="BW532" s="245"/>
      <c r="BX532" s="245"/>
      <c r="BY532" s="245"/>
      <c r="BZ532" s="282"/>
      <c r="CA532" s="245"/>
      <c r="CB532" s="245"/>
      <c r="CC532" s="245"/>
      <c r="CD532" s="245"/>
      <c r="CE532" s="245"/>
      <c r="CF532" s="245"/>
    </row>
    <row r="533">
      <c r="A533" s="245"/>
      <c r="B533" s="245"/>
      <c r="C533" s="245"/>
      <c r="D533" s="246"/>
      <c r="E533" s="245"/>
      <c r="F533" s="245"/>
      <c r="G533" s="245"/>
      <c r="H533" s="245"/>
      <c r="I533" s="245"/>
      <c r="J533" s="245"/>
      <c r="K533" s="265"/>
      <c r="L533" s="245"/>
      <c r="M533" s="245"/>
      <c r="N533" s="245"/>
      <c r="O533" s="245"/>
      <c r="P533" s="245"/>
      <c r="Q533" s="247"/>
      <c r="R533" s="254"/>
      <c r="S533" s="245"/>
      <c r="T533" s="245"/>
      <c r="U533" s="245"/>
      <c r="V533" s="245"/>
      <c r="W533" s="245"/>
      <c r="X533" s="245"/>
      <c r="Y533" s="249"/>
      <c r="Z533" s="276"/>
      <c r="AA533" s="245"/>
      <c r="AB533" s="276"/>
      <c r="AC533" s="276"/>
      <c r="AD533" s="246"/>
      <c r="AE533" s="278"/>
      <c r="AF533" s="370"/>
      <c r="AG533" s="371"/>
      <c r="AH533" s="276"/>
      <c r="AI533" s="245"/>
      <c r="AJ533" s="287"/>
      <c r="AK533" s="278"/>
      <c r="AL533" s="246"/>
      <c r="AM533" s="245"/>
      <c r="AN533" s="245"/>
      <c r="AO533" s="274"/>
      <c r="AP533" s="245"/>
      <c r="AQ533" s="245"/>
      <c r="AR533" s="246"/>
      <c r="AS533" s="245"/>
      <c r="AT533" s="245"/>
      <c r="AU533" s="245"/>
      <c r="AV533" s="245"/>
      <c r="AW533" s="245"/>
      <c r="AX533" s="246"/>
      <c r="AY533" s="245"/>
      <c r="AZ533" s="245"/>
      <c r="BA533" s="246"/>
      <c r="BB533" s="245"/>
      <c r="BC533" s="245"/>
      <c r="BD533" s="245"/>
      <c r="BE533" s="245"/>
      <c r="BF533" s="245"/>
      <c r="BG533" s="245"/>
      <c r="BH533" s="245"/>
      <c r="BI533" s="245"/>
      <c r="BJ533" s="245"/>
      <c r="BK533" s="245"/>
      <c r="BL533" s="245"/>
      <c r="BM533" s="245"/>
      <c r="BN533" s="245"/>
      <c r="BO533" s="245"/>
      <c r="BP533" s="245"/>
      <c r="BQ533" s="245"/>
      <c r="BR533" s="245"/>
      <c r="BS533" s="245"/>
      <c r="BT533" s="246"/>
      <c r="BU533" s="245"/>
      <c r="BV533" s="245"/>
      <c r="BW533" s="245"/>
      <c r="BX533" s="245"/>
      <c r="BY533" s="245"/>
      <c r="BZ533" s="282"/>
      <c r="CA533" s="245"/>
      <c r="CB533" s="245"/>
      <c r="CC533" s="245"/>
      <c r="CD533" s="245"/>
      <c r="CE533" s="245"/>
      <c r="CF533" s="245"/>
    </row>
    <row r="534">
      <c r="A534" s="245"/>
      <c r="B534" s="245"/>
      <c r="C534" s="245"/>
      <c r="D534" s="246"/>
      <c r="E534" s="245"/>
      <c r="F534" s="245"/>
      <c r="G534" s="245"/>
      <c r="H534" s="245"/>
      <c r="I534" s="245"/>
      <c r="J534" s="245"/>
      <c r="K534" s="265"/>
      <c r="L534" s="245"/>
      <c r="M534" s="245"/>
      <c r="N534" s="245"/>
      <c r="O534" s="245"/>
      <c r="P534" s="245"/>
      <c r="Q534" s="247"/>
      <c r="R534" s="254"/>
      <c r="S534" s="245"/>
      <c r="T534" s="245"/>
      <c r="U534" s="245"/>
      <c r="V534" s="245"/>
      <c r="W534" s="245"/>
      <c r="X534" s="245"/>
      <c r="Y534" s="249"/>
      <c r="Z534" s="276"/>
      <c r="AA534" s="245"/>
      <c r="AB534" s="276"/>
      <c r="AC534" s="276"/>
      <c r="AD534" s="246"/>
      <c r="AE534" s="278"/>
      <c r="AF534" s="370"/>
      <c r="AG534" s="371"/>
      <c r="AH534" s="276"/>
      <c r="AI534" s="245"/>
      <c r="AJ534" s="287"/>
      <c r="AK534" s="278"/>
      <c r="AL534" s="246"/>
      <c r="AM534" s="245"/>
      <c r="AN534" s="245"/>
      <c r="AO534" s="274"/>
      <c r="AP534" s="245"/>
      <c r="AQ534" s="245"/>
      <c r="AR534" s="246"/>
      <c r="AS534" s="245"/>
      <c r="AT534" s="245"/>
      <c r="AU534" s="245"/>
      <c r="AV534" s="245"/>
      <c r="AW534" s="245"/>
      <c r="AX534" s="246"/>
      <c r="AY534" s="245"/>
      <c r="AZ534" s="245"/>
      <c r="BA534" s="246"/>
      <c r="BB534" s="245"/>
      <c r="BC534" s="245"/>
      <c r="BD534" s="245"/>
      <c r="BE534" s="245"/>
      <c r="BF534" s="245"/>
      <c r="BG534" s="245"/>
      <c r="BH534" s="245"/>
      <c r="BI534" s="245"/>
      <c r="BJ534" s="245"/>
      <c r="BK534" s="245"/>
      <c r="BL534" s="245"/>
      <c r="BM534" s="245"/>
      <c r="BN534" s="245"/>
      <c r="BO534" s="245"/>
      <c r="BP534" s="245"/>
      <c r="BQ534" s="245"/>
      <c r="BR534" s="245"/>
      <c r="BS534" s="245"/>
      <c r="BT534" s="246"/>
      <c r="BU534" s="245"/>
      <c r="BV534" s="245"/>
      <c r="BW534" s="245"/>
      <c r="BX534" s="245"/>
      <c r="BY534" s="245"/>
      <c r="BZ534" s="282"/>
      <c r="CA534" s="245"/>
      <c r="CB534" s="245"/>
      <c r="CC534" s="245"/>
      <c r="CD534" s="245"/>
      <c r="CE534" s="245"/>
      <c r="CF534" s="245"/>
    </row>
    <row r="535">
      <c r="A535" s="245"/>
      <c r="B535" s="245"/>
      <c r="C535" s="245"/>
      <c r="D535" s="246"/>
      <c r="E535" s="245"/>
      <c r="F535" s="245"/>
      <c r="G535" s="245"/>
      <c r="H535" s="245"/>
      <c r="I535" s="245"/>
      <c r="J535" s="245"/>
      <c r="K535" s="265"/>
      <c r="L535" s="245"/>
      <c r="M535" s="245"/>
      <c r="N535" s="245"/>
      <c r="O535" s="245"/>
      <c r="P535" s="245"/>
      <c r="Q535" s="247"/>
      <c r="R535" s="254"/>
      <c r="S535" s="245"/>
      <c r="T535" s="245"/>
      <c r="U535" s="245"/>
      <c r="V535" s="245"/>
      <c r="W535" s="245"/>
      <c r="X535" s="245"/>
      <c r="Y535" s="249"/>
      <c r="Z535" s="276"/>
      <c r="AA535" s="245"/>
      <c r="AB535" s="276"/>
      <c r="AC535" s="276"/>
      <c r="AD535" s="246"/>
      <c r="AE535" s="278"/>
      <c r="AF535" s="370"/>
      <c r="AG535" s="371"/>
      <c r="AH535" s="276"/>
      <c r="AI535" s="245"/>
      <c r="AJ535" s="287"/>
      <c r="AK535" s="278"/>
      <c r="AL535" s="246"/>
      <c r="AM535" s="245"/>
      <c r="AN535" s="245"/>
      <c r="AO535" s="274"/>
      <c r="AP535" s="245"/>
      <c r="AQ535" s="245"/>
      <c r="AR535" s="246"/>
      <c r="AS535" s="245"/>
      <c r="AT535" s="245"/>
      <c r="AU535" s="245"/>
      <c r="AV535" s="245"/>
      <c r="AW535" s="245"/>
      <c r="AX535" s="246"/>
      <c r="AY535" s="245"/>
      <c r="AZ535" s="245"/>
      <c r="BA535" s="246"/>
      <c r="BB535" s="245"/>
      <c r="BC535" s="245"/>
      <c r="BD535" s="245"/>
      <c r="BE535" s="245"/>
      <c r="BF535" s="245"/>
      <c r="BG535" s="245"/>
      <c r="BH535" s="245"/>
      <c r="BI535" s="245"/>
      <c r="BJ535" s="245"/>
      <c r="BK535" s="245"/>
      <c r="BL535" s="245"/>
      <c r="BM535" s="245"/>
      <c r="BN535" s="245"/>
      <c r="BO535" s="245"/>
      <c r="BP535" s="245"/>
      <c r="BQ535" s="245"/>
      <c r="BR535" s="245"/>
      <c r="BS535" s="245"/>
      <c r="BT535" s="246"/>
      <c r="BU535" s="245"/>
      <c r="BV535" s="245"/>
      <c r="BW535" s="245"/>
      <c r="BX535" s="245"/>
      <c r="BY535" s="245"/>
      <c r="BZ535" s="282"/>
      <c r="CA535" s="245"/>
      <c r="CB535" s="245"/>
      <c r="CC535" s="245"/>
      <c r="CD535" s="245"/>
      <c r="CE535" s="245"/>
      <c r="CF535" s="245"/>
    </row>
    <row r="536">
      <c r="A536" s="245"/>
      <c r="B536" s="245"/>
      <c r="C536" s="245"/>
      <c r="D536" s="246"/>
      <c r="E536" s="245"/>
      <c r="F536" s="245"/>
      <c r="G536" s="245"/>
      <c r="H536" s="245"/>
      <c r="I536" s="245"/>
      <c r="J536" s="245"/>
      <c r="K536" s="265"/>
      <c r="L536" s="245"/>
      <c r="M536" s="245"/>
      <c r="N536" s="245"/>
      <c r="O536" s="245"/>
      <c r="P536" s="245"/>
      <c r="Q536" s="247"/>
      <c r="R536" s="254"/>
      <c r="S536" s="245"/>
      <c r="T536" s="245"/>
      <c r="U536" s="245"/>
      <c r="V536" s="245"/>
      <c r="W536" s="245"/>
      <c r="X536" s="245"/>
      <c r="Y536" s="249"/>
      <c r="Z536" s="276"/>
      <c r="AA536" s="245"/>
      <c r="AB536" s="276"/>
      <c r="AC536" s="276"/>
      <c r="AD536" s="246"/>
      <c r="AE536" s="278"/>
      <c r="AF536" s="370"/>
      <c r="AG536" s="371"/>
      <c r="AH536" s="276"/>
      <c r="AI536" s="245"/>
      <c r="AJ536" s="287"/>
      <c r="AK536" s="278"/>
      <c r="AL536" s="246"/>
      <c r="AM536" s="245"/>
      <c r="AN536" s="245"/>
      <c r="AO536" s="274"/>
      <c r="AP536" s="245"/>
      <c r="AQ536" s="245"/>
      <c r="AR536" s="246"/>
      <c r="AS536" s="245"/>
      <c r="AT536" s="245"/>
      <c r="AU536" s="245"/>
      <c r="AV536" s="245"/>
      <c r="AW536" s="245"/>
      <c r="AX536" s="246"/>
      <c r="AY536" s="245"/>
      <c r="AZ536" s="245"/>
      <c r="BA536" s="246"/>
      <c r="BB536" s="245"/>
      <c r="BC536" s="245"/>
      <c r="BD536" s="245"/>
      <c r="BE536" s="245"/>
      <c r="BF536" s="245"/>
      <c r="BG536" s="245"/>
      <c r="BH536" s="245"/>
      <c r="BI536" s="245"/>
      <c r="BJ536" s="245"/>
      <c r="BK536" s="245"/>
      <c r="BL536" s="245"/>
      <c r="BM536" s="245"/>
      <c r="BN536" s="245"/>
      <c r="BO536" s="245"/>
      <c r="BP536" s="245"/>
      <c r="BQ536" s="245"/>
      <c r="BR536" s="245"/>
      <c r="BS536" s="245"/>
      <c r="BT536" s="246"/>
      <c r="BU536" s="245"/>
      <c r="BV536" s="245"/>
      <c r="BW536" s="245"/>
      <c r="BX536" s="245"/>
      <c r="BY536" s="245"/>
      <c r="BZ536" s="282"/>
      <c r="CA536" s="245"/>
      <c r="CB536" s="245"/>
      <c r="CC536" s="245"/>
      <c r="CD536" s="245"/>
      <c r="CE536" s="245"/>
      <c r="CF536" s="245"/>
    </row>
    <row r="537">
      <c r="A537" s="245"/>
      <c r="B537" s="245"/>
      <c r="C537" s="245"/>
      <c r="D537" s="246"/>
      <c r="E537" s="245"/>
      <c r="F537" s="245"/>
      <c r="G537" s="245"/>
      <c r="H537" s="245"/>
      <c r="I537" s="245"/>
      <c r="J537" s="245"/>
      <c r="K537" s="265"/>
      <c r="L537" s="245"/>
      <c r="M537" s="245"/>
      <c r="N537" s="245"/>
      <c r="O537" s="245"/>
      <c r="P537" s="245"/>
      <c r="Q537" s="247"/>
      <c r="R537" s="254"/>
      <c r="S537" s="245"/>
      <c r="T537" s="245"/>
      <c r="U537" s="245"/>
      <c r="V537" s="245"/>
      <c r="W537" s="245"/>
      <c r="X537" s="245"/>
      <c r="Y537" s="249"/>
      <c r="Z537" s="276"/>
      <c r="AA537" s="245"/>
      <c r="AB537" s="276"/>
      <c r="AC537" s="276"/>
      <c r="AD537" s="246"/>
      <c r="AE537" s="278"/>
      <c r="AF537" s="370"/>
      <c r="AG537" s="371"/>
      <c r="AH537" s="276"/>
      <c r="AI537" s="245"/>
      <c r="AJ537" s="287"/>
      <c r="AK537" s="278"/>
      <c r="AL537" s="246"/>
      <c r="AM537" s="245"/>
      <c r="AN537" s="245"/>
      <c r="AO537" s="274"/>
      <c r="AP537" s="245"/>
      <c r="AQ537" s="245"/>
      <c r="AR537" s="246"/>
      <c r="AS537" s="245"/>
      <c r="AT537" s="245"/>
      <c r="AU537" s="245"/>
      <c r="AV537" s="245"/>
      <c r="AW537" s="245"/>
      <c r="AX537" s="246"/>
      <c r="AY537" s="245"/>
      <c r="AZ537" s="245"/>
      <c r="BA537" s="246"/>
      <c r="BB537" s="245"/>
      <c r="BC537" s="245"/>
      <c r="BD537" s="245"/>
      <c r="BE537" s="245"/>
      <c r="BF537" s="245"/>
      <c r="BG537" s="245"/>
      <c r="BH537" s="245"/>
      <c r="BI537" s="245"/>
      <c r="BJ537" s="245"/>
      <c r="BK537" s="245"/>
      <c r="BL537" s="245"/>
      <c r="BM537" s="245"/>
      <c r="BN537" s="245"/>
      <c r="BO537" s="245"/>
      <c r="BP537" s="245"/>
      <c r="BQ537" s="245"/>
      <c r="BR537" s="245"/>
      <c r="BS537" s="245"/>
      <c r="BT537" s="246"/>
      <c r="BU537" s="245"/>
      <c r="BV537" s="245"/>
      <c r="BW537" s="245"/>
      <c r="BX537" s="245"/>
      <c r="BY537" s="245"/>
      <c r="BZ537" s="282"/>
      <c r="CA537" s="245"/>
      <c r="CB537" s="245"/>
      <c r="CC537" s="245"/>
      <c r="CD537" s="245"/>
      <c r="CE537" s="245"/>
      <c r="CF537" s="245"/>
    </row>
    <row r="538">
      <c r="A538" s="245"/>
      <c r="B538" s="245"/>
      <c r="C538" s="245"/>
      <c r="D538" s="246"/>
      <c r="E538" s="245"/>
      <c r="F538" s="245"/>
      <c r="G538" s="245"/>
      <c r="H538" s="245"/>
      <c r="I538" s="245"/>
      <c r="J538" s="245"/>
      <c r="K538" s="265"/>
      <c r="L538" s="245"/>
      <c r="M538" s="245"/>
      <c r="N538" s="245"/>
      <c r="O538" s="245"/>
      <c r="P538" s="245"/>
      <c r="Q538" s="247"/>
      <c r="R538" s="254"/>
      <c r="S538" s="245"/>
      <c r="T538" s="245"/>
      <c r="U538" s="245"/>
      <c r="V538" s="245"/>
      <c r="W538" s="245"/>
      <c r="X538" s="245"/>
      <c r="Y538" s="249"/>
      <c r="Z538" s="276"/>
      <c r="AA538" s="245"/>
      <c r="AB538" s="276"/>
      <c r="AC538" s="276"/>
      <c r="AD538" s="246"/>
      <c r="AE538" s="278"/>
      <c r="AF538" s="370"/>
      <c r="AG538" s="371"/>
      <c r="AH538" s="276"/>
      <c r="AI538" s="245"/>
      <c r="AJ538" s="287"/>
      <c r="AK538" s="278"/>
      <c r="AL538" s="246"/>
      <c r="AM538" s="245"/>
      <c r="AN538" s="245"/>
      <c r="AO538" s="274"/>
      <c r="AP538" s="245"/>
      <c r="AQ538" s="245"/>
      <c r="AR538" s="246"/>
      <c r="AS538" s="245"/>
      <c r="AT538" s="245"/>
      <c r="AU538" s="245"/>
      <c r="AV538" s="245"/>
      <c r="AW538" s="245"/>
      <c r="AX538" s="246"/>
      <c r="AY538" s="245"/>
      <c r="AZ538" s="245"/>
      <c r="BA538" s="246"/>
      <c r="BB538" s="245"/>
      <c r="BC538" s="245"/>
      <c r="BD538" s="245"/>
      <c r="BE538" s="245"/>
      <c r="BF538" s="245"/>
      <c r="BG538" s="245"/>
      <c r="BH538" s="245"/>
      <c r="BI538" s="245"/>
      <c r="BJ538" s="245"/>
      <c r="BK538" s="245"/>
      <c r="BL538" s="245"/>
      <c r="BM538" s="245"/>
      <c r="BN538" s="245"/>
      <c r="BO538" s="245"/>
      <c r="BP538" s="245"/>
      <c r="BQ538" s="245"/>
      <c r="BR538" s="245"/>
      <c r="BS538" s="245"/>
      <c r="BT538" s="246"/>
      <c r="BU538" s="245"/>
      <c r="BV538" s="245"/>
      <c r="BW538" s="245"/>
      <c r="BX538" s="245"/>
      <c r="BY538" s="245"/>
      <c r="BZ538" s="282"/>
      <c r="CA538" s="245"/>
      <c r="CB538" s="245"/>
      <c r="CC538" s="245"/>
      <c r="CD538" s="245"/>
      <c r="CE538" s="245"/>
      <c r="CF538" s="245"/>
    </row>
    <row r="539">
      <c r="A539" s="245"/>
      <c r="B539" s="245"/>
      <c r="C539" s="245"/>
      <c r="D539" s="246"/>
      <c r="E539" s="245"/>
      <c r="F539" s="245"/>
      <c r="G539" s="245"/>
      <c r="H539" s="245"/>
      <c r="I539" s="245"/>
      <c r="J539" s="245"/>
      <c r="K539" s="265"/>
      <c r="L539" s="245"/>
      <c r="M539" s="245"/>
      <c r="N539" s="245"/>
      <c r="O539" s="245"/>
      <c r="P539" s="245"/>
      <c r="Q539" s="247"/>
      <c r="R539" s="254"/>
      <c r="S539" s="245"/>
      <c r="T539" s="245"/>
      <c r="U539" s="245"/>
      <c r="V539" s="245"/>
      <c r="W539" s="245"/>
      <c r="X539" s="245"/>
      <c r="Y539" s="249"/>
      <c r="Z539" s="276"/>
      <c r="AA539" s="245"/>
      <c r="AB539" s="276"/>
      <c r="AC539" s="276"/>
      <c r="AD539" s="246"/>
      <c r="AE539" s="278"/>
      <c r="AF539" s="370"/>
      <c r="AG539" s="371"/>
      <c r="AH539" s="276"/>
      <c r="AI539" s="245"/>
      <c r="AJ539" s="287"/>
      <c r="AK539" s="278"/>
      <c r="AL539" s="246"/>
      <c r="AM539" s="245"/>
      <c r="AN539" s="245"/>
      <c r="AO539" s="274"/>
      <c r="AP539" s="245"/>
      <c r="AQ539" s="245"/>
      <c r="AR539" s="246"/>
      <c r="AS539" s="245"/>
      <c r="AT539" s="245"/>
      <c r="AU539" s="245"/>
      <c r="AV539" s="245"/>
      <c r="AW539" s="245"/>
      <c r="AX539" s="246"/>
      <c r="AY539" s="245"/>
      <c r="AZ539" s="245"/>
      <c r="BA539" s="246"/>
      <c r="BB539" s="245"/>
      <c r="BC539" s="245"/>
      <c r="BD539" s="245"/>
      <c r="BE539" s="245"/>
      <c r="BF539" s="245"/>
      <c r="BG539" s="245"/>
      <c r="BH539" s="245"/>
      <c r="BI539" s="245"/>
      <c r="BJ539" s="245"/>
      <c r="BK539" s="245"/>
      <c r="BL539" s="245"/>
      <c r="BM539" s="245"/>
      <c r="BN539" s="245"/>
      <c r="BO539" s="245"/>
      <c r="BP539" s="245"/>
      <c r="BQ539" s="245"/>
      <c r="BR539" s="245"/>
      <c r="BS539" s="245"/>
      <c r="BT539" s="246"/>
      <c r="BU539" s="245"/>
      <c r="BV539" s="245"/>
      <c r="BW539" s="245"/>
      <c r="BX539" s="245"/>
      <c r="BY539" s="245"/>
      <c r="BZ539" s="282"/>
      <c r="CA539" s="245"/>
      <c r="CB539" s="245"/>
      <c r="CC539" s="245"/>
      <c r="CD539" s="245"/>
      <c r="CE539" s="245"/>
      <c r="CF539" s="245"/>
    </row>
    <row r="540">
      <c r="A540" s="245"/>
      <c r="B540" s="245"/>
      <c r="C540" s="245"/>
      <c r="D540" s="246"/>
      <c r="E540" s="245"/>
      <c r="F540" s="245"/>
      <c r="G540" s="245"/>
      <c r="H540" s="245"/>
      <c r="I540" s="245"/>
      <c r="J540" s="245"/>
      <c r="K540" s="265"/>
      <c r="L540" s="245"/>
      <c r="M540" s="245"/>
      <c r="N540" s="245"/>
      <c r="O540" s="245"/>
      <c r="P540" s="245"/>
      <c r="Q540" s="247"/>
      <c r="R540" s="254"/>
      <c r="S540" s="245"/>
      <c r="T540" s="245"/>
      <c r="U540" s="245"/>
      <c r="V540" s="245"/>
      <c r="W540" s="245"/>
      <c r="X540" s="245"/>
      <c r="Y540" s="249"/>
      <c r="Z540" s="276"/>
      <c r="AA540" s="245"/>
      <c r="AB540" s="276"/>
      <c r="AC540" s="276"/>
      <c r="AD540" s="246"/>
      <c r="AE540" s="278"/>
      <c r="AF540" s="370"/>
      <c r="AG540" s="371"/>
      <c r="AH540" s="276"/>
      <c r="AI540" s="245"/>
      <c r="AJ540" s="287"/>
      <c r="AK540" s="278"/>
      <c r="AL540" s="246"/>
      <c r="AM540" s="245"/>
      <c r="AN540" s="245"/>
      <c r="AO540" s="274"/>
      <c r="AP540" s="245"/>
      <c r="AQ540" s="245"/>
      <c r="AR540" s="246"/>
      <c r="AS540" s="245"/>
      <c r="AT540" s="245"/>
      <c r="AU540" s="245"/>
      <c r="AV540" s="245"/>
      <c r="AW540" s="245"/>
      <c r="AX540" s="246"/>
      <c r="AY540" s="245"/>
      <c r="AZ540" s="245"/>
      <c r="BA540" s="246"/>
      <c r="BB540" s="245"/>
      <c r="BC540" s="245"/>
      <c r="BD540" s="245"/>
      <c r="BE540" s="245"/>
      <c r="BF540" s="245"/>
      <c r="BG540" s="245"/>
      <c r="BH540" s="245"/>
      <c r="BI540" s="245"/>
      <c r="BJ540" s="245"/>
      <c r="BK540" s="245"/>
      <c r="BL540" s="245"/>
      <c r="BM540" s="245"/>
      <c r="BN540" s="245"/>
      <c r="BO540" s="245"/>
      <c r="BP540" s="245"/>
      <c r="BQ540" s="245"/>
      <c r="BR540" s="245"/>
      <c r="BS540" s="245"/>
      <c r="BT540" s="246"/>
      <c r="BU540" s="245"/>
      <c r="BV540" s="245"/>
      <c r="BW540" s="245"/>
      <c r="BX540" s="245"/>
      <c r="BY540" s="245"/>
      <c r="BZ540" s="282"/>
      <c r="CA540" s="245"/>
      <c r="CB540" s="245"/>
      <c r="CC540" s="245"/>
      <c r="CD540" s="245"/>
      <c r="CE540" s="245"/>
      <c r="CF540" s="245"/>
    </row>
    <row r="541">
      <c r="A541" s="245"/>
      <c r="B541" s="245"/>
      <c r="C541" s="245"/>
      <c r="D541" s="246"/>
      <c r="E541" s="245"/>
      <c r="F541" s="245"/>
      <c r="G541" s="245"/>
      <c r="H541" s="245"/>
      <c r="I541" s="245"/>
      <c r="J541" s="245"/>
      <c r="K541" s="265"/>
      <c r="L541" s="245"/>
      <c r="M541" s="245"/>
      <c r="N541" s="245"/>
      <c r="O541" s="245"/>
      <c r="P541" s="245"/>
      <c r="Q541" s="247"/>
      <c r="R541" s="254"/>
      <c r="S541" s="245"/>
      <c r="T541" s="245"/>
      <c r="U541" s="245"/>
      <c r="V541" s="245"/>
      <c r="W541" s="245"/>
      <c r="X541" s="245"/>
      <c r="Y541" s="249"/>
      <c r="Z541" s="276"/>
      <c r="AA541" s="245"/>
      <c r="AB541" s="276"/>
      <c r="AC541" s="276"/>
      <c r="AD541" s="246"/>
      <c r="AE541" s="278"/>
      <c r="AF541" s="370"/>
      <c r="AG541" s="371"/>
      <c r="AH541" s="276"/>
      <c r="AI541" s="245"/>
      <c r="AJ541" s="287"/>
      <c r="AK541" s="278"/>
      <c r="AL541" s="246"/>
      <c r="AM541" s="245"/>
      <c r="AN541" s="245"/>
      <c r="AO541" s="274"/>
      <c r="AP541" s="245"/>
      <c r="AQ541" s="245"/>
      <c r="AR541" s="246"/>
      <c r="AS541" s="245"/>
      <c r="AT541" s="245"/>
      <c r="AU541" s="245"/>
      <c r="AV541" s="245"/>
      <c r="AW541" s="245"/>
      <c r="AX541" s="246"/>
      <c r="AY541" s="245"/>
      <c r="AZ541" s="245"/>
      <c r="BA541" s="246"/>
      <c r="BB541" s="245"/>
      <c r="BC541" s="245"/>
      <c r="BD541" s="245"/>
      <c r="BE541" s="245"/>
      <c r="BF541" s="245"/>
      <c r="BG541" s="245"/>
      <c r="BH541" s="245"/>
      <c r="BI541" s="245"/>
      <c r="BJ541" s="245"/>
      <c r="BK541" s="245"/>
      <c r="BL541" s="245"/>
      <c r="BM541" s="245"/>
      <c r="BN541" s="245"/>
      <c r="BO541" s="245"/>
      <c r="BP541" s="245"/>
      <c r="BQ541" s="245"/>
      <c r="BR541" s="245"/>
      <c r="BS541" s="245"/>
      <c r="BT541" s="246"/>
      <c r="BU541" s="245"/>
      <c r="BV541" s="245"/>
      <c r="BW541" s="245"/>
      <c r="BX541" s="245"/>
      <c r="BY541" s="245"/>
      <c r="BZ541" s="282"/>
      <c r="CA541" s="245"/>
      <c r="CB541" s="245"/>
      <c r="CC541" s="245"/>
      <c r="CD541" s="245"/>
      <c r="CE541" s="245"/>
      <c r="CF541" s="245"/>
    </row>
    <row r="542">
      <c r="A542" s="245"/>
      <c r="B542" s="245"/>
      <c r="C542" s="245"/>
      <c r="D542" s="246"/>
      <c r="E542" s="245"/>
      <c r="F542" s="245"/>
      <c r="G542" s="245"/>
      <c r="H542" s="245"/>
      <c r="I542" s="245"/>
      <c r="J542" s="245"/>
      <c r="K542" s="265"/>
      <c r="L542" s="245"/>
      <c r="M542" s="245"/>
      <c r="N542" s="245"/>
      <c r="O542" s="245"/>
      <c r="P542" s="245"/>
      <c r="Q542" s="247"/>
      <c r="R542" s="254"/>
      <c r="S542" s="245"/>
      <c r="T542" s="245"/>
      <c r="U542" s="245"/>
      <c r="V542" s="245"/>
      <c r="W542" s="245"/>
      <c r="X542" s="245"/>
      <c r="Y542" s="249"/>
      <c r="Z542" s="276"/>
      <c r="AA542" s="245"/>
      <c r="AB542" s="276"/>
      <c r="AC542" s="276"/>
      <c r="AD542" s="246"/>
      <c r="AE542" s="278"/>
      <c r="AF542" s="370"/>
      <c r="AG542" s="371"/>
      <c r="AH542" s="276"/>
      <c r="AI542" s="245"/>
      <c r="AJ542" s="287"/>
      <c r="AK542" s="278"/>
      <c r="AL542" s="246"/>
      <c r="AM542" s="245"/>
      <c r="AN542" s="245"/>
      <c r="AO542" s="274"/>
      <c r="AP542" s="245"/>
      <c r="AQ542" s="245"/>
      <c r="AR542" s="246"/>
      <c r="AS542" s="245"/>
      <c r="AT542" s="245"/>
      <c r="AU542" s="245"/>
      <c r="AV542" s="245"/>
      <c r="AW542" s="245"/>
      <c r="AX542" s="246"/>
      <c r="AY542" s="245"/>
      <c r="AZ542" s="245"/>
      <c r="BA542" s="246"/>
      <c r="BB542" s="245"/>
      <c r="BC542" s="245"/>
      <c r="BD542" s="245"/>
      <c r="BE542" s="245"/>
      <c r="BF542" s="245"/>
      <c r="BG542" s="245"/>
      <c r="BH542" s="245"/>
      <c r="BI542" s="245"/>
      <c r="BJ542" s="245"/>
      <c r="BK542" s="245"/>
      <c r="BL542" s="245"/>
      <c r="BM542" s="245"/>
      <c r="BN542" s="245"/>
      <c r="BO542" s="245"/>
      <c r="BP542" s="245"/>
      <c r="BQ542" s="245"/>
      <c r="BR542" s="245"/>
      <c r="BS542" s="245"/>
      <c r="BT542" s="246"/>
      <c r="BU542" s="245"/>
      <c r="BV542" s="245"/>
      <c r="BW542" s="245"/>
      <c r="BX542" s="245"/>
      <c r="BY542" s="245"/>
      <c r="BZ542" s="282"/>
      <c r="CA542" s="245"/>
      <c r="CB542" s="245"/>
      <c r="CC542" s="245"/>
      <c r="CD542" s="245"/>
      <c r="CE542" s="245"/>
      <c r="CF542" s="245"/>
    </row>
    <row r="543">
      <c r="A543" s="245"/>
      <c r="B543" s="245"/>
      <c r="C543" s="245"/>
      <c r="D543" s="246"/>
      <c r="E543" s="245"/>
      <c r="F543" s="245"/>
      <c r="G543" s="245"/>
      <c r="H543" s="245"/>
      <c r="I543" s="245"/>
      <c r="J543" s="245"/>
      <c r="K543" s="265"/>
      <c r="L543" s="245"/>
      <c r="M543" s="245"/>
      <c r="N543" s="245"/>
      <c r="O543" s="245"/>
      <c r="P543" s="245"/>
      <c r="Q543" s="247"/>
      <c r="R543" s="254"/>
      <c r="S543" s="245"/>
      <c r="T543" s="245"/>
      <c r="U543" s="245"/>
      <c r="V543" s="245"/>
      <c r="W543" s="245"/>
      <c r="X543" s="245"/>
      <c r="Y543" s="249"/>
      <c r="Z543" s="276"/>
      <c r="AA543" s="245"/>
      <c r="AB543" s="276"/>
      <c r="AC543" s="276"/>
      <c r="AD543" s="246"/>
      <c r="AE543" s="278"/>
      <c r="AF543" s="370"/>
      <c r="AG543" s="371"/>
      <c r="AH543" s="276"/>
      <c r="AI543" s="245"/>
      <c r="AJ543" s="287"/>
      <c r="AK543" s="278"/>
      <c r="AL543" s="246"/>
      <c r="AM543" s="245"/>
      <c r="AN543" s="245"/>
      <c r="AO543" s="274"/>
      <c r="AP543" s="245"/>
      <c r="AQ543" s="245"/>
      <c r="AR543" s="246"/>
      <c r="AS543" s="245"/>
      <c r="AT543" s="245"/>
      <c r="AU543" s="245"/>
      <c r="AV543" s="245"/>
      <c r="AW543" s="245"/>
      <c r="AX543" s="246"/>
      <c r="AY543" s="245"/>
      <c r="AZ543" s="245"/>
      <c r="BA543" s="246"/>
      <c r="BB543" s="245"/>
      <c r="BC543" s="245"/>
      <c r="BD543" s="245"/>
      <c r="BE543" s="245"/>
      <c r="BF543" s="245"/>
      <c r="BG543" s="245"/>
      <c r="BH543" s="245"/>
      <c r="BI543" s="245"/>
      <c r="BJ543" s="245"/>
      <c r="BK543" s="245"/>
      <c r="BL543" s="245"/>
      <c r="BM543" s="245"/>
      <c r="BN543" s="245"/>
      <c r="BO543" s="245"/>
      <c r="BP543" s="245"/>
      <c r="BQ543" s="245"/>
      <c r="BR543" s="245"/>
      <c r="BS543" s="245"/>
      <c r="BT543" s="246"/>
      <c r="BU543" s="245"/>
      <c r="BV543" s="245"/>
      <c r="BW543" s="245"/>
      <c r="BX543" s="245"/>
      <c r="BY543" s="245"/>
      <c r="BZ543" s="282"/>
      <c r="CA543" s="245"/>
      <c r="CB543" s="245"/>
      <c r="CC543" s="245"/>
      <c r="CD543" s="245"/>
      <c r="CE543" s="245"/>
      <c r="CF543" s="245"/>
    </row>
    <row r="544">
      <c r="A544" s="245"/>
      <c r="B544" s="245"/>
      <c r="C544" s="245"/>
      <c r="D544" s="246"/>
      <c r="E544" s="245"/>
      <c r="F544" s="245"/>
      <c r="G544" s="245"/>
      <c r="H544" s="245"/>
      <c r="I544" s="245"/>
      <c r="J544" s="245"/>
      <c r="K544" s="265"/>
      <c r="L544" s="245"/>
      <c r="M544" s="245"/>
      <c r="N544" s="245"/>
      <c r="O544" s="245"/>
      <c r="P544" s="245"/>
      <c r="Q544" s="247"/>
      <c r="R544" s="254"/>
      <c r="S544" s="245"/>
      <c r="T544" s="245"/>
      <c r="U544" s="245"/>
      <c r="V544" s="245"/>
      <c r="W544" s="245"/>
      <c r="X544" s="245"/>
      <c r="Y544" s="249"/>
      <c r="Z544" s="276"/>
      <c r="AA544" s="245"/>
      <c r="AB544" s="276"/>
      <c r="AC544" s="276"/>
      <c r="AD544" s="246"/>
      <c r="AE544" s="278"/>
      <c r="AF544" s="370"/>
      <c r="AG544" s="371"/>
      <c r="AH544" s="276"/>
      <c r="AI544" s="245"/>
      <c r="AJ544" s="287"/>
      <c r="AK544" s="278"/>
      <c r="AL544" s="246"/>
      <c r="AM544" s="245"/>
      <c r="AN544" s="245"/>
      <c r="AO544" s="274"/>
      <c r="AP544" s="245"/>
      <c r="AQ544" s="245"/>
      <c r="AR544" s="246"/>
      <c r="AS544" s="245"/>
      <c r="AT544" s="245"/>
      <c r="AU544" s="245"/>
      <c r="AV544" s="245"/>
      <c r="AW544" s="245"/>
      <c r="AX544" s="246"/>
      <c r="AY544" s="245"/>
      <c r="AZ544" s="245"/>
      <c r="BA544" s="246"/>
      <c r="BB544" s="245"/>
      <c r="BC544" s="245"/>
      <c r="BD544" s="245"/>
      <c r="BE544" s="245"/>
      <c r="BF544" s="245"/>
      <c r="BG544" s="245"/>
      <c r="BH544" s="245"/>
      <c r="BI544" s="245"/>
      <c r="BJ544" s="245"/>
      <c r="BK544" s="245"/>
      <c r="BL544" s="245"/>
      <c r="BM544" s="245"/>
      <c r="BN544" s="245"/>
      <c r="BO544" s="245"/>
      <c r="BP544" s="245"/>
      <c r="BQ544" s="245"/>
      <c r="BR544" s="245"/>
      <c r="BS544" s="245"/>
      <c r="BT544" s="246"/>
      <c r="BU544" s="245"/>
      <c r="BV544" s="245"/>
      <c r="BW544" s="245"/>
      <c r="BX544" s="245"/>
      <c r="BY544" s="245"/>
      <c r="BZ544" s="282"/>
      <c r="CA544" s="245"/>
      <c r="CB544" s="245"/>
      <c r="CC544" s="245"/>
      <c r="CD544" s="245"/>
      <c r="CE544" s="245"/>
      <c r="CF544" s="245"/>
    </row>
    <row r="545">
      <c r="A545" s="305"/>
      <c r="B545" s="245"/>
      <c r="C545" s="245"/>
      <c r="D545" s="246"/>
      <c r="E545" s="245"/>
      <c r="F545" s="245"/>
      <c r="G545" s="245"/>
      <c r="H545" s="245"/>
      <c r="I545" s="245"/>
      <c r="J545" s="245"/>
      <c r="K545" s="265"/>
      <c r="L545" s="245"/>
      <c r="M545" s="245"/>
      <c r="N545" s="245"/>
      <c r="O545" s="245"/>
      <c r="P545" s="245"/>
      <c r="Q545" s="247"/>
      <c r="R545" s="254"/>
      <c r="S545" s="245"/>
      <c r="T545" s="245"/>
      <c r="U545" s="245"/>
      <c r="V545" s="245"/>
      <c r="W545" s="245"/>
      <c r="X545" s="245"/>
      <c r="Y545" s="249"/>
      <c r="Z545" s="276"/>
      <c r="AA545" s="245"/>
      <c r="AB545" s="276"/>
      <c r="AC545" s="276"/>
      <c r="AD545" s="246"/>
      <c r="AE545" s="278"/>
      <c r="AF545" s="370"/>
      <c r="AG545" s="371"/>
      <c r="AH545" s="276"/>
      <c r="AI545" s="245"/>
      <c r="AJ545" s="287"/>
      <c r="AK545" s="278"/>
      <c r="AL545" s="246"/>
      <c r="AM545" s="245"/>
      <c r="AN545" s="245"/>
      <c r="AO545" s="274"/>
      <c r="AP545" s="245"/>
      <c r="AQ545" s="245"/>
      <c r="AR545" s="246"/>
      <c r="AS545" s="245"/>
      <c r="AT545" s="245"/>
      <c r="AU545" s="245"/>
      <c r="AV545" s="245"/>
      <c r="AW545" s="245"/>
      <c r="AX545" s="246"/>
      <c r="AY545" s="245"/>
      <c r="AZ545" s="245"/>
      <c r="BA545" s="246"/>
      <c r="BB545" s="245"/>
      <c r="BC545" s="245"/>
      <c r="BD545" s="245"/>
      <c r="BE545" s="245"/>
      <c r="BF545" s="245"/>
      <c r="BG545" s="245"/>
      <c r="BH545" s="245"/>
      <c r="BI545" s="245"/>
      <c r="BJ545" s="245"/>
      <c r="BK545" s="245"/>
      <c r="BL545" s="245"/>
      <c r="BM545" s="245"/>
      <c r="BN545" s="245"/>
      <c r="BO545" s="245"/>
      <c r="BP545" s="245"/>
      <c r="BQ545" s="245"/>
      <c r="BR545" s="245"/>
      <c r="BS545" s="245"/>
      <c r="BT545" s="246"/>
      <c r="BU545" s="245"/>
      <c r="BV545" s="245"/>
      <c r="BW545" s="245"/>
      <c r="BX545" s="245"/>
      <c r="BY545" s="245"/>
      <c r="BZ545" s="282"/>
      <c r="CA545" s="245"/>
      <c r="CB545" s="245"/>
      <c r="CC545" s="245"/>
      <c r="CD545" s="245"/>
      <c r="CE545" s="245"/>
      <c r="CF545" s="245"/>
    </row>
    <row r="546">
      <c r="A546" s="305"/>
      <c r="B546" s="245"/>
      <c r="C546" s="245"/>
      <c r="D546" s="246"/>
      <c r="E546" s="245"/>
      <c r="F546" s="245"/>
      <c r="G546" s="245"/>
      <c r="H546" s="245"/>
      <c r="I546" s="245"/>
      <c r="J546" s="245"/>
      <c r="K546" s="265"/>
      <c r="L546" s="245"/>
      <c r="M546" s="245"/>
      <c r="N546" s="245"/>
      <c r="O546" s="245"/>
      <c r="P546" s="245"/>
      <c r="Q546" s="247"/>
      <c r="R546" s="254"/>
      <c r="S546" s="245"/>
      <c r="T546" s="245"/>
      <c r="U546" s="245"/>
      <c r="V546" s="245"/>
      <c r="W546" s="245"/>
      <c r="X546" s="245"/>
      <c r="Y546" s="249"/>
      <c r="Z546" s="276"/>
      <c r="AA546" s="245"/>
      <c r="AB546" s="276"/>
      <c r="AC546" s="276"/>
      <c r="AD546" s="246"/>
      <c r="AE546" s="278"/>
      <c r="AF546" s="370"/>
      <c r="AG546" s="371"/>
      <c r="AH546" s="276"/>
      <c r="AI546" s="245"/>
      <c r="AJ546" s="287"/>
      <c r="AK546" s="278"/>
      <c r="AL546" s="246"/>
      <c r="AM546" s="245"/>
      <c r="AN546" s="245"/>
      <c r="AO546" s="274"/>
      <c r="AP546" s="245"/>
      <c r="AQ546" s="245"/>
      <c r="AR546" s="246"/>
      <c r="AS546" s="245"/>
      <c r="AT546" s="245"/>
      <c r="AU546" s="245"/>
      <c r="AV546" s="245"/>
      <c r="AW546" s="245"/>
      <c r="AX546" s="246"/>
      <c r="AY546" s="245"/>
      <c r="AZ546" s="245"/>
      <c r="BA546" s="246"/>
      <c r="BB546" s="245"/>
      <c r="BC546" s="245"/>
      <c r="BD546" s="245"/>
      <c r="BE546" s="245"/>
      <c r="BF546" s="245"/>
      <c r="BG546" s="245"/>
      <c r="BH546" s="245"/>
      <c r="BI546" s="245"/>
      <c r="BJ546" s="245"/>
      <c r="BK546" s="245"/>
      <c r="BL546" s="245"/>
      <c r="BM546" s="245"/>
      <c r="BN546" s="245"/>
      <c r="BO546" s="245"/>
      <c r="BP546" s="245"/>
      <c r="BQ546" s="245"/>
      <c r="BR546" s="245"/>
      <c r="BS546" s="245"/>
      <c r="BT546" s="246"/>
      <c r="BU546" s="245"/>
      <c r="BV546" s="245"/>
      <c r="BW546" s="245"/>
      <c r="BX546" s="245"/>
      <c r="BY546" s="245"/>
      <c r="BZ546" s="282"/>
      <c r="CA546" s="245"/>
      <c r="CB546" s="245"/>
      <c r="CC546" s="245"/>
      <c r="CD546" s="245"/>
      <c r="CE546" s="245"/>
      <c r="CF546" s="245"/>
    </row>
    <row r="547">
      <c r="A547" s="305"/>
      <c r="B547" s="245"/>
      <c r="C547" s="245"/>
      <c r="D547" s="246"/>
      <c r="E547" s="245"/>
      <c r="F547" s="245"/>
      <c r="G547" s="245"/>
      <c r="H547" s="245"/>
      <c r="I547" s="245"/>
      <c r="J547" s="245"/>
      <c r="K547" s="265"/>
      <c r="L547" s="245"/>
      <c r="M547" s="245"/>
      <c r="N547" s="245"/>
      <c r="O547" s="245"/>
      <c r="P547" s="245"/>
      <c r="Q547" s="247"/>
      <c r="R547" s="254"/>
      <c r="S547" s="245"/>
      <c r="T547" s="245"/>
      <c r="U547" s="245"/>
      <c r="V547" s="245"/>
      <c r="W547" s="245"/>
      <c r="X547" s="245"/>
      <c r="Y547" s="249"/>
      <c r="Z547" s="276"/>
      <c r="AA547" s="245"/>
      <c r="AB547" s="276"/>
      <c r="AC547" s="276"/>
      <c r="AD547" s="246"/>
      <c r="AE547" s="278"/>
      <c r="AF547" s="370"/>
      <c r="AG547" s="371"/>
      <c r="AH547" s="276"/>
      <c r="AI547" s="245"/>
      <c r="AJ547" s="287"/>
      <c r="AK547" s="278"/>
      <c r="AL547" s="246"/>
      <c r="AM547" s="245"/>
      <c r="AN547" s="245"/>
      <c r="AO547" s="274"/>
      <c r="AP547" s="245"/>
      <c r="AQ547" s="245"/>
      <c r="AR547" s="246"/>
      <c r="AS547" s="245"/>
      <c r="AT547" s="245"/>
      <c r="AU547" s="245"/>
      <c r="AV547" s="245"/>
      <c r="AW547" s="245"/>
      <c r="AX547" s="246"/>
      <c r="AY547" s="245"/>
      <c r="AZ547" s="245"/>
      <c r="BA547" s="246"/>
      <c r="BB547" s="245"/>
      <c r="BC547" s="245"/>
      <c r="BD547" s="245"/>
      <c r="BE547" s="245"/>
      <c r="BF547" s="245"/>
      <c r="BG547" s="245"/>
      <c r="BH547" s="245"/>
      <c r="BI547" s="245"/>
      <c r="BJ547" s="245"/>
      <c r="BK547" s="245"/>
      <c r="BL547" s="245"/>
      <c r="BM547" s="245"/>
      <c r="BN547" s="245"/>
      <c r="BO547" s="245"/>
      <c r="BP547" s="245"/>
      <c r="BQ547" s="245"/>
      <c r="BR547" s="245"/>
      <c r="BS547" s="245"/>
      <c r="BT547" s="246"/>
      <c r="BU547" s="245"/>
      <c r="BV547" s="245"/>
      <c r="BW547" s="245"/>
      <c r="BX547" s="245"/>
      <c r="BY547" s="245"/>
      <c r="BZ547" s="282"/>
      <c r="CA547" s="245"/>
      <c r="CB547" s="245"/>
      <c r="CC547" s="245"/>
      <c r="CD547" s="245"/>
      <c r="CE547" s="245"/>
      <c r="CF547" s="245"/>
    </row>
    <row r="548">
      <c r="A548" s="305"/>
      <c r="B548" s="245"/>
      <c r="C548" s="245"/>
      <c r="D548" s="246"/>
      <c r="E548" s="245"/>
      <c r="F548" s="245"/>
      <c r="G548" s="245"/>
      <c r="H548" s="245"/>
      <c r="I548" s="245"/>
      <c r="J548" s="245"/>
      <c r="K548" s="265"/>
      <c r="L548" s="245"/>
      <c r="M548" s="245"/>
      <c r="N548" s="245"/>
      <c r="O548" s="245"/>
      <c r="P548" s="245"/>
      <c r="Q548" s="247"/>
      <c r="R548" s="254"/>
      <c r="S548" s="245"/>
      <c r="T548" s="245"/>
      <c r="U548" s="245"/>
      <c r="V548" s="245"/>
      <c r="W548" s="245"/>
      <c r="X548" s="245"/>
      <c r="Y548" s="249"/>
      <c r="Z548" s="276"/>
      <c r="AA548" s="245"/>
      <c r="AB548" s="276"/>
      <c r="AC548" s="276"/>
      <c r="AD548" s="246"/>
      <c r="AE548" s="278"/>
      <c r="AF548" s="370"/>
      <c r="AG548" s="371"/>
      <c r="AH548" s="276"/>
      <c r="AI548" s="245"/>
      <c r="AJ548" s="287"/>
      <c r="AK548" s="278"/>
      <c r="AL548" s="246"/>
      <c r="AM548" s="245"/>
      <c r="AN548" s="245"/>
      <c r="AO548" s="274"/>
      <c r="AP548" s="245"/>
      <c r="AQ548" s="245"/>
      <c r="AR548" s="246"/>
      <c r="AS548" s="245"/>
      <c r="AT548" s="245"/>
      <c r="AU548" s="245"/>
      <c r="AV548" s="245"/>
      <c r="AW548" s="245"/>
      <c r="AX548" s="246"/>
      <c r="AY548" s="245"/>
      <c r="AZ548" s="245"/>
      <c r="BA548" s="246"/>
      <c r="BB548" s="245"/>
      <c r="BC548" s="245"/>
      <c r="BD548" s="245"/>
      <c r="BE548" s="245"/>
      <c r="BF548" s="245"/>
      <c r="BG548" s="245"/>
      <c r="BH548" s="245"/>
      <c r="BI548" s="245"/>
      <c r="BJ548" s="245"/>
      <c r="BK548" s="245"/>
      <c r="BL548" s="245"/>
      <c r="BM548" s="245"/>
      <c r="BN548" s="245"/>
      <c r="BO548" s="245"/>
      <c r="BP548" s="245"/>
      <c r="BQ548" s="245"/>
      <c r="BR548" s="245"/>
      <c r="BS548" s="245"/>
      <c r="BT548" s="246"/>
      <c r="BU548" s="245"/>
      <c r="BV548" s="245"/>
      <c r="BW548" s="245"/>
      <c r="BX548" s="245"/>
      <c r="BY548" s="245"/>
      <c r="BZ548" s="282"/>
      <c r="CA548" s="245"/>
      <c r="CB548" s="245"/>
      <c r="CC548" s="245"/>
      <c r="CD548" s="245"/>
      <c r="CE548" s="245"/>
      <c r="CF548" s="245"/>
    </row>
    <row r="549">
      <c r="A549" s="305"/>
      <c r="B549" s="245"/>
      <c r="C549" s="245"/>
      <c r="D549" s="246"/>
      <c r="E549" s="245"/>
      <c r="F549" s="245"/>
      <c r="G549" s="245"/>
      <c r="H549" s="245"/>
      <c r="I549" s="245"/>
      <c r="J549" s="245"/>
      <c r="K549" s="265"/>
      <c r="L549" s="245"/>
      <c r="M549" s="245"/>
      <c r="N549" s="245"/>
      <c r="O549" s="245"/>
      <c r="P549" s="245"/>
      <c r="Q549" s="247"/>
      <c r="R549" s="254"/>
      <c r="S549" s="245"/>
      <c r="T549" s="245"/>
      <c r="U549" s="245"/>
      <c r="V549" s="245"/>
      <c r="W549" s="245"/>
      <c r="X549" s="245"/>
      <c r="Y549" s="249"/>
      <c r="Z549" s="276"/>
      <c r="AA549" s="245"/>
      <c r="AB549" s="276"/>
      <c r="AC549" s="276"/>
      <c r="AD549" s="246"/>
      <c r="AE549" s="278"/>
      <c r="AF549" s="370"/>
      <c r="AG549" s="371"/>
      <c r="AH549" s="276"/>
      <c r="AI549" s="245"/>
      <c r="AJ549" s="287"/>
      <c r="AK549" s="278"/>
      <c r="AL549" s="246"/>
      <c r="AM549" s="245"/>
      <c r="AN549" s="245"/>
      <c r="AO549" s="274"/>
      <c r="AP549" s="245"/>
      <c r="AQ549" s="245"/>
      <c r="AR549" s="246"/>
      <c r="AS549" s="245"/>
      <c r="AT549" s="245"/>
      <c r="AU549" s="245"/>
      <c r="AV549" s="245"/>
      <c r="AW549" s="245"/>
      <c r="AX549" s="246"/>
      <c r="AY549" s="245"/>
      <c r="AZ549" s="245"/>
      <c r="BA549" s="246"/>
      <c r="BB549" s="245"/>
      <c r="BC549" s="245"/>
      <c r="BD549" s="245"/>
      <c r="BE549" s="245"/>
      <c r="BF549" s="245"/>
      <c r="BG549" s="245"/>
      <c r="BH549" s="245"/>
      <c r="BI549" s="245"/>
      <c r="BJ549" s="245"/>
      <c r="BK549" s="245"/>
      <c r="BL549" s="245"/>
      <c r="BM549" s="245"/>
      <c r="BN549" s="245"/>
      <c r="BO549" s="245"/>
      <c r="BP549" s="245"/>
      <c r="BQ549" s="245"/>
      <c r="BR549" s="245"/>
      <c r="BS549" s="245"/>
      <c r="BT549" s="246"/>
      <c r="BU549" s="245"/>
      <c r="BV549" s="245"/>
      <c r="BW549" s="245"/>
      <c r="BX549" s="245"/>
      <c r="BY549" s="245"/>
      <c r="BZ549" s="282"/>
      <c r="CA549" s="245"/>
      <c r="CB549" s="245"/>
      <c r="CC549" s="245"/>
      <c r="CD549" s="245"/>
      <c r="CE549" s="245"/>
      <c r="CF549" s="245"/>
    </row>
    <row r="550">
      <c r="A550" s="305"/>
      <c r="B550" s="245"/>
      <c r="C550" s="245"/>
      <c r="D550" s="246"/>
      <c r="E550" s="245"/>
      <c r="F550" s="245"/>
      <c r="G550" s="245"/>
      <c r="H550" s="245"/>
      <c r="I550" s="245"/>
      <c r="J550" s="245"/>
      <c r="K550" s="265"/>
      <c r="L550" s="245"/>
      <c r="M550" s="245"/>
      <c r="N550" s="245"/>
      <c r="O550" s="245"/>
      <c r="P550" s="245"/>
      <c r="Q550" s="247"/>
      <c r="R550" s="254"/>
      <c r="S550" s="245"/>
      <c r="T550" s="245"/>
      <c r="U550" s="245"/>
      <c r="V550" s="245"/>
      <c r="W550" s="245"/>
      <c r="X550" s="245"/>
      <c r="Y550" s="249"/>
      <c r="Z550" s="276"/>
      <c r="AA550" s="245"/>
      <c r="AB550" s="276"/>
      <c r="AC550" s="276"/>
      <c r="AD550" s="246"/>
      <c r="AE550" s="278"/>
      <c r="AF550" s="370"/>
      <c r="AG550" s="371"/>
      <c r="AH550" s="276"/>
      <c r="AI550" s="245"/>
      <c r="AJ550" s="287"/>
      <c r="AK550" s="278"/>
      <c r="AL550" s="246"/>
      <c r="AM550" s="245"/>
      <c r="AN550" s="245"/>
      <c r="AO550" s="274"/>
      <c r="AP550" s="245"/>
      <c r="AQ550" s="245"/>
      <c r="AR550" s="246"/>
      <c r="AS550" s="245"/>
      <c r="AT550" s="245"/>
      <c r="AU550" s="245"/>
      <c r="AV550" s="245"/>
      <c r="AW550" s="245"/>
      <c r="AX550" s="246"/>
      <c r="AY550" s="245"/>
      <c r="AZ550" s="245"/>
      <c r="BA550" s="246"/>
      <c r="BB550" s="245"/>
      <c r="BC550" s="245"/>
      <c r="BD550" s="245"/>
      <c r="BE550" s="245"/>
      <c r="BF550" s="245"/>
      <c r="BG550" s="245"/>
      <c r="BH550" s="245"/>
      <c r="BI550" s="245"/>
      <c r="BJ550" s="245"/>
      <c r="BK550" s="245"/>
      <c r="BL550" s="245"/>
      <c r="BM550" s="245"/>
      <c r="BN550" s="245"/>
      <c r="BO550" s="245"/>
      <c r="BP550" s="245"/>
      <c r="BQ550" s="245"/>
      <c r="BR550" s="245"/>
      <c r="BS550" s="245"/>
      <c r="BT550" s="246"/>
      <c r="BU550" s="245"/>
      <c r="BV550" s="245"/>
      <c r="BW550" s="245"/>
      <c r="BX550" s="245"/>
      <c r="BY550" s="245"/>
      <c r="BZ550" s="282"/>
      <c r="CA550" s="245"/>
      <c r="CB550" s="245"/>
      <c r="CC550" s="245"/>
      <c r="CD550" s="245"/>
      <c r="CE550" s="245"/>
      <c r="CF550" s="245"/>
    </row>
    <row r="551">
      <c r="A551" s="305"/>
      <c r="B551" s="245"/>
      <c r="C551" s="245"/>
      <c r="D551" s="246"/>
      <c r="E551" s="245"/>
      <c r="F551" s="245"/>
      <c r="G551" s="245"/>
      <c r="H551" s="245"/>
      <c r="I551" s="245"/>
      <c r="J551" s="245"/>
      <c r="K551" s="265"/>
      <c r="L551" s="245"/>
      <c r="M551" s="245"/>
      <c r="N551" s="245"/>
      <c r="O551" s="245"/>
      <c r="P551" s="245"/>
      <c r="Q551" s="247"/>
      <c r="R551" s="254"/>
      <c r="S551" s="245"/>
      <c r="T551" s="245"/>
      <c r="U551" s="245"/>
      <c r="V551" s="245"/>
      <c r="W551" s="245"/>
      <c r="X551" s="245"/>
      <c r="Y551" s="249"/>
      <c r="Z551" s="276"/>
      <c r="AA551" s="245"/>
      <c r="AB551" s="276"/>
      <c r="AC551" s="276"/>
      <c r="AD551" s="246"/>
      <c r="AE551" s="278"/>
      <c r="AF551" s="370"/>
      <c r="AG551" s="371"/>
      <c r="AH551" s="276"/>
      <c r="AI551" s="245"/>
      <c r="AJ551" s="287"/>
      <c r="AK551" s="278"/>
      <c r="AL551" s="246"/>
      <c r="AM551" s="245"/>
      <c r="AN551" s="245"/>
      <c r="AO551" s="274"/>
      <c r="AP551" s="245"/>
      <c r="AQ551" s="245"/>
      <c r="AR551" s="246"/>
      <c r="AS551" s="245"/>
      <c r="AT551" s="245"/>
      <c r="AU551" s="245"/>
      <c r="AV551" s="245"/>
      <c r="AW551" s="245"/>
      <c r="AX551" s="246"/>
      <c r="AY551" s="245"/>
      <c r="AZ551" s="245"/>
      <c r="BA551" s="246"/>
      <c r="BB551" s="245"/>
      <c r="BC551" s="245"/>
      <c r="BD551" s="245"/>
      <c r="BE551" s="245"/>
      <c r="BF551" s="245"/>
      <c r="BG551" s="245"/>
      <c r="BH551" s="245"/>
      <c r="BI551" s="245"/>
      <c r="BJ551" s="245"/>
      <c r="BK551" s="245"/>
      <c r="BL551" s="245"/>
      <c r="BM551" s="245"/>
      <c r="BN551" s="245"/>
      <c r="BO551" s="245"/>
      <c r="BP551" s="245"/>
      <c r="BQ551" s="245"/>
      <c r="BR551" s="245"/>
      <c r="BS551" s="245"/>
      <c r="BT551" s="246"/>
      <c r="BU551" s="245"/>
      <c r="BV551" s="245"/>
      <c r="BW551" s="245"/>
      <c r="BX551" s="245"/>
      <c r="BY551" s="245"/>
      <c r="BZ551" s="282"/>
      <c r="CA551" s="245"/>
      <c r="CB551" s="245"/>
      <c r="CC551" s="245"/>
      <c r="CD551" s="245"/>
      <c r="CE551" s="245"/>
      <c r="CF551" s="245"/>
    </row>
    <row r="552">
      <c r="A552" s="305"/>
      <c r="B552" s="245"/>
      <c r="C552" s="245"/>
      <c r="D552" s="246"/>
      <c r="E552" s="245"/>
      <c r="F552" s="245"/>
      <c r="G552" s="245"/>
      <c r="H552" s="245"/>
      <c r="I552" s="245"/>
      <c r="J552" s="245"/>
      <c r="K552" s="265"/>
      <c r="L552" s="245"/>
      <c r="M552" s="245"/>
      <c r="N552" s="245"/>
      <c r="O552" s="245"/>
      <c r="P552" s="245"/>
      <c r="Q552" s="247"/>
      <c r="R552" s="254"/>
      <c r="S552" s="245"/>
      <c r="T552" s="245"/>
      <c r="U552" s="245"/>
      <c r="V552" s="245"/>
      <c r="W552" s="245"/>
      <c r="X552" s="245"/>
      <c r="Y552" s="249"/>
      <c r="Z552" s="276"/>
      <c r="AA552" s="245"/>
      <c r="AB552" s="276"/>
      <c r="AC552" s="276"/>
      <c r="AD552" s="246"/>
      <c r="AE552" s="278"/>
      <c r="AF552" s="370"/>
      <c r="AG552" s="371"/>
      <c r="AH552" s="276"/>
      <c r="AI552" s="245"/>
      <c r="AJ552" s="287"/>
      <c r="AK552" s="278"/>
      <c r="AL552" s="246"/>
      <c r="AM552" s="245"/>
      <c r="AN552" s="245"/>
      <c r="AO552" s="274"/>
      <c r="AP552" s="245"/>
      <c r="AQ552" s="245"/>
      <c r="AR552" s="246"/>
      <c r="AS552" s="245"/>
      <c r="AT552" s="245"/>
      <c r="AU552" s="245"/>
      <c r="AV552" s="245"/>
      <c r="AW552" s="245"/>
      <c r="AX552" s="246"/>
      <c r="AY552" s="245"/>
      <c r="AZ552" s="245"/>
      <c r="BA552" s="246"/>
      <c r="BB552" s="245"/>
      <c r="BC552" s="245"/>
      <c r="BD552" s="245"/>
      <c r="BE552" s="245"/>
      <c r="BF552" s="245"/>
      <c r="BG552" s="245"/>
      <c r="BH552" s="245"/>
      <c r="BI552" s="245"/>
      <c r="BJ552" s="245"/>
      <c r="BK552" s="245"/>
      <c r="BL552" s="245"/>
      <c r="BM552" s="245"/>
      <c r="BN552" s="245"/>
      <c r="BO552" s="245"/>
      <c r="BP552" s="245"/>
      <c r="BQ552" s="245"/>
      <c r="BR552" s="245"/>
      <c r="BS552" s="245"/>
      <c r="BT552" s="246"/>
      <c r="BU552" s="245"/>
      <c r="BV552" s="245"/>
      <c r="BW552" s="245"/>
      <c r="BX552" s="245"/>
      <c r="BY552" s="245"/>
      <c r="BZ552" s="282"/>
      <c r="CA552" s="245"/>
      <c r="CB552" s="245"/>
      <c r="CC552" s="245"/>
      <c r="CD552" s="245"/>
      <c r="CE552" s="245"/>
      <c r="CF552" s="245"/>
    </row>
    <row r="553">
      <c r="A553" s="305"/>
      <c r="B553" s="245"/>
      <c r="C553" s="245"/>
      <c r="D553" s="246"/>
      <c r="E553" s="245"/>
      <c r="F553" s="245"/>
      <c r="G553" s="245"/>
      <c r="H553" s="245"/>
      <c r="I553" s="245"/>
      <c r="J553" s="245"/>
      <c r="K553" s="265"/>
      <c r="L553" s="245"/>
      <c r="M553" s="245"/>
      <c r="N553" s="245"/>
      <c r="O553" s="245"/>
      <c r="P553" s="245"/>
      <c r="Q553" s="247"/>
      <c r="R553" s="254"/>
      <c r="S553" s="245"/>
      <c r="T553" s="245"/>
      <c r="U553" s="245"/>
      <c r="V553" s="245"/>
      <c r="W553" s="245"/>
      <c r="X553" s="245"/>
      <c r="Y553" s="249"/>
      <c r="Z553" s="276"/>
      <c r="AA553" s="245"/>
      <c r="AB553" s="276"/>
      <c r="AC553" s="276"/>
      <c r="AD553" s="246"/>
      <c r="AE553" s="278"/>
      <c r="AF553" s="370"/>
      <c r="AG553" s="371"/>
      <c r="AH553" s="276"/>
      <c r="AI553" s="245"/>
      <c r="AJ553" s="287"/>
      <c r="AK553" s="278"/>
      <c r="AL553" s="246"/>
      <c r="AM553" s="245"/>
      <c r="AN553" s="245"/>
      <c r="AO553" s="274"/>
      <c r="AP553" s="245"/>
      <c r="AQ553" s="245"/>
      <c r="AR553" s="246"/>
      <c r="AS553" s="245"/>
      <c r="AT553" s="245"/>
      <c r="AU553" s="245"/>
      <c r="AV553" s="245"/>
      <c r="AW553" s="245"/>
      <c r="AX553" s="246"/>
      <c r="AY553" s="245"/>
      <c r="AZ553" s="245"/>
      <c r="BA553" s="246"/>
      <c r="BB553" s="245"/>
      <c r="BC553" s="245"/>
      <c r="BD553" s="245"/>
      <c r="BE553" s="245"/>
      <c r="BF553" s="245"/>
      <c r="BG553" s="245"/>
      <c r="BH553" s="245"/>
      <c r="BI553" s="245"/>
      <c r="BJ553" s="245"/>
      <c r="BK553" s="245"/>
      <c r="BL553" s="245"/>
      <c r="BM553" s="245"/>
      <c r="BN553" s="245"/>
      <c r="BO553" s="245"/>
      <c r="BP553" s="245"/>
      <c r="BQ553" s="245"/>
      <c r="BR553" s="245"/>
      <c r="BS553" s="245"/>
      <c r="BT553" s="246"/>
      <c r="BU553" s="245"/>
      <c r="BV553" s="245"/>
      <c r="BW553" s="245"/>
      <c r="BX553" s="245"/>
      <c r="BY553" s="245"/>
      <c r="BZ553" s="282"/>
      <c r="CA553" s="245"/>
      <c r="CB553" s="245"/>
      <c r="CC553" s="245"/>
      <c r="CD553" s="245"/>
      <c r="CE553" s="245"/>
      <c r="CF553" s="245"/>
    </row>
    <row r="554">
      <c r="A554" s="305"/>
      <c r="B554" s="245"/>
      <c r="C554" s="245"/>
      <c r="D554" s="246"/>
      <c r="E554" s="245"/>
      <c r="F554" s="245"/>
      <c r="G554" s="245"/>
      <c r="H554" s="245"/>
      <c r="I554" s="245"/>
      <c r="J554" s="245"/>
      <c r="K554" s="265"/>
      <c r="L554" s="245"/>
      <c r="M554" s="245"/>
      <c r="N554" s="245"/>
      <c r="O554" s="245"/>
      <c r="P554" s="245"/>
      <c r="Q554" s="247"/>
      <c r="R554" s="254"/>
      <c r="S554" s="245"/>
      <c r="T554" s="245"/>
      <c r="U554" s="245"/>
      <c r="V554" s="245"/>
      <c r="W554" s="245"/>
      <c r="X554" s="245"/>
      <c r="Y554" s="249"/>
      <c r="Z554" s="276"/>
      <c r="AA554" s="245"/>
      <c r="AB554" s="276"/>
      <c r="AC554" s="276"/>
      <c r="AD554" s="246"/>
      <c r="AE554" s="278"/>
      <c r="AF554" s="370"/>
      <c r="AG554" s="371"/>
      <c r="AH554" s="276"/>
      <c r="AI554" s="245"/>
      <c r="AJ554" s="287"/>
      <c r="AK554" s="278"/>
      <c r="AL554" s="246"/>
      <c r="AM554" s="245"/>
      <c r="AN554" s="245"/>
      <c r="AO554" s="274"/>
      <c r="AP554" s="245"/>
      <c r="AQ554" s="245"/>
      <c r="AR554" s="246"/>
      <c r="AS554" s="245"/>
      <c r="AT554" s="245"/>
      <c r="AU554" s="245"/>
      <c r="AV554" s="245"/>
      <c r="AW554" s="245"/>
      <c r="AX554" s="246"/>
      <c r="AY554" s="245"/>
      <c r="AZ554" s="245"/>
      <c r="BA554" s="246"/>
      <c r="BB554" s="245"/>
      <c r="BC554" s="245"/>
      <c r="BD554" s="245"/>
      <c r="BE554" s="245"/>
      <c r="BF554" s="245"/>
      <c r="BG554" s="245"/>
      <c r="BH554" s="245"/>
      <c r="BI554" s="245"/>
      <c r="BJ554" s="245"/>
      <c r="BK554" s="245"/>
      <c r="BL554" s="245"/>
      <c r="BM554" s="245"/>
      <c r="BN554" s="245"/>
      <c r="BO554" s="245"/>
      <c r="BP554" s="245"/>
      <c r="BQ554" s="245"/>
      <c r="BR554" s="245"/>
      <c r="BS554" s="245"/>
      <c r="BT554" s="246"/>
      <c r="BU554" s="245"/>
      <c r="BV554" s="245"/>
      <c r="BW554" s="245"/>
      <c r="BX554" s="245"/>
      <c r="BY554" s="245"/>
      <c r="BZ554" s="282"/>
      <c r="CA554" s="245"/>
      <c r="CB554" s="245"/>
      <c r="CC554" s="245"/>
      <c r="CD554" s="245"/>
      <c r="CE554" s="245"/>
      <c r="CF554" s="245"/>
    </row>
    <row r="555">
      <c r="A555" s="305"/>
      <c r="B555" s="245"/>
      <c r="C555" s="245"/>
      <c r="D555" s="246"/>
      <c r="E555" s="245"/>
      <c r="F555" s="245"/>
      <c r="G555" s="245"/>
      <c r="H555" s="245"/>
      <c r="I555" s="245"/>
      <c r="J555" s="245"/>
      <c r="K555" s="265"/>
      <c r="L555" s="245"/>
      <c r="M555" s="245"/>
      <c r="N555" s="245"/>
      <c r="O555" s="245"/>
      <c r="P555" s="245"/>
      <c r="Q555" s="247"/>
      <c r="R555" s="254"/>
      <c r="S555" s="245"/>
      <c r="T555" s="245"/>
      <c r="U555" s="245"/>
      <c r="V555" s="245"/>
      <c r="W555" s="245"/>
      <c r="X555" s="245"/>
      <c r="Y555" s="249"/>
      <c r="Z555" s="276"/>
      <c r="AA555" s="245"/>
      <c r="AB555" s="276"/>
      <c r="AC555" s="276"/>
      <c r="AD555" s="246"/>
      <c r="AE555" s="278"/>
      <c r="AF555" s="370"/>
      <c r="AG555" s="371"/>
      <c r="AH555" s="276"/>
      <c r="AI555" s="245"/>
      <c r="AJ555" s="287"/>
      <c r="AK555" s="278"/>
      <c r="AL555" s="246"/>
      <c r="AM555" s="245"/>
      <c r="AN555" s="245"/>
      <c r="AO555" s="274"/>
      <c r="AP555" s="245"/>
      <c r="AQ555" s="245"/>
      <c r="AR555" s="246"/>
      <c r="AS555" s="245"/>
      <c r="AT555" s="245"/>
      <c r="AU555" s="245"/>
      <c r="AV555" s="245"/>
      <c r="AW555" s="245"/>
      <c r="AX555" s="246"/>
      <c r="AY555" s="245"/>
      <c r="AZ555" s="245"/>
      <c r="BA555" s="246"/>
      <c r="BB555" s="245"/>
      <c r="BC555" s="245"/>
      <c r="BD555" s="245"/>
      <c r="BE555" s="245"/>
      <c r="BF555" s="245"/>
      <c r="BG555" s="245"/>
      <c r="BH555" s="245"/>
      <c r="BI555" s="245"/>
      <c r="BJ555" s="245"/>
      <c r="BK555" s="245"/>
      <c r="BL555" s="245"/>
      <c r="BM555" s="245"/>
      <c r="BN555" s="245"/>
      <c r="BO555" s="245"/>
      <c r="BP555" s="245"/>
      <c r="BQ555" s="245"/>
      <c r="BR555" s="245"/>
      <c r="BS555" s="245"/>
      <c r="BT555" s="246"/>
      <c r="BU555" s="245"/>
      <c r="BV555" s="245"/>
      <c r="BW555" s="245"/>
      <c r="BX555" s="245"/>
      <c r="BY555" s="245"/>
      <c r="BZ555" s="282"/>
      <c r="CA555" s="245"/>
      <c r="CB555" s="245"/>
      <c r="CC555" s="245"/>
      <c r="CD555" s="245"/>
      <c r="CE555" s="245"/>
      <c r="CF555" s="245"/>
    </row>
    <row r="556">
      <c r="A556" s="305"/>
      <c r="B556" s="245"/>
      <c r="C556" s="245"/>
      <c r="D556" s="246"/>
      <c r="E556" s="245"/>
      <c r="F556" s="245"/>
      <c r="G556" s="245"/>
      <c r="H556" s="245"/>
      <c r="I556" s="245"/>
      <c r="J556" s="245"/>
      <c r="K556" s="265"/>
      <c r="L556" s="245"/>
      <c r="M556" s="245"/>
      <c r="N556" s="245"/>
      <c r="O556" s="245"/>
      <c r="P556" s="245"/>
      <c r="Q556" s="247"/>
      <c r="R556" s="254"/>
      <c r="S556" s="245"/>
      <c r="T556" s="245"/>
      <c r="U556" s="245"/>
      <c r="V556" s="245"/>
      <c r="W556" s="245"/>
      <c r="X556" s="245"/>
      <c r="Y556" s="249"/>
      <c r="Z556" s="276"/>
      <c r="AA556" s="245"/>
      <c r="AB556" s="276"/>
      <c r="AC556" s="276"/>
      <c r="AD556" s="246"/>
      <c r="AE556" s="278"/>
      <c r="AF556" s="370"/>
      <c r="AG556" s="371"/>
      <c r="AH556" s="276"/>
      <c r="AI556" s="245"/>
      <c r="AJ556" s="287"/>
      <c r="AK556" s="278"/>
      <c r="AL556" s="246"/>
      <c r="AM556" s="245"/>
      <c r="AN556" s="245"/>
      <c r="AO556" s="274"/>
      <c r="AP556" s="245"/>
      <c r="AQ556" s="245"/>
      <c r="AR556" s="246"/>
      <c r="AS556" s="245"/>
      <c r="AT556" s="245"/>
      <c r="AU556" s="245"/>
      <c r="AV556" s="245"/>
      <c r="AW556" s="245"/>
      <c r="AX556" s="246"/>
      <c r="AY556" s="245"/>
      <c r="AZ556" s="245"/>
      <c r="BA556" s="246"/>
      <c r="BB556" s="245"/>
      <c r="BC556" s="245"/>
      <c r="BD556" s="245"/>
      <c r="BE556" s="245"/>
      <c r="BF556" s="245"/>
      <c r="BG556" s="245"/>
      <c r="BH556" s="245"/>
      <c r="BI556" s="245"/>
      <c r="BJ556" s="245"/>
      <c r="BK556" s="245"/>
      <c r="BL556" s="245"/>
      <c r="BM556" s="245"/>
      <c r="BN556" s="245"/>
      <c r="BO556" s="245"/>
      <c r="BP556" s="245"/>
      <c r="BQ556" s="245"/>
      <c r="BR556" s="245"/>
      <c r="BS556" s="245"/>
      <c r="BT556" s="246"/>
      <c r="BU556" s="245"/>
      <c r="BV556" s="245"/>
      <c r="BW556" s="245"/>
      <c r="BX556" s="245"/>
      <c r="BY556" s="245"/>
      <c r="BZ556" s="282"/>
      <c r="CA556" s="245"/>
      <c r="CB556" s="245"/>
      <c r="CC556" s="245"/>
      <c r="CD556" s="245"/>
      <c r="CE556" s="245"/>
      <c r="CF556" s="245"/>
    </row>
    <row r="557">
      <c r="A557" s="305"/>
      <c r="B557" s="245"/>
      <c r="C557" s="245"/>
      <c r="D557" s="246"/>
      <c r="E557" s="245"/>
      <c r="F557" s="245"/>
      <c r="G557" s="245"/>
      <c r="H557" s="245"/>
      <c r="I557" s="245"/>
      <c r="J557" s="245"/>
      <c r="K557" s="265"/>
      <c r="L557" s="245"/>
      <c r="M557" s="245"/>
      <c r="N557" s="245"/>
      <c r="O557" s="245"/>
      <c r="P557" s="245"/>
      <c r="Q557" s="247"/>
      <c r="R557" s="254"/>
      <c r="S557" s="245"/>
      <c r="T557" s="245"/>
      <c r="U557" s="245"/>
      <c r="V557" s="245"/>
      <c r="W557" s="245"/>
      <c r="X557" s="245"/>
      <c r="Y557" s="249"/>
      <c r="Z557" s="276"/>
      <c r="AA557" s="245"/>
      <c r="AB557" s="276"/>
      <c r="AC557" s="276"/>
      <c r="AD557" s="246"/>
      <c r="AE557" s="278"/>
      <c r="AF557" s="370"/>
      <c r="AG557" s="371"/>
      <c r="AH557" s="276"/>
      <c r="AI557" s="245"/>
      <c r="AJ557" s="287"/>
      <c r="AK557" s="278"/>
      <c r="AL557" s="246"/>
      <c r="AM557" s="245"/>
      <c r="AN557" s="245"/>
      <c r="AO557" s="274"/>
      <c r="AP557" s="245"/>
      <c r="AQ557" s="245"/>
      <c r="AR557" s="246"/>
      <c r="AS557" s="245"/>
      <c r="AT557" s="245"/>
      <c r="AU557" s="245"/>
      <c r="AV557" s="245"/>
      <c r="AW557" s="245"/>
      <c r="AX557" s="246"/>
      <c r="AY557" s="245"/>
      <c r="AZ557" s="245"/>
      <c r="BA557" s="246"/>
      <c r="BB557" s="245"/>
      <c r="BC557" s="245"/>
      <c r="BD557" s="245"/>
      <c r="BE557" s="245"/>
      <c r="BF557" s="245"/>
      <c r="BG557" s="245"/>
      <c r="BH557" s="245"/>
      <c r="BI557" s="245"/>
      <c r="BJ557" s="245"/>
      <c r="BK557" s="245"/>
      <c r="BL557" s="245"/>
      <c r="BM557" s="245"/>
      <c r="BN557" s="245"/>
      <c r="BO557" s="245"/>
      <c r="BP557" s="245"/>
      <c r="BQ557" s="245"/>
      <c r="BR557" s="245"/>
      <c r="BS557" s="245"/>
      <c r="BT557" s="246"/>
      <c r="BU557" s="245"/>
      <c r="BV557" s="245"/>
      <c r="BW557" s="245"/>
      <c r="BX557" s="245"/>
      <c r="BY557" s="245"/>
      <c r="BZ557" s="282"/>
      <c r="CA557" s="245"/>
      <c r="CB557" s="245"/>
      <c r="CC557" s="245"/>
      <c r="CD557" s="245"/>
      <c r="CE557" s="245"/>
      <c r="CF557" s="245"/>
    </row>
    <row r="558">
      <c r="A558" s="305"/>
      <c r="B558" s="245"/>
      <c r="C558" s="245"/>
      <c r="D558" s="246"/>
      <c r="E558" s="245"/>
      <c r="F558" s="245"/>
      <c r="G558" s="245"/>
      <c r="H558" s="245"/>
      <c r="I558" s="245"/>
      <c r="J558" s="245"/>
      <c r="K558" s="265"/>
      <c r="L558" s="245"/>
      <c r="M558" s="245"/>
      <c r="N558" s="245"/>
      <c r="O558" s="245"/>
      <c r="P558" s="245"/>
      <c r="Q558" s="247"/>
      <c r="R558" s="254"/>
      <c r="S558" s="245"/>
      <c r="T558" s="245"/>
      <c r="U558" s="245"/>
      <c r="V558" s="245"/>
      <c r="W558" s="245"/>
      <c r="X558" s="245"/>
      <c r="Y558" s="249"/>
      <c r="Z558" s="276"/>
      <c r="AA558" s="245"/>
      <c r="AB558" s="276"/>
      <c r="AC558" s="276"/>
      <c r="AD558" s="246"/>
      <c r="AE558" s="278"/>
      <c r="AF558" s="370"/>
      <c r="AG558" s="371"/>
      <c r="AH558" s="276"/>
      <c r="AI558" s="245"/>
      <c r="AJ558" s="287"/>
      <c r="AK558" s="278"/>
      <c r="AL558" s="246"/>
      <c r="AM558" s="245"/>
      <c r="AN558" s="245"/>
      <c r="AO558" s="274"/>
      <c r="AP558" s="245"/>
      <c r="AQ558" s="245"/>
      <c r="AR558" s="246"/>
      <c r="AS558" s="245"/>
      <c r="AT558" s="245"/>
      <c r="AU558" s="245"/>
      <c r="AV558" s="245"/>
      <c r="AW558" s="245"/>
      <c r="AX558" s="246"/>
      <c r="AY558" s="245"/>
      <c r="AZ558" s="245"/>
      <c r="BA558" s="246"/>
      <c r="BB558" s="245"/>
      <c r="BC558" s="245"/>
      <c r="BD558" s="245"/>
      <c r="BE558" s="245"/>
      <c r="BF558" s="245"/>
      <c r="BG558" s="245"/>
      <c r="BH558" s="245"/>
      <c r="BI558" s="245"/>
      <c r="BJ558" s="245"/>
      <c r="BK558" s="245"/>
      <c r="BL558" s="245"/>
      <c r="BM558" s="245"/>
      <c r="BN558" s="245"/>
      <c r="BO558" s="245"/>
      <c r="BP558" s="245"/>
      <c r="BQ558" s="245"/>
      <c r="BR558" s="245"/>
      <c r="BS558" s="245"/>
      <c r="BT558" s="246"/>
      <c r="BU558" s="245"/>
      <c r="BV558" s="245"/>
      <c r="BW558" s="245"/>
      <c r="BX558" s="245"/>
      <c r="BY558" s="245"/>
      <c r="BZ558" s="282"/>
      <c r="CA558" s="245"/>
      <c r="CB558" s="245"/>
      <c r="CC558" s="245"/>
      <c r="CD558" s="245"/>
      <c r="CE558" s="245"/>
      <c r="CF558" s="245"/>
    </row>
    <row r="559">
      <c r="A559" s="305"/>
      <c r="B559" s="245"/>
      <c r="C559" s="245"/>
      <c r="D559" s="246"/>
      <c r="E559" s="245"/>
      <c r="F559" s="245"/>
      <c r="G559" s="245"/>
      <c r="H559" s="245"/>
      <c r="I559" s="245"/>
      <c r="J559" s="245"/>
      <c r="K559" s="265"/>
      <c r="L559" s="245"/>
      <c r="M559" s="245"/>
      <c r="N559" s="245"/>
      <c r="O559" s="245"/>
      <c r="P559" s="245"/>
      <c r="Q559" s="247"/>
      <c r="R559" s="254"/>
      <c r="S559" s="245"/>
      <c r="T559" s="245"/>
      <c r="U559" s="245"/>
      <c r="V559" s="245"/>
      <c r="W559" s="245"/>
      <c r="X559" s="245"/>
      <c r="Y559" s="249"/>
      <c r="Z559" s="276"/>
      <c r="AA559" s="245"/>
      <c r="AB559" s="276"/>
      <c r="AC559" s="276"/>
      <c r="AD559" s="246"/>
      <c r="AE559" s="278"/>
      <c r="AF559" s="370"/>
      <c r="AG559" s="371"/>
      <c r="AH559" s="276"/>
      <c r="AI559" s="245"/>
      <c r="AJ559" s="287"/>
      <c r="AK559" s="278"/>
      <c r="AL559" s="246"/>
      <c r="AM559" s="245"/>
      <c r="AN559" s="245"/>
      <c r="AO559" s="274"/>
      <c r="AP559" s="245"/>
      <c r="AQ559" s="245"/>
      <c r="AR559" s="246"/>
      <c r="AS559" s="245"/>
      <c r="AT559" s="245"/>
      <c r="AU559" s="245"/>
      <c r="AV559" s="245"/>
      <c r="AW559" s="245"/>
      <c r="AX559" s="246"/>
      <c r="AY559" s="245"/>
      <c r="AZ559" s="245"/>
      <c r="BA559" s="246"/>
      <c r="BB559" s="245"/>
      <c r="BC559" s="245"/>
      <c r="BD559" s="245"/>
      <c r="BE559" s="245"/>
      <c r="BF559" s="245"/>
      <c r="BG559" s="245"/>
      <c r="BH559" s="245"/>
      <c r="BI559" s="245"/>
      <c r="BJ559" s="245"/>
      <c r="BK559" s="245"/>
      <c r="BL559" s="245"/>
      <c r="BM559" s="245"/>
      <c r="BN559" s="245"/>
      <c r="BO559" s="245"/>
      <c r="BP559" s="245"/>
      <c r="BQ559" s="245"/>
      <c r="BR559" s="245"/>
      <c r="BS559" s="245"/>
      <c r="BT559" s="246"/>
      <c r="BU559" s="245"/>
      <c r="BV559" s="245"/>
      <c r="BW559" s="245"/>
      <c r="BX559" s="245"/>
      <c r="BY559" s="245"/>
      <c r="BZ559" s="282"/>
      <c r="CA559" s="245"/>
      <c r="CB559" s="245"/>
      <c r="CC559" s="245"/>
      <c r="CD559" s="245"/>
      <c r="CE559" s="245"/>
      <c r="CF559" s="245"/>
    </row>
    <row r="560">
      <c r="A560" s="305"/>
      <c r="B560" s="245"/>
      <c r="C560" s="245"/>
      <c r="D560" s="246"/>
      <c r="E560" s="245"/>
      <c r="F560" s="245"/>
      <c r="G560" s="245"/>
      <c r="H560" s="245"/>
      <c r="I560" s="245"/>
      <c r="J560" s="245"/>
      <c r="K560" s="265"/>
      <c r="L560" s="245"/>
      <c r="M560" s="245"/>
      <c r="N560" s="245"/>
      <c r="O560" s="245"/>
      <c r="P560" s="245"/>
      <c r="Q560" s="247"/>
      <c r="R560" s="254"/>
      <c r="S560" s="245"/>
      <c r="T560" s="245"/>
      <c r="U560" s="245"/>
      <c r="V560" s="245"/>
      <c r="W560" s="245"/>
      <c r="X560" s="245"/>
      <c r="Y560" s="249"/>
      <c r="Z560" s="276"/>
      <c r="AA560" s="245"/>
      <c r="AB560" s="276"/>
      <c r="AC560" s="276"/>
      <c r="AD560" s="246"/>
      <c r="AE560" s="278"/>
      <c r="AF560" s="370"/>
      <c r="AG560" s="371"/>
      <c r="AH560" s="276"/>
      <c r="AI560" s="245"/>
      <c r="AJ560" s="287"/>
      <c r="AK560" s="278"/>
      <c r="AL560" s="246"/>
      <c r="AM560" s="245"/>
      <c r="AN560" s="245"/>
      <c r="AO560" s="274"/>
      <c r="AP560" s="245"/>
      <c r="AQ560" s="245"/>
      <c r="AR560" s="246"/>
      <c r="AS560" s="245"/>
      <c r="AT560" s="245"/>
      <c r="AU560" s="245"/>
      <c r="AV560" s="245"/>
      <c r="AW560" s="245"/>
      <c r="AX560" s="246"/>
      <c r="AY560" s="245"/>
      <c r="AZ560" s="245"/>
      <c r="BA560" s="246"/>
      <c r="BB560" s="245"/>
      <c r="BC560" s="245"/>
      <c r="BD560" s="245"/>
      <c r="BE560" s="245"/>
      <c r="BF560" s="245"/>
      <c r="BG560" s="245"/>
      <c r="BH560" s="245"/>
      <c r="BI560" s="245"/>
      <c r="BJ560" s="245"/>
      <c r="BK560" s="245"/>
      <c r="BL560" s="245"/>
      <c r="BM560" s="245"/>
      <c r="BN560" s="245"/>
      <c r="BO560" s="245"/>
      <c r="BP560" s="245"/>
      <c r="BQ560" s="245"/>
      <c r="BR560" s="245"/>
      <c r="BS560" s="245"/>
      <c r="BT560" s="246"/>
      <c r="BU560" s="245"/>
      <c r="BV560" s="245"/>
      <c r="BW560" s="245"/>
      <c r="BX560" s="245"/>
      <c r="BY560" s="245"/>
      <c r="BZ560" s="282"/>
      <c r="CA560" s="245"/>
      <c r="CB560" s="245"/>
      <c r="CC560" s="245"/>
      <c r="CD560" s="245"/>
      <c r="CE560" s="245"/>
      <c r="CF560" s="245"/>
    </row>
    <row r="561">
      <c r="A561" s="305"/>
      <c r="B561" s="245"/>
      <c r="C561" s="245"/>
      <c r="D561" s="246"/>
      <c r="E561" s="245"/>
      <c r="F561" s="245"/>
      <c r="G561" s="245"/>
      <c r="H561" s="245"/>
      <c r="I561" s="245"/>
      <c r="J561" s="245"/>
      <c r="K561" s="265"/>
      <c r="L561" s="245"/>
      <c r="M561" s="245"/>
      <c r="N561" s="245"/>
      <c r="O561" s="245"/>
      <c r="P561" s="245"/>
      <c r="Q561" s="247"/>
      <c r="R561" s="254"/>
      <c r="S561" s="245"/>
      <c r="T561" s="245"/>
      <c r="U561" s="245"/>
      <c r="V561" s="245"/>
      <c r="W561" s="245"/>
      <c r="X561" s="245"/>
      <c r="Y561" s="249"/>
      <c r="Z561" s="276"/>
      <c r="AA561" s="245"/>
      <c r="AB561" s="276"/>
      <c r="AC561" s="276"/>
      <c r="AD561" s="246"/>
      <c r="AE561" s="278"/>
      <c r="AF561" s="370"/>
      <c r="AG561" s="371"/>
      <c r="AH561" s="276"/>
      <c r="AI561" s="245"/>
      <c r="AJ561" s="287"/>
      <c r="AK561" s="278"/>
      <c r="AL561" s="246"/>
      <c r="AM561" s="245"/>
      <c r="AN561" s="245"/>
      <c r="AO561" s="274"/>
      <c r="AP561" s="245"/>
      <c r="AQ561" s="245"/>
      <c r="AR561" s="246"/>
      <c r="AS561" s="245"/>
      <c r="AT561" s="245"/>
      <c r="AU561" s="245"/>
      <c r="AV561" s="245"/>
      <c r="AW561" s="245"/>
      <c r="AX561" s="246"/>
      <c r="AY561" s="245"/>
      <c r="AZ561" s="245"/>
      <c r="BA561" s="246"/>
      <c r="BB561" s="245"/>
      <c r="BC561" s="245"/>
      <c r="BD561" s="245"/>
      <c r="BE561" s="245"/>
      <c r="BF561" s="245"/>
      <c r="BG561" s="245"/>
      <c r="BH561" s="245"/>
      <c r="BI561" s="245"/>
      <c r="BJ561" s="245"/>
      <c r="BK561" s="245"/>
      <c r="BL561" s="245"/>
      <c r="BM561" s="245"/>
      <c r="BN561" s="245"/>
      <c r="BO561" s="245"/>
      <c r="BP561" s="245"/>
      <c r="BQ561" s="245"/>
      <c r="BR561" s="245"/>
      <c r="BS561" s="245"/>
      <c r="BT561" s="246"/>
      <c r="BU561" s="245"/>
      <c r="BV561" s="245"/>
      <c r="BW561" s="245"/>
      <c r="BX561" s="245"/>
      <c r="BY561" s="245"/>
      <c r="BZ561" s="282"/>
      <c r="CA561" s="245"/>
      <c r="CB561" s="245"/>
      <c r="CC561" s="245"/>
      <c r="CD561" s="245"/>
      <c r="CE561" s="245"/>
      <c r="CF561" s="245"/>
    </row>
    <row r="562">
      <c r="A562" s="305"/>
      <c r="B562" s="245"/>
      <c r="C562" s="245"/>
      <c r="D562" s="246"/>
      <c r="E562" s="245"/>
      <c r="F562" s="245"/>
      <c r="G562" s="245"/>
      <c r="H562" s="245"/>
      <c r="I562" s="245"/>
      <c r="J562" s="245"/>
      <c r="K562" s="265"/>
      <c r="L562" s="245"/>
      <c r="M562" s="245"/>
      <c r="N562" s="245"/>
      <c r="O562" s="245"/>
      <c r="P562" s="245"/>
      <c r="Q562" s="247"/>
      <c r="R562" s="254"/>
      <c r="S562" s="245"/>
      <c r="T562" s="245"/>
      <c r="U562" s="245"/>
      <c r="V562" s="245"/>
      <c r="W562" s="245"/>
      <c r="X562" s="245"/>
      <c r="Y562" s="249"/>
      <c r="Z562" s="276"/>
      <c r="AA562" s="245"/>
      <c r="AB562" s="276"/>
      <c r="AC562" s="276"/>
      <c r="AD562" s="246"/>
      <c r="AE562" s="278"/>
      <c r="AF562" s="370"/>
      <c r="AG562" s="371"/>
      <c r="AH562" s="276"/>
      <c r="AI562" s="245"/>
      <c r="AJ562" s="287"/>
      <c r="AK562" s="278"/>
      <c r="AL562" s="246"/>
      <c r="AM562" s="245"/>
      <c r="AN562" s="245"/>
      <c r="AO562" s="274"/>
      <c r="AP562" s="245"/>
      <c r="AQ562" s="245"/>
      <c r="AR562" s="246"/>
      <c r="AS562" s="245"/>
      <c r="AT562" s="245"/>
      <c r="AU562" s="245"/>
      <c r="AV562" s="245"/>
      <c r="AW562" s="245"/>
      <c r="AX562" s="246"/>
      <c r="AY562" s="245"/>
      <c r="AZ562" s="245"/>
      <c r="BA562" s="246"/>
      <c r="BB562" s="245"/>
      <c r="BC562" s="245"/>
      <c r="BD562" s="245"/>
      <c r="BE562" s="245"/>
      <c r="BF562" s="245"/>
      <c r="BG562" s="245"/>
      <c r="BH562" s="245"/>
      <c r="BI562" s="245"/>
      <c r="BJ562" s="245"/>
      <c r="BK562" s="245"/>
      <c r="BL562" s="245"/>
      <c r="BM562" s="245"/>
      <c r="BN562" s="245"/>
      <c r="BO562" s="245"/>
      <c r="BP562" s="245"/>
      <c r="BQ562" s="245"/>
      <c r="BR562" s="245"/>
      <c r="BS562" s="245"/>
      <c r="BT562" s="246"/>
      <c r="BU562" s="245"/>
      <c r="BV562" s="245"/>
      <c r="BW562" s="245"/>
      <c r="BX562" s="245"/>
      <c r="BY562" s="245"/>
      <c r="BZ562" s="282"/>
      <c r="CA562" s="245"/>
      <c r="CB562" s="245"/>
      <c r="CC562" s="245"/>
      <c r="CD562" s="245"/>
      <c r="CE562" s="245"/>
      <c r="CF562" s="245"/>
    </row>
    <row r="563">
      <c r="A563" s="305"/>
      <c r="B563" s="245"/>
      <c r="C563" s="245"/>
      <c r="D563" s="246"/>
      <c r="E563" s="245"/>
      <c r="F563" s="245"/>
      <c r="G563" s="245"/>
      <c r="H563" s="245"/>
      <c r="I563" s="245"/>
      <c r="J563" s="245"/>
      <c r="K563" s="265"/>
      <c r="L563" s="245"/>
      <c r="M563" s="245"/>
      <c r="N563" s="245"/>
      <c r="O563" s="245"/>
      <c r="P563" s="245"/>
      <c r="Q563" s="247"/>
      <c r="R563" s="254"/>
      <c r="S563" s="245"/>
      <c r="T563" s="245"/>
      <c r="U563" s="245"/>
      <c r="V563" s="245"/>
      <c r="W563" s="245"/>
      <c r="X563" s="245"/>
      <c r="Y563" s="249"/>
      <c r="Z563" s="276"/>
      <c r="AA563" s="245"/>
      <c r="AB563" s="276"/>
      <c r="AC563" s="276"/>
      <c r="AD563" s="246"/>
      <c r="AE563" s="278"/>
      <c r="AF563" s="370"/>
      <c r="AG563" s="371"/>
      <c r="AH563" s="276"/>
      <c r="AI563" s="245"/>
      <c r="AJ563" s="287"/>
      <c r="AK563" s="278"/>
      <c r="AL563" s="246"/>
      <c r="AM563" s="245"/>
      <c r="AN563" s="245"/>
      <c r="AO563" s="274"/>
      <c r="AP563" s="245"/>
      <c r="AQ563" s="245"/>
      <c r="AR563" s="246"/>
      <c r="AS563" s="245"/>
      <c r="AT563" s="245"/>
      <c r="AU563" s="245"/>
      <c r="AV563" s="245"/>
      <c r="AW563" s="245"/>
      <c r="AX563" s="246"/>
      <c r="AY563" s="245"/>
      <c r="AZ563" s="245"/>
      <c r="BA563" s="246"/>
      <c r="BB563" s="245"/>
      <c r="BC563" s="245"/>
      <c r="BD563" s="245"/>
      <c r="BE563" s="245"/>
      <c r="BF563" s="245"/>
      <c r="BG563" s="245"/>
      <c r="BH563" s="245"/>
      <c r="BI563" s="245"/>
      <c r="BJ563" s="245"/>
      <c r="BK563" s="245"/>
      <c r="BL563" s="245"/>
      <c r="BM563" s="245"/>
      <c r="BN563" s="245"/>
      <c r="BO563" s="245"/>
      <c r="BP563" s="245"/>
      <c r="BQ563" s="245"/>
      <c r="BR563" s="245"/>
      <c r="BS563" s="245"/>
      <c r="BT563" s="246"/>
      <c r="BU563" s="245"/>
      <c r="BV563" s="245"/>
      <c r="BW563" s="245"/>
      <c r="BX563" s="245"/>
      <c r="BY563" s="245"/>
      <c r="BZ563" s="282"/>
      <c r="CA563" s="245"/>
      <c r="CB563" s="245"/>
      <c r="CC563" s="245"/>
      <c r="CD563" s="245"/>
      <c r="CE563" s="245"/>
      <c r="CF563" s="245"/>
    </row>
    <row r="564">
      <c r="A564" s="305"/>
      <c r="B564" s="245"/>
      <c r="C564" s="245"/>
      <c r="D564" s="246"/>
      <c r="E564" s="245"/>
      <c r="F564" s="245"/>
      <c r="G564" s="245"/>
      <c r="H564" s="245"/>
      <c r="I564" s="245"/>
      <c r="J564" s="245"/>
      <c r="K564" s="265"/>
      <c r="L564" s="245"/>
      <c r="M564" s="245"/>
      <c r="N564" s="245"/>
      <c r="O564" s="245"/>
      <c r="P564" s="245"/>
      <c r="Q564" s="247"/>
      <c r="R564" s="254"/>
      <c r="S564" s="245"/>
      <c r="T564" s="245"/>
      <c r="U564" s="245"/>
      <c r="V564" s="245"/>
      <c r="W564" s="245"/>
      <c r="X564" s="245"/>
      <c r="Y564" s="249"/>
      <c r="Z564" s="276"/>
      <c r="AA564" s="245"/>
      <c r="AB564" s="276"/>
      <c r="AC564" s="276"/>
      <c r="AD564" s="246"/>
      <c r="AE564" s="278"/>
      <c r="AF564" s="370"/>
      <c r="AG564" s="371"/>
      <c r="AH564" s="276"/>
      <c r="AI564" s="245"/>
      <c r="AJ564" s="287"/>
      <c r="AK564" s="278"/>
      <c r="AL564" s="246"/>
      <c r="AM564" s="245"/>
      <c r="AN564" s="245"/>
      <c r="AO564" s="274"/>
      <c r="AP564" s="245"/>
      <c r="AQ564" s="245"/>
      <c r="AR564" s="246"/>
      <c r="AS564" s="245"/>
      <c r="AT564" s="245"/>
      <c r="AU564" s="245"/>
      <c r="AV564" s="245"/>
      <c r="AW564" s="245"/>
      <c r="AX564" s="246"/>
      <c r="AY564" s="245"/>
      <c r="AZ564" s="245"/>
      <c r="BA564" s="246"/>
      <c r="BB564" s="245"/>
      <c r="BC564" s="245"/>
      <c r="BD564" s="245"/>
      <c r="BE564" s="245"/>
      <c r="BF564" s="245"/>
      <c r="BG564" s="245"/>
      <c r="BH564" s="245"/>
      <c r="BI564" s="245"/>
      <c r="BJ564" s="245"/>
      <c r="BK564" s="245"/>
      <c r="BL564" s="245"/>
      <c r="BM564" s="245"/>
      <c r="BN564" s="245"/>
      <c r="BO564" s="245"/>
      <c r="BP564" s="245"/>
      <c r="BQ564" s="245"/>
      <c r="BR564" s="245"/>
      <c r="BS564" s="245"/>
      <c r="BT564" s="246"/>
      <c r="BU564" s="245"/>
      <c r="BV564" s="245"/>
      <c r="BW564" s="245"/>
      <c r="BX564" s="245"/>
      <c r="BY564" s="245"/>
      <c r="BZ564" s="282"/>
      <c r="CA564" s="245"/>
      <c r="CB564" s="245"/>
      <c r="CC564" s="245"/>
      <c r="CD564" s="245"/>
      <c r="CE564" s="245"/>
      <c r="CF564" s="245"/>
    </row>
    <row r="565">
      <c r="A565" s="305"/>
      <c r="B565" s="245"/>
      <c r="C565" s="245"/>
      <c r="D565" s="246"/>
      <c r="E565" s="245"/>
      <c r="F565" s="245"/>
      <c r="G565" s="245"/>
      <c r="H565" s="245"/>
      <c r="I565" s="245"/>
      <c r="J565" s="245"/>
      <c r="K565" s="265"/>
      <c r="L565" s="245"/>
      <c r="M565" s="245"/>
      <c r="N565" s="245"/>
      <c r="O565" s="245"/>
      <c r="P565" s="245"/>
      <c r="Q565" s="247"/>
      <c r="R565" s="254"/>
      <c r="S565" s="245"/>
      <c r="T565" s="245"/>
      <c r="U565" s="245"/>
      <c r="V565" s="245"/>
      <c r="W565" s="245"/>
      <c r="X565" s="245"/>
      <c r="Y565" s="249"/>
      <c r="Z565" s="276"/>
      <c r="AA565" s="245"/>
      <c r="AB565" s="276"/>
      <c r="AC565" s="276"/>
      <c r="AD565" s="246"/>
      <c r="AE565" s="278"/>
      <c r="AF565" s="370"/>
      <c r="AG565" s="371"/>
      <c r="AH565" s="276"/>
      <c r="AI565" s="245"/>
      <c r="AJ565" s="287"/>
      <c r="AK565" s="278"/>
      <c r="AL565" s="246"/>
      <c r="AM565" s="245"/>
      <c r="AN565" s="245"/>
      <c r="AO565" s="274"/>
      <c r="AP565" s="245"/>
      <c r="AQ565" s="245"/>
      <c r="AR565" s="246"/>
      <c r="AS565" s="245"/>
      <c r="AT565" s="245"/>
      <c r="AU565" s="245"/>
      <c r="AV565" s="245"/>
      <c r="AW565" s="245"/>
      <c r="AX565" s="246"/>
      <c r="AY565" s="245"/>
      <c r="AZ565" s="245"/>
      <c r="BA565" s="246"/>
      <c r="BB565" s="245"/>
      <c r="BC565" s="245"/>
      <c r="BD565" s="245"/>
      <c r="BE565" s="245"/>
      <c r="BF565" s="245"/>
      <c r="BG565" s="245"/>
      <c r="BH565" s="245"/>
      <c r="BI565" s="245"/>
      <c r="BJ565" s="245"/>
      <c r="BK565" s="245"/>
      <c r="BL565" s="245"/>
      <c r="BM565" s="245"/>
      <c r="BN565" s="245"/>
      <c r="BO565" s="245"/>
      <c r="BP565" s="245"/>
      <c r="BQ565" s="245"/>
      <c r="BR565" s="245"/>
      <c r="BS565" s="245"/>
      <c r="BT565" s="246"/>
      <c r="BU565" s="245"/>
      <c r="BV565" s="245"/>
      <c r="BW565" s="245"/>
      <c r="BX565" s="245"/>
      <c r="BY565" s="245"/>
      <c r="BZ565" s="282"/>
      <c r="CA565" s="245"/>
      <c r="CB565" s="245"/>
      <c r="CC565" s="245"/>
      <c r="CD565" s="245"/>
      <c r="CE565" s="245"/>
      <c r="CF565" s="245"/>
    </row>
    <row r="566">
      <c r="A566" s="305"/>
      <c r="B566" s="245"/>
      <c r="C566" s="245"/>
      <c r="D566" s="246"/>
      <c r="E566" s="245"/>
      <c r="F566" s="245"/>
      <c r="G566" s="245"/>
      <c r="H566" s="245"/>
      <c r="I566" s="245"/>
      <c r="J566" s="245"/>
      <c r="K566" s="265"/>
      <c r="L566" s="245"/>
      <c r="M566" s="245"/>
      <c r="N566" s="245"/>
      <c r="O566" s="245"/>
      <c r="P566" s="245"/>
      <c r="Q566" s="247"/>
      <c r="R566" s="254"/>
      <c r="S566" s="245"/>
      <c r="T566" s="245"/>
      <c r="U566" s="245"/>
      <c r="V566" s="245"/>
      <c r="W566" s="245"/>
      <c r="X566" s="245"/>
      <c r="Y566" s="249"/>
      <c r="Z566" s="276"/>
      <c r="AA566" s="245"/>
      <c r="AB566" s="276"/>
      <c r="AC566" s="276"/>
      <c r="AD566" s="246"/>
      <c r="AE566" s="278"/>
      <c r="AF566" s="370"/>
      <c r="AG566" s="371"/>
      <c r="AH566" s="276"/>
      <c r="AI566" s="245"/>
      <c r="AJ566" s="287"/>
      <c r="AK566" s="278"/>
      <c r="AL566" s="246"/>
      <c r="AM566" s="245"/>
      <c r="AN566" s="245"/>
      <c r="AO566" s="274"/>
      <c r="AP566" s="245"/>
      <c r="AQ566" s="245"/>
      <c r="AR566" s="246"/>
      <c r="AS566" s="245"/>
      <c r="AT566" s="245"/>
      <c r="AU566" s="245"/>
      <c r="AV566" s="245"/>
      <c r="AW566" s="245"/>
      <c r="AX566" s="246"/>
      <c r="AY566" s="245"/>
      <c r="AZ566" s="245"/>
      <c r="BA566" s="246"/>
      <c r="BB566" s="245"/>
      <c r="BC566" s="245"/>
      <c r="BD566" s="245"/>
      <c r="BE566" s="245"/>
      <c r="BF566" s="245"/>
      <c r="BG566" s="245"/>
      <c r="BH566" s="245"/>
      <c r="BI566" s="245"/>
      <c r="BJ566" s="245"/>
      <c r="BK566" s="245"/>
      <c r="BL566" s="245"/>
      <c r="BM566" s="245"/>
      <c r="BN566" s="245"/>
      <c r="BO566" s="245"/>
      <c r="BP566" s="245"/>
      <c r="BQ566" s="245"/>
      <c r="BR566" s="245"/>
      <c r="BS566" s="245"/>
      <c r="BT566" s="246"/>
      <c r="BU566" s="245"/>
      <c r="BV566" s="245"/>
      <c r="BW566" s="245"/>
      <c r="BX566" s="245"/>
      <c r="BY566" s="245"/>
      <c r="BZ566" s="282"/>
      <c r="CA566" s="245"/>
      <c r="CB566" s="245"/>
      <c r="CC566" s="245"/>
      <c r="CD566" s="245"/>
      <c r="CE566" s="245"/>
      <c r="CF566" s="245"/>
    </row>
    <row r="567">
      <c r="A567" s="305"/>
      <c r="B567" s="245"/>
      <c r="C567" s="245"/>
      <c r="D567" s="246"/>
      <c r="E567" s="245"/>
      <c r="F567" s="245"/>
      <c r="G567" s="245"/>
      <c r="H567" s="245"/>
      <c r="I567" s="245"/>
      <c r="J567" s="245"/>
      <c r="K567" s="265"/>
      <c r="L567" s="245"/>
      <c r="M567" s="245"/>
      <c r="N567" s="245"/>
      <c r="O567" s="245"/>
      <c r="P567" s="245"/>
      <c r="Q567" s="247"/>
      <c r="R567" s="254"/>
      <c r="S567" s="245"/>
      <c r="T567" s="245"/>
      <c r="U567" s="245"/>
      <c r="V567" s="245"/>
      <c r="W567" s="245"/>
      <c r="X567" s="245"/>
      <c r="Y567" s="249"/>
      <c r="Z567" s="276"/>
      <c r="AA567" s="245"/>
      <c r="AB567" s="276"/>
      <c r="AC567" s="276"/>
      <c r="AD567" s="246"/>
      <c r="AE567" s="278"/>
      <c r="AF567" s="370"/>
      <c r="AG567" s="371"/>
      <c r="AH567" s="276"/>
      <c r="AI567" s="245"/>
      <c r="AJ567" s="287"/>
      <c r="AK567" s="278"/>
      <c r="AL567" s="246"/>
      <c r="AM567" s="245"/>
      <c r="AN567" s="245"/>
      <c r="AO567" s="274"/>
      <c r="AP567" s="245"/>
      <c r="AQ567" s="245"/>
      <c r="AR567" s="246"/>
      <c r="AS567" s="245"/>
      <c r="AT567" s="245"/>
      <c r="AU567" s="245"/>
      <c r="AV567" s="245"/>
      <c r="AW567" s="245"/>
      <c r="AX567" s="246"/>
      <c r="AY567" s="245"/>
      <c r="AZ567" s="245"/>
      <c r="BA567" s="246"/>
      <c r="BB567" s="245"/>
      <c r="BC567" s="245"/>
      <c r="BD567" s="245"/>
      <c r="BE567" s="245"/>
      <c r="BF567" s="245"/>
      <c r="BG567" s="245"/>
      <c r="BH567" s="245"/>
      <c r="BI567" s="245"/>
      <c r="BJ567" s="245"/>
      <c r="BK567" s="245"/>
      <c r="BL567" s="245"/>
      <c r="BM567" s="245"/>
      <c r="BN567" s="245"/>
      <c r="BO567" s="245"/>
      <c r="BP567" s="245"/>
      <c r="BQ567" s="245"/>
      <c r="BR567" s="245"/>
      <c r="BS567" s="245"/>
      <c r="BT567" s="246"/>
      <c r="BU567" s="245"/>
      <c r="BV567" s="245"/>
      <c r="BW567" s="245"/>
      <c r="BX567" s="245"/>
      <c r="BY567" s="245"/>
      <c r="BZ567" s="282"/>
      <c r="CA567" s="245"/>
      <c r="CB567" s="245"/>
      <c r="CC567" s="245"/>
      <c r="CD567" s="245"/>
      <c r="CE567" s="245"/>
      <c r="CF567" s="245"/>
    </row>
    <row r="568">
      <c r="A568" s="305"/>
      <c r="B568" s="245"/>
      <c r="C568" s="245"/>
      <c r="D568" s="246"/>
      <c r="E568" s="245"/>
      <c r="F568" s="245"/>
      <c r="G568" s="245"/>
      <c r="H568" s="245"/>
      <c r="I568" s="245"/>
      <c r="J568" s="245"/>
      <c r="K568" s="265"/>
      <c r="L568" s="245"/>
      <c r="M568" s="245"/>
      <c r="N568" s="245"/>
      <c r="O568" s="245"/>
      <c r="P568" s="245"/>
      <c r="Q568" s="247"/>
      <c r="R568" s="254"/>
      <c r="S568" s="245"/>
      <c r="T568" s="245"/>
      <c r="U568" s="245"/>
      <c r="V568" s="245"/>
      <c r="W568" s="245"/>
      <c r="X568" s="245"/>
      <c r="Y568" s="249"/>
      <c r="Z568" s="276"/>
      <c r="AA568" s="245"/>
      <c r="AB568" s="276"/>
      <c r="AC568" s="276"/>
      <c r="AD568" s="246"/>
      <c r="AE568" s="278"/>
      <c r="AF568" s="370"/>
      <c r="AG568" s="371"/>
      <c r="AH568" s="276"/>
      <c r="AI568" s="245"/>
      <c r="AJ568" s="287"/>
      <c r="AK568" s="278"/>
      <c r="AL568" s="246"/>
      <c r="AM568" s="245"/>
      <c r="AN568" s="245"/>
      <c r="AO568" s="274"/>
      <c r="AP568" s="245"/>
      <c r="AQ568" s="245"/>
      <c r="AR568" s="246"/>
      <c r="AS568" s="245"/>
      <c r="AT568" s="245"/>
      <c r="AU568" s="245"/>
      <c r="AV568" s="245"/>
      <c r="AW568" s="245"/>
      <c r="AX568" s="246"/>
      <c r="AY568" s="245"/>
      <c r="AZ568" s="245"/>
      <c r="BA568" s="246"/>
      <c r="BB568" s="245"/>
      <c r="BC568" s="245"/>
      <c r="BD568" s="245"/>
      <c r="BE568" s="245"/>
      <c r="BF568" s="245"/>
      <c r="BG568" s="245"/>
      <c r="BH568" s="245"/>
      <c r="BI568" s="245"/>
      <c r="BJ568" s="245"/>
      <c r="BK568" s="245"/>
      <c r="BL568" s="245"/>
      <c r="BM568" s="245"/>
      <c r="BN568" s="245"/>
      <c r="BO568" s="245"/>
      <c r="BP568" s="245"/>
      <c r="BQ568" s="245"/>
      <c r="BR568" s="245"/>
      <c r="BS568" s="245"/>
      <c r="BT568" s="246"/>
      <c r="BU568" s="245"/>
      <c r="BV568" s="245"/>
      <c r="BW568" s="245"/>
      <c r="BX568" s="245"/>
      <c r="BY568" s="245"/>
      <c r="BZ568" s="282"/>
      <c r="CA568" s="245"/>
      <c r="CB568" s="245"/>
      <c r="CC568" s="245"/>
      <c r="CD568" s="245"/>
      <c r="CE568" s="245"/>
      <c r="CF568" s="245"/>
    </row>
    <row r="569">
      <c r="A569" s="305"/>
      <c r="B569" s="245"/>
      <c r="C569" s="245"/>
      <c r="D569" s="246"/>
      <c r="E569" s="245"/>
      <c r="F569" s="245"/>
      <c r="G569" s="245"/>
      <c r="H569" s="245"/>
      <c r="I569" s="245"/>
      <c r="J569" s="245"/>
      <c r="K569" s="265"/>
      <c r="L569" s="245"/>
      <c r="M569" s="245"/>
      <c r="N569" s="245"/>
      <c r="O569" s="245"/>
      <c r="P569" s="245"/>
      <c r="Q569" s="247"/>
      <c r="R569" s="254"/>
      <c r="S569" s="245"/>
      <c r="T569" s="245"/>
      <c r="U569" s="245"/>
      <c r="V569" s="245"/>
      <c r="W569" s="245"/>
      <c r="X569" s="245"/>
      <c r="Y569" s="249"/>
      <c r="Z569" s="276"/>
      <c r="AA569" s="245"/>
      <c r="AB569" s="276"/>
      <c r="AC569" s="276"/>
      <c r="AD569" s="246"/>
      <c r="AE569" s="278"/>
      <c r="AF569" s="370"/>
      <c r="AG569" s="371"/>
      <c r="AH569" s="276"/>
      <c r="AI569" s="245"/>
      <c r="AJ569" s="287"/>
      <c r="AK569" s="278"/>
      <c r="AL569" s="246"/>
      <c r="AM569" s="245"/>
      <c r="AN569" s="245"/>
      <c r="AO569" s="274"/>
      <c r="AP569" s="245"/>
      <c r="AQ569" s="245"/>
      <c r="AR569" s="246"/>
      <c r="AS569" s="245"/>
      <c r="AT569" s="245"/>
      <c r="AU569" s="245"/>
      <c r="AV569" s="245"/>
      <c r="AW569" s="245"/>
      <c r="AX569" s="246"/>
      <c r="AY569" s="245"/>
      <c r="AZ569" s="245"/>
      <c r="BA569" s="246"/>
      <c r="BB569" s="245"/>
      <c r="BC569" s="245"/>
      <c r="BD569" s="245"/>
      <c r="BE569" s="245"/>
      <c r="BF569" s="245"/>
      <c r="BG569" s="245"/>
      <c r="BH569" s="245"/>
      <c r="BI569" s="245"/>
      <c r="BJ569" s="245"/>
      <c r="BK569" s="245"/>
      <c r="BL569" s="245"/>
      <c r="BM569" s="245"/>
      <c r="BN569" s="245"/>
      <c r="BO569" s="245"/>
      <c r="BP569" s="245"/>
      <c r="BQ569" s="245"/>
      <c r="BR569" s="245"/>
      <c r="BS569" s="245"/>
      <c r="BT569" s="246"/>
      <c r="BU569" s="245"/>
      <c r="BV569" s="245"/>
      <c r="BW569" s="245"/>
      <c r="BX569" s="245"/>
      <c r="BY569" s="245"/>
      <c r="BZ569" s="282"/>
      <c r="CA569" s="245"/>
      <c r="CB569" s="245"/>
      <c r="CC569" s="245"/>
      <c r="CD569" s="245"/>
      <c r="CE569" s="245"/>
      <c r="CF569" s="245"/>
    </row>
    <row r="570">
      <c r="A570" s="305"/>
      <c r="B570" s="245"/>
      <c r="C570" s="245"/>
      <c r="D570" s="246"/>
      <c r="E570" s="245"/>
      <c r="F570" s="245"/>
      <c r="G570" s="245"/>
      <c r="H570" s="245"/>
      <c r="I570" s="245"/>
      <c r="J570" s="245"/>
      <c r="K570" s="265"/>
      <c r="L570" s="245"/>
      <c r="M570" s="245"/>
      <c r="N570" s="245"/>
      <c r="O570" s="245"/>
      <c r="P570" s="245"/>
      <c r="Q570" s="247"/>
      <c r="R570" s="254"/>
      <c r="S570" s="245"/>
      <c r="T570" s="245"/>
      <c r="U570" s="245"/>
      <c r="V570" s="245"/>
      <c r="W570" s="245"/>
      <c r="X570" s="245"/>
      <c r="Y570" s="249"/>
      <c r="Z570" s="276"/>
      <c r="AA570" s="245"/>
      <c r="AB570" s="276"/>
      <c r="AC570" s="276"/>
      <c r="AD570" s="246"/>
      <c r="AE570" s="278"/>
      <c r="AF570" s="370"/>
      <c r="AG570" s="371"/>
      <c r="AH570" s="276"/>
      <c r="AI570" s="245"/>
      <c r="AJ570" s="287"/>
      <c r="AK570" s="278"/>
      <c r="AL570" s="246"/>
      <c r="AM570" s="245"/>
      <c r="AN570" s="245"/>
      <c r="AO570" s="274"/>
      <c r="AP570" s="245"/>
      <c r="AQ570" s="245"/>
      <c r="AR570" s="246"/>
      <c r="AS570" s="245"/>
      <c r="AT570" s="245"/>
      <c r="AU570" s="245"/>
      <c r="AV570" s="245"/>
      <c r="AW570" s="245"/>
      <c r="AX570" s="246"/>
      <c r="AY570" s="245"/>
      <c r="AZ570" s="245"/>
      <c r="BA570" s="246"/>
      <c r="BB570" s="245"/>
      <c r="BC570" s="245"/>
      <c r="BD570" s="245"/>
      <c r="BE570" s="245"/>
      <c r="BF570" s="245"/>
      <c r="BG570" s="245"/>
      <c r="BH570" s="245"/>
      <c r="BI570" s="245"/>
      <c r="BJ570" s="245"/>
      <c r="BK570" s="245"/>
      <c r="BL570" s="245"/>
      <c r="BM570" s="245"/>
      <c r="BN570" s="245"/>
      <c r="BO570" s="245"/>
      <c r="BP570" s="245"/>
      <c r="BQ570" s="245"/>
      <c r="BR570" s="245"/>
      <c r="BS570" s="245"/>
      <c r="BT570" s="246"/>
      <c r="BU570" s="245"/>
      <c r="BV570" s="245"/>
      <c r="BW570" s="245"/>
      <c r="BX570" s="245"/>
      <c r="BY570" s="245"/>
      <c r="BZ570" s="282"/>
      <c r="CA570" s="245"/>
      <c r="CB570" s="245"/>
      <c r="CC570" s="245"/>
      <c r="CD570" s="245"/>
      <c r="CE570" s="245"/>
      <c r="CF570" s="245"/>
    </row>
    <row r="571">
      <c r="A571" s="305"/>
      <c r="B571" s="245"/>
      <c r="C571" s="245"/>
      <c r="D571" s="246"/>
      <c r="E571" s="245"/>
      <c r="F571" s="245"/>
      <c r="G571" s="245"/>
      <c r="H571" s="245"/>
      <c r="I571" s="245"/>
      <c r="J571" s="245"/>
      <c r="K571" s="265"/>
      <c r="L571" s="245"/>
      <c r="M571" s="245"/>
      <c r="N571" s="245"/>
      <c r="O571" s="245"/>
      <c r="P571" s="245"/>
      <c r="Q571" s="247"/>
      <c r="R571" s="254"/>
      <c r="S571" s="245"/>
      <c r="T571" s="245"/>
      <c r="U571" s="245"/>
      <c r="V571" s="245"/>
      <c r="W571" s="245"/>
      <c r="X571" s="245"/>
      <c r="Y571" s="249"/>
      <c r="Z571" s="276"/>
      <c r="AA571" s="245"/>
      <c r="AB571" s="276"/>
      <c r="AC571" s="276"/>
      <c r="AD571" s="246"/>
      <c r="AE571" s="278"/>
      <c r="AF571" s="370"/>
      <c r="AG571" s="371"/>
      <c r="AH571" s="276"/>
      <c r="AI571" s="245"/>
      <c r="AJ571" s="287"/>
      <c r="AK571" s="278"/>
      <c r="AL571" s="246"/>
      <c r="AM571" s="245"/>
      <c r="AN571" s="245"/>
      <c r="AO571" s="274"/>
      <c r="AP571" s="245"/>
      <c r="AQ571" s="245"/>
      <c r="AR571" s="246"/>
      <c r="AS571" s="245"/>
      <c r="AT571" s="245"/>
      <c r="AU571" s="245"/>
      <c r="AV571" s="245"/>
      <c r="AW571" s="245"/>
      <c r="AX571" s="246"/>
      <c r="AY571" s="245"/>
      <c r="AZ571" s="245"/>
      <c r="BA571" s="246"/>
      <c r="BB571" s="245"/>
      <c r="BC571" s="245"/>
      <c r="BD571" s="245"/>
      <c r="BE571" s="245"/>
      <c r="BF571" s="245"/>
      <c r="BG571" s="245"/>
      <c r="BH571" s="245"/>
      <c r="BI571" s="245"/>
      <c r="BJ571" s="245"/>
      <c r="BK571" s="245"/>
      <c r="BL571" s="245"/>
      <c r="BM571" s="245"/>
      <c r="BN571" s="245"/>
      <c r="BO571" s="245"/>
      <c r="BP571" s="245"/>
      <c r="BQ571" s="245"/>
      <c r="BR571" s="245"/>
      <c r="BS571" s="245"/>
      <c r="BT571" s="246"/>
      <c r="BU571" s="245"/>
      <c r="BV571" s="245"/>
      <c r="BW571" s="245"/>
      <c r="BX571" s="245"/>
      <c r="BY571" s="245"/>
      <c r="BZ571" s="282"/>
      <c r="CA571" s="245"/>
      <c r="CB571" s="245"/>
      <c r="CC571" s="245"/>
      <c r="CD571" s="245"/>
      <c r="CE571" s="245"/>
      <c r="CF571" s="245"/>
    </row>
    <row r="572">
      <c r="A572" s="305"/>
      <c r="B572" s="245"/>
      <c r="C572" s="245"/>
      <c r="D572" s="246"/>
      <c r="E572" s="245"/>
      <c r="F572" s="245"/>
      <c r="G572" s="245"/>
      <c r="H572" s="245"/>
      <c r="I572" s="245"/>
      <c r="J572" s="245"/>
      <c r="K572" s="265"/>
      <c r="L572" s="245"/>
      <c r="M572" s="245"/>
      <c r="N572" s="245"/>
      <c r="O572" s="245"/>
      <c r="P572" s="245"/>
      <c r="Q572" s="247"/>
      <c r="R572" s="254"/>
      <c r="S572" s="245"/>
      <c r="T572" s="245"/>
      <c r="U572" s="245"/>
      <c r="V572" s="245"/>
      <c r="W572" s="245"/>
      <c r="X572" s="245"/>
      <c r="Y572" s="249"/>
      <c r="Z572" s="276"/>
      <c r="AA572" s="245"/>
      <c r="AB572" s="276"/>
      <c r="AC572" s="276"/>
      <c r="AD572" s="246"/>
      <c r="AE572" s="278"/>
      <c r="AF572" s="370"/>
      <c r="AG572" s="371"/>
      <c r="AH572" s="276"/>
      <c r="AI572" s="245"/>
      <c r="AJ572" s="287"/>
      <c r="AK572" s="278"/>
      <c r="AL572" s="246"/>
      <c r="AM572" s="245"/>
      <c r="AN572" s="245"/>
      <c r="AO572" s="274"/>
      <c r="AP572" s="245"/>
      <c r="AQ572" s="245"/>
      <c r="AR572" s="246"/>
      <c r="AS572" s="245"/>
      <c r="AT572" s="245"/>
      <c r="AU572" s="245"/>
      <c r="AV572" s="245"/>
      <c r="AW572" s="245"/>
      <c r="AX572" s="246"/>
      <c r="AY572" s="245"/>
      <c r="AZ572" s="245"/>
      <c r="BA572" s="246"/>
      <c r="BB572" s="245"/>
      <c r="BC572" s="245"/>
      <c r="BD572" s="245"/>
      <c r="BE572" s="245"/>
      <c r="BF572" s="245"/>
      <c r="BG572" s="245"/>
      <c r="BH572" s="245"/>
      <c r="BI572" s="245"/>
      <c r="BJ572" s="245"/>
      <c r="BK572" s="245"/>
      <c r="BL572" s="245"/>
      <c r="BM572" s="245"/>
      <c r="BN572" s="245"/>
      <c r="BO572" s="245"/>
      <c r="BP572" s="245"/>
      <c r="BQ572" s="245"/>
      <c r="BR572" s="245"/>
      <c r="BS572" s="245"/>
      <c r="BT572" s="246"/>
      <c r="BU572" s="245"/>
      <c r="BV572" s="245"/>
      <c r="BW572" s="245"/>
      <c r="BX572" s="245"/>
      <c r="BY572" s="245"/>
      <c r="BZ572" s="282"/>
      <c r="CA572" s="245"/>
      <c r="CB572" s="245"/>
      <c r="CC572" s="245"/>
      <c r="CD572" s="245"/>
      <c r="CE572" s="245"/>
      <c r="CF572" s="245"/>
    </row>
    <row r="573">
      <c r="A573" s="305"/>
      <c r="B573" s="245"/>
      <c r="C573" s="245"/>
      <c r="D573" s="246"/>
      <c r="E573" s="245"/>
      <c r="F573" s="245"/>
      <c r="G573" s="245"/>
      <c r="H573" s="245"/>
      <c r="I573" s="245"/>
      <c r="J573" s="245"/>
      <c r="K573" s="265"/>
      <c r="L573" s="245"/>
      <c r="M573" s="245"/>
      <c r="N573" s="245"/>
      <c r="O573" s="245"/>
      <c r="P573" s="245"/>
      <c r="Q573" s="247"/>
      <c r="R573" s="254"/>
      <c r="S573" s="245"/>
      <c r="T573" s="245"/>
      <c r="U573" s="245"/>
      <c r="V573" s="245"/>
      <c r="W573" s="245"/>
      <c r="X573" s="245"/>
      <c r="Y573" s="249"/>
      <c r="Z573" s="276"/>
      <c r="AA573" s="245"/>
      <c r="AB573" s="276"/>
      <c r="AC573" s="276"/>
      <c r="AD573" s="246"/>
      <c r="AE573" s="278"/>
      <c r="AF573" s="370"/>
      <c r="AG573" s="371"/>
      <c r="AH573" s="276"/>
      <c r="AI573" s="245"/>
      <c r="AJ573" s="287"/>
      <c r="AK573" s="278"/>
      <c r="AL573" s="246"/>
      <c r="AM573" s="245"/>
      <c r="AN573" s="245"/>
      <c r="AO573" s="274"/>
      <c r="AP573" s="245"/>
      <c r="AQ573" s="245"/>
      <c r="AR573" s="246"/>
      <c r="AS573" s="245"/>
      <c r="AT573" s="245"/>
      <c r="AU573" s="245"/>
      <c r="AV573" s="245"/>
      <c r="AW573" s="245"/>
      <c r="AX573" s="246"/>
      <c r="AY573" s="245"/>
      <c r="AZ573" s="245"/>
      <c r="BA573" s="246"/>
      <c r="BB573" s="245"/>
      <c r="BC573" s="245"/>
      <c r="BD573" s="245"/>
      <c r="BE573" s="245"/>
      <c r="BF573" s="245"/>
      <c r="BG573" s="245"/>
      <c r="BH573" s="245"/>
      <c r="BI573" s="245"/>
      <c r="BJ573" s="245"/>
      <c r="BK573" s="245"/>
      <c r="BL573" s="245"/>
      <c r="BM573" s="245"/>
      <c r="BN573" s="245"/>
      <c r="BO573" s="245"/>
      <c r="BP573" s="245"/>
      <c r="BQ573" s="245"/>
      <c r="BR573" s="245"/>
      <c r="BS573" s="245"/>
      <c r="BT573" s="246"/>
      <c r="BU573" s="245"/>
      <c r="BV573" s="245"/>
      <c r="BW573" s="245"/>
      <c r="BX573" s="245"/>
      <c r="BY573" s="245"/>
      <c r="BZ573" s="282"/>
      <c r="CA573" s="245"/>
      <c r="CB573" s="245"/>
      <c r="CC573" s="245"/>
      <c r="CD573" s="245"/>
      <c r="CE573" s="245"/>
      <c r="CF573" s="245"/>
    </row>
    <row r="574">
      <c r="A574" s="305"/>
      <c r="B574" s="245"/>
      <c r="C574" s="245"/>
      <c r="D574" s="246"/>
      <c r="E574" s="245"/>
      <c r="F574" s="245"/>
      <c r="G574" s="245"/>
      <c r="H574" s="245"/>
      <c r="I574" s="245"/>
      <c r="J574" s="245"/>
      <c r="K574" s="265"/>
      <c r="L574" s="245"/>
      <c r="M574" s="245"/>
      <c r="N574" s="245"/>
      <c r="O574" s="245"/>
      <c r="P574" s="245"/>
      <c r="Q574" s="247"/>
      <c r="R574" s="254"/>
      <c r="S574" s="245"/>
      <c r="T574" s="245"/>
      <c r="U574" s="245"/>
      <c r="V574" s="245"/>
      <c r="W574" s="245"/>
      <c r="X574" s="245"/>
      <c r="Y574" s="249"/>
      <c r="Z574" s="276"/>
      <c r="AA574" s="245"/>
      <c r="AB574" s="276"/>
      <c r="AC574" s="276"/>
      <c r="AD574" s="246"/>
      <c r="AE574" s="278"/>
      <c r="AF574" s="370"/>
      <c r="AG574" s="371"/>
      <c r="AH574" s="276"/>
      <c r="AI574" s="245"/>
      <c r="AJ574" s="287"/>
      <c r="AK574" s="278"/>
      <c r="AL574" s="246"/>
      <c r="AM574" s="245"/>
      <c r="AN574" s="245"/>
      <c r="AO574" s="274"/>
      <c r="AP574" s="245"/>
      <c r="AQ574" s="245"/>
      <c r="AR574" s="246"/>
      <c r="AS574" s="245"/>
      <c r="AT574" s="245"/>
      <c r="AU574" s="245"/>
      <c r="AV574" s="245"/>
      <c r="AW574" s="245"/>
      <c r="AX574" s="246"/>
      <c r="AY574" s="245"/>
      <c r="AZ574" s="245"/>
      <c r="BA574" s="246"/>
      <c r="BB574" s="245"/>
      <c r="BC574" s="245"/>
      <c r="BD574" s="245"/>
      <c r="BE574" s="245"/>
      <c r="BF574" s="245"/>
      <c r="BG574" s="245"/>
      <c r="BH574" s="245"/>
      <c r="BI574" s="245"/>
      <c r="BJ574" s="245"/>
      <c r="BK574" s="245"/>
      <c r="BL574" s="245"/>
      <c r="BM574" s="245"/>
      <c r="BN574" s="245"/>
      <c r="BO574" s="245"/>
      <c r="BP574" s="245"/>
      <c r="BQ574" s="245"/>
      <c r="BR574" s="245"/>
      <c r="BS574" s="245"/>
      <c r="BT574" s="246"/>
      <c r="BU574" s="245"/>
      <c r="BV574" s="245"/>
      <c r="BW574" s="245"/>
      <c r="BX574" s="245"/>
      <c r="BY574" s="245"/>
      <c r="BZ574" s="282"/>
      <c r="CA574" s="245"/>
      <c r="CB574" s="245"/>
      <c r="CC574" s="245"/>
      <c r="CD574" s="245"/>
      <c r="CE574" s="245"/>
      <c r="CF574" s="245"/>
    </row>
    <row r="575">
      <c r="A575" s="245"/>
      <c r="B575" s="245"/>
      <c r="C575" s="245"/>
      <c r="D575" s="246"/>
      <c r="E575" s="245"/>
      <c r="F575" s="245"/>
      <c r="G575" s="245"/>
      <c r="H575" s="245"/>
      <c r="I575" s="245"/>
      <c r="J575" s="245"/>
      <c r="K575" s="265"/>
      <c r="L575" s="245"/>
      <c r="M575" s="245"/>
      <c r="N575" s="245"/>
      <c r="O575" s="245"/>
      <c r="P575" s="245"/>
      <c r="Q575" s="247"/>
      <c r="R575" s="254"/>
      <c r="S575" s="245"/>
      <c r="T575" s="245"/>
      <c r="U575" s="245"/>
      <c r="V575" s="245"/>
      <c r="W575" s="245"/>
      <c r="X575" s="245"/>
      <c r="Y575" s="249"/>
      <c r="Z575" s="276"/>
      <c r="AA575" s="245"/>
      <c r="AB575" s="276"/>
      <c r="AC575" s="276"/>
      <c r="AD575" s="246"/>
      <c r="AE575" s="278"/>
      <c r="AF575" s="370"/>
      <c r="AG575" s="371"/>
      <c r="AH575" s="276"/>
      <c r="AI575" s="245"/>
      <c r="AJ575" s="287"/>
      <c r="AK575" s="278"/>
      <c r="AL575" s="246"/>
      <c r="AM575" s="245"/>
      <c r="AN575" s="245"/>
      <c r="AO575" s="274"/>
      <c r="AP575" s="245"/>
      <c r="AQ575" s="245"/>
      <c r="AR575" s="246"/>
      <c r="AS575" s="245"/>
      <c r="AT575" s="245"/>
      <c r="AU575" s="245"/>
      <c r="AV575" s="245"/>
      <c r="AW575" s="245"/>
      <c r="AX575" s="246"/>
      <c r="AY575" s="245"/>
      <c r="AZ575" s="245"/>
      <c r="BA575" s="246"/>
      <c r="BB575" s="245"/>
      <c r="BC575" s="245"/>
      <c r="BD575" s="245"/>
      <c r="BE575" s="245"/>
      <c r="BF575" s="245"/>
      <c r="BG575" s="245"/>
      <c r="BH575" s="245"/>
      <c r="BI575" s="245"/>
      <c r="BJ575" s="245"/>
      <c r="BK575" s="245"/>
      <c r="BL575" s="245"/>
      <c r="BM575" s="245"/>
      <c r="BN575" s="245"/>
      <c r="BO575" s="245"/>
      <c r="BP575" s="245"/>
      <c r="BQ575" s="245"/>
      <c r="BR575" s="245"/>
      <c r="BS575" s="245"/>
      <c r="BT575" s="246"/>
      <c r="BU575" s="245"/>
      <c r="BV575" s="245"/>
      <c r="BW575" s="245"/>
      <c r="BX575" s="245"/>
      <c r="BY575" s="245"/>
      <c r="BZ575" s="282"/>
      <c r="CA575" s="245"/>
      <c r="CB575" s="245"/>
      <c r="CC575" s="245"/>
      <c r="CD575" s="245"/>
      <c r="CE575" s="245"/>
      <c r="CF575" s="245"/>
    </row>
    <row r="576">
      <c r="A576" s="245"/>
      <c r="B576" s="245"/>
      <c r="C576" s="245"/>
      <c r="D576" s="246"/>
      <c r="E576" s="245"/>
      <c r="F576" s="245"/>
      <c r="G576" s="245"/>
      <c r="H576" s="245"/>
      <c r="I576" s="245"/>
      <c r="J576" s="245"/>
      <c r="K576" s="265"/>
      <c r="L576" s="245"/>
      <c r="M576" s="245"/>
      <c r="N576" s="245"/>
      <c r="O576" s="245"/>
      <c r="P576" s="245"/>
      <c r="Q576" s="247"/>
      <c r="R576" s="254"/>
      <c r="S576" s="245"/>
      <c r="T576" s="245"/>
      <c r="U576" s="245"/>
      <c r="V576" s="245"/>
      <c r="W576" s="245"/>
      <c r="X576" s="245"/>
      <c r="Y576" s="249"/>
      <c r="Z576" s="276"/>
      <c r="AA576" s="245"/>
      <c r="AB576" s="276"/>
      <c r="AC576" s="276"/>
      <c r="AD576" s="246"/>
      <c r="AE576" s="278"/>
      <c r="AF576" s="370"/>
      <c r="AG576" s="371"/>
      <c r="AH576" s="276"/>
      <c r="AI576" s="245"/>
      <c r="AJ576" s="287"/>
      <c r="AK576" s="278"/>
      <c r="AL576" s="246"/>
      <c r="AM576" s="245"/>
      <c r="AN576" s="245"/>
      <c r="AO576" s="274"/>
      <c r="AP576" s="245"/>
      <c r="AQ576" s="245"/>
      <c r="AR576" s="246"/>
      <c r="AS576" s="245"/>
      <c r="AT576" s="245"/>
      <c r="AU576" s="245"/>
      <c r="AV576" s="245"/>
      <c r="AW576" s="245"/>
      <c r="AX576" s="246"/>
      <c r="AY576" s="245"/>
      <c r="AZ576" s="245"/>
      <c r="BA576" s="246"/>
      <c r="BB576" s="245"/>
      <c r="BC576" s="245"/>
      <c r="BD576" s="245"/>
      <c r="BE576" s="245"/>
      <c r="BF576" s="245"/>
      <c r="BG576" s="245"/>
      <c r="BH576" s="245"/>
      <c r="BI576" s="245"/>
      <c r="BJ576" s="245"/>
      <c r="BK576" s="245"/>
      <c r="BL576" s="245"/>
      <c r="BM576" s="245"/>
      <c r="BN576" s="245"/>
      <c r="BO576" s="245"/>
      <c r="BP576" s="245"/>
      <c r="BQ576" s="245"/>
      <c r="BR576" s="245"/>
      <c r="BS576" s="245"/>
      <c r="BT576" s="246"/>
      <c r="BU576" s="245"/>
      <c r="BV576" s="245"/>
      <c r="BW576" s="245"/>
      <c r="BX576" s="245"/>
      <c r="BY576" s="245"/>
      <c r="BZ576" s="282"/>
      <c r="CA576" s="245"/>
      <c r="CB576" s="245"/>
      <c r="CC576" s="245"/>
      <c r="CD576" s="245"/>
      <c r="CE576" s="245"/>
      <c r="CF576" s="245"/>
    </row>
    <row r="577">
      <c r="A577" s="245"/>
      <c r="B577" s="245"/>
      <c r="C577" s="245"/>
      <c r="D577" s="246"/>
      <c r="E577" s="245"/>
      <c r="F577" s="245"/>
      <c r="G577" s="245"/>
      <c r="H577" s="245"/>
      <c r="I577" s="245"/>
      <c r="J577" s="245"/>
      <c r="K577" s="265"/>
      <c r="L577" s="245"/>
      <c r="M577" s="245"/>
      <c r="N577" s="245"/>
      <c r="O577" s="245"/>
      <c r="P577" s="245"/>
      <c r="Q577" s="247"/>
      <c r="R577" s="254"/>
      <c r="S577" s="245"/>
      <c r="T577" s="245"/>
      <c r="U577" s="245"/>
      <c r="V577" s="245"/>
      <c r="W577" s="245"/>
      <c r="X577" s="245"/>
      <c r="Y577" s="249"/>
      <c r="Z577" s="276"/>
      <c r="AA577" s="245"/>
      <c r="AB577" s="276"/>
      <c r="AC577" s="276"/>
      <c r="AD577" s="246"/>
      <c r="AE577" s="278"/>
      <c r="AF577" s="370"/>
      <c r="AG577" s="371"/>
      <c r="AH577" s="276"/>
      <c r="AI577" s="245"/>
      <c r="AJ577" s="287"/>
      <c r="AK577" s="278"/>
      <c r="AL577" s="246"/>
      <c r="AM577" s="245"/>
      <c r="AN577" s="245"/>
      <c r="AO577" s="274"/>
      <c r="AP577" s="245"/>
      <c r="AQ577" s="245"/>
      <c r="AR577" s="246"/>
      <c r="AS577" s="245"/>
      <c r="AT577" s="245"/>
      <c r="AU577" s="245"/>
      <c r="AV577" s="245"/>
      <c r="AW577" s="245"/>
      <c r="AX577" s="246"/>
      <c r="AY577" s="245"/>
      <c r="AZ577" s="245"/>
      <c r="BA577" s="246"/>
      <c r="BB577" s="245"/>
      <c r="BC577" s="245"/>
      <c r="BD577" s="245"/>
      <c r="BE577" s="245"/>
      <c r="BF577" s="245"/>
      <c r="BG577" s="245"/>
      <c r="BH577" s="245"/>
      <c r="BI577" s="245"/>
      <c r="BJ577" s="245"/>
      <c r="BK577" s="245"/>
      <c r="BL577" s="245"/>
      <c r="BM577" s="245"/>
      <c r="BN577" s="245"/>
      <c r="BO577" s="245"/>
      <c r="BP577" s="245"/>
      <c r="BQ577" s="245"/>
      <c r="BR577" s="245"/>
      <c r="BS577" s="245"/>
      <c r="BT577" s="246"/>
      <c r="BU577" s="245"/>
      <c r="BV577" s="245"/>
      <c r="BW577" s="245"/>
      <c r="BX577" s="245"/>
      <c r="BY577" s="245"/>
      <c r="BZ577" s="282"/>
      <c r="CA577" s="245"/>
      <c r="CB577" s="245"/>
      <c r="CC577" s="245"/>
      <c r="CD577" s="245"/>
      <c r="CE577" s="245"/>
      <c r="CF577" s="245"/>
    </row>
    <row r="578">
      <c r="A578" s="245"/>
      <c r="B578" s="245"/>
      <c r="C578" s="245"/>
      <c r="D578" s="246"/>
      <c r="E578" s="245"/>
      <c r="F578" s="245"/>
      <c r="G578" s="245"/>
      <c r="H578" s="245"/>
      <c r="I578" s="245"/>
      <c r="J578" s="245"/>
      <c r="K578" s="265"/>
      <c r="L578" s="245"/>
      <c r="M578" s="245"/>
      <c r="N578" s="245"/>
      <c r="O578" s="245"/>
      <c r="P578" s="245"/>
      <c r="Q578" s="247"/>
      <c r="R578" s="254"/>
      <c r="S578" s="245"/>
      <c r="T578" s="245"/>
      <c r="U578" s="245"/>
      <c r="V578" s="245"/>
      <c r="W578" s="245"/>
      <c r="X578" s="245"/>
      <c r="Y578" s="249"/>
      <c r="Z578" s="276"/>
      <c r="AA578" s="245"/>
      <c r="AB578" s="276"/>
      <c r="AC578" s="276"/>
      <c r="AD578" s="246"/>
      <c r="AE578" s="278"/>
      <c r="AF578" s="370"/>
      <c r="AG578" s="371"/>
      <c r="AH578" s="276"/>
      <c r="AI578" s="245"/>
      <c r="AJ578" s="287"/>
      <c r="AK578" s="278"/>
      <c r="AL578" s="246"/>
      <c r="AM578" s="245"/>
      <c r="AN578" s="245"/>
      <c r="AO578" s="274"/>
      <c r="AP578" s="245"/>
      <c r="AQ578" s="245"/>
      <c r="AR578" s="246"/>
      <c r="AS578" s="245"/>
      <c r="AT578" s="245"/>
      <c r="AU578" s="245"/>
      <c r="AV578" s="245"/>
      <c r="AW578" s="245"/>
      <c r="AX578" s="246"/>
      <c r="AY578" s="245"/>
      <c r="AZ578" s="245"/>
      <c r="BA578" s="246"/>
      <c r="BB578" s="245"/>
      <c r="BC578" s="245"/>
      <c r="BD578" s="245"/>
      <c r="BE578" s="245"/>
      <c r="BF578" s="245"/>
      <c r="BG578" s="245"/>
      <c r="BH578" s="245"/>
      <c r="BI578" s="245"/>
      <c r="BJ578" s="245"/>
      <c r="BK578" s="245"/>
      <c r="BL578" s="245"/>
      <c r="BM578" s="245"/>
      <c r="BN578" s="245"/>
      <c r="BO578" s="245"/>
      <c r="BP578" s="245"/>
      <c r="BQ578" s="245"/>
      <c r="BR578" s="245"/>
      <c r="BS578" s="245"/>
      <c r="BT578" s="246"/>
      <c r="BU578" s="245"/>
      <c r="BV578" s="245"/>
      <c r="BW578" s="245"/>
      <c r="BX578" s="245"/>
      <c r="BY578" s="245"/>
      <c r="BZ578" s="282"/>
      <c r="CA578" s="245"/>
      <c r="CB578" s="245"/>
      <c r="CC578" s="245"/>
      <c r="CD578" s="245"/>
      <c r="CE578" s="245"/>
      <c r="CF578" s="245"/>
    </row>
    <row r="579">
      <c r="A579" s="245"/>
      <c r="B579" s="245"/>
      <c r="C579" s="245"/>
      <c r="D579" s="246"/>
      <c r="E579" s="245"/>
      <c r="F579" s="245"/>
      <c r="G579" s="245"/>
      <c r="H579" s="245"/>
      <c r="I579" s="245"/>
      <c r="J579" s="245"/>
      <c r="K579" s="265"/>
      <c r="L579" s="245"/>
      <c r="M579" s="245"/>
      <c r="N579" s="245"/>
      <c r="O579" s="245"/>
      <c r="P579" s="245"/>
      <c r="Q579" s="247"/>
      <c r="R579" s="254"/>
      <c r="S579" s="245"/>
      <c r="T579" s="245"/>
      <c r="U579" s="245"/>
      <c r="V579" s="245"/>
      <c r="W579" s="245"/>
      <c r="X579" s="245"/>
      <c r="Y579" s="249"/>
      <c r="Z579" s="276"/>
      <c r="AA579" s="245"/>
      <c r="AB579" s="276"/>
      <c r="AC579" s="276"/>
      <c r="AD579" s="246"/>
      <c r="AE579" s="278"/>
      <c r="AF579" s="370"/>
      <c r="AG579" s="371"/>
      <c r="AH579" s="276"/>
      <c r="AI579" s="245"/>
      <c r="AJ579" s="287"/>
      <c r="AK579" s="278"/>
      <c r="AL579" s="246"/>
      <c r="AM579" s="245"/>
      <c r="AN579" s="245"/>
      <c r="AO579" s="274"/>
      <c r="AP579" s="245"/>
      <c r="AQ579" s="245"/>
      <c r="AR579" s="246"/>
      <c r="AS579" s="245"/>
      <c r="AT579" s="245"/>
      <c r="AU579" s="245"/>
      <c r="AV579" s="245"/>
      <c r="AW579" s="245"/>
      <c r="AX579" s="246"/>
      <c r="AY579" s="245"/>
      <c r="AZ579" s="245"/>
      <c r="BA579" s="246"/>
      <c r="BB579" s="245"/>
      <c r="BC579" s="245"/>
      <c r="BD579" s="245"/>
      <c r="BE579" s="245"/>
      <c r="BF579" s="245"/>
      <c r="BG579" s="245"/>
      <c r="BH579" s="245"/>
      <c r="BI579" s="245"/>
      <c r="BJ579" s="245"/>
      <c r="BK579" s="245"/>
      <c r="BL579" s="245"/>
      <c r="BM579" s="245"/>
      <c r="BN579" s="245"/>
      <c r="BO579" s="245"/>
      <c r="BP579" s="245"/>
      <c r="BQ579" s="245"/>
      <c r="BR579" s="245"/>
      <c r="BS579" s="245"/>
      <c r="BT579" s="246"/>
      <c r="BU579" s="245"/>
      <c r="BV579" s="245"/>
      <c r="BW579" s="245"/>
      <c r="BX579" s="245"/>
      <c r="BY579" s="245"/>
      <c r="BZ579" s="282"/>
      <c r="CA579" s="245"/>
      <c r="CB579" s="245"/>
      <c r="CC579" s="245"/>
      <c r="CD579" s="245"/>
      <c r="CE579" s="245"/>
      <c r="CF579" s="245"/>
    </row>
    <row r="580">
      <c r="A580" s="245"/>
      <c r="B580" s="245"/>
      <c r="C580" s="245"/>
      <c r="D580" s="246"/>
      <c r="E580" s="245"/>
      <c r="F580" s="245"/>
      <c r="G580" s="245"/>
      <c r="H580" s="245"/>
      <c r="I580" s="245"/>
      <c r="J580" s="245"/>
      <c r="K580" s="265"/>
      <c r="L580" s="245"/>
      <c r="M580" s="245"/>
      <c r="N580" s="245"/>
      <c r="O580" s="245"/>
      <c r="P580" s="245"/>
      <c r="Q580" s="247"/>
      <c r="R580" s="254"/>
      <c r="S580" s="245"/>
      <c r="T580" s="245"/>
      <c r="U580" s="245"/>
      <c r="V580" s="245"/>
      <c r="W580" s="245"/>
      <c r="X580" s="245"/>
      <c r="Y580" s="249"/>
      <c r="Z580" s="276"/>
      <c r="AA580" s="245"/>
      <c r="AB580" s="276"/>
      <c r="AC580" s="276"/>
      <c r="AD580" s="246"/>
      <c r="AE580" s="278"/>
      <c r="AF580" s="370"/>
      <c r="AG580" s="371"/>
      <c r="AH580" s="276"/>
      <c r="AI580" s="245"/>
      <c r="AJ580" s="287"/>
      <c r="AK580" s="278"/>
      <c r="AL580" s="246"/>
      <c r="AM580" s="245"/>
      <c r="AN580" s="245"/>
      <c r="AO580" s="274"/>
      <c r="AP580" s="245"/>
      <c r="AQ580" s="245"/>
      <c r="AR580" s="246"/>
      <c r="AS580" s="245"/>
      <c r="AT580" s="245"/>
      <c r="AU580" s="245"/>
      <c r="AV580" s="245"/>
      <c r="AW580" s="245"/>
      <c r="AX580" s="246"/>
      <c r="AY580" s="245"/>
      <c r="AZ580" s="245"/>
      <c r="BA580" s="246"/>
      <c r="BB580" s="245"/>
      <c r="BC580" s="245"/>
      <c r="BD580" s="245"/>
      <c r="BE580" s="245"/>
      <c r="BF580" s="245"/>
      <c r="BG580" s="245"/>
      <c r="BH580" s="245"/>
      <c r="BI580" s="245"/>
      <c r="BJ580" s="245"/>
      <c r="BK580" s="245"/>
      <c r="BL580" s="245"/>
      <c r="BM580" s="245"/>
      <c r="BN580" s="245"/>
      <c r="BO580" s="245"/>
      <c r="BP580" s="245"/>
      <c r="BQ580" s="245"/>
      <c r="BR580" s="245"/>
      <c r="BS580" s="245"/>
      <c r="BT580" s="246"/>
      <c r="BU580" s="245"/>
      <c r="BV580" s="245"/>
      <c r="BW580" s="245"/>
      <c r="BX580" s="245"/>
      <c r="BY580" s="245"/>
      <c r="BZ580" s="282"/>
      <c r="CA580" s="245"/>
      <c r="CB580" s="245"/>
      <c r="CC580" s="245"/>
      <c r="CD580" s="245"/>
      <c r="CE580" s="245"/>
      <c r="CF580" s="245"/>
    </row>
    <row r="581">
      <c r="A581" s="245"/>
      <c r="B581" s="245"/>
      <c r="C581" s="245"/>
      <c r="D581" s="246"/>
      <c r="E581" s="245"/>
      <c r="F581" s="245"/>
      <c r="G581" s="245"/>
      <c r="H581" s="245"/>
      <c r="I581" s="245"/>
      <c r="J581" s="245"/>
      <c r="K581" s="265"/>
      <c r="L581" s="245"/>
      <c r="M581" s="245"/>
      <c r="N581" s="245"/>
      <c r="O581" s="245"/>
      <c r="P581" s="245"/>
      <c r="Q581" s="247"/>
      <c r="R581" s="254"/>
      <c r="S581" s="245"/>
      <c r="T581" s="245"/>
      <c r="U581" s="245"/>
      <c r="V581" s="245"/>
      <c r="W581" s="245"/>
      <c r="X581" s="245"/>
      <c r="Y581" s="249"/>
      <c r="Z581" s="276"/>
      <c r="AA581" s="245"/>
      <c r="AB581" s="276"/>
      <c r="AC581" s="276"/>
      <c r="AD581" s="246"/>
      <c r="AE581" s="278"/>
      <c r="AF581" s="370"/>
      <c r="AG581" s="371"/>
      <c r="AH581" s="276"/>
      <c r="AI581" s="245"/>
      <c r="AJ581" s="287"/>
      <c r="AK581" s="278"/>
      <c r="AL581" s="246"/>
      <c r="AM581" s="245"/>
      <c r="AN581" s="245"/>
      <c r="AO581" s="274"/>
      <c r="AP581" s="245"/>
      <c r="AQ581" s="245"/>
      <c r="AR581" s="246"/>
      <c r="AS581" s="245"/>
      <c r="AT581" s="245"/>
      <c r="AU581" s="245"/>
      <c r="AV581" s="245"/>
      <c r="AW581" s="245"/>
      <c r="AX581" s="246"/>
      <c r="AY581" s="245"/>
      <c r="AZ581" s="245"/>
      <c r="BA581" s="246"/>
      <c r="BB581" s="245"/>
      <c r="BC581" s="245"/>
      <c r="BD581" s="245"/>
      <c r="BE581" s="245"/>
      <c r="BF581" s="245"/>
      <c r="BG581" s="245"/>
      <c r="BH581" s="245"/>
      <c r="BI581" s="245"/>
      <c r="BJ581" s="245"/>
      <c r="BK581" s="245"/>
      <c r="BL581" s="245"/>
      <c r="BM581" s="245"/>
      <c r="BN581" s="245"/>
      <c r="BO581" s="245"/>
      <c r="BP581" s="245"/>
      <c r="BQ581" s="245"/>
      <c r="BR581" s="245"/>
      <c r="BS581" s="245"/>
      <c r="BT581" s="246"/>
      <c r="BU581" s="245"/>
      <c r="BV581" s="245"/>
      <c r="BW581" s="245"/>
      <c r="BX581" s="245"/>
      <c r="BY581" s="245"/>
      <c r="BZ581" s="282"/>
      <c r="CA581" s="245"/>
      <c r="CB581" s="245"/>
      <c r="CC581" s="245"/>
      <c r="CD581" s="245"/>
      <c r="CE581" s="245"/>
      <c r="CF581" s="245"/>
    </row>
    <row r="582">
      <c r="A582" s="245"/>
      <c r="B582" s="245"/>
      <c r="C582" s="245"/>
      <c r="D582" s="246"/>
      <c r="E582" s="245"/>
      <c r="F582" s="245"/>
      <c r="G582" s="245"/>
      <c r="H582" s="245"/>
      <c r="I582" s="245"/>
      <c r="J582" s="245"/>
      <c r="K582" s="265"/>
      <c r="L582" s="245"/>
      <c r="M582" s="245"/>
      <c r="N582" s="245"/>
      <c r="O582" s="245"/>
      <c r="P582" s="245"/>
      <c r="Q582" s="247"/>
      <c r="R582" s="254"/>
      <c r="S582" s="245"/>
      <c r="T582" s="245"/>
      <c r="U582" s="245"/>
      <c r="V582" s="245"/>
      <c r="W582" s="245"/>
      <c r="X582" s="245"/>
      <c r="Y582" s="249"/>
      <c r="Z582" s="276"/>
      <c r="AA582" s="245"/>
      <c r="AB582" s="276"/>
      <c r="AC582" s="276"/>
      <c r="AD582" s="246"/>
      <c r="AE582" s="278"/>
      <c r="AF582" s="370"/>
      <c r="AG582" s="371"/>
      <c r="AH582" s="276"/>
      <c r="AI582" s="245"/>
      <c r="AJ582" s="287"/>
      <c r="AK582" s="278"/>
      <c r="AL582" s="246"/>
      <c r="AM582" s="245"/>
      <c r="AN582" s="245"/>
      <c r="AO582" s="274"/>
      <c r="AP582" s="245"/>
      <c r="AQ582" s="245"/>
      <c r="AR582" s="246"/>
      <c r="AS582" s="245"/>
      <c r="AT582" s="245"/>
      <c r="AU582" s="245"/>
      <c r="AV582" s="245"/>
      <c r="AW582" s="245"/>
      <c r="AX582" s="246"/>
      <c r="AY582" s="245"/>
      <c r="AZ582" s="245"/>
      <c r="BA582" s="246"/>
      <c r="BB582" s="245"/>
      <c r="BC582" s="245"/>
      <c r="BD582" s="245"/>
      <c r="BE582" s="245"/>
      <c r="BF582" s="245"/>
      <c r="BG582" s="245"/>
      <c r="BH582" s="245"/>
      <c r="BI582" s="245"/>
      <c r="BJ582" s="245"/>
      <c r="BK582" s="245"/>
      <c r="BL582" s="245"/>
      <c r="BM582" s="245"/>
      <c r="BN582" s="245"/>
      <c r="BO582" s="245"/>
      <c r="BP582" s="245"/>
      <c r="BQ582" s="245"/>
      <c r="BR582" s="245"/>
      <c r="BS582" s="245"/>
      <c r="BT582" s="246"/>
      <c r="BU582" s="245"/>
      <c r="BV582" s="245"/>
      <c r="BW582" s="245"/>
      <c r="BX582" s="245"/>
      <c r="BY582" s="245"/>
      <c r="BZ582" s="282"/>
      <c r="CA582" s="245"/>
      <c r="CB582" s="245"/>
      <c r="CC582" s="245"/>
      <c r="CD582" s="245"/>
      <c r="CE582" s="245"/>
      <c r="CF582" s="245"/>
    </row>
    <row r="583">
      <c r="A583" s="245"/>
      <c r="B583" s="245"/>
      <c r="C583" s="245"/>
      <c r="D583" s="246"/>
      <c r="E583" s="245"/>
      <c r="F583" s="245"/>
      <c r="G583" s="245"/>
      <c r="H583" s="245"/>
      <c r="I583" s="245"/>
      <c r="J583" s="245"/>
      <c r="K583" s="265"/>
      <c r="L583" s="245"/>
      <c r="M583" s="245"/>
      <c r="N583" s="245"/>
      <c r="O583" s="245"/>
      <c r="P583" s="245"/>
      <c r="Q583" s="247"/>
      <c r="R583" s="254"/>
      <c r="S583" s="245"/>
      <c r="T583" s="245"/>
      <c r="U583" s="245"/>
      <c r="V583" s="245"/>
      <c r="W583" s="245"/>
      <c r="X583" s="245"/>
      <c r="Y583" s="249"/>
      <c r="Z583" s="276"/>
      <c r="AA583" s="245"/>
      <c r="AB583" s="276"/>
      <c r="AC583" s="276"/>
      <c r="AD583" s="246"/>
      <c r="AE583" s="278"/>
      <c r="AF583" s="370"/>
      <c r="AG583" s="371"/>
      <c r="AH583" s="276"/>
      <c r="AI583" s="245"/>
      <c r="AJ583" s="287"/>
      <c r="AK583" s="278"/>
      <c r="AL583" s="246"/>
      <c r="AM583" s="245"/>
      <c r="AN583" s="245"/>
      <c r="AO583" s="274"/>
      <c r="AP583" s="245"/>
      <c r="AQ583" s="245"/>
      <c r="AR583" s="246"/>
      <c r="AS583" s="245"/>
      <c r="AT583" s="245"/>
      <c r="AU583" s="245"/>
      <c r="AV583" s="245"/>
      <c r="AW583" s="245"/>
      <c r="AX583" s="246"/>
      <c r="AY583" s="245"/>
      <c r="AZ583" s="245"/>
      <c r="BA583" s="246"/>
      <c r="BB583" s="245"/>
      <c r="BC583" s="245"/>
      <c r="BD583" s="245"/>
      <c r="BE583" s="245"/>
      <c r="BF583" s="245"/>
      <c r="BG583" s="245"/>
      <c r="BH583" s="245"/>
      <c r="BI583" s="245"/>
      <c r="BJ583" s="245"/>
      <c r="BK583" s="245"/>
      <c r="BL583" s="245"/>
      <c r="BM583" s="245"/>
      <c r="BN583" s="245"/>
      <c r="BO583" s="245"/>
      <c r="BP583" s="245"/>
      <c r="BQ583" s="245"/>
      <c r="BR583" s="245"/>
      <c r="BS583" s="245"/>
      <c r="BT583" s="246"/>
      <c r="BU583" s="245"/>
      <c r="BV583" s="245"/>
      <c r="BW583" s="245"/>
      <c r="BX583" s="245"/>
      <c r="BY583" s="245"/>
      <c r="BZ583" s="282"/>
      <c r="CA583" s="245"/>
      <c r="CB583" s="245"/>
      <c r="CC583" s="245"/>
      <c r="CD583" s="245"/>
      <c r="CE583" s="245"/>
      <c r="CF583" s="245"/>
    </row>
    <row r="584">
      <c r="A584" s="245"/>
      <c r="B584" s="245"/>
      <c r="C584" s="245"/>
      <c r="D584" s="246"/>
      <c r="E584" s="245"/>
      <c r="F584" s="245"/>
      <c r="G584" s="245"/>
      <c r="H584" s="245"/>
      <c r="I584" s="245"/>
      <c r="J584" s="245"/>
      <c r="K584" s="265"/>
      <c r="L584" s="245"/>
      <c r="M584" s="245"/>
      <c r="N584" s="245"/>
      <c r="O584" s="245"/>
      <c r="P584" s="245"/>
      <c r="Q584" s="247"/>
      <c r="R584" s="254"/>
      <c r="S584" s="245"/>
      <c r="T584" s="245"/>
      <c r="U584" s="245"/>
      <c r="V584" s="245"/>
      <c r="W584" s="245"/>
      <c r="X584" s="245"/>
      <c r="Y584" s="249"/>
      <c r="Z584" s="276"/>
      <c r="AA584" s="245"/>
      <c r="AB584" s="276"/>
      <c r="AC584" s="276"/>
      <c r="AD584" s="246"/>
      <c r="AE584" s="278"/>
      <c r="AF584" s="370"/>
      <c r="AG584" s="371"/>
      <c r="AH584" s="276"/>
      <c r="AI584" s="245"/>
      <c r="AJ584" s="287"/>
      <c r="AK584" s="278"/>
      <c r="AL584" s="246"/>
      <c r="AM584" s="245"/>
      <c r="AN584" s="245"/>
      <c r="AO584" s="274"/>
      <c r="AP584" s="245"/>
      <c r="AQ584" s="245"/>
      <c r="AR584" s="246"/>
      <c r="AS584" s="245"/>
      <c r="AT584" s="245"/>
      <c r="AU584" s="245"/>
      <c r="AV584" s="245"/>
      <c r="AW584" s="245"/>
      <c r="AX584" s="246"/>
      <c r="AY584" s="245"/>
      <c r="AZ584" s="245"/>
      <c r="BA584" s="246"/>
      <c r="BB584" s="245"/>
      <c r="BC584" s="245"/>
      <c r="BD584" s="245"/>
      <c r="BE584" s="245"/>
      <c r="BF584" s="245"/>
      <c r="BG584" s="245"/>
      <c r="BH584" s="245"/>
      <c r="BI584" s="245"/>
      <c r="BJ584" s="245"/>
      <c r="BK584" s="245"/>
      <c r="BL584" s="245"/>
      <c r="BM584" s="245"/>
      <c r="BN584" s="245"/>
      <c r="BO584" s="245"/>
      <c r="BP584" s="245"/>
      <c r="BQ584" s="245"/>
      <c r="BR584" s="245"/>
      <c r="BS584" s="245"/>
      <c r="BT584" s="246"/>
      <c r="BU584" s="245"/>
      <c r="BV584" s="245"/>
      <c r="BW584" s="245"/>
      <c r="BX584" s="245"/>
      <c r="BY584" s="245"/>
      <c r="BZ584" s="282"/>
      <c r="CA584" s="245"/>
      <c r="CB584" s="245"/>
      <c r="CC584" s="245"/>
      <c r="CD584" s="245"/>
      <c r="CE584" s="245"/>
      <c r="CF584" s="245"/>
    </row>
    <row r="585">
      <c r="A585" s="245"/>
      <c r="B585" s="245"/>
      <c r="C585" s="245"/>
      <c r="D585" s="246"/>
      <c r="E585" s="245"/>
      <c r="F585" s="245"/>
      <c r="G585" s="245"/>
      <c r="H585" s="245"/>
      <c r="I585" s="245"/>
      <c r="J585" s="245"/>
      <c r="K585" s="265"/>
      <c r="L585" s="245"/>
      <c r="M585" s="245"/>
      <c r="N585" s="245"/>
      <c r="O585" s="245"/>
      <c r="P585" s="245"/>
      <c r="Q585" s="247"/>
      <c r="R585" s="254"/>
      <c r="S585" s="245"/>
      <c r="T585" s="245"/>
      <c r="U585" s="245"/>
      <c r="V585" s="245"/>
      <c r="W585" s="245"/>
      <c r="X585" s="245"/>
      <c r="Y585" s="249"/>
      <c r="Z585" s="276"/>
      <c r="AA585" s="245"/>
      <c r="AB585" s="276"/>
      <c r="AC585" s="276"/>
      <c r="AD585" s="246"/>
      <c r="AE585" s="278"/>
      <c r="AF585" s="370"/>
      <c r="AG585" s="371"/>
      <c r="AH585" s="276"/>
      <c r="AI585" s="245"/>
      <c r="AJ585" s="287"/>
      <c r="AK585" s="278"/>
      <c r="AL585" s="246"/>
      <c r="AM585" s="245"/>
      <c r="AN585" s="245"/>
      <c r="AO585" s="274"/>
      <c r="AP585" s="245"/>
      <c r="AQ585" s="245"/>
      <c r="AR585" s="246"/>
      <c r="AS585" s="245"/>
      <c r="AT585" s="245"/>
      <c r="AU585" s="245"/>
      <c r="AV585" s="245"/>
      <c r="AW585" s="245"/>
      <c r="AX585" s="246"/>
      <c r="AY585" s="245"/>
      <c r="AZ585" s="245"/>
      <c r="BA585" s="246"/>
      <c r="BB585" s="245"/>
      <c r="BC585" s="245"/>
      <c r="BD585" s="245"/>
      <c r="BE585" s="245"/>
      <c r="BF585" s="245"/>
      <c r="BG585" s="245"/>
      <c r="BH585" s="245"/>
      <c r="BI585" s="245"/>
      <c r="BJ585" s="245"/>
      <c r="BK585" s="245"/>
      <c r="BL585" s="245"/>
      <c r="BM585" s="245"/>
      <c r="BN585" s="245"/>
      <c r="BO585" s="245"/>
      <c r="BP585" s="245"/>
      <c r="BQ585" s="245"/>
      <c r="BR585" s="245"/>
      <c r="BS585" s="245"/>
      <c r="BT585" s="246"/>
      <c r="BU585" s="245"/>
      <c r="BV585" s="245"/>
      <c r="BW585" s="245"/>
      <c r="BX585" s="245"/>
      <c r="BY585" s="245"/>
      <c r="BZ585" s="282"/>
      <c r="CA585" s="245"/>
      <c r="CB585" s="245"/>
      <c r="CC585" s="245"/>
      <c r="CD585" s="245"/>
      <c r="CE585" s="245"/>
      <c r="CF585" s="245"/>
    </row>
    <row r="586">
      <c r="A586" s="245"/>
      <c r="B586" s="245"/>
      <c r="C586" s="245"/>
      <c r="D586" s="246"/>
      <c r="E586" s="245"/>
      <c r="F586" s="245"/>
      <c r="G586" s="245"/>
      <c r="H586" s="245"/>
      <c r="I586" s="245"/>
      <c r="J586" s="245"/>
      <c r="K586" s="265"/>
      <c r="L586" s="245"/>
      <c r="M586" s="245"/>
      <c r="N586" s="245"/>
      <c r="O586" s="245"/>
      <c r="P586" s="245"/>
      <c r="Q586" s="247"/>
      <c r="R586" s="254"/>
      <c r="S586" s="245"/>
      <c r="T586" s="245"/>
      <c r="U586" s="245"/>
      <c r="V586" s="245"/>
      <c r="W586" s="245"/>
      <c r="X586" s="245"/>
      <c r="Y586" s="249"/>
      <c r="Z586" s="276"/>
      <c r="AA586" s="245"/>
      <c r="AB586" s="276"/>
      <c r="AC586" s="276"/>
      <c r="AD586" s="246"/>
      <c r="AE586" s="278"/>
      <c r="AF586" s="370"/>
      <c r="AG586" s="371"/>
      <c r="AH586" s="276"/>
      <c r="AI586" s="245"/>
      <c r="AJ586" s="287"/>
      <c r="AK586" s="278"/>
      <c r="AL586" s="246"/>
      <c r="AM586" s="245"/>
      <c r="AN586" s="245"/>
      <c r="AO586" s="274"/>
      <c r="AP586" s="245"/>
      <c r="AQ586" s="245"/>
      <c r="AR586" s="246"/>
      <c r="AS586" s="245"/>
      <c r="AT586" s="245"/>
      <c r="AU586" s="245"/>
      <c r="AV586" s="245"/>
      <c r="AW586" s="245"/>
      <c r="AX586" s="246"/>
      <c r="AY586" s="245"/>
      <c r="AZ586" s="245"/>
      <c r="BA586" s="246"/>
      <c r="BB586" s="245"/>
      <c r="BC586" s="245"/>
      <c r="BD586" s="245"/>
      <c r="BE586" s="245"/>
      <c r="BF586" s="245"/>
      <c r="BG586" s="245"/>
      <c r="BH586" s="245"/>
      <c r="BI586" s="245"/>
      <c r="BJ586" s="245"/>
      <c r="BK586" s="245"/>
      <c r="BL586" s="245"/>
      <c r="BM586" s="245"/>
      <c r="BN586" s="245"/>
      <c r="BO586" s="245"/>
      <c r="BP586" s="245"/>
      <c r="BQ586" s="245"/>
      <c r="BR586" s="245"/>
      <c r="BS586" s="245"/>
      <c r="BT586" s="246"/>
      <c r="BU586" s="245"/>
      <c r="BV586" s="245"/>
      <c r="BW586" s="245"/>
      <c r="BX586" s="245"/>
      <c r="BY586" s="245"/>
      <c r="BZ586" s="282"/>
      <c r="CA586" s="245"/>
      <c r="CB586" s="245"/>
      <c r="CC586" s="245"/>
      <c r="CD586" s="245"/>
      <c r="CE586" s="245"/>
      <c r="CF586" s="245"/>
    </row>
    <row r="587">
      <c r="A587" s="245"/>
      <c r="B587" s="245"/>
      <c r="C587" s="245"/>
      <c r="D587" s="246"/>
      <c r="E587" s="245"/>
      <c r="F587" s="245"/>
      <c r="G587" s="245"/>
      <c r="H587" s="245"/>
      <c r="I587" s="245"/>
      <c r="J587" s="245"/>
      <c r="K587" s="265"/>
      <c r="L587" s="245"/>
      <c r="M587" s="245"/>
      <c r="N587" s="245"/>
      <c r="O587" s="245"/>
      <c r="P587" s="245"/>
      <c r="Q587" s="247"/>
      <c r="R587" s="254"/>
      <c r="S587" s="245"/>
      <c r="T587" s="245"/>
      <c r="U587" s="245"/>
      <c r="V587" s="245"/>
      <c r="W587" s="245"/>
      <c r="X587" s="245"/>
      <c r="Y587" s="249"/>
      <c r="Z587" s="276"/>
      <c r="AA587" s="245"/>
      <c r="AB587" s="276"/>
      <c r="AC587" s="276"/>
      <c r="AD587" s="246"/>
      <c r="AE587" s="278"/>
      <c r="AF587" s="370"/>
      <c r="AG587" s="371"/>
      <c r="AH587" s="276"/>
      <c r="AI587" s="245"/>
      <c r="AJ587" s="287"/>
      <c r="AK587" s="278"/>
      <c r="AL587" s="246"/>
      <c r="AM587" s="245"/>
      <c r="AN587" s="245"/>
      <c r="AO587" s="274"/>
      <c r="AP587" s="245"/>
      <c r="AQ587" s="245"/>
      <c r="AR587" s="246"/>
      <c r="AS587" s="245"/>
      <c r="AT587" s="245"/>
      <c r="AU587" s="245"/>
      <c r="AV587" s="245"/>
      <c r="AW587" s="245"/>
      <c r="AX587" s="246"/>
      <c r="AY587" s="245"/>
      <c r="AZ587" s="245"/>
      <c r="BA587" s="246"/>
      <c r="BB587" s="245"/>
      <c r="BC587" s="245"/>
      <c r="BD587" s="245"/>
      <c r="BE587" s="245"/>
      <c r="BF587" s="245"/>
      <c r="BG587" s="245"/>
      <c r="BH587" s="245"/>
      <c r="BI587" s="245"/>
      <c r="BJ587" s="245"/>
      <c r="BK587" s="245"/>
      <c r="BL587" s="245"/>
      <c r="BM587" s="245"/>
      <c r="BN587" s="245"/>
      <c r="BO587" s="245"/>
      <c r="BP587" s="245"/>
      <c r="BQ587" s="245"/>
      <c r="BR587" s="245"/>
      <c r="BS587" s="245"/>
      <c r="BT587" s="246"/>
      <c r="BU587" s="245"/>
      <c r="BV587" s="245"/>
      <c r="BW587" s="245"/>
      <c r="BX587" s="245"/>
      <c r="BY587" s="245"/>
      <c r="BZ587" s="282"/>
      <c r="CA587" s="245"/>
      <c r="CB587" s="245"/>
      <c r="CC587" s="245"/>
      <c r="CD587" s="245"/>
      <c r="CE587" s="245"/>
      <c r="CF587" s="245"/>
    </row>
    <row r="588">
      <c r="A588" s="245"/>
      <c r="B588" s="245"/>
      <c r="C588" s="245"/>
      <c r="D588" s="246"/>
      <c r="E588" s="245"/>
      <c r="F588" s="245"/>
      <c r="G588" s="245"/>
      <c r="H588" s="245"/>
      <c r="I588" s="245"/>
      <c r="J588" s="245"/>
      <c r="K588" s="265"/>
      <c r="L588" s="245"/>
      <c r="M588" s="245"/>
      <c r="N588" s="245"/>
      <c r="O588" s="245"/>
      <c r="P588" s="245"/>
      <c r="Q588" s="247"/>
      <c r="R588" s="254"/>
      <c r="S588" s="245"/>
      <c r="T588" s="245"/>
      <c r="U588" s="245"/>
      <c r="V588" s="245"/>
      <c r="W588" s="245"/>
      <c r="X588" s="245"/>
      <c r="Y588" s="249"/>
      <c r="Z588" s="276"/>
      <c r="AA588" s="245"/>
      <c r="AB588" s="276"/>
      <c r="AC588" s="276"/>
      <c r="AD588" s="246"/>
      <c r="AE588" s="278"/>
      <c r="AF588" s="370"/>
      <c r="AG588" s="371"/>
      <c r="AH588" s="276"/>
      <c r="AI588" s="245"/>
      <c r="AJ588" s="287"/>
      <c r="AK588" s="278"/>
      <c r="AL588" s="246"/>
      <c r="AM588" s="245"/>
      <c r="AN588" s="245"/>
      <c r="AO588" s="274"/>
      <c r="AP588" s="245"/>
      <c r="AQ588" s="245"/>
      <c r="AR588" s="246"/>
      <c r="AS588" s="245"/>
      <c r="AT588" s="245"/>
      <c r="AU588" s="245"/>
      <c r="AV588" s="245"/>
      <c r="AW588" s="245"/>
      <c r="AX588" s="246"/>
      <c r="AY588" s="245"/>
      <c r="AZ588" s="245"/>
      <c r="BA588" s="246"/>
      <c r="BB588" s="245"/>
      <c r="BC588" s="245"/>
      <c r="BD588" s="245"/>
      <c r="BE588" s="245"/>
      <c r="BF588" s="245"/>
      <c r="BG588" s="245"/>
      <c r="BH588" s="245"/>
      <c r="BI588" s="245"/>
      <c r="BJ588" s="245"/>
      <c r="BK588" s="245"/>
      <c r="BL588" s="245"/>
      <c r="BM588" s="245"/>
      <c r="BN588" s="245"/>
      <c r="BO588" s="245"/>
      <c r="BP588" s="245"/>
      <c r="BQ588" s="245"/>
      <c r="BR588" s="245"/>
      <c r="BS588" s="245"/>
      <c r="BT588" s="246"/>
      <c r="BU588" s="245"/>
      <c r="BV588" s="245"/>
      <c r="BW588" s="245"/>
      <c r="BX588" s="245"/>
      <c r="BY588" s="245"/>
      <c r="BZ588" s="282"/>
      <c r="CA588" s="245"/>
      <c r="CB588" s="245"/>
      <c r="CC588" s="245"/>
      <c r="CD588" s="245"/>
      <c r="CE588" s="245"/>
      <c r="CF588" s="245"/>
    </row>
    <row r="589">
      <c r="A589" s="245"/>
      <c r="B589" s="245"/>
      <c r="C589" s="245"/>
      <c r="D589" s="246"/>
      <c r="E589" s="245"/>
      <c r="F589" s="245"/>
      <c r="G589" s="245"/>
      <c r="H589" s="245"/>
      <c r="I589" s="245"/>
      <c r="J589" s="245"/>
      <c r="K589" s="265"/>
      <c r="L589" s="245"/>
      <c r="M589" s="245"/>
      <c r="N589" s="245"/>
      <c r="O589" s="245"/>
      <c r="P589" s="245"/>
      <c r="Q589" s="247"/>
      <c r="R589" s="254"/>
      <c r="S589" s="245"/>
      <c r="T589" s="245"/>
      <c r="U589" s="245"/>
      <c r="V589" s="245"/>
      <c r="W589" s="245"/>
      <c r="X589" s="245"/>
      <c r="Y589" s="249"/>
      <c r="Z589" s="276"/>
      <c r="AA589" s="245"/>
      <c r="AB589" s="276"/>
      <c r="AC589" s="276"/>
      <c r="AD589" s="246"/>
      <c r="AE589" s="278"/>
      <c r="AF589" s="370"/>
      <c r="AG589" s="371"/>
      <c r="AH589" s="276"/>
      <c r="AI589" s="245"/>
      <c r="AJ589" s="287"/>
      <c r="AK589" s="278"/>
      <c r="AL589" s="246"/>
      <c r="AM589" s="245"/>
      <c r="AN589" s="245"/>
      <c r="AO589" s="274"/>
      <c r="AP589" s="245"/>
      <c r="AQ589" s="245"/>
      <c r="AR589" s="246"/>
      <c r="AS589" s="245"/>
      <c r="AT589" s="245"/>
      <c r="AU589" s="245"/>
      <c r="AV589" s="245"/>
      <c r="AW589" s="245"/>
      <c r="AX589" s="246"/>
      <c r="AY589" s="245"/>
      <c r="AZ589" s="245"/>
      <c r="BA589" s="246"/>
      <c r="BB589" s="245"/>
      <c r="BC589" s="245"/>
      <c r="BD589" s="245"/>
      <c r="BE589" s="245"/>
      <c r="BF589" s="245"/>
      <c r="BG589" s="245"/>
      <c r="BH589" s="245"/>
      <c r="BI589" s="245"/>
      <c r="BJ589" s="245"/>
      <c r="BK589" s="245"/>
      <c r="BL589" s="245"/>
      <c r="BM589" s="245"/>
      <c r="BN589" s="245"/>
      <c r="BO589" s="245"/>
      <c r="BP589" s="245"/>
      <c r="BQ589" s="245"/>
      <c r="BR589" s="245"/>
      <c r="BS589" s="245"/>
      <c r="BT589" s="246"/>
      <c r="BU589" s="245"/>
      <c r="BV589" s="245"/>
      <c r="BW589" s="245"/>
      <c r="BX589" s="245"/>
      <c r="BY589" s="245"/>
      <c r="BZ589" s="282"/>
      <c r="CA589" s="245"/>
      <c r="CB589" s="245"/>
      <c r="CC589" s="245"/>
      <c r="CD589" s="245"/>
      <c r="CE589" s="245"/>
      <c r="CF589" s="245"/>
    </row>
    <row r="590">
      <c r="A590" s="245"/>
      <c r="B590" s="245"/>
      <c r="C590" s="245"/>
      <c r="D590" s="246"/>
      <c r="E590" s="245"/>
      <c r="F590" s="245"/>
      <c r="G590" s="245"/>
      <c r="H590" s="245"/>
      <c r="I590" s="245"/>
      <c r="J590" s="245"/>
      <c r="K590" s="265"/>
      <c r="L590" s="245"/>
      <c r="M590" s="245"/>
      <c r="N590" s="245"/>
      <c r="O590" s="245"/>
      <c r="P590" s="245"/>
      <c r="Q590" s="247"/>
      <c r="R590" s="254"/>
      <c r="S590" s="245"/>
      <c r="T590" s="245"/>
      <c r="U590" s="245"/>
      <c r="V590" s="245"/>
      <c r="W590" s="245"/>
      <c r="X590" s="245"/>
      <c r="Y590" s="249"/>
      <c r="Z590" s="276"/>
      <c r="AA590" s="245"/>
      <c r="AB590" s="276"/>
      <c r="AC590" s="276"/>
      <c r="AD590" s="246"/>
      <c r="AE590" s="278"/>
      <c r="AF590" s="370"/>
      <c r="AG590" s="371"/>
      <c r="AH590" s="276"/>
      <c r="AI590" s="245"/>
      <c r="AJ590" s="287"/>
      <c r="AK590" s="278"/>
      <c r="AL590" s="246"/>
      <c r="AM590" s="245"/>
      <c r="AN590" s="245"/>
      <c r="AO590" s="274"/>
      <c r="AP590" s="245"/>
      <c r="AQ590" s="245"/>
      <c r="AR590" s="246"/>
      <c r="AS590" s="245"/>
      <c r="AT590" s="245"/>
      <c r="AU590" s="245"/>
      <c r="AV590" s="245"/>
      <c r="AW590" s="245"/>
      <c r="AX590" s="246"/>
      <c r="AY590" s="245"/>
      <c r="AZ590" s="245"/>
      <c r="BA590" s="246"/>
      <c r="BB590" s="245"/>
      <c r="BC590" s="245"/>
      <c r="BD590" s="245"/>
      <c r="BE590" s="245"/>
      <c r="BF590" s="245"/>
      <c r="BG590" s="245"/>
      <c r="BH590" s="245"/>
      <c r="BI590" s="245"/>
      <c r="BJ590" s="245"/>
      <c r="BK590" s="245"/>
      <c r="BL590" s="245"/>
      <c r="BM590" s="245"/>
      <c r="BN590" s="245"/>
      <c r="BO590" s="245"/>
      <c r="BP590" s="245"/>
      <c r="BQ590" s="245"/>
      <c r="BR590" s="245"/>
      <c r="BS590" s="245"/>
      <c r="BT590" s="246"/>
      <c r="BU590" s="245"/>
      <c r="BV590" s="245"/>
      <c r="BW590" s="245"/>
      <c r="BX590" s="245"/>
      <c r="BY590" s="245"/>
      <c r="BZ590" s="282"/>
      <c r="CA590" s="245"/>
      <c r="CB590" s="245"/>
      <c r="CC590" s="245"/>
      <c r="CD590" s="245"/>
      <c r="CE590" s="245"/>
      <c r="CF590" s="245"/>
    </row>
    <row r="591">
      <c r="A591" s="245"/>
      <c r="B591" s="245"/>
      <c r="C591" s="245"/>
      <c r="D591" s="246"/>
      <c r="E591" s="245"/>
      <c r="F591" s="245"/>
      <c r="G591" s="245"/>
      <c r="H591" s="245"/>
      <c r="I591" s="245"/>
      <c r="J591" s="245"/>
      <c r="K591" s="265"/>
      <c r="L591" s="245"/>
      <c r="M591" s="245"/>
      <c r="N591" s="245"/>
      <c r="O591" s="245"/>
      <c r="P591" s="245"/>
      <c r="Q591" s="247"/>
      <c r="R591" s="254"/>
      <c r="S591" s="245"/>
      <c r="T591" s="245"/>
      <c r="U591" s="245"/>
      <c r="V591" s="245"/>
      <c r="W591" s="245"/>
      <c r="X591" s="245"/>
      <c r="Y591" s="249"/>
      <c r="Z591" s="276"/>
      <c r="AA591" s="245"/>
      <c r="AB591" s="276"/>
      <c r="AC591" s="276"/>
      <c r="AD591" s="246"/>
      <c r="AE591" s="278"/>
      <c r="AF591" s="370"/>
      <c r="AG591" s="371"/>
      <c r="AH591" s="276"/>
      <c r="AI591" s="245"/>
      <c r="AJ591" s="287"/>
      <c r="AK591" s="278"/>
      <c r="AL591" s="246"/>
      <c r="AM591" s="245"/>
      <c r="AN591" s="245"/>
      <c r="AO591" s="274"/>
      <c r="AP591" s="245"/>
      <c r="AQ591" s="245"/>
      <c r="AR591" s="246"/>
      <c r="AS591" s="245"/>
      <c r="AT591" s="245"/>
      <c r="AU591" s="245"/>
      <c r="AV591" s="245"/>
      <c r="AW591" s="245"/>
      <c r="AX591" s="246"/>
      <c r="AY591" s="245"/>
      <c r="AZ591" s="245"/>
      <c r="BA591" s="246"/>
      <c r="BB591" s="245"/>
      <c r="BC591" s="245"/>
      <c r="BD591" s="245"/>
      <c r="BE591" s="245"/>
      <c r="BF591" s="245"/>
      <c r="BG591" s="245"/>
      <c r="BH591" s="245"/>
      <c r="BI591" s="245"/>
      <c r="BJ591" s="245"/>
      <c r="BK591" s="245"/>
      <c r="BL591" s="245"/>
      <c r="BM591" s="245"/>
      <c r="BN591" s="245"/>
      <c r="BO591" s="245"/>
      <c r="BP591" s="245"/>
      <c r="BQ591" s="245"/>
      <c r="BR591" s="245"/>
      <c r="BS591" s="245"/>
      <c r="BT591" s="246"/>
      <c r="BU591" s="245"/>
      <c r="BV591" s="245"/>
      <c r="BW591" s="245"/>
      <c r="BX591" s="245"/>
      <c r="BY591" s="245"/>
      <c r="BZ591" s="282"/>
      <c r="CA591" s="245"/>
      <c r="CB591" s="245"/>
      <c r="CC591" s="245"/>
      <c r="CD591" s="245"/>
      <c r="CE591" s="245"/>
      <c r="CF591" s="245"/>
    </row>
    <row r="592">
      <c r="A592" s="245"/>
      <c r="B592" s="245"/>
      <c r="C592" s="245"/>
      <c r="D592" s="246"/>
      <c r="E592" s="245"/>
      <c r="F592" s="245"/>
      <c r="G592" s="245"/>
      <c r="H592" s="245"/>
      <c r="I592" s="245"/>
      <c r="J592" s="245"/>
      <c r="K592" s="265"/>
      <c r="L592" s="245"/>
      <c r="M592" s="245"/>
      <c r="N592" s="245"/>
      <c r="O592" s="245"/>
      <c r="P592" s="245"/>
      <c r="Q592" s="247"/>
      <c r="R592" s="254"/>
      <c r="S592" s="245"/>
      <c r="T592" s="245"/>
      <c r="U592" s="245"/>
      <c r="V592" s="245"/>
      <c r="W592" s="245"/>
      <c r="X592" s="245"/>
      <c r="Y592" s="249"/>
      <c r="Z592" s="276"/>
      <c r="AA592" s="245"/>
      <c r="AB592" s="276"/>
      <c r="AC592" s="276"/>
      <c r="AD592" s="246"/>
      <c r="AE592" s="278"/>
      <c r="AF592" s="370"/>
      <c r="AG592" s="371"/>
      <c r="AH592" s="276"/>
      <c r="AI592" s="245"/>
      <c r="AJ592" s="287"/>
      <c r="AK592" s="278"/>
      <c r="AL592" s="246"/>
      <c r="AM592" s="245"/>
      <c r="AN592" s="245"/>
      <c r="AO592" s="274"/>
      <c r="AP592" s="245"/>
      <c r="AQ592" s="245"/>
      <c r="AR592" s="246"/>
      <c r="AS592" s="245"/>
      <c r="AT592" s="245"/>
      <c r="AU592" s="245"/>
      <c r="AV592" s="245"/>
      <c r="AW592" s="245"/>
      <c r="AX592" s="246"/>
      <c r="AY592" s="245"/>
      <c r="AZ592" s="245"/>
      <c r="BA592" s="246"/>
      <c r="BB592" s="245"/>
      <c r="BC592" s="245"/>
      <c r="BD592" s="245"/>
      <c r="BE592" s="245"/>
      <c r="BF592" s="245"/>
      <c r="BG592" s="245"/>
      <c r="BH592" s="245"/>
      <c r="BI592" s="245"/>
      <c r="BJ592" s="245"/>
      <c r="BK592" s="245"/>
      <c r="BL592" s="245"/>
      <c r="BM592" s="245"/>
      <c r="BN592" s="245"/>
      <c r="BO592" s="245"/>
      <c r="BP592" s="245"/>
      <c r="BQ592" s="245"/>
      <c r="BR592" s="245"/>
      <c r="BS592" s="245"/>
      <c r="BT592" s="246"/>
      <c r="BU592" s="245"/>
      <c r="BV592" s="245"/>
      <c r="BW592" s="245"/>
      <c r="BX592" s="245"/>
      <c r="BY592" s="245"/>
      <c r="BZ592" s="282"/>
      <c r="CA592" s="245"/>
      <c r="CB592" s="245"/>
      <c r="CC592" s="245"/>
      <c r="CD592" s="245"/>
      <c r="CE592" s="245"/>
      <c r="CF592" s="245"/>
    </row>
    <row r="593">
      <c r="A593" s="245"/>
      <c r="B593" s="245"/>
      <c r="C593" s="245"/>
      <c r="D593" s="246"/>
      <c r="E593" s="245"/>
      <c r="F593" s="245"/>
      <c r="G593" s="245"/>
      <c r="H593" s="245"/>
      <c r="I593" s="245"/>
      <c r="J593" s="245"/>
      <c r="K593" s="265"/>
      <c r="L593" s="245"/>
      <c r="M593" s="245"/>
      <c r="N593" s="245"/>
      <c r="O593" s="245"/>
      <c r="P593" s="245"/>
      <c r="Q593" s="247"/>
      <c r="R593" s="254"/>
      <c r="S593" s="245"/>
      <c r="T593" s="245"/>
      <c r="U593" s="245"/>
      <c r="V593" s="245"/>
      <c r="W593" s="245"/>
      <c r="X593" s="245"/>
      <c r="Y593" s="249"/>
      <c r="Z593" s="276"/>
      <c r="AA593" s="245"/>
      <c r="AB593" s="276"/>
      <c r="AC593" s="276"/>
      <c r="AD593" s="246"/>
      <c r="AE593" s="278"/>
      <c r="AF593" s="370"/>
      <c r="AG593" s="371"/>
      <c r="AH593" s="276"/>
      <c r="AI593" s="245"/>
      <c r="AJ593" s="287"/>
      <c r="AK593" s="278"/>
      <c r="AL593" s="246"/>
      <c r="AM593" s="245"/>
      <c r="AN593" s="245"/>
      <c r="AO593" s="274"/>
      <c r="AP593" s="245"/>
      <c r="AQ593" s="245"/>
      <c r="AR593" s="246"/>
      <c r="AS593" s="245"/>
      <c r="AT593" s="245"/>
      <c r="AU593" s="245"/>
      <c r="AV593" s="245"/>
      <c r="AW593" s="245"/>
      <c r="AX593" s="246"/>
      <c r="AY593" s="245"/>
      <c r="AZ593" s="245"/>
      <c r="BA593" s="246"/>
      <c r="BB593" s="245"/>
      <c r="BC593" s="245"/>
      <c r="BD593" s="245"/>
      <c r="BE593" s="245"/>
      <c r="BF593" s="245"/>
      <c r="BG593" s="245"/>
      <c r="BH593" s="245"/>
      <c r="BI593" s="245"/>
      <c r="BJ593" s="245"/>
      <c r="BK593" s="245"/>
      <c r="BL593" s="245"/>
      <c r="BM593" s="245"/>
      <c r="BN593" s="245"/>
      <c r="BO593" s="245"/>
      <c r="BP593" s="245"/>
      <c r="BQ593" s="245"/>
      <c r="BR593" s="245"/>
      <c r="BS593" s="245"/>
      <c r="BT593" s="246"/>
      <c r="BU593" s="245"/>
      <c r="BV593" s="245"/>
      <c r="BW593" s="245"/>
      <c r="BX593" s="245"/>
      <c r="BY593" s="245"/>
      <c r="BZ593" s="282"/>
      <c r="CA593" s="245"/>
      <c r="CB593" s="245"/>
      <c r="CC593" s="245"/>
      <c r="CD593" s="245"/>
      <c r="CE593" s="245"/>
      <c r="CF593" s="245"/>
    </row>
    <row r="594">
      <c r="A594" s="245"/>
      <c r="B594" s="245"/>
      <c r="C594" s="245"/>
      <c r="D594" s="246"/>
      <c r="E594" s="245"/>
      <c r="F594" s="245"/>
      <c r="G594" s="245"/>
      <c r="H594" s="245"/>
      <c r="I594" s="245"/>
      <c r="J594" s="245"/>
      <c r="K594" s="265"/>
      <c r="L594" s="245"/>
      <c r="M594" s="245"/>
      <c r="N594" s="245"/>
      <c r="O594" s="245"/>
      <c r="P594" s="245"/>
      <c r="Q594" s="247"/>
      <c r="R594" s="254"/>
      <c r="S594" s="245"/>
      <c r="T594" s="245"/>
      <c r="U594" s="245"/>
      <c r="V594" s="245"/>
      <c r="W594" s="245"/>
      <c r="X594" s="245"/>
      <c r="Y594" s="249"/>
      <c r="Z594" s="276"/>
      <c r="AA594" s="245"/>
      <c r="AB594" s="276"/>
      <c r="AC594" s="276"/>
      <c r="AD594" s="246"/>
      <c r="AE594" s="278"/>
      <c r="AF594" s="370"/>
      <c r="AG594" s="371"/>
      <c r="AH594" s="276"/>
      <c r="AI594" s="245"/>
      <c r="AJ594" s="287"/>
      <c r="AK594" s="278"/>
      <c r="AL594" s="246"/>
      <c r="AM594" s="245"/>
      <c r="AN594" s="245"/>
      <c r="AO594" s="274"/>
      <c r="AP594" s="245"/>
      <c r="AQ594" s="245"/>
      <c r="AR594" s="246"/>
      <c r="AS594" s="245"/>
      <c r="AT594" s="245"/>
      <c r="AU594" s="245"/>
      <c r="AV594" s="245"/>
      <c r="AW594" s="245"/>
      <c r="AX594" s="246"/>
      <c r="AY594" s="245"/>
      <c r="AZ594" s="245"/>
      <c r="BA594" s="246"/>
      <c r="BB594" s="245"/>
      <c r="BC594" s="245"/>
      <c r="BD594" s="245"/>
      <c r="BE594" s="245"/>
      <c r="BF594" s="245"/>
      <c r="BG594" s="245"/>
      <c r="BH594" s="245"/>
      <c r="BI594" s="245"/>
      <c r="BJ594" s="245"/>
      <c r="BK594" s="245"/>
      <c r="BL594" s="245"/>
      <c r="BM594" s="245"/>
      <c r="BN594" s="245"/>
      <c r="BO594" s="245"/>
      <c r="BP594" s="245"/>
      <c r="BQ594" s="245"/>
      <c r="BR594" s="245"/>
      <c r="BS594" s="245"/>
      <c r="BT594" s="246"/>
      <c r="BU594" s="245"/>
      <c r="BV594" s="245"/>
      <c r="BW594" s="245"/>
      <c r="BX594" s="245"/>
      <c r="BY594" s="245"/>
      <c r="BZ594" s="282"/>
      <c r="CA594" s="245"/>
      <c r="CB594" s="245"/>
      <c r="CC594" s="245"/>
      <c r="CD594" s="245"/>
      <c r="CE594" s="245"/>
      <c r="CF594" s="245"/>
    </row>
    <row r="595">
      <c r="A595" s="245"/>
      <c r="B595" s="245"/>
      <c r="C595" s="245"/>
      <c r="D595" s="246"/>
      <c r="E595" s="245"/>
      <c r="F595" s="245"/>
      <c r="G595" s="245"/>
      <c r="H595" s="245"/>
      <c r="I595" s="245"/>
      <c r="J595" s="245"/>
      <c r="K595" s="265"/>
      <c r="L595" s="245"/>
      <c r="M595" s="245"/>
      <c r="N595" s="245"/>
      <c r="O595" s="245"/>
      <c r="P595" s="245"/>
      <c r="Q595" s="247"/>
      <c r="R595" s="254"/>
      <c r="S595" s="245"/>
      <c r="T595" s="245"/>
      <c r="U595" s="245"/>
      <c r="V595" s="245"/>
      <c r="W595" s="245"/>
      <c r="X595" s="245"/>
      <c r="Y595" s="249"/>
      <c r="Z595" s="276"/>
      <c r="AA595" s="245"/>
      <c r="AB595" s="276"/>
      <c r="AC595" s="276"/>
      <c r="AD595" s="246"/>
      <c r="AE595" s="278"/>
      <c r="AF595" s="370"/>
      <c r="AG595" s="371"/>
      <c r="AH595" s="276"/>
      <c r="AI595" s="245"/>
      <c r="AJ595" s="287"/>
      <c r="AK595" s="278"/>
      <c r="AL595" s="246"/>
      <c r="AM595" s="245"/>
      <c r="AN595" s="245"/>
      <c r="AO595" s="274"/>
      <c r="AP595" s="245"/>
      <c r="AQ595" s="245"/>
      <c r="AR595" s="246"/>
      <c r="AS595" s="245"/>
      <c r="AT595" s="245"/>
      <c r="AU595" s="245"/>
      <c r="AV595" s="245"/>
      <c r="AW595" s="245"/>
      <c r="AX595" s="246"/>
      <c r="AY595" s="245"/>
      <c r="AZ595" s="245"/>
      <c r="BA595" s="246"/>
      <c r="BB595" s="245"/>
      <c r="BC595" s="245"/>
      <c r="BD595" s="245"/>
      <c r="BE595" s="245"/>
      <c r="BF595" s="245"/>
      <c r="BG595" s="245"/>
      <c r="BH595" s="245"/>
      <c r="BI595" s="245"/>
      <c r="BJ595" s="245"/>
      <c r="BK595" s="245"/>
      <c r="BL595" s="245"/>
      <c r="BM595" s="245"/>
      <c r="BN595" s="245"/>
      <c r="BO595" s="245"/>
      <c r="BP595" s="245"/>
      <c r="BQ595" s="245"/>
      <c r="BR595" s="245"/>
      <c r="BS595" s="245"/>
      <c r="BT595" s="246"/>
      <c r="BU595" s="245"/>
      <c r="BV595" s="245"/>
      <c r="BW595" s="245"/>
      <c r="BX595" s="245"/>
      <c r="BY595" s="245"/>
      <c r="BZ595" s="282"/>
      <c r="CA595" s="245"/>
      <c r="CB595" s="245"/>
      <c r="CC595" s="245"/>
      <c r="CD595" s="245"/>
      <c r="CE595" s="245"/>
      <c r="CF595" s="245"/>
    </row>
    <row r="596">
      <c r="A596" s="245"/>
      <c r="B596" s="245"/>
      <c r="C596" s="245"/>
      <c r="D596" s="246"/>
      <c r="E596" s="245"/>
      <c r="F596" s="245"/>
      <c r="G596" s="245"/>
      <c r="H596" s="245"/>
      <c r="I596" s="245"/>
      <c r="J596" s="245"/>
      <c r="K596" s="265"/>
      <c r="L596" s="245"/>
      <c r="M596" s="245"/>
      <c r="N596" s="245"/>
      <c r="O596" s="245"/>
      <c r="P596" s="245"/>
      <c r="Q596" s="247"/>
      <c r="R596" s="254"/>
      <c r="S596" s="245"/>
      <c r="T596" s="245"/>
      <c r="U596" s="245"/>
      <c r="V596" s="245"/>
      <c r="W596" s="245"/>
      <c r="X596" s="245"/>
      <c r="Y596" s="249"/>
      <c r="Z596" s="276"/>
      <c r="AA596" s="245"/>
      <c r="AB596" s="276"/>
      <c r="AC596" s="276"/>
      <c r="AD596" s="246"/>
      <c r="AE596" s="278"/>
      <c r="AF596" s="370"/>
      <c r="AG596" s="371"/>
      <c r="AH596" s="276"/>
      <c r="AI596" s="245"/>
      <c r="AJ596" s="287"/>
      <c r="AK596" s="278"/>
      <c r="AL596" s="246"/>
      <c r="AM596" s="245"/>
      <c r="AN596" s="245"/>
      <c r="AO596" s="274"/>
      <c r="AP596" s="245"/>
      <c r="AQ596" s="245"/>
      <c r="AR596" s="246"/>
      <c r="AS596" s="245"/>
      <c r="AT596" s="245"/>
      <c r="AU596" s="245"/>
      <c r="AV596" s="245"/>
      <c r="AW596" s="245"/>
      <c r="AX596" s="246"/>
      <c r="AY596" s="245"/>
      <c r="AZ596" s="245"/>
      <c r="BA596" s="246"/>
      <c r="BB596" s="245"/>
      <c r="BC596" s="245"/>
      <c r="BD596" s="245"/>
      <c r="BE596" s="245"/>
      <c r="BF596" s="245"/>
      <c r="BG596" s="245"/>
      <c r="BH596" s="245"/>
      <c r="BI596" s="245"/>
      <c r="BJ596" s="245"/>
      <c r="BK596" s="245"/>
      <c r="BL596" s="245"/>
      <c r="BM596" s="245"/>
      <c r="BN596" s="245"/>
      <c r="BO596" s="245"/>
      <c r="BP596" s="245"/>
      <c r="BQ596" s="245"/>
      <c r="BR596" s="245"/>
      <c r="BS596" s="245"/>
      <c r="BT596" s="246"/>
      <c r="BU596" s="245"/>
      <c r="BV596" s="245"/>
      <c r="BW596" s="245"/>
      <c r="BX596" s="245"/>
      <c r="BY596" s="245"/>
      <c r="BZ596" s="282"/>
      <c r="CA596" s="245"/>
      <c r="CB596" s="245"/>
      <c r="CC596" s="245"/>
      <c r="CD596" s="245"/>
      <c r="CE596" s="245"/>
      <c r="CF596" s="245"/>
    </row>
    <row r="597">
      <c r="A597" s="245"/>
      <c r="B597" s="245"/>
      <c r="C597" s="245"/>
      <c r="D597" s="246"/>
      <c r="E597" s="245"/>
      <c r="F597" s="245"/>
      <c r="G597" s="245"/>
      <c r="H597" s="245"/>
      <c r="I597" s="245"/>
      <c r="J597" s="245"/>
      <c r="K597" s="265"/>
      <c r="L597" s="245"/>
      <c r="M597" s="245"/>
      <c r="N597" s="245"/>
      <c r="O597" s="245"/>
      <c r="P597" s="245"/>
      <c r="Q597" s="247"/>
      <c r="R597" s="254"/>
      <c r="S597" s="245"/>
      <c r="T597" s="245"/>
      <c r="U597" s="245"/>
      <c r="V597" s="245"/>
      <c r="W597" s="245"/>
      <c r="X597" s="245"/>
      <c r="Y597" s="249"/>
      <c r="Z597" s="276"/>
      <c r="AA597" s="245"/>
      <c r="AB597" s="276"/>
      <c r="AC597" s="276"/>
      <c r="AD597" s="246"/>
      <c r="AE597" s="278"/>
      <c r="AF597" s="370"/>
      <c r="AG597" s="371"/>
      <c r="AH597" s="276"/>
      <c r="AI597" s="245"/>
      <c r="AJ597" s="287"/>
      <c r="AK597" s="278"/>
      <c r="AL597" s="246"/>
      <c r="AM597" s="245"/>
      <c r="AN597" s="245"/>
      <c r="AO597" s="274"/>
      <c r="AP597" s="245"/>
      <c r="AQ597" s="245"/>
      <c r="AR597" s="246"/>
      <c r="AS597" s="245"/>
      <c r="AT597" s="245"/>
      <c r="AU597" s="245"/>
      <c r="AV597" s="245"/>
      <c r="AW597" s="245"/>
      <c r="AX597" s="246"/>
      <c r="AY597" s="245"/>
      <c r="AZ597" s="245"/>
      <c r="BA597" s="246"/>
      <c r="BB597" s="245"/>
      <c r="BC597" s="245"/>
      <c r="BD597" s="245"/>
      <c r="BE597" s="245"/>
      <c r="BF597" s="245"/>
      <c r="BG597" s="245"/>
      <c r="BH597" s="245"/>
      <c r="BI597" s="245"/>
      <c r="BJ597" s="245"/>
      <c r="BK597" s="245"/>
      <c r="BL597" s="245"/>
      <c r="BM597" s="245"/>
      <c r="BN597" s="245"/>
      <c r="BO597" s="245"/>
      <c r="BP597" s="245"/>
      <c r="BQ597" s="245"/>
      <c r="BR597" s="245"/>
      <c r="BS597" s="245"/>
      <c r="BT597" s="246"/>
      <c r="BU597" s="245"/>
      <c r="BV597" s="245"/>
      <c r="BW597" s="245"/>
      <c r="BX597" s="245"/>
      <c r="BY597" s="245"/>
      <c r="BZ597" s="282"/>
      <c r="CA597" s="245"/>
      <c r="CB597" s="245"/>
      <c r="CC597" s="245"/>
      <c r="CD597" s="245"/>
      <c r="CE597" s="245"/>
      <c r="CF597" s="245"/>
    </row>
    <row r="598">
      <c r="A598" s="245"/>
      <c r="B598" s="245"/>
      <c r="C598" s="245"/>
      <c r="D598" s="246"/>
      <c r="E598" s="245"/>
      <c r="F598" s="245"/>
      <c r="G598" s="245"/>
      <c r="H598" s="245"/>
      <c r="I598" s="245"/>
      <c r="J598" s="245"/>
      <c r="K598" s="265"/>
      <c r="L598" s="245"/>
      <c r="M598" s="245"/>
      <c r="N598" s="245"/>
      <c r="O598" s="245"/>
      <c r="P598" s="245"/>
      <c r="Q598" s="247"/>
      <c r="R598" s="254"/>
      <c r="S598" s="245"/>
      <c r="T598" s="245"/>
      <c r="U598" s="245"/>
      <c r="V598" s="245"/>
      <c r="W598" s="245"/>
      <c r="X598" s="245"/>
      <c r="Y598" s="249"/>
      <c r="Z598" s="276"/>
      <c r="AA598" s="245"/>
      <c r="AB598" s="276"/>
      <c r="AC598" s="276"/>
      <c r="AD598" s="246"/>
      <c r="AE598" s="278"/>
      <c r="AF598" s="370"/>
      <c r="AG598" s="371"/>
      <c r="AH598" s="276"/>
      <c r="AI598" s="245"/>
      <c r="AJ598" s="287"/>
      <c r="AK598" s="278"/>
      <c r="AL598" s="246"/>
      <c r="AM598" s="245"/>
      <c r="AN598" s="245"/>
      <c r="AO598" s="274"/>
      <c r="AP598" s="245"/>
      <c r="AQ598" s="245"/>
      <c r="AR598" s="246"/>
      <c r="AS598" s="245"/>
      <c r="AT598" s="245"/>
      <c r="AU598" s="245"/>
      <c r="AV598" s="245"/>
      <c r="AW598" s="245"/>
      <c r="AX598" s="246"/>
      <c r="AY598" s="245"/>
      <c r="AZ598" s="245"/>
      <c r="BA598" s="246"/>
      <c r="BB598" s="245"/>
      <c r="BC598" s="245"/>
      <c r="BD598" s="245"/>
      <c r="BE598" s="245"/>
      <c r="BF598" s="245"/>
      <c r="BG598" s="245"/>
      <c r="BH598" s="245"/>
      <c r="BI598" s="245"/>
      <c r="BJ598" s="245"/>
      <c r="BK598" s="245"/>
      <c r="BL598" s="245"/>
      <c r="BM598" s="245"/>
      <c r="BN598" s="245"/>
      <c r="BO598" s="245"/>
      <c r="BP598" s="245"/>
      <c r="BQ598" s="245"/>
      <c r="BR598" s="245"/>
      <c r="BS598" s="245"/>
      <c r="BT598" s="246"/>
      <c r="BU598" s="245"/>
      <c r="BV598" s="245"/>
      <c r="BW598" s="245"/>
      <c r="BX598" s="245"/>
      <c r="BY598" s="245"/>
      <c r="BZ598" s="282"/>
      <c r="CA598" s="245"/>
      <c r="CB598" s="245"/>
      <c r="CC598" s="245"/>
      <c r="CD598" s="245"/>
      <c r="CE598" s="245"/>
      <c r="CF598" s="245"/>
    </row>
    <row r="599">
      <c r="A599" s="245"/>
      <c r="B599" s="245"/>
      <c r="C599" s="245"/>
      <c r="D599" s="246"/>
      <c r="E599" s="245"/>
      <c r="F599" s="245"/>
      <c r="G599" s="245"/>
      <c r="H599" s="245"/>
      <c r="I599" s="245"/>
      <c r="J599" s="245"/>
      <c r="K599" s="265"/>
      <c r="L599" s="245"/>
      <c r="M599" s="245"/>
      <c r="N599" s="245"/>
      <c r="O599" s="245"/>
      <c r="P599" s="245"/>
      <c r="Q599" s="247"/>
      <c r="R599" s="254"/>
      <c r="S599" s="245"/>
      <c r="T599" s="245"/>
      <c r="U599" s="245"/>
      <c r="V599" s="245"/>
      <c r="W599" s="245"/>
      <c r="X599" s="245"/>
      <c r="Y599" s="249"/>
      <c r="Z599" s="276"/>
      <c r="AA599" s="245"/>
      <c r="AB599" s="276"/>
      <c r="AC599" s="276"/>
      <c r="AD599" s="246"/>
      <c r="AE599" s="278"/>
      <c r="AF599" s="370"/>
      <c r="AG599" s="371"/>
      <c r="AH599" s="276"/>
      <c r="AI599" s="245"/>
      <c r="AJ599" s="287"/>
      <c r="AK599" s="278"/>
      <c r="AL599" s="246"/>
      <c r="AM599" s="245"/>
      <c r="AN599" s="245"/>
      <c r="AO599" s="274"/>
      <c r="AP599" s="245"/>
      <c r="AQ599" s="245"/>
      <c r="AR599" s="246"/>
      <c r="AS599" s="245"/>
      <c r="AT599" s="245"/>
      <c r="AU599" s="245"/>
      <c r="AV599" s="245"/>
      <c r="AW599" s="245"/>
      <c r="AX599" s="246"/>
      <c r="AY599" s="245"/>
      <c r="AZ599" s="245"/>
      <c r="BA599" s="246"/>
      <c r="BB599" s="245"/>
      <c r="BC599" s="245"/>
      <c r="BD599" s="245"/>
      <c r="BE599" s="245"/>
      <c r="BF599" s="245"/>
      <c r="BG599" s="245"/>
      <c r="BH599" s="245"/>
      <c r="BI599" s="245"/>
      <c r="BJ599" s="245"/>
      <c r="BK599" s="245"/>
      <c r="BL599" s="245"/>
      <c r="BM599" s="245"/>
      <c r="BN599" s="245"/>
      <c r="BO599" s="245"/>
      <c r="BP599" s="245"/>
      <c r="BQ599" s="245"/>
      <c r="BR599" s="245"/>
      <c r="BS599" s="245"/>
      <c r="BT599" s="246"/>
      <c r="BU599" s="245"/>
      <c r="BV599" s="245"/>
      <c r="BW599" s="245"/>
      <c r="BX599" s="245"/>
      <c r="BY599" s="245"/>
      <c r="BZ599" s="282"/>
      <c r="CA599" s="245"/>
      <c r="CB599" s="245"/>
      <c r="CC599" s="245"/>
      <c r="CD599" s="245"/>
      <c r="CE599" s="245"/>
      <c r="CF599" s="245"/>
    </row>
    <row r="600">
      <c r="A600" s="245"/>
      <c r="B600" s="245"/>
      <c r="C600" s="245"/>
      <c r="D600" s="246"/>
      <c r="E600" s="245"/>
      <c r="F600" s="245"/>
      <c r="G600" s="245"/>
      <c r="H600" s="245"/>
      <c r="I600" s="245"/>
      <c r="J600" s="245"/>
      <c r="K600" s="265"/>
      <c r="L600" s="245"/>
      <c r="M600" s="245"/>
      <c r="N600" s="245"/>
      <c r="O600" s="245"/>
      <c r="P600" s="245"/>
      <c r="Q600" s="247"/>
      <c r="R600" s="254"/>
      <c r="S600" s="245"/>
      <c r="T600" s="245"/>
      <c r="U600" s="245"/>
      <c r="V600" s="245"/>
      <c r="W600" s="245"/>
      <c r="X600" s="245"/>
      <c r="Y600" s="249"/>
      <c r="Z600" s="276"/>
      <c r="AA600" s="245"/>
      <c r="AB600" s="276"/>
      <c r="AC600" s="276"/>
      <c r="AD600" s="246"/>
      <c r="AE600" s="278"/>
      <c r="AF600" s="370"/>
      <c r="AG600" s="371"/>
      <c r="AH600" s="276"/>
      <c r="AI600" s="245"/>
      <c r="AJ600" s="287"/>
      <c r="AK600" s="278"/>
      <c r="AL600" s="246"/>
      <c r="AM600" s="245"/>
      <c r="AN600" s="245"/>
      <c r="AO600" s="274"/>
      <c r="AP600" s="245"/>
      <c r="AQ600" s="245"/>
      <c r="AR600" s="246"/>
      <c r="AS600" s="245"/>
      <c r="AT600" s="245"/>
      <c r="AU600" s="245"/>
      <c r="AV600" s="245"/>
      <c r="AW600" s="245"/>
      <c r="AX600" s="246"/>
      <c r="AY600" s="245"/>
      <c r="AZ600" s="245"/>
      <c r="BA600" s="246"/>
      <c r="BB600" s="245"/>
      <c r="BC600" s="245"/>
      <c r="BD600" s="245"/>
      <c r="BE600" s="245"/>
      <c r="BF600" s="245"/>
      <c r="BG600" s="245"/>
      <c r="BH600" s="245"/>
      <c r="BI600" s="245"/>
      <c r="BJ600" s="245"/>
      <c r="BK600" s="245"/>
      <c r="BL600" s="245"/>
      <c r="BM600" s="245"/>
      <c r="BN600" s="245"/>
      <c r="BO600" s="245"/>
      <c r="BP600" s="245"/>
      <c r="BQ600" s="245"/>
      <c r="BR600" s="245"/>
      <c r="BS600" s="245"/>
      <c r="BT600" s="246"/>
      <c r="BU600" s="245"/>
      <c r="BV600" s="245"/>
      <c r="BW600" s="245"/>
      <c r="BX600" s="245"/>
      <c r="BY600" s="245"/>
      <c r="BZ600" s="282"/>
      <c r="CA600" s="245"/>
      <c r="CB600" s="245"/>
      <c r="CC600" s="245"/>
      <c r="CD600" s="245"/>
      <c r="CE600" s="245"/>
      <c r="CF600" s="245"/>
    </row>
    <row r="601">
      <c r="A601" s="245"/>
      <c r="B601" s="245"/>
      <c r="C601" s="245"/>
      <c r="D601" s="246"/>
      <c r="E601" s="245"/>
      <c r="F601" s="245"/>
      <c r="G601" s="245"/>
      <c r="H601" s="245"/>
      <c r="I601" s="245"/>
      <c r="J601" s="245"/>
      <c r="K601" s="265"/>
      <c r="L601" s="245"/>
      <c r="M601" s="245"/>
      <c r="N601" s="245"/>
      <c r="O601" s="245"/>
      <c r="P601" s="245"/>
      <c r="Q601" s="247"/>
      <c r="R601" s="254"/>
      <c r="S601" s="245"/>
      <c r="T601" s="245"/>
      <c r="U601" s="245"/>
      <c r="V601" s="245"/>
      <c r="W601" s="245"/>
      <c r="X601" s="245"/>
      <c r="Y601" s="249"/>
      <c r="Z601" s="276"/>
      <c r="AA601" s="245"/>
      <c r="AB601" s="276"/>
      <c r="AC601" s="276"/>
      <c r="AD601" s="246"/>
      <c r="AE601" s="278"/>
      <c r="AF601" s="370"/>
      <c r="AG601" s="371"/>
      <c r="AH601" s="250"/>
      <c r="AI601" s="245"/>
      <c r="AJ601" s="287"/>
      <c r="AK601" s="278"/>
      <c r="AL601" s="246"/>
      <c r="AM601" s="245"/>
      <c r="AN601" s="245"/>
      <c r="AO601" s="274"/>
      <c r="AP601" s="245"/>
      <c r="AQ601" s="245"/>
      <c r="AR601" s="246"/>
      <c r="AS601" s="245"/>
      <c r="AT601" s="245"/>
      <c r="AU601" s="245"/>
      <c r="AV601" s="245"/>
      <c r="AW601" s="245"/>
      <c r="AX601" s="246"/>
      <c r="AY601" s="245"/>
      <c r="AZ601" s="245"/>
      <c r="BA601" s="246"/>
      <c r="BB601" s="245"/>
      <c r="BC601" s="245"/>
      <c r="BD601" s="245"/>
      <c r="BE601" s="245"/>
      <c r="BF601" s="245"/>
      <c r="BG601" s="245"/>
      <c r="BH601" s="245"/>
      <c r="BI601" s="245"/>
      <c r="BJ601" s="245"/>
      <c r="BK601" s="245"/>
      <c r="BL601" s="245"/>
      <c r="BM601" s="245"/>
      <c r="BN601" s="245"/>
      <c r="BO601" s="245"/>
      <c r="BP601" s="245"/>
      <c r="BQ601" s="245"/>
      <c r="BR601" s="245"/>
      <c r="BS601" s="245"/>
      <c r="BT601" s="246"/>
      <c r="BU601" s="245"/>
      <c r="BV601" s="245"/>
      <c r="BW601" s="245"/>
      <c r="BX601" s="245"/>
      <c r="BY601" s="245"/>
      <c r="BZ601" s="282"/>
      <c r="CA601" s="245"/>
      <c r="CB601" s="245"/>
      <c r="CC601" s="245"/>
      <c r="CD601" s="245"/>
      <c r="CE601" s="245"/>
      <c r="CF601" s="245"/>
    </row>
    <row r="602">
      <c r="A602" s="245"/>
      <c r="B602" s="245"/>
      <c r="C602" s="245"/>
      <c r="D602" s="246"/>
      <c r="E602" s="245"/>
      <c r="F602" s="245"/>
      <c r="G602" s="245"/>
      <c r="H602" s="245"/>
      <c r="I602" s="245"/>
      <c r="J602" s="245"/>
      <c r="K602" s="265"/>
      <c r="L602" s="245"/>
      <c r="M602" s="245"/>
      <c r="N602" s="245"/>
      <c r="O602" s="245"/>
      <c r="P602" s="245"/>
      <c r="Q602" s="247"/>
      <c r="R602" s="254"/>
      <c r="S602" s="265"/>
      <c r="T602" s="245"/>
      <c r="U602" s="245"/>
      <c r="V602" s="245"/>
      <c r="W602" s="245"/>
      <c r="X602" s="245"/>
      <c r="Y602" s="249"/>
      <c r="Z602" s="276"/>
      <c r="AA602" s="245"/>
      <c r="AB602" s="276"/>
      <c r="AC602" s="276"/>
      <c r="AD602" s="246"/>
      <c r="AE602" s="278"/>
      <c r="AF602" s="370"/>
      <c r="AG602" s="371"/>
      <c r="AH602" s="250"/>
      <c r="AI602" s="254"/>
      <c r="AJ602" s="287"/>
      <c r="AK602" s="278"/>
      <c r="AL602" s="246"/>
      <c r="AM602" s="245"/>
      <c r="AN602" s="245"/>
      <c r="AO602" s="274"/>
      <c r="AP602" s="245"/>
      <c r="AQ602" s="276"/>
      <c r="AR602" s="246"/>
      <c r="AS602" s="245"/>
      <c r="AT602" s="276"/>
      <c r="AU602" s="245"/>
      <c r="AV602" s="245"/>
      <c r="AW602" s="278"/>
      <c r="AX602" s="246"/>
      <c r="AY602" s="245"/>
      <c r="AZ602" s="245"/>
      <c r="BA602" s="274"/>
      <c r="BB602" s="245"/>
      <c r="BC602" s="245"/>
      <c r="BD602" s="245"/>
      <c r="BE602" s="245"/>
      <c r="BF602" s="245"/>
      <c r="BG602" s="245"/>
      <c r="BH602" s="245"/>
      <c r="BI602" s="245"/>
      <c r="BJ602" s="245"/>
      <c r="BK602" s="245"/>
      <c r="BL602" s="245"/>
      <c r="BM602" s="245"/>
      <c r="BN602" s="245"/>
      <c r="BO602" s="245"/>
      <c r="BP602" s="245"/>
      <c r="BQ602" s="245"/>
      <c r="BR602" s="245"/>
      <c r="BS602" s="245"/>
      <c r="BT602" s="246"/>
      <c r="BU602" s="245"/>
      <c r="BV602" s="245"/>
      <c r="BW602" s="245"/>
      <c r="BX602" s="245"/>
      <c r="BY602" s="245"/>
      <c r="BZ602" s="282"/>
      <c r="CA602" s="245"/>
      <c r="CB602" s="245"/>
      <c r="CC602" s="245"/>
      <c r="CD602" s="245"/>
      <c r="CE602" s="245"/>
      <c r="CF602" s="245"/>
    </row>
    <row r="603">
      <c r="A603" s="245"/>
      <c r="B603" s="245"/>
      <c r="C603" s="245"/>
      <c r="D603" s="246"/>
      <c r="E603" s="245"/>
      <c r="F603" s="245"/>
      <c r="G603" s="245"/>
      <c r="H603" s="245"/>
      <c r="I603" s="245"/>
      <c r="J603" s="245"/>
      <c r="K603" s="265"/>
      <c r="L603" s="245"/>
      <c r="M603" s="245"/>
      <c r="N603" s="245"/>
      <c r="O603" s="245"/>
      <c r="P603" s="245"/>
      <c r="Q603" s="247"/>
      <c r="R603" s="254"/>
      <c r="S603" s="265"/>
      <c r="T603" s="245"/>
      <c r="U603" s="245"/>
      <c r="V603" s="245"/>
      <c r="W603" s="245"/>
      <c r="X603" s="245"/>
      <c r="Y603" s="249"/>
      <c r="Z603" s="276"/>
      <c r="AA603" s="245"/>
      <c r="AB603" s="276"/>
      <c r="AC603" s="276"/>
      <c r="AD603" s="246"/>
      <c r="AE603" s="278"/>
      <c r="AF603" s="370"/>
      <c r="AG603" s="371"/>
      <c r="AH603" s="286"/>
      <c r="AI603" s="254"/>
      <c r="AJ603" s="287"/>
      <c r="AK603" s="278"/>
      <c r="AL603" s="246"/>
      <c r="AM603" s="245"/>
      <c r="AN603" s="245"/>
      <c r="AO603" s="274"/>
      <c r="AP603" s="245"/>
      <c r="AQ603" s="289"/>
      <c r="AR603" s="246"/>
      <c r="AS603" s="245"/>
      <c r="AT603" s="289"/>
      <c r="AU603" s="245"/>
      <c r="AV603" s="245"/>
      <c r="AW603" s="245"/>
      <c r="AX603" s="246"/>
      <c r="AY603" s="245"/>
      <c r="AZ603" s="245"/>
      <c r="BA603" s="292"/>
      <c r="BB603" s="291"/>
      <c r="BC603" s="245"/>
      <c r="BD603" s="245"/>
      <c r="BE603" s="245"/>
      <c r="BF603" s="245"/>
      <c r="BG603" s="245"/>
      <c r="BH603" s="245"/>
      <c r="BI603" s="245"/>
      <c r="BJ603" s="245"/>
      <c r="BK603" s="245"/>
      <c r="BL603" s="245"/>
      <c r="BM603" s="245"/>
      <c r="BN603" s="245"/>
      <c r="BO603" s="245"/>
      <c r="BP603" s="245"/>
      <c r="BQ603" s="245"/>
      <c r="BR603" s="245"/>
      <c r="BS603" s="245"/>
      <c r="BT603" s="246"/>
      <c r="BU603" s="245"/>
      <c r="BV603" s="245"/>
      <c r="BW603" s="245"/>
      <c r="BX603" s="245"/>
      <c r="BY603" s="245"/>
      <c r="BZ603" s="282"/>
      <c r="CA603" s="245"/>
      <c r="CB603" s="245"/>
      <c r="CC603" s="245"/>
      <c r="CD603" s="245"/>
      <c r="CE603" s="245"/>
      <c r="CF603" s="245"/>
    </row>
    <row r="604">
      <c r="A604" s="245"/>
      <c r="B604" s="245"/>
      <c r="C604" s="245"/>
      <c r="D604" s="246"/>
      <c r="E604" s="245"/>
      <c r="F604" s="245"/>
      <c r="G604" s="245"/>
      <c r="H604" s="245"/>
      <c r="I604" s="245"/>
      <c r="J604" s="245"/>
      <c r="K604" s="265"/>
      <c r="L604" s="245"/>
      <c r="M604" s="245"/>
      <c r="N604" s="245"/>
      <c r="O604" s="245"/>
      <c r="P604" s="245"/>
      <c r="Q604" s="247"/>
      <c r="R604" s="254"/>
      <c r="S604" s="265"/>
      <c r="T604" s="245"/>
      <c r="U604" s="245"/>
      <c r="V604" s="245"/>
      <c r="W604" s="245"/>
      <c r="X604" s="245"/>
      <c r="Y604" s="249"/>
      <c r="Z604" s="276"/>
      <c r="AA604" s="245"/>
      <c r="AB604" s="276"/>
      <c r="AC604" s="276"/>
      <c r="AD604" s="246"/>
      <c r="AE604" s="278"/>
      <c r="AF604" s="370"/>
      <c r="AG604" s="371"/>
      <c r="AH604" s="276"/>
      <c r="AI604" s="254"/>
      <c r="AJ604" s="287"/>
      <c r="AK604" s="278"/>
      <c r="AL604" s="246"/>
      <c r="AM604" s="245"/>
      <c r="AN604" s="245"/>
      <c r="AO604" s="274"/>
      <c r="AP604" s="245"/>
      <c r="AQ604" s="289"/>
      <c r="AR604" s="246"/>
      <c r="AS604" s="245"/>
      <c r="AT604" s="289"/>
      <c r="AU604" s="245"/>
      <c r="AV604" s="245"/>
      <c r="AW604" s="245"/>
      <c r="AX604" s="246"/>
      <c r="AY604" s="245"/>
      <c r="AZ604" s="245"/>
      <c r="BA604" s="264"/>
      <c r="BB604" s="302"/>
      <c r="BC604" s="245"/>
      <c r="BD604" s="245"/>
      <c r="BE604" s="245"/>
      <c r="BF604" s="245"/>
      <c r="BG604" s="245"/>
      <c r="BH604" s="245"/>
      <c r="BI604" s="245"/>
      <c r="BJ604" s="245"/>
      <c r="BK604" s="245"/>
      <c r="BL604" s="245"/>
      <c r="BM604" s="245"/>
      <c r="BN604" s="245"/>
      <c r="BO604" s="245"/>
      <c r="BP604" s="245"/>
      <c r="BQ604" s="245"/>
      <c r="BR604" s="245"/>
      <c r="BS604" s="245"/>
      <c r="BT604" s="246"/>
      <c r="BU604" s="245"/>
      <c r="BV604" s="245"/>
      <c r="BW604" s="245"/>
      <c r="BX604" s="245"/>
      <c r="BY604" s="245"/>
      <c r="BZ604" s="282"/>
      <c r="CA604" s="245"/>
      <c r="CB604" s="245"/>
      <c r="CC604" s="245"/>
      <c r="CD604" s="245"/>
      <c r="CE604" s="245"/>
      <c r="CF604" s="245"/>
    </row>
    <row r="605">
      <c r="A605" s="245"/>
      <c r="B605" s="245"/>
      <c r="C605" s="245"/>
      <c r="D605" s="246"/>
      <c r="E605" s="245"/>
      <c r="F605" s="245"/>
      <c r="G605" s="245"/>
      <c r="H605" s="245"/>
      <c r="I605" s="245"/>
      <c r="J605" s="245"/>
      <c r="K605" s="265"/>
      <c r="L605" s="245"/>
      <c r="M605" s="245"/>
      <c r="N605" s="245"/>
      <c r="O605" s="245"/>
      <c r="P605" s="245"/>
      <c r="Q605" s="247"/>
      <c r="R605" s="254"/>
      <c r="S605" s="265"/>
      <c r="T605" s="245"/>
      <c r="U605" s="245"/>
      <c r="V605" s="245"/>
      <c r="W605" s="245"/>
      <c r="X605" s="245"/>
      <c r="Y605" s="249"/>
      <c r="Z605" s="276"/>
      <c r="AA605" s="245"/>
      <c r="AB605" s="276"/>
      <c r="AC605" s="276"/>
      <c r="AD605" s="246"/>
      <c r="AE605" s="278"/>
      <c r="AF605" s="370"/>
      <c r="AG605" s="371"/>
      <c r="AH605" s="309"/>
      <c r="AI605" s="254"/>
      <c r="AJ605" s="287"/>
      <c r="AK605" s="278"/>
      <c r="AL605" s="246"/>
      <c r="AM605" s="245"/>
      <c r="AN605" s="245"/>
      <c r="AO605" s="274"/>
      <c r="AP605" s="245"/>
      <c r="AQ605" s="289"/>
      <c r="AR605" s="246"/>
      <c r="AS605" s="245"/>
      <c r="AT605" s="289"/>
      <c r="AU605" s="245"/>
      <c r="AV605" s="245"/>
      <c r="AW605" s="245"/>
      <c r="AX605" s="246"/>
      <c r="AY605" s="305"/>
      <c r="AZ605" s="245"/>
      <c r="BA605" s="314"/>
      <c r="BB605" s="313"/>
      <c r="BC605" s="245"/>
      <c r="BD605" s="245"/>
      <c r="BE605" s="245"/>
      <c r="BF605" s="245"/>
      <c r="BG605" s="245"/>
      <c r="BH605" s="245"/>
      <c r="BI605" s="245"/>
      <c r="BJ605" s="245"/>
      <c r="BK605" s="245"/>
      <c r="BL605" s="245"/>
      <c r="BM605" s="245"/>
      <c r="BN605" s="245"/>
      <c r="BO605" s="245"/>
      <c r="BP605" s="245"/>
      <c r="BQ605" s="245"/>
      <c r="BR605" s="245"/>
      <c r="BS605" s="245"/>
      <c r="BT605" s="246"/>
      <c r="BU605" s="245"/>
      <c r="BV605" s="245"/>
      <c r="BW605" s="245"/>
      <c r="BX605" s="245"/>
      <c r="BY605" s="245"/>
      <c r="BZ605" s="282"/>
      <c r="CA605" s="245"/>
      <c r="CB605" s="245"/>
      <c r="CC605" s="245"/>
      <c r="CD605" s="245"/>
      <c r="CE605" s="245"/>
      <c r="CF605" s="245"/>
    </row>
    <row r="606">
      <c r="A606" s="245"/>
      <c r="B606" s="245"/>
      <c r="C606" s="245"/>
      <c r="D606" s="246"/>
      <c r="E606" s="245"/>
      <c r="F606" s="245"/>
      <c r="G606" s="245"/>
      <c r="H606" s="245"/>
      <c r="I606" s="245"/>
      <c r="J606" s="245"/>
      <c r="K606" s="265"/>
      <c r="L606" s="245"/>
      <c r="M606" s="245"/>
      <c r="N606" s="245"/>
      <c r="O606" s="245"/>
      <c r="P606" s="245"/>
      <c r="Q606" s="247"/>
      <c r="R606" s="254"/>
      <c r="S606" s="265"/>
      <c r="T606" s="245"/>
      <c r="U606" s="245"/>
      <c r="V606" s="245"/>
      <c r="W606" s="245"/>
      <c r="X606" s="245"/>
      <c r="Y606" s="249"/>
      <c r="Z606" s="276"/>
      <c r="AA606" s="245"/>
      <c r="AB606" s="276"/>
      <c r="AC606" s="276"/>
      <c r="AD606" s="246"/>
      <c r="AE606" s="278"/>
      <c r="AF606" s="370"/>
      <c r="AG606" s="371"/>
      <c r="AH606" s="317"/>
      <c r="AI606" s="254"/>
      <c r="AJ606" s="287"/>
      <c r="AK606" s="278"/>
      <c r="AL606" s="246"/>
      <c r="AM606" s="245"/>
      <c r="AN606" s="245"/>
      <c r="AO606" s="274"/>
      <c r="AP606" s="245"/>
      <c r="AQ606" s="289"/>
      <c r="AR606" s="246"/>
      <c r="AS606" s="245"/>
      <c r="AT606" s="289"/>
      <c r="AU606" s="245"/>
      <c r="AV606" s="245"/>
      <c r="AW606" s="313"/>
      <c r="AX606" s="246"/>
      <c r="AY606" s="245"/>
      <c r="AZ606" s="245"/>
      <c r="BA606" s="321"/>
      <c r="BB606" s="319"/>
      <c r="BC606" s="245"/>
      <c r="BD606" s="245"/>
      <c r="BE606" s="245"/>
      <c r="BF606" s="245"/>
      <c r="BG606" s="245"/>
      <c r="BH606" s="245"/>
      <c r="BI606" s="245"/>
      <c r="BJ606" s="245"/>
      <c r="BK606" s="245"/>
      <c r="BL606" s="245"/>
      <c r="BM606" s="245"/>
      <c r="BN606" s="245"/>
      <c r="BO606" s="245"/>
      <c r="BP606" s="245"/>
      <c r="BQ606" s="245"/>
      <c r="BR606" s="245"/>
      <c r="BS606" s="245"/>
      <c r="BT606" s="246"/>
      <c r="BU606" s="245"/>
      <c r="BV606" s="245"/>
      <c r="BW606" s="245"/>
      <c r="BX606" s="245"/>
      <c r="BY606" s="245"/>
      <c r="BZ606" s="282"/>
      <c r="CA606" s="245"/>
      <c r="CB606" s="245"/>
      <c r="CC606" s="245"/>
      <c r="CD606" s="245"/>
      <c r="CE606" s="245"/>
      <c r="CF606" s="245"/>
    </row>
    <row r="607">
      <c r="A607" s="245"/>
      <c r="B607" s="245"/>
      <c r="C607" s="245"/>
      <c r="D607" s="246"/>
      <c r="E607" s="245"/>
      <c r="F607" s="245"/>
      <c r="G607" s="245"/>
      <c r="H607" s="245"/>
      <c r="I607" s="245"/>
      <c r="J607" s="245"/>
      <c r="K607" s="265"/>
      <c r="L607" s="245"/>
      <c r="M607" s="245"/>
      <c r="N607" s="245"/>
      <c r="O607" s="245"/>
      <c r="P607" s="245"/>
      <c r="Q607" s="247"/>
      <c r="R607" s="254"/>
      <c r="S607" s="265"/>
      <c r="T607" s="245"/>
      <c r="U607" s="245"/>
      <c r="V607" s="245"/>
      <c r="W607" s="245"/>
      <c r="X607" s="245"/>
      <c r="Y607" s="249"/>
      <c r="Z607" s="276"/>
      <c r="AA607" s="245"/>
      <c r="AB607" s="276"/>
      <c r="AC607" s="276"/>
      <c r="AD607" s="246"/>
      <c r="AE607" s="278"/>
      <c r="AF607" s="370"/>
      <c r="AG607" s="371"/>
      <c r="AH607" s="286"/>
      <c r="AI607" s="245"/>
      <c r="AJ607" s="287"/>
      <c r="AK607" s="278"/>
      <c r="AL607" s="246"/>
      <c r="AM607" s="245"/>
      <c r="AN607" s="245"/>
      <c r="AO607" s="274"/>
      <c r="AP607" s="245"/>
      <c r="AQ607" s="245"/>
      <c r="AR607" s="246"/>
      <c r="AS607" s="245"/>
      <c r="AT607" s="245"/>
      <c r="AU607" s="245"/>
      <c r="AV607" s="245"/>
      <c r="AW607" s="276"/>
      <c r="AX607" s="246"/>
      <c r="AY607" s="245"/>
      <c r="AZ607" s="245"/>
      <c r="BA607" s="325"/>
      <c r="BB607" s="324"/>
      <c r="BC607" s="245"/>
      <c r="BD607" s="245"/>
      <c r="BE607" s="245"/>
      <c r="BF607" s="245"/>
      <c r="BG607" s="245"/>
      <c r="BH607" s="245"/>
      <c r="BI607" s="245"/>
      <c r="BJ607" s="245"/>
      <c r="BK607" s="245"/>
      <c r="BL607" s="245"/>
      <c r="BM607" s="245"/>
      <c r="BN607" s="245"/>
      <c r="BO607" s="245"/>
      <c r="BP607" s="245"/>
      <c r="BQ607" s="245"/>
      <c r="BR607" s="245"/>
      <c r="BS607" s="245"/>
      <c r="BT607" s="246"/>
      <c r="BU607" s="245"/>
      <c r="BV607" s="245"/>
      <c r="BW607" s="245"/>
      <c r="BX607" s="245"/>
      <c r="BY607" s="245"/>
      <c r="BZ607" s="282"/>
      <c r="CA607" s="245"/>
      <c r="CB607" s="245"/>
      <c r="CC607" s="245"/>
      <c r="CD607" s="245"/>
      <c r="CE607" s="245"/>
      <c r="CF607" s="245"/>
    </row>
    <row r="608">
      <c r="A608" s="245"/>
      <c r="B608" s="245"/>
      <c r="C608" s="245"/>
      <c r="D608" s="246"/>
      <c r="E608" s="245"/>
      <c r="F608" s="245"/>
      <c r="G608" s="245"/>
      <c r="H608" s="245"/>
      <c r="I608" s="245"/>
      <c r="J608" s="245"/>
      <c r="K608" s="265"/>
      <c r="L608" s="245"/>
      <c r="M608" s="245"/>
      <c r="N608" s="245"/>
      <c r="O608" s="245"/>
      <c r="P608" s="245"/>
      <c r="Q608" s="247"/>
      <c r="R608" s="254"/>
      <c r="S608" s="265"/>
      <c r="T608" s="245"/>
      <c r="U608" s="245"/>
      <c r="V608" s="245"/>
      <c r="W608" s="245"/>
      <c r="X608" s="245"/>
      <c r="Y608" s="249"/>
      <c r="Z608" s="276"/>
      <c r="AA608" s="245"/>
      <c r="AB608" s="276"/>
      <c r="AC608" s="276"/>
      <c r="AD608" s="246"/>
      <c r="AE608" s="278"/>
      <c r="AF608" s="370"/>
      <c r="AG608" s="371"/>
      <c r="AH608" s="327"/>
      <c r="AI608" s="254"/>
      <c r="AJ608" s="287"/>
      <c r="AK608" s="278"/>
      <c r="AL608" s="246"/>
      <c r="AM608" s="245"/>
      <c r="AN608" s="245"/>
      <c r="AO608" s="274"/>
      <c r="AP608" s="245"/>
      <c r="AQ608" s="245"/>
      <c r="AR608" s="246"/>
      <c r="AS608" s="245"/>
      <c r="AT608" s="276"/>
      <c r="AU608" s="245"/>
      <c r="AV608" s="245"/>
      <c r="AW608" s="276"/>
      <c r="AX608" s="246"/>
      <c r="AY608" s="245"/>
      <c r="AZ608" s="245"/>
      <c r="BA608" s="274"/>
      <c r="BB608" s="245"/>
      <c r="BC608" s="245"/>
      <c r="BD608" s="245"/>
      <c r="BE608" s="245"/>
      <c r="BF608" s="245"/>
      <c r="BG608" s="245"/>
      <c r="BH608" s="245"/>
      <c r="BI608" s="245"/>
      <c r="BJ608" s="245"/>
      <c r="BK608" s="245"/>
      <c r="BL608" s="245"/>
      <c r="BM608" s="245"/>
      <c r="BN608" s="245"/>
      <c r="BO608" s="245"/>
      <c r="BP608" s="245"/>
      <c r="BQ608" s="245"/>
      <c r="BR608" s="245"/>
      <c r="BS608" s="245"/>
      <c r="BT608" s="246"/>
      <c r="BU608" s="245"/>
      <c r="BV608" s="245"/>
      <c r="BW608" s="245"/>
      <c r="BX608" s="245"/>
      <c r="BY608" s="245"/>
      <c r="BZ608" s="282"/>
      <c r="CA608" s="245"/>
      <c r="CB608" s="245"/>
      <c r="CC608" s="245"/>
      <c r="CD608" s="245"/>
      <c r="CE608" s="245"/>
      <c r="CF608" s="245"/>
    </row>
    <row r="609">
      <c r="A609" s="245"/>
      <c r="B609" s="245"/>
      <c r="C609" s="245"/>
      <c r="D609" s="246"/>
      <c r="E609" s="245"/>
      <c r="F609" s="245"/>
      <c r="G609" s="245"/>
      <c r="H609" s="245"/>
      <c r="I609" s="245"/>
      <c r="J609" s="245"/>
      <c r="K609" s="265"/>
      <c r="L609" s="245"/>
      <c r="M609" s="245"/>
      <c r="N609" s="245"/>
      <c r="O609" s="245"/>
      <c r="P609" s="245"/>
      <c r="Q609" s="247"/>
      <c r="R609" s="254"/>
      <c r="S609" s="265"/>
      <c r="T609" s="245"/>
      <c r="U609" s="245"/>
      <c r="V609" s="245"/>
      <c r="W609" s="245"/>
      <c r="X609" s="245"/>
      <c r="Y609" s="249"/>
      <c r="Z609" s="276"/>
      <c r="AA609" s="245"/>
      <c r="AB609" s="276"/>
      <c r="AC609" s="276"/>
      <c r="AD609" s="246"/>
      <c r="AE609" s="278"/>
      <c r="AF609" s="370"/>
      <c r="AG609" s="371"/>
      <c r="AH609" s="327"/>
      <c r="AI609" s="254"/>
      <c r="AJ609" s="287"/>
      <c r="AK609" s="278"/>
      <c r="AL609" s="246"/>
      <c r="AM609" s="245"/>
      <c r="AN609" s="245"/>
      <c r="AO609" s="274"/>
      <c r="AP609" s="245"/>
      <c r="AQ609" s="245"/>
      <c r="AR609" s="246"/>
      <c r="AS609" s="245"/>
      <c r="AT609" s="245"/>
      <c r="AU609" s="245"/>
      <c r="AV609" s="245"/>
      <c r="AW609" s="245"/>
      <c r="AX609" s="246"/>
      <c r="AY609" s="245"/>
      <c r="AZ609" s="245"/>
      <c r="BA609" s="333"/>
      <c r="BB609" s="313"/>
      <c r="BC609" s="245"/>
      <c r="BD609" s="245"/>
      <c r="BE609" s="245"/>
      <c r="BF609" s="245"/>
      <c r="BG609" s="245"/>
      <c r="BH609" s="245"/>
      <c r="BI609" s="245"/>
      <c r="BJ609" s="245"/>
      <c r="BK609" s="245"/>
      <c r="BL609" s="245"/>
      <c r="BM609" s="245"/>
      <c r="BN609" s="245"/>
      <c r="BO609" s="245"/>
      <c r="BP609" s="245"/>
      <c r="BQ609" s="245"/>
      <c r="BR609" s="245"/>
      <c r="BS609" s="245"/>
      <c r="BT609" s="246"/>
      <c r="BU609" s="245"/>
      <c r="BV609" s="245"/>
      <c r="BW609" s="245"/>
      <c r="BX609" s="245"/>
      <c r="BY609" s="245"/>
      <c r="BZ609" s="282"/>
      <c r="CA609" s="245"/>
      <c r="CB609" s="245"/>
      <c r="CC609" s="245"/>
      <c r="CD609" s="245"/>
      <c r="CE609" s="245"/>
      <c r="CF609" s="245"/>
    </row>
    <row r="610">
      <c r="A610" s="245"/>
      <c r="B610" s="245"/>
      <c r="C610" s="245"/>
      <c r="D610" s="246"/>
      <c r="E610" s="245"/>
      <c r="F610" s="245"/>
      <c r="G610" s="245"/>
      <c r="H610" s="245"/>
      <c r="I610" s="245"/>
      <c r="J610" s="245"/>
      <c r="K610" s="265"/>
      <c r="L610" s="245"/>
      <c r="M610" s="245"/>
      <c r="N610" s="245"/>
      <c r="O610" s="245"/>
      <c r="P610" s="245"/>
      <c r="Q610" s="247"/>
      <c r="R610" s="254"/>
      <c r="S610" s="265"/>
      <c r="T610" s="245"/>
      <c r="U610" s="245"/>
      <c r="V610" s="245"/>
      <c r="W610" s="245"/>
      <c r="X610" s="245"/>
      <c r="Y610" s="249"/>
      <c r="Z610" s="276"/>
      <c r="AA610" s="245"/>
      <c r="AB610" s="276"/>
      <c r="AC610" s="276"/>
      <c r="AD610" s="246"/>
      <c r="AE610" s="278"/>
      <c r="AF610" s="370"/>
      <c r="AG610" s="371"/>
      <c r="AH610" s="250"/>
      <c r="AI610" s="245"/>
      <c r="AJ610" s="287"/>
      <c r="AK610" s="278"/>
      <c r="AL610" s="246"/>
      <c r="AM610" s="245"/>
      <c r="AN610" s="245"/>
      <c r="AO610" s="274"/>
      <c r="AP610" s="245"/>
      <c r="AQ610" s="276"/>
      <c r="AR610" s="246"/>
      <c r="AS610" s="245"/>
      <c r="AT610" s="276"/>
      <c r="AU610" s="276"/>
      <c r="AV610" s="276"/>
      <c r="AW610" s="276"/>
      <c r="AX610" s="246"/>
      <c r="AY610" s="245"/>
      <c r="AZ610" s="245"/>
      <c r="BA610" s="335"/>
      <c r="BB610" s="254"/>
      <c r="BC610" s="245"/>
      <c r="BD610" s="245"/>
      <c r="BE610" s="245"/>
      <c r="BF610" s="245"/>
      <c r="BG610" s="245"/>
      <c r="BH610" s="245"/>
      <c r="BI610" s="245"/>
      <c r="BJ610" s="245"/>
      <c r="BK610" s="245"/>
      <c r="BL610" s="245"/>
      <c r="BM610" s="245"/>
      <c r="BN610" s="245"/>
      <c r="BO610" s="245"/>
      <c r="BP610" s="245"/>
      <c r="BQ610" s="245"/>
      <c r="BR610" s="245"/>
      <c r="BS610" s="245"/>
      <c r="BT610" s="246"/>
      <c r="BU610" s="245"/>
      <c r="BV610" s="245"/>
      <c r="BW610" s="245"/>
      <c r="BX610" s="245"/>
      <c r="BY610" s="245"/>
      <c r="BZ610" s="282"/>
      <c r="CA610" s="245"/>
      <c r="CB610" s="245"/>
      <c r="CC610" s="245"/>
      <c r="CD610" s="245"/>
      <c r="CE610" s="245"/>
      <c r="CF610" s="245"/>
    </row>
    <row r="611">
      <c r="A611" s="245"/>
      <c r="B611" s="245"/>
      <c r="C611" s="245"/>
      <c r="D611" s="246"/>
      <c r="E611" s="245"/>
      <c r="F611" s="245"/>
      <c r="G611" s="245"/>
      <c r="H611" s="245"/>
      <c r="I611" s="245"/>
      <c r="J611" s="245"/>
      <c r="K611" s="265"/>
      <c r="L611" s="245"/>
      <c r="M611" s="245"/>
      <c r="N611" s="245"/>
      <c r="O611" s="245"/>
      <c r="P611" s="245"/>
      <c r="Q611" s="247"/>
      <c r="R611" s="254"/>
      <c r="S611" s="265"/>
      <c r="T611" s="245"/>
      <c r="U611" s="245"/>
      <c r="V611" s="245"/>
      <c r="W611" s="245"/>
      <c r="X611" s="245"/>
      <c r="Y611" s="249"/>
      <c r="Z611" s="276"/>
      <c r="AA611" s="245"/>
      <c r="AB611" s="276"/>
      <c r="AC611" s="276"/>
      <c r="AD611" s="246"/>
      <c r="AE611" s="278"/>
      <c r="AF611" s="370"/>
      <c r="AG611" s="371"/>
      <c r="AH611" s="337"/>
      <c r="AI611" s="245"/>
      <c r="AJ611" s="287"/>
      <c r="AK611" s="278"/>
      <c r="AL611" s="246"/>
      <c r="AM611" s="245"/>
      <c r="AN611" s="245"/>
      <c r="AO611" s="274"/>
      <c r="AP611" s="245"/>
      <c r="AQ611" s="313"/>
      <c r="AR611" s="246"/>
      <c r="AS611" s="245"/>
      <c r="AT611" s="313"/>
      <c r="AU611" s="245"/>
      <c r="AV611" s="245"/>
      <c r="AW611" s="245"/>
      <c r="AX611" s="246"/>
      <c r="AY611" s="245"/>
      <c r="AZ611" s="245"/>
      <c r="BA611" s="341"/>
      <c r="BB611" s="254"/>
      <c r="BC611" s="245"/>
      <c r="BD611" s="245"/>
      <c r="BE611" s="245"/>
      <c r="BF611" s="245"/>
      <c r="BG611" s="245"/>
      <c r="BH611" s="245"/>
      <c r="BI611" s="245"/>
      <c r="BJ611" s="245"/>
      <c r="BK611" s="245"/>
      <c r="BL611" s="245"/>
      <c r="BM611" s="245"/>
      <c r="BN611" s="245"/>
      <c r="BO611" s="245"/>
      <c r="BP611" s="245"/>
      <c r="BQ611" s="245"/>
      <c r="BR611" s="245"/>
      <c r="BS611" s="245"/>
      <c r="BT611" s="246"/>
      <c r="BU611" s="245"/>
      <c r="BV611" s="245"/>
      <c r="BW611" s="245"/>
      <c r="BX611" s="245"/>
      <c r="BY611" s="245"/>
      <c r="BZ611" s="282"/>
      <c r="CA611" s="245"/>
      <c r="CB611" s="245"/>
      <c r="CC611" s="245"/>
      <c r="CD611" s="245"/>
      <c r="CE611" s="245"/>
      <c r="CF611" s="245"/>
    </row>
    <row r="612">
      <c r="A612" s="245"/>
      <c r="B612" s="245"/>
      <c r="C612" s="245"/>
      <c r="D612" s="246"/>
      <c r="E612" s="245"/>
      <c r="F612" s="245"/>
      <c r="G612" s="245"/>
      <c r="H612" s="245"/>
      <c r="I612" s="245"/>
      <c r="J612" s="245"/>
      <c r="K612" s="265"/>
      <c r="L612" s="245"/>
      <c r="M612" s="245"/>
      <c r="N612" s="245"/>
      <c r="O612" s="245"/>
      <c r="P612" s="245"/>
      <c r="Q612" s="247"/>
      <c r="R612" s="254"/>
      <c r="S612" s="265"/>
      <c r="T612" s="245"/>
      <c r="U612" s="245"/>
      <c r="V612" s="245"/>
      <c r="W612" s="245"/>
      <c r="X612" s="245"/>
      <c r="Y612" s="249"/>
      <c r="Z612" s="276"/>
      <c r="AA612" s="245"/>
      <c r="AB612" s="276"/>
      <c r="AC612" s="276"/>
      <c r="AD612" s="246"/>
      <c r="AE612" s="278"/>
      <c r="AF612" s="370"/>
      <c r="AG612" s="371"/>
      <c r="AH612" s="291"/>
      <c r="AI612" s="245"/>
      <c r="AJ612" s="287"/>
      <c r="AK612" s="278"/>
      <c r="AL612" s="246"/>
      <c r="AM612" s="245"/>
      <c r="AN612" s="245"/>
      <c r="AO612" s="274"/>
      <c r="AP612" s="245"/>
      <c r="AQ612" s="245"/>
      <c r="AR612" s="246"/>
      <c r="AS612" s="245"/>
      <c r="AT612" s="245"/>
      <c r="AU612" s="245"/>
      <c r="AV612" s="245"/>
      <c r="AW612" s="245"/>
      <c r="AX612" s="246"/>
      <c r="AY612" s="245"/>
      <c r="AZ612" s="245"/>
      <c r="BA612" s="345"/>
      <c r="BB612" s="254"/>
      <c r="BC612" s="245"/>
      <c r="BD612" s="245"/>
      <c r="BE612" s="245"/>
      <c r="BF612" s="245"/>
      <c r="BG612" s="245"/>
      <c r="BH612" s="245"/>
      <c r="BI612" s="245"/>
      <c r="BJ612" s="245"/>
      <c r="BK612" s="245"/>
      <c r="BL612" s="245"/>
      <c r="BM612" s="245"/>
      <c r="BN612" s="245"/>
      <c r="BO612" s="245"/>
      <c r="BP612" s="245"/>
      <c r="BQ612" s="245"/>
      <c r="BR612" s="245"/>
      <c r="BS612" s="245"/>
      <c r="BT612" s="246"/>
      <c r="BU612" s="245"/>
      <c r="BV612" s="245"/>
      <c r="BW612" s="245"/>
      <c r="BX612" s="245"/>
      <c r="BY612" s="245"/>
      <c r="BZ612" s="282"/>
      <c r="CA612" s="245"/>
      <c r="CB612" s="245"/>
      <c r="CC612" s="245"/>
      <c r="CD612" s="245"/>
      <c r="CE612" s="245"/>
      <c r="CF612" s="245"/>
    </row>
    <row r="613">
      <c r="A613" s="245"/>
      <c r="B613" s="245"/>
      <c r="C613" s="245"/>
      <c r="D613" s="246"/>
      <c r="E613" s="245"/>
      <c r="F613" s="245"/>
      <c r="G613" s="245"/>
      <c r="H613" s="245"/>
      <c r="I613" s="245"/>
      <c r="J613" s="245"/>
      <c r="K613" s="265"/>
      <c r="L613" s="245"/>
      <c r="M613" s="245"/>
      <c r="N613" s="245"/>
      <c r="O613" s="245"/>
      <c r="P613" s="245"/>
      <c r="Q613" s="247"/>
      <c r="R613" s="254"/>
      <c r="S613" s="265"/>
      <c r="T613" s="245"/>
      <c r="U613" s="245"/>
      <c r="V613" s="245"/>
      <c r="W613" s="245"/>
      <c r="X613" s="245"/>
      <c r="Y613" s="249"/>
      <c r="Z613" s="276"/>
      <c r="AA613" s="245"/>
      <c r="AB613" s="276"/>
      <c r="AC613" s="276"/>
      <c r="AD613" s="246"/>
      <c r="AE613" s="278"/>
      <c r="AF613" s="370"/>
      <c r="AG613" s="371"/>
      <c r="AH613" s="347"/>
      <c r="AI613" s="245"/>
      <c r="AJ613" s="287"/>
      <c r="AK613" s="278"/>
      <c r="AL613" s="246"/>
      <c r="AM613" s="245"/>
      <c r="AN613" s="245"/>
      <c r="AO613" s="274"/>
      <c r="AP613" s="245"/>
      <c r="AQ613" s="276"/>
      <c r="AR613" s="246"/>
      <c r="AS613" s="245"/>
      <c r="AT613" s="276"/>
      <c r="AU613" s="245"/>
      <c r="AV613" s="245"/>
      <c r="AW613" s="287"/>
      <c r="AX613" s="246"/>
      <c r="AY613" s="305"/>
      <c r="AZ613" s="245"/>
      <c r="BA613" s="333"/>
      <c r="BB613" s="254"/>
      <c r="BC613" s="245"/>
      <c r="BD613" s="245"/>
      <c r="BE613" s="245"/>
      <c r="BF613" s="245"/>
      <c r="BG613" s="245"/>
      <c r="BH613" s="245"/>
      <c r="BI613" s="245"/>
      <c r="BJ613" s="245"/>
      <c r="BK613" s="245"/>
      <c r="BL613" s="245"/>
      <c r="BM613" s="245"/>
      <c r="BN613" s="245"/>
      <c r="BO613" s="245"/>
      <c r="BP613" s="245"/>
      <c r="BQ613" s="245"/>
      <c r="BR613" s="245"/>
      <c r="BS613" s="245"/>
      <c r="BT613" s="246"/>
      <c r="BU613" s="245"/>
      <c r="BV613" s="245"/>
      <c r="BW613" s="245"/>
      <c r="BX613" s="245"/>
      <c r="BY613" s="245"/>
      <c r="BZ613" s="282"/>
      <c r="CA613" s="245"/>
      <c r="CB613" s="245"/>
      <c r="CC613" s="245"/>
      <c r="CD613" s="245"/>
      <c r="CE613" s="245"/>
      <c r="CF613" s="245"/>
    </row>
    <row r="614">
      <c r="A614" s="245"/>
      <c r="B614" s="245"/>
      <c r="C614" s="245"/>
      <c r="D614" s="246"/>
      <c r="E614" s="245"/>
      <c r="F614" s="245"/>
      <c r="G614" s="245"/>
      <c r="H614" s="245"/>
      <c r="I614" s="245"/>
      <c r="J614" s="245"/>
      <c r="K614" s="265"/>
      <c r="L614" s="245"/>
      <c r="M614" s="245"/>
      <c r="N614" s="245"/>
      <c r="O614" s="245"/>
      <c r="P614" s="245"/>
      <c r="Q614" s="247"/>
      <c r="R614" s="254"/>
      <c r="S614" s="265"/>
      <c r="T614" s="245"/>
      <c r="U614" s="245"/>
      <c r="V614" s="245"/>
      <c r="W614" s="245"/>
      <c r="X614" s="245"/>
      <c r="Y614" s="249"/>
      <c r="Z614" s="276"/>
      <c r="AA614" s="245"/>
      <c r="AB614" s="276"/>
      <c r="AC614" s="276"/>
      <c r="AD614" s="246"/>
      <c r="AE614" s="278"/>
      <c r="AF614" s="370"/>
      <c r="AG614" s="371"/>
      <c r="AH614" s="327"/>
      <c r="AI614" s="254"/>
      <c r="AJ614" s="287"/>
      <c r="AK614" s="278"/>
      <c r="AL614" s="246"/>
      <c r="AM614" s="245"/>
      <c r="AN614" s="245"/>
      <c r="AO614" s="274"/>
      <c r="AP614" s="245"/>
      <c r="AQ614" s="276"/>
      <c r="AR614" s="246"/>
      <c r="AS614" s="245"/>
      <c r="AT614" s="276"/>
      <c r="AU614" s="245"/>
      <c r="AV614" s="245"/>
      <c r="AW614" s="287"/>
      <c r="AX614" s="246"/>
      <c r="AY614" s="245"/>
      <c r="AZ614" s="245"/>
      <c r="BA614" s="335"/>
      <c r="BB614" s="254"/>
      <c r="BC614" s="245"/>
      <c r="BD614" s="245"/>
      <c r="BE614" s="245"/>
      <c r="BF614" s="245"/>
      <c r="BG614" s="245"/>
      <c r="BH614" s="245"/>
      <c r="BI614" s="245"/>
      <c r="BJ614" s="245"/>
      <c r="BK614" s="245"/>
      <c r="BL614" s="245"/>
      <c r="BM614" s="245"/>
      <c r="BN614" s="245"/>
      <c r="BO614" s="245"/>
      <c r="BP614" s="245"/>
      <c r="BQ614" s="245"/>
      <c r="BR614" s="245"/>
      <c r="BS614" s="245"/>
      <c r="BT614" s="246"/>
      <c r="BU614" s="245"/>
      <c r="BV614" s="245"/>
      <c r="BW614" s="245"/>
      <c r="BX614" s="245"/>
      <c r="BY614" s="245"/>
      <c r="BZ614" s="282"/>
      <c r="CA614" s="245"/>
      <c r="CB614" s="245"/>
      <c r="CC614" s="245"/>
      <c r="CD614" s="245"/>
      <c r="CE614" s="245"/>
      <c r="CF614" s="245"/>
    </row>
    <row r="615">
      <c r="A615" s="245"/>
      <c r="B615" s="245"/>
      <c r="C615" s="245"/>
      <c r="D615" s="246"/>
      <c r="E615" s="245"/>
      <c r="F615" s="245"/>
      <c r="G615" s="245"/>
      <c r="H615" s="245"/>
      <c r="I615" s="245"/>
      <c r="J615" s="245"/>
      <c r="K615" s="265"/>
      <c r="L615" s="245"/>
      <c r="M615" s="245"/>
      <c r="N615" s="245"/>
      <c r="O615" s="245"/>
      <c r="P615" s="245"/>
      <c r="Q615" s="247"/>
      <c r="R615" s="254"/>
      <c r="S615" s="265"/>
      <c r="T615" s="245"/>
      <c r="U615" s="245"/>
      <c r="V615" s="245"/>
      <c r="W615" s="245"/>
      <c r="X615" s="245"/>
      <c r="Y615" s="249"/>
      <c r="Z615" s="276"/>
      <c r="AA615" s="245"/>
      <c r="AB615" s="276"/>
      <c r="AC615" s="276"/>
      <c r="AD615" s="246"/>
      <c r="AE615" s="278"/>
      <c r="AF615" s="370"/>
      <c r="AG615" s="371"/>
      <c r="AH615" s="287"/>
      <c r="AI615" s="254"/>
      <c r="AJ615" s="287"/>
      <c r="AK615" s="278"/>
      <c r="AL615" s="246"/>
      <c r="AM615" s="245"/>
      <c r="AN615" s="245"/>
      <c r="AO615" s="274"/>
      <c r="AP615" s="245"/>
      <c r="AQ615" s="276"/>
      <c r="AR615" s="246"/>
      <c r="AS615" s="245"/>
      <c r="AT615" s="276"/>
      <c r="AU615" s="245"/>
      <c r="AV615" s="245"/>
      <c r="AW615" s="287"/>
      <c r="AX615" s="246"/>
      <c r="AY615" s="245"/>
      <c r="AZ615" s="245"/>
      <c r="BA615" s="352"/>
      <c r="BB615" s="254"/>
      <c r="BC615" s="245"/>
      <c r="BD615" s="245"/>
      <c r="BE615" s="245"/>
      <c r="BF615" s="245"/>
      <c r="BG615" s="245"/>
      <c r="BH615" s="245"/>
      <c r="BI615" s="245"/>
      <c r="BJ615" s="245"/>
      <c r="BK615" s="245"/>
      <c r="BL615" s="245"/>
      <c r="BM615" s="245"/>
      <c r="BN615" s="245"/>
      <c r="BO615" s="245"/>
      <c r="BP615" s="245"/>
      <c r="BQ615" s="245"/>
      <c r="BR615" s="245"/>
      <c r="BS615" s="245"/>
      <c r="BT615" s="246"/>
      <c r="BU615" s="245"/>
      <c r="BV615" s="245"/>
      <c r="BW615" s="245"/>
      <c r="BX615" s="245"/>
      <c r="BY615" s="245"/>
      <c r="BZ615" s="282"/>
      <c r="CA615" s="245"/>
      <c r="CB615" s="245"/>
      <c r="CC615" s="245"/>
      <c r="CD615" s="245"/>
      <c r="CE615" s="245"/>
      <c r="CF615" s="245"/>
    </row>
    <row r="616">
      <c r="A616" s="305"/>
      <c r="B616" s="245"/>
      <c r="C616" s="245"/>
      <c r="D616" s="246"/>
      <c r="E616" s="245"/>
      <c r="F616" s="245"/>
      <c r="G616" s="245"/>
      <c r="H616" s="245"/>
      <c r="I616" s="245"/>
      <c r="J616" s="245"/>
      <c r="K616" s="265"/>
      <c r="L616" s="245"/>
      <c r="M616" s="245"/>
      <c r="N616" s="245"/>
      <c r="O616" s="245"/>
      <c r="P616" s="245"/>
      <c r="Q616" s="247"/>
      <c r="R616" s="254"/>
      <c r="S616" s="265"/>
      <c r="T616" s="245"/>
      <c r="U616" s="245"/>
      <c r="V616" s="245"/>
      <c r="W616" s="245"/>
      <c r="X616" s="245"/>
      <c r="Y616" s="249"/>
      <c r="Z616" s="276"/>
      <c r="AA616" s="245"/>
      <c r="AB616" s="276"/>
      <c r="AC616" s="276"/>
      <c r="AD616" s="246"/>
      <c r="AE616" s="278"/>
      <c r="AF616" s="370"/>
      <c r="AG616" s="371"/>
      <c r="AH616" s="327"/>
      <c r="AI616" s="254"/>
      <c r="AJ616" s="287"/>
      <c r="AK616" s="278"/>
      <c r="AL616" s="246"/>
      <c r="AM616" s="245"/>
      <c r="AN616" s="245"/>
      <c r="AO616" s="274"/>
      <c r="AP616" s="245"/>
      <c r="AQ616" s="276"/>
      <c r="AR616" s="246"/>
      <c r="AS616" s="245"/>
      <c r="AT616" s="276"/>
      <c r="AU616" s="245"/>
      <c r="AV616" s="245"/>
      <c r="AW616" s="287"/>
      <c r="AX616" s="246"/>
      <c r="AY616" s="245"/>
      <c r="AZ616" s="245"/>
      <c r="BA616" s="345"/>
      <c r="BB616" s="254"/>
      <c r="BC616" s="245"/>
      <c r="BD616" s="245"/>
      <c r="BE616" s="245"/>
      <c r="BF616" s="245"/>
      <c r="BG616" s="245"/>
      <c r="BH616" s="245"/>
      <c r="BI616" s="245"/>
      <c r="BJ616" s="245"/>
      <c r="BK616" s="245"/>
      <c r="BL616" s="245"/>
      <c r="BM616" s="245"/>
      <c r="BN616" s="245"/>
      <c r="BO616" s="245"/>
      <c r="BP616" s="245"/>
      <c r="BQ616" s="245"/>
      <c r="BR616" s="245"/>
      <c r="BS616" s="245"/>
      <c r="BT616" s="246"/>
      <c r="BU616" s="245"/>
      <c r="BV616" s="245"/>
      <c r="BW616" s="245"/>
      <c r="BX616" s="245"/>
      <c r="BY616" s="245"/>
      <c r="BZ616" s="282"/>
      <c r="CA616" s="245"/>
      <c r="CB616" s="245"/>
      <c r="CC616" s="245"/>
      <c r="CD616" s="245"/>
      <c r="CE616" s="245"/>
      <c r="CF616" s="245"/>
    </row>
    <row r="617">
      <c r="A617" s="245"/>
      <c r="B617" s="245"/>
      <c r="C617" s="245"/>
      <c r="D617" s="246"/>
      <c r="E617" s="245"/>
      <c r="F617" s="245"/>
      <c r="G617" s="245"/>
      <c r="H617" s="245"/>
      <c r="I617" s="245"/>
      <c r="J617" s="245"/>
      <c r="K617" s="265"/>
      <c r="L617" s="245"/>
      <c r="M617" s="245"/>
      <c r="N617" s="245"/>
      <c r="O617" s="245"/>
      <c r="P617" s="245"/>
      <c r="Q617" s="247"/>
      <c r="R617" s="254"/>
      <c r="S617" s="265"/>
      <c r="T617" s="245"/>
      <c r="U617" s="245"/>
      <c r="V617" s="245"/>
      <c r="W617" s="245"/>
      <c r="X617" s="245"/>
      <c r="Y617" s="249"/>
      <c r="Z617" s="276"/>
      <c r="AA617" s="245"/>
      <c r="AB617" s="276"/>
      <c r="AC617" s="276"/>
      <c r="AD617" s="246"/>
      <c r="AE617" s="278"/>
      <c r="AF617" s="370"/>
      <c r="AG617" s="371"/>
      <c r="AH617" s="287"/>
      <c r="AI617" s="254"/>
      <c r="AJ617" s="287"/>
      <c r="AK617" s="278"/>
      <c r="AL617" s="246"/>
      <c r="AM617" s="245"/>
      <c r="AN617" s="245"/>
      <c r="AO617" s="274"/>
      <c r="AP617" s="245"/>
      <c r="AQ617" s="276"/>
      <c r="AR617" s="246"/>
      <c r="AS617" s="245"/>
      <c r="AT617" s="276"/>
      <c r="AU617" s="245"/>
      <c r="AV617" s="245"/>
      <c r="AW617" s="287"/>
      <c r="AX617" s="246"/>
      <c r="AY617" s="245"/>
      <c r="AZ617" s="245"/>
      <c r="BA617" s="333"/>
      <c r="BB617" s="254"/>
      <c r="BC617" s="245"/>
      <c r="BD617" s="245"/>
      <c r="BE617" s="245"/>
      <c r="BF617" s="245"/>
      <c r="BG617" s="245"/>
      <c r="BH617" s="245"/>
      <c r="BI617" s="245"/>
      <c r="BJ617" s="245"/>
      <c r="BK617" s="245"/>
      <c r="BL617" s="245"/>
      <c r="BM617" s="245"/>
      <c r="BN617" s="245"/>
      <c r="BO617" s="245"/>
      <c r="BP617" s="245"/>
      <c r="BQ617" s="245"/>
      <c r="BR617" s="245"/>
      <c r="BS617" s="245"/>
      <c r="BT617" s="246"/>
      <c r="BU617" s="245"/>
      <c r="BV617" s="245"/>
      <c r="BW617" s="245"/>
      <c r="BX617" s="245"/>
      <c r="BY617" s="245"/>
      <c r="BZ617" s="282"/>
      <c r="CA617" s="245"/>
      <c r="CB617" s="245"/>
      <c r="CC617" s="245"/>
      <c r="CD617" s="245"/>
      <c r="CE617" s="245"/>
      <c r="CF617" s="245"/>
    </row>
    <row r="618">
      <c r="A618" s="245"/>
      <c r="B618" s="245"/>
      <c r="C618" s="245"/>
      <c r="D618" s="246"/>
      <c r="E618" s="245"/>
      <c r="F618" s="245"/>
      <c r="G618" s="245"/>
      <c r="H618" s="245"/>
      <c r="I618" s="245"/>
      <c r="J618" s="245"/>
      <c r="K618" s="265"/>
      <c r="L618" s="245"/>
      <c r="M618" s="245"/>
      <c r="N618" s="245"/>
      <c r="O618" s="245"/>
      <c r="P618" s="245"/>
      <c r="Q618" s="247"/>
      <c r="R618" s="254"/>
      <c r="S618" s="265"/>
      <c r="T618" s="245"/>
      <c r="U618" s="245"/>
      <c r="V618" s="245"/>
      <c r="W618" s="245"/>
      <c r="X618" s="245"/>
      <c r="Y618" s="249"/>
      <c r="Z618" s="276"/>
      <c r="AA618" s="245"/>
      <c r="AB618" s="276"/>
      <c r="AC618" s="276"/>
      <c r="AD618" s="246"/>
      <c r="AE618" s="278"/>
      <c r="AF618" s="370"/>
      <c r="AG618" s="371"/>
      <c r="AH618" s="317"/>
      <c r="AI618" s="254"/>
      <c r="AJ618" s="287"/>
      <c r="AK618" s="278"/>
      <c r="AL618" s="246"/>
      <c r="AM618" s="245"/>
      <c r="AN618" s="245"/>
      <c r="AO618" s="274"/>
      <c r="AP618" s="245"/>
      <c r="AQ618" s="276"/>
      <c r="AR618" s="246"/>
      <c r="AS618" s="245"/>
      <c r="AT618" s="276"/>
      <c r="AU618" s="245"/>
      <c r="AV618" s="245"/>
      <c r="AW618" s="287"/>
      <c r="AX618" s="246"/>
      <c r="AY618" s="245"/>
      <c r="AZ618" s="245"/>
      <c r="BA618" s="246"/>
      <c r="BB618" s="245"/>
      <c r="BC618" s="245"/>
      <c r="BD618" s="245"/>
      <c r="BE618" s="245"/>
      <c r="BF618" s="245"/>
      <c r="BG618" s="245"/>
      <c r="BH618" s="245"/>
      <c r="BI618" s="245"/>
      <c r="BJ618" s="245"/>
      <c r="BK618" s="245"/>
      <c r="BL618" s="245"/>
      <c r="BM618" s="245"/>
      <c r="BN618" s="245"/>
      <c r="BO618" s="245"/>
      <c r="BP618" s="245"/>
      <c r="BQ618" s="245"/>
      <c r="BR618" s="245"/>
      <c r="BS618" s="245"/>
      <c r="BT618" s="246"/>
      <c r="BU618" s="245"/>
      <c r="BV618" s="245"/>
      <c r="BW618" s="245"/>
      <c r="BX618" s="245"/>
      <c r="BY618" s="245"/>
      <c r="BZ618" s="282"/>
      <c r="CA618" s="245"/>
      <c r="CB618" s="245"/>
      <c r="CC618" s="245"/>
      <c r="CD618" s="245"/>
      <c r="CE618" s="245"/>
      <c r="CF618" s="245"/>
    </row>
    <row r="619">
      <c r="A619" s="245"/>
      <c r="B619" s="245"/>
      <c r="C619" s="245"/>
      <c r="D619" s="246"/>
      <c r="E619" s="245"/>
      <c r="F619" s="245"/>
      <c r="G619" s="245"/>
      <c r="H619" s="245"/>
      <c r="I619" s="245"/>
      <c r="J619" s="245"/>
      <c r="K619" s="265"/>
      <c r="L619" s="245"/>
      <c r="M619" s="245"/>
      <c r="N619" s="245"/>
      <c r="O619" s="245"/>
      <c r="P619" s="245"/>
      <c r="Q619" s="247"/>
      <c r="R619" s="254"/>
      <c r="S619" s="265"/>
      <c r="T619" s="245"/>
      <c r="U619" s="245"/>
      <c r="V619" s="245"/>
      <c r="W619" s="245"/>
      <c r="X619" s="245"/>
      <c r="Y619" s="249"/>
      <c r="Z619" s="276"/>
      <c r="AA619" s="245"/>
      <c r="AB619" s="276"/>
      <c r="AC619" s="276"/>
      <c r="AD619" s="246"/>
      <c r="AE619" s="278"/>
      <c r="AF619" s="370"/>
      <c r="AG619" s="371"/>
      <c r="AH619" s="286"/>
      <c r="AI619" s="254"/>
      <c r="AJ619" s="287"/>
      <c r="AK619" s="278"/>
      <c r="AL619" s="246"/>
      <c r="AM619" s="245"/>
      <c r="AN619" s="245"/>
      <c r="AO619" s="274"/>
      <c r="AP619" s="245"/>
      <c r="AQ619" s="276"/>
      <c r="AR619" s="246"/>
      <c r="AS619" s="245"/>
      <c r="AT619" s="276"/>
      <c r="AU619" s="245"/>
      <c r="AV619" s="245"/>
      <c r="AW619" s="287"/>
      <c r="AX619" s="246"/>
      <c r="AY619" s="245"/>
      <c r="AZ619" s="245"/>
      <c r="BA619" s="246"/>
      <c r="BB619" s="245"/>
      <c r="BC619" s="245"/>
      <c r="BD619" s="245"/>
      <c r="BE619" s="245"/>
      <c r="BF619" s="245"/>
      <c r="BG619" s="245"/>
      <c r="BH619" s="245"/>
      <c r="BI619" s="245"/>
      <c r="BJ619" s="245"/>
      <c r="BK619" s="245"/>
      <c r="BL619" s="245"/>
      <c r="BM619" s="245"/>
      <c r="BN619" s="245"/>
      <c r="BO619" s="245"/>
      <c r="BP619" s="245"/>
      <c r="BQ619" s="245"/>
      <c r="BR619" s="245"/>
      <c r="BS619" s="245"/>
      <c r="BT619" s="246"/>
      <c r="BU619" s="245"/>
      <c r="BV619" s="245"/>
      <c r="BW619" s="245"/>
      <c r="BX619" s="245"/>
      <c r="BY619" s="245"/>
      <c r="BZ619" s="282"/>
      <c r="CA619" s="245"/>
      <c r="CB619" s="245"/>
      <c r="CC619" s="245"/>
      <c r="CD619" s="245"/>
      <c r="CE619" s="245"/>
      <c r="CF619" s="245"/>
    </row>
    <row r="620">
      <c r="A620" s="245"/>
      <c r="B620" s="245"/>
      <c r="C620" s="245"/>
      <c r="D620" s="246"/>
      <c r="E620" s="245"/>
      <c r="F620" s="245"/>
      <c r="G620" s="245"/>
      <c r="H620" s="245"/>
      <c r="I620" s="245"/>
      <c r="J620" s="245"/>
      <c r="K620" s="265"/>
      <c r="L620" s="245"/>
      <c r="M620" s="245"/>
      <c r="N620" s="245"/>
      <c r="O620" s="245"/>
      <c r="P620" s="245"/>
      <c r="Q620" s="247"/>
      <c r="R620" s="254"/>
      <c r="S620" s="245"/>
      <c r="T620" s="245"/>
      <c r="U620" s="245"/>
      <c r="V620" s="245"/>
      <c r="W620" s="245"/>
      <c r="X620" s="245"/>
      <c r="Y620" s="249"/>
      <c r="Z620" s="276"/>
      <c r="AA620" s="245"/>
      <c r="AB620" s="276"/>
      <c r="AC620" s="276"/>
      <c r="AD620" s="246"/>
      <c r="AE620" s="278"/>
      <c r="AF620" s="370"/>
      <c r="AG620" s="371"/>
      <c r="AH620" s="327"/>
      <c r="AI620" s="254"/>
      <c r="AJ620" s="287"/>
      <c r="AK620" s="278"/>
      <c r="AL620" s="246"/>
      <c r="AM620" s="245"/>
      <c r="AN620" s="245"/>
      <c r="AO620" s="274"/>
      <c r="AP620" s="245"/>
      <c r="AQ620" s="245"/>
      <c r="AR620" s="246"/>
      <c r="AS620" s="245"/>
      <c r="AT620" s="276"/>
      <c r="AU620" s="245"/>
      <c r="AV620" s="245"/>
      <c r="AW620" s="287"/>
      <c r="AX620" s="246"/>
      <c r="AY620" s="245"/>
      <c r="AZ620" s="245"/>
      <c r="BA620" s="246"/>
      <c r="BB620" s="245"/>
      <c r="BC620" s="245"/>
      <c r="BD620" s="245"/>
      <c r="BE620" s="245"/>
      <c r="BF620" s="245"/>
      <c r="BG620" s="245"/>
      <c r="BH620" s="245"/>
      <c r="BI620" s="245"/>
      <c r="BJ620" s="245"/>
      <c r="BK620" s="245"/>
      <c r="BL620" s="245"/>
      <c r="BM620" s="245"/>
      <c r="BN620" s="245"/>
      <c r="BO620" s="245"/>
      <c r="BP620" s="245"/>
      <c r="BQ620" s="245"/>
      <c r="BR620" s="245"/>
      <c r="BS620" s="245"/>
      <c r="BT620" s="246"/>
      <c r="BU620" s="245"/>
      <c r="BV620" s="245"/>
      <c r="BW620" s="245"/>
      <c r="BX620" s="245"/>
      <c r="BY620" s="245"/>
      <c r="BZ620" s="282"/>
      <c r="CA620" s="245"/>
      <c r="CB620" s="245"/>
      <c r="CC620" s="245"/>
      <c r="CD620" s="245"/>
      <c r="CE620" s="245"/>
      <c r="CF620" s="245"/>
    </row>
    <row r="621">
      <c r="A621" s="245"/>
      <c r="B621" s="245"/>
      <c r="C621" s="245"/>
      <c r="D621" s="246"/>
      <c r="E621" s="245"/>
      <c r="F621" s="245"/>
      <c r="G621" s="245"/>
      <c r="H621" s="245"/>
      <c r="I621" s="245"/>
      <c r="J621" s="245"/>
      <c r="K621" s="265"/>
      <c r="L621" s="245"/>
      <c r="M621" s="245"/>
      <c r="N621" s="245"/>
      <c r="O621" s="245"/>
      <c r="P621" s="245"/>
      <c r="Q621" s="247"/>
      <c r="R621" s="254"/>
      <c r="S621" s="245"/>
      <c r="T621" s="245"/>
      <c r="U621" s="245"/>
      <c r="V621" s="245"/>
      <c r="W621" s="245"/>
      <c r="X621" s="245"/>
      <c r="Y621" s="249"/>
      <c r="Z621" s="276"/>
      <c r="AA621" s="245"/>
      <c r="AB621" s="276"/>
      <c r="AC621" s="276"/>
      <c r="AD621" s="246"/>
      <c r="AE621" s="278"/>
      <c r="AF621" s="370"/>
      <c r="AG621" s="371"/>
      <c r="AH621" s="358"/>
      <c r="AI621" s="254"/>
      <c r="AJ621" s="287"/>
      <c r="AK621" s="278"/>
      <c r="AL621" s="246"/>
      <c r="AM621" s="245"/>
      <c r="AN621" s="245"/>
      <c r="AO621" s="274"/>
      <c r="AP621" s="245"/>
      <c r="AQ621" s="276"/>
      <c r="AR621" s="246"/>
      <c r="AS621" s="245"/>
      <c r="AT621" s="276"/>
      <c r="AU621" s="245"/>
      <c r="AV621" s="245"/>
      <c r="AW621" s="287"/>
      <c r="AX621" s="246"/>
      <c r="AY621" s="245"/>
      <c r="AZ621" s="245"/>
      <c r="BA621" s="246"/>
      <c r="BB621" s="245"/>
      <c r="BC621" s="245"/>
      <c r="BD621" s="245"/>
      <c r="BE621" s="245"/>
      <c r="BF621" s="245"/>
      <c r="BG621" s="245"/>
      <c r="BH621" s="245"/>
      <c r="BI621" s="245"/>
      <c r="BJ621" s="245"/>
      <c r="BK621" s="245"/>
      <c r="BL621" s="245"/>
      <c r="BM621" s="245"/>
      <c r="BN621" s="245"/>
      <c r="BO621" s="245"/>
      <c r="BP621" s="245"/>
      <c r="BQ621" s="245"/>
      <c r="BR621" s="245"/>
      <c r="BS621" s="245"/>
      <c r="BT621" s="246"/>
      <c r="BU621" s="245"/>
      <c r="BV621" s="245"/>
      <c r="BW621" s="245"/>
      <c r="BX621" s="245"/>
      <c r="BY621" s="245"/>
      <c r="BZ621" s="282"/>
      <c r="CA621" s="245"/>
      <c r="CB621" s="245"/>
      <c r="CC621" s="245"/>
      <c r="CD621" s="245"/>
      <c r="CE621" s="245"/>
      <c r="CF621" s="245"/>
    </row>
    <row r="622">
      <c r="A622" s="245"/>
      <c r="B622" s="245"/>
      <c r="C622" s="245"/>
      <c r="D622" s="246"/>
      <c r="E622" s="245"/>
      <c r="F622" s="245"/>
      <c r="G622" s="245"/>
      <c r="H622" s="245"/>
      <c r="I622" s="245"/>
      <c r="J622" s="245"/>
      <c r="K622" s="265"/>
      <c r="L622" s="245"/>
      <c r="M622" s="245"/>
      <c r="N622" s="245"/>
      <c r="O622" s="245"/>
      <c r="P622" s="245"/>
      <c r="Q622" s="247"/>
      <c r="R622" s="254"/>
      <c r="S622" s="245"/>
      <c r="T622" s="245"/>
      <c r="U622" s="245"/>
      <c r="V622" s="245"/>
      <c r="W622" s="245"/>
      <c r="X622" s="245"/>
      <c r="Y622" s="249"/>
      <c r="Z622" s="276"/>
      <c r="AA622" s="245"/>
      <c r="AB622" s="276"/>
      <c r="AC622" s="276"/>
      <c r="AD622" s="246"/>
      <c r="AE622" s="278"/>
      <c r="AF622" s="370"/>
      <c r="AG622" s="371"/>
      <c r="AH622" s="360"/>
      <c r="AI622" s="254"/>
      <c r="AJ622" s="287"/>
      <c r="AK622" s="278"/>
      <c r="AL622" s="246"/>
      <c r="AM622" s="245"/>
      <c r="AN622" s="245"/>
      <c r="AO622" s="274"/>
      <c r="AP622" s="245"/>
      <c r="AQ622" s="276"/>
      <c r="AR622" s="246"/>
      <c r="AS622" s="245"/>
      <c r="AT622" s="276"/>
      <c r="AU622" s="245"/>
      <c r="AV622" s="245"/>
      <c r="AW622" s="287"/>
      <c r="AX622" s="246"/>
      <c r="AY622" s="245"/>
      <c r="AZ622" s="245"/>
      <c r="BA622" s="246"/>
      <c r="BB622" s="245"/>
      <c r="BC622" s="245"/>
      <c r="BD622" s="245"/>
      <c r="BE622" s="245"/>
      <c r="BF622" s="245"/>
      <c r="BG622" s="245"/>
      <c r="BH622" s="245"/>
      <c r="BI622" s="245"/>
      <c r="BJ622" s="245"/>
      <c r="BK622" s="245"/>
      <c r="BL622" s="245"/>
      <c r="BM622" s="245"/>
      <c r="BN622" s="245"/>
      <c r="BO622" s="245"/>
      <c r="BP622" s="245"/>
      <c r="BQ622" s="245"/>
      <c r="BR622" s="245"/>
      <c r="BS622" s="245"/>
      <c r="BT622" s="246"/>
      <c r="BU622" s="245"/>
      <c r="BV622" s="245"/>
      <c r="BW622" s="245"/>
      <c r="BX622" s="245"/>
      <c r="BY622" s="245"/>
      <c r="BZ622" s="282"/>
      <c r="CA622" s="245"/>
      <c r="CB622" s="245"/>
      <c r="CC622" s="245"/>
      <c r="CD622" s="245"/>
      <c r="CE622" s="245"/>
      <c r="CF622" s="245"/>
    </row>
    <row r="623">
      <c r="A623" s="245"/>
      <c r="B623" s="245"/>
      <c r="C623" s="245"/>
      <c r="D623" s="246"/>
      <c r="E623" s="245"/>
      <c r="F623" s="245"/>
      <c r="G623" s="245"/>
      <c r="H623" s="245"/>
      <c r="I623" s="245"/>
      <c r="J623" s="245"/>
      <c r="K623" s="265"/>
      <c r="L623" s="245"/>
      <c r="M623" s="245"/>
      <c r="N623" s="245"/>
      <c r="O623" s="245"/>
      <c r="P623" s="245"/>
      <c r="Q623" s="247"/>
      <c r="R623" s="254"/>
      <c r="S623" s="245"/>
      <c r="T623" s="245"/>
      <c r="U623" s="245"/>
      <c r="V623" s="245"/>
      <c r="W623" s="245"/>
      <c r="X623" s="245"/>
      <c r="Y623" s="249"/>
      <c r="Z623" s="276"/>
      <c r="AA623" s="245"/>
      <c r="AB623" s="276"/>
      <c r="AC623" s="276"/>
      <c r="AD623" s="246"/>
      <c r="AE623" s="278"/>
      <c r="AF623" s="370"/>
      <c r="AG623" s="371"/>
      <c r="AH623" s="362"/>
      <c r="AI623" s="254"/>
      <c r="AJ623" s="287"/>
      <c r="AK623" s="278"/>
      <c r="AL623" s="246"/>
      <c r="AM623" s="245"/>
      <c r="AN623" s="245"/>
      <c r="AO623" s="274"/>
      <c r="AP623" s="245"/>
      <c r="AQ623" s="276"/>
      <c r="AR623" s="246"/>
      <c r="AS623" s="245"/>
      <c r="AT623" s="276"/>
      <c r="AU623" s="245"/>
      <c r="AV623" s="245"/>
      <c r="AW623" s="287"/>
      <c r="AX623" s="246"/>
      <c r="AY623" s="245"/>
      <c r="AZ623" s="245"/>
      <c r="BA623" s="246"/>
      <c r="BB623" s="245"/>
      <c r="BC623" s="245"/>
      <c r="BD623" s="245"/>
      <c r="BE623" s="245"/>
      <c r="BF623" s="245"/>
      <c r="BG623" s="245"/>
      <c r="BH623" s="245"/>
      <c r="BI623" s="245"/>
      <c r="BJ623" s="245"/>
      <c r="BK623" s="245"/>
      <c r="BL623" s="245"/>
      <c r="BM623" s="245"/>
      <c r="BN623" s="245"/>
      <c r="BO623" s="245"/>
      <c r="BP623" s="245"/>
      <c r="BQ623" s="245"/>
      <c r="BR623" s="245"/>
      <c r="BS623" s="245"/>
      <c r="BT623" s="246"/>
      <c r="BU623" s="245"/>
      <c r="BV623" s="245"/>
      <c r="BW623" s="245"/>
      <c r="BX623" s="245"/>
      <c r="BY623" s="245"/>
      <c r="BZ623" s="282"/>
      <c r="CA623" s="245"/>
      <c r="CB623" s="245"/>
      <c r="CC623" s="245"/>
      <c r="CD623" s="245"/>
      <c r="CE623" s="245"/>
      <c r="CF623" s="245"/>
    </row>
    <row r="624">
      <c r="A624" s="245"/>
      <c r="B624" s="245"/>
      <c r="C624" s="245"/>
      <c r="D624" s="246"/>
      <c r="E624" s="245"/>
      <c r="F624" s="245"/>
      <c r="G624" s="245"/>
      <c r="H624" s="245"/>
      <c r="I624" s="245"/>
      <c r="J624" s="245"/>
      <c r="K624" s="265"/>
      <c r="L624" s="245"/>
      <c r="M624" s="245"/>
      <c r="N624" s="245"/>
      <c r="O624" s="245"/>
      <c r="P624" s="245"/>
      <c r="Q624" s="247"/>
      <c r="R624" s="254"/>
      <c r="S624" s="245"/>
      <c r="T624" s="245"/>
      <c r="U624" s="245"/>
      <c r="V624" s="245"/>
      <c r="W624" s="245"/>
      <c r="X624" s="245"/>
      <c r="Y624" s="249"/>
      <c r="Z624" s="276"/>
      <c r="AA624" s="245"/>
      <c r="AB624" s="276"/>
      <c r="AC624" s="276"/>
      <c r="AD624" s="246"/>
      <c r="AE624" s="278"/>
      <c r="AF624" s="370"/>
      <c r="AG624" s="371"/>
      <c r="AH624" s="327"/>
      <c r="AI624" s="254"/>
      <c r="AJ624" s="287"/>
      <c r="AK624" s="278"/>
      <c r="AL624" s="246"/>
      <c r="AM624" s="245"/>
      <c r="AN624" s="245"/>
      <c r="AO624" s="274"/>
      <c r="AP624" s="245"/>
      <c r="AQ624" s="276"/>
      <c r="AR624" s="246"/>
      <c r="AS624" s="245"/>
      <c r="AT624" s="276"/>
      <c r="AU624" s="245"/>
      <c r="AV624" s="245"/>
      <c r="AW624" s="287"/>
      <c r="AX624" s="246"/>
      <c r="AY624" s="245"/>
      <c r="AZ624" s="245"/>
      <c r="BA624" s="246"/>
      <c r="BB624" s="245"/>
      <c r="BC624" s="245"/>
      <c r="BD624" s="245"/>
      <c r="BE624" s="245"/>
      <c r="BF624" s="245"/>
      <c r="BG624" s="245"/>
      <c r="BH624" s="245"/>
      <c r="BI624" s="245"/>
      <c r="BJ624" s="245"/>
      <c r="BK624" s="245"/>
      <c r="BL624" s="245"/>
      <c r="BM624" s="245"/>
      <c r="BN624" s="245"/>
      <c r="BO624" s="245"/>
      <c r="BP624" s="245"/>
      <c r="BQ624" s="245"/>
      <c r="BR624" s="245"/>
      <c r="BS624" s="245"/>
      <c r="BT624" s="246"/>
      <c r="BU624" s="245"/>
      <c r="BV624" s="245"/>
      <c r="BW624" s="245"/>
      <c r="BX624" s="245"/>
      <c r="BY624" s="245"/>
      <c r="BZ624" s="282"/>
      <c r="CA624" s="245"/>
      <c r="CB624" s="245"/>
      <c r="CC624" s="245"/>
      <c r="CD624" s="245"/>
      <c r="CE624" s="245"/>
      <c r="CF624" s="245"/>
    </row>
    <row r="625">
      <c r="A625" s="245"/>
      <c r="B625" s="245"/>
      <c r="C625" s="245"/>
      <c r="D625" s="246"/>
      <c r="E625" s="245"/>
      <c r="F625" s="245"/>
      <c r="G625" s="245"/>
      <c r="H625" s="245"/>
      <c r="I625" s="245"/>
      <c r="J625" s="245"/>
      <c r="K625" s="265"/>
      <c r="L625" s="245"/>
      <c r="M625" s="245"/>
      <c r="N625" s="245"/>
      <c r="O625" s="245"/>
      <c r="P625" s="245"/>
      <c r="Q625" s="247"/>
      <c r="R625" s="254"/>
      <c r="S625" s="245"/>
      <c r="T625" s="245"/>
      <c r="U625" s="245"/>
      <c r="V625" s="245"/>
      <c r="W625" s="245"/>
      <c r="X625" s="245"/>
      <c r="Y625" s="249"/>
      <c r="Z625" s="276"/>
      <c r="AA625" s="245"/>
      <c r="AB625" s="276"/>
      <c r="AC625" s="276"/>
      <c r="AD625" s="246"/>
      <c r="AE625" s="278"/>
      <c r="AF625" s="370"/>
      <c r="AG625" s="371"/>
      <c r="AH625" s="309"/>
      <c r="AI625" s="254"/>
      <c r="AJ625" s="287"/>
      <c r="AK625" s="278"/>
      <c r="AL625" s="246"/>
      <c r="AM625" s="245"/>
      <c r="AN625" s="245"/>
      <c r="AO625" s="274"/>
      <c r="AP625" s="245"/>
      <c r="AQ625" s="276"/>
      <c r="AR625" s="246"/>
      <c r="AS625" s="245"/>
      <c r="AT625" s="276"/>
      <c r="AU625" s="245"/>
      <c r="AV625" s="245"/>
      <c r="AW625" s="287"/>
      <c r="AX625" s="246"/>
      <c r="AY625" s="245"/>
      <c r="AZ625" s="245"/>
      <c r="BA625" s="246"/>
      <c r="BB625" s="245"/>
      <c r="BC625" s="245"/>
      <c r="BD625" s="245"/>
      <c r="BE625" s="245"/>
      <c r="BF625" s="245"/>
      <c r="BG625" s="245"/>
      <c r="BH625" s="245"/>
      <c r="BI625" s="245"/>
      <c r="BJ625" s="245"/>
      <c r="BK625" s="245"/>
      <c r="BL625" s="245"/>
      <c r="BM625" s="245"/>
      <c r="BN625" s="245"/>
      <c r="BO625" s="245"/>
      <c r="BP625" s="245"/>
      <c r="BQ625" s="245"/>
      <c r="BR625" s="245"/>
      <c r="BS625" s="245"/>
      <c r="BT625" s="246"/>
      <c r="BU625" s="245"/>
      <c r="BV625" s="245"/>
      <c r="BW625" s="245"/>
      <c r="BX625" s="245"/>
      <c r="BY625" s="245"/>
      <c r="BZ625" s="282"/>
      <c r="CA625" s="245"/>
      <c r="CB625" s="245"/>
      <c r="CC625" s="245"/>
      <c r="CD625" s="245"/>
      <c r="CE625" s="245"/>
      <c r="CF625" s="245"/>
    </row>
    <row r="626">
      <c r="A626" s="245"/>
      <c r="B626" s="245"/>
      <c r="C626" s="245"/>
      <c r="D626" s="246"/>
      <c r="E626" s="245"/>
      <c r="F626" s="245"/>
      <c r="G626" s="245"/>
      <c r="H626" s="245"/>
      <c r="I626" s="245"/>
      <c r="J626" s="245"/>
      <c r="K626" s="265"/>
      <c r="L626" s="245"/>
      <c r="M626" s="245"/>
      <c r="N626" s="245"/>
      <c r="O626" s="245"/>
      <c r="P626" s="245"/>
      <c r="Q626" s="247"/>
      <c r="R626" s="254"/>
      <c r="S626" s="245"/>
      <c r="T626" s="245"/>
      <c r="U626" s="245"/>
      <c r="V626" s="245"/>
      <c r="W626" s="245"/>
      <c r="X626" s="245"/>
      <c r="Y626" s="249"/>
      <c r="Z626" s="276"/>
      <c r="AA626" s="245"/>
      <c r="AB626" s="276"/>
      <c r="AC626" s="276"/>
      <c r="AD626" s="246"/>
      <c r="AE626" s="278"/>
      <c r="AF626" s="370"/>
      <c r="AG626" s="371"/>
      <c r="AH626" s="365"/>
      <c r="AI626" s="254"/>
      <c r="AJ626" s="287"/>
      <c r="AK626" s="278"/>
      <c r="AL626" s="246"/>
      <c r="AM626" s="245"/>
      <c r="AN626" s="245"/>
      <c r="AO626" s="274"/>
      <c r="AP626" s="245"/>
      <c r="AQ626" s="245"/>
      <c r="AR626" s="246"/>
      <c r="AS626" s="245"/>
      <c r="AT626" s="276"/>
      <c r="AU626" s="245"/>
      <c r="AV626" s="245"/>
      <c r="AW626" s="245"/>
      <c r="AX626" s="246"/>
      <c r="AY626" s="245"/>
      <c r="AZ626" s="245"/>
      <c r="BA626" s="246"/>
      <c r="BB626" s="245"/>
      <c r="BC626" s="245"/>
      <c r="BD626" s="245"/>
      <c r="BE626" s="245"/>
      <c r="BF626" s="245"/>
      <c r="BG626" s="245"/>
      <c r="BH626" s="245"/>
      <c r="BI626" s="245"/>
      <c r="BJ626" s="245"/>
      <c r="BK626" s="245"/>
      <c r="BL626" s="245"/>
      <c r="BM626" s="245"/>
      <c r="BN626" s="245"/>
      <c r="BO626" s="245"/>
      <c r="BP626" s="245"/>
      <c r="BQ626" s="245"/>
      <c r="BR626" s="245"/>
      <c r="BS626" s="245"/>
      <c r="BT626" s="246"/>
      <c r="BU626" s="245"/>
      <c r="BV626" s="245"/>
      <c r="BW626" s="245"/>
      <c r="BX626" s="245"/>
      <c r="BY626" s="245"/>
      <c r="BZ626" s="282"/>
      <c r="CA626" s="245"/>
      <c r="CB626" s="245"/>
      <c r="CC626" s="245"/>
      <c r="CD626" s="245"/>
      <c r="CE626" s="245"/>
      <c r="CF626" s="245"/>
    </row>
    <row r="627">
      <c r="A627" s="245"/>
      <c r="B627" s="245"/>
      <c r="C627" s="245"/>
      <c r="D627" s="246"/>
      <c r="E627" s="245"/>
      <c r="F627" s="245"/>
      <c r="G627" s="245"/>
      <c r="H627" s="245"/>
      <c r="I627" s="245"/>
      <c r="J627" s="245"/>
      <c r="K627" s="265"/>
      <c r="L627" s="245"/>
      <c r="M627" s="245"/>
      <c r="N627" s="245"/>
      <c r="O627" s="245"/>
      <c r="P627" s="245"/>
      <c r="Q627" s="247"/>
      <c r="R627" s="254"/>
      <c r="S627" s="245"/>
      <c r="T627" s="245"/>
      <c r="U627" s="245"/>
      <c r="V627" s="245"/>
      <c r="W627" s="245"/>
      <c r="X627" s="245"/>
      <c r="Y627" s="249"/>
      <c r="Z627" s="276"/>
      <c r="AA627" s="245"/>
      <c r="AB627" s="276"/>
      <c r="AC627" s="276"/>
      <c r="AD627" s="246"/>
      <c r="AE627" s="278"/>
      <c r="AF627" s="370"/>
      <c r="AG627" s="371"/>
      <c r="AH627" s="327"/>
      <c r="AI627" s="254"/>
      <c r="AJ627" s="287"/>
      <c r="AK627" s="278"/>
      <c r="AL627" s="246"/>
      <c r="AM627" s="245"/>
      <c r="AN627" s="245"/>
      <c r="AO627" s="274"/>
      <c r="AP627" s="245"/>
      <c r="AQ627" s="276"/>
      <c r="AR627" s="246"/>
      <c r="AS627" s="245"/>
      <c r="AT627" s="276"/>
      <c r="AU627" s="245"/>
      <c r="AV627" s="245"/>
      <c r="AW627" s="287"/>
      <c r="AX627" s="246"/>
      <c r="AY627" s="245"/>
      <c r="AZ627" s="245"/>
      <c r="BA627" s="246"/>
      <c r="BB627" s="245"/>
      <c r="BC627" s="245"/>
      <c r="BD627" s="245"/>
      <c r="BE627" s="245"/>
      <c r="BF627" s="245"/>
      <c r="BG627" s="245"/>
      <c r="BH627" s="245"/>
      <c r="BI627" s="245"/>
      <c r="BJ627" s="245"/>
      <c r="BK627" s="245"/>
      <c r="BL627" s="245"/>
      <c r="BM627" s="245"/>
      <c r="BN627" s="245"/>
      <c r="BO627" s="245"/>
      <c r="BP627" s="245"/>
      <c r="BQ627" s="245"/>
      <c r="BR627" s="245"/>
      <c r="BS627" s="245"/>
      <c r="BT627" s="246"/>
      <c r="BU627" s="245"/>
      <c r="BV627" s="245"/>
      <c r="BW627" s="245"/>
      <c r="BX627" s="245"/>
      <c r="BY627" s="245"/>
      <c r="BZ627" s="282"/>
      <c r="CA627" s="245"/>
      <c r="CB627" s="245"/>
      <c r="CC627" s="245"/>
      <c r="CD627" s="245"/>
      <c r="CE627" s="245"/>
      <c r="CF627" s="245"/>
    </row>
    <row r="628">
      <c r="A628" s="245"/>
      <c r="B628" s="245"/>
      <c r="C628" s="245"/>
      <c r="D628" s="246"/>
      <c r="E628" s="245"/>
      <c r="F628" s="245"/>
      <c r="G628" s="245"/>
      <c r="H628" s="245"/>
      <c r="I628" s="245"/>
      <c r="J628" s="245"/>
      <c r="K628" s="265"/>
      <c r="L628" s="245"/>
      <c r="M628" s="245"/>
      <c r="N628" s="245"/>
      <c r="O628" s="245"/>
      <c r="P628" s="245"/>
      <c r="Q628" s="247"/>
      <c r="R628" s="254"/>
      <c r="S628" s="245"/>
      <c r="T628" s="245"/>
      <c r="U628" s="245"/>
      <c r="V628" s="245"/>
      <c r="W628" s="245"/>
      <c r="X628" s="245"/>
      <c r="Y628" s="249"/>
      <c r="Z628" s="276"/>
      <c r="AA628" s="245"/>
      <c r="AB628" s="276"/>
      <c r="AC628" s="276"/>
      <c r="AD628" s="246"/>
      <c r="AE628" s="278"/>
      <c r="AF628" s="370"/>
      <c r="AG628" s="371"/>
      <c r="AH628" s="327"/>
      <c r="AI628" s="254"/>
      <c r="AJ628" s="287"/>
      <c r="AK628" s="278"/>
      <c r="AL628" s="246"/>
      <c r="AM628" s="245"/>
      <c r="AN628" s="245"/>
      <c r="AO628" s="274"/>
      <c r="AP628" s="245"/>
      <c r="AQ628" s="276"/>
      <c r="AR628" s="246"/>
      <c r="AS628" s="245"/>
      <c r="AT628" s="276"/>
      <c r="AU628" s="245"/>
      <c r="AV628" s="245"/>
      <c r="AW628" s="287"/>
      <c r="AX628" s="246"/>
      <c r="AY628" s="245"/>
      <c r="AZ628" s="245"/>
      <c r="BA628" s="246"/>
      <c r="BB628" s="245"/>
      <c r="BC628" s="245"/>
      <c r="BD628" s="245"/>
      <c r="BE628" s="245"/>
      <c r="BF628" s="245"/>
      <c r="BG628" s="245"/>
      <c r="BH628" s="245"/>
      <c r="BI628" s="245"/>
      <c r="BJ628" s="245"/>
      <c r="BK628" s="245"/>
      <c r="BL628" s="245"/>
      <c r="BM628" s="245"/>
      <c r="BN628" s="245"/>
      <c r="BO628" s="245"/>
      <c r="BP628" s="245"/>
      <c r="BQ628" s="245"/>
      <c r="BR628" s="245"/>
      <c r="BS628" s="245"/>
      <c r="BT628" s="246"/>
      <c r="BU628" s="245"/>
      <c r="BV628" s="245"/>
      <c r="BW628" s="245"/>
      <c r="BX628" s="245"/>
      <c r="BY628" s="245"/>
      <c r="BZ628" s="282"/>
      <c r="CA628" s="245"/>
      <c r="CB628" s="245"/>
      <c r="CC628" s="245"/>
      <c r="CD628" s="245"/>
      <c r="CE628" s="245"/>
      <c r="CF628" s="245"/>
    </row>
    <row r="629">
      <c r="A629" s="245"/>
      <c r="B629" s="245"/>
      <c r="C629" s="245"/>
      <c r="D629" s="246"/>
      <c r="E629" s="245"/>
      <c r="F629" s="245"/>
      <c r="G629" s="245"/>
      <c r="H629" s="245"/>
      <c r="I629" s="245"/>
      <c r="J629" s="245"/>
      <c r="K629" s="265"/>
      <c r="L629" s="245"/>
      <c r="M629" s="245"/>
      <c r="N629" s="245"/>
      <c r="O629" s="245"/>
      <c r="P629" s="245"/>
      <c r="Q629" s="247"/>
      <c r="R629" s="254"/>
      <c r="S629" s="245"/>
      <c r="T629" s="245"/>
      <c r="U629" s="245"/>
      <c r="V629" s="245"/>
      <c r="W629" s="245"/>
      <c r="X629" s="245"/>
      <c r="Y629" s="249"/>
      <c r="Z629" s="276"/>
      <c r="AA629" s="245"/>
      <c r="AB629" s="276"/>
      <c r="AC629" s="276"/>
      <c r="AD629" s="246"/>
      <c r="AE629" s="278"/>
      <c r="AF629" s="370"/>
      <c r="AG629" s="371"/>
      <c r="AH629" s="287"/>
      <c r="AI629" s="254"/>
      <c r="AJ629" s="287"/>
      <c r="AK629" s="278"/>
      <c r="AL629" s="246"/>
      <c r="AM629" s="245"/>
      <c r="AN629" s="245"/>
      <c r="AO629" s="274"/>
      <c r="AP629" s="245"/>
      <c r="AQ629" s="276"/>
      <c r="AR629" s="246"/>
      <c r="AS629" s="245"/>
      <c r="AT629" s="276"/>
      <c r="AU629" s="245"/>
      <c r="AV629" s="245"/>
      <c r="AW629" s="276"/>
      <c r="AX629" s="246"/>
      <c r="AY629" s="245"/>
      <c r="AZ629" s="245"/>
      <c r="BA629" s="246"/>
      <c r="BB629" s="245"/>
      <c r="BC629" s="245"/>
      <c r="BD629" s="245"/>
      <c r="BE629" s="245"/>
      <c r="BF629" s="245"/>
      <c r="BG629" s="245"/>
      <c r="BH629" s="245"/>
      <c r="BI629" s="245"/>
      <c r="BJ629" s="245"/>
      <c r="BK629" s="245"/>
      <c r="BL629" s="245"/>
      <c r="BM629" s="245"/>
      <c r="BN629" s="245"/>
      <c r="BO629" s="245"/>
      <c r="BP629" s="245"/>
      <c r="BQ629" s="245"/>
      <c r="BR629" s="245"/>
      <c r="BS629" s="245"/>
      <c r="BT629" s="246"/>
      <c r="BU629" s="245"/>
      <c r="BV629" s="245"/>
      <c r="BW629" s="245"/>
      <c r="BX629" s="245"/>
      <c r="BY629" s="245"/>
      <c r="BZ629" s="282"/>
      <c r="CA629" s="245"/>
      <c r="CB629" s="245"/>
      <c r="CC629" s="245"/>
      <c r="CD629" s="245"/>
      <c r="CE629" s="245"/>
      <c r="CF629" s="245"/>
    </row>
    <row r="630">
      <c r="A630" s="245"/>
      <c r="B630" s="245"/>
      <c r="C630" s="245"/>
      <c r="D630" s="246"/>
      <c r="E630" s="245"/>
      <c r="F630" s="245"/>
      <c r="G630" s="245"/>
      <c r="H630" s="245"/>
      <c r="I630" s="245"/>
      <c r="J630" s="245"/>
      <c r="K630" s="265"/>
      <c r="L630" s="245"/>
      <c r="M630" s="245"/>
      <c r="N630" s="245"/>
      <c r="O630" s="245"/>
      <c r="P630" s="245"/>
      <c r="Q630" s="247"/>
      <c r="R630" s="254"/>
      <c r="S630" s="245"/>
      <c r="T630" s="245"/>
      <c r="U630" s="245"/>
      <c r="V630" s="245"/>
      <c r="W630" s="245"/>
      <c r="X630" s="245"/>
      <c r="Y630" s="249"/>
      <c r="Z630" s="276"/>
      <c r="AA630" s="245"/>
      <c r="AB630" s="276"/>
      <c r="AC630" s="276"/>
      <c r="AD630" s="246"/>
      <c r="AE630" s="278"/>
      <c r="AF630" s="370"/>
      <c r="AG630" s="371"/>
      <c r="AH630" s="313"/>
      <c r="AI630" s="254"/>
      <c r="AJ630" s="287"/>
      <c r="AK630" s="278"/>
      <c r="AL630" s="246"/>
      <c r="AM630" s="245"/>
      <c r="AN630" s="245"/>
      <c r="AO630" s="274"/>
      <c r="AP630" s="245"/>
      <c r="AQ630" s="276"/>
      <c r="AR630" s="246"/>
      <c r="AS630" s="245"/>
      <c r="AT630" s="276"/>
      <c r="AU630" s="245"/>
      <c r="AV630" s="245"/>
      <c r="AW630" s="287"/>
      <c r="AX630" s="246"/>
      <c r="AY630" s="245"/>
      <c r="AZ630" s="245"/>
      <c r="BA630" s="246"/>
      <c r="BB630" s="245"/>
      <c r="BC630" s="245"/>
      <c r="BD630" s="245"/>
      <c r="BE630" s="245"/>
      <c r="BF630" s="245"/>
      <c r="BG630" s="245"/>
      <c r="BH630" s="245"/>
      <c r="BI630" s="245"/>
      <c r="BJ630" s="245"/>
      <c r="BK630" s="245"/>
      <c r="BL630" s="245"/>
      <c r="BM630" s="245"/>
      <c r="BN630" s="245"/>
      <c r="BO630" s="245"/>
      <c r="BP630" s="245"/>
      <c r="BQ630" s="245"/>
      <c r="BR630" s="245"/>
      <c r="BS630" s="245"/>
      <c r="BT630" s="246"/>
      <c r="BU630" s="245"/>
      <c r="BV630" s="245"/>
      <c r="BW630" s="245"/>
      <c r="BX630" s="245"/>
      <c r="BY630" s="245"/>
      <c r="BZ630" s="282"/>
      <c r="CA630" s="245"/>
      <c r="CB630" s="245"/>
      <c r="CC630" s="245"/>
      <c r="CD630" s="245"/>
      <c r="CE630" s="245"/>
      <c r="CF630" s="245"/>
    </row>
    <row r="631">
      <c r="A631" s="245"/>
      <c r="B631" s="245"/>
      <c r="C631" s="245"/>
      <c r="D631" s="246"/>
      <c r="E631" s="245"/>
      <c r="F631" s="245"/>
      <c r="G631" s="245"/>
      <c r="H631" s="245"/>
      <c r="I631" s="245"/>
      <c r="J631" s="245"/>
      <c r="K631" s="265"/>
      <c r="L631" s="245"/>
      <c r="M631" s="245"/>
      <c r="N631" s="245"/>
      <c r="O631" s="245"/>
      <c r="P631" s="245"/>
      <c r="Q631" s="247"/>
      <c r="R631" s="254"/>
      <c r="S631" s="245"/>
      <c r="T631" s="245"/>
      <c r="U631" s="245"/>
      <c r="V631" s="245"/>
      <c r="W631" s="245"/>
      <c r="X631" s="245"/>
      <c r="Y631" s="249"/>
      <c r="Z631" s="276"/>
      <c r="AA631" s="245"/>
      <c r="AB631" s="276"/>
      <c r="AC631" s="276"/>
      <c r="AD631" s="246"/>
      <c r="AE631" s="278"/>
      <c r="AF631" s="370"/>
      <c r="AG631" s="371"/>
      <c r="AH631" s="291"/>
      <c r="AI631" s="254"/>
      <c r="AJ631" s="287"/>
      <c r="AK631" s="278"/>
      <c r="AL631" s="246"/>
      <c r="AM631" s="245"/>
      <c r="AN631" s="245"/>
      <c r="AO631" s="274"/>
      <c r="AP631" s="245"/>
      <c r="AQ631" s="276"/>
      <c r="AR631" s="246"/>
      <c r="AS631" s="245"/>
      <c r="AT631" s="276"/>
      <c r="AU631" s="245"/>
      <c r="AV631" s="245"/>
      <c r="AW631" s="287"/>
      <c r="AX631" s="246"/>
      <c r="AY631" s="245"/>
      <c r="AZ631" s="245"/>
      <c r="BA631" s="246"/>
      <c r="BB631" s="245"/>
      <c r="BC631" s="245"/>
      <c r="BD631" s="245"/>
      <c r="BE631" s="245"/>
      <c r="BF631" s="245"/>
      <c r="BG631" s="245"/>
      <c r="BH631" s="245"/>
      <c r="BI631" s="245"/>
      <c r="BJ631" s="245"/>
      <c r="BK631" s="245"/>
      <c r="BL631" s="245"/>
      <c r="BM631" s="245"/>
      <c r="BN631" s="245"/>
      <c r="BO631" s="245"/>
      <c r="BP631" s="245"/>
      <c r="BQ631" s="245"/>
      <c r="BR631" s="245"/>
      <c r="BS631" s="245"/>
      <c r="BT631" s="246"/>
      <c r="BU631" s="245"/>
      <c r="BV631" s="245"/>
      <c r="BW631" s="245"/>
      <c r="BX631" s="245"/>
      <c r="BY631" s="245"/>
      <c r="BZ631" s="282"/>
      <c r="CA631" s="245"/>
      <c r="CB631" s="245"/>
      <c r="CC631" s="245"/>
      <c r="CD631" s="245"/>
      <c r="CE631" s="245"/>
      <c r="CF631" s="245"/>
    </row>
    <row r="632">
      <c r="A632" s="245"/>
      <c r="B632" s="245"/>
      <c r="C632" s="245"/>
      <c r="D632" s="246"/>
      <c r="E632" s="245"/>
      <c r="F632" s="245"/>
      <c r="G632" s="245"/>
      <c r="H632" s="245"/>
      <c r="I632" s="245"/>
      <c r="J632" s="245"/>
      <c r="K632" s="265"/>
      <c r="L632" s="245"/>
      <c r="M632" s="245"/>
      <c r="N632" s="245"/>
      <c r="O632" s="245"/>
      <c r="P632" s="245"/>
      <c r="Q632" s="247"/>
      <c r="R632" s="254"/>
      <c r="S632" s="245"/>
      <c r="T632" s="245"/>
      <c r="U632" s="245"/>
      <c r="V632" s="245"/>
      <c r="W632" s="245"/>
      <c r="X632" s="245"/>
      <c r="Y632" s="249"/>
      <c r="Z632" s="276"/>
      <c r="AA632" s="245"/>
      <c r="AB632" s="276"/>
      <c r="AC632" s="276"/>
      <c r="AD632" s="246"/>
      <c r="AE632" s="278"/>
      <c r="AF632" s="370"/>
      <c r="AG632" s="371"/>
      <c r="AH632" s="291"/>
      <c r="AI632" s="254"/>
      <c r="AJ632" s="287"/>
      <c r="AK632" s="278"/>
      <c r="AL632" s="246"/>
      <c r="AM632" s="245"/>
      <c r="AN632" s="245"/>
      <c r="AO632" s="274"/>
      <c r="AP632" s="245"/>
      <c r="AQ632" s="245"/>
      <c r="AR632" s="246"/>
      <c r="AS632" s="245"/>
      <c r="AT632" s="276"/>
      <c r="AU632" s="245"/>
      <c r="AV632" s="245"/>
      <c r="AW632" s="287"/>
      <c r="AX632" s="246"/>
      <c r="AY632" s="245"/>
      <c r="AZ632" s="245"/>
      <c r="BA632" s="246"/>
      <c r="BB632" s="245"/>
      <c r="BC632" s="245"/>
      <c r="BD632" s="245"/>
      <c r="BE632" s="245"/>
      <c r="BF632" s="245"/>
      <c r="BG632" s="245"/>
      <c r="BH632" s="245"/>
      <c r="BI632" s="245"/>
      <c r="BJ632" s="245"/>
      <c r="BK632" s="245"/>
      <c r="BL632" s="245"/>
      <c r="BM632" s="245"/>
      <c r="BN632" s="245"/>
      <c r="BO632" s="245"/>
      <c r="BP632" s="245"/>
      <c r="BQ632" s="245"/>
      <c r="BR632" s="245"/>
      <c r="BS632" s="245"/>
      <c r="BT632" s="246"/>
      <c r="BU632" s="245"/>
      <c r="BV632" s="245"/>
      <c r="BW632" s="245"/>
      <c r="BX632" s="245"/>
      <c r="BY632" s="245"/>
      <c r="BZ632" s="282"/>
      <c r="CA632" s="245"/>
      <c r="CB632" s="245"/>
      <c r="CC632" s="245"/>
      <c r="CD632" s="245"/>
      <c r="CE632" s="245"/>
      <c r="CF632" s="245"/>
    </row>
    <row r="633">
      <c r="A633" s="245"/>
      <c r="B633" s="245"/>
      <c r="C633" s="245"/>
      <c r="D633" s="246"/>
      <c r="E633" s="245"/>
      <c r="F633" s="245"/>
      <c r="G633" s="245"/>
      <c r="H633" s="245"/>
      <c r="I633" s="245"/>
      <c r="J633" s="245"/>
      <c r="K633" s="265"/>
      <c r="L633" s="245"/>
      <c r="M633" s="245"/>
      <c r="N633" s="245"/>
      <c r="O633" s="245"/>
      <c r="P633" s="245"/>
      <c r="Q633" s="247"/>
      <c r="R633" s="254"/>
      <c r="S633" s="245"/>
      <c r="T633" s="245"/>
      <c r="U633" s="245"/>
      <c r="V633" s="245"/>
      <c r="W633" s="245"/>
      <c r="X633" s="245"/>
      <c r="Y633" s="249"/>
      <c r="Z633" s="276"/>
      <c r="AA633" s="245"/>
      <c r="AB633" s="276"/>
      <c r="AC633" s="276"/>
      <c r="AD633" s="246"/>
      <c r="AE633" s="278"/>
      <c r="AF633" s="370"/>
      <c r="AG633" s="371"/>
      <c r="AH633" s="309"/>
      <c r="AI633" s="254"/>
      <c r="AJ633" s="287"/>
      <c r="AK633" s="278"/>
      <c r="AL633" s="246"/>
      <c r="AM633" s="245"/>
      <c r="AN633" s="245"/>
      <c r="AO633" s="274"/>
      <c r="AP633" s="245"/>
      <c r="AQ633" s="245"/>
      <c r="AR633" s="246"/>
      <c r="AS633" s="245"/>
      <c r="AT633" s="276"/>
      <c r="AU633" s="245"/>
      <c r="AV633" s="245"/>
      <c r="AW633" s="287"/>
      <c r="AX633" s="246"/>
      <c r="AY633" s="245"/>
      <c r="AZ633" s="245"/>
      <c r="BA633" s="246"/>
      <c r="BB633" s="245"/>
      <c r="BC633" s="245"/>
      <c r="BD633" s="245"/>
      <c r="BE633" s="245"/>
      <c r="BF633" s="245"/>
      <c r="BG633" s="245"/>
      <c r="BH633" s="245"/>
      <c r="BI633" s="245"/>
      <c r="BJ633" s="245"/>
      <c r="BK633" s="245"/>
      <c r="BL633" s="245"/>
      <c r="BM633" s="245"/>
      <c r="BN633" s="245"/>
      <c r="BO633" s="245"/>
      <c r="BP633" s="245"/>
      <c r="BQ633" s="245"/>
      <c r="BR633" s="245"/>
      <c r="BS633" s="245"/>
      <c r="BT633" s="246"/>
      <c r="BU633" s="245"/>
      <c r="BV633" s="245"/>
      <c r="BW633" s="245"/>
      <c r="BX633" s="245"/>
      <c r="BY633" s="245"/>
      <c r="BZ633" s="282"/>
      <c r="CA633" s="245"/>
      <c r="CB633" s="245"/>
      <c r="CC633" s="245"/>
      <c r="CD633" s="245"/>
      <c r="CE633" s="245"/>
      <c r="CF633" s="245"/>
    </row>
    <row r="634">
      <c r="A634" s="245"/>
      <c r="B634" s="245"/>
      <c r="C634" s="245"/>
      <c r="D634" s="246"/>
      <c r="E634" s="245"/>
      <c r="F634" s="245"/>
      <c r="G634" s="245"/>
      <c r="H634" s="245"/>
      <c r="I634" s="245"/>
      <c r="J634" s="245"/>
      <c r="K634" s="265"/>
      <c r="L634" s="245"/>
      <c r="M634" s="245"/>
      <c r="N634" s="245"/>
      <c r="O634" s="245"/>
      <c r="P634" s="245"/>
      <c r="Q634" s="247"/>
      <c r="R634" s="254"/>
      <c r="S634" s="245"/>
      <c r="T634" s="245"/>
      <c r="U634" s="245"/>
      <c r="V634" s="245"/>
      <c r="W634" s="245"/>
      <c r="X634" s="245"/>
      <c r="Y634" s="249"/>
      <c r="Z634" s="276"/>
      <c r="AA634" s="245"/>
      <c r="AB634" s="276"/>
      <c r="AC634" s="276"/>
      <c r="AD634" s="246"/>
      <c r="AE634" s="278"/>
      <c r="AF634" s="370"/>
      <c r="AG634" s="371"/>
      <c r="AH634" s="360"/>
      <c r="AI634" s="254"/>
      <c r="AJ634" s="287"/>
      <c r="AK634" s="278"/>
      <c r="AL634" s="246"/>
      <c r="AM634" s="245"/>
      <c r="AN634" s="245"/>
      <c r="AO634" s="274"/>
      <c r="AP634" s="245"/>
      <c r="AQ634" s="245"/>
      <c r="AR634" s="246"/>
      <c r="AS634" s="245"/>
      <c r="AT634" s="276"/>
      <c r="AU634" s="245"/>
      <c r="AV634" s="245"/>
      <c r="AW634" s="287"/>
      <c r="AX634" s="246"/>
      <c r="AY634" s="245"/>
      <c r="AZ634" s="245"/>
      <c r="BA634" s="246"/>
      <c r="BB634" s="245"/>
      <c r="BC634" s="245"/>
      <c r="BD634" s="245"/>
      <c r="BE634" s="245"/>
      <c r="BF634" s="245"/>
      <c r="BG634" s="245"/>
      <c r="BH634" s="245"/>
      <c r="BI634" s="245"/>
      <c r="BJ634" s="245"/>
      <c r="BK634" s="245"/>
      <c r="BL634" s="245"/>
      <c r="BM634" s="245"/>
      <c r="BN634" s="245"/>
      <c r="BO634" s="245"/>
      <c r="BP634" s="245"/>
      <c r="BQ634" s="245"/>
      <c r="BR634" s="245"/>
      <c r="BS634" s="245"/>
      <c r="BT634" s="246"/>
      <c r="BU634" s="245"/>
      <c r="BV634" s="245"/>
      <c r="BW634" s="245"/>
      <c r="BX634" s="245"/>
      <c r="BY634" s="245"/>
      <c r="BZ634" s="282"/>
      <c r="CA634" s="245"/>
      <c r="CB634" s="245"/>
      <c r="CC634" s="245"/>
      <c r="CD634" s="245"/>
      <c r="CE634" s="245"/>
      <c r="CF634" s="245"/>
    </row>
    <row r="635">
      <c r="A635" s="245"/>
      <c r="B635" s="245"/>
      <c r="C635" s="245"/>
      <c r="D635" s="246"/>
      <c r="E635" s="245"/>
      <c r="F635" s="245"/>
      <c r="G635" s="245"/>
      <c r="H635" s="245"/>
      <c r="I635" s="245"/>
      <c r="J635" s="245"/>
      <c r="K635" s="265"/>
      <c r="L635" s="245"/>
      <c r="M635" s="245"/>
      <c r="N635" s="245"/>
      <c r="O635" s="245"/>
      <c r="P635" s="245"/>
      <c r="Q635" s="247"/>
      <c r="R635" s="254"/>
      <c r="S635" s="245"/>
      <c r="T635" s="245"/>
      <c r="U635" s="245"/>
      <c r="V635" s="245"/>
      <c r="W635" s="245"/>
      <c r="X635" s="245"/>
      <c r="Y635" s="249"/>
      <c r="Z635" s="276"/>
      <c r="AA635" s="245"/>
      <c r="AB635" s="276"/>
      <c r="AC635" s="276"/>
      <c r="AD635" s="246"/>
      <c r="AE635" s="278"/>
      <c r="AF635" s="370"/>
      <c r="AG635" s="371"/>
      <c r="AH635" s="276"/>
      <c r="AI635" s="254"/>
      <c r="AJ635" s="287"/>
      <c r="AK635" s="278"/>
      <c r="AL635" s="246"/>
      <c r="AM635" s="245"/>
      <c r="AN635" s="245"/>
      <c r="AO635" s="274"/>
      <c r="AP635" s="245"/>
      <c r="AQ635" s="245"/>
      <c r="AR635" s="246"/>
      <c r="AS635" s="245"/>
      <c r="AT635" s="276"/>
      <c r="AU635" s="245"/>
      <c r="AV635" s="245"/>
      <c r="AW635" s="245"/>
      <c r="AX635" s="246"/>
      <c r="AY635" s="245"/>
      <c r="AZ635" s="245"/>
      <c r="BA635" s="246"/>
      <c r="BB635" s="245"/>
      <c r="BC635" s="245"/>
      <c r="BD635" s="245"/>
      <c r="BE635" s="245"/>
      <c r="BF635" s="245"/>
      <c r="BG635" s="245"/>
      <c r="BH635" s="245"/>
      <c r="BI635" s="245"/>
      <c r="BJ635" s="245"/>
      <c r="BK635" s="245"/>
      <c r="BL635" s="245"/>
      <c r="BM635" s="245"/>
      <c r="BN635" s="245"/>
      <c r="BO635" s="245"/>
      <c r="BP635" s="245"/>
      <c r="BQ635" s="245"/>
      <c r="BR635" s="245"/>
      <c r="BS635" s="245"/>
      <c r="BT635" s="246"/>
      <c r="BU635" s="245"/>
      <c r="BV635" s="245"/>
      <c r="BW635" s="245"/>
      <c r="BX635" s="245"/>
      <c r="BY635" s="245"/>
      <c r="BZ635" s="282"/>
      <c r="CA635" s="245"/>
      <c r="CB635" s="245"/>
      <c r="CC635" s="245"/>
      <c r="CD635" s="245"/>
      <c r="CE635" s="245"/>
      <c r="CF635" s="245"/>
    </row>
    <row r="636">
      <c r="A636" s="245"/>
      <c r="B636" s="245"/>
      <c r="C636" s="245"/>
      <c r="D636" s="246"/>
      <c r="E636" s="245"/>
      <c r="F636" s="245"/>
      <c r="G636" s="245"/>
      <c r="H636" s="245"/>
      <c r="I636" s="245"/>
      <c r="J636" s="245"/>
      <c r="K636" s="265"/>
      <c r="L636" s="245"/>
      <c r="M636" s="245"/>
      <c r="N636" s="245"/>
      <c r="O636" s="245"/>
      <c r="P636" s="245"/>
      <c r="Q636" s="247"/>
      <c r="R636" s="254"/>
      <c r="S636" s="245"/>
      <c r="T636" s="245"/>
      <c r="U636" s="245"/>
      <c r="V636" s="245"/>
      <c r="W636" s="245"/>
      <c r="X636" s="245"/>
      <c r="Y636" s="249"/>
      <c r="Z636" s="276"/>
      <c r="AA636" s="245"/>
      <c r="AB636" s="276"/>
      <c r="AC636" s="276"/>
      <c r="AD636" s="246"/>
      <c r="AE636" s="278"/>
      <c r="AF636" s="370"/>
      <c r="AG636" s="371"/>
      <c r="AH636" s="286"/>
      <c r="AI636" s="254"/>
      <c r="AJ636" s="287"/>
      <c r="AK636" s="278"/>
      <c r="AL636" s="246"/>
      <c r="AM636" s="245"/>
      <c r="AN636" s="245"/>
      <c r="AO636" s="274"/>
      <c r="AP636" s="245"/>
      <c r="AQ636" s="245"/>
      <c r="AR636" s="246"/>
      <c r="AS636" s="245"/>
      <c r="AT636" s="276"/>
      <c r="AU636" s="245"/>
      <c r="AV636" s="245"/>
      <c r="AW636" s="327"/>
      <c r="AX636" s="246"/>
      <c r="AY636" s="245"/>
      <c r="AZ636" s="245"/>
      <c r="BA636" s="246"/>
      <c r="BB636" s="245"/>
      <c r="BC636" s="245"/>
      <c r="BD636" s="245"/>
      <c r="BE636" s="245"/>
      <c r="BF636" s="245"/>
      <c r="BG636" s="245"/>
      <c r="BH636" s="245"/>
      <c r="BI636" s="245"/>
      <c r="BJ636" s="245"/>
      <c r="BK636" s="245"/>
      <c r="BL636" s="245"/>
      <c r="BM636" s="245"/>
      <c r="BN636" s="245"/>
      <c r="BO636" s="245"/>
      <c r="BP636" s="245"/>
      <c r="BQ636" s="245"/>
      <c r="BR636" s="245"/>
      <c r="BS636" s="245"/>
      <c r="BT636" s="246"/>
      <c r="BU636" s="245"/>
      <c r="BV636" s="245"/>
      <c r="BW636" s="245"/>
      <c r="BX636" s="245"/>
      <c r="BY636" s="245"/>
      <c r="BZ636" s="282"/>
      <c r="CA636" s="245"/>
      <c r="CB636" s="245"/>
      <c r="CC636" s="245"/>
      <c r="CD636" s="245"/>
      <c r="CE636" s="245"/>
      <c r="CF636" s="245"/>
    </row>
    <row r="637">
      <c r="A637" s="245"/>
      <c r="B637" s="245"/>
      <c r="C637" s="245"/>
      <c r="D637" s="246"/>
      <c r="E637" s="245"/>
      <c r="F637" s="245"/>
      <c r="G637" s="245"/>
      <c r="H637" s="245"/>
      <c r="I637" s="245"/>
      <c r="J637" s="245"/>
      <c r="K637" s="265"/>
      <c r="L637" s="245"/>
      <c r="M637" s="245"/>
      <c r="N637" s="245"/>
      <c r="O637" s="245"/>
      <c r="P637" s="245"/>
      <c r="Q637" s="247"/>
      <c r="R637" s="254"/>
      <c r="S637" s="245"/>
      <c r="T637" s="245"/>
      <c r="U637" s="245"/>
      <c r="V637" s="245"/>
      <c r="W637" s="245"/>
      <c r="X637" s="245"/>
      <c r="Y637" s="249"/>
      <c r="Z637" s="276"/>
      <c r="AA637" s="245"/>
      <c r="AB637" s="276"/>
      <c r="AC637" s="276"/>
      <c r="AD637" s="246"/>
      <c r="AE637" s="278"/>
      <c r="AF637" s="370"/>
      <c r="AG637" s="371"/>
      <c r="AH637" s="287"/>
      <c r="AI637" s="254"/>
      <c r="AJ637" s="287"/>
      <c r="AK637" s="278"/>
      <c r="AL637" s="246"/>
      <c r="AM637" s="245"/>
      <c r="AN637" s="245"/>
      <c r="AO637" s="274"/>
      <c r="AP637" s="245"/>
      <c r="AQ637" s="245"/>
      <c r="AR637" s="246"/>
      <c r="AS637" s="245"/>
      <c r="AT637" s="276"/>
      <c r="AU637" s="245"/>
      <c r="AV637" s="245"/>
      <c r="AW637" s="287"/>
      <c r="AX637" s="246"/>
      <c r="AY637" s="245"/>
      <c r="AZ637" s="245"/>
      <c r="BA637" s="246"/>
      <c r="BB637" s="245"/>
      <c r="BC637" s="245"/>
      <c r="BD637" s="245"/>
      <c r="BE637" s="245"/>
      <c r="BF637" s="245"/>
      <c r="BG637" s="245"/>
      <c r="BH637" s="245"/>
      <c r="BI637" s="245"/>
      <c r="BJ637" s="245"/>
      <c r="BK637" s="245"/>
      <c r="BL637" s="245"/>
      <c r="BM637" s="245"/>
      <c r="BN637" s="245"/>
      <c r="BO637" s="245"/>
      <c r="BP637" s="245"/>
      <c r="BQ637" s="245"/>
      <c r="BR637" s="245"/>
      <c r="BS637" s="245"/>
      <c r="BT637" s="246"/>
      <c r="BU637" s="245"/>
      <c r="BV637" s="245"/>
      <c r="BW637" s="245"/>
      <c r="BX637" s="245"/>
      <c r="BY637" s="245"/>
      <c r="BZ637" s="282"/>
      <c r="CA637" s="245"/>
      <c r="CB637" s="245"/>
      <c r="CC637" s="245"/>
      <c r="CD637" s="245"/>
      <c r="CE637" s="245"/>
      <c r="CF637" s="245"/>
    </row>
    <row r="638">
      <c r="A638" s="245"/>
      <c r="B638" s="245"/>
      <c r="C638" s="245"/>
      <c r="D638" s="246"/>
      <c r="E638" s="245"/>
      <c r="F638" s="245"/>
      <c r="G638" s="245"/>
      <c r="H638" s="245"/>
      <c r="I638" s="245"/>
      <c r="J638" s="245"/>
      <c r="K638" s="265"/>
      <c r="L638" s="245"/>
      <c r="M638" s="245"/>
      <c r="N638" s="245"/>
      <c r="O638" s="245"/>
      <c r="P638" s="245"/>
      <c r="Q638" s="247"/>
      <c r="R638" s="254"/>
      <c r="S638" s="245"/>
      <c r="T638" s="245"/>
      <c r="U638" s="245"/>
      <c r="V638" s="245"/>
      <c r="W638" s="245"/>
      <c r="X638" s="245"/>
      <c r="Y638" s="249"/>
      <c r="Z638" s="276"/>
      <c r="AA638" s="245"/>
      <c r="AB638" s="276"/>
      <c r="AC638" s="276"/>
      <c r="AD638" s="246"/>
      <c r="AE638" s="278"/>
      <c r="AF638" s="370"/>
      <c r="AG638" s="371"/>
      <c r="AH638" s="276"/>
      <c r="AI638" s="245"/>
      <c r="AJ638" s="287"/>
      <c r="AK638" s="278"/>
      <c r="AL638" s="246"/>
      <c r="AM638" s="245"/>
      <c r="AN638" s="245"/>
      <c r="AO638" s="274"/>
      <c r="AP638" s="245"/>
      <c r="AQ638" s="245"/>
      <c r="AR638" s="246"/>
      <c r="AS638" s="245"/>
      <c r="AT638" s="245"/>
      <c r="AU638" s="245"/>
      <c r="AV638" s="245"/>
      <c r="AW638" s="327"/>
      <c r="AX638" s="246"/>
      <c r="AY638" s="245"/>
      <c r="AZ638" s="245"/>
      <c r="BA638" s="246"/>
      <c r="BB638" s="245"/>
      <c r="BC638" s="245"/>
      <c r="BD638" s="245"/>
      <c r="BE638" s="245"/>
      <c r="BF638" s="245"/>
      <c r="BG638" s="245"/>
      <c r="BH638" s="245"/>
      <c r="BI638" s="245"/>
      <c r="BJ638" s="245"/>
      <c r="BK638" s="245"/>
      <c r="BL638" s="245"/>
      <c r="BM638" s="245"/>
      <c r="BN638" s="245"/>
      <c r="BO638" s="245"/>
      <c r="BP638" s="245"/>
      <c r="BQ638" s="245"/>
      <c r="BR638" s="245"/>
      <c r="BS638" s="245"/>
      <c r="BT638" s="246"/>
      <c r="BU638" s="245"/>
      <c r="BV638" s="245"/>
      <c r="BW638" s="245"/>
      <c r="BX638" s="245"/>
      <c r="BY638" s="245"/>
      <c r="BZ638" s="282"/>
      <c r="CA638" s="245"/>
      <c r="CB638" s="245"/>
      <c r="CC638" s="245"/>
      <c r="CD638" s="245"/>
      <c r="CE638" s="245"/>
      <c r="CF638" s="245"/>
    </row>
    <row r="639">
      <c r="A639" s="245"/>
      <c r="B639" s="245"/>
      <c r="C639" s="245"/>
      <c r="D639" s="246"/>
      <c r="E639" s="245"/>
      <c r="F639" s="245"/>
      <c r="G639" s="245"/>
      <c r="H639" s="245"/>
      <c r="I639" s="245"/>
      <c r="J639" s="245"/>
      <c r="K639" s="265"/>
      <c r="L639" s="245"/>
      <c r="M639" s="245"/>
      <c r="N639" s="245"/>
      <c r="O639" s="245"/>
      <c r="P639" s="245"/>
      <c r="Q639" s="247"/>
      <c r="R639" s="254"/>
      <c r="S639" s="245"/>
      <c r="T639" s="245"/>
      <c r="U639" s="245"/>
      <c r="V639" s="245"/>
      <c r="W639" s="245"/>
      <c r="X639" s="245"/>
      <c r="Y639" s="249"/>
      <c r="Z639" s="276"/>
      <c r="AA639" s="245"/>
      <c r="AB639" s="276"/>
      <c r="AC639" s="276"/>
      <c r="AD639" s="246"/>
      <c r="AE639" s="278"/>
      <c r="AF639" s="370"/>
      <c r="AG639" s="371"/>
      <c r="AH639" s="276"/>
      <c r="AI639" s="245"/>
      <c r="AJ639" s="287"/>
      <c r="AK639" s="278"/>
      <c r="AL639" s="246"/>
      <c r="AM639" s="245"/>
      <c r="AN639" s="245"/>
      <c r="AO639" s="274"/>
      <c r="AP639" s="245"/>
      <c r="AQ639" s="245"/>
      <c r="AR639" s="246"/>
      <c r="AS639" s="245"/>
      <c r="AT639" s="245"/>
      <c r="AU639" s="245"/>
      <c r="AV639" s="245"/>
      <c r="AW639" s="245"/>
      <c r="AX639" s="246"/>
      <c r="AY639" s="245"/>
      <c r="AZ639" s="245"/>
      <c r="BA639" s="246"/>
      <c r="BB639" s="245"/>
      <c r="BC639" s="245"/>
      <c r="BD639" s="245"/>
      <c r="BE639" s="245"/>
      <c r="BF639" s="245"/>
      <c r="BG639" s="245"/>
      <c r="BH639" s="245"/>
      <c r="BI639" s="245"/>
      <c r="BJ639" s="245"/>
      <c r="BK639" s="245"/>
      <c r="BL639" s="245"/>
      <c r="BM639" s="245"/>
      <c r="BN639" s="245"/>
      <c r="BO639" s="245"/>
      <c r="BP639" s="245"/>
      <c r="BQ639" s="245"/>
      <c r="BR639" s="245"/>
      <c r="BS639" s="245"/>
      <c r="BT639" s="246"/>
      <c r="BU639" s="245"/>
      <c r="BV639" s="245"/>
      <c r="BW639" s="245"/>
      <c r="BX639" s="245"/>
      <c r="BY639" s="245"/>
      <c r="BZ639" s="282"/>
      <c r="CA639" s="245"/>
      <c r="CB639" s="245"/>
      <c r="CC639" s="245"/>
      <c r="CD639" s="245"/>
      <c r="CE639" s="245"/>
      <c r="CF639" s="245"/>
    </row>
    <row r="640">
      <c r="A640" s="245"/>
      <c r="B640" s="245"/>
      <c r="C640" s="245"/>
      <c r="D640" s="246"/>
      <c r="E640" s="245"/>
      <c r="F640" s="245"/>
      <c r="G640" s="245"/>
      <c r="H640" s="245"/>
      <c r="I640" s="245"/>
      <c r="J640" s="245"/>
      <c r="K640" s="265"/>
      <c r="L640" s="245"/>
      <c r="M640" s="245"/>
      <c r="N640" s="245"/>
      <c r="O640" s="245"/>
      <c r="P640" s="245"/>
      <c r="Q640" s="247"/>
      <c r="R640" s="254"/>
      <c r="S640" s="245"/>
      <c r="T640" s="245"/>
      <c r="U640" s="245"/>
      <c r="V640" s="245"/>
      <c r="W640" s="245"/>
      <c r="X640" s="245"/>
      <c r="Y640" s="249"/>
      <c r="Z640" s="276"/>
      <c r="AA640" s="245"/>
      <c r="AB640" s="276"/>
      <c r="AC640" s="276"/>
      <c r="AD640" s="246"/>
      <c r="AE640" s="278"/>
      <c r="AF640" s="370"/>
      <c r="AG640" s="371"/>
      <c r="AH640" s="276"/>
      <c r="AI640" s="245"/>
      <c r="AJ640" s="287"/>
      <c r="AK640" s="278"/>
      <c r="AL640" s="246"/>
      <c r="AM640" s="245"/>
      <c r="AN640" s="245"/>
      <c r="AO640" s="274"/>
      <c r="AP640" s="245"/>
      <c r="AQ640" s="245"/>
      <c r="AR640" s="246"/>
      <c r="AS640" s="245"/>
      <c r="AT640" s="245"/>
      <c r="AU640" s="245"/>
      <c r="AV640" s="245"/>
      <c r="AW640" s="287"/>
      <c r="AX640" s="246"/>
      <c r="AY640" s="245"/>
      <c r="AZ640" s="245"/>
      <c r="BA640" s="246"/>
      <c r="BB640" s="245"/>
      <c r="BC640" s="245"/>
      <c r="BD640" s="245"/>
      <c r="BE640" s="245"/>
      <c r="BF640" s="245"/>
      <c r="BG640" s="245"/>
      <c r="BH640" s="245"/>
      <c r="BI640" s="245"/>
      <c r="BJ640" s="245"/>
      <c r="BK640" s="245"/>
      <c r="BL640" s="245"/>
      <c r="BM640" s="245"/>
      <c r="BN640" s="245"/>
      <c r="BO640" s="245"/>
      <c r="BP640" s="245"/>
      <c r="BQ640" s="245"/>
      <c r="BR640" s="245"/>
      <c r="BS640" s="245"/>
      <c r="BT640" s="246"/>
      <c r="BU640" s="245"/>
      <c r="BV640" s="245"/>
      <c r="BW640" s="245"/>
      <c r="BX640" s="245"/>
      <c r="BY640" s="245"/>
      <c r="BZ640" s="282"/>
      <c r="CA640" s="245"/>
      <c r="CB640" s="245"/>
      <c r="CC640" s="245"/>
      <c r="CD640" s="245"/>
      <c r="CE640" s="245"/>
      <c r="CF640" s="245"/>
    </row>
    <row r="641">
      <c r="A641" s="245"/>
      <c r="B641" s="245"/>
      <c r="C641" s="245"/>
      <c r="D641" s="246"/>
      <c r="E641" s="245"/>
      <c r="F641" s="245"/>
      <c r="G641" s="245"/>
      <c r="H641" s="245"/>
      <c r="I641" s="245"/>
      <c r="J641" s="245"/>
      <c r="K641" s="265"/>
      <c r="L641" s="245"/>
      <c r="M641" s="245"/>
      <c r="N641" s="245"/>
      <c r="O641" s="245"/>
      <c r="P641" s="245"/>
      <c r="Q641" s="247"/>
      <c r="R641" s="254"/>
      <c r="S641" s="245"/>
      <c r="T641" s="245"/>
      <c r="U641" s="245"/>
      <c r="V641" s="245"/>
      <c r="W641" s="245"/>
      <c r="X641" s="245"/>
      <c r="Y641" s="249"/>
      <c r="Z641" s="276"/>
      <c r="AA641" s="245"/>
      <c r="AB641" s="276"/>
      <c r="AC641" s="276"/>
      <c r="AD641" s="246"/>
      <c r="AE641" s="278"/>
      <c r="AF641" s="370"/>
      <c r="AG641" s="371"/>
      <c r="AH641" s="276"/>
      <c r="AI641" s="245"/>
      <c r="AJ641" s="287"/>
      <c r="AK641" s="278"/>
      <c r="AL641" s="246"/>
      <c r="AM641" s="245"/>
      <c r="AN641" s="245"/>
      <c r="AO641" s="274"/>
      <c r="AP641" s="245"/>
      <c r="AQ641" s="245"/>
      <c r="AR641" s="246"/>
      <c r="AS641" s="245"/>
      <c r="AT641" s="245"/>
      <c r="AU641" s="245"/>
      <c r="AV641" s="245"/>
      <c r="AW641" s="287"/>
      <c r="AX641" s="246"/>
      <c r="AY641" s="245"/>
      <c r="AZ641" s="245"/>
      <c r="BA641" s="246"/>
      <c r="BB641" s="245"/>
      <c r="BC641" s="245"/>
      <c r="BD641" s="245"/>
      <c r="BE641" s="245"/>
      <c r="BF641" s="245"/>
      <c r="BG641" s="245"/>
      <c r="BH641" s="245"/>
      <c r="BI641" s="245"/>
      <c r="BJ641" s="245"/>
      <c r="BK641" s="245"/>
      <c r="BL641" s="245"/>
      <c r="BM641" s="245"/>
      <c r="BN641" s="245"/>
      <c r="BO641" s="245"/>
      <c r="BP641" s="245"/>
      <c r="BQ641" s="245"/>
      <c r="BR641" s="245"/>
      <c r="BS641" s="245"/>
      <c r="BT641" s="246"/>
      <c r="BU641" s="245"/>
      <c r="BV641" s="245"/>
      <c r="BW641" s="245"/>
      <c r="BX641" s="245"/>
      <c r="BY641" s="245"/>
      <c r="BZ641" s="282"/>
      <c r="CA641" s="245"/>
      <c r="CB641" s="245"/>
      <c r="CC641" s="245"/>
      <c r="CD641" s="245"/>
      <c r="CE641" s="245"/>
      <c r="CF641" s="245"/>
    </row>
    <row r="642">
      <c r="A642" s="245"/>
      <c r="B642" s="245"/>
      <c r="C642" s="245"/>
      <c r="D642" s="246"/>
      <c r="E642" s="245"/>
      <c r="F642" s="245"/>
      <c r="G642" s="245"/>
      <c r="H642" s="245"/>
      <c r="I642" s="245"/>
      <c r="J642" s="245"/>
      <c r="K642" s="265"/>
      <c r="L642" s="245"/>
      <c r="M642" s="245"/>
      <c r="N642" s="245"/>
      <c r="O642" s="245"/>
      <c r="P642" s="245"/>
      <c r="Q642" s="247"/>
      <c r="R642" s="254"/>
      <c r="S642" s="245"/>
      <c r="T642" s="245"/>
      <c r="U642" s="245"/>
      <c r="V642" s="245"/>
      <c r="W642" s="245"/>
      <c r="X642" s="245"/>
      <c r="Y642" s="249"/>
      <c r="Z642" s="276"/>
      <c r="AA642" s="245"/>
      <c r="AB642" s="276"/>
      <c r="AC642" s="276"/>
      <c r="AD642" s="246"/>
      <c r="AE642" s="278"/>
      <c r="AF642" s="370"/>
      <c r="AG642" s="371"/>
      <c r="AH642" s="276"/>
      <c r="AI642" s="245"/>
      <c r="AJ642" s="287"/>
      <c r="AK642" s="278"/>
      <c r="AL642" s="246"/>
      <c r="AM642" s="245"/>
      <c r="AN642" s="245"/>
      <c r="AO642" s="274"/>
      <c r="AP642" s="245"/>
      <c r="AQ642" s="245"/>
      <c r="AR642" s="246"/>
      <c r="AS642" s="245"/>
      <c r="AT642" s="245"/>
      <c r="AU642" s="245"/>
      <c r="AV642" s="245"/>
      <c r="AW642" s="287"/>
      <c r="AX642" s="246"/>
      <c r="AY642" s="245"/>
      <c r="AZ642" s="245"/>
      <c r="BA642" s="246"/>
      <c r="BB642" s="245"/>
      <c r="BC642" s="245"/>
      <c r="BD642" s="245"/>
      <c r="BE642" s="245"/>
      <c r="BF642" s="245"/>
      <c r="BG642" s="245"/>
      <c r="BH642" s="245"/>
      <c r="BI642" s="245"/>
      <c r="BJ642" s="245"/>
      <c r="BK642" s="245"/>
      <c r="BL642" s="245"/>
      <c r="BM642" s="245"/>
      <c r="BN642" s="245"/>
      <c r="BO642" s="245"/>
      <c r="BP642" s="245"/>
      <c r="BQ642" s="245"/>
      <c r="BR642" s="245"/>
      <c r="BS642" s="245"/>
      <c r="BT642" s="246"/>
      <c r="BU642" s="245"/>
      <c r="BV642" s="245"/>
      <c r="BW642" s="245"/>
      <c r="BX642" s="245"/>
      <c r="BY642" s="245"/>
      <c r="BZ642" s="282"/>
      <c r="CA642" s="245"/>
      <c r="CB642" s="245"/>
      <c r="CC642" s="245"/>
      <c r="CD642" s="245"/>
      <c r="CE642" s="245"/>
      <c r="CF642" s="245"/>
    </row>
    <row r="643">
      <c r="A643" s="245"/>
      <c r="B643" s="245"/>
      <c r="C643" s="245"/>
      <c r="D643" s="246"/>
      <c r="E643" s="245"/>
      <c r="F643" s="245"/>
      <c r="G643" s="245"/>
      <c r="H643" s="245"/>
      <c r="I643" s="245"/>
      <c r="J643" s="245"/>
      <c r="K643" s="265"/>
      <c r="L643" s="245"/>
      <c r="M643" s="245"/>
      <c r="N643" s="245"/>
      <c r="O643" s="245"/>
      <c r="P643" s="245"/>
      <c r="Q643" s="247"/>
      <c r="R643" s="254"/>
      <c r="S643" s="245"/>
      <c r="T643" s="245"/>
      <c r="U643" s="245"/>
      <c r="V643" s="245"/>
      <c r="W643" s="245"/>
      <c r="X643" s="245"/>
      <c r="Y643" s="249"/>
      <c r="Z643" s="276"/>
      <c r="AA643" s="245"/>
      <c r="AB643" s="276"/>
      <c r="AC643" s="276"/>
      <c r="AD643" s="246"/>
      <c r="AE643" s="278"/>
      <c r="AF643" s="370"/>
      <c r="AG643" s="371"/>
      <c r="AH643" s="276"/>
      <c r="AI643" s="245"/>
      <c r="AJ643" s="287"/>
      <c r="AK643" s="278"/>
      <c r="AL643" s="246"/>
      <c r="AM643" s="245"/>
      <c r="AN643" s="245"/>
      <c r="AO643" s="274"/>
      <c r="AP643" s="245"/>
      <c r="AQ643" s="245"/>
      <c r="AR643" s="246"/>
      <c r="AS643" s="245"/>
      <c r="AT643" s="245"/>
      <c r="AU643" s="245"/>
      <c r="AV643" s="245"/>
      <c r="AW643" s="287"/>
      <c r="AX643" s="246"/>
      <c r="AY643" s="245"/>
      <c r="AZ643" s="245"/>
      <c r="BA643" s="246"/>
      <c r="BB643" s="245"/>
      <c r="BC643" s="245"/>
      <c r="BD643" s="245"/>
      <c r="BE643" s="245"/>
      <c r="BF643" s="245"/>
      <c r="BG643" s="245"/>
      <c r="BH643" s="245"/>
      <c r="BI643" s="245"/>
      <c r="BJ643" s="245"/>
      <c r="BK643" s="245"/>
      <c r="BL643" s="245"/>
      <c r="BM643" s="245"/>
      <c r="BN643" s="245"/>
      <c r="BO643" s="245"/>
      <c r="BP643" s="245"/>
      <c r="BQ643" s="245"/>
      <c r="BR643" s="245"/>
      <c r="BS643" s="245"/>
      <c r="BT643" s="246"/>
      <c r="BU643" s="245"/>
      <c r="BV643" s="245"/>
      <c r="BW643" s="245"/>
      <c r="BX643" s="245"/>
      <c r="BY643" s="245"/>
      <c r="BZ643" s="282"/>
      <c r="CA643" s="245"/>
      <c r="CB643" s="245"/>
      <c r="CC643" s="245"/>
      <c r="CD643" s="245"/>
      <c r="CE643" s="245"/>
      <c r="CF643" s="245"/>
    </row>
    <row r="644">
      <c r="A644" s="245"/>
      <c r="B644" s="245"/>
      <c r="C644" s="245"/>
      <c r="D644" s="246"/>
      <c r="E644" s="245"/>
      <c r="F644" s="245"/>
      <c r="G644" s="245"/>
      <c r="H644" s="245"/>
      <c r="I644" s="245"/>
      <c r="J644" s="245"/>
      <c r="K644" s="265"/>
      <c r="L644" s="245"/>
      <c r="M644" s="245"/>
      <c r="N644" s="245"/>
      <c r="O644" s="245"/>
      <c r="P644" s="245"/>
      <c r="Q644" s="247"/>
      <c r="R644" s="254"/>
      <c r="S644" s="245"/>
      <c r="T644" s="245"/>
      <c r="U644" s="245"/>
      <c r="V644" s="245"/>
      <c r="W644" s="245"/>
      <c r="X644" s="245"/>
      <c r="Y644" s="249"/>
      <c r="Z644" s="276"/>
      <c r="AA644" s="245"/>
      <c r="AB644" s="276"/>
      <c r="AC644" s="276"/>
      <c r="AD644" s="246"/>
      <c r="AE644" s="278"/>
      <c r="AF644" s="370"/>
      <c r="AG644" s="371"/>
      <c r="AH644" s="276"/>
      <c r="AI644" s="245"/>
      <c r="AJ644" s="287"/>
      <c r="AK644" s="278"/>
      <c r="AL644" s="246"/>
      <c r="AM644" s="245"/>
      <c r="AN644" s="245"/>
      <c r="AO644" s="274"/>
      <c r="AP644" s="245"/>
      <c r="AQ644" s="245"/>
      <c r="AR644" s="246"/>
      <c r="AS644" s="245"/>
      <c r="AT644" s="245"/>
      <c r="AU644" s="245"/>
      <c r="AV644" s="245"/>
      <c r="AW644" s="287"/>
      <c r="AX644" s="246"/>
      <c r="AY644" s="245"/>
      <c r="AZ644" s="245"/>
      <c r="BA644" s="246"/>
      <c r="BB644" s="245"/>
      <c r="BC644" s="245"/>
      <c r="BD644" s="245"/>
      <c r="BE644" s="245"/>
      <c r="BF644" s="245"/>
      <c r="BG644" s="245"/>
      <c r="BH644" s="245"/>
      <c r="BI644" s="245"/>
      <c r="BJ644" s="245"/>
      <c r="BK644" s="245"/>
      <c r="BL644" s="245"/>
      <c r="BM644" s="245"/>
      <c r="BN644" s="245"/>
      <c r="BO644" s="245"/>
      <c r="BP644" s="245"/>
      <c r="BQ644" s="245"/>
      <c r="BR644" s="245"/>
      <c r="BS644" s="245"/>
      <c r="BT644" s="246"/>
      <c r="BU644" s="245"/>
      <c r="BV644" s="245"/>
      <c r="BW644" s="245"/>
      <c r="BX644" s="245"/>
      <c r="BY644" s="245"/>
      <c r="BZ644" s="282"/>
      <c r="CA644" s="245"/>
      <c r="CB644" s="245"/>
      <c r="CC644" s="245"/>
      <c r="CD644" s="245"/>
      <c r="CE644" s="245"/>
      <c r="CF644" s="245"/>
    </row>
    <row r="645">
      <c r="A645" s="245"/>
      <c r="B645" s="245"/>
      <c r="C645" s="245"/>
      <c r="D645" s="246"/>
      <c r="E645" s="245"/>
      <c r="F645" s="245"/>
      <c r="G645" s="245"/>
      <c r="H645" s="245"/>
      <c r="I645" s="245"/>
      <c r="J645" s="245"/>
      <c r="K645" s="265"/>
      <c r="L645" s="245"/>
      <c r="M645" s="245"/>
      <c r="N645" s="245"/>
      <c r="O645" s="245"/>
      <c r="P645" s="245"/>
      <c r="Q645" s="247"/>
      <c r="R645" s="254"/>
      <c r="S645" s="245"/>
      <c r="T645" s="245"/>
      <c r="U645" s="245"/>
      <c r="V645" s="245"/>
      <c r="W645" s="245"/>
      <c r="X645" s="245"/>
      <c r="Y645" s="249"/>
      <c r="Z645" s="276"/>
      <c r="AA645" s="245"/>
      <c r="AB645" s="276"/>
      <c r="AC645" s="276"/>
      <c r="AD645" s="246"/>
      <c r="AE645" s="278"/>
      <c r="AF645" s="370"/>
      <c r="AG645" s="371"/>
      <c r="AH645" s="276"/>
      <c r="AI645" s="245"/>
      <c r="AJ645" s="287"/>
      <c r="AK645" s="278"/>
      <c r="AL645" s="246"/>
      <c r="AM645" s="245"/>
      <c r="AN645" s="245"/>
      <c r="AO645" s="274"/>
      <c r="AP645" s="245"/>
      <c r="AQ645" s="245"/>
      <c r="AR645" s="246"/>
      <c r="AS645" s="245"/>
      <c r="AT645" s="245"/>
      <c r="AU645" s="245"/>
      <c r="AV645" s="245"/>
      <c r="AW645" s="287"/>
      <c r="AX645" s="246"/>
      <c r="AY645" s="245"/>
      <c r="AZ645" s="245"/>
      <c r="BA645" s="246"/>
      <c r="BB645" s="245"/>
      <c r="BC645" s="245"/>
      <c r="BD645" s="245"/>
      <c r="BE645" s="245"/>
      <c r="BF645" s="245"/>
      <c r="BG645" s="245"/>
      <c r="BH645" s="245"/>
      <c r="BI645" s="245"/>
      <c r="BJ645" s="245"/>
      <c r="BK645" s="245"/>
      <c r="BL645" s="245"/>
      <c r="BM645" s="245"/>
      <c r="BN645" s="245"/>
      <c r="BO645" s="245"/>
      <c r="BP645" s="245"/>
      <c r="BQ645" s="245"/>
      <c r="BR645" s="245"/>
      <c r="BS645" s="245"/>
      <c r="BT645" s="246"/>
      <c r="BU645" s="245"/>
      <c r="BV645" s="245"/>
      <c r="BW645" s="245"/>
      <c r="BX645" s="245"/>
      <c r="BY645" s="245"/>
      <c r="BZ645" s="282"/>
      <c r="CA645" s="245"/>
      <c r="CB645" s="245"/>
      <c r="CC645" s="245"/>
      <c r="CD645" s="245"/>
      <c r="CE645" s="245"/>
      <c r="CF645" s="245"/>
    </row>
    <row r="646">
      <c r="A646" s="245"/>
      <c r="B646" s="245"/>
      <c r="C646" s="245"/>
      <c r="D646" s="246"/>
      <c r="E646" s="245"/>
      <c r="F646" s="245"/>
      <c r="G646" s="245"/>
      <c r="H646" s="245"/>
      <c r="I646" s="245"/>
      <c r="J646" s="245"/>
      <c r="K646" s="265"/>
      <c r="L646" s="245"/>
      <c r="M646" s="245"/>
      <c r="N646" s="245"/>
      <c r="O646" s="245"/>
      <c r="P646" s="245"/>
      <c r="Q646" s="247"/>
      <c r="R646" s="254"/>
      <c r="S646" s="245"/>
      <c r="T646" s="245"/>
      <c r="U646" s="245"/>
      <c r="V646" s="245"/>
      <c r="W646" s="245"/>
      <c r="X646" s="245"/>
      <c r="Y646" s="249"/>
      <c r="Z646" s="276"/>
      <c r="AA646" s="245"/>
      <c r="AB646" s="276"/>
      <c r="AC646" s="276"/>
      <c r="AD646" s="246"/>
      <c r="AE646" s="278"/>
      <c r="AF646" s="370"/>
      <c r="AG646" s="371"/>
      <c r="AH646" s="276"/>
      <c r="AI646" s="245"/>
      <c r="AJ646" s="287"/>
      <c r="AK646" s="278"/>
      <c r="AL646" s="246"/>
      <c r="AM646" s="245"/>
      <c r="AN646" s="245"/>
      <c r="AO646" s="274"/>
      <c r="AP646" s="245"/>
      <c r="AQ646" s="245"/>
      <c r="AR646" s="246"/>
      <c r="AS646" s="245"/>
      <c r="AT646" s="245"/>
      <c r="AU646" s="245"/>
      <c r="AV646" s="245"/>
      <c r="AW646" s="287"/>
      <c r="AX646" s="246"/>
      <c r="AY646" s="245"/>
      <c r="AZ646" s="245"/>
      <c r="BA646" s="246"/>
      <c r="BB646" s="245"/>
      <c r="BC646" s="245"/>
      <c r="BD646" s="245"/>
      <c r="BE646" s="245"/>
      <c r="BF646" s="245"/>
      <c r="BG646" s="245"/>
      <c r="BH646" s="245"/>
      <c r="BI646" s="245"/>
      <c r="BJ646" s="245"/>
      <c r="BK646" s="245"/>
      <c r="BL646" s="245"/>
      <c r="BM646" s="245"/>
      <c r="BN646" s="245"/>
      <c r="BO646" s="245"/>
      <c r="BP646" s="245"/>
      <c r="BQ646" s="245"/>
      <c r="BR646" s="245"/>
      <c r="BS646" s="245"/>
      <c r="BT646" s="246"/>
      <c r="BU646" s="245"/>
      <c r="BV646" s="245"/>
      <c r="BW646" s="245"/>
      <c r="BX646" s="245"/>
      <c r="BY646" s="245"/>
      <c r="BZ646" s="282"/>
      <c r="CA646" s="245"/>
      <c r="CB646" s="245"/>
      <c r="CC646" s="245"/>
      <c r="CD646" s="245"/>
      <c r="CE646" s="245"/>
      <c r="CF646" s="245"/>
    </row>
    <row r="647">
      <c r="A647" s="245"/>
      <c r="B647" s="245"/>
      <c r="C647" s="245"/>
      <c r="D647" s="246"/>
      <c r="E647" s="245"/>
      <c r="F647" s="245"/>
      <c r="G647" s="245"/>
      <c r="H647" s="245"/>
      <c r="I647" s="245"/>
      <c r="J647" s="245"/>
      <c r="K647" s="265"/>
      <c r="L647" s="245"/>
      <c r="M647" s="245"/>
      <c r="N647" s="245"/>
      <c r="O647" s="245"/>
      <c r="P647" s="245"/>
      <c r="Q647" s="247"/>
      <c r="R647" s="254"/>
      <c r="S647" s="245"/>
      <c r="T647" s="245"/>
      <c r="U647" s="245"/>
      <c r="V647" s="245"/>
      <c r="W647" s="245"/>
      <c r="X647" s="245"/>
      <c r="Y647" s="249"/>
      <c r="Z647" s="276"/>
      <c r="AA647" s="245"/>
      <c r="AB647" s="276"/>
      <c r="AC647" s="276"/>
      <c r="AD647" s="246"/>
      <c r="AE647" s="278"/>
      <c r="AF647" s="370"/>
      <c r="AG647" s="371"/>
      <c r="AH647" s="276"/>
      <c r="AI647" s="245"/>
      <c r="AJ647" s="287"/>
      <c r="AK647" s="278"/>
      <c r="AL647" s="246"/>
      <c r="AM647" s="245"/>
      <c r="AN647" s="245"/>
      <c r="AO647" s="274"/>
      <c r="AP647" s="245"/>
      <c r="AQ647" s="245"/>
      <c r="AR647" s="246"/>
      <c r="AS647" s="245"/>
      <c r="AT647" s="245"/>
      <c r="AU647" s="245"/>
      <c r="AV647" s="245"/>
      <c r="AW647" s="287"/>
      <c r="AX647" s="246"/>
      <c r="AY647" s="245"/>
      <c r="AZ647" s="245"/>
      <c r="BA647" s="246"/>
      <c r="BB647" s="245"/>
      <c r="BC647" s="245"/>
      <c r="BD647" s="245"/>
      <c r="BE647" s="245"/>
      <c r="BF647" s="245"/>
      <c r="BG647" s="245"/>
      <c r="BH647" s="245"/>
      <c r="BI647" s="245"/>
      <c r="BJ647" s="245"/>
      <c r="BK647" s="245"/>
      <c r="BL647" s="245"/>
      <c r="BM647" s="245"/>
      <c r="BN647" s="245"/>
      <c r="BO647" s="245"/>
      <c r="BP647" s="245"/>
      <c r="BQ647" s="245"/>
      <c r="BR647" s="245"/>
      <c r="BS647" s="245"/>
      <c r="BT647" s="246"/>
      <c r="BU647" s="245"/>
      <c r="BV647" s="245"/>
      <c r="BW647" s="245"/>
      <c r="BX647" s="245"/>
      <c r="BY647" s="245"/>
      <c r="BZ647" s="282"/>
      <c r="CA647" s="245"/>
      <c r="CB647" s="245"/>
      <c r="CC647" s="245"/>
      <c r="CD647" s="245"/>
      <c r="CE647" s="245"/>
      <c r="CF647" s="245"/>
    </row>
    <row r="648">
      <c r="A648" s="245"/>
      <c r="B648" s="245"/>
      <c r="C648" s="245"/>
      <c r="D648" s="246"/>
      <c r="E648" s="245"/>
      <c r="F648" s="245"/>
      <c r="G648" s="245"/>
      <c r="H648" s="245"/>
      <c r="I648" s="245"/>
      <c r="J648" s="245"/>
      <c r="K648" s="265"/>
      <c r="L648" s="245"/>
      <c r="M648" s="245"/>
      <c r="N648" s="245"/>
      <c r="O648" s="245"/>
      <c r="P648" s="245"/>
      <c r="Q648" s="247"/>
      <c r="R648" s="254"/>
      <c r="S648" s="245"/>
      <c r="T648" s="245"/>
      <c r="U648" s="245"/>
      <c r="V648" s="245"/>
      <c r="W648" s="245"/>
      <c r="X648" s="245"/>
      <c r="Y648" s="249"/>
      <c r="Z648" s="276"/>
      <c r="AA648" s="245"/>
      <c r="AB648" s="276"/>
      <c r="AC648" s="276"/>
      <c r="AD648" s="246"/>
      <c r="AE648" s="278"/>
      <c r="AF648" s="370"/>
      <c r="AG648" s="371"/>
      <c r="AH648" s="276"/>
      <c r="AI648" s="245"/>
      <c r="AJ648" s="287"/>
      <c r="AK648" s="278"/>
      <c r="AL648" s="246"/>
      <c r="AM648" s="245"/>
      <c r="AN648" s="245"/>
      <c r="AO648" s="274"/>
      <c r="AP648" s="245"/>
      <c r="AQ648" s="245"/>
      <c r="AR648" s="246"/>
      <c r="AS648" s="245"/>
      <c r="AT648" s="245"/>
      <c r="AU648" s="245"/>
      <c r="AV648" s="245"/>
      <c r="AW648" s="287"/>
      <c r="AX648" s="246"/>
      <c r="AY648" s="245"/>
      <c r="AZ648" s="245"/>
      <c r="BA648" s="246"/>
      <c r="BB648" s="245"/>
      <c r="BC648" s="245"/>
      <c r="BD648" s="245"/>
      <c r="BE648" s="245"/>
      <c r="BF648" s="245"/>
      <c r="BG648" s="245"/>
      <c r="BH648" s="245"/>
      <c r="BI648" s="245"/>
      <c r="BJ648" s="245"/>
      <c r="BK648" s="245"/>
      <c r="BL648" s="245"/>
      <c r="BM648" s="245"/>
      <c r="BN648" s="245"/>
      <c r="BO648" s="245"/>
      <c r="BP648" s="245"/>
      <c r="BQ648" s="245"/>
      <c r="BR648" s="245"/>
      <c r="BS648" s="245"/>
      <c r="BT648" s="246"/>
      <c r="BU648" s="245"/>
      <c r="BV648" s="245"/>
      <c r="BW648" s="245"/>
      <c r="BX648" s="245"/>
      <c r="BY648" s="245"/>
      <c r="BZ648" s="282"/>
      <c r="CA648" s="245"/>
      <c r="CB648" s="245"/>
      <c r="CC648" s="245"/>
      <c r="CD648" s="245"/>
      <c r="CE648" s="245"/>
      <c r="CF648" s="245"/>
    </row>
    <row r="649">
      <c r="A649" s="245"/>
      <c r="B649" s="245"/>
      <c r="C649" s="245"/>
      <c r="D649" s="246"/>
      <c r="E649" s="245"/>
      <c r="F649" s="245"/>
      <c r="G649" s="245"/>
      <c r="H649" s="245"/>
      <c r="I649" s="245"/>
      <c r="J649" s="245"/>
      <c r="K649" s="265"/>
      <c r="L649" s="245"/>
      <c r="M649" s="245"/>
      <c r="N649" s="245"/>
      <c r="O649" s="245"/>
      <c r="P649" s="245"/>
      <c r="Q649" s="247"/>
      <c r="R649" s="254"/>
      <c r="S649" s="245"/>
      <c r="T649" s="245"/>
      <c r="U649" s="245"/>
      <c r="V649" s="245"/>
      <c r="W649" s="245"/>
      <c r="X649" s="245"/>
      <c r="Y649" s="249"/>
      <c r="Z649" s="276"/>
      <c r="AA649" s="245"/>
      <c r="AB649" s="276"/>
      <c r="AC649" s="276"/>
      <c r="AD649" s="246"/>
      <c r="AE649" s="278"/>
      <c r="AF649" s="370"/>
      <c r="AG649" s="371"/>
      <c r="AH649" s="276"/>
      <c r="AI649" s="245"/>
      <c r="AJ649" s="287"/>
      <c r="AK649" s="278"/>
      <c r="AL649" s="246"/>
      <c r="AM649" s="245"/>
      <c r="AN649" s="245"/>
      <c r="AO649" s="274"/>
      <c r="AP649" s="245"/>
      <c r="AQ649" s="245"/>
      <c r="AR649" s="246"/>
      <c r="AS649" s="245"/>
      <c r="AT649" s="245"/>
      <c r="AU649" s="245"/>
      <c r="AV649" s="245"/>
      <c r="AW649" s="287"/>
      <c r="AX649" s="246"/>
      <c r="AY649" s="245"/>
      <c r="AZ649" s="245"/>
      <c r="BA649" s="246"/>
      <c r="BB649" s="245"/>
      <c r="BC649" s="245"/>
      <c r="BD649" s="245"/>
      <c r="BE649" s="245"/>
      <c r="BF649" s="245"/>
      <c r="BG649" s="245"/>
      <c r="BH649" s="245"/>
      <c r="BI649" s="245"/>
      <c r="BJ649" s="245"/>
      <c r="BK649" s="245"/>
      <c r="BL649" s="245"/>
      <c r="BM649" s="245"/>
      <c r="BN649" s="245"/>
      <c r="BO649" s="245"/>
      <c r="BP649" s="245"/>
      <c r="BQ649" s="245"/>
      <c r="BR649" s="245"/>
      <c r="BS649" s="245"/>
      <c r="BT649" s="246"/>
      <c r="BU649" s="245"/>
      <c r="BV649" s="245"/>
      <c r="BW649" s="245"/>
      <c r="BX649" s="245"/>
      <c r="BY649" s="245"/>
      <c r="BZ649" s="282"/>
      <c r="CA649" s="245"/>
      <c r="CB649" s="245"/>
      <c r="CC649" s="245"/>
      <c r="CD649" s="245"/>
      <c r="CE649" s="245"/>
      <c r="CF649" s="245"/>
    </row>
    <row r="650">
      <c r="A650" s="245"/>
      <c r="B650" s="245"/>
      <c r="C650" s="245"/>
      <c r="D650" s="246"/>
      <c r="E650" s="245"/>
      <c r="F650" s="245"/>
      <c r="G650" s="245"/>
      <c r="H650" s="245"/>
      <c r="I650" s="245"/>
      <c r="J650" s="245"/>
      <c r="K650" s="265"/>
      <c r="L650" s="245"/>
      <c r="M650" s="245"/>
      <c r="N650" s="245"/>
      <c r="O650" s="245"/>
      <c r="P650" s="245"/>
      <c r="Q650" s="247"/>
      <c r="R650" s="254"/>
      <c r="S650" s="245"/>
      <c r="T650" s="245"/>
      <c r="U650" s="245"/>
      <c r="V650" s="245"/>
      <c r="W650" s="245"/>
      <c r="X650" s="245"/>
      <c r="Y650" s="249"/>
      <c r="Z650" s="276"/>
      <c r="AA650" s="245"/>
      <c r="AB650" s="276"/>
      <c r="AC650" s="276"/>
      <c r="AD650" s="246"/>
      <c r="AE650" s="278"/>
      <c r="AF650" s="370"/>
      <c r="AG650" s="371"/>
      <c r="AH650" s="276"/>
      <c r="AI650" s="245"/>
      <c r="AJ650" s="287"/>
      <c r="AK650" s="278"/>
      <c r="AL650" s="246"/>
      <c r="AM650" s="245"/>
      <c r="AN650" s="245"/>
      <c r="AO650" s="274"/>
      <c r="AP650" s="245"/>
      <c r="AQ650" s="245"/>
      <c r="AR650" s="246"/>
      <c r="AS650" s="245"/>
      <c r="AT650" s="245"/>
      <c r="AU650" s="245"/>
      <c r="AV650" s="245"/>
      <c r="AW650" s="276"/>
      <c r="AX650" s="246"/>
      <c r="AY650" s="245"/>
      <c r="AZ650" s="245"/>
      <c r="BA650" s="246"/>
      <c r="BB650" s="245"/>
      <c r="BC650" s="245"/>
      <c r="BD650" s="245"/>
      <c r="BE650" s="245"/>
      <c r="BF650" s="245"/>
      <c r="BG650" s="245"/>
      <c r="BH650" s="245"/>
      <c r="BI650" s="245"/>
      <c r="BJ650" s="245"/>
      <c r="BK650" s="245"/>
      <c r="BL650" s="245"/>
      <c r="BM650" s="245"/>
      <c r="BN650" s="245"/>
      <c r="BO650" s="245"/>
      <c r="BP650" s="245"/>
      <c r="BQ650" s="245"/>
      <c r="BR650" s="245"/>
      <c r="BS650" s="245"/>
      <c r="BT650" s="246"/>
      <c r="BU650" s="245"/>
      <c r="BV650" s="245"/>
      <c r="BW650" s="245"/>
      <c r="BX650" s="245"/>
      <c r="BY650" s="245"/>
      <c r="BZ650" s="282"/>
      <c r="CA650" s="245"/>
      <c r="CB650" s="245"/>
      <c r="CC650" s="245"/>
      <c r="CD650" s="245"/>
      <c r="CE650" s="245"/>
      <c r="CF650" s="245"/>
    </row>
    <row r="651">
      <c r="A651" s="245"/>
      <c r="B651" s="245"/>
      <c r="C651" s="245"/>
      <c r="D651" s="246"/>
      <c r="E651" s="245"/>
      <c r="F651" s="245"/>
      <c r="G651" s="245"/>
      <c r="H651" s="245"/>
      <c r="I651" s="245"/>
      <c r="J651" s="245"/>
      <c r="K651" s="265"/>
      <c r="L651" s="245"/>
      <c r="M651" s="245"/>
      <c r="N651" s="245"/>
      <c r="O651" s="245"/>
      <c r="P651" s="245"/>
      <c r="Q651" s="247"/>
      <c r="R651" s="254"/>
      <c r="S651" s="245"/>
      <c r="T651" s="245"/>
      <c r="U651" s="245"/>
      <c r="V651" s="245"/>
      <c r="W651" s="245"/>
      <c r="X651" s="245"/>
      <c r="Y651" s="249"/>
      <c r="Z651" s="276"/>
      <c r="AA651" s="245"/>
      <c r="AB651" s="276"/>
      <c r="AC651" s="276"/>
      <c r="AD651" s="246"/>
      <c r="AE651" s="278"/>
      <c r="AF651" s="370"/>
      <c r="AG651" s="371"/>
      <c r="AH651" s="276"/>
      <c r="AI651" s="245"/>
      <c r="AJ651" s="287"/>
      <c r="AK651" s="278"/>
      <c r="AL651" s="246"/>
      <c r="AM651" s="245"/>
      <c r="AN651" s="245"/>
      <c r="AO651" s="274"/>
      <c r="AP651" s="245"/>
      <c r="AQ651" s="245"/>
      <c r="AR651" s="246"/>
      <c r="AS651" s="245"/>
      <c r="AT651" s="245"/>
      <c r="AU651" s="245"/>
      <c r="AV651" s="245"/>
      <c r="AW651" s="276"/>
      <c r="AX651" s="246"/>
      <c r="AY651" s="245"/>
      <c r="AZ651" s="245"/>
      <c r="BA651" s="246"/>
      <c r="BB651" s="245"/>
      <c r="BC651" s="245"/>
      <c r="BD651" s="245"/>
      <c r="BE651" s="245"/>
      <c r="BF651" s="245"/>
      <c r="BG651" s="245"/>
      <c r="BH651" s="245"/>
      <c r="BI651" s="245"/>
      <c r="BJ651" s="245"/>
      <c r="BK651" s="245"/>
      <c r="BL651" s="245"/>
      <c r="BM651" s="245"/>
      <c r="BN651" s="245"/>
      <c r="BO651" s="245"/>
      <c r="BP651" s="245"/>
      <c r="BQ651" s="245"/>
      <c r="BR651" s="245"/>
      <c r="BS651" s="245"/>
      <c r="BT651" s="246"/>
      <c r="BU651" s="245"/>
      <c r="BV651" s="245"/>
      <c r="BW651" s="245"/>
      <c r="BX651" s="245"/>
      <c r="BY651" s="245"/>
      <c r="BZ651" s="282"/>
      <c r="CA651" s="245"/>
      <c r="CB651" s="245"/>
      <c r="CC651" s="245"/>
      <c r="CD651" s="245"/>
      <c r="CE651" s="245"/>
      <c r="CF651" s="245"/>
    </row>
    <row r="652">
      <c r="A652" s="245"/>
      <c r="B652" s="245"/>
      <c r="C652" s="245"/>
      <c r="D652" s="246"/>
      <c r="E652" s="245"/>
      <c r="F652" s="245"/>
      <c r="G652" s="245"/>
      <c r="H652" s="245"/>
      <c r="I652" s="245"/>
      <c r="J652" s="245"/>
      <c r="K652" s="265"/>
      <c r="L652" s="245"/>
      <c r="M652" s="245"/>
      <c r="N652" s="245"/>
      <c r="O652" s="245"/>
      <c r="P652" s="245"/>
      <c r="Q652" s="247"/>
      <c r="R652" s="254"/>
      <c r="S652" s="245"/>
      <c r="T652" s="245"/>
      <c r="U652" s="245"/>
      <c r="V652" s="245"/>
      <c r="W652" s="245"/>
      <c r="X652" s="245"/>
      <c r="Y652" s="249"/>
      <c r="Z652" s="276"/>
      <c r="AA652" s="245"/>
      <c r="AB652" s="276"/>
      <c r="AC652" s="276"/>
      <c r="AD652" s="246"/>
      <c r="AE652" s="278"/>
      <c r="AF652" s="370"/>
      <c r="AG652" s="371"/>
      <c r="AH652" s="276"/>
      <c r="AI652" s="245"/>
      <c r="AJ652" s="287"/>
      <c r="AK652" s="278"/>
      <c r="AL652" s="246"/>
      <c r="AM652" s="245"/>
      <c r="AN652" s="245"/>
      <c r="AO652" s="274"/>
      <c r="AP652" s="245"/>
      <c r="AQ652" s="245"/>
      <c r="AR652" s="246"/>
      <c r="AS652" s="245"/>
      <c r="AT652" s="245"/>
      <c r="AU652" s="245"/>
      <c r="AV652" s="245"/>
      <c r="AW652" s="245"/>
      <c r="AX652" s="246"/>
      <c r="AY652" s="245"/>
      <c r="AZ652" s="245"/>
      <c r="BA652" s="246"/>
      <c r="BB652" s="245"/>
      <c r="BC652" s="245"/>
      <c r="BD652" s="245"/>
      <c r="BE652" s="245"/>
      <c r="BF652" s="245"/>
      <c r="BG652" s="245"/>
      <c r="BH652" s="245"/>
      <c r="BI652" s="245"/>
      <c r="BJ652" s="245"/>
      <c r="BK652" s="245"/>
      <c r="BL652" s="245"/>
      <c r="BM652" s="245"/>
      <c r="BN652" s="245"/>
      <c r="BO652" s="245"/>
      <c r="BP652" s="245"/>
      <c r="BQ652" s="245"/>
      <c r="BR652" s="245"/>
      <c r="BS652" s="245"/>
      <c r="BT652" s="246"/>
      <c r="BU652" s="245"/>
      <c r="BV652" s="245"/>
      <c r="BW652" s="245"/>
      <c r="BX652" s="245"/>
      <c r="BY652" s="245"/>
      <c r="BZ652" s="282"/>
      <c r="CA652" s="245"/>
      <c r="CB652" s="245"/>
      <c r="CC652" s="245"/>
      <c r="CD652" s="245"/>
      <c r="CE652" s="245"/>
      <c r="CF652" s="245"/>
    </row>
    <row r="653">
      <c r="A653" s="245"/>
      <c r="B653" s="245"/>
      <c r="C653" s="245"/>
      <c r="D653" s="246"/>
      <c r="E653" s="245"/>
      <c r="F653" s="245"/>
      <c r="G653" s="245"/>
      <c r="H653" s="245"/>
      <c r="I653" s="245"/>
      <c r="J653" s="245"/>
      <c r="K653" s="265"/>
      <c r="L653" s="245"/>
      <c r="M653" s="245"/>
      <c r="N653" s="245"/>
      <c r="O653" s="245"/>
      <c r="P653" s="245"/>
      <c r="Q653" s="247"/>
      <c r="R653" s="254"/>
      <c r="S653" s="245"/>
      <c r="T653" s="245"/>
      <c r="U653" s="245"/>
      <c r="V653" s="245"/>
      <c r="W653" s="245"/>
      <c r="X653" s="245"/>
      <c r="Y653" s="249"/>
      <c r="Z653" s="276"/>
      <c r="AA653" s="245"/>
      <c r="AB653" s="276"/>
      <c r="AC653" s="276"/>
      <c r="AD653" s="246"/>
      <c r="AE653" s="278"/>
      <c r="AF653" s="370"/>
      <c r="AG653" s="371"/>
      <c r="AH653" s="276"/>
      <c r="AI653" s="245"/>
      <c r="AJ653" s="287"/>
      <c r="AK653" s="278"/>
      <c r="AL653" s="246"/>
      <c r="AM653" s="245"/>
      <c r="AN653" s="245"/>
      <c r="AO653" s="274"/>
      <c r="AP653" s="245"/>
      <c r="AQ653" s="245"/>
      <c r="AR653" s="246"/>
      <c r="AS653" s="245"/>
      <c r="AT653" s="245"/>
      <c r="AU653" s="245"/>
      <c r="AV653" s="245"/>
      <c r="AW653" s="245"/>
      <c r="AX653" s="246"/>
      <c r="AY653" s="245"/>
      <c r="AZ653" s="245"/>
      <c r="BA653" s="246"/>
      <c r="BB653" s="245"/>
      <c r="BC653" s="245"/>
      <c r="BD653" s="245"/>
      <c r="BE653" s="245"/>
      <c r="BF653" s="245"/>
      <c r="BG653" s="245"/>
      <c r="BH653" s="245"/>
      <c r="BI653" s="245"/>
      <c r="BJ653" s="245"/>
      <c r="BK653" s="245"/>
      <c r="BL653" s="245"/>
      <c r="BM653" s="245"/>
      <c r="BN653" s="245"/>
      <c r="BO653" s="245"/>
      <c r="BP653" s="245"/>
      <c r="BQ653" s="245"/>
      <c r="BR653" s="245"/>
      <c r="BS653" s="245"/>
      <c r="BT653" s="246"/>
      <c r="BU653" s="245"/>
      <c r="BV653" s="245"/>
      <c r="BW653" s="245"/>
      <c r="BX653" s="245"/>
      <c r="BY653" s="245"/>
      <c r="BZ653" s="282"/>
      <c r="CA653" s="245"/>
      <c r="CB653" s="245"/>
      <c r="CC653" s="245"/>
      <c r="CD653" s="245"/>
      <c r="CE653" s="245"/>
      <c r="CF653" s="245"/>
    </row>
    <row r="654">
      <c r="A654" s="245"/>
      <c r="B654" s="245"/>
      <c r="C654" s="245"/>
      <c r="D654" s="246"/>
      <c r="E654" s="245"/>
      <c r="F654" s="245"/>
      <c r="G654" s="245"/>
      <c r="H654" s="245"/>
      <c r="I654" s="245"/>
      <c r="J654" s="245"/>
      <c r="K654" s="265"/>
      <c r="L654" s="245"/>
      <c r="M654" s="245"/>
      <c r="N654" s="245"/>
      <c r="O654" s="245"/>
      <c r="P654" s="245"/>
      <c r="Q654" s="247"/>
      <c r="R654" s="254"/>
      <c r="S654" s="245"/>
      <c r="T654" s="245"/>
      <c r="U654" s="245"/>
      <c r="V654" s="245"/>
      <c r="W654" s="245"/>
      <c r="X654" s="245"/>
      <c r="Y654" s="249"/>
      <c r="Z654" s="276"/>
      <c r="AA654" s="245"/>
      <c r="AB654" s="276"/>
      <c r="AC654" s="276"/>
      <c r="AD654" s="246"/>
      <c r="AE654" s="278"/>
      <c r="AF654" s="370"/>
      <c r="AG654" s="371"/>
      <c r="AH654" s="276"/>
      <c r="AI654" s="245"/>
      <c r="AJ654" s="287"/>
      <c r="AK654" s="278"/>
      <c r="AL654" s="246"/>
      <c r="AM654" s="245"/>
      <c r="AN654" s="245"/>
      <c r="AO654" s="274"/>
      <c r="AP654" s="245"/>
      <c r="AQ654" s="245"/>
      <c r="AR654" s="246"/>
      <c r="AS654" s="245"/>
      <c r="AT654" s="245"/>
      <c r="AU654" s="245"/>
      <c r="AV654" s="245"/>
      <c r="AW654" s="245"/>
      <c r="AX654" s="246"/>
      <c r="AY654" s="245"/>
      <c r="AZ654" s="245"/>
      <c r="BA654" s="246"/>
      <c r="BB654" s="245"/>
      <c r="BC654" s="245"/>
      <c r="BD654" s="245"/>
      <c r="BE654" s="245"/>
      <c r="BF654" s="245"/>
      <c r="BG654" s="245"/>
      <c r="BH654" s="245"/>
      <c r="BI654" s="245"/>
      <c r="BJ654" s="245"/>
      <c r="BK654" s="245"/>
      <c r="BL654" s="245"/>
      <c r="BM654" s="245"/>
      <c r="BN654" s="245"/>
      <c r="BO654" s="245"/>
      <c r="BP654" s="245"/>
      <c r="BQ654" s="245"/>
      <c r="BR654" s="245"/>
      <c r="BS654" s="245"/>
      <c r="BT654" s="246"/>
      <c r="BU654" s="245"/>
      <c r="BV654" s="245"/>
      <c r="BW654" s="245"/>
      <c r="BX654" s="245"/>
      <c r="BY654" s="245"/>
      <c r="BZ654" s="282"/>
      <c r="CA654" s="245"/>
      <c r="CB654" s="245"/>
      <c r="CC654" s="245"/>
      <c r="CD654" s="245"/>
      <c r="CE654" s="245"/>
      <c r="CF654" s="245"/>
    </row>
    <row r="655">
      <c r="A655" s="245"/>
      <c r="B655" s="245"/>
      <c r="C655" s="245"/>
      <c r="D655" s="246"/>
      <c r="E655" s="245"/>
      <c r="F655" s="245"/>
      <c r="G655" s="245"/>
      <c r="H655" s="245"/>
      <c r="I655" s="245"/>
      <c r="J655" s="245"/>
      <c r="K655" s="265"/>
      <c r="L655" s="245"/>
      <c r="M655" s="245"/>
      <c r="N655" s="245"/>
      <c r="O655" s="245"/>
      <c r="P655" s="245"/>
      <c r="Q655" s="247"/>
      <c r="R655" s="254"/>
      <c r="S655" s="245"/>
      <c r="T655" s="245"/>
      <c r="U655" s="245"/>
      <c r="V655" s="245"/>
      <c r="W655" s="245"/>
      <c r="X655" s="245"/>
      <c r="Y655" s="249"/>
      <c r="Z655" s="276"/>
      <c r="AA655" s="245"/>
      <c r="AB655" s="276"/>
      <c r="AC655" s="276"/>
      <c r="AD655" s="246"/>
      <c r="AE655" s="278"/>
      <c r="AF655" s="370"/>
      <c r="AG655" s="371"/>
      <c r="AH655" s="276"/>
      <c r="AI655" s="245"/>
      <c r="AJ655" s="287"/>
      <c r="AK655" s="278"/>
      <c r="AL655" s="246"/>
      <c r="AM655" s="245"/>
      <c r="AN655" s="245"/>
      <c r="AO655" s="274"/>
      <c r="AP655" s="245"/>
      <c r="AQ655" s="245"/>
      <c r="AR655" s="246"/>
      <c r="AS655" s="245"/>
      <c r="AT655" s="245"/>
      <c r="AU655" s="245"/>
      <c r="AV655" s="245"/>
      <c r="AW655" s="245"/>
      <c r="AX655" s="246"/>
      <c r="AY655" s="245"/>
      <c r="AZ655" s="245"/>
      <c r="BA655" s="246"/>
      <c r="BB655" s="245"/>
      <c r="BC655" s="245"/>
      <c r="BD655" s="245"/>
      <c r="BE655" s="245"/>
      <c r="BF655" s="245"/>
      <c r="BG655" s="245"/>
      <c r="BH655" s="245"/>
      <c r="BI655" s="245"/>
      <c r="BJ655" s="245"/>
      <c r="BK655" s="245"/>
      <c r="BL655" s="245"/>
      <c r="BM655" s="245"/>
      <c r="BN655" s="245"/>
      <c r="BO655" s="245"/>
      <c r="BP655" s="245"/>
      <c r="BQ655" s="245"/>
      <c r="BR655" s="245"/>
      <c r="BS655" s="245"/>
      <c r="BT655" s="246"/>
      <c r="BU655" s="245"/>
      <c r="BV655" s="245"/>
      <c r="BW655" s="245"/>
      <c r="BX655" s="245"/>
      <c r="BY655" s="245"/>
      <c r="BZ655" s="282"/>
      <c r="CA655" s="245"/>
      <c r="CB655" s="245"/>
      <c r="CC655" s="245"/>
      <c r="CD655" s="245"/>
      <c r="CE655" s="245"/>
      <c r="CF655" s="245"/>
    </row>
    <row r="656">
      <c r="A656" s="245"/>
      <c r="B656" s="245"/>
      <c r="C656" s="245"/>
      <c r="D656" s="246"/>
      <c r="E656" s="245"/>
      <c r="F656" s="245"/>
      <c r="G656" s="245"/>
      <c r="H656" s="245"/>
      <c r="I656" s="245"/>
      <c r="J656" s="245"/>
      <c r="K656" s="265"/>
      <c r="L656" s="245"/>
      <c r="M656" s="245"/>
      <c r="N656" s="245"/>
      <c r="O656" s="245"/>
      <c r="P656" s="245"/>
      <c r="Q656" s="247"/>
      <c r="R656" s="254"/>
      <c r="S656" s="245"/>
      <c r="T656" s="245"/>
      <c r="U656" s="245"/>
      <c r="V656" s="245"/>
      <c r="W656" s="245"/>
      <c r="X656" s="245"/>
      <c r="Y656" s="249"/>
      <c r="Z656" s="276"/>
      <c r="AA656" s="245"/>
      <c r="AB656" s="276"/>
      <c r="AC656" s="276"/>
      <c r="AD656" s="246"/>
      <c r="AE656" s="278"/>
      <c r="AF656" s="370"/>
      <c r="AG656" s="371"/>
      <c r="AH656" s="276"/>
      <c r="AI656" s="245"/>
      <c r="AJ656" s="287"/>
      <c r="AK656" s="278"/>
      <c r="AL656" s="246"/>
      <c r="AM656" s="245"/>
      <c r="AN656" s="245"/>
      <c r="AO656" s="274"/>
      <c r="AP656" s="245"/>
      <c r="AQ656" s="245"/>
      <c r="AR656" s="246"/>
      <c r="AS656" s="245"/>
      <c r="AT656" s="245"/>
      <c r="AU656" s="245"/>
      <c r="AV656" s="245"/>
      <c r="AW656" s="245"/>
      <c r="AX656" s="246"/>
      <c r="AY656" s="245"/>
      <c r="AZ656" s="245"/>
      <c r="BA656" s="246"/>
      <c r="BB656" s="245"/>
      <c r="BC656" s="245"/>
      <c r="BD656" s="245"/>
      <c r="BE656" s="245"/>
      <c r="BF656" s="245"/>
      <c r="BG656" s="245"/>
      <c r="BH656" s="245"/>
      <c r="BI656" s="245"/>
      <c r="BJ656" s="245"/>
      <c r="BK656" s="245"/>
      <c r="BL656" s="245"/>
      <c r="BM656" s="245"/>
      <c r="BN656" s="245"/>
      <c r="BO656" s="245"/>
      <c r="BP656" s="245"/>
      <c r="BQ656" s="245"/>
      <c r="BR656" s="245"/>
      <c r="BS656" s="245"/>
      <c r="BT656" s="246"/>
      <c r="BU656" s="245"/>
      <c r="BV656" s="245"/>
      <c r="BW656" s="245"/>
      <c r="BX656" s="245"/>
      <c r="BY656" s="245"/>
      <c r="BZ656" s="282"/>
      <c r="CA656" s="245"/>
      <c r="CB656" s="245"/>
      <c r="CC656" s="245"/>
      <c r="CD656" s="245"/>
      <c r="CE656" s="245"/>
      <c r="CF656" s="245"/>
    </row>
    <row r="657">
      <c r="A657" s="245"/>
      <c r="B657" s="245"/>
      <c r="C657" s="245"/>
      <c r="D657" s="246"/>
      <c r="E657" s="245"/>
      <c r="F657" s="245"/>
      <c r="G657" s="245"/>
      <c r="H657" s="245"/>
      <c r="I657" s="245"/>
      <c r="J657" s="245"/>
      <c r="K657" s="265"/>
      <c r="L657" s="245"/>
      <c r="M657" s="245"/>
      <c r="N657" s="245"/>
      <c r="O657" s="245"/>
      <c r="P657" s="245"/>
      <c r="Q657" s="247"/>
      <c r="R657" s="254"/>
      <c r="S657" s="245"/>
      <c r="T657" s="245"/>
      <c r="U657" s="245"/>
      <c r="V657" s="245"/>
      <c r="W657" s="245"/>
      <c r="X657" s="245"/>
      <c r="Y657" s="249"/>
      <c r="Z657" s="276"/>
      <c r="AA657" s="245"/>
      <c r="AB657" s="276"/>
      <c r="AC657" s="276"/>
      <c r="AD657" s="246"/>
      <c r="AE657" s="278"/>
      <c r="AF657" s="370"/>
      <c r="AG657" s="371"/>
      <c r="AH657" s="276"/>
      <c r="AI657" s="245"/>
      <c r="AJ657" s="287"/>
      <c r="AK657" s="278"/>
      <c r="AL657" s="246"/>
      <c r="AM657" s="245"/>
      <c r="AN657" s="245"/>
      <c r="AO657" s="274"/>
      <c r="AP657" s="245"/>
      <c r="AQ657" s="245"/>
      <c r="AR657" s="246"/>
      <c r="AS657" s="245"/>
      <c r="AT657" s="245"/>
      <c r="AU657" s="245"/>
      <c r="AV657" s="245"/>
      <c r="AW657" s="245"/>
      <c r="AX657" s="246"/>
      <c r="AY657" s="245"/>
      <c r="AZ657" s="245"/>
      <c r="BA657" s="246"/>
      <c r="BB657" s="245"/>
      <c r="BC657" s="245"/>
      <c r="BD657" s="245"/>
      <c r="BE657" s="245"/>
      <c r="BF657" s="245"/>
      <c r="BG657" s="245"/>
      <c r="BH657" s="245"/>
      <c r="BI657" s="245"/>
      <c r="BJ657" s="245"/>
      <c r="BK657" s="245"/>
      <c r="BL657" s="245"/>
      <c r="BM657" s="245"/>
      <c r="BN657" s="245"/>
      <c r="BO657" s="245"/>
      <c r="BP657" s="245"/>
      <c r="BQ657" s="245"/>
      <c r="BR657" s="245"/>
      <c r="BS657" s="245"/>
      <c r="BT657" s="246"/>
      <c r="BU657" s="245"/>
      <c r="BV657" s="245"/>
      <c r="BW657" s="245"/>
      <c r="BX657" s="245"/>
      <c r="BY657" s="245"/>
      <c r="BZ657" s="282"/>
      <c r="CA657" s="245"/>
      <c r="CB657" s="245"/>
      <c r="CC657" s="245"/>
      <c r="CD657" s="245"/>
      <c r="CE657" s="245"/>
      <c r="CF657" s="245"/>
    </row>
    <row r="658">
      <c r="A658" s="245"/>
      <c r="B658" s="245"/>
      <c r="C658" s="245"/>
      <c r="D658" s="246"/>
      <c r="E658" s="245"/>
      <c r="F658" s="245"/>
      <c r="G658" s="245"/>
      <c r="H658" s="245"/>
      <c r="I658" s="245"/>
      <c r="J658" s="245"/>
      <c r="K658" s="265"/>
      <c r="L658" s="245"/>
      <c r="M658" s="245"/>
      <c r="N658" s="245"/>
      <c r="O658" s="245"/>
      <c r="P658" s="245"/>
      <c r="Q658" s="247"/>
      <c r="R658" s="254"/>
      <c r="S658" s="245"/>
      <c r="T658" s="245"/>
      <c r="U658" s="245"/>
      <c r="V658" s="245"/>
      <c r="W658" s="245"/>
      <c r="X658" s="245"/>
      <c r="Y658" s="249"/>
      <c r="Z658" s="276"/>
      <c r="AA658" s="245"/>
      <c r="AB658" s="276"/>
      <c r="AC658" s="276"/>
      <c r="AD658" s="246"/>
      <c r="AE658" s="278"/>
      <c r="AF658" s="370"/>
      <c r="AG658" s="371"/>
      <c r="AH658" s="276"/>
      <c r="AI658" s="245"/>
      <c r="AJ658" s="287"/>
      <c r="AK658" s="278"/>
      <c r="AL658" s="246"/>
      <c r="AM658" s="245"/>
      <c r="AN658" s="245"/>
      <c r="AO658" s="274"/>
      <c r="AP658" s="245"/>
      <c r="AQ658" s="245"/>
      <c r="AR658" s="246"/>
      <c r="AS658" s="245"/>
      <c r="AT658" s="245"/>
      <c r="AU658" s="245"/>
      <c r="AV658" s="245"/>
      <c r="AW658" s="245"/>
      <c r="AX658" s="246"/>
      <c r="AY658" s="245"/>
      <c r="AZ658" s="245"/>
      <c r="BA658" s="246"/>
      <c r="BB658" s="245"/>
      <c r="BC658" s="245"/>
      <c r="BD658" s="245"/>
      <c r="BE658" s="245"/>
      <c r="BF658" s="245"/>
      <c r="BG658" s="245"/>
      <c r="BH658" s="245"/>
      <c r="BI658" s="245"/>
      <c r="BJ658" s="245"/>
      <c r="BK658" s="245"/>
      <c r="BL658" s="245"/>
      <c r="BM658" s="245"/>
      <c r="BN658" s="245"/>
      <c r="BO658" s="245"/>
      <c r="BP658" s="245"/>
      <c r="BQ658" s="245"/>
      <c r="BR658" s="245"/>
      <c r="BS658" s="245"/>
      <c r="BT658" s="246"/>
      <c r="BU658" s="245"/>
      <c r="BV658" s="245"/>
      <c r="BW658" s="245"/>
      <c r="BX658" s="245"/>
      <c r="BY658" s="245"/>
      <c r="BZ658" s="282"/>
      <c r="CA658" s="245"/>
      <c r="CB658" s="245"/>
      <c r="CC658" s="245"/>
      <c r="CD658" s="245"/>
      <c r="CE658" s="245"/>
      <c r="CF658" s="245"/>
    </row>
    <row r="659">
      <c r="A659" s="245"/>
      <c r="B659" s="245"/>
      <c r="C659" s="245"/>
      <c r="D659" s="246"/>
      <c r="E659" s="245"/>
      <c r="F659" s="245"/>
      <c r="G659" s="245"/>
      <c r="H659" s="245"/>
      <c r="I659" s="245"/>
      <c r="J659" s="245"/>
      <c r="K659" s="265"/>
      <c r="L659" s="245"/>
      <c r="M659" s="245"/>
      <c r="N659" s="245"/>
      <c r="O659" s="245"/>
      <c r="P659" s="245"/>
      <c r="Q659" s="247"/>
      <c r="R659" s="254"/>
      <c r="S659" s="245"/>
      <c r="T659" s="245"/>
      <c r="U659" s="245"/>
      <c r="V659" s="245"/>
      <c r="W659" s="245"/>
      <c r="X659" s="245"/>
      <c r="Y659" s="249"/>
      <c r="Z659" s="276"/>
      <c r="AA659" s="245"/>
      <c r="AB659" s="276"/>
      <c r="AC659" s="276"/>
      <c r="AD659" s="246"/>
      <c r="AE659" s="278"/>
      <c r="AF659" s="370"/>
      <c r="AG659" s="371"/>
      <c r="AH659" s="276"/>
      <c r="AI659" s="245"/>
      <c r="AJ659" s="287"/>
      <c r="AK659" s="278"/>
      <c r="AL659" s="246"/>
      <c r="AM659" s="245"/>
      <c r="AN659" s="245"/>
      <c r="AO659" s="274"/>
      <c r="AP659" s="245"/>
      <c r="AQ659" s="245"/>
      <c r="AR659" s="246"/>
      <c r="AS659" s="245"/>
      <c r="AT659" s="245"/>
      <c r="AU659" s="245"/>
      <c r="AV659" s="245"/>
      <c r="AW659" s="245"/>
      <c r="AX659" s="246"/>
      <c r="AY659" s="245"/>
      <c r="AZ659" s="245"/>
      <c r="BA659" s="246"/>
      <c r="BB659" s="245"/>
      <c r="BC659" s="245"/>
      <c r="BD659" s="245"/>
      <c r="BE659" s="245"/>
      <c r="BF659" s="245"/>
      <c r="BG659" s="245"/>
      <c r="BH659" s="245"/>
      <c r="BI659" s="245"/>
      <c r="BJ659" s="245"/>
      <c r="BK659" s="245"/>
      <c r="BL659" s="245"/>
      <c r="BM659" s="245"/>
      <c r="BN659" s="245"/>
      <c r="BO659" s="245"/>
      <c r="BP659" s="245"/>
      <c r="BQ659" s="245"/>
      <c r="BR659" s="245"/>
      <c r="BS659" s="245"/>
      <c r="BT659" s="246"/>
      <c r="BU659" s="245"/>
      <c r="BV659" s="245"/>
      <c r="BW659" s="245"/>
      <c r="BX659" s="245"/>
      <c r="BY659" s="245"/>
      <c r="BZ659" s="282"/>
      <c r="CA659" s="245"/>
      <c r="CB659" s="245"/>
      <c r="CC659" s="245"/>
      <c r="CD659" s="245"/>
      <c r="CE659" s="245"/>
      <c r="CF659" s="245"/>
    </row>
    <row r="660">
      <c r="A660" s="245"/>
      <c r="B660" s="245"/>
      <c r="C660" s="245"/>
      <c r="D660" s="246"/>
      <c r="E660" s="245"/>
      <c r="F660" s="245"/>
      <c r="G660" s="245"/>
      <c r="H660" s="245"/>
      <c r="I660" s="245"/>
      <c r="J660" s="245"/>
      <c r="K660" s="265"/>
      <c r="L660" s="245"/>
      <c r="M660" s="245"/>
      <c r="N660" s="245"/>
      <c r="O660" s="245"/>
      <c r="P660" s="245"/>
      <c r="Q660" s="247"/>
      <c r="R660" s="254"/>
      <c r="S660" s="245"/>
      <c r="T660" s="245"/>
      <c r="U660" s="245"/>
      <c r="V660" s="245"/>
      <c r="W660" s="245"/>
      <c r="X660" s="245"/>
      <c r="Y660" s="249"/>
      <c r="Z660" s="276"/>
      <c r="AA660" s="245"/>
      <c r="AB660" s="276"/>
      <c r="AC660" s="276"/>
      <c r="AD660" s="246"/>
      <c r="AE660" s="278"/>
      <c r="AF660" s="370"/>
      <c r="AG660" s="371"/>
      <c r="AH660" s="276"/>
      <c r="AI660" s="245"/>
      <c r="AJ660" s="287"/>
      <c r="AK660" s="278"/>
      <c r="AL660" s="246"/>
      <c r="AM660" s="245"/>
      <c r="AN660" s="245"/>
      <c r="AO660" s="274"/>
      <c r="AP660" s="245"/>
      <c r="AQ660" s="245"/>
      <c r="AR660" s="246"/>
      <c r="AS660" s="245"/>
      <c r="AT660" s="245"/>
      <c r="AU660" s="245"/>
      <c r="AV660" s="245"/>
      <c r="AW660" s="245"/>
      <c r="AX660" s="246"/>
      <c r="AY660" s="245"/>
      <c r="AZ660" s="245"/>
      <c r="BA660" s="246"/>
      <c r="BB660" s="245"/>
      <c r="BC660" s="245"/>
      <c r="BD660" s="245"/>
      <c r="BE660" s="245"/>
      <c r="BF660" s="245"/>
      <c r="BG660" s="245"/>
      <c r="BH660" s="245"/>
      <c r="BI660" s="245"/>
      <c r="BJ660" s="245"/>
      <c r="BK660" s="245"/>
      <c r="BL660" s="245"/>
      <c r="BM660" s="245"/>
      <c r="BN660" s="245"/>
      <c r="BO660" s="245"/>
      <c r="BP660" s="245"/>
      <c r="BQ660" s="245"/>
      <c r="BR660" s="245"/>
      <c r="BS660" s="245"/>
      <c r="BT660" s="246"/>
      <c r="BU660" s="245"/>
      <c r="BV660" s="245"/>
      <c r="BW660" s="245"/>
      <c r="BX660" s="245"/>
      <c r="BY660" s="245"/>
      <c r="BZ660" s="282"/>
      <c r="CA660" s="245"/>
      <c r="CB660" s="245"/>
      <c r="CC660" s="245"/>
      <c r="CD660" s="245"/>
      <c r="CE660" s="245"/>
      <c r="CF660" s="245"/>
    </row>
    <row r="661">
      <c r="A661" s="245"/>
      <c r="B661" s="245"/>
      <c r="C661" s="245"/>
      <c r="D661" s="246"/>
      <c r="E661" s="245"/>
      <c r="F661" s="245"/>
      <c r="G661" s="245"/>
      <c r="H661" s="245"/>
      <c r="I661" s="245"/>
      <c r="J661" s="245"/>
      <c r="K661" s="265"/>
      <c r="L661" s="245"/>
      <c r="M661" s="245"/>
      <c r="N661" s="245"/>
      <c r="O661" s="245"/>
      <c r="P661" s="245"/>
      <c r="Q661" s="247"/>
      <c r="R661" s="254"/>
      <c r="S661" s="245"/>
      <c r="T661" s="245"/>
      <c r="U661" s="245"/>
      <c r="V661" s="245"/>
      <c r="W661" s="245"/>
      <c r="X661" s="245"/>
      <c r="Y661" s="249"/>
      <c r="Z661" s="276"/>
      <c r="AA661" s="245"/>
      <c r="AB661" s="276"/>
      <c r="AC661" s="276"/>
      <c r="AD661" s="246"/>
      <c r="AE661" s="278"/>
      <c r="AF661" s="370"/>
      <c r="AG661" s="371"/>
      <c r="AH661" s="276"/>
      <c r="AI661" s="245"/>
      <c r="AJ661" s="287"/>
      <c r="AK661" s="278"/>
      <c r="AL661" s="246"/>
      <c r="AM661" s="245"/>
      <c r="AN661" s="245"/>
      <c r="AO661" s="274"/>
      <c r="AP661" s="245"/>
      <c r="AQ661" s="245"/>
      <c r="AR661" s="246"/>
      <c r="AS661" s="245"/>
      <c r="AT661" s="245"/>
      <c r="AU661" s="245"/>
      <c r="AV661" s="245"/>
      <c r="AW661" s="245"/>
      <c r="AX661" s="246"/>
      <c r="AY661" s="245"/>
      <c r="AZ661" s="245"/>
      <c r="BA661" s="246"/>
      <c r="BB661" s="245"/>
      <c r="BC661" s="245"/>
      <c r="BD661" s="245"/>
      <c r="BE661" s="245"/>
      <c r="BF661" s="245"/>
      <c r="BG661" s="245"/>
      <c r="BH661" s="245"/>
      <c r="BI661" s="245"/>
      <c r="BJ661" s="245"/>
      <c r="BK661" s="245"/>
      <c r="BL661" s="245"/>
      <c r="BM661" s="245"/>
      <c r="BN661" s="245"/>
      <c r="BO661" s="245"/>
      <c r="BP661" s="245"/>
      <c r="BQ661" s="245"/>
      <c r="BR661" s="245"/>
      <c r="BS661" s="245"/>
      <c r="BT661" s="246"/>
      <c r="BU661" s="245"/>
      <c r="BV661" s="245"/>
      <c r="BW661" s="245"/>
      <c r="BX661" s="245"/>
      <c r="BY661" s="245"/>
      <c r="BZ661" s="282"/>
      <c r="CA661" s="245"/>
      <c r="CB661" s="245"/>
      <c r="CC661" s="245"/>
      <c r="CD661" s="245"/>
      <c r="CE661" s="245"/>
      <c r="CF661" s="245"/>
    </row>
    <row r="662">
      <c r="A662" s="245"/>
      <c r="B662" s="245"/>
      <c r="C662" s="245"/>
      <c r="D662" s="246"/>
      <c r="E662" s="245"/>
      <c r="F662" s="245"/>
      <c r="G662" s="245"/>
      <c r="H662" s="245"/>
      <c r="I662" s="245"/>
      <c r="J662" s="245"/>
      <c r="K662" s="265"/>
      <c r="L662" s="245"/>
      <c r="M662" s="245"/>
      <c r="N662" s="245"/>
      <c r="O662" s="245"/>
      <c r="P662" s="245"/>
      <c r="Q662" s="247"/>
      <c r="R662" s="254"/>
      <c r="S662" s="245"/>
      <c r="T662" s="245"/>
      <c r="U662" s="245"/>
      <c r="V662" s="245"/>
      <c r="W662" s="245"/>
      <c r="X662" s="245"/>
      <c r="Y662" s="249"/>
      <c r="Z662" s="276"/>
      <c r="AA662" s="245"/>
      <c r="AB662" s="276"/>
      <c r="AC662" s="276"/>
      <c r="AD662" s="246"/>
      <c r="AE662" s="278"/>
      <c r="AF662" s="370"/>
      <c r="AG662" s="371"/>
      <c r="AH662" s="276"/>
      <c r="AI662" s="245"/>
      <c r="AJ662" s="287"/>
      <c r="AK662" s="278"/>
      <c r="AL662" s="246"/>
      <c r="AM662" s="245"/>
      <c r="AN662" s="245"/>
      <c r="AO662" s="274"/>
      <c r="AP662" s="245"/>
      <c r="AQ662" s="245"/>
      <c r="AR662" s="246"/>
      <c r="AS662" s="245"/>
      <c r="AT662" s="245"/>
      <c r="AU662" s="245"/>
      <c r="AV662" s="245"/>
      <c r="AW662" s="245"/>
      <c r="AX662" s="246"/>
      <c r="AY662" s="245"/>
      <c r="AZ662" s="245"/>
      <c r="BA662" s="246"/>
      <c r="BB662" s="245"/>
      <c r="BC662" s="245"/>
      <c r="BD662" s="245"/>
      <c r="BE662" s="245"/>
      <c r="BF662" s="245"/>
      <c r="BG662" s="245"/>
      <c r="BH662" s="245"/>
      <c r="BI662" s="245"/>
      <c r="BJ662" s="245"/>
      <c r="BK662" s="245"/>
      <c r="BL662" s="245"/>
      <c r="BM662" s="245"/>
      <c r="BN662" s="245"/>
      <c r="BO662" s="245"/>
      <c r="BP662" s="245"/>
      <c r="BQ662" s="245"/>
      <c r="BR662" s="245"/>
      <c r="BS662" s="245"/>
      <c r="BT662" s="246"/>
      <c r="BU662" s="245"/>
      <c r="BV662" s="245"/>
      <c r="BW662" s="245"/>
      <c r="BX662" s="245"/>
      <c r="BY662" s="245"/>
      <c r="BZ662" s="282"/>
      <c r="CA662" s="245"/>
      <c r="CB662" s="245"/>
      <c r="CC662" s="245"/>
      <c r="CD662" s="245"/>
      <c r="CE662" s="245"/>
      <c r="CF662" s="245"/>
    </row>
    <row r="663">
      <c r="A663" s="245"/>
      <c r="B663" s="245"/>
      <c r="C663" s="245"/>
      <c r="D663" s="246"/>
      <c r="E663" s="245"/>
      <c r="F663" s="245"/>
      <c r="G663" s="245"/>
      <c r="H663" s="245"/>
      <c r="I663" s="245"/>
      <c r="J663" s="245"/>
      <c r="K663" s="265"/>
      <c r="L663" s="245"/>
      <c r="M663" s="245"/>
      <c r="N663" s="245"/>
      <c r="O663" s="245"/>
      <c r="P663" s="245"/>
      <c r="Q663" s="247"/>
      <c r="R663" s="254"/>
      <c r="S663" s="245"/>
      <c r="T663" s="245"/>
      <c r="U663" s="245"/>
      <c r="V663" s="245"/>
      <c r="W663" s="245"/>
      <c r="X663" s="245"/>
      <c r="Y663" s="249"/>
      <c r="Z663" s="276"/>
      <c r="AA663" s="245"/>
      <c r="AB663" s="276"/>
      <c r="AC663" s="276"/>
      <c r="AD663" s="246"/>
      <c r="AE663" s="278"/>
      <c r="AF663" s="370"/>
      <c r="AG663" s="371"/>
      <c r="AH663" s="276"/>
      <c r="AI663" s="245"/>
      <c r="AJ663" s="287"/>
      <c r="AK663" s="278"/>
      <c r="AL663" s="246"/>
      <c r="AM663" s="245"/>
      <c r="AN663" s="245"/>
      <c r="AO663" s="274"/>
      <c r="AP663" s="245"/>
      <c r="AQ663" s="245"/>
      <c r="AR663" s="246"/>
      <c r="AS663" s="245"/>
      <c r="AT663" s="245"/>
      <c r="AU663" s="245"/>
      <c r="AV663" s="245"/>
      <c r="AW663" s="245"/>
      <c r="AX663" s="246"/>
      <c r="AY663" s="245"/>
      <c r="AZ663" s="245"/>
      <c r="BA663" s="246"/>
      <c r="BB663" s="245"/>
      <c r="BC663" s="245"/>
      <c r="BD663" s="245"/>
      <c r="BE663" s="245"/>
      <c r="BF663" s="245"/>
      <c r="BG663" s="245"/>
      <c r="BH663" s="245"/>
      <c r="BI663" s="245"/>
      <c r="BJ663" s="245"/>
      <c r="BK663" s="245"/>
      <c r="BL663" s="245"/>
      <c r="BM663" s="245"/>
      <c r="BN663" s="245"/>
      <c r="BO663" s="245"/>
      <c r="BP663" s="245"/>
      <c r="BQ663" s="245"/>
      <c r="BR663" s="245"/>
      <c r="BS663" s="245"/>
      <c r="BT663" s="246"/>
      <c r="BU663" s="245"/>
      <c r="BV663" s="245"/>
      <c r="BW663" s="245"/>
      <c r="BX663" s="245"/>
      <c r="BY663" s="245"/>
      <c r="BZ663" s="282"/>
      <c r="CA663" s="245"/>
      <c r="CB663" s="245"/>
      <c r="CC663" s="245"/>
      <c r="CD663" s="245"/>
      <c r="CE663" s="245"/>
      <c r="CF663" s="245"/>
    </row>
    <row r="664">
      <c r="A664" s="245"/>
      <c r="B664" s="245"/>
      <c r="C664" s="245"/>
      <c r="D664" s="246"/>
      <c r="E664" s="245"/>
      <c r="F664" s="245"/>
      <c r="G664" s="245"/>
      <c r="H664" s="245"/>
      <c r="I664" s="245"/>
      <c r="J664" s="245"/>
      <c r="K664" s="265"/>
      <c r="L664" s="245"/>
      <c r="M664" s="245"/>
      <c r="N664" s="245"/>
      <c r="O664" s="245"/>
      <c r="P664" s="245"/>
      <c r="Q664" s="247"/>
      <c r="R664" s="254"/>
      <c r="S664" s="245"/>
      <c r="T664" s="245"/>
      <c r="U664" s="245"/>
      <c r="V664" s="245"/>
      <c r="W664" s="245"/>
      <c r="X664" s="245"/>
      <c r="Y664" s="249"/>
      <c r="Z664" s="276"/>
      <c r="AA664" s="245"/>
      <c r="AB664" s="276"/>
      <c r="AC664" s="276"/>
      <c r="AD664" s="246"/>
      <c r="AE664" s="278"/>
      <c r="AF664" s="370"/>
      <c r="AG664" s="371"/>
      <c r="AH664" s="276"/>
      <c r="AI664" s="245"/>
      <c r="AJ664" s="287"/>
      <c r="AK664" s="278"/>
      <c r="AL664" s="246"/>
      <c r="AM664" s="245"/>
      <c r="AN664" s="245"/>
      <c r="AO664" s="274"/>
      <c r="AP664" s="245"/>
      <c r="AQ664" s="245"/>
      <c r="AR664" s="246"/>
      <c r="AS664" s="245"/>
      <c r="AT664" s="245"/>
      <c r="AU664" s="245"/>
      <c r="AV664" s="245"/>
      <c r="AW664" s="245"/>
      <c r="AX664" s="246"/>
      <c r="AY664" s="245"/>
      <c r="AZ664" s="245"/>
      <c r="BA664" s="246"/>
      <c r="BB664" s="245"/>
      <c r="BC664" s="245"/>
      <c r="BD664" s="245"/>
      <c r="BE664" s="245"/>
      <c r="BF664" s="245"/>
      <c r="BG664" s="245"/>
      <c r="BH664" s="245"/>
      <c r="BI664" s="245"/>
      <c r="BJ664" s="245"/>
      <c r="BK664" s="245"/>
      <c r="BL664" s="245"/>
      <c r="BM664" s="245"/>
      <c r="BN664" s="245"/>
      <c r="BO664" s="245"/>
      <c r="BP664" s="245"/>
      <c r="BQ664" s="245"/>
      <c r="BR664" s="245"/>
      <c r="BS664" s="245"/>
      <c r="BT664" s="246"/>
      <c r="BU664" s="245"/>
      <c r="BV664" s="245"/>
      <c r="BW664" s="245"/>
      <c r="BX664" s="245"/>
      <c r="BY664" s="245"/>
      <c r="BZ664" s="282"/>
      <c r="CA664" s="245"/>
      <c r="CB664" s="245"/>
      <c r="CC664" s="245"/>
      <c r="CD664" s="245"/>
      <c r="CE664" s="245"/>
      <c r="CF664" s="245"/>
    </row>
    <row r="665">
      <c r="A665" s="245"/>
      <c r="B665" s="245"/>
      <c r="C665" s="245"/>
      <c r="D665" s="246"/>
      <c r="E665" s="245"/>
      <c r="F665" s="245"/>
      <c r="G665" s="245"/>
      <c r="H665" s="245"/>
      <c r="I665" s="245"/>
      <c r="J665" s="245"/>
      <c r="K665" s="265"/>
      <c r="L665" s="245"/>
      <c r="M665" s="245"/>
      <c r="N665" s="245"/>
      <c r="O665" s="245"/>
      <c r="P665" s="245"/>
      <c r="Q665" s="247"/>
      <c r="R665" s="254"/>
      <c r="S665" s="245"/>
      <c r="T665" s="245"/>
      <c r="U665" s="245"/>
      <c r="V665" s="245"/>
      <c r="W665" s="245"/>
      <c r="X665" s="245"/>
      <c r="Y665" s="249"/>
      <c r="Z665" s="276"/>
      <c r="AA665" s="245"/>
      <c r="AB665" s="276"/>
      <c r="AC665" s="276"/>
      <c r="AD665" s="246"/>
      <c r="AE665" s="278"/>
      <c r="AF665" s="370"/>
      <c r="AG665" s="371"/>
      <c r="AH665" s="276"/>
      <c r="AI665" s="245"/>
      <c r="AJ665" s="287"/>
      <c r="AK665" s="278"/>
      <c r="AL665" s="246"/>
      <c r="AM665" s="245"/>
      <c r="AN665" s="245"/>
      <c r="AO665" s="274"/>
      <c r="AP665" s="245"/>
      <c r="AQ665" s="245"/>
      <c r="AR665" s="246"/>
      <c r="AS665" s="245"/>
      <c r="AT665" s="245"/>
      <c r="AU665" s="245"/>
      <c r="AV665" s="245"/>
      <c r="AW665" s="245"/>
      <c r="AX665" s="246"/>
      <c r="AY665" s="245"/>
      <c r="AZ665" s="245"/>
      <c r="BA665" s="246"/>
      <c r="BB665" s="245"/>
      <c r="BC665" s="245"/>
      <c r="BD665" s="245"/>
      <c r="BE665" s="245"/>
      <c r="BF665" s="245"/>
      <c r="BG665" s="245"/>
      <c r="BH665" s="245"/>
      <c r="BI665" s="245"/>
      <c r="BJ665" s="245"/>
      <c r="BK665" s="245"/>
      <c r="BL665" s="245"/>
      <c r="BM665" s="245"/>
      <c r="BN665" s="245"/>
      <c r="BO665" s="245"/>
      <c r="BP665" s="245"/>
      <c r="BQ665" s="245"/>
      <c r="BR665" s="245"/>
      <c r="BS665" s="245"/>
      <c r="BT665" s="246"/>
      <c r="BU665" s="245"/>
      <c r="BV665" s="245"/>
      <c r="BW665" s="245"/>
      <c r="BX665" s="245"/>
      <c r="BY665" s="245"/>
      <c r="BZ665" s="282"/>
      <c r="CA665" s="245"/>
      <c r="CB665" s="245"/>
      <c r="CC665" s="245"/>
      <c r="CD665" s="245"/>
      <c r="CE665" s="245"/>
      <c r="CF665" s="245"/>
    </row>
    <row r="666">
      <c r="A666" s="245"/>
      <c r="B666" s="245"/>
      <c r="C666" s="245"/>
      <c r="D666" s="246"/>
      <c r="E666" s="245"/>
      <c r="F666" s="245"/>
      <c r="G666" s="245"/>
      <c r="H666" s="245"/>
      <c r="I666" s="245"/>
      <c r="J666" s="245"/>
      <c r="K666" s="265"/>
      <c r="L666" s="245"/>
      <c r="M666" s="245"/>
      <c r="N666" s="245"/>
      <c r="O666" s="245"/>
      <c r="P666" s="245"/>
      <c r="Q666" s="247"/>
      <c r="R666" s="254"/>
      <c r="S666" s="245"/>
      <c r="T666" s="245"/>
      <c r="U666" s="245"/>
      <c r="V666" s="245"/>
      <c r="W666" s="245"/>
      <c r="X666" s="245"/>
      <c r="Y666" s="249"/>
      <c r="Z666" s="276"/>
      <c r="AA666" s="245"/>
      <c r="AB666" s="276"/>
      <c r="AC666" s="276"/>
      <c r="AD666" s="246"/>
      <c r="AE666" s="278"/>
      <c r="AF666" s="370"/>
      <c r="AG666" s="371"/>
      <c r="AH666" s="276"/>
      <c r="AI666" s="245"/>
      <c r="AJ666" s="287"/>
      <c r="AK666" s="278"/>
      <c r="AL666" s="246"/>
      <c r="AM666" s="245"/>
      <c r="AN666" s="245"/>
      <c r="AO666" s="274"/>
      <c r="AP666" s="245"/>
      <c r="AQ666" s="245"/>
      <c r="AR666" s="246"/>
      <c r="AS666" s="245"/>
      <c r="AT666" s="245"/>
      <c r="AU666" s="245"/>
      <c r="AV666" s="245"/>
      <c r="AW666" s="245"/>
      <c r="AX666" s="246"/>
      <c r="AY666" s="245"/>
      <c r="AZ666" s="245"/>
      <c r="BA666" s="246"/>
      <c r="BB666" s="245"/>
      <c r="BC666" s="245"/>
      <c r="BD666" s="245"/>
      <c r="BE666" s="245"/>
      <c r="BF666" s="245"/>
      <c r="BG666" s="245"/>
      <c r="BH666" s="245"/>
      <c r="BI666" s="245"/>
      <c r="BJ666" s="245"/>
      <c r="BK666" s="245"/>
      <c r="BL666" s="245"/>
      <c r="BM666" s="245"/>
      <c r="BN666" s="245"/>
      <c r="BO666" s="245"/>
      <c r="BP666" s="245"/>
      <c r="BQ666" s="245"/>
      <c r="BR666" s="245"/>
      <c r="BS666" s="245"/>
      <c r="BT666" s="246"/>
      <c r="BU666" s="245"/>
      <c r="BV666" s="245"/>
      <c r="BW666" s="245"/>
      <c r="BX666" s="245"/>
      <c r="BY666" s="245"/>
      <c r="BZ666" s="282"/>
      <c r="CA666" s="245"/>
      <c r="CB666" s="245"/>
      <c r="CC666" s="245"/>
      <c r="CD666" s="245"/>
      <c r="CE666" s="245"/>
      <c r="CF666" s="245"/>
    </row>
    <row r="667">
      <c r="A667" s="245"/>
      <c r="B667" s="245"/>
      <c r="C667" s="245"/>
      <c r="D667" s="246"/>
      <c r="E667" s="245"/>
      <c r="F667" s="245"/>
      <c r="G667" s="245"/>
      <c r="H667" s="245"/>
      <c r="I667" s="245"/>
      <c r="J667" s="245"/>
      <c r="K667" s="265"/>
      <c r="L667" s="245"/>
      <c r="M667" s="245"/>
      <c r="N667" s="245"/>
      <c r="O667" s="245"/>
      <c r="P667" s="245"/>
      <c r="Q667" s="247"/>
      <c r="R667" s="254"/>
      <c r="S667" s="245"/>
      <c r="T667" s="245"/>
      <c r="U667" s="245"/>
      <c r="V667" s="245"/>
      <c r="W667" s="245"/>
      <c r="X667" s="245"/>
      <c r="Y667" s="249"/>
      <c r="Z667" s="276"/>
      <c r="AA667" s="245"/>
      <c r="AB667" s="276"/>
      <c r="AC667" s="276"/>
      <c r="AD667" s="246"/>
      <c r="AE667" s="278"/>
      <c r="AF667" s="370"/>
      <c r="AG667" s="371"/>
      <c r="AH667" s="276"/>
      <c r="AI667" s="245"/>
      <c r="AJ667" s="287"/>
      <c r="AK667" s="278"/>
      <c r="AL667" s="246"/>
      <c r="AM667" s="245"/>
      <c r="AN667" s="245"/>
      <c r="AO667" s="274"/>
      <c r="AP667" s="245"/>
      <c r="AQ667" s="245"/>
      <c r="AR667" s="246"/>
      <c r="AS667" s="245"/>
      <c r="AT667" s="245"/>
      <c r="AU667" s="245"/>
      <c r="AV667" s="245"/>
      <c r="AW667" s="245"/>
      <c r="AX667" s="246"/>
      <c r="AY667" s="245"/>
      <c r="AZ667" s="245"/>
      <c r="BA667" s="246"/>
      <c r="BB667" s="245"/>
      <c r="BC667" s="245"/>
      <c r="BD667" s="245"/>
      <c r="BE667" s="245"/>
      <c r="BF667" s="245"/>
      <c r="BG667" s="245"/>
      <c r="BH667" s="245"/>
      <c r="BI667" s="245"/>
      <c r="BJ667" s="245"/>
      <c r="BK667" s="245"/>
      <c r="BL667" s="245"/>
      <c r="BM667" s="245"/>
      <c r="BN667" s="245"/>
      <c r="BO667" s="245"/>
      <c r="BP667" s="245"/>
      <c r="BQ667" s="245"/>
      <c r="BR667" s="245"/>
      <c r="BS667" s="245"/>
      <c r="BT667" s="246"/>
      <c r="BU667" s="245"/>
      <c r="BV667" s="245"/>
      <c r="BW667" s="245"/>
      <c r="BX667" s="245"/>
      <c r="BY667" s="245"/>
      <c r="BZ667" s="282"/>
      <c r="CA667" s="245"/>
      <c r="CB667" s="245"/>
      <c r="CC667" s="245"/>
      <c r="CD667" s="245"/>
      <c r="CE667" s="245"/>
      <c r="CF667" s="245"/>
    </row>
    <row r="668">
      <c r="A668" s="245"/>
      <c r="B668" s="245"/>
      <c r="C668" s="245"/>
      <c r="D668" s="246"/>
      <c r="E668" s="245"/>
      <c r="F668" s="245"/>
      <c r="G668" s="245"/>
      <c r="H668" s="245"/>
      <c r="I668" s="245"/>
      <c r="J668" s="245"/>
      <c r="K668" s="265"/>
      <c r="L668" s="245"/>
      <c r="M668" s="245"/>
      <c r="N668" s="245"/>
      <c r="O668" s="245"/>
      <c r="P668" s="245"/>
      <c r="Q668" s="247"/>
      <c r="R668" s="254"/>
      <c r="S668" s="245"/>
      <c r="T668" s="245"/>
      <c r="U668" s="245"/>
      <c r="V668" s="245"/>
      <c r="W668" s="245"/>
      <c r="X668" s="245"/>
      <c r="Y668" s="249"/>
      <c r="Z668" s="276"/>
      <c r="AA668" s="245"/>
      <c r="AB668" s="276"/>
      <c r="AC668" s="276"/>
      <c r="AD668" s="246"/>
      <c r="AE668" s="278"/>
      <c r="AF668" s="370"/>
      <c r="AG668" s="371"/>
      <c r="AH668" s="276"/>
      <c r="AI668" s="245"/>
      <c r="AJ668" s="287"/>
      <c r="AK668" s="278"/>
      <c r="AL668" s="246"/>
      <c r="AM668" s="245"/>
      <c r="AN668" s="245"/>
      <c r="AO668" s="274"/>
      <c r="AP668" s="245"/>
      <c r="AQ668" s="245"/>
      <c r="AR668" s="246"/>
      <c r="AS668" s="245"/>
      <c r="AT668" s="245"/>
      <c r="AU668" s="245"/>
      <c r="AV668" s="245"/>
      <c r="AW668" s="245"/>
      <c r="AX668" s="246"/>
      <c r="AY668" s="245"/>
      <c r="AZ668" s="245"/>
      <c r="BA668" s="246"/>
      <c r="BB668" s="245"/>
      <c r="BC668" s="245"/>
      <c r="BD668" s="245"/>
      <c r="BE668" s="245"/>
      <c r="BF668" s="245"/>
      <c r="BG668" s="245"/>
      <c r="BH668" s="245"/>
      <c r="BI668" s="245"/>
      <c r="BJ668" s="245"/>
      <c r="BK668" s="245"/>
      <c r="BL668" s="245"/>
      <c r="BM668" s="245"/>
      <c r="BN668" s="245"/>
      <c r="BO668" s="245"/>
      <c r="BP668" s="245"/>
      <c r="BQ668" s="245"/>
      <c r="BR668" s="245"/>
      <c r="BS668" s="245"/>
      <c r="BT668" s="246"/>
      <c r="BU668" s="245"/>
      <c r="BV668" s="245"/>
      <c r="BW668" s="245"/>
      <c r="BX668" s="245"/>
      <c r="BY668" s="245"/>
      <c r="BZ668" s="282"/>
      <c r="CA668" s="245"/>
      <c r="CB668" s="245"/>
      <c r="CC668" s="245"/>
      <c r="CD668" s="245"/>
      <c r="CE668" s="245"/>
      <c r="CF668" s="245"/>
    </row>
    <row r="669">
      <c r="A669" s="245"/>
      <c r="B669" s="245"/>
      <c r="C669" s="245"/>
      <c r="D669" s="246"/>
      <c r="E669" s="245"/>
      <c r="F669" s="245"/>
      <c r="G669" s="245"/>
      <c r="H669" s="245"/>
      <c r="I669" s="245"/>
      <c r="J669" s="245"/>
      <c r="K669" s="265"/>
      <c r="L669" s="245"/>
      <c r="M669" s="245"/>
      <c r="N669" s="245"/>
      <c r="O669" s="245"/>
      <c r="P669" s="245"/>
      <c r="Q669" s="247"/>
      <c r="R669" s="254"/>
      <c r="S669" s="245"/>
      <c r="T669" s="245"/>
      <c r="U669" s="245"/>
      <c r="V669" s="245"/>
      <c r="W669" s="245"/>
      <c r="X669" s="245"/>
      <c r="Y669" s="249"/>
      <c r="Z669" s="276"/>
      <c r="AA669" s="245"/>
      <c r="AB669" s="276"/>
      <c r="AC669" s="276"/>
      <c r="AD669" s="246"/>
      <c r="AE669" s="278"/>
      <c r="AF669" s="370"/>
      <c r="AG669" s="371"/>
      <c r="AH669" s="276"/>
      <c r="AI669" s="245"/>
      <c r="AJ669" s="287"/>
      <c r="AK669" s="278"/>
      <c r="AL669" s="246"/>
      <c r="AM669" s="245"/>
      <c r="AN669" s="245"/>
      <c r="AO669" s="274"/>
      <c r="AP669" s="245"/>
      <c r="AQ669" s="245"/>
      <c r="AR669" s="246"/>
      <c r="AS669" s="245"/>
      <c r="AT669" s="245"/>
      <c r="AU669" s="245"/>
      <c r="AV669" s="245"/>
      <c r="AW669" s="245"/>
      <c r="AX669" s="246"/>
      <c r="AY669" s="245"/>
      <c r="AZ669" s="245"/>
      <c r="BA669" s="246"/>
      <c r="BB669" s="245"/>
      <c r="BC669" s="245"/>
      <c r="BD669" s="245"/>
      <c r="BE669" s="245"/>
      <c r="BF669" s="245"/>
      <c r="BG669" s="245"/>
      <c r="BH669" s="245"/>
      <c r="BI669" s="245"/>
      <c r="BJ669" s="245"/>
      <c r="BK669" s="245"/>
      <c r="BL669" s="245"/>
      <c r="BM669" s="245"/>
      <c r="BN669" s="245"/>
      <c r="BO669" s="245"/>
      <c r="BP669" s="245"/>
      <c r="BQ669" s="245"/>
      <c r="BR669" s="245"/>
      <c r="BS669" s="245"/>
      <c r="BT669" s="246"/>
      <c r="BU669" s="245"/>
      <c r="BV669" s="245"/>
      <c r="BW669" s="245"/>
      <c r="BX669" s="245"/>
      <c r="BY669" s="245"/>
      <c r="BZ669" s="282"/>
      <c r="CA669" s="245"/>
      <c r="CB669" s="245"/>
      <c r="CC669" s="245"/>
      <c r="CD669" s="245"/>
      <c r="CE669" s="245"/>
      <c r="CF669" s="245"/>
    </row>
    <row r="670">
      <c r="A670" s="245"/>
      <c r="B670" s="245"/>
      <c r="C670" s="245"/>
      <c r="D670" s="246"/>
      <c r="E670" s="245"/>
      <c r="F670" s="245"/>
      <c r="G670" s="245"/>
      <c r="H670" s="245"/>
      <c r="I670" s="245"/>
      <c r="J670" s="245"/>
      <c r="K670" s="265"/>
      <c r="L670" s="245"/>
      <c r="M670" s="245"/>
      <c r="N670" s="245"/>
      <c r="O670" s="245"/>
      <c r="P670" s="245"/>
      <c r="Q670" s="247"/>
      <c r="R670" s="254"/>
      <c r="S670" s="245"/>
      <c r="T670" s="245"/>
      <c r="U670" s="245"/>
      <c r="V670" s="245"/>
      <c r="W670" s="245"/>
      <c r="X670" s="245"/>
      <c r="Y670" s="249"/>
      <c r="Z670" s="276"/>
      <c r="AA670" s="245"/>
      <c r="AB670" s="276"/>
      <c r="AC670" s="276"/>
      <c r="AD670" s="246"/>
      <c r="AE670" s="278"/>
      <c r="AF670" s="370"/>
      <c r="AG670" s="371"/>
      <c r="AH670" s="276"/>
      <c r="AI670" s="245"/>
      <c r="AJ670" s="287"/>
      <c r="AK670" s="278"/>
      <c r="AL670" s="246"/>
      <c r="AM670" s="245"/>
      <c r="AN670" s="245"/>
      <c r="AO670" s="274"/>
      <c r="AP670" s="245"/>
      <c r="AQ670" s="245"/>
      <c r="AR670" s="246"/>
      <c r="AS670" s="245"/>
      <c r="AT670" s="245"/>
      <c r="AU670" s="245"/>
      <c r="AV670" s="245"/>
      <c r="AW670" s="245"/>
      <c r="AX670" s="246"/>
      <c r="AY670" s="245"/>
      <c r="AZ670" s="245"/>
      <c r="BA670" s="246"/>
      <c r="BB670" s="245"/>
      <c r="BC670" s="245"/>
      <c r="BD670" s="245"/>
      <c r="BE670" s="245"/>
      <c r="BF670" s="245"/>
      <c r="BG670" s="245"/>
      <c r="BH670" s="245"/>
      <c r="BI670" s="245"/>
      <c r="BJ670" s="245"/>
      <c r="BK670" s="245"/>
      <c r="BL670" s="245"/>
      <c r="BM670" s="245"/>
      <c r="BN670" s="245"/>
      <c r="BO670" s="245"/>
      <c r="BP670" s="245"/>
      <c r="BQ670" s="245"/>
      <c r="BR670" s="245"/>
      <c r="BS670" s="245"/>
      <c r="BT670" s="246"/>
      <c r="BU670" s="245"/>
      <c r="BV670" s="245"/>
      <c r="BW670" s="245"/>
      <c r="BX670" s="245"/>
      <c r="BY670" s="245"/>
      <c r="BZ670" s="282"/>
      <c r="CA670" s="245"/>
      <c r="CB670" s="245"/>
      <c r="CC670" s="245"/>
      <c r="CD670" s="245"/>
      <c r="CE670" s="245"/>
      <c r="CF670" s="245"/>
    </row>
    <row r="671">
      <c r="A671" s="245"/>
      <c r="B671" s="245"/>
      <c r="C671" s="245"/>
      <c r="D671" s="246"/>
      <c r="E671" s="245"/>
      <c r="F671" s="245"/>
      <c r="G671" s="245"/>
      <c r="H671" s="245"/>
      <c r="I671" s="245"/>
      <c r="J671" s="245"/>
      <c r="K671" s="265"/>
      <c r="L671" s="245"/>
      <c r="M671" s="245"/>
      <c r="N671" s="245"/>
      <c r="O671" s="245"/>
      <c r="P671" s="245"/>
      <c r="Q671" s="247"/>
      <c r="R671" s="254"/>
      <c r="S671" s="245"/>
      <c r="T671" s="245"/>
      <c r="U671" s="245"/>
      <c r="V671" s="245"/>
      <c r="W671" s="245"/>
      <c r="X671" s="245"/>
      <c r="Y671" s="249"/>
      <c r="Z671" s="276"/>
      <c r="AA671" s="245"/>
      <c r="AB671" s="276"/>
      <c r="AC671" s="276"/>
      <c r="AD671" s="246"/>
      <c r="AE671" s="278"/>
      <c r="AF671" s="370"/>
      <c r="AG671" s="371"/>
      <c r="AH671" s="276"/>
      <c r="AI671" s="245"/>
      <c r="AJ671" s="287"/>
      <c r="AK671" s="278"/>
      <c r="AL671" s="246"/>
      <c r="AM671" s="245"/>
      <c r="AN671" s="245"/>
      <c r="AO671" s="274"/>
      <c r="AP671" s="245"/>
      <c r="AQ671" s="245"/>
      <c r="AR671" s="246"/>
      <c r="AS671" s="245"/>
      <c r="AT671" s="245"/>
      <c r="AU671" s="245"/>
      <c r="AV671" s="245"/>
      <c r="AW671" s="245"/>
      <c r="AX671" s="246"/>
      <c r="AY671" s="245"/>
      <c r="AZ671" s="245"/>
      <c r="BA671" s="246"/>
      <c r="BB671" s="245"/>
      <c r="BC671" s="245"/>
      <c r="BD671" s="245"/>
      <c r="BE671" s="245"/>
      <c r="BF671" s="245"/>
      <c r="BG671" s="245"/>
      <c r="BH671" s="245"/>
      <c r="BI671" s="245"/>
      <c r="BJ671" s="245"/>
      <c r="BK671" s="245"/>
      <c r="BL671" s="245"/>
      <c r="BM671" s="245"/>
      <c r="BN671" s="245"/>
      <c r="BO671" s="245"/>
      <c r="BP671" s="245"/>
      <c r="BQ671" s="245"/>
      <c r="BR671" s="245"/>
      <c r="BS671" s="245"/>
      <c r="BT671" s="246"/>
      <c r="BU671" s="245"/>
      <c r="BV671" s="245"/>
      <c r="BW671" s="245"/>
      <c r="BX671" s="245"/>
      <c r="BY671" s="245"/>
      <c r="BZ671" s="282"/>
      <c r="CA671" s="245"/>
      <c r="CB671" s="245"/>
      <c r="CC671" s="245"/>
      <c r="CD671" s="245"/>
      <c r="CE671" s="245"/>
      <c r="CF671" s="245"/>
    </row>
    <row r="672">
      <c r="A672" s="245"/>
      <c r="B672" s="245"/>
      <c r="C672" s="245"/>
      <c r="D672" s="246"/>
      <c r="E672" s="245"/>
      <c r="F672" s="245"/>
      <c r="G672" s="245"/>
      <c r="H672" s="245"/>
      <c r="I672" s="245"/>
      <c r="J672" s="245"/>
      <c r="K672" s="265"/>
      <c r="L672" s="245"/>
      <c r="M672" s="245"/>
      <c r="N672" s="245"/>
      <c r="O672" s="245"/>
      <c r="P672" s="245"/>
      <c r="Q672" s="247"/>
      <c r="R672" s="254"/>
      <c r="S672" s="245"/>
      <c r="T672" s="245"/>
      <c r="U672" s="245"/>
      <c r="V672" s="245"/>
      <c r="W672" s="245"/>
      <c r="X672" s="245"/>
      <c r="Y672" s="249"/>
      <c r="Z672" s="276"/>
      <c r="AA672" s="245"/>
      <c r="AB672" s="276"/>
      <c r="AC672" s="276"/>
      <c r="AD672" s="246"/>
      <c r="AE672" s="278"/>
      <c r="AF672" s="370"/>
      <c r="AG672" s="371"/>
      <c r="AH672" s="276"/>
      <c r="AI672" s="245"/>
      <c r="AJ672" s="287"/>
      <c r="AK672" s="278"/>
      <c r="AL672" s="246"/>
      <c r="AM672" s="245"/>
      <c r="AN672" s="245"/>
      <c r="AO672" s="274"/>
      <c r="AP672" s="245"/>
      <c r="AQ672" s="245"/>
      <c r="AR672" s="246"/>
      <c r="AS672" s="245"/>
      <c r="AT672" s="245"/>
      <c r="AU672" s="245"/>
      <c r="AV672" s="245"/>
      <c r="AW672" s="245"/>
      <c r="AX672" s="246"/>
      <c r="AY672" s="245"/>
      <c r="AZ672" s="245"/>
      <c r="BA672" s="246"/>
      <c r="BB672" s="245"/>
      <c r="BC672" s="245"/>
      <c r="BD672" s="245"/>
      <c r="BE672" s="245"/>
      <c r="BF672" s="245"/>
      <c r="BG672" s="245"/>
      <c r="BH672" s="245"/>
      <c r="BI672" s="245"/>
      <c r="BJ672" s="245"/>
      <c r="BK672" s="245"/>
      <c r="BL672" s="245"/>
      <c r="BM672" s="245"/>
      <c r="BN672" s="245"/>
      <c r="BO672" s="245"/>
      <c r="BP672" s="245"/>
      <c r="BQ672" s="245"/>
      <c r="BR672" s="245"/>
      <c r="BS672" s="245"/>
      <c r="BT672" s="246"/>
      <c r="BU672" s="245"/>
      <c r="BV672" s="245"/>
      <c r="BW672" s="245"/>
      <c r="BX672" s="245"/>
      <c r="BY672" s="245"/>
      <c r="BZ672" s="282"/>
      <c r="CA672" s="245"/>
      <c r="CB672" s="245"/>
      <c r="CC672" s="245"/>
      <c r="CD672" s="245"/>
      <c r="CE672" s="245"/>
      <c r="CF672" s="245"/>
    </row>
    <row r="673">
      <c r="A673" s="245"/>
      <c r="B673" s="245"/>
      <c r="C673" s="245"/>
      <c r="D673" s="246"/>
      <c r="E673" s="245"/>
      <c r="F673" s="245"/>
      <c r="G673" s="245"/>
      <c r="H673" s="245"/>
      <c r="I673" s="245"/>
      <c r="J673" s="245"/>
      <c r="K673" s="265"/>
      <c r="L673" s="245"/>
      <c r="M673" s="245"/>
      <c r="N673" s="245"/>
      <c r="O673" s="245"/>
      <c r="P673" s="245"/>
      <c r="Q673" s="247"/>
      <c r="R673" s="254"/>
      <c r="S673" s="245"/>
      <c r="T673" s="245"/>
      <c r="U673" s="245"/>
      <c r="V673" s="245"/>
      <c r="W673" s="245"/>
      <c r="X673" s="245"/>
      <c r="Y673" s="249"/>
      <c r="Z673" s="276"/>
      <c r="AA673" s="245"/>
      <c r="AB673" s="276"/>
      <c r="AC673" s="276"/>
      <c r="AD673" s="246"/>
      <c r="AE673" s="278"/>
      <c r="AF673" s="370"/>
      <c r="AG673" s="371"/>
      <c r="AH673" s="276"/>
      <c r="AI673" s="245"/>
      <c r="AJ673" s="287"/>
      <c r="AK673" s="278"/>
      <c r="AL673" s="246"/>
      <c r="AM673" s="245"/>
      <c r="AN673" s="245"/>
      <c r="AO673" s="274"/>
      <c r="AP673" s="245"/>
      <c r="AQ673" s="245"/>
      <c r="AR673" s="246"/>
      <c r="AS673" s="245"/>
      <c r="AT673" s="245"/>
      <c r="AU673" s="245"/>
      <c r="AV673" s="245"/>
      <c r="AW673" s="245"/>
      <c r="AX673" s="246"/>
      <c r="AY673" s="245"/>
      <c r="AZ673" s="245"/>
      <c r="BA673" s="246"/>
      <c r="BB673" s="245"/>
      <c r="BC673" s="245"/>
      <c r="BD673" s="245"/>
      <c r="BE673" s="245"/>
      <c r="BF673" s="245"/>
      <c r="BG673" s="245"/>
      <c r="BH673" s="245"/>
      <c r="BI673" s="245"/>
      <c r="BJ673" s="245"/>
      <c r="BK673" s="245"/>
      <c r="BL673" s="245"/>
      <c r="BM673" s="245"/>
      <c r="BN673" s="245"/>
      <c r="BO673" s="245"/>
      <c r="BP673" s="245"/>
      <c r="BQ673" s="245"/>
      <c r="BR673" s="245"/>
      <c r="BS673" s="245"/>
      <c r="BT673" s="246"/>
      <c r="BU673" s="245"/>
      <c r="BV673" s="245"/>
      <c r="BW673" s="245"/>
      <c r="BX673" s="245"/>
      <c r="BY673" s="245"/>
      <c r="BZ673" s="282"/>
      <c r="CA673" s="245"/>
      <c r="CB673" s="245"/>
      <c r="CC673" s="245"/>
      <c r="CD673" s="245"/>
      <c r="CE673" s="245"/>
      <c r="CF673" s="245"/>
    </row>
    <row r="674">
      <c r="A674" s="245"/>
      <c r="B674" s="245"/>
      <c r="C674" s="245"/>
      <c r="D674" s="246"/>
      <c r="E674" s="245"/>
      <c r="F674" s="245"/>
      <c r="G674" s="245"/>
      <c r="H674" s="245"/>
      <c r="I674" s="245"/>
      <c r="J674" s="245"/>
      <c r="K674" s="265"/>
      <c r="L674" s="245"/>
      <c r="M674" s="245"/>
      <c r="N674" s="245"/>
      <c r="O674" s="245"/>
      <c r="P674" s="245"/>
      <c r="Q674" s="247"/>
      <c r="R674" s="254"/>
      <c r="S674" s="245"/>
      <c r="T674" s="245"/>
      <c r="U674" s="245"/>
      <c r="V674" s="245"/>
      <c r="W674" s="245"/>
      <c r="X674" s="245"/>
      <c r="Y674" s="249"/>
      <c r="Z674" s="276"/>
      <c r="AA674" s="245"/>
      <c r="AB674" s="276"/>
      <c r="AC674" s="276"/>
      <c r="AD674" s="246"/>
      <c r="AE674" s="278"/>
      <c r="AF674" s="370"/>
      <c r="AG674" s="371"/>
      <c r="AH674" s="276"/>
      <c r="AI674" s="245"/>
      <c r="AJ674" s="287"/>
      <c r="AK674" s="278"/>
      <c r="AL674" s="246"/>
      <c r="AM674" s="245"/>
      <c r="AN674" s="245"/>
      <c r="AO674" s="274"/>
      <c r="AP674" s="245"/>
      <c r="AQ674" s="245"/>
      <c r="AR674" s="246"/>
      <c r="AS674" s="245"/>
      <c r="AT674" s="245"/>
      <c r="AU674" s="245"/>
      <c r="AV674" s="245"/>
      <c r="AW674" s="245"/>
      <c r="AX674" s="246"/>
      <c r="AY674" s="245"/>
      <c r="AZ674" s="245"/>
      <c r="BA674" s="246"/>
      <c r="BB674" s="245"/>
      <c r="BC674" s="245"/>
      <c r="BD674" s="245"/>
      <c r="BE674" s="245"/>
      <c r="BF674" s="245"/>
      <c r="BG674" s="245"/>
      <c r="BH674" s="245"/>
      <c r="BI674" s="245"/>
      <c r="BJ674" s="245"/>
      <c r="BK674" s="245"/>
      <c r="BL674" s="245"/>
      <c r="BM674" s="245"/>
      <c r="BN674" s="245"/>
      <c r="BO674" s="245"/>
      <c r="BP674" s="245"/>
      <c r="BQ674" s="245"/>
      <c r="BR674" s="245"/>
      <c r="BS674" s="245"/>
      <c r="BT674" s="246"/>
      <c r="BU674" s="245"/>
      <c r="BV674" s="245"/>
      <c r="BW674" s="245"/>
      <c r="BX674" s="245"/>
      <c r="BY674" s="245"/>
      <c r="BZ674" s="282"/>
      <c r="CA674" s="245"/>
      <c r="CB674" s="245"/>
      <c r="CC674" s="245"/>
      <c r="CD674" s="245"/>
      <c r="CE674" s="245"/>
      <c r="CF674" s="245"/>
    </row>
    <row r="675">
      <c r="A675" s="245"/>
      <c r="B675" s="245"/>
      <c r="C675" s="245"/>
      <c r="D675" s="246"/>
      <c r="E675" s="245"/>
      <c r="F675" s="245"/>
      <c r="G675" s="245"/>
      <c r="H675" s="245"/>
      <c r="I675" s="245"/>
      <c r="J675" s="245"/>
      <c r="K675" s="265"/>
      <c r="L675" s="245"/>
      <c r="M675" s="245"/>
      <c r="N675" s="245"/>
      <c r="O675" s="245"/>
      <c r="P675" s="245"/>
      <c r="Q675" s="247"/>
      <c r="R675" s="254"/>
      <c r="S675" s="245"/>
      <c r="T675" s="245"/>
      <c r="U675" s="245"/>
      <c r="V675" s="245"/>
      <c r="W675" s="245"/>
      <c r="X675" s="245"/>
      <c r="Y675" s="249"/>
      <c r="Z675" s="276"/>
      <c r="AA675" s="245"/>
      <c r="AB675" s="276"/>
      <c r="AC675" s="276"/>
      <c r="AD675" s="246"/>
      <c r="AE675" s="278"/>
      <c r="AF675" s="370"/>
      <c r="AG675" s="371"/>
      <c r="AH675" s="276"/>
      <c r="AI675" s="245"/>
      <c r="AJ675" s="287"/>
      <c r="AK675" s="278"/>
      <c r="AL675" s="246"/>
      <c r="AM675" s="245"/>
      <c r="AN675" s="245"/>
      <c r="AO675" s="274"/>
      <c r="AP675" s="245"/>
      <c r="AQ675" s="245"/>
      <c r="AR675" s="246"/>
      <c r="AS675" s="245"/>
      <c r="AT675" s="245"/>
      <c r="AU675" s="245"/>
      <c r="AV675" s="245"/>
      <c r="AW675" s="245"/>
      <c r="AX675" s="246"/>
      <c r="AY675" s="245"/>
      <c r="AZ675" s="245"/>
      <c r="BA675" s="246"/>
      <c r="BB675" s="245"/>
      <c r="BC675" s="245"/>
      <c r="BD675" s="245"/>
      <c r="BE675" s="245"/>
      <c r="BF675" s="245"/>
      <c r="BG675" s="245"/>
      <c r="BH675" s="245"/>
      <c r="BI675" s="245"/>
      <c r="BJ675" s="245"/>
      <c r="BK675" s="245"/>
      <c r="BL675" s="245"/>
      <c r="BM675" s="245"/>
      <c r="BN675" s="245"/>
      <c r="BO675" s="245"/>
      <c r="BP675" s="245"/>
      <c r="BQ675" s="245"/>
      <c r="BR675" s="245"/>
      <c r="BS675" s="245"/>
      <c r="BT675" s="246"/>
      <c r="BU675" s="245"/>
      <c r="BV675" s="245"/>
      <c r="BW675" s="245"/>
      <c r="BX675" s="245"/>
      <c r="BY675" s="245"/>
      <c r="BZ675" s="282"/>
      <c r="CA675" s="245"/>
      <c r="CB675" s="245"/>
      <c r="CC675" s="245"/>
      <c r="CD675" s="245"/>
      <c r="CE675" s="245"/>
      <c r="CF675" s="245"/>
    </row>
    <row r="676">
      <c r="A676" s="245"/>
      <c r="B676" s="245"/>
      <c r="C676" s="245"/>
      <c r="D676" s="246"/>
      <c r="E676" s="245"/>
      <c r="F676" s="245"/>
      <c r="G676" s="245"/>
      <c r="H676" s="245"/>
      <c r="I676" s="245"/>
      <c r="J676" s="245"/>
      <c r="K676" s="265"/>
      <c r="L676" s="245"/>
      <c r="M676" s="245"/>
      <c r="N676" s="245"/>
      <c r="O676" s="245"/>
      <c r="P676" s="245"/>
      <c r="Q676" s="247"/>
      <c r="R676" s="254"/>
      <c r="S676" s="245"/>
      <c r="T676" s="245"/>
      <c r="U676" s="245"/>
      <c r="V676" s="245"/>
      <c r="W676" s="245"/>
      <c r="X676" s="245"/>
      <c r="Y676" s="249"/>
      <c r="Z676" s="276"/>
      <c r="AA676" s="245"/>
      <c r="AB676" s="276"/>
      <c r="AC676" s="276"/>
      <c r="AD676" s="246"/>
      <c r="AE676" s="278"/>
      <c r="AF676" s="370"/>
      <c r="AG676" s="371"/>
      <c r="AH676" s="276"/>
      <c r="AI676" s="245"/>
      <c r="AJ676" s="287"/>
      <c r="AK676" s="278"/>
      <c r="AL676" s="246"/>
      <c r="AM676" s="245"/>
      <c r="AN676" s="245"/>
      <c r="AO676" s="274"/>
      <c r="AP676" s="245"/>
      <c r="AQ676" s="245"/>
      <c r="AR676" s="246"/>
      <c r="AS676" s="245"/>
      <c r="AT676" s="245"/>
      <c r="AU676" s="245"/>
      <c r="AV676" s="245"/>
      <c r="AW676" s="245"/>
      <c r="AX676" s="246"/>
      <c r="AY676" s="245"/>
      <c r="AZ676" s="245"/>
      <c r="BA676" s="246"/>
      <c r="BB676" s="245"/>
      <c r="BC676" s="245"/>
      <c r="BD676" s="245"/>
      <c r="BE676" s="245"/>
      <c r="BF676" s="245"/>
      <c r="BG676" s="245"/>
      <c r="BH676" s="245"/>
      <c r="BI676" s="245"/>
      <c r="BJ676" s="245"/>
      <c r="BK676" s="245"/>
      <c r="BL676" s="245"/>
      <c r="BM676" s="245"/>
      <c r="BN676" s="245"/>
      <c r="BO676" s="245"/>
      <c r="BP676" s="245"/>
      <c r="BQ676" s="245"/>
      <c r="BR676" s="245"/>
      <c r="BS676" s="245"/>
      <c r="BT676" s="246"/>
      <c r="BU676" s="245"/>
      <c r="BV676" s="245"/>
      <c r="BW676" s="245"/>
      <c r="BX676" s="245"/>
      <c r="BY676" s="245"/>
      <c r="BZ676" s="282"/>
      <c r="CA676" s="245"/>
      <c r="CB676" s="245"/>
      <c r="CC676" s="245"/>
      <c r="CD676" s="245"/>
      <c r="CE676" s="245"/>
      <c r="CF676" s="245"/>
    </row>
    <row r="677">
      <c r="A677" s="245"/>
      <c r="B677" s="245"/>
      <c r="C677" s="245"/>
      <c r="D677" s="246"/>
      <c r="E677" s="245"/>
      <c r="F677" s="245"/>
      <c r="G677" s="245"/>
      <c r="H677" s="245"/>
      <c r="I677" s="245"/>
      <c r="J677" s="245"/>
      <c r="K677" s="265"/>
      <c r="L677" s="245"/>
      <c r="M677" s="245"/>
      <c r="N677" s="245"/>
      <c r="O677" s="245"/>
      <c r="P677" s="245"/>
      <c r="Q677" s="247"/>
      <c r="R677" s="254"/>
      <c r="S677" s="245"/>
      <c r="T677" s="245"/>
      <c r="U677" s="245"/>
      <c r="V677" s="245"/>
      <c r="W677" s="245"/>
      <c r="X677" s="245"/>
      <c r="Y677" s="249"/>
      <c r="Z677" s="276"/>
      <c r="AA677" s="245"/>
      <c r="AB677" s="276"/>
      <c r="AC677" s="276"/>
      <c r="AD677" s="246"/>
      <c r="AE677" s="278"/>
      <c r="AF677" s="370"/>
      <c r="AG677" s="371"/>
      <c r="AH677" s="276"/>
      <c r="AI677" s="245"/>
      <c r="AJ677" s="287"/>
      <c r="AK677" s="278"/>
      <c r="AL677" s="246"/>
      <c r="AM677" s="245"/>
      <c r="AN677" s="245"/>
      <c r="AO677" s="274"/>
      <c r="AP677" s="245"/>
      <c r="AQ677" s="245"/>
      <c r="AR677" s="246"/>
      <c r="AS677" s="245"/>
      <c r="AT677" s="245"/>
      <c r="AU677" s="245"/>
      <c r="AV677" s="245"/>
      <c r="AW677" s="245"/>
      <c r="AX677" s="246"/>
      <c r="AY677" s="245"/>
      <c r="AZ677" s="245"/>
      <c r="BA677" s="246"/>
      <c r="BB677" s="245"/>
      <c r="BC677" s="245"/>
      <c r="BD677" s="245"/>
      <c r="BE677" s="245"/>
      <c r="BF677" s="245"/>
      <c r="BG677" s="245"/>
      <c r="BH677" s="245"/>
      <c r="BI677" s="245"/>
      <c r="BJ677" s="245"/>
      <c r="BK677" s="245"/>
      <c r="BL677" s="245"/>
      <c r="BM677" s="245"/>
      <c r="BN677" s="245"/>
      <c r="BO677" s="245"/>
      <c r="BP677" s="245"/>
      <c r="BQ677" s="245"/>
      <c r="BR677" s="245"/>
      <c r="BS677" s="245"/>
      <c r="BT677" s="246"/>
      <c r="BU677" s="245"/>
      <c r="BV677" s="245"/>
      <c r="BW677" s="245"/>
      <c r="BX677" s="245"/>
      <c r="BY677" s="245"/>
      <c r="BZ677" s="282"/>
      <c r="CA677" s="245"/>
      <c r="CB677" s="245"/>
      <c r="CC677" s="245"/>
      <c r="CD677" s="245"/>
      <c r="CE677" s="245"/>
      <c r="CF677" s="245"/>
    </row>
    <row r="678">
      <c r="A678" s="245"/>
      <c r="B678" s="245"/>
      <c r="C678" s="245"/>
      <c r="D678" s="246"/>
      <c r="E678" s="245"/>
      <c r="F678" s="245"/>
      <c r="G678" s="245"/>
      <c r="H678" s="245"/>
      <c r="I678" s="245"/>
      <c r="J678" s="245"/>
      <c r="K678" s="265"/>
      <c r="L678" s="245"/>
      <c r="M678" s="245"/>
      <c r="N678" s="245"/>
      <c r="O678" s="245"/>
      <c r="P678" s="245"/>
      <c r="Q678" s="247"/>
      <c r="R678" s="254"/>
      <c r="S678" s="245"/>
      <c r="T678" s="245"/>
      <c r="U678" s="245"/>
      <c r="V678" s="245"/>
      <c r="W678" s="245"/>
      <c r="X678" s="245"/>
      <c r="Y678" s="249"/>
      <c r="Z678" s="276"/>
      <c r="AA678" s="245"/>
      <c r="AB678" s="276"/>
      <c r="AC678" s="276"/>
      <c r="AD678" s="246"/>
      <c r="AE678" s="278"/>
      <c r="AF678" s="370"/>
      <c r="AG678" s="371"/>
      <c r="AH678" s="276"/>
      <c r="AI678" s="245"/>
      <c r="AJ678" s="287"/>
      <c r="AK678" s="278"/>
      <c r="AL678" s="246"/>
      <c r="AM678" s="245"/>
      <c r="AN678" s="245"/>
      <c r="AO678" s="274"/>
      <c r="AP678" s="245"/>
      <c r="AQ678" s="245"/>
      <c r="AR678" s="246"/>
      <c r="AS678" s="245"/>
      <c r="AT678" s="245"/>
      <c r="AU678" s="245"/>
      <c r="AV678" s="245"/>
      <c r="AW678" s="245"/>
      <c r="AX678" s="246"/>
      <c r="AY678" s="245"/>
      <c r="AZ678" s="245"/>
      <c r="BA678" s="246"/>
      <c r="BB678" s="245"/>
      <c r="BC678" s="245"/>
      <c r="BD678" s="245"/>
      <c r="BE678" s="245"/>
      <c r="BF678" s="245"/>
      <c r="BG678" s="245"/>
      <c r="BH678" s="245"/>
      <c r="BI678" s="245"/>
      <c r="BJ678" s="245"/>
      <c r="BK678" s="245"/>
      <c r="BL678" s="245"/>
      <c r="BM678" s="245"/>
      <c r="BN678" s="245"/>
      <c r="BO678" s="245"/>
      <c r="BP678" s="245"/>
      <c r="BQ678" s="245"/>
      <c r="BR678" s="245"/>
      <c r="BS678" s="245"/>
      <c r="BT678" s="246"/>
      <c r="BU678" s="245"/>
      <c r="BV678" s="245"/>
      <c r="BW678" s="245"/>
      <c r="BX678" s="245"/>
      <c r="BY678" s="245"/>
      <c r="BZ678" s="282"/>
      <c r="CA678" s="245"/>
      <c r="CB678" s="245"/>
      <c r="CC678" s="245"/>
      <c r="CD678" s="245"/>
      <c r="CE678" s="245"/>
      <c r="CF678" s="245"/>
    </row>
    <row r="679">
      <c r="A679" s="245"/>
      <c r="B679" s="245"/>
      <c r="C679" s="245"/>
      <c r="D679" s="246"/>
      <c r="E679" s="245"/>
      <c r="F679" s="245"/>
      <c r="G679" s="245"/>
      <c r="H679" s="245"/>
      <c r="I679" s="245"/>
      <c r="J679" s="245"/>
      <c r="K679" s="265"/>
      <c r="L679" s="245"/>
      <c r="M679" s="245"/>
      <c r="N679" s="245"/>
      <c r="O679" s="245"/>
      <c r="P679" s="245"/>
      <c r="Q679" s="247"/>
      <c r="R679" s="254"/>
      <c r="S679" s="245"/>
      <c r="T679" s="245"/>
      <c r="U679" s="245"/>
      <c r="V679" s="245"/>
      <c r="W679" s="245"/>
      <c r="X679" s="245"/>
      <c r="Y679" s="249"/>
      <c r="Z679" s="276"/>
      <c r="AA679" s="245"/>
      <c r="AB679" s="276"/>
      <c r="AC679" s="276"/>
      <c r="AD679" s="246"/>
      <c r="AE679" s="278"/>
      <c r="AF679" s="370"/>
      <c r="AG679" s="371"/>
      <c r="AH679" s="276"/>
      <c r="AI679" s="245"/>
      <c r="AJ679" s="287"/>
      <c r="AK679" s="278"/>
      <c r="AL679" s="246"/>
      <c r="AM679" s="245"/>
      <c r="AN679" s="245"/>
      <c r="AO679" s="274"/>
      <c r="AP679" s="245"/>
      <c r="AQ679" s="245"/>
      <c r="AR679" s="246"/>
      <c r="AS679" s="245"/>
      <c r="AT679" s="245"/>
      <c r="AU679" s="245"/>
      <c r="AV679" s="245"/>
      <c r="AW679" s="245"/>
      <c r="AX679" s="246"/>
      <c r="AY679" s="245"/>
      <c r="AZ679" s="245"/>
      <c r="BA679" s="246"/>
      <c r="BB679" s="245"/>
      <c r="BC679" s="245"/>
      <c r="BD679" s="245"/>
      <c r="BE679" s="245"/>
      <c r="BF679" s="245"/>
      <c r="BG679" s="245"/>
      <c r="BH679" s="245"/>
      <c r="BI679" s="245"/>
      <c r="BJ679" s="245"/>
      <c r="BK679" s="245"/>
      <c r="BL679" s="245"/>
      <c r="BM679" s="245"/>
      <c r="BN679" s="245"/>
      <c r="BO679" s="245"/>
      <c r="BP679" s="245"/>
      <c r="BQ679" s="245"/>
      <c r="BR679" s="245"/>
      <c r="BS679" s="245"/>
      <c r="BT679" s="246"/>
      <c r="BU679" s="245"/>
      <c r="BV679" s="245"/>
      <c r="BW679" s="245"/>
      <c r="BX679" s="245"/>
      <c r="BY679" s="245"/>
      <c r="BZ679" s="282"/>
      <c r="CA679" s="245"/>
      <c r="CB679" s="245"/>
      <c r="CC679" s="245"/>
      <c r="CD679" s="245"/>
      <c r="CE679" s="245"/>
      <c r="CF679" s="245"/>
    </row>
    <row r="680">
      <c r="A680" s="245"/>
      <c r="B680" s="245"/>
      <c r="C680" s="245"/>
      <c r="D680" s="246"/>
      <c r="E680" s="245"/>
      <c r="F680" s="245"/>
      <c r="G680" s="245"/>
      <c r="H680" s="245"/>
      <c r="I680" s="245"/>
      <c r="J680" s="245"/>
      <c r="K680" s="265"/>
      <c r="L680" s="245"/>
      <c r="M680" s="245"/>
      <c r="N680" s="245"/>
      <c r="O680" s="245"/>
      <c r="P680" s="245"/>
      <c r="Q680" s="247"/>
      <c r="R680" s="254"/>
      <c r="S680" s="245"/>
      <c r="T680" s="245"/>
      <c r="U680" s="245"/>
      <c r="V680" s="245"/>
      <c r="W680" s="245"/>
      <c r="X680" s="245"/>
      <c r="Y680" s="249"/>
      <c r="Z680" s="276"/>
      <c r="AA680" s="245"/>
      <c r="AB680" s="276"/>
      <c r="AC680" s="276"/>
      <c r="AD680" s="246"/>
      <c r="AE680" s="278"/>
      <c r="AF680" s="370"/>
      <c r="AG680" s="371"/>
      <c r="AH680" s="276"/>
      <c r="AI680" s="245"/>
      <c r="AJ680" s="287"/>
      <c r="AK680" s="278"/>
      <c r="AL680" s="246"/>
      <c r="AM680" s="245"/>
      <c r="AN680" s="245"/>
      <c r="AO680" s="274"/>
      <c r="AP680" s="245"/>
      <c r="AQ680" s="245"/>
      <c r="AR680" s="246"/>
      <c r="AS680" s="245"/>
      <c r="AT680" s="245"/>
      <c r="AU680" s="245"/>
      <c r="AV680" s="245"/>
      <c r="AW680" s="245"/>
      <c r="AX680" s="246"/>
      <c r="AY680" s="245"/>
      <c r="AZ680" s="245"/>
      <c r="BA680" s="246"/>
      <c r="BB680" s="245"/>
      <c r="BC680" s="245"/>
      <c r="BD680" s="245"/>
      <c r="BE680" s="245"/>
      <c r="BF680" s="245"/>
      <c r="BG680" s="245"/>
      <c r="BH680" s="245"/>
      <c r="BI680" s="245"/>
      <c r="BJ680" s="245"/>
      <c r="BK680" s="245"/>
      <c r="BL680" s="245"/>
      <c r="BM680" s="245"/>
      <c r="BN680" s="245"/>
      <c r="BO680" s="245"/>
      <c r="BP680" s="245"/>
      <c r="BQ680" s="245"/>
      <c r="BR680" s="245"/>
      <c r="BS680" s="245"/>
      <c r="BT680" s="246"/>
      <c r="BU680" s="245"/>
      <c r="BV680" s="245"/>
      <c r="BW680" s="245"/>
      <c r="BX680" s="245"/>
      <c r="BY680" s="245"/>
      <c r="BZ680" s="282"/>
      <c r="CA680" s="245"/>
      <c r="CB680" s="245"/>
      <c r="CC680" s="245"/>
      <c r="CD680" s="245"/>
      <c r="CE680" s="245"/>
      <c r="CF680" s="245"/>
    </row>
    <row r="681">
      <c r="A681" s="245"/>
      <c r="B681" s="245"/>
      <c r="C681" s="245"/>
      <c r="D681" s="246"/>
      <c r="E681" s="245"/>
      <c r="F681" s="245"/>
      <c r="G681" s="245"/>
      <c r="H681" s="245"/>
      <c r="I681" s="245"/>
      <c r="J681" s="245"/>
      <c r="K681" s="265"/>
      <c r="L681" s="245"/>
      <c r="M681" s="245"/>
      <c r="N681" s="245"/>
      <c r="O681" s="245"/>
      <c r="P681" s="245"/>
      <c r="Q681" s="247"/>
      <c r="R681" s="254"/>
      <c r="S681" s="245"/>
      <c r="T681" s="245"/>
      <c r="U681" s="245"/>
      <c r="V681" s="245"/>
      <c r="W681" s="245"/>
      <c r="X681" s="245"/>
      <c r="Y681" s="249"/>
      <c r="Z681" s="276"/>
      <c r="AA681" s="245"/>
      <c r="AB681" s="276"/>
      <c r="AC681" s="276"/>
      <c r="AD681" s="246"/>
      <c r="AE681" s="278"/>
      <c r="AF681" s="370"/>
      <c r="AG681" s="371"/>
      <c r="AH681" s="276"/>
      <c r="AI681" s="245"/>
      <c r="AJ681" s="287"/>
      <c r="AK681" s="278"/>
      <c r="AL681" s="246"/>
      <c r="AM681" s="245"/>
      <c r="AN681" s="245"/>
      <c r="AO681" s="274"/>
      <c r="AP681" s="245"/>
      <c r="AQ681" s="245"/>
      <c r="AR681" s="246"/>
      <c r="AS681" s="245"/>
      <c r="AT681" s="245"/>
      <c r="AU681" s="245"/>
      <c r="AV681" s="245"/>
      <c r="AW681" s="245"/>
      <c r="AX681" s="246"/>
      <c r="AY681" s="245"/>
      <c r="AZ681" s="245"/>
      <c r="BA681" s="246"/>
      <c r="BB681" s="245"/>
      <c r="BC681" s="245"/>
      <c r="BD681" s="245"/>
      <c r="BE681" s="245"/>
      <c r="BF681" s="245"/>
      <c r="BG681" s="245"/>
      <c r="BH681" s="245"/>
      <c r="BI681" s="245"/>
      <c r="BJ681" s="245"/>
      <c r="BK681" s="245"/>
      <c r="BL681" s="245"/>
      <c r="BM681" s="245"/>
      <c r="BN681" s="245"/>
      <c r="BO681" s="245"/>
      <c r="BP681" s="245"/>
      <c r="BQ681" s="245"/>
      <c r="BR681" s="245"/>
      <c r="BS681" s="245"/>
      <c r="BT681" s="246"/>
      <c r="BU681" s="245"/>
      <c r="BV681" s="245"/>
      <c r="BW681" s="245"/>
      <c r="BX681" s="245"/>
      <c r="BY681" s="245"/>
      <c r="BZ681" s="282"/>
      <c r="CA681" s="245"/>
      <c r="CB681" s="245"/>
      <c r="CC681" s="245"/>
      <c r="CD681" s="245"/>
      <c r="CE681" s="245"/>
      <c r="CF681" s="245"/>
    </row>
    <row r="682">
      <c r="A682" s="245"/>
      <c r="B682" s="245"/>
      <c r="C682" s="245"/>
      <c r="D682" s="246"/>
      <c r="E682" s="245"/>
      <c r="F682" s="245"/>
      <c r="G682" s="245"/>
      <c r="H682" s="245"/>
      <c r="I682" s="245"/>
      <c r="J682" s="245"/>
      <c r="K682" s="265"/>
      <c r="L682" s="245"/>
      <c r="M682" s="245"/>
      <c r="N682" s="245"/>
      <c r="O682" s="245"/>
      <c r="P682" s="245"/>
      <c r="Q682" s="247"/>
      <c r="R682" s="254"/>
      <c r="S682" s="245"/>
      <c r="T682" s="245"/>
      <c r="U682" s="245"/>
      <c r="V682" s="245"/>
      <c r="W682" s="245"/>
      <c r="X682" s="245"/>
      <c r="Y682" s="249"/>
      <c r="Z682" s="276"/>
      <c r="AA682" s="245"/>
      <c r="AB682" s="276"/>
      <c r="AC682" s="276"/>
      <c r="AD682" s="246"/>
      <c r="AE682" s="278"/>
      <c r="AF682" s="370"/>
      <c r="AG682" s="371"/>
      <c r="AH682" s="276"/>
      <c r="AI682" s="245"/>
      <c r="AJ682" s="287"/>
      <c r="AK682" s="278"/>
      <c r="AL682" s="246"/>
      <c r="AM682" s="245"/>
      <c r="AN682" s="245"/>
      <c r="AO682" s="274"/>
      <c r="AP682" s="245"/>
      <c r="AQ682" s="245"/>
      <c r="AR682" s="246"/>
      <c r="AS682" s="245"/>
      <c r="AT682" s="245"/>
      <c r="AU682" s="245"/>
      <c r="AV682" s="245"/>
      <c r="AW682" s="245"/>
      <c r="AX682" s="246"/>
      <c r="AY682" s="245"/>
      <c r="AZ682" s="245"/>
      <c r="BA682" s="246"/>
      <c r="BB682" s="245"/>
      <c r="BC682" s="245"/>
      <c r="BD682" s="245"/>
      <c r="BE682" s="245"/>
      <c r="BF682" s="245"/>
      <c r="BG682" s="245"/>
      <c r="BH682" s="245"/>
      <c r="BI682" s="245"/>
      <c r="BJ682" s="245"/>
      <c r="BK682" s="245"/>
      <c r="BL682" s="245"/>
      <c r="BM682" s="245"/>
      <c r="BN682" s="245"/>
      <c r="BO682" s="245"/>
      <c r="BP682" s="245"/>
      <c r="BQ682" s="245"/>
      <c r="BR682" s="245"/>
      <c r="BS682" s="245"/>
      <c r="BT682" s="246"/>
      <c r="BU682" s="245"/>
      <c r="BV682" s="245"/>
      <c r="BW682" s="245"/>
      <c r="BX682" s="245"/>
      <c r="BY682" s="245"/>
      <c r="BZ682" s="282"/>
      <c r="CA682" s="245"/>
      <c r="CB682" s="245"/>
      <c r="CC682" s="245"/>
      <c r="CD682" s="245"/>
      <c r="CE682" s="245"/>
      <c r="CF682" s="245"/>
    </row>
    <row r="683">
      <c r="A683" s="245"/>
      <c r="B683" s="245"/>
      <c r="C683" s="245"/>
      <c r="D683" s="246"/>
      <c r="E683" s="245"/>
      <c r="F683" s="245"/>
      <c r="G683" s="245"/>
      <c r="H683" s="245"/>
      <c r="I683" s="245"/>
      <c r="J683" s="245"/>
      <c r="K683" s="265"/>
      <c r="L683" s="245"/>
      <c r="M683" s="245"/>
      <c r="N683" s="245"/>
      <c r="O683" s="245"/>
      <c r="P683" s="245"/>
      <c r="Q683" s="247"/>
      <c r="R683" s="254"/>
      <c r="S683" s="245"/>
      <c r="T683" s="245"/>
      <c r="U683" s="245"/>
      <c r="V683" s="245"/>
      <c r="W683" s="245"/>
      <c r="X683" s="245"/>
      <c r="Y683" s="249"/>
      <c r="Z683" s="276"/>
      <c r="AA683" s="245"/>
      <c r="AB683" s="276"/>
      <c r="AC683" s="276"/>
      <c r="AD683" s="246"/>
      <c r="AE683" s="278"/>
      <c r="AF683" s="370"/>
      <c r="AG683" s="371"/>
      <c r="AH683" s="276"/>
      <c r="AI683" s="245"/>
      <c r="AJ683" s="287"/>
      <c r="AK683" s="278"/>
      <c r="AL683" s="246"/>
      <c r="AM683" s="245"/>
      <c r="AN683" s="245"/>
      <c r="AO683" s="274"/>
      <c r="AP683" s="245"/>
      <c r="AQ683" s="245"/>
      <c r="AR683" s="246"/>
      <c r="AS683" s="245"/>
      <c r="AT683" s="245"/>
      <c r="AU683" s="245"/>
      <c r="AV683" s="245"/>
      <c r="AW683" s="245"/>
      <c r="AX683" s="246"/>
      <c r="AY683" s="245"/>
      <c r="AZ683" s="245"/>
      <c r="BA683" s="246"/>
      <c r="BB683" s="245"/>
      <c r="BC683" s="245"/>
      <c r="BD683" s="245"/>
      <c r="BE683" s="245"/>
      <c r="BF683" s="245"/>
      <c r="BG683" s="245"/>
      <c r="BH683" s="245"/>
      <c r="BI683" s="245"/>
      <c r="BJ683" s="245"/>
      <c r="BK683" s="245"/>
      <c r="BL683" s="245"/>
      <c r="BM683" s="245"/>
      <c r="BN683" s="245"/>
      <c r="BO683" s="245"/>
      <c r="BP683" s="245"/>
      <c r="BQ683" s="245"/>
      <c r="BR683" s="245"/>
      <c r="BS683" s="245"/>
      <c r="BT683" s="246"/>
      <c r="BU683" s="245"/>
      <c r="BV683" s="245"/>
      <c r="BW683" s="245"/>
      <c r="BX683" s="245"/>
      <c r="BY683" s="245"/>
      <c r="BZ683" s="282"/>
      <c r="CA683" s="245"/>
      <c r="CB683" s="245"/>
      <c r="CC683" s="245"/>
      <c r="CD683" s="245"/>
      <c r="CE683" s="245"/>
      <c r="CF683" s="245"/>
    </row>
    <row r="684">
      <c r="A684" s="245"/>
      <c r="B684" s="245"/>
      <c r="C684" s="245"/>
      <c r="D684" s="246"/>
      <c r="E684" s="245"/>
      <c r="F684" s="245"/>
      <c r="G684" s="245"/>
      <c r="H684" s="245"/>
      <c r="I684" s="245"/>
      <c r="J684" s="245"/>
      <c r="K684" s="265"/>
      <c r="L684" s="245"/>
      <c r="M684" s="245"/>
      <c r="N684" s="245"/>
      <c r="O684" s="245"/>
      <c r="P684" s="245"/>
      <c r="Q684" s="247"/>
      <c r="R684" s="254"/>
      <c r="S684" s="245"/>
      <c r="T684" s="245"/>
      <c r="U684" s="245"/>
      <c r="V684" s="245"/>
      <c r="W684" s="245"/>
      <c r="X684" s="245"/>
      <c r="Y684" s="249"/>
      <c r="Z684" s="276"/>
      <c r="AA684" s="245"/>
      <c r="AB684" s="276"/>
      <c r="AC684" s="276"/>
      <c r="AD684" s="246"/>
      <c r="AE684" s="278"/>
      <c r="AF684" s="370"/>
      <c r="AG684" s="371"/>
      <c r="AH684" s="276"/>
      <c r="AI684" s="245"/>
      <c r="AJ684" s="287"/>
      <c r="AK684" s="278"/>
      <c r="AL684" s="246"/>
      <c r="AM684" s="245"/>
      <c r="AN684" s="245"/>
      <c r="AO684" s="274"/>
      <c r="AP684" s="245"/>
      <c r="AQ684" s="245"/>
      <c r="AR684" s="246"/>
      <c r="AS684" s="245"/>
      <c r="AT684" s="245"/>
      <c r="AU684" s="245"/>
      <c r="AV684" s="245"/>
      <c r="AW684" s="245"/>
      <c r="AX684" s="246"/>
      <c r="AY684" s="245"/>
      <c r="AZ684" s="245"/>
      <c r="BA684" s="246"/>
      <c r="BB684" s="245"/>
      <c r="BC684" s="245"/>
      <c r="BD684" s="245"/>
      <c r="BE684" s="245"/>
      <c r="BF684" s="245"/>
      <c r="BG684" s="245"/>
      <c r="BH684" s="245"/>
      <c r="BI684" s="245"/>
      <c r="BJ684" s="245"/>
      <c r="BK684" s="245"/>
      <c r="BL684" s="245"/>
      <c r="BM684" s="245"/>
      <c r="BN684" s="245"/>
      <c r="BO684" s="245"/>
      <c r="BP684" s="245"/>
      <c r="BQ684" s="245"/>
      <c r="BR684" s="245"/>
      <c r="BS684" s="245"/>
      <c r="BT684" s="246"/>
      <c r="BU684" s="245"/>
      <c r="BV684" s="245"/>
      <c r="BW684" s="245"/>
      <c r="BX684" s="245"/>
      <c r="BY684" s="245"/>
      <c r="BZ684" s="282"/>
      <c r="CA684" s="245"/>
      <c r="CB684" s="245"/>
      <c r="CC684" s="245"/>
      <c r="CD684" s="245"/>
      <c r="CE684" s="245"/>
      <c r="CF684" s="245"/>
    </row>
    <row r="685">
      <c r="A685" s="245"/>
      <c r="B685" s="245"/>
      <c r="C685" s="245"/>
      <c r="D685" s="246"/>
      <c r="E685" s="245"/>
      <c r="F685" s="245"/>
      <c r="G685" s="245"/>
      <c r="H685" s="245"/>
      <c r="I685" s="245"/>
      <c r="J685" s="245"/>
      <c r="K685" s="265"/>
      <c r="L685" s="245"/>
      <c r="M685" s="245"/>
      <c r="N685" s="245"/>
      <c r="O685" s="245"/>
      <c r="P685" s="245"/>
      <c r="Q685" s="247"/>
      <c r="R685" s="254"/>
      <c r="S685" s="245"/>
      <c r="T685" s="245"/>
      <c r="U685" s="245"/>
      <c r="V685" s="245"/>
      <c r="W685" s="245"/>
      <c r="X685" s="245"/>
      <c r="Y685" s="249"/>
      <c r="Z685" s="276"/>
      <c r="AA685" s="245"/>
      <c r="AB685" s="276"/>
      <c r="AC685" s="276"/>
      <c r="AD685" s="246"/>
      <c r="AE685" s="278"/>
      <c r="AF685" s="370"/>
      <c r="AG685" s="371"/>
      <c r="AH685" s="276"/>
      <c r="AI685" s="245"/>
      <c r="AJ685" s="287"/>
      <c r="AK685" s="278"/>
      <c r="AL685" s="246"/>
      <c r="AM685" s="245"/>
      <c r="AN685" s="245"/>
      <c r="AO685" s="274"/>
      <c r="AP685" s="245"/>
      <c r="AQ685" s="245"/>
      <c r="AR685" s="246"/>
      <c r="AS685" s="245"/>
      <c r="AT685" s="245"/>
      <c r="AU685" s="245"/>
      <c r="AV685" s="245"/>
      <c r="AW685" s="245"/>
      <c r="AX685" s="246"/>
      <c r="AY685" s="245"/>
      <c r="AZ685" s="245"/>
      <c r="BA685" s="246"/>
      <c r="BB685" s="245"/>
      <c r="BC685" s="245"/>
      <c r="BD685" s="245"/>
      <c r="BE685" s="245"/>
      <c r="BF685" s="245"/>
      <c r="BG685" s="245"/>
      <c r="BH685" s="245"/>
      <c r="BI685" s="245"/>
      <c r="BJ685" s="245"/>
      <c r="BK685" s="245"/>
      <c r="BL685" s="245"/>
      <c r="BM685" s="245"/>
      <c r="BN685" s="245"/>
      <c r="BO685" s="245"/>
      <c r="BP685" s="245"/>
      <c r="BQ685" s="245"/>
      <c r="BR685" s="245"/>
      <c r="BS685" s="245"/>
      <c r="BT685" s="246"/>
      <c r="BU685" s="245"/>
      <c r="BV685" s="245"/>
      <c r="BW685" s="245"/>
      <c r="BX685" s="245"/>
      <c r="BY685" s="245"/>
      <c r="BZ685" s="282"/>
      <c r="CA685" s="245"/>
      <c r="CB685" s="245"/>
      <c r="CC685" s="245"/>
      <c r="CD685" s="245"/>
      <c r="CE685" s="245"/>
      <c r="CF685" s="245"/>
    </row>
    <row r="686">
      <c r="A686" s="245"/>
      <c r="B686" s="245"/>
      <c r="C686" s="245"/>
      <c r="D686" s="246"/>
      <c r="E686" s="245"/>
      <c r="F686" s="245"/>
      <c r="G686" s="245"/>
      <c r="H686" s="245"/>
      <c r="I686" s="245"/>
      <c r="J686" s="245"/>
      <c r="K686" s="265"/>
      <c r="L686" s="245"/>
      <c r="M686" s="245"/>
      <c r="N686" s="245"/>
      <c r="O686" s="245"/>
      <c r="P686" s="245"/>
      <c r="Q686" s="247"/>
      <c r="R686" s="254"/>
      <c r="S686" s="245"/>
      <c r="T686" s="245"/>
      <c r="U686" s="245"/>
      <c r="V686" s="245"/>
      <c r="W686" s="245"/>
      <c r="X686" s="245"/>
      <c r="Y686" s="249"/>
      <c r="Z686" s="276"/>
      <c r="AA686" s="245"/>
      <c r="AB686" s="276"/>
      <c r="AC686" s="276"/>
      <c r="AD686" s="246"/>
      <c r="AE686" s="278"/>
      <c r="AF686" s="370"/>
      <c r="AG686" s="371"/>
      <c r="AH686" s="276"/>
      <c r="AI686" s="245"/>
      <c r="AJ686" s="287"/>
      <c r="AK686" s="278"/>
      <c r="AL686" s="246"/>
      <c r="AM686" s="245"/>
      <c r="AN686" s="245"/>
      <c r="AO686" s="274"/>
      <c r="AP686" s="245"/>
      <c r="AQ686" s="245"/>
      <c r="AR686" s="246"/>
      <c r="AS686" s="245"/>
      <c r="AT686" s="245"/>
      <c r="AU686" s="245"/>
      <c r="AV686" s="245"/>
      <c r="AW686" s="245"/>
      <c r="AX686" s="246"/>
      <c r="AY686" s="245"/>
      <c r="AZ686" s="245"/>
      <c r="BA686" s="246"/>
      <c r="BB686" s="245"/>
      <c r="BC686" s="245"/>
      <c r="BD686" s="245"/>
      <c r="BE686" s="245"/>
      <c r="BF686" s="245"/>
      <c r="BG686" s="245"/>
      <c r="BH686" s="245"/>
      <c r="BI686" s="245"/>
      <c r="BJ686" s="245"/>
      <c r="BK686" s="245"/>
      <c r="BL686" s="245"/>
      <c r="BM686" s="245"/>
      <c r="BN686" s="245"/>
      <c r="BO686" s="245"/>
      <c r="BP686" s="245"/>
      <c r="BQ686" s="245"/>
      <c r="BR686" s="245"/>
      <c r="BS686" s="245"/>
      <c r="BT686" s="246"/>
      <c r="BU686" s="245"/>
      <c r="BV686" s="245"/>
      <c r="BW686" s="245"/>
      <c r="BX686" s="245"/>
      <c r="BY686" s="245"/>
      <c r="BZ686" s="282"/>
      <c r="CA686" s="245"/>
      <c r="CB686" s="245"/>
      <c r="CC686" s="245"/>
      <c r="CD686" s="245"/>
      <c r="CE686" s="245"/>
      <c r="CF686" s="245"/>
    </row>
    <row r="687">
      <c r="A687" s="245"/>
      <c r="B687" s="245"/>
      <c r="C687" s="245"/>
      <c r="D687" s="246"/>
      <c r="E687" s="245"/>
      <c r="F687" s="245"/>
      <c r="G687" s="245"/>
      <c r="H687" s="245"/>
      <c r="I687" s="245"/>
      <c r="J687" s="245"/>
      <c r="K687" s="265"/>
      <c r="L687" s="245"/>
      <c r="M687" s="245"/>
      <c r="N687" s="245"/>
      <c r="O687" s="245"/>
      <c r="P687" s="245"/>
      <c r="Q687" s="247"/>
      <c r="R687" s="254"/>
      <c r="S687" s="245"/>
      <c r="T687" s="245"/>
      <c r="U687" s="245"/>
      <c r="V687" s="245"/>
      <c r="W687" s="245"/>
      <c r="X687" s="245"/>
      <c r="Y687" s="249"/>
      <c r="Z687" s="276"/>
      <c r="AA687" s="245"/>
      <c r="AB687" s="276"/>
      <c r="AC687" s="276"/>
      <c r="AD687" s="246"/>
      <c r="AE687" s="278"/>
      <c r="AF687" s="370"/>
      <c r="AG687" s="371"/>
      <c r="AH687" s="276"/>
      <c r="AI687" s="245"/>
      <c r="AJ687" s="287"/>
      <c r="AK687" s="278"/>
      <c r="AL687" s="246"/>
      <c r="AM687" s="245"/>
      <c r="AN687" s="245"/>
      <c r="AO687" s="274"/>
      <c r="AP687" s="245"/>
      <c r="AQ687" s="245"/>
      <c r="AR687" s="246"/>
      <c r="AS687" s="245"/>
      <c r="AT687" s="245"/>
      <c r="AU687" s="245"/>
      <c r="AV687" s="245"/>
      <c r="AW687" s="245"/>
      <c r="AX687" s="246"/>
      <c r="AY687" s="245"/>
      <c r="AZ687" s="245"/>
      <c r="BA687" s="246"/>
      <c r="BB687" s="245"/>
      <c r="BC687" s="245"/>
      <c r="BD687" s="245"/>
      <c r="BE687" s="245"/>
      <c r="BF687" s="245"/>
      <c r="BG687" s="245"/>
      <c r="BH687" s="245"/>
      <c r="BI687" s="245"/>
      <c r="BJ687" s="245"/>
      <c r="BK687" s="245"/>
      <c r="BL687" s="245"/>
      <c r="BM687" s="245"/>
      <c r="BN687" s="245"/>
      <c r="BO687" s="245"/>
      <c r="BP687" s="245"/>
      <c r="BQ687" s="245"/>
      <c r="BR687" s="245"/>
      <c r="BS687" s="245"/>
      <c r="BT687" s="246"/>
      <c r="BU687" s="245"/>
      <c r="BV687" s="245"/>
      <c r="BW687" s="245"/>
      <c r="BX687" s="245"/>
      <c r="BY687" s="245"/>
      <c r="BZ687" s="282"/>
      <c r="CA687" s="245"/>
      <c r="CB687" s="245"/>
      <c r="CC687" s="245"/>
      <c r="CD687" s="245"/>
      <c r="CE687" s="245"/>
      <c r="CF687" s="245"/>
    </row>
    <row r="688">
      <c r="A688" s="245"/>
      <c r="B688" s="245"/>
      <c r="C688" s="245"/>
      <c r="D688" s="246"/>
      <c r="E688" s="245"/>
      <c r="F688" s="245"/>
      <c r="G688" s="245"/>
      <c r="H688" s="245"/>
      <c r="I688" s="245"/>
      <c r="J688" s="245"/>
      <c r="K688" s="265"/>
      <c r="L688" s="245"/>
      <c r="M688" s="245"/>
      <c r="N688" s="245"/>
      <c r="O688" s="245"/>
      <c r="P688" s="245"/>
      <c r="Q688" s="247"/>
      <c r="R688" s="254"/>
      <c r="S688" s="245"/>
      <c r="T688" s="245"/>
      <c r="U688" s="245"/>
      <c r="V688" s="245"/>
      <c r="W688" s="245"/>
      <c r="X688" s="245"/>
      <c r="Y688" s="249"/>
      <c r="Z688" s="276"/>
      <c r="AA688" s="245"/>
      <c r="AB688" s="276"/>
      <c r="AC688" s="276"/>
      <c r="AD688" s="246"/>
      <c r="AE688" s="278"/>
      <c r="AF688" s="370"/>
      <c r="AG688" s="371"/>
      <c r="AH688" s="276"/>
      <c r="AI688" s="245"/>
      <c r="AJ688" s="287"/>
      <c r="AK688" s="278"/>
      <c r="AL688" s="246"/>
      <c r="AM688" s="245"/>
      <c r="AN688" s="245"/>
      <c r="AO688" s="274"/>
      <c r="AP688" s="245"/>
      <c r="AQ688" s="245"/>
      <c r="AR688" s="246"/>
      <c r="AS688" s="245"/>
      <c r="AT688" s="245"/>
      <c r="AU688" s="245"/>
      <c r="AV688" s="245"/>
      <c r="AW688" s="245"/>
      <c r="AX688" s="246"/>
      <c r="AY688" s="245"/>
      <c r="AZ688" s="245"/>
      <c r="BA688" s="246"/>
      <c r="BB688" s="245"/>
      <c r="BC688" s="245"/>
      <c r="BD688" s="245"/>
      <c r="BE688" s="245"/>
      <c r="BF688" s="245"/>
      <c r="BG688" s="245"/>
      <c r="BH688" s="245"/>
      <c r="BI688" s="245"/>
      <c r="BJ688" s="245"/>
      <c r="BK688" s="245"/>
      <c r="BL688" s="245"/>
      <c r="BM688" s="245"/>
      <c r="BN688" s="245"/>
      <c r="BO688" s="245"/>
      <c r="BP688" s="245"/>
      <c r="BQ688" s="245"/>
      <c r="BR688" s="245"/>
      <c r="BS688" s="245"/>
      <c r="BT688" s="246"/>
      <c r="BU688" s="245"/>
      <c r="BV688" s="245"/>
      <c r="BW688" s="245"/>
      <c r="BX688" s="245"/>
      <c r="BY688" s="245"/>
      <c r="BZ688" s="282"/>
      <c r="CA688" s="245"/>
      <c r="CB688" s="245"/>
      <c r="CC688" s="245"/>
      <c r="CD688" s="245"/>
      <c r="CE688" s="245"/>
      <c r="CF688" s="245"/>
    </row>
    <row r="689">
      <c r="A689" s="245"/>
      <c r="B689" s="245"/>
      <c r="C689" s="245"/>
      <c r="D689" s="246"/>
      <c r="E689" s="245"/>
      <c r="F689" s="245"/>
      <c r="G689" s="245"/>
      <c r="H689" s="245"/>
      <c r="I689" s="245"/>
      <c r="J689" s="245"/>
      <c r="K689" s="265"/>
      <c r="L689" s="245"/>
      <c r="M689" s="245"/>
      <c r="N689" s="245"/>
      <c r="O689" s="245"/>
      <c r="P689" s="245"/>
      <c r="Q689" s="247"/>
      <c r="R689" s="254"/>
      <c r="S689" s="245"/>
      <c r="T689" s="245"/>
      <c r="U689" s="245"/>
      <c r="V689" s="245"/>
      <c r="W689" s="245"/>
      <c r="X689" s="245"/>
      <c r="Y689" s="249"/>
      <c r="Z689" s="276"/>
      <c r="AA689" s="245"/>
      <c r="AB689" s="276"/>
      <c r="AC689" s="276"/>
      <c r="AD689" s="246"/>
      <c r="AE689" s="278"/>
      <c r="AF689" s="370"/>
      <c r="AG689" s="371"/>
      <c r="AH689" s="276"/>
      <c r="AI689" s="245"/>
      <c r="AJ689" s="287"/>
      <c r="AK689" s="278"/>
      <c r="AL689" s="246"/>
      <c r="AM689" s="245"/>
      <c r="AN689" s="245"/>
      <c r="AO689" s="274"/>
      <c r="AP689" s="245"/>
      <c r="AQ689" s="245"/>
      <c r="AR689" s="246"/>
      <c r="AS689" s="245"/>
      <c r="AT689" s="245"/>
      <c r="AU689" s="245"/>
      <c r="AV689" s="245"/>
      <c r="AW689" s="245"/>
      <c r="AX689" s="246"/>
      <c r="AY689" s="245"/>
      <c r="AZ689" s="245"/>
      <c r="BA689" s="246"/>
      <c r="BB689" s="245"/>
      <c r="BC689" s="245"/>
      <c r="BD689" s="245"/>
      <c r="BE689" s="245"/>
      <c r="BF689" s="245"/>
      <c r="BG689" s="245"/>
      <c r="BH689" s="245"/>
      <c r="BI689" s="245"/>
      <c r="BJ689" s="245"/>
      <c r="BK689" s="245"/>
      <c r="BL689" s="245"/>
      <c r="BM689" s="245"/>
      <c r="BN689" s="245"/>
      <c r="BO689" s="245"/>
      <c r="BP689" s="245"/>
      <c r="BQ689" s="245"/>
      <c r="BR689" s="245"/>
      <c r="BS689" s="245"/>
      <c r="BT689" s="246"/>
      <c r="BU689" s="245"/>
      <c r="BV689" s="245"/>
      <c r="BW689" s="245"/>
      <c r="BX689" s="245"/>
      <c r="BY689" s="245"/>
      <c r="BZ689" s="282"/>
      <c r="CA689" s="245"/>
      <c r="CB689" s="245"/>
      <c r="CC689" s="245"/>
      <c r="CD689" s="245"/>
      <c r="CE689" s="245"/>
      <c r="CF689" s="245"/>
    </row>
    <row r="690">
      <c r="A690" s="245"/>
      <c r="B690" s="245"/>
      <c r="C690" s="245"/>
      <c r="D690" s="246"/>
      <c r="E690" s="245"/>
      <c r="F690" s="245"/>
      <c r="G690" s="245"/>
      <c r="H690" s="245"/>
      <c r="I690" s="245"/>
      <c r="J690" s="245"/>
      <c r="K690" s="265"/>
      <c r="L690" s="245"/>
      <c r="M690" s="245"/>
      <c r="N690" s="245"/>
      <c r="O690" s="245"/>
      <c r="P690" s="245"/>
      <c r="Q690" s="247"/>
      <c r="R690" s="254"/>
      <c r="S690" s="245"/>
      <c r="T690" s="245"/>
      <c r="U690" s="245"/>
      <c r="V690" s="245"/>
      <c r="W690" s="245"/>
      <c r="X690" s="245"/>
      <c r="Y690" s="249"/>
      <c r="Z690" s="276"/>
      <c r="AA690" s="245"/>
      <c r="AB690" s="276"/>
      <c r="AC690" s="276"/>
      <c r="AD690" s="246"/>
      <c r="AE690" s="278"/>
      <c r="AF690" s="370"/>
      <c r="AG690" s="371"/>
      <c r="AH690" s="276"/>
      <c r="AI690" s="245"/>
      <c r="AJ690" s="287"/>
      <c r="AK690" s="278"/>
      <c r="AL690" s="246"/>
      <c r="AM690" s="245"/>
      <c r="AN690" s="245"/>
      <c r="AO690" s="274"/>
      <c r="AP690" s="245"/>
      <c r="AQ690" s="245"/>
      <c r="AR690" s="246"/>
      <c r="AS690" s="245"/>
      <c r="AT690" s="245"/>
      <c r="AU690" s="245"/>
      <c r="AV690" s="245"/>
      <c r="AW690" s="245"/>
      <c r="AX690" s="246"/>
      <c r="AY690" s="245"/>
      <c r="AZ690" s="245"/>
      <c r="BA690" s="246"/>
      <c r="BB690" s="245"/>
      <c r="BC690" s="245"/>
      <c r="BD690" s="245"/>
      <c r="BE690" s="245"/>
      <c r="BF690" s="245"/>
      <c r="BG690" s="245"/>
      <c r="BH690" s="245"/>
      <c r="BI690" s="245"/>
      <c r="BJ690" s="245"/>
      <c r="BK690" s="245"/>
      <c r="BL690" s="245"/>
      <c r="BM690" s="245"/>
      <c r="BN690" s="245"/>
      <c r="BO690" s="245"/>
      <c r="BP690" s="245"/>
      <c r="BQ690" s="245"/>
      <c r="BR690" s="245"/>
      <c r="BS690" s="245"/>
      <c r="BT690" s="246"/>
      <c r="BU690" s="245"/>
      <c r="BV690" s="245"/>
      <c r="BW690" s="245"/>
      <c r="BX690" s="245"/>
      <c r="BY690" s="245"/>
      <c r="BZ690" s="282"/>
      <c r="CA690" s="245"/>
      <c r="CB690" s="245"/>
      <c r="CC690" s="245"/>
      <c r="CD690" s="245"/>
      <c r="CE690" s="245"/>
      <c r="CF690" s="245"/>
    </row>
    <row r="691">
      <c r="A691" s="245"/>
      <c r="B691" s="245"/>
      <c r="C691" s="245"/>
      <c r="D691" s="246"/>
      <c r="E691" s="245"/>
      <c r="F691" s="245"/>
      <c r="G691" s="245"/>
      <c r="H691" s="245"/>
      <c r="I691" s="245"/>
      <c r="J691" s="245"/>
      <c r="K691" s="265"/>
      <c r="L691" s="245"/>
      <c r="M691" s="245"/>
      <c r="N691" s="245"/>
      <c r="O691" s="245"/>
      <c r="P691" s="245"/>
      <c r="Q691" s="247"/>
      <c r="R691" s="254"/>
      <c r="S691" s="245"/>
      <c r="T691" s="245"/>
      <c r="U691" s="245"/>
      <c r="V691" s="245"/>
      <c r="W691" s="245"/>
      <c r="X691" s="245"/>
      <c r="Y691" s="249"/>
      <c r="Z691" s="276"/>
      <c r="AA691" s="245"/>
      <c r="AB691" s="276"/>
      <c r="AC691" s="276"/>
      <c r="AD691" s="246"/>
      <c r="AE691" s="278"/>
      <c r="AF691" s="370"/>
      <c r="AG691" s="371"/>
      <c r="AH691" s="276"/>
      <c r="AI691" s="245"/>
      <c r="AJ691" s="287"/>
      <c r="AK691" s="278"/>
      <c r="AL691" s="246"/>
      <c r="AM691" s="245"/>
      <c r="AN691" s="245"/>
      <c r="AO691" s="274"/>
      <c r="AP691" s="245"/>
      <c r="AQ691" s="245"/>
      <c r="AR691" s="246"/>
      <c r="AS691" s="245"/>
      <c r="AT691" s="245"/>
      <c r="AU691" s="245"/>
      <c r="AV691" s="245"/>
      <c r="AW691" s="245"/>
      <c r="AX691" s="246"/>
      <c r="AY691" s="245"/>
      <c r="AZ691" s="245"/>
      <c r="BA691" s="246"/>
      <c r="BB691" s="245"/>
      <c r="BC691" s="245"/>
      <c r="BD691" s="245"/>
      <c r="BE691" s="245"/>
      <c r="BF691" s="245"/>
      <c r="BG691" s="245"/>
      <c r="BH691" s="245"/>
      <c r="BI691" s="245"/>
      <c r="BJ691" s="245"/>
      <c r="BK691" s="245"/>
      <c r="BL691" s="245"/>
      <c r="BM691" s="245"/>
      <c r="BN691" s="245"/>
      <c r="BO691" s="245"/>
      <c r="BP691" s="245"/>
      <c r="BQ691" s="245"/>
      <c r="BR691" s="245"/>
      <c r="BS691" s="245"/>
      <c r="BT691" s="246"/>
      <c r="BU691" s="245"/>
      <c r="BV691" s="245"/>
      <c r="BW691" s="245"/>
      <c r="BX691" s="245"/>
      <c r="BY691" s="245"/>
      <c r="BZ691" s="282"/>
      <c r="CA691" s="245"/>
      <c r="CB691" s="245"/>
      <c r="CC691" s="245"/>
      <c r="CD691" s="245"/>
      <c r="CE691" s="245"/>
      <c r="CF691" s="245"/>
    </row>
    <row r="692">
      <c r="A692" s="305"/>
      <c r="B692" s="245"/>
      <c r="C692" s="245"/>
      <c r="D692" s="246"/>
      <c r="E692" s="245"/>
      <c r="F692" s="245"/>
      <c r="G692" s="245"/>
      <c r="H692" s="245"/>
      <c r="I692" s="245"/>
      <c r="J692" s="245"/>
      <c r="K692" s="265"/>
      <c r="L692" s="245"/>
      <c r="M692" s="245"/>
      <c r="N692" s="245"/>
      <c r="O692" s="245"/>
      <c r="P692" s="245"/>
      <c r="Q692" s="247"/>
      <c r="R692" s="254"/>
      <c r="S692" s="245"/>
      <c r="T692" s="245"/>
      <c r="U692" s="245"/>
      <c r="V692" s="245"/>
      <c r="W692" s="245"/>
      <c r="X692" s="245"/>
      <c r="Y692" s="249"/>
      <c r="Z692" s="276"/>
      <c r="AA692" s="245"/>
      <c r="AB692" s="276"/>
      <c r="AC692" s="276"/>
      <c r="AD692" s="246"/>
      <c r="AE692" s="278"/>
      <c r="AF692" s="370"/>
      <c r="AG692" s="371"/>
      <c r="AH692" s="276"/>
      <c r="AI692" s="245"/>
      <c r="AJ692" s="287"/>
      <c r="AK692" s="278"/>
      <c r="AL692" s="246"/>
      <c r="AM692" s="245"/>
      <c r="AN692" s="245"/>
      <c r="AO692" s="274"/>
      <c r="AP692" s="245"/>
      <c r="AQ692" s="245"/>
      <c r="AR692" s="246"/>
      <c r="AS692" s="245"/>
      <c r="AT692" s="245"/>
      <c r="AU692" s="245"/>
      <c r="AV692" s="245"/>
      <c r="AW692" s="245"/>
      <c r="AX692" s="246"/>
      <c r="AY692" s="245"/>
      <c r="AZ692" s="245"/>
      <c r="BA692" s="246"/>
      <c r="BB692" s="245"/>
      <c r="BC692" s="245"/>
      <c r="BD692" s="245"/>
      <c r="BE692" s="245"/>
      <c r="BF692" s="245"/>
      <c r="BG692" s="245"/>
      <c r="BH692" s="245"/>
      <c r="BI692" s="245"/>
      <c r="BJ692" s="245"/>
      <c r="BK692" s="245"/>
      <c r="BL692" s="245"/>
      <c r="BM692" s="245"/>
      <c r="BN692" s="245"/>
      <c r="BO692" s="245"/>
      <c r="BP692" s="245"/>
      <c r="BQ692" s="245"/>
      <c r="BR692" s="245"/>
      <c r="BS692" s="245"/>
      <c r="BT692" s="246"/>
      <c r="BU692" s="245"/>
      <c r="BV692" s="245"/>
      <c r="BW692" s="245"/>
      <c r="BX692" s="245"/>
      <c r="BY692" s="245"/>
      <c r="BZ692" s="282"/>
      <c r="CA692" s="245"/>
      <c r="CB692" s="245"/>
      <c r="CC692" s="245"/>
      <c r="CD692" s="245"/>
      <c r="CE692" s="245"/>
      <c r="CF692" s="245"/>
    </row>
    <row r="693">
      <c r="A693" s="245"/>
      <c r="B693" s="245"/>
      <c r="C693" s="245"/>
      <c r="D693" s="246"/>
      <c r="E693" s="245"/>
      <c r="F693" s="245"/>
      <c r="G693" s="245"/>
      <c r="H693" s="245"/>
      <c r="I693" s="245"/>
      <c r="J693" s="245"/>
      <c r="K693" s="265"/>
      <c r="L693" s="245"/>
      <c r="M693" s="245"/>
      <c r="N693" s="245"/>
      <c r="O693" s="245"/>
      <c r="P693" s="245"/>
      <c r="Q693" s="247"/>
      <c r="R693" s="254"/>
      <c r="S693" s="245"/>
      <c r="T693" s="245"/>
      <c r="U693" s="245"/>
      <c r="V693" s="245"/>
      <c r="W693" s="245"/>
      <c r="X693" s="245"/>
      <c r="Y693" s="249"/>
      <c r="Z693" s="276"/>
      <c r="AA693" s="245"/>
      <c r="AB693" s="276"/>
      <c r="AC693" s="276"/>
      <c r="AD693" s="246"/>
      <c r="AE693" s="278"/>
      <c r="AF693" s="370"/>
      <c r="AG693" s="371"/>
      <c r="AH693" s="276"/>
      <c r="AI693" s="245"/>
      <c r="AJ693" s="287"/>
      <c r="AK693" s="278"/>
      <c r="AL693" s="246"/>
      <c r="AM693" s="245"/>
      <c r="AN693" s="245"/>
      <c r="AO693" s="274"/>
      <c r="AP693" s="245"/>
      <c r="AQ693" s="245"/>
      <c r="AR693" s="246"/>
      <c r="AS693" s="245"/>
      <c r="AT693" s="245"/>
      <c r="AU693" s="245"/>
      <c r="AV693" s="245"/>
      <c r="AW693" s="245"/>
      <c r="AX693" s="246"/>
      <c r="AY693" s="245"/>
      <c r="AZ693" s="245"/>
      <c r="BA693" s="246"/>
      <c r="BB693" s="245"/>
      <c r="BC693" s="245"/>
      <c r="BD693" s="245"/>
      <c r="BE693" s="245"/>
      <c r="BF693" s="245"/>
      <c r="BG693" s="245"/>
      <c r="BH693" s="245"/>
      <c r="BI693" s="245"/>
      <c r="BJ693" s="245"/>
      <c r="BK693" s="245"/>
      <c r="BL693" s="245"/>
      <c r="BM693" s="245"/>
      <c r="BN693" s="245"/>
      <c r="BO693" s="245"/>
      <c r="BP693" s="245"/>
      <c r="BQ693" s="245"/>
      <c r="BR693" s="245"/>
      <c r="BS693" s="245"/>
      <c r="BT693" s="246"/>
      <c r="BU693" s="245"/>
      <c r="BV693" s="245"/>
      <c r="BW693" s="245"/>
      <c r="BX693" s="245"/>
      <c r="BY693" s="245"/>
      <c r="BZ693" s="282"/>
      <c r="CA693" s="245"/>
      <c r="CB693" s="245"/>
      <c r="CC693" s="245"/>
      <c r="CD693" s="245"/>
      <c r="CE693" s="245"/>
      <c r="CF693" s="245"/>
    </row>
    <row r="694">
      <c r="A694" s="245"/>
      <c r="B694" s="245"/>
      <c r="C694" s="245"/>
      <c r="D694" s="246"/>
      <c r="E694" s="245"/>
      <c r="F694" s="245"/>
      <c r="G694" s="245"/>
      <c r="H694" s="245"/>
      <c r="I694" s="245"/>
      <c r="J694" s="245"/>
      <c r="K694" s="265"/>
      <c r="L694" s="245"/>
      <c r="M694" s="245"/>
      <c r="N694" s="245"/>
      <c r="O694" s="245"/>
      <c r="P694" s="245"/>
      <c r="Q694" s="247"/>
      <c r="R694" s="254"/>
      <c r="S694" s="245"/>
      <c r="T694" s="245"/>
      <c r="U694" s="245"/>
      <c r="V694" s="245"/>
      <c r="W694" s="245"/>
      <c r="X694" s="245"/>
      <c r="Y694" s="249"/>
      <c r="Z694" s="276"/>
      <c r="AA694" s="245"/>
      <c r="AB694" s="276"/>
      <c r="AC694" s="276"/>
      <c r="AD694" s="246"/>
      <c r="AE694" s="278"/>
      <c r="AF694" s="370"/>
      <c r="AG694" s="371"/>
      <c r="AH694" s="276"/>
      <c r="AI694" s="245"/>
      <c r="AJ694" s="287"/>
      <c r="AK694" s="278"/>
      <c r="AL694" s="246"/>
      <c r="AM694" s="245"/>
      <c r="AN694" s="245"/>
      <c r="AO694" s="274"/>
      <c r="AP694" s="245"/>
      <c r="AQ694" s="245"/>
      <c r="AR694" s="246"/>
      <c r="AS694" s="245"/>
      <c r="AT694" s="245"/>
      <c r="AU694" s="245"/>
      <c r="AV694" s="245"/>
      <c r="AW694" s="245"/>
      <c r="AX694" s="246"/>
      <c r="AY694" s="245"/>
      <c r="AZ694" s="245"/>
      <c r="BA694" s="246"/>
      <c r="BB694" s="245"/>
      <c r="BC694" s="245"/>
      <c r="BD694" s="245"/>
      <c r="BE694" s="245"/>
      <c r="BF694" s="245"/>
      <c r="BG694" s="245"/>
      <c r="BH694" s="245"/>
      <c r="BI694" s="245"/>
      <c r="BJ694" s="245"/>
      <c r="BK694" s="245"/>
      <c r="BL694" s="245"/>
      <c r="BM694" s="245"/>
      <c r="BN694" s="245"/>
      <c r="BO694" s="245"/>
      <c r="BP694" s="245"/>
      <c r="BQ694" s="245"/>
      <c r="BR694" s="245"/>
      <c r="BS694" s="245"/>
      <c r="BT694" s="246"/>
      <c r="BU694" s="245"/>
      <c r="BV694" s="245"/>
      <c r="BW694" s="245"/>
      <c r="BX694" s="245"/>
      <c r="BY694" s="245"/>
      <c r="BZ694" s="282"/>
      <c r="CA694" s="245"/>
      <c r="CB694" s="245"/>
      <c r="CC694" s="245"/>
      <c r="CD694" s="245"/>
      <c r="CE694" s="245"/>
      <c r="CF694" s="245"/>
    </row>
    <row r="695">
      <c r="A695" s="245"/>
      <c r="B695" s="245"/>
      <c r="C695" s="245"/>
      <c r="D695" s="246"/>
      <c r="E695" s="245"/>
      <c r="F695" s="245"/>
      <c r="G695" s="245"/>
      <c r="H695" s="245"/>
      <c r="I695" s="245"/>
      <c r="J695" s="245"/>
      <c r="K695" s="265"/>
      <c r="L695" s="245"/>
      <c r="M695" s="245"/>
      <c r="N695" s="245"/>
      <c r="O695" s="245"/>
      <c r="P695" s="245"/>
      <c r="Q695" s="247"/>
      <c r="R695" s="254"/>
      <c r="S695" s="245"/>
      <c r="T695" s="245"/>
      <c r="U695" s="245"/>
      <c r="V695" s="245"/>
      <c r="W695" s="245"/>
      <c r="X695" s="245"/>
      <c r="Y695" s="249"/>
      <c r="Z695" s="276"/>
      <c r="AA695" s="245"/>
      <c r="AB695" s="276"/>
      <c r="AC695" s="276"/>
      <c r="AD695" s="246"/>
      <c r="AE695" s="278"/>
      <c r="AF695" s="370"/>
      <c r="AG695" s="371"/>
      <c r="AH695" s="276"/>
      <c r="AI695" s="245"/>
      <c r="AJ695" s="287"/>
      <c r="AK695" s="278"/>
      <c r="AL695" s="246"/>
      <c r="AM695" s="245"/>
      <c r="AN695" s="245"/>
      <c r="AO695" s="274"/>
      <c r="AP695" s="245"/>
      <c r="AQ695" s="245"/>
      <c r="AR695" s="246"/>
      <c r="AS695" s="245"/>
      <c r="AT695" s="245"/>
      <c r="AU695" s="245"/>
      <c r="AV695" s="245"/>
      <c r="AW695" s="245"/>
      <c r="AX695" s="246"/>
      <c r="AY695" s="245"/>
      <c r="AZ695" s="245"/>
      <c r="BA695" s="246"/>
      <c r="BB695" s="245"/>
      <c r="BC695" s="245"/>
      <c r="BD695" s="245"/>
      <c r="BE695" s="245"/>
      <c r="BF695" s="245"/>
      <c r="BG695" s="245"/>
      <c r="BH695" s="245"/>
      <c r="BI695" s="245"/>
      <c r="BJ695" s="245"/>
      <c r="BK695" s="245"/>
      <c r="BL695" s="245"/>
      <c r="BM695" s="245"/>
      <c r="BN695" s="245"/>
      <c r="BO695" s="245"/>
      <c r="BP695" s="245"/>
      <c r="BQ695" s="245"/>
      <c r="BR695" s="245"/>
      <c r="BS695" s="245"/>
      <c r="BT695" s="246"/>
      <c r="BU695" s="245"/>
      <c r="BV695" s="245"/>
      <c r="BW695" s="245"/>
      <c r="BX695" s="245"/>
      <c r="BY695" s="245"/>
      <c r="BZ695" s="282"/>
      <c r="CA695" s="245"/>
      <c r="CB695" s="245"/>
      <c r="CC695" s="245"/>
      <c r="CD695" s="245"/>
      <c r="CE695" s="245"/>
      <c r="CF695" s="245"/>
    </row>
    <row r="696">
      <c r="A696" s="245"/>
      <c r="B696" s="245"/>
      <c r="C696" s="245"/>
      <c r="D696" s="246"/>
      <c r="E696" s="245"/>
      <c r="F696" s="245"/>
      <c r="G696" s="245"/>
      <c r="H696" s="245"/>
      <c r="I696" s="245"/>
      <c r="J696" s="245"/>
      <c r="K696" s="265"/>
      <c r="L696" s="245"/>
      <c r="M696" s="245"/>
      <c r="N696" s="245"/>
      <c r="O696" s="245"/>
      <c r="P696" s="245"/>
      <c r="Q696" s="247"/>
      <c r="R696" s="254"/>
      <c r="S696" s="245"/>
      <c r="T696" s="245"/>
      <c r="U696" s="245"/>
      <c r="V696" s="245"/>
      <c r="W696" s="245"/>
      <c r="X696" s="245"/>
      <c r="Y696" s="249"/>
      <c r="Z696" s="276"/>
      <c r="AA696" s="245"/>
      <c r="AB696" s="276"/>
      <c r="AC696" s="276"/>
      <c r="AD696" s="246"/>
      <c r="AE696" s="278"/>
      <c r="AF696" s="370"/>
      <c r="AG696" s="371"/>
      <c r="AH696" s="276"/>
      <c r="AI696" s="245"/>
      <c r="AJ696" s="287"/>
      <c r="AK696" s="278"/>
      <c r="AL696" s="246"/>
      <c r="AM696" s="245"/>
      <c r="AN696" s="245"/>
      <c r="AO696" s="274"/>
      <c r="AP696" s="245"/>
      <c r="AQ696" s="245"/>
      <c r="AR696" s="246"/>
      <c r="AS696" s="245"/>
      <c r="AT696" s="245"/>
      <c r="AU696" s="245"/>
      <c r="AV696" s="245"/>
      <c r="AW696" s="245"/>
      <c r="AX696" s="246"/>
      <c r="AY696" s="245"/>
      <c r="AZ696" s="245"/>
      <c r="BA696" s="246"/>
      <c r="BB696" s="245"/>
      <c r="BC696" s="245"/>
      <c r="BD696" s="245"/>
      <c r="BE696" s="245"/>
      <c r="BF696" s="245"/>
      <c r="BG696" s="245"/>
      <c r="BH696" s="245"/>
      <c r="BI696" s="245"/>
      <c r="BJ696" s="245"/>
      <c r="BK696" s="245"/>
      <c r="BL696" s="245"/>
      <c r="BM696" s="245"/>
      <c r="BN696" s="245"/>
      <c r="BO696" s="245"/>
      <c r="BP696" s="245"/>
      <c r="BQ696" s="245"/>
      <c r="BR696" s="245"/>
      <c r="BS696" s="245"/>
      <c r="BT696" s="246"/>
      <c r="BU696" s="245"/>
      <c r="BV696" s="245"/>
      <c r="BW696" s="245"/>
      <c r="BX696" s="245"/>
      <c r="BY696" s="245"/>
      <c r="BZ696" s="282"/>
      <c r="CA696" s="245"/>
      <c r="CB696" s="245"/>
      <c r="CC696" s="245"/>
      <c r="CD696" s="245"/>
      <c r="CE696" s="245"/>
      <c r="CF696" s="245"/>
    </row>
    <row r="697">
      <c r="A697" s="245"/>
      <c r="B697" s="245"/>
      <c r="C697" s="245"/>
      <c r="D697" s="246"/>
      <c r="E697" s="245"/>
      <c r="F697" s="245"/>
      <c r="G697" s="245"/>
      <c r="H697" s="245"/>
      <c r="I697" s="245"/>
      <c r="J697" s="245"/>
      <c r="K697" s="265"/>
      <c r="L697" s="245"/>
      <c r="M697" s="245"/>
      <c r="N697" s="245"/>
      <c r="O697" s="245"/>
      <c r="P697" s="245"/>
      <c r="Q697" s="247"/>
      <c r="R697" s="254"/>
      <c r="S697" s="245"/>
      <c r="T697" s="245"/>
      <c r="U697" s="245"/>
      <c r="V697" s="245"/>
      <c r="W697" s="245"/>
      <c r="X697" s="245"/>
      <c r="Y697" s="249"/>
      <c r="Z697" s="276"/>
      <c r="AA697" s="245"/>
      <c r="AB697" s="276"/>
      <c r="AC697" s="276"/>
      <c r="AD697" s="246"/>
      <c r="AE697" s="278"/>
      <c r="AF697" s="370"/>
      <c r="AG697" s="371"/>
      <c r="AH697" s="276"/>
      <c r="AI697" s="245"/>
      <c r="AJ697" s="287"/>
      <c r="AK697" s="278"/>
      <c r="AL697" s="246"/>
      <c r="AM697" s="245"/>
      <c r="AN697" s="245"/>
      <c r="AO697" s="274"/>
      <c r="AP697" s="245"/>
      <c r="AQ697" s="245"/>
      <c r="AR697" s="246"/>
      <c r="AS697" s="245"/>
      <c r="AT697" s="245"/>
      <c r="AU697" s="245"/>
      <c r="AV697" s="245"/>
      <c r="AW697" s="245"/>
      <c r="AX697" s="246"/>
      <c r="AY697" s="245"/>
      <c r="AZ697" s="245"/>
      <c r="BA697" s="246"/>
      <c r="BB697" s="245"/>
      <c r="BC697" s="245"/>
      <c r="BD697" s="245"/>
      <c r="BE697" s="245"/>
      <c r="BF697" s="245"/>
      <c r="BG697" s="245"/>
      <c r="BH697" s="245"/>
      <c r="BI697" s="245"/>
      <c r="BJ697" s="245"/>
      <c r="BK697" s="245"/>
      <c r="BL697" s="245"/>
      <c r="BM697" s="245"/>
      <c r="BN697" s="245"/>
      <c r="BO697" s="245"/>
      <c r="BP697" s="245"/>
      <c r="BQ697" s="245"/>
      <c r="BR697" s="245"/>
      <c r="BS697" s="245"/>
      <c r="BT697" s="246"/>
      <c r="BU697" s="245"/>
      <c r="BV697" s="245"/>
      <c r="BW697" s="245"/>
      <c r="BX697" s="245"/>
      <c r="BY697" s="245"/>
      <c r="BZ697" s="282"/>
      <c r="CA697" s="245"/>
      <c r="CB697" s="245"/>
      <c r="CC697" s="245"/>
      <c r="CD697" s="245"/>
      <c r="CE697" s="245"/>
      <c r="CF697" s="245"/>
    </row>
    <row r="698">
      <c r="A698" s="245"/>
      <c r="B698" s="245"/>
      <c r="C698" s="245"/>
      <c r="D698" s="246"/>
      <c r="E698" s="245"/>
      <c r="F698" s="245"/>
      <c r="G698" s="245"/>
      <c r="H698" s="245"/>
      <c r="I698" s="245"/>
      <c r="J698" s="245"/>
      <c r="K698" s="265"/>
      <c r="L698" s="245"/>
      <c r="M698" s="245"/>
      <c r="N698" s="245"/>
      <c r="O698" s="245"/>
      <c r="P698" s="245"/>
      <c r="Q698" s="247"/>
      <c r="R698" s="254"/>
      <c r="S698" s="245"/>
      <c r="T698" s="245"/>
      <c r="U698" s="245"/>
      <c r="V698" s="245"/>
      <c r="W698" s="245"/>
      <c r="X698" s="245"/>
      <c r="Y698" s="249"/>
      <c r="Z698" s="276"/>
      <c r="AA698" s="245"/>
      <c r="AB698" s="276"/>
      <c r="AC698" s="276"/>
      <c r="AD698" s="246"/>
      <c r="AE698" s="278"/>
      <c r="AF698" s="370"/>
      <c r="AG698" s="371"/>
      <c r="AH698" s="276"/>
      <c r="AI698" s="245"/>
      <c r="AJ698" s="287"/>
      <c r="AK698" s="278"/>
      <c r="AL698" s="246"/>
      <c r="AM698" s="245"/>
      <c r="AN698" s="245"/>
      <c r="AO698" s="274"/>
      <c r="AP698" s="245"/>
      <c r="AQ698" s="245"/>
      <c r="AR698" s="246"/>
      <c r="AS698" s="245"/>
      <c r="AT698" s="245"/>
      <c r="AU698" s="245"/>
      <c r="AV698" s="245"/>
      <c r="AW698" s="245"/>
      <c r="AX698" s="246"/>
      <c r="AY698" s="245"/>
      <c r="AZ698" s="245"/>
      <c r="BA698" s="246"/>
      <c r="BB698" s="245"/>
      <c r="BC698" s="245"/>
      <c r="BD698" s="245"/>
      <c r="BE698" s="245"/>
      <c r="BF698" s="245"/>
      <c r="BG698" s="245"/>
      <c r="BH698" s="245"/>
      <c r="BI698" s="245"/>
      <c r="BJ698" s="245"/>
      <c r="BK698" s="245"/>
      <c r="BL698" s="245"/>
      <c r="BM698" s="245"/>
      <c r="BN698" s="245"/>
      <c r="BO698" s="245"/>
      <c r="BP698" s="245"/>
      <c r="BQ698" s="245"/>
      <c r="BR698" s="245"/>
      <c r="BS698" s="245"/>
      <c r="BT698" s="246"/>
      <c r="BU698" s="245"/>
      <c r="BV698" s="245"/>
      <c r="BW698" s="245"/>
      <c r="BX698" s="245"/>
      <c r="BY698" s="245"/>
      <c r="BZ698" s="282"/>
      <c r="CA698" s="245"/>
      <c r="CB698" s="245"/>
      <c r="CC698" s="245"/>
      <c r="CD698" s="245"/>
      <c r="CE698" s="245"/>
      <c r="CF698" s="245"/>
    </row>
    <row r="699">
      <c r="A699" s="245"/>
      <c r="B699" s="245"/>
      <c r="C699" s="245"/>
      <c r="D699" s="246"/>
      <c r="E699" s="245"/>
      <c r="F699" s="245"/>
      <c r="G699" s="245"/>
      <c r="H699" s="245"/>
      <c r="I699" s="245"/>
      <c r="J699" s="245"/>
      <c r="K699" s="265"/>
      <c r="L699" s="245"/>
      <c r="M699" s="245"/>
      <c r="N699" s="245"/>
      <c r="O699" s="245"/>
      <c r="P699" s="245"/>
      <c r="Q699" s="247"/>
      <c r="R699" s="254"/>
      <c r="S699" s="245"/>
      <c r="T699" s="245"/>
      <c r="U699" s="245"/>
      <c r="V699" s="245"/>
      <c r="W699" s="245"/>
      <c r="X699" s="245"/>
      <c r="Y699" s="249"/>
      <c r="Z699" s="276"/>
      <c r="AA699" s="245"/>
      <c r="AB699" s="276"/>
      <c r="AC699" s="276"/>
      <c r="AD699" s="246"/>
      <c r="AE699" s="278"/>
      <c r="AF699" s="370"/>
      <c r="AG699" s="371"/>
      <c r="AH699" s="276"/>
      <c r="AI699" s="245"/>
      <c r="AJ699" s="287"/>
      <c r="AK699" s="278"/>
      <c r="AL699" s="246"/>
      <c r="AM699" s="245"/>
      <c r="AN699" s="245"/>
      <c r="AO699" s="274"/>
      <c r="AP699" s="245"/>
      <c r="AQ699" s="245"/>
      <c r="AR699" s="246"/>
      <c r="AS699" s="245"/>
      <c r="AT699" s="245"/>
      <c r="AU699" s="245"/>
      <c r="AV699" s="245"/>
      <c r="AW699" s="245"/>
      <c r="AX699" s="246"/>
      <c r="AY699" s="245"/>
      <c r="AZ699" s="245"/>
      <c r="BA699" s="246"/>
      <c r="BB699" s="245"/>
      <c r="BC699" s="245"/>
      <c r="BD699" s="245"/>
      <c r="BE699" s="245"/>
      <c r="BF699" s="245"/>
      <c r="BG699" s="245"/>
      <c r="BH699" s="245"/>
      <c r="BI699" s="245"/>
      <c r="BJ699" s="245"/>
      <c r="BK699" s="245"/>
      <c r="BL699" s="245"/>
      <c r="BM699" s="245"/>
      <c r="BN699" s="245"/>
      <c r="BO699" s="245"/>
      <c r="BP699" s="245"/>
      <c r="BQ699" s="245"/>
      <c r="BR699" s="245"/>
      <c r="BS699" s="245"/>
      <c r="BT699" s="246"/>
      <c r="BU699" s="245"/>
      <c r="BV699" s="245"/>
      <c r="BW699" s="245"/>
      <c r="BX699" s="245"/>
      <c r="BY699" s="245"/>
      <c r="BZ699" s="282"/>
      <c r="CA699" s="245"/>
      <c r="CB699" s="245"/>
      <c r="CC699" s="245"/>
      <c r="CD699" s="245"/>
      <c r="CE699" s="245"/>
      <c r="CF699" s="245"/>
    </row>
    <row r="700">
      <c r="A700" s="245"/>
      <c r="B700" s="245"/>
      <c r="C700" s="245"/>
      <c r="D700" s="246"/>
      <c r="E700" s="245"/>
      <c r="F700" s="245"/>
      <c r="G700" s="245"/>
      <c r="H700" s="245"/>
      <c r="I700" s="245"/>
      <c r="J700" s="245"/>
      <c r="K700" s="265"/>
      <c r="L700" s="245"/>
      <c r="M700" s="245"/>
      <c r="N700" s="245"/>
      <c r="O700" s="245"/>
      <c r="P700" s="245"/>
      <c r="Q700" s="247"/>
      <c r="R700" s="254"/>
      <c r="S700" s="245"/>
      <c r="T700" s="245"/>
      <c r="U700" s="245"/>
      <c r="V700" s="245"/>
      <c r="W700" s="245"/>
      <c r="X700" s="245"/>
      <c r="Y700" s="249"/>
      <c r="Z700" s="276"/>
      <c r="AA700" s="245"/>
      <c r="AB700" s="276"/>
      <c r="AC700" s="276"/>
      <c r="AD700" s="246"/>
      <c r="AE700" s="278"/>
      <c r="AF700" s="370"/>
      <c r="AG700" s="371"/>
      <c r="AH700" s="276"/>
      <c r="AI700" s="245"/>
      <c r="AJ700" s="287"/>
      <c r="AK700" s="278"/>
      <c r="AL700" s="246"/>
      <c r="AM700" s="245"/>
      <c r="AN700" s="245"/>
      <c r="AO700" s="274"/>
      <c r="AP700" s="245"/>
      <c r="AQ700" s="245"/>
      <c r="AR700" s="246"/>
      <c r="AS700" s="245"/>
      <c r="AT700" s="245"/>
      <c r="AU700" s="245"/>
      <c r="AV700" s="245"/>
      <c r="AW700" s="245"/>
      <c r="AX700" s="246"/>
      <c r="AY700" s="245"/>
      <c r="AZ700" s="245"/>
      <c r="BA700" s="246"/>
      <c r="BB700" s="245"/>
      <c r="BC700" s="245"/>
      <c r="BD700" s="245"/>
      <c r="BE700" s="245"/>
      <c r="BF700" s="245"/>
      <c r="BG700" s="245"/>
      <c r="BH700" s="245"/>
      <c r="BI700" s="245"/>
      <c r="BJ700" s="245"/>
      <c r="BK700" s="245"/>
      <c r="BL700" s="245"/>
      <c r="BM700" s="245"/>
      <c r="BN700" s="245"/>
      <c r="BO700" s="245"/>
      <c r="BP700" s="245"/>
      <c r="BQ700" s="245"/>
      <c r="BR700" s="245"/>
      <c r="BS700" s="245"/>
      <c r="BT700" s="246"/>
      <c r="BU700" s="245"/>
      <c r="BV700" s="245"/>
      <c r="BW700" s="245"/>
      <c r="BX700" s="245"/>
      <c r="BY700" s="245"/>
      <c r="BZ700" s="282"/>
      <c r="CA700" s="245"/>
      <c r="CB700" s="245"/>
      <c r="CC700" s="245"/>
      <c r="CD700" s="245"/>
      <c r="CE700" s="245"/>
      <c r="CF700" s="245"/>
    </row>
    <row r="701">
      <c r="A701" s="245"/>
      <c r="B701" s="245"/>
      <c r="C701" s="245"/>
      <c r="D701" s="246"/>
      <c r="E701" s="245"/>
      <c r="F701" s="245"/>
      <c r="G701" s="245"/>
      <c r="H701" s="245"/>
      <c r="I701" s="245"/>
      <c r="J701" s="245"/>
      <c r="K701" s="265"/>
      <c r="L701" s="245"/>
      <c r="M701" s="245"/>
      <c r="N701" s="245"/>
      <c r="O701" s="245"/>
      <c r="P701" s="245"/>
      <c r="Q701" s="247"/>
      <c r="R701" s="254"/>
      <c r="S701" s="245"/>
      <c r="T701" s="245"/>
      <c r="U701" s="245"/>
      <c r="V701" s="245"/>
      <c r="W701" s="245"/>
      <c r="X701" s="245"/>
      <c r="Y701" s="249"/>
      <c r="Z701" s="276"/>
      <c r="AA701" s="245"/>
      <c r="AB701" s="276"/>
      <c r="AC701" s="276"/>
      <c r="AD701" s="246"/>
      <c r="AE701" s="278"/>
      <c r="AF701" s="370"/>
      <c r="AG701" s="371"/>
      <c r="AH701" s="276"/>
      <c r="AI701" s="245"/>
      <c r="AJ701" s="287"/>
      <c r="AK701" s="278"/>
      <c r="AL701" s="246"/>
      <c r="AM701" s="245"/>
      <c r="AN701" s="245"/>
      <c r="AO701" s="274"/>
      <c r="AP701" s="245"/>
      <c r="AQ701" s="245"/>
      <c r="AR701" s="246"/>
      <c r="AS701" s="245"/>
      <c r="AT701" s="245"/>
      <c r="AU701" s="245"/>
      <c r="AV701" s="245"/>
      <c r="AW701" s="245"/>
      <c r="AX701" s="246"/>
      <c r="AY701" s="245"/>
      <c r="AZ701" s="245"/>
      <c r="BA701" s="246"/>
      <c r="BB701" s="245"/>
      <c r="BC701" s="245"/>
      <c r="BD701" s="245"/>
      <c r="BE701" s="245"/>
      <c r="BF701" s="245"/>
      <c r="BG701" s="245"/>
      <c r="BH701" s="245"/>
      <c r="BI701" s="245"/>
      <c r="BJ701" s="245"/>
      <c r="BK701" s="245"/>
      <c r="BL701" s="245"/>
      <c r="BM701" s="245"/>
      <c r="BN701" s="245"/>
      <c r="BO701" s="245"/>
      <c r="BP701" s="245"/>
      <c r="BQ701" s="245"/>
      <c r="BR701" s="245"/>
      <c r="BS701" s="245"/>
      <c r="BT701" s="246"/>
      <c r="BU701" s="245"/>
      <c r="BV701" s="245"/>
      <c r="BW701" s="245"/>
      <c r="BX701" s="245"/>
      <c r="BY701" s="245"/>
      <c r="BZ701" s="282"/>
      <c r="CA701" s="245"/>
      <c r="CB701" s="245"/>
      <c r="CC701" s="245"/>
      <c r="CD701" s="245"/>
      <c r="CE701" s="245"/>
      <c r="CF701" s="245"/>
    </row>
    <row r="702">
      <c r="A702" s="245"/>
      <c r="B702" s="245"/>
      <c r="C702" s="245"/>
      <c r="D702" s="246"/>
      <c r="E702" s="245"/>
      <c r="F702" s="245"/>
      <c r="G702" s="245"/>
      <c r="H702" s="245"/>
      <c r="I702" s="245"/>
      <c r="J702" s="245"/>
      <c r="K702" s="265"/>
      <c r="L702" s="245"/>
      <c r="M702" s="245"/>
      <c r="N702" s="245"/>
      <c r="O702" s="245"/>
      <c r="P702" s="245"/>
      <c r="Q702" s="247"/>
      <c r="R702" s="254"/>
      <c r="S702" s="245"/>
      <c r="T702" s="245"/>
      <c r="U702" s="245"/>
      <c r="V702" s="245"/>
      <c r="W702" s="245"/>
      <c r="X702" s="245"/>
      <c r="Y702" s="249"/>
      <c r="Z702" s="276"/>
      <c r="AA702" s="245"/>
      <c r="AB702" s="276"/>
      <c r="AC702" s="276"/>
      <c r="AD702" s="246"/>
      <c r="AE702" s="278"/>
      <c r="AF702" s="370"/>
      <c r="AG702" s="371"/>
      <c r="AH702" s="276"/>
      <c r="AI702" s="245"/>
      <c r="AJ702" s="287"/>
      <c r="AK702" s="278"/>
      <c r="AL702" s="246"/>
      <c r="AM702" s="245"/>
      <c r="AN702" s="245"/>
      <c r="AO702" s="274"/>
      <c r="AP702" s="245"/>
      <c r="AQ702" s="245"/>
      <c r="AR702" s="246"/>
      <c r="AS702" s="245"/>
      <c r="AT702" s="245"/>
      <c r="AU702" s="245"/>
      <c r="AV702" s="245"/>
      <c r="AW702" s="245"/>
      <c r="AX702" s="246"/>
      <c r="AY702" s="245"/>
      <c r="AZ702" s="245"/>
      <c r="BA702" s="246"/>
      <c r="BB702" s="245"/>
      <c r="BC702" s="245"/>
      <c r="BD702" s="245"/>
      <c r="BE702" s="245"/>
      <c r="BF702" s="245"/>
      <c r="BG702" s="245"/>
      <c r="BH702" s="245"/>
      <c r="BI702" s="245"/>
      <c r="BJ702" s="245"/>
      <c r="BK702" s="245"/>
      <c r="BL702" s="245"/>
      <c r="BM702" s="245"/>
      <c r="BN702" s="245"/>
      <c r="BO702" s="245"/>
      <c r="BP702" s="245"/>
      <c r="BQ702" s="245"/>
      <c r="BR702" s="245"/>
      <c r="BS702" s="245"/>
      <c r="BT702" s="246"/>
      <c r="BU702" s="245"/>
      <c r="BV702" s="245"/>
      <c r="BW702" s="245"/>
      <c r="BX702" s="245"/>
      <c r="BY702" s="245"/>
      <c r="BZ702" s="282"/>
      <c r="CA702" s="245"/>
      <c r="CB702" s="245"/>
      <c r="CC702" s="245"/>
      <c r="CD702" s="245"/>
      <c r="CE702" s="245"/>
      <c r="CF702" s="245"/>
    </row>
    <row r="703">
      <c r="A703" s="245"/>
      <c r="B703" s="245"/>
      <c r="C703" s="245"/>
      <c r="D703" s="246"/>
      <c r="E703" s="245"/>
      <c r="F703" s="245"/>
      <c r="G703" s="245"/>
      <c r="H703" s="245"/>
      <c r="I703" s="245"/>
      <c r="J703" s="245"/>
      <c r="K703" s="265"/>
      <c r="L703" s="245"/>
      <c r="M703" s="245"/>
      <c r="N703" s="245"/>
      <c r="O703" s="245"/>
      <c r="P703" s="245"/>
      <c r="Q703" s="247"/>
      <c r="R703" s="254"/>
      <c r="S703" s="245"/>
      <c r="T703" s="245"/>
      <c r="U703" s="245"/>
      <c r="V703" s="245"/>
      <c r="W703" s="245"/>
      <c r="X703" s="245"/>
      <c r="Y703" s="249"/>
      <c r="Z703" s="276"/>
      <c r="AA703" s="245"/>
      <c r="AB703" s="276"/>
      <c r="AC703" s="276"/>
      <c r="AD703" s="246"/>
      <c r="AE703" s="278"/>
      <c r="AF703" s="370"/>
      <c r="AG703" s="371"/>
      <c r="AH703" s="276"/>
      <c r="AI703" s="245"/>
      <c r="AJ703" s="287"/>
      <c r="AK703" s="278"/>
      <c r="AL703" s="246"/>
      <c r="AM703" s="245"/>
      <c r="AN703" s="245"/>
      <c r="AO703" s="274"/>
      <c r="AP703" s="245"/>
      <c r="AQ703" s="245"/>
      <c r="AR703" s="246"/>
      <c r="AS703" s="245"/>
      <c r="AT703" s="245"/>
      <c r="AU703" s="245"/>
      <c r="AV703" s="245"/>
      <c r="AW703" s="245"/>
      <c r="AX703" s="246"/>
      <c r="AY703" s="245"/>
      <c r="AZ703" s="245"/>
      <c r="BA703" s="246"/>
      <c r="BB703" s="245"/>
      <c r="BC703" s="245"/>
      <c r="BD703" s="245"/>
      <c r="BE703" s="245"/>
      <c r="BF703" s="245"/>
      <c r="BG703" s="245"/>
      <c r="BH703" s="245"/>
      <c r="BI703" s="245"/>
      <c r="BJ703" s="245"/>
      <c r="BK703" s="245"/>
      <c r="BL703" s="245"/>
      <c r="BM703" s="245"/>
      <c r="BN703" s="245"/>
      <c r="BO703" s="245"/>
      <c r="BP703" s="245"/>
      <c r="BQ703" s="245"/>
      <c r="BR703" s="245"/>
      <c r="BS703" s="245"/>
      <c r="BT703" s="246"/>
      <c r="BU703" s="245"/>
      <c r="BV703" s="245"/>
      <c r="BW703" s="245"/>
      <c r="BX703" s="245"/>
      <c r="BY703" s="245"/>
      <c r="BZ703" s="282"/>
      <c r="CA703" s="245"/>
      <c r="CB703" s="245"/>
      <c r="CC703" s="245"/>
      <c r="CD703" s="245"/>
      <c r="CE703" s="245"/>
      <c r="CF703" s="245"/>
    </row>
    <row r="704">
      <c r="A704" s="245"/>
      <c r="B704" s="245"/>
      <c r="C704" s="245"/>
      <c r="D704" s="246"/>
      <c r="E704" s="245"/>
      <c r="F704" s="245"/>
      <c r="G704" s="245"/>
      <c r="H704" s="245"/>
      <c r="I704" s="245"/>
      <c r="J704" s="245"/>
      <c r="K704" s="265"/>
      <c r="L704" s="245"/>
      <c r="M704" s="245"/>
      <c r="N704" s="245"/>
      <c r="O704" s="245"/>
      <c r="P704" s="245"/>
      <c r="Q704" s="247"/>
      <c r="R704" s="254"/>
      <c r="S704" s="245"/>
      <c r="T704" s="245"/>
      <c r="U704" s="245"/>
      <c r="V704" s="245"/>
      <c r="W704" s="245"/>
      <c r="X704" s="245"/>
      <c r="Y704" s="249"/>
      <c r="Z704" s="276"/>
      <c r="AA704" s="245"/>
      <c r="AB704" s="276"/>
      <c r="AC704" s="276"/>
      <c r="AD704" s="246"/>
      <c r="AE704" s="278"/>
      <c r="AF704" s="370"/>
      <c r="AG704" s="371"/>
      <c r="AH704" s="276"/>
      <c r="AI704" s="245"/>
      <c r="AJ704" s="287"/>
      <c r="AK704" s="278"/>
      <c r="AL704" s="246"/>
      <c r="AM704" s="245"/>
      <c r="AN704" s="245"/>
      <c r="AO704" s="274"/>
      <c r="AP704" s="245"/>
      <c r="AQ704" s="245"/>
      <c r="AR704" s="246"/>
      <c r="AS704" s="245"/>
      <c r="AT704" s="245"/>
      <c r="AU704" s="245"/>
      <c r="AV704" s="245"/>
      <c r="AW704" s="245"/>
      <c r="AX704" s="246"/>
      <c r="AY704" s="245"/>
      <c r="AZ704" s="245"/>
      <c r="BA704" s="246"/>
      <c r="BB704" s="245"/>
      <c r="BC704" s="245"/>
      <c r="BD704" s="245"/>
      <c r="BE704" s="245"/>
      <c r="BF704" s="245"/>
      <c r="BG704" s="245"/>
      <c r="BH704" s="245"/>
      <c r="BI704" s="245"/>
      <c r="BJ704" s="245"/>
      <c r="BK704" s="245"/>
      <c r="BL704" s="245"/>
      <c r="BM704" s="245"/>
      <c r="BN704" s="245"/>
      <c r="BO704" s="245"/>
      <c r="BP704" s="245"/>
      <c r="BQ704" s="245"/>
      <c r="BR704" s="245"/>
      <c r="BS704" s="245"/>
      <c r="BT704" s="246"/>
      <c r="BU704" s="245"/>
      <c r="BV704" s="245"/>
      <c r="BW704" s="245"/>
      <c r="BX704" s="245"/>
      <c r="BY704" s="245"/>
      <c r="BZ704" s="282"/>
      <c r="CA704" s="245"/>
      <c r="CB704" s="245"/>
      <c r="CC704" s="245"/>
      <c r="CD704" s="245"/>
      <c r="CE704" s="245"/>
      <c r="CF704" s="245"/>
    </row>
    <row r="705">
      <c r="A705" s="245"/>
      <c r="B705" s="245"/>
      <c r="C705" s="245"/>
      <c r="D705" s="246"/>
      <c r="E705" s="245"/>
      <c r="F705" s="245"/>
      <c r="G705" s="245"/>
      <c r="H705" s="245"/>
      <c r="I705" s="245"/>
      <c r="J705" s="245"/>
      <c r="K705" s="265"/>
      <c r="L705" s="245"/>
      <c r="M705" s="245"/>
      <c r="N705" s="245"/>
      <c r="O705" s="245"/>
      <c r="P705" s="245"/>
      <c r="Q705" s="247"/>
      <c r="R705" s="254"/>
      <c r="S705" s="245"/>
      <c r="T705" s="245"/>
      <c r="U705" s="245"/>
      <c r="V705" s="245"/>
      <c r="W705" s="245"/>
      <c r="X705" s="245"/>
      <c r="Y705" s="249"/>
      <c r="Z705" s="276"/>
      <c r="AA705" s="245"/>
      <c r="AB705" s="276"/>
      <c r="AC705" s="276"/>
      <c r="AD705" s="246"/>
      <c r="AE705" s="278"/>
      <c r="AF705" s="370"/>
      <c r="AG705" s="371"/>
      <c r="AH705" s="276"/>
      <c r="AI705" s="245"/>
      <c r="AJ705" s="287"/>
      <c r="AK705" s="278"/>
      <c r="AL705" s="246"/>
      <c r="AM705" s="245"/>
      <c r="AN705" s="245"/>
      <c r="AO705" s="274"/>
      <c r="AP705" s="245"/>
      <c r="AQ705" s="245"/>
      <c r="AR705" s="246"/>
      <c r="AS705" s="245"/>
      <c r="AT705" s="245"/>
      <c r="AU705" s="245"/>
      <c r="AV705" s="245"/>
      <c r="AW705" s="245"/>
      <c r="AX705" s="246"/>
      <c r="AY705" s="245"/>
      <c r="AZ705" s="245"/>
      <c r="BA705" s="246"/>
      <c r="BB705" s="245"/>
      <c r="BC705" s="245"/>
      <c r="BD705" s="245"/>
      <c r="BE705" s="245"/>
      <c r="BF705" s="245"/>
      <c r="BG705" s="245"/>
      <c r="BH705" s="245"/>
      <c r="BI705" s="245"/>
      <c r="BJ705" s="245"/>
      <c r="BK705" s="245"/>
      <c r="BL705" s="245"/>
      <c r="BM705" s="245"/>
      <c r="BN705" s="245"/>
      <c r="BO705" s="245"/>
      <c r="BP705" s="245"/>
      <c r="BQ705" s="245"/>
      <c r="BR705" s="245"/>
      <c r="BS705" s="245"/>
      <c r="BT705" s="246"/>
      <c r="BU705" s="245"/>
      <c r="BV705" s="245"/>
      <c r="BW705" s="245"/>
      <c r="BX705" s="245"/>
      <c r="BY705" s="245"/>
      <c r="BZ705" s="282"/>
      <c r="CA705" s="245"/>
      <c r="CB705" s="245"/>
      <c r="CC705" s="245"/>
      <c r="CD705" s="245"/>
      <c r="CE705" s="245"/>
      <c r="CF705" s="245"/>
    </row>
    <row r="706">
      <c r="A706" s="245"/>
      <c r="B706" s="245"/>
      <c r="C706" s="245"/>
      <c r="D706" s="246"/>
      <c r="E706" s="245"/>
      <c r="F706" s="245"/>
      <c r="G706" s="245"/>
      <c r="H706" s="245"/>
      <c r="I706" s="245"/>
      <c r="J706" s="245"/>
      <c r="K706" s="265"/>
      <c r="L706" s="245"/>
      <c r="M706" s="245"/>
      <c r="N706" s="245"/>
      <c r="O706" s="245"/>
      <c r="P706" s="245"/>
      <c r="Q706" s="247"/>
      <c r="R706" s="254"/>
      <c r="S706" s="245"/>
      <c r="T706" s="245"/>
      <c r="U706" s="245"/>
      <c r="V706" s="245"/>
      <c r="W706" s="245"/>
      <c r="X706" s="245"/>
      <c r="Y706" s="249"/>
      <c r="Z706" s="276"/>
      <c r="AA706" s="245"/>
      <c r="AB706" s="276"/>
      <c r="AC706" s="276"/>
      <c r="AD706" s="246"/>
      <c r="AE706" s="278"/>
      <c r="AF706" s="370"/>
      <c r="AG706" s="371"/>
      <c r="AH706" s="276"/>
      <c r="AI706" s="245"/>
      <c r="AJ706" s="287"/>
      <c r="AK706" s="278"/>
      <c r="AL706" s="246"/>
      <c r="AM706" s="245"/>
      <c r="AN706" s="245"/>
      <c r="AO706" s="274"/>
      <c r="AP706" s="245"/>
      <c r="AQ706" s="245"/>
      <c r="AR706" s="246"/>
      <c r="AS706" s="245"/>
      <c r="AT706" s="245"/>
      <c r="AU706" s="245"/>
      <c r="AV706" s="245"/>
      <c r="AW706" s="245"/>
      <c r="AX706" s="246"/>
      <c r="AY706" s="245"/>
      <c r="AZ706" s="245"/>
      <c r="BA706" s="246"/>
      <c r="BB706" s="245"/>
      <c r="BC706" s="245"/>
      <c r="BD706" s="245"/>
      <c r="BE706" s="245"/>
      <c r="BF706" s="245"/>
      <c r="BG706" s="245"/>
      <c r="BH706" s="245"/>
      <c r="BI706" s="245"/>
      <c r="BJ706" s="245"/>
      <c r="BK706" s="245"/>
      <c r="BL706" s="245"/>
      <c r="BM706" s="245"/>
      <c r="BN706" s="245"/>
      <c r="BO706" s="245"/>
      <c r="BP706" s="245"/>
      <c r="BQ706" s="245"/>
      <c r="BR706" s="245"/>
      <c r="BS706" s="245"/>
      <c r="BT706" s="246"/>
      <c r="BU706" s="245"/>
      <c r="BV706" s="245"/>
      <c r="BW706" s="245"/>
      <c r="BX706" s="245"/>
      <c r="BY706" s="245"/>
      <c r="BZ706" s="282"/>
      <c r="CA706" s="245"/>
      <c r="CB706" s="245"/>
      <c r="CC706" s="245"/>
      <c r="CD706" s="245"/>
      <c r="CE706" s="245"/>
      <c r="CF706" s="245"/>
    </row>
    <row r="707">
      <c r="A707" s="245"/>
      <c r="B707" s="245"/>
      <c r="C707" s="245"/>
      <c r="D707" s="246"/>
      <c r="E707" s="245"/>
      <c r="F707" s="245"/>
      <c r="G707" s="245"/>
      <c r="H707" s="245"/>
      <c r="I707" s="245"/>
      <c r="J707" s="245"/>
      <c r="K707" s="265"/>
      <c r="L707" s="245"/>
      <c r="M707" s="245"/>
      <c r="N707" s="245"/>
      <c r="O707" s="245"/>
      <c r="P707" s="245"/>
      <c r="Q707" s="247"/>
      <c r="R707" s="254"/>
      <c r="S707" s="245"/>
      <c r="T707" s="245"/>
      <c r="U707" s="245"/>
      <c r="V707" s="245"/>
      <c r="W707" s="245"/>
      <c r="X707" s="245"/>
      <c r="Y707" s="249"/>
      <c r="Z707" s="276"/>
      <c r="AA707" s="245"/>
      <c r="AB707" s="276"/>
      <c r="AC707" s="276"/>
      <c r="AD707" s="246"/>
      <c r="AE707" s="278"/>
      <c r="AF707" s="370"/>
      <c r="AG707" s="371"/>
      <c r="AH707" s="276"/>
      <c r="AI707" s="245"/>
      <c r="AJ707" s="287"/>
      <c r="AK707" s="278"/>
      <c r="AL707" s="246"/>
      <c r="AM707" s="245"/>
      <c r="AN707" s="245"/>
      <c r="AO707" s="274"/>
      <c r="AP707" s="245"/>
      <c r="AQ707" s="245"/>
      <c r="AR707" s="246"/>
      <c r="AS707" s="245"/>
      <c r="AT707" s="245"/>
      <c r="AU707" s="245"/>
      <c r="AV707" s="245"/>
      <c r="AW707" s="245"/>
      <c r="AX707" s="246"/>
      <c r="AY707" s="245"/>
      <c r="AZ707" s="245"/>
      <c r="BA707" s="246"/>
      <c r="BB707" s="245"/>
      <c r="BC707" s="245"/>
      <c r="BD707" s="245"/>
      <c r="BE707" s="245"/>
      <c r="BF707" s="245"/>
      <c r="BG707" s="245"/>
      <c r="BH707" s="245"/>
      <c r="BI707" s="245"/>
      <c r="BJ707" s="245"/>
      <c r="BK707" s="245"/>
      <c r="BL707" s="245"/>
      <c r="BM707" s="245"/>
      <c r="BN707" s="245"/>
      <c r="BO707" s="245"/>
      <c r="BP707" s="245"/>
      <c r="BQ707" s="245"/>
      <c r="BR707" s="245"/>
      <c r="BS707" s="245"/>
      <c r="BT707" s="246"/>
      <c r="BU707" s="245"/>
      <c r="BV707" s="245"/>
      <c r="BW707" s="245"/>
      <c r="BX707" s="245"/>
      <c r="BY707" s="245"/>
      <c r="BZ707" s="282"/>
      <c r="CA707" s="245"/>
      <c r="CB707" s="245"/>
      <c r="CC707" s="245"/>
      <c r="CD707" s="245"/>
      <c r="CE707" s="245"/>
      <c r="CF707" s="245"/>
    </row>
    <row r="708">
      <c r="A708" s="245"/>
      <c r="B708" s="245"/>
      <c r="C708" s="245"/>
      <c r="D708" s="246"/>
      <c r="E708" s="245"/>
      <c r="F708" s="245"/>
      <c r="G708" s="245"/>
      <c r="H708" s="245"/>
      <c r="I708" s="245"/>
      <c r="J708" s="245"/>
      <c r="K708" s="265"/>
      <c r="L708" s="245"/>
      <c r="M708" s="245"/>
      <c r="N708" s="245"/>
      <c r="O708" s="245"/>
      <c r="P708" s="245"/>
      <c r="Q708" s="247"/>
      <c r="R708" s="254"/>
      <c r="S708" s="245"/>
      <c r="T708" s="245"/>
      <c r="U708" s="245"/>
      <c r="V708" s="245"/>
      <c r="W708" s="245"/>
      <c r="X708" s="245"/>
      <c r="Y708" s="249"/>
      <c r="Z708" s="276"/>
      <c r="AA708" s="245"/>
      <c r="AB708" s="276"/>
      <c r="AC708" s="276"/>
      <c r="AD708" s="246"/>
      <c r="AE708" s="278"/>
      <c r="AF708" s="370"/>
      <c r="AG708" s="371"/>
      <c r="AH708" s="276"/>
      <c r="AI708" s="245"/>
      <c r="AJ708" s="287"/>
      <c r="AK708" s="278"/>
      <c r="AL708" s="246"/>
      <c r="AM708" s="245"/>
      <c r="AN708" s="245"/>
      <c r="AO708" s="274"/>
      <c r="AP708" s="245"/>
      <c r="AQ708" s="245"/>
      <c r="AR708" s="246"/>
      <c r="AS708" s="245"/>
      <c r="AT708" s="245"/>
      <c r="AU708" s="245"/>
      <c r="AV708" s="245"/>
      <c r="AW708" s="245"/>
      <c r="AX708" s="246"/>
      <c r="AY708" s="245"/>
      <c r="AZ708" s="245"/>
      <c r="BA708" s="246"/>
      <c r="BB708" s="245"/>
      <c r="BC708" s="245"/>
      <c r="BD708" s="245"/>
      <c r="BE708" s="245"/>
      <c r="BF708" s="245"/>
      <c r="BG708" s="245"/>
      <c r="BH708" s="245"/>
      <c r="BI708" s="245"/>
      <c r="BJ708" s="245"/>
      <c r="BK708" s="245"/>
      <c r="BL708" s="245"/>
      <c r="BM708" s="245"/>
      <c r="BN708" s="245"/>
      <c r="BO708" s="245"/>
      <c r="BP708" s="245"/>
      <c r="BQ708" s="245"/>
      <c r="BR708" s="245"/>
      <c r="BS708" s="245"/>
      <c r="BT708" s="246"/>
      <c r="BU708" s="245"/>
      <c r="BV708" s="245"/>
      <c r="BW708" s="245"/>
      <c r="BX708" s="245"/>
      <c r="BY708" s="245"/>
      <c r="BZ708" s="282"/>
      <c r="CA708" s="245"/>
      <c r="CB708" s="245"/>
      <c r="CC708" s="245"/>
      <c r="CD708" s="245"/>
      <c r="CE708" s="245"/>
      <c r="CF708" s="245"/>
    </row>
    <row r="709">
      <c r="A709" s="245"/>
      <c r="B709" s="245"/>
      <c r="C709" s="245"/>
      <c r="D709" s="246"/>
      <c r="E709" s="245"/>
      <c r="F709" s="245"/>
      <c r="G709" s="245"/>
      <c r="H709" s="245"/>
      <c r="I709" s="245"/>
      <c r="J709" s="245"/>
      <c r="K709" s="265"/>
      <c r="L709" s="245"/>
      <c r="M709" s="245"/>
      <c r="N709" s="245"/>
      <c r="O709" s="245"/>
      <c r="P709" s="245"/>
      <c r="Q709" s="247"/>
      <c r="R709" s="254"/>
      <c r="S709" s="245"/>
      <c r="T709" s="245"/>
      <c r="U709" s="245"/>
      <c r="V709" s="245"/>
      <c r="W709" s="245"/>
      <c r="X709" s="245"/>
      <c r="Y709" s="249"/>
      <c r="Z709" s="276"/>
      <c r="AA709" s="245"/>
      <c r="AB709" s="276"/>
      <c r="AC709" s="276"/>
      <c r="AD709" s="246"/>
      <c r="AE709" s="278"/>
      <c r="AF709" s="370"/>
      <c r="AG709" s="371"/>
      <c r="AH709" s="276"/>
      <c r="AI709" s="245"/>
      <c r="AJ709" s="287"/>
      <c r="AK709" s="278"/>
      <c r="AL709" s="246"/>
      <c r="AM709" s="245"/>
      <c r="AN709" s="245"/>
      <c r="AO709" s="274"/>
      <c r="AP709" s="245"/>
      <c r="AQ709" s="245"/>
      <c r="AR709" s="246"/>
      <c r="AS709" s="245"/>
      <c r="AT709" s="245"/>
      <c r="AU709" s="245"/>
      <c r="AV709" s="245"/>
      <c r="AW709" s="245"/>
      <c r="AX709" s="246"/>
      <c r="AY709" s="245"/>
      <c r="AZ709" s="245"/>
      <c r="BA709" s="246"/>
      <c r="BB709" s="245"/>
      <c r="BC709" s="245"/>
      <c r="BD709" s="245"/>
      <c r="BE709" s="245"/>
      <c r="BF709" s="245"/>
      <c r="BG709" s="245"/>
      <c r="BH709" s="245"/>
      <c r="BI709" s="245"/>
      <c r="BJ709" s="245"/>
      <c r="BK709" s="245"/>
      <c r="BL709" s="245"/>
      <c r="BM709" s="245"/>
      <c r="BN709" s="245"/>
      <c r="BO709" s="245"/>
      <c r="BP709" s="245"/>
      <c r="BQ709" s="245"/>
      <c r="BR709" s="245"/>
      <c r="BS709" s="245"/>
      <c r="BT709" s="246"/>
      <c r="BU709" s="245"/>
      <c r="BV709" s="245"/>
      <c r="BW709" s="245"/>
      <c r="BX709" s="245"/>
      <c r="BY709" s="245"/>
      <c r="BZ709" s="282"/>
      <c r="CA709" s="245"/>
      <c r="CB709" s="245"/>
      <c r="CC709" s="245"/>
      <c r="CD709" s="245"/>
      <c r="CE709" s="245"/>
      <c r="CF709" s="245"/>
    </row>
    <row r="710">
      <c r="A710" s="245"/>
      <c r="B710" s="245"/>
      <c r="C710" s="245"/>
      <c r="D710" s="246"/>
      <c r="E710" s="245"/>
      <c r="F710" s="245"/>
      <c r="G710" s="245"/>
      <c r="H710" s="245"/>
      <c r="I710" s="245"/>
      <c r="J710" s="245"/>
      <c r="K710" s="265"/>
      <c r="L710" s="245"/>
      <c r="M710" s="245"/>
      <c r="N710" s="245"/>
      <c r="O710" s="245"/>
      <c r="P710" s="245"/>
      <c r="Q710" s="247"/>
      <c r="R710" s="254"/>
      <c r="S710" s="245"/>
      <c r="T710" s="245"/>
      <c r="U710" s="245"/>
      <c r="V710" s="245"/>
      <c r="W710" s="245"/>
      <c r="X710" s="245"/>
      <c r="Y710" s="249"/>
      <c r="Z710" s="276"/>
      <c r="AA710" s="245"/>
      <c r="AB710" s="276"/>
      <c r="AC710" s="276"/>
      <c r="AD710" s="246"/>
      <c r="AE710" s="278"/>
      <c r="AF710" s="370"/>
      <c r="AG710" s="371"/>
      <c r="AH710" s="276"/>
      <c r="AI710" s="245"/>
      <c r="AJ710" s="287"/>
      <c r="AK710" s="278"/>
      <c r="AL710" s="246"/>
      <c r="AM710" s="245"/>
      <c r="AN710" s="245"/>
      <c r="AO710" s="274"/>
      <c r="AP710" s="245"/>
      <c r="AQ710" s="245"/>
      <c r="AR710" s="246"/>
      <c r="AS710" s="245"/>
      <c r="AT710" s="245"/>
      <c r="AU710" s="245"/>
      <c r="AV710" s="245"/>
      <c r="AW710" s="245"/>
      <c r="AX710" s="246"/>
      <c r="AY710" s="245"/>
      <c r="AZ710" s="245"/>
      <c r="BA710" s="246"/>
      <c r="BB710" s="245"/>
      <c r="BC710" s="245"/>
      <c r="BD710" s="245"/>
      <c r="BE710" s="245"/>
      <c r="BF710" s="245"/>
      <c r="BG710" s="245"/>
      <c r="BH710" s="245"/>
      <c r="BI710" s="245"/>
      <c r="BJ710" s="245"/>
      <c r="BK710" s="245"/>
      <c r="BL710" s="245"/>
      <c r="BM710" s="245"/>
      <c r="BN710" s="245"/>
      <c r="BO710" s="245"/>
      <c r="BP710" s="245"/>
      <c r="BQ710" s="245"/>
      <c r="BR710" s="245"/>
      <c r="BS710" s="245"/>
      <c r="BT710" s="246"/>
      <c r="BU710" s="245"/>
      <c r="BV710" s="245"/>
      <c r="BW710" s="245"/>
      <c r="BX710" s="245"/>
      <c r="BY710" s="245"/>
      <c r="BZ710" s="282"/>
      <c r="CA710" s="245"/>
      <c r="CB710" s="245"/>
      <c r="CC710" s="245"/>
      <c r="CD710" s="245"/>
      <c r="CE710" s="245"/>
      <c r="CF710" s="245"/>
    </row>
    <row r="711">
      <c r="A711" s="245"/>
      <c r="B711" s="245"/>
      <c r="C711" s="245"/>
      <c r="D711" s="246"/>
      <c r="E711" s="245"/>
      <c r="F711" s="245"/>
      <c r="G711" s="245"/>
      <c r="H711" s="245"/>
      <c r="I711" s="245"/>
      <c r="J711" s="245"/>
      <c r="K711" s="265"/>
      <c r="L711" s="245"/>
      <c r="M711" s="245"/>
      <c r="N711" s="245"/>
      <c r="O711" s="245"/>
      <c r="P711" s="245"/>
      <c r="Q711" s="247"/>
      <c r="R711" s="254"/>
      <c r="S711" s="245"/>
      <c r="T711" s="245"/>
      <c r="U711" s="245"/>
      <c r="V711" s="245"/>
      <c r="W711" s="245"/>
      <c r="X711" s="245"/>
      <c r="Y711" s="249"/>
      <c r="Z711" s="276"/>
      <c r="AA711" s="245"/>
      <c r="AB711" s="276"/>
      <c r="AC711" s="276"/>
      <c r="AD711" s="246"/>
      <c r="AE711" s="278"/>
      <c r="AF711" s="370"/>
      <c r="AG711" s="371"/>
      <c r="AH711" s="276"/>
      <c r="AI711" s="245"/>
      <c r="AJ711" s="287"/>
      <c r="AK711" s="278"/>
      <c r="AL711" s="246"/>
      <c r="AM711" s="245"/>
      <c r="AN711" s="245"/>
      <c r="AO711" s="274"/>
      <c r="AP711" s="245"/>
      <c r="AQ711" s="245"/>
      <c r="AR711" s="246"/>
      <c r="AS711" s="245"/>
      <c r="AT711" s="245"/>
      <c r="AU711" s="245"/>
      <c r="AV711" s="245"/>
      <c r="AW711" s="245"/>
      <c r="AX711" s="246"/>
      <c r="AY711" s="245"/>
      <c r="AZ711" s="245"/>
      <c r="BA711" s="246"/>
      <c r="BB711" s="245"/>
      <c r="BC711" s="245"/>
      <c r="BD711" s="245"/>
      <c r="BE711" s="245"/>
      <c r="BF711" s="245"/>
      <c r="BG711" s="245"/>
      <c r="BH711" s="245"/>
      <c r="BI711" s="245"/>
      <c r="BJ711" s="245"/>
      <c r="BK711" s="245"/>
      <c r="BL711" s="245"/>
      <c r="BM711" s="245"/>
      <c r="BN711" s="245"/>
      <c r="BO711" s="245"/>
      <c r="BP711" s="245"/>
      <c r="BQ711" s="245"/>
      <c r="BR711" s="245"/>
      <c r="BS711" s="245"/>
      <c r="BT711" s="246"/>
      <c r="BU711" s="245"/>
      <c r="BV711" s="245"/>
      <c r="BW711" s="245"/>
      <c r="BX711" s="245"/>
      <c r="BY711" s="245"/>
      <c r="BZ711" s="282"/>
      <c r="CA711" s="245"/>
      <c r="CB711" s="245"/>
      <c r="CC711" s="245"/>
      <c r="CD711" s="245"/>
      <c r="CE711" s="245"/>
      <c r="CF711" s="245"/>
    </row>
    <row r="712">
      <c r="A712" s="245"/>
      <c r="B712" s="245"/>
      <c r="C712" s="245"/>
      <c r="D712" s="246"/>
      <c r="E712" s="245"/>
      <c r="F712" s="245"/>
      <c r="G712" s="245"/>
      <c r="H712" s="245"/>
      <c r="I712" s="245"/>
      <c r="J712" s="245"/>
      <c r="K712" s="265"/>
      <c r="L712" s="245"/>
      <c r="M712" s="245"/>
      <c r="N712" s="245"/>
      <c r="O712" s="245"/>
      <c r="P712" s="245"/>
      <c r="Q712" s="247"/>
      <c r="R712" s="254"/>
      <c r="S712" s="245"/>
      <c r="T712" s="245"/>
      <c r="U712" s="245"/>
      <c r="V712" s="245"/>
      <c r="W712" s="245"/>
      <c r="X712" s="245"/>
      <c r="Y712" s="249"/>
      <c r="Z712" s="276"/>
      <c r="AA712" s="245"/>
      <c r="AB712" s="276"/>
      <c r="AC712" s="276"/>
      <c r="AD712" s="246"/>
      <c r="AE712" s="278"/>
      <c r="AF712" s="370"/>
      <c r="AG712" s="371"/>
      <c r="AH712" s="276"/>
      <c r="AI712" s="245"/>
      <c r="AJ712" s="287"/>
      <c r="AK712" s="278"/>
      <c r="AL712" s="246"/>
      <c r="AM712" s="245"/>
      <c r="AN712" s="245"/>
      <c r="AO712" s="274"/>
      <c r="AP712" s="245"/>
      <c r="AQ712" s="245"/>
      <c r="AR712" s="246"/>
      <c r="AS712" s="245"/>
      <c r="AT712" s="245"/>
      <c r="AU712" s="245"/>
      <c r="AV712" s="245"/>
      <c r="AW712" s="245"/>
      <c r="AX712" s="246"/>
      <c r="AY712" s="245"/>
      <c r="AZ712" s="245"/>
      <c r="BA712" s="246"/>
      <c r="BB712" s="245"/>
      <c r="BC712" s="245"/>
      <c r="BD712" s="245"/>
      <c r="BE712" s="245"/>
      <c r="BF712" s="245"/>
      <c r="BG712" s="245"/>
      <c r="BH712" s="245"/>
      <c r="BI712" s="245"/>
      <c r="BJ712" s="245"/>
      <c r="BK712" s="245"/>
      <c r="BL712" s="245"/>
      <c r="BM712" s="245"/>
      <c r="BN712" s="245"/>
      <c r="BO712" s="245"/>
      <c r="BP712" s="245"/>
      <c r="BQ712" s="245"/>
      <c r="BR712" s="245"/>
      <c r="BS712" s="245"/>
      <c r="BT712" s="246"/>
      <c r="BU712" s="245"/>
      <c r="BV712" s="245"/>
      <c r="BW712" s="245"/>
      <c r="BX712" s="245"/>
      <c r="BY712" s="245"/>
      <c r="BZ712" s="282"/>
      <c r="CA712" s="245"/>
      <c r="CB712" s="245"/>
      <c r="CC712" s="245"/>
      <c r="CD712" s="245"/>
      <c r="CE712" s="245"/>
      <c r="CF712" s="245"/>
    </row>
    <row r="713">
      <c r="A713" s="245"/>
      <c r="B713" s="245"/>
      <c r="C713" s="245"/>
      <c r="D713" s="246"/>
      <c r="E713" s="245"/>
      <c r="F713" s="245"/>
      <c r="G713" s="245"/>
      <c r="H713" s="245"/>
      <c r="I713" s="245"/>
      <c r="J713" s="245"/>
      <c r="K713" s="265"/>
      <c r="L713" s="245"/>
      <c r="M713" s="245"/>
      <c r="N713" s="245"/>
      <c r="O713" s="245"/>
      <c r="P713" s="245"/>
      <c r="Q713" s="247"/>
      <c r="R713" s="254"/>
      <c r="S713" s="245"/>
      <c r="T713" s="245"/>
      <c r="U713" s="245"/>
      <c r="V713" s="245"/>
      <c r="W713" s="245"/>
      <c r="X713" s="245"/>
      <c r="Y713" s="249"/>
      <c r="Z713" s="276"/>
      <c r="AA713" s="245"/>
      <c r="AB713" s="276"/>
      <c r="AC713" s="276"/>
      <c r="AD713" s="246"/>
      <c r="AE713" s="278"/>
      <c r="AF713" s="370"/>
      <c r="AG713" s="371"/>
      <c r="AH713" s="276"/>
      <c r="AI713" s="245"/>
      <c r="AJ713" s="287"/>
      <c r="AK713" s="278"/>
      <c r="AL713" s="246"/>
      <c r="AM713" s="245"/>
      <c r="AN713" s="245"/>
      <c r="AO713" s="274"/>
      <c r="AP713" s="245"/>
      <c r="AQ713" s="245"/>
      <c r="AR713" s="246"/>
      <c r="AS713" s="245"/>
      <c r="AT713" s="245"/>
      <c r="AU713" s="245"/>
      <c r="AV713" s="245"/>
      <c r="AW713" s="245"/>
      <c r="AX713" s="246"/>
      <c r="AY713" s="245"/>
      <c r="AZ713" s="245"/>
      <c r="BA713" s="246"/>
      <c r="BB713" s="245"/>
      <c r="BC713" s="245"/>
      <c r="BD713" s="245"/>
      <c r="BE713" s="245"/>
      <c r="BF713" s="245"/>
      <c r="BG713" s="245"/>
      <c r="BH713" s="245"/>
      <c r="BI713" s="245"/>
      <c r="BJ713" s="245"/>
      <c r="BK713" s="245"/>
      <c r="BL713" s="245"/>
      <c r="BM713" s="245"/>
      <c r="BN713" s="245"/>
      <c r="BO713" s="245"/>
      <c r="BP713" s="245"/>
      <c r="BQ713" s="245"/>
      <c r="BR713" s="245"/>
      <c r="BS713" s="245"/>
      <c r="BT713" s="246"/>
      <c r="BU713" s="245"/>
      <c r="BV713" s="245"/>
      <c r="BW713" s="245"/>
      <c r="BX713" s="245"/>
      <c r="BY713" s="245"/>
      <c r="BZ713" s="282"/>
      <c r="CA713" s="245"/>
      <c r="CB713" s="245"/>
      <c r="CC713" s="245"/>
      <c r="CD713" s="245"/>
      <c r="CE713" s="245"/>
      <c r="CF713" s="245"/>
    </row>
    <row r="714">
      <c r="A714" s="245"/>
      <c r="B714" s="245"/>
      <c r="C714" s="245"/>
      <c r="D714" s="246"/>
      <c r="E714" s="245"/>
      <c r="F714" s="245"/>
      <c r="G714" s="245"/>
      <c r="H714" s="245"/>
      <c r="I714" s="245"/>
      <c r="J714" s="245"/>
      <c r="K714" s="265"/>
      <c r="L714" s="245"/>
      <c r="M714" s="245"/>
      <c r="N714" s="245"/>
      <c r="O714" s="245"/>
      <c r="P714" s="245"/>
      <c r="Q714" s="247"/>
      <c r="R714" s="254"/>
      <c r="S714" s="245"/>
      <c r="T714" s="245"/>
      <c r="U714" s="245"/>
      <c r="V714" s="245"/>
      <c r="W714" s="245"/>
      <c r="X714" s="245"/>
      <c r="Y714" s="249"/>
      <c r="Z714" s="276"/>
      <c r="AA714" s="245"/>
      <c r="AB714" s="276"/>
      <c r="AC714" s="276"/>
      <c r="AD714" s="246"/>
      <c r="AE714" s="278"/>
      <c r="AF714" s="370"/>
      <c r="AG714" s="371"/>
      <c r="AH714" s="276"/>
      <c r="AI714" s="245"/>
      <c r="AJ714" s="287"/>
      <c r="AK714" s="278"/>
      <c r="AL714" s="246"/>
      <c r="AM714" s="245"/>
      <c r="AN714" s="245"/>
      <c r="AO714" s="274"/>
      <c r="AP714" s="245"/>
      <c r="AQ714" s="245"/>
      <c r="AR714" s="246"/>
      <c r="AS714" s="245"/>
      <c r="AT714" s="245"/>
      <c r="AU714" s="245"/>
      <c r="AV714" s="245"/>
      <c r="AW714" s="245"/>
      <c r="AX714" s="246"/>
      <c r="AY714" s="245"/>
      <c r="AZ714" s="245"/>
      <c r="BA714" s="246"/>
      <c r="BB714" s="245"/>
      <c r="BC714" s="245"/>
      <c r="BD714" s="245"/>
      <c r="BE714" s="245"/>
      <c r="BF714" s="245"/>
      <c r="BG714" s="245"/>
      <c r="BH714" s="245"/>
      <c r="BI714" s="245"/>
      <c r="BJ714" s="245"/>
      <c r="BK714" s="245"/>
      <c r="BL714" s="245"/>
      <c r="BM714" s="245"/>
      <c r="BN714" s="245"/>
      <c r="BO714" s="245"/>
      <c r="BP714" s="245"/>
      <c r="BQ714" s="245"/>
      <c r="BR714" s="245"/>
      <c r="BS714" s="245"/>
      <c r="BT714" s="246"/>
      <c r="BU714" s="245"/>
      <c r="BV714" s="245"/>
      <c r="BW714" s="245"/>
      <c r="BX714" s="245"/>
      <c r="BY714" s="245"/>
      <c r="BZ714" s="282"/>
      <c r="CA714" s="245"/>
      <c r="CB714" s="245"/>
      <c r="CC714" s="245"/>
      <c r="CD714" s="245"/>
      <c r="CE714" s="245"/>
      <c r="CF714" s="245"/>
    </row>
    <row r="715">
      <c r="A715" s="245"/>
      <c r="B715" s="245"/>
      <c r="C715" s="245"/>
      <c r="D715" s="246"/>
      <c r="E715" s="245"/>
      <c r="F715" s="245"/>
      <c r="G715" s="245"/>
      <c r="H715" s="245"/>
      <c r="I715" s="245"/>
      <c r="J715" s="245"/>
      <c r="K715" s="265"/>
      <c r="L715" s="245"/>
      <c r="M715" s="245"/>
      <c r="N715" s="245"/>
      <c r="O715" s="245"/>
      <c r="P715" s="245"/>
      <c r="Q715" s="247"/>
      <c r="R715" s="254"/>
      <c r="S715" s="245"/>
      <c r="T715" s="245"/>
      <c r="U715" s="245"/>
      <c r="V715" s="245"/>
      <c r="W715" s="245"/>
      <c r="X715" s="245"/>
      <c r="Y715" s="249"/>
      <c r="Z715" s="276"/>
      <c r="AA715" s="245"/>
      <c r="AB715" s="276"/>
      <c r="AC715" s="276"/>
      <c r="AD715" s="246"/>
      <c r="AE715" s="278"/>
      <c r="AF715" s="370"/>
      <c r="AG715" s="371"/>
      <c r="AH715" s="276"/>
      <c r="AI715" s="245"/>
      <c r="AJ715" s="287"/>
      <c r="AK715" s="278"/>
      <c r="AL715" s="246"/>
      <c r="AM715" s="245"/>
      <c r="AN715" s="245"/>
      <c r="AO715" s="274"/>
      <c r="AP715" s="245"/>
      <c r="AQ715" s="245"/>
      <c r="AR715" s="246"/>
      <c r="AS715" s="245"/>
      <c r="AT715" s="245"/>
      <c r="AU715" s="245"/>
      <c r="AV715" s="245"/>
      <c r="AW715" s="245"/>
      <c r="AX715" s="246"/>
      <c r="AY715" s="245"/>
      <c r="AZ715" s="245"/>
      <c r="BA715" s="246"/>
      <c r="BB715" s="245"/>
      <c r="BC715" s="245"/>
      <c r="BD715" s="245"/>
      <c r="BE715" s="245"/>
      <c r="BF715" s="245"/>
      <c r="BG715" s="245"/>
      <c r="BH715" s="245"/>
      <c r="BI715" s="245"/>
      <c r="BJ715" s="245"/>
      <c r="BK715" s="245"/>
      <c r="BL715" s="245"/>
      <c r="BM715" s="245"/>
      <c r="BN715" s="245"/>
      <c r="BO715" s="245"/>
      <c r="BP715" s="245"/>
      <c r="BQ715" s="245"/>
      <c r="BR715" s="245"/>
      <c r="BS715" s="245"/>
      <c r="BT715" s="246"/>
      <c r="BU715" s="245"/>
      <c r="BV715" s="245"/>
      <c r="BW715" s="245"/>
      <c r="BX715" s="245"/>
      <c r="BY715" s="245"/>
      <c r="BZ715" s="282"/>
      <c r="CA715" s="245"/>
      <c r="CB715" s="245"/>
      <c r="CC715" s="245"/>
      <c r="CD715" s="245"/>
      <c r="CE715" s="245"/>
      <c r="CF715" s="245"/>
    </row>
    <row r="716">
      <c r="A716" s="245"/>
      <c r="B716" s="245"/>
      <c r="C716" s="245"/>
      <c r="D716" s="246"/>
      <c r="E716" s="245"/>
      <c r="F716" s="245"/>
      <c r="G716" s="245"/>
      <c r="H716" s="245"/>
      <c r="I716" s="245"/>
      <c r="J716" s="245"/>
      <c r="K716" s="265"/>
      <c r="L716" s="245"/>
      <c r="M716" s="245"/>
      <c r="N716" s="245"/>
      <c r="O716" s="245"/>
      <c r="P716" s="245"/>
      <c r="Q716" s="247"/>
      <c r="R716" s="254"/>
      <c r="S716" s="245"/>
      <c r="T716" s="245"/>
      <c r="U716" s="245"/>
      <c r="V716" s="245"/>
      <c r="W716" s="245"/>
      <c r="X716" s="245"/>
      <c r="Y716" s="249"/>
      <c r="Z716" s="276"/>
      <c r="AA716" s="245"/>
      <c r="AB716" s="276"/>
      <c r="AC716" s="276"/>
      <c r="AD716" s="246"/>
      <c r="AE716" s="278"/>
      <c r="AF716" s="370"/>
      <c r="AG716" s="371"/>
      <c r="AH716" s="276"/>
      <c r="AI716" s="245"/>
      <c r="AJ716" s="287"/>
      <c r="AK716" s="278"/>
      <c r="AL716" s="246"/>
      <c r="AM716" s="245"/>
      <c r="AN716" s="245"/>
      <c r="AO716" s="274"/>
      <c r="AP716" s="245"/>
      <c r="AQ716" s="245"/>
      <c r="AR716" s="246"/>
      <c r="AS716" s="245"/>
      <c r="AT716" s="245"/>
      <c r="AU716" s="245"/>
      <c r="AV716" s="245"/>
      <c r="AW716" s="245"/>
      <c r="AX716" s="246"/>
      <c r="AY716" s="245"/>
      <c r="AZ716" s="245"/>
      <c r="BA716" s="246"/>
      <c r="BB716" s="245"/>
      <c r="BC716" s="245"/>
      <c r="BD716" s="245"/>
      <c r="BE716" s="245"/>
      <c r="BF716" s="245"/>
      <c r="BG716" s="245"/>
      <c r="BH716" s="245"/>
      <c r="BI716" s="245"/>
      <c r="BJ716" s="245"/>
      <c r="BK716" s="245"/>
      <c r="BL716" s="245"/>
      <c r="BM716" s="245"/>
      <c r="BN716" s="245"/>
      <c r="BO716" s="245"/>
      <c r="BP716" s="245"/>
      <c r="BQ716" s="245"/>
      <c r="BR716" s="245"/>
      <c r="BS716" s="245"/>
      <c r="BT716" s="246"/>
      <c r="BU716" s="245"/>
      <c r="BV716" s="245"/>
      <c r="BW716" s="245"/>
      <c r="BX716" s="245"/>
      <c r="BY716" s="245"/>
      <c r="BZ716" s="282"/>
      <c r="CA716" s="245"/>
      <c r="CB716" s="245"/>
      <c r="CC716" s="245"/>
      <c r="CD716" s="245"/>
      <c r="CE716" s="245"/>
      <c r="CF716" s="245"/>
    </row>
    <row r="717">
      <c r="A717" s="245"/>
      <c r="B717" s="245"/>
      <c r="C717" s="245"/>
      <c r="D717" s="246"/>
      <c r="E717" s="245"/>
      <c r="F717" s="245"/>
      <c r="G717" s="245"/>
      <c r="H717" s="245"/>
      <c r="I717" s="245"/>
      <c r="J717" s="245"/>
      <c r="K717" s="265"/>
      <c r="L717" s="245"/>
      <c r="M717" s="245"/>
      <c r="N717" s="245"/>
      <c r="O717" s="245"/>
      <c r="P717" s="245"/>
      <c r="Q717" s="247"/>
      <c r="R717" s="254"/>
      <c r="S717" s="245"/>
      <c r="T717" s="245"/>
      <c r="U717" s="245"/>
      <c r="V717" s="245"/>
      <c r="W717" s="245"/>
      <c r="X717" s="245"/>
      <c r="Y717" s="249"/>
      <c r="Z717" s="276"/>
      <c r="AA717" s="245"/>
      <c r="AB717" s="276"/>
      <c r="AC717" s="276"/>
      <c r="AD717" s="246"/>
      <c r="AE717" s="278"/>
      <c r="AF717" s="370"/>
      <c r="AG717" s="371"/>
      <c r="AH717" s="276"/>
      <c r="AI717" s="245"/>
      <c r="AJ717" s="287"/>
      <c r="AK717" s="278"/>
      <c r="AL717" s="246"/>
      <c r="AM717" s="245"/>
      <c r="AN717" s="245"/>
      <c r="AO717" s="274"/>
      <c r="AP717" s="245"/>
      <c r="AQ717" s="245"/>
      <c r="AR717" s="246"/>
      <c r="AS717" s="245"/>
      <c r="AT717" s="245"/>
      <c r="AU717" s="245"/>
      <c r="AV717" s="245"/>
      <c r="AW717" s="245"/>
      <c r="AX717" s="246"/>
      <c r="AY717" s="245"/>
      <c r="AZ717" s="245"/>
      <c r="BA717" s="246"/>
      <c r="BB717" s="245"/>
      <c r="BC717" s="245"/>
      <c r="BD717" s="245"/>
      <c r="BE717" s="245"/>
      <c r="BF717" s="245"/>
      <c r="BG717" s="245"/>
      <c r="BH717" s="245"/>
      <c r="BI717" s="245"/>
      <c r="BJ717" s="245"/>
      <c r="BK717" s="245"/>
      <c r="BL717" s="245"/>
      <c r="BM717" s="245"/>
      <c r="BN717" s="245"/>
      <c r="BO717" s="245"/>
      <c r="BP717" s="245"/>
      <c r="BQ717" s="245"/>
      <c r="BR717" s="245"/>
      <c r="BS717" s="245"/>
      <c r="BT717" s="246"/>
      <c r="BU717" s="245"/>
      <c r="BV717" s="245"/>
      <c r="BW717" s="245"/>
      <c r="BX717" s="245"/>
      <c r="BY717" s="245"/>
      <c r="BZ717" s="282"/>
      <c r="CA717" s="245"/>
      <c r="CB717" s="245"/>
      <c r="CC717" s="245"/>
      <c r="CD717" s="245"/>
      <c r="CE717" s="245"/>
      <c r="CF717" s="245"/>
    </row>
    <row r="718">
      <c r="A718" s="245"/>
      <c r="B718" s="245"/>
      <c r="C718" s="245"/>
      <c r="D718" s="246"/>
      <c r="E718" s="245"/>
      <c r="F718" s="245"/>
      <c r="G718" s="245"/>
      <c r="H718" s="245"/>
      <c r="I718" s="245"/>
      <c r="J718" s="245"/>
      <c r="K718" s="265"/>
      <c r="L718" s="245"/>
      <c r="M718" s="245"/>
      <c r="N718" s="245"/>
      <c r="O718" s="245"/>
      <c r="P718" s="245"/>
      <c r="Q718" s="247"/>
      <c r="R718" s="254"/>
      <c r="S718" s="245"/>
      <c r="T718" s="245"/>
      <c r="U718" s="245"/>
      <c r="V718" s="245"/>
      <c r="W718" s="245"/>
      <c r="X718" s="245"/>
      <c r="Y718" s="249"/>
      <c r="Z718" s="276"/>
      <c r="AA718" s="245"/>
      <c r="AB718" s="276"/>
      <c r="AC718" s="276"/>
      <c r="AD718" s="246"/>
      <c r="AE718" s="278"/>
      <c r="AF718" s="370"/>
      <c r="AG718" s="371"/>
      <c r="AH718" s="276"/>
      <c r="AI718" s="245"/>
      <c r="AJ718" s="287"/>
      <c r="AK718" s="278"/>
      <c r="AL718" s="246"/>
      <c r="AM718" s="245"/>
      <c r="AN718" s="245"/>
      <c r="AO718" s="274"/>
      <c r="AP718" s="245"/>
      <c r="AQ718" s="245"/>
      <c r="AR718" s="246"/>
      <c r="AS718" s="245"/>
      <c r="AT718" s="245"/>
      <c r="AU718" s="245"/>
      <c r="AV718" s="245"/>
      <c r="AW718" s="245"/>
      <c r="AX718" s="246"/>
      <c r="AY718" s="245"/>
      <c r="AZ718" s="245"/>
      <c r="BA718" s="246"/>
      <c r="BB718" s="245"/>
      <c r="BC718" s="245"/>
      <c r="BD718" s="245"/>
      <c r="BE718" s="245"/>
      <c r="BF718" s="245"/>
      <c r="BG718" s="245"/>
      <c r="BH718" s="245"/>
      <c r="BI718" s="245"/>
      <c r="BJ718" s="245"/>
      <c r="BK718" s="245"/>
      <c r="BL718" s="245"/>
      <c r="BM718" s="245"/>
      <c r="BN718" s="245"/>
      <c r="BO718" s="245"/>
      <c r="BP718" s="245"/>
      <c r="BQ718" s="245"/>
      <c r="BR718" s="245"/>
      <c r="BS718" s="245"/>
      <c r="BT718" s="246"/>
      <c r="BU718" s="245"/>
      <c r="BV718" s="245"/>
      <c r="BW718" s="245"/>
      <c r="BX718" s="245"/>
      <c r="BY718" s="245"/>
      <c r="BZ718" s="282"/>
      <c r="CA718" s="245"/>
      <c r="CB718" s="245"/>
      <c r="CC718" s="245"/>
      <c r="CD718" s="245"/>
      <c r="CE718" s="245"/>
      <c r="CF718" s="245"/>
    </row>
    <row r="719">
      <c r="A719" s="245"/>
      <c r="B719" s="245"/>
      <c r="C719" s="245"/>
      <c r="D719" s="246"/>
      <c r="E719" s="245"/>
      <c r="F719" s="245"/>
      <c r="G719" s="245"/>
      <c r="H719" s="245"/>
      <c r="I719" s="245"/>
      <c r="J719" s="245"/>
      <c r="K719" s="265"/>
      <c r="L719" s="245"/>
      <c r="M719" s="245"/>
      <c r="N719" s="245"/>
      <c r="O719" s="245"/>
      <c r="P719" s="245"/>
      <c r="Q719" s="247"/>
      <c r="R719" s="254"/>
      <c r="S719" s="245"/>
      <c r="T719" s="245"/>
      <c r="U719" s="245"/>
      <c r="V719" s="245"/>
      <c r="W719" s="245"/>
      <c r="X719" s="245"/>
      <c r="Y719" s="249"/>
      <c r="Z719" s="276"/>
      <c r="AA719" s="245"/>
      <c r="AB719" s="276"/>
      <c r="AC719" s="276"/>
      <c r="AD719" s="246"/>
      <c r="AE719" s="278"/>
      <c r="AF719" s="370"/>
      <c r="AG719" s="371"/>
      <c r="AH719" s="276"/>
      <c r="AI719" s="245"/>
      <c r="AJ719" s="287"/>
      <c r="AK719" s="278"/>
      <c r="AL719" s="246"/>
      <c r="AM719" s="245"/>
      <c r="AN719" s="245"/>
      <c r="AO719" s="274"/>
      <c r="AP719" s="245"/>
      <c r="AQ719" s="245"/>
      <c r="AR719" s="246"/>
      <c r="AS719" s="245"/>
      <c r="AT719" s="245"/>
      <c r="AU719" s="245"/>
      <c r="AV719" s="245"/>
      <c r="AW719" s="245"/>
      <c r="AX719" s="246"/>
      <c r="AY719" s="245"/>
      <c r="AZ719" s="245"/>
      <c r="BA719" s="246"/>
      <c r="BB719" s="245"/>
      <c r="BC719" s="245"/>
      <c r="BD719" s="245"/>
      <c r="BE719" s="245"/>
      <c r="BF719" s="245"/>
      <c r="BG719" s="245"/>
      <c r="BH719" s="245"/>
      <c r="BI719" s="245"/>
      <c r="BJ719" s="245"/>
      <c r="BK719" s="245"/>
      <c r="BL719" s="245"/>
      <c r="BM719" s="245"/>
      <c r="BN719" s="245"/>
      <c r="BO719" s="245"/>
      <c r="BP719" s="245"/>
      <c r="BQ719" s="245"/>
      <c r="BR719" s="245"/>
      <c r="BS719" s="245"/>
      <c r="BT719" s="246"/>
      <c r="BU719" s="245"/>
      <c r="BV719" s="245"/>
      <c r="BW719" s="245"/>
      <c r="BX719" s="245"/>
      <c r="BY719" s="245"/>
      <c r="BZ719" s="282"/>
      <c r="CA719" s="245"/>
      <c r="CB719" s="245"/>
      <c r="CC719" s="245"/>
      <c r="CD719" s="245"/>
      <c r="CE719" s="245"/>
      <c r="CF719" s="245"/>
    </row>
    <row r="720">
      <c r="A720" s="245"/>
      <c r="B720" s="245"/>
      <c r="C720" s="245"/>
      <c r="D720" s="246"/>
      <c r="E720" s="245"/>
      <c r="F720" s="245"/>
      <c r="G720" s="245"/>
      <c r="H720" s="245"/>
      <c r="I720" s="245"/>
      <c r="J720" s="245"/>
      <c r="K720" s="265"/>
      <c r="L720" s="245"/>
      <c r="M720" s="245"/>
      <c r="N720" s="245"/>
      <c r="O720" s="245"/>
      <c r="P720" s="245"/>
      <c r="Q720" s="247"/>
      <c r="R720" s="254"/>
      <c r="S720" s="245"/>
      <c r="T720" s="245"/>
      <c r="U720" s="245"/>
      <c r="V720" s="245"/>
      <c r="W720" s="245"/>
      <c r="X720" s="245"/>
      <c r="Y720" s="249"/>
      <c r="Z720" s="276"/>
      <c r="AA720" s="245"/>
      <c r="AB720" s="276"/>
      <c r="AC720" s="276"/>
      <c r="AD720" s="246"/>
      <c r="AE720" s="278"/>
      <c r="AF720" s="370"/>
      <c r="AG720" s="371"/>
      <c r="AH720" s="276"/>
      <c r="AI720" s="245"/>
      <c r="AJ720" s="287"/>
      <c r="AK720" s="278"/>
      <c r="AL720" s="246"/>
      <c r="AM720" s="245"/>
      <c r="AN720" s="245"/>
      <c r="AO720" s="274"/>
      <c r="AP720" s="245"/>
      <c r="AQ720" s="245"/>
      <c r="AR720" s="246"/>
      <c r="AS720" s="245"/>
      <c r="AT720" s="245"/>
      <c r="AU720" s="245"/>
      <c r="AV720" s="245"/>
      <c r="AW720" s="245"/>
      <c r="AX720" s="246"/>
      <c r="AY720" s="245"/>
      <c r="AZ720" s="245"/>
      <c r="BA720" s="246"/>
      <c r="BB720" s="245"/>
      <c r="BC720" s="245"/>
      <c r="BD720" s="245"/>
      <c r="BE720" s="245"/>
      <c r="BF720" s="245"/>
      <c r="BG720" s="245"/>
      <c r="BH720" s="245"/>
      <c r="BI720" s="245"/>
      <c r="BJ720" s="245"/>
      <c r="BK720" s="245"/>
      <c r="BL720" s="245"/>
      <c r="BM720" s="245"/>
      <c r="BN720" s="245"/>
      <c r="BO720" s="245"/>
      <c r="BP720" s="245"/>
      <c r="BQ720" s="245"/>
      <c r="BR720" s="245"/>
      <c r="BS720" s="245"/>
      <c r="BT720" s="246"/>
      <c r="BU720" s="245"/>
      <c r="BV720" s="245"/>
      <c r="BW720" s="245"/>
      <c r="BX720" s="245"/>
      <c r="BY720" s="245"/>
      <c r="BZ720" s="282"/>
      <c r="CA720" s="245"/>
      <c r="CB720" s="245"/>
      <c r="CC720" s="245"/>
      <c r="CD720" s="245"/>
      <c r="CE720" s="245"/>
      <c r="CF720" s="245"/>
    </row>
    <row r="721">
      <c r="A721" s="245"/>
      <c r="B721" s="245"/>
      <c r="C721" s="245"/>
      <c r="D721" s="246"/>
      <c r="E721" s="245"/>
      <c r="F721" s="245"/>
      <c r="G721" s="245"/>
      <c r="H721" s="245"/>
      <c r="I721" s="245"/>
      <c r="J721" s="245"/>
      <c r="K721" s="265"/>
      <c r="L721" s="245"/>
      <c r="M721" s="245"/>
      <c r="N721" s="245"/>
      <c r="O721" s="245"/>
      <c r="P721" s="245"/>
      <c r="Q721" s="247"/>
      <c r="R721" s="254"/>
      <c r="S721" s="245"/>
      <c r="T721" s="245"/>
      <c r="U721" s="245"/>
      <c r="V721" s="245"/>
      <c r="W721" s="245"/>
      <c r="X721" s="245"/>
      <c r="Y721" s="249"/>
      <c r="Z721" s="276"/>
      <c r="AA721" s="245"/>
      <c r="AB721" s="276"/>
      <c r="AC721" s="276"/>
      <c r="AD721" s="246"/>
      <c r="AE721" s="278"/>
      <c r="AF721" s="370"/>
      <c r="AG721" s="371"/>
      <c r="AH721" s="276"/>
      <c r="AI721" s="245"/>
      <c r="AJ721" s="287"/>
      <c r="AK721" s="278"/>
      <c r="AL721" s="246"/>
      <c r="AM721" s="245"/>
      <c r="AN721" s="245"/>
      <c r="AO721" s="274"/>
      <c r="AP721" s="245"/>
      <c r="AQ721" s="245"/>
      <c r="AR721" s="246"/>
      <c r="AS721" s="245"/>
      <c r="AT721" s="245"/>
      <c r="AU721" s="245"/>
      <c r="AV721" s="245"/>
      <c r="AW721" s="245"/>
      <c r="AX721" s="246"/>
      <c r="AY721" s="245"/>
      <c r="AZ721" s="245"/>
      <c r="BA721" s="246"/>
      <c r="BB721" s="245"/>
      <c r="BC721" s="245"/>
      <c r="BD721" s="245"/>
      <c r="BE721" s="245"/>
      <c r="BF721" s="245"/>
      <c r="BG721" s="245"/>
      <c r="BH721" s="245"/>
      <c r="BI721" s="245"/>
      <c r="BJ721" s="245"/>
      <c r="BK721" s="245"/>
      <c r="BL721" s="245"/>
      <c r="BM721" s="245"/>
      <c r="BN721" s="245"/>
      <c r="BO721" s="245"/>
      <c r="BP721" s="245"/>
      <c r="BQ721" s="245"/>
      <c r="BR721" s="245"/>
      <c r="BS721" s="245"/>
      <c r="BT721" s="246"/>
      <c r="BU721" s="245"/>
      <c r="BV721" s="245"/>
      <c r="BW721" s="245"/>
      <c r="BX721" s="245"/>
      <c r="BY721" s="245"/>
      <c r="BZ721" s="282"/>
      <c r="CA721" s="245"/>
      <c r="CB721" s="245"/>
      <c r="CC721" s="245"/>
      <c r="CD721" s="245"/>
      <c r="CE721" s="245"/>
      <c r="CF721" s="245"/>
    </row>
    <row r="722">
      <c r="A722" s="245"/>
      <c r="B722" s="245"/>
      <c r="C722" s="245"/>
      <c r="D722" s="246"/>
      <c r="E722" s="245"/>
      <c r="F722" s="245"/>
      <c r="G722" s="245"/>
      <c r="H722" s="245"/>
      <c r="I722" s="245"/>
      <c r="J722" s="245"/>
      <c r="K722" s="265"/>
      <c r="L722" s="245"/>
      <c r="M722" s="245"/>
      <c r="N722" s="245"/>
      <c r="O722" s="245"/>
      <c r="P722" s="245"/>
      <c r="Q722" s="247"/>
      <c r="R722" s="254"/>
      <c r="S722" s="245"/>
      <c r="T722" s="245"/>
      <c r="U722" s="245"/>
      <c r="V722" s="245"/>
      <c r="W722" s="245"/>
      <c r="X722" s="245"/>
      <c r="Y722" s="249"/>
      <c r="Z722" s="276"/>
      <c r="AA722" s="245"/>
      <c r="AB722" s="276"/>
      <c r="AC722" s="276"/>
      <c r="AD722" s="246"/>
      <c r="AE722" s="278"/>
      <c r="AF722" s="370"/>
      <c r="AG722" s="371"/>
      <c r="AH722" s="276"/>
      <c r="AI722" s="245"/>
      <c r="AJ722" s="287"/>
      <c r="AK722" s="278"/>
      <c r="AL722" s="246"/>
      <c r="AM722" s="245"/>
      <c r="AN722" s="245"/>
      <c r="AO722" s="274"/>
      <c r="AP722" s="245"/>
      <c r="AQ722" s="245"/>
      <c r="AR722" s="246"/>
      <c r="AS722" s="245"/>
      <c r="AT722" s="245"/>
      <c r="AU722" s="245"/>
      <c r="AV722" s="245"/>
      <c r="AW722" s="245"/>
      <c r="AX722" s="246"/>
      <c r="AY722" s="245"/>
      <c r="AZ722" s="245"/>
      <c r="BA722" s="246"/>
      <c r="BB722" s="245"/>
      <c r="BC722" s="245"/>
      <c r="BD722" s="245"/>
      <c r="BE722" s="245"/>
      <c r="BF722" s="245"/>
      <c r="BG722" s="245"/>
      <c r="BH722" s="245"/>
      <c r="BI722" s="245"/>
      <c r="BJ722" s="245"/>
      <c r="BK722" s="245"/>
      <c r="BL722" s="245"/>
      <c r="BM722" s="245"/>
      <c r="BN722" s="245"/>
      <c r="BO722" s="245"/>
      <c r="BP722" s="245"/>
      <c r="BQ722" s="245"/>
      <c r="BR722" s="245"/>
      <c r="BS722" s="245"/>
      <c r="BT722" s="246"/>
      <c r="BU722" s="245"/>
      <c r="BV722" s="245"/>
      <c r="BW722" s="245"/>
      <c r="BX722" s="245"/>
      <c r="BY722" s="245"/>
      <c r="BZ722" s="282"/>
      <c r="CA722" s="245"/>
      <c r="CB722" s="245"/>
      <c r="CC722" s="245"/>
      <c r="CD722" s="245"/>
      <c r="CE722" s="245"/>
      <c r="CF722" s="245"/>
    </row>
    <row r="723">
      <c r="A723" s="245"/>
      <c r="B723" s="245"/>
      <c r="C723" s="245"/>
      <c r="D723" s="246"/>
      <c r="E723" s="245"/>
      <c r="F723" s="245"/>
      <c r="G723" s="245"/>
      <c r="H723" s="245"/>
      <c r="I723" s="245"/>
      <c r="J723" s="245"/>
      <c r="K723" s="265"/>
      <c r="L723" s="245"/>
      <c r="M723" s="245"/>
      <c r="N723" s="245"/>
      <c r="O723" s="245"/>
      <c r="P723" s="245"/>
      <c r="Q723" s="247"/>
      <c r="R723" s="254"/>
      <c r="S723" s="245"/>
      <c r="T723" s="245"/>
      <c r="U723" s="245"/>
      <c r="V723" s="245"/>
      <c r="W723" s="245"/>
      <c r="X723" s="245"/>
      <c r="Y723" s="249"/>
      <c r="Z723" s="276"/>
      <c r="AA723" s="245"/>
      <c r="AB723" s="276"/>
      <c r="AC723" s="276"/>
      <c r="AD723" s="246"/>
      <c r="AE723" s="278"/>
      <c r="AF723" s="370"/>
      <c r="AG723" s="371"/>
      <c r="AH723" s="276"/>
      <c r="AI723" s="245"/>
      <c r="AJ723" s="287"/>
      <c r="AK723" s="278"/>
      <c r="AL723" s="246"/>
      <c r="AM723" s="245"/>
      <c r="AN723" s="245"/>
      <c r="AO723" s="274"/>
      <c r="AP723" s="245"/>
      <c r="AQ723" s="245"/>
      <c r="AR723" s="246"/>
      <c r="AS723" s="245"/>
      <c r="AT723" s="245"/>
      <c r="AU723" s="245"/>
      <c r="AV723" s="245"/>
      <c r="AW723" s="245"/>
      <c r="AX723" s="246"/>
      <c r="AY723" s="245"/>
      <c r="AZ723" s="245"/>
      <c r="BA723" s="246"/>
      <c r="BB723" s="245"/>
      <c r="BC723" s="245"/>
      <c r="BD723" s="245"/>
      <c r="BE723" s="245"/>
      <c r="BF723" s="245"/>
      <c r="BG723" s="245"/>
      <c r="BH723" s="245"/>
      <c r="BI723" s="245"/>
      <c r="BJ723" s="245"/>
      <c r="BK723" s="245"/>
      <c r="BL723" s="245"/>
      <c r="BM723" s="245"/>
      <c r="BN723" s="245"/>
      <c r="BO723" s="245"/>
      <c r="BP723" s="245"/>
      <c r="BQ723" s="245"/>
      <c r="BR723" s="245"/>
      <c r="BS723" s="245"/>
      <c r="BT723" s="246"/>
      <c r="BU723" s="245"/>
      <c r="BV723" s="245"/>
      <c r="BW723" s="245"/>
      <c r="BX723" s="245"/>
      <c r="BY723" s="245"/>
      <c r="BZ723" s="282"/>
      <c r="CA723" s="245"/>
      <c r="CB723" s="245"/>
      <c r="CC723" s="245"/>
      <c r="CD723" s="245"/>
      <c r="CE723" s="245"/>
      <c r="CF723" s="245"/>
    </row>
    <row r="724">
      <c r="A724" s="245"/>
      <c r="B724" s="245"/>
      <c r="C724" s="245"/>
      <c r="D724" s="246"/>
      <c r="E724" s="245"/>
      <c r="F724" s="245"/>
      <c r="G724" s="245"/>
      <c r="H724" s="245"/>
      <c r="I724" s="245"/>
      <c r="J724" s="245"/>
      <c r="K724" s="265"/>
      <c r="L724" s="245"/>
      <c r="M724" s="245"/>
      <c r="N724" s="245"/>
      <c r="O724" s="245"/>
      <c r="P724" s="245"/>
      <c r="Q724" s="247"/>
      <c r="R724" s="254"/>
      <c r="S724" s="245"/>
      <c r="T724" s="245"/>
      <c r="U724" s="245"/>
      <c r="V724" s="245"/>
      <c r="W724" s="245"/>
      <c r="X724" s="245"/>
      <c r="Y724" s="249"/>
      <c r="Z724" s="276"/>
      <c r="AA724" s="245"/>
      <c r="AB724" s="276"/>
      <c r="AC724" s="276"/>
      <c r="AD724" s="246"/>
      <c r="AE724" s="278"/>
      <c r="AF724" s="370"/>
      <c r="AG724" s="371"/>
      <c r="AH724" s="276"/>
      <c r="AI724" s="245"/>
      <c r="AJ724" s="287"/>
      <c r="AK724" s="278"/>
      <c r="AL724" s="246"/>
      <c r="AM724" s="245"/>
      <c r="AN724" s="245"/>
      <c r="AO724" s="274"/>
      <c r="AP724" s="245"/>
      <c r="AQ724" s="245"/>
      <c r="AR724" s="246"/>
      <c r="AS724" s="245"/>
      <c r="AT724" s="245"/>
      <c r="AU724" s="245"/>
      <c r="AV724" s="245"/>
      <c r="AW724" s="245"/>
      <c r="AX724" s="246"/>
      <c r="AY724" s="245"/>
      <c r="AZ724" s="245"/>
      <c r="BA724" s="246"/>
      <c r="BB724" s="245"/>
      <c r="BC724" s="245"/>
      <c r="BD724" s="245"/>
      <c r="BE724" s="245"/>
      <c r="BF724" s="245"/>
      <c r="BG724" s="245"/>
      <c r="BH724" s="245"/>
      <c r="BI724" s="245"/>
      <c r="BJ724" s="245"/>
      <c r="BK724" s="245"/>
      <c r="BL724" s="245"/>
      <c r="BM724" s="245"/>
      <c r="BN724" s="245"/>
      <c r="BO724" s="245"/>
      <c r="BP724" s="245"/>
      <c r="BQ724" s="245"/>
      <c r="BR724" s="245"/>
      <c r="BS724" s="245"/>
      <c r="BT724" s="246"/>
      <c r="BU724" s="245"/>
      <c r="BV724" s="245"/>
      <c r="BW724" s="245"/>
      <c r="BX724" s="245"/>
      <c r="BY724" s="245"/>
      <c r="BZ724" s="282"/>
      <c r="CA724" s="245"/>
      <c r="CB724" s="245"/>
      <c r="CC724" s="245"/>
      <c r="CD724" s="245"/>
      <c r="CE724" s="245"/>
      <c r="CF724" s="245"/>
    </row>
    <row r="725">
      <c r="A725" s="245"/>
      <c r="B725" s="245"/>
      <c r="C725" s="245"/>
      <c r="D725" s="246"/>
      <c r="E725" s="245"/>
      <c r="F725" s="245"/>
      <c r="G725" s="245"/>
      <c r="H725" s="245"/>
      <c r="I725" s="245"/>
      <c r="J725" s="245"/>
      <c r="K725" s="265"/>
      <c r="L725" s="245"/>
      <c r="M725" s="245"/>
      <c r="N725" s="245"/>
      <c r="O725" s="245"/>
      <c r="P725" s="245"/>
      <c r="Q725" s="247"/>
      <c r="R725" s="254"/>
      <c r="S725" s="245"/>
      <c r="T725" s="245"/>
      <c r="U725" s="245"/>
      <c r="V725" s="245"/>
      <c r="W725" s="245"/>
      <c r="X725" s="245"/>
      <c r="Y725" s="249"/>
      <c r="Z725" s="276"/>
      <c r="AA725" s="245"/>
      <c r="AB725" s="276"/>
      <c r="AC725" s="276"/>
      <c r="AD725" s="246"/>
      <c r="AE725" s="278"/>
      <c r="AF725" s="370"/>
      <c r="AG725" s="371"/>
      <c r="AH725" s="276"/>
      <c r="AI725" s="245"/>
      <c r="AJ725" s="287"/>
      <c r="AK725" s="278"/>
      <c r="AL725" s="246"/>
      <c r="AM725" s="245"/>
      <c r="AN725" s="245"/>
      <c r="AO725" s="274"/>
      <c r="AP725" s="245"/>
      <c r="AQ725" s="245"/>
      <c r="AR725" s="246"/>
      <c r="AS725" s="245"/>
      <c r="AT725" s="245"/>
      <c r="AU725" s="245"/>
      <c r="AV725" s="245"/>
      <c r="AW725" s="245"/>
      <c r="AX725" s="246"/>
      <c r="AY725" s="245"/>
      <c r="AZ725" s="245"/>
      <c r="BA725" s="246"/>
      <c r="BB725" s="245"/>
      <c r="BC725" s="245"/>
      <c r="BD725" s="245"/>
      <c r="BE725" s="245"/>
      <c r="BF725" s="245"/>
      <c r="BG725" s="245"/>
      <c r="BH725" s="245"/>
      <c r="BI725" s="245"/>
      <c r="BJ725" s="245"/>
      <c r="BK725" s="245"/>
      <c r="BL725" s="245"/>
      <c r="BM725" s="245"/>
      <c r="BN725" s="245"/>
      <c r="BO725" s="245"/>
      <c r="BP725" s="245"/>
      <c r="BQ725" s="245"/>
      <c r="BR725" s="245"/>
      <c r="BS725" s="245"/>
      <c r="BT725" s="246"/>
      <c r="BU725" s="245"/>
      <c r="BV725" s="245"/>
      <c r="BW725" s="245"/>
      <c r="BX725" s="245"/>
      <c r="BY725" s="245"/>
      <c r="BZ725" s="282"/>
      <c r="CA725" s="245"/>
      <c r="CB725" s="245"/>
      <c r="CC725" s="245"/>
      <c r="CD725" s="245"/>
      <c r="CE725" s="245"/>
      <c r="CF725" s="245"/>
    </row>
    <row r="726">
      <c r="A726" s="245"/>
      <c r="B726" s="245"/>
      <c r="C726" s="245"/>
      <c r="D726" s="246"/>
      <c r="E726" s="245"/>
      <c r="F726" s="245"/>
      <c r="G726" s="245"/>
      <c r="H726" s="245"/>
      <c r="I726" s="245"/>
      <c r="J726" s="245"/>
      <c r="K726" s="265"/>
      <c r="L726" s="245"/>
      <c r="M726" s="245"/>
      <c r="N726" s="245"/>
      <c r="O726" s="245"/>
      <c r="P726" s="245"/>
      <c r="Q726" s="247"/>
      <c r="R726" s="254"/>
      <c r="S726" s="245"/>
      <c r="T726" s="245"/>
      <c r="U726" s="245"/>
      <c r="V726" s="245"/>
      <c r="W726" s="245"/>
      <c r="X726" s="245"/>
      <c r="Y726" s="249"/>
      <c r="Z726" s="276"/>
      <c r="AA726" s="245"/>
      <c r="AB726" s="276"/>
      <c r="AC726" s="276"/>
      <c r="AD726" s="246"/>
      <c r="AE726" s="278"/>
      <c r="AF726" s="370"/>
      <c r="AG726" s="371"/>
      <c r="AH726" s="276"/>
      <c r="AI726" s="245"/>
      <c r="AJ726" s="287"/>
      <c r="AK726" s="278"/>
      <c r="AL726" s="246"/>
      <c r="AM726" s="245"/>
      <c r="AN726" s="245"/>
      <c r="AO726" s="274"/>
      <c r="AP726" s="245"/>
      <c r="AQ726" s="245"/>
      <c r="AR726" s="246"/>
      <c r="AS726" s="245"/>
      <c r="AT726" s="245"/>
      <c r="AU726" s="245"/>
      <c r="AV726" s="245"/>
      <c r="AW726" s="245"/>
      <c r="AX726" s="246"/>
      <c r="AY726" s="245"/>
      <c r="AZ726" s="245"/>
      <c r="BA726" s="246"/>
      <c r="BB726" s="245"/>
      <c r="BC726" s="245"/>
      <c r="BD726" s="245"/>
      <c r="BE726" s="245"/>
      <c r="BF726" s="245"/>
      <c r="BG726" s="245"/>
      <c r="BH726" s="245"/>
      <c r="BI726" s="245"/>
      <c r="BJ726" s="245"/>
      <c r="BK726" s="245"/>
      <c r="BL726" s="245"/>
      <c r="BM726" s="245"/>
      <c r="BN726" s="245"/>
      <c r="BO726" s="245"/>
      <c r="BP726" s="245"/>
      <c r="BQ726" s="245"/>
      <c r="BR726" s="245"/>
      <c r="BS726" s="245"/>
      <c r="BT726" s="246"/>
      <c r="BU726" s="245"/>
      <c r="BV726" s="245"/>
      <c r="BW726" s="245"/>
      <c r="BX726" s="245"/>
      <c r="BY726" s="245"/>
      <c r="BZ726" s="282"/>
      <c r="CA726" s="245"/>
      <c r="CB726" s="245"/>
      <c r="CC726" s="245"/>
      <c r="CD726" s="245"/>
      <c r="CE726" s="245"/>
      <c r="CF726" s="245"/>
    </row>
    <row r="727">
      <c r="A727" s="245"/>
      <c r="B727" s="245"/>
      <c r="C727" s="245"/>
      <c r="D727" s="246"/>
      <c r="E727" s="245"/>
      <c r="F727" s="245"/>
      <c r="G727" s="245"/>
      <c r="H727" s="245"/>
      <c r="I727" s="245"/>
      <c r="J727" s="245"/>
      <c r="K727" s="265"/>
      <c r="L727" s="245"/>
      <c r="M727" s="245"/>
      <c r="N727" s="245"/>
      <c r="O727" s="245"/>
      <c r="P727" s="245"/>
      <c r="Q727" s="247"/>
      <c r="R727" s="254"/>
      <c r="S727" s="245"/>
      <c r="T727" s="245"/>
      <c r="U727" s="245"/>
      <c r="V727" s="245"/>
      <c r="W727" s="245"/>
      <c r="X727" s="245"/>
      <c r="Y727" s="249"/>
      <c r="Z727" s="276"/>
      <c r="AA727" s="245"/>
      <c r="AB727" s="276"/>
      <c r="AC727" s="276"/>
      <c r="AD727" s="246"/>
      <c r="AE727" s="278"/>
      <c r="AF727" s="370"/>
      <c r="AG727" s="371"/>
      <c r="AH727" s="276"/>
      <c r="AI727" s="245"/>
      <c r="AJ727" s="287"/>
      <c r="AK727" s="278"/>
      <c r="AL727" s="246"/>
      <c r="AM727" s="245"/>
      <c r="AN727" s="245"/>
      <c r="AO727" s="274"/>
      <c r="AP727" s="245"/>
      <c r="AQ727" s="245"/>
      <c r="AR727" s="246"/>
      <c r="AS727" s="245"/>
      <c r="AT727" s="245"/>
      <c r="AU727" s="245"/>
      <c r="AV727" s="245"/>
      <c r="AW727" s="245"/>
      <c r="AX727" s="246"/>
      <c r="AY727" s="245"/>
      <c r="AZ727" s="245"/>
      <c r="BA727" s="246"/>
      <c r="BB727" s="245"/>
      <c r="BC727" s="245"/>
      <c r="BD727" s="245"/>
      <c r="BE727" s="245"/>
      <c r="BF727" s="245"/>
      <c r="BG727" s="245"/>
      <c r="BH727" s="245"/>
      <c r="BI727" s="245"/>
      <c r="BJ727" s="245"/>
      <c r="BK727" s="245"/>
      <c r="BL727" s="245"/>
      <c r="BM727" s="245"/>
      <c r="BN727" s="245"/>
      <c r="BO727" s="245"/>
      <c r="BP727" s="245"/>
      <c r="BQ727" s="245"/>
      <c r="BR727" s="245"/>
      <c r="BS727" s="245"/>
      <c r="BT727" s="246"/>
      <c r="BU727" s="245"/>
      <c r="BV727" s="245"/>
      <c r="BW727" s="245"/>
      <c r="BX727" s="245"/>
      <c r="BY727" s="245"/>
      <c r="BZ727" s="282"/>
      <c r="CA727" s="245"/>
      <c r="CB727" s="245"/>
      <c r="CC727" s="245"/>
      <c r="CD727" s="245"/>
      <c r="CE727" s="245"/>
      <c r="CF727" s="245"/>
    </row>
    <row r="728">
      <c r="A728" s="245"/>
      <c r="B728" s="245"/>
      <c r="C728" s="245"/>
      <c r="D728" s="246"/>
      <c r="E728" s="245"/>
      <c r="F728" s="245"/>
      <c r="G728" s="245"/>
      <c r="H728" s="245"/>
      <c r="I728" s="245"/>
      <c r="J728" s="245"/>
      <c r="K728" s="265"/>
      <c r="L728" s="245"/>
      <c r="M728" s="245"/>
      <c r="N728" s="245"/>
      <c r="O728" s="245"/>
      <c r="P728" s="245"/>
      <c r="Q728" s="247"/>
      <c r="R728" s="254"/>
      <c r="S728" s="245"/>
      <c r="T728" s="245"/>
      <c r="U728" s="245"/>
      <c r="V728" s="245"/>
      <c r="W728" s="245"/>
      <c r="X728" s="245"/>
      <c r="Y728" s="249"/>
      <c r="Z728" s="276"/>
      <c r="AA728" s="245"/>
      <c r="AB728" s="276"/>
      <c r="AC728" s="276"/>
      <c r="AD728" s="246"/>
      <c r="AE728" s="278"/>
      <c r="AF728" s="370"/>
      <c r="AG728" s="371"/>
      <c r="AH728" s="276"/>
      <c r="AI728" s="245"/>
      <c r="AJ728" s="287"/>
      <c r="AK728" s="278"/>
      <c r="AL728" s="246"/>
      <c r="AM728" s="245"/>
      <c r="AN728" s="245"/>
      <c r="AO728" s="274"/>
      <c r="AP728" s="245"/>
      <c r="AQ728" s="245"/>
      <c r="AR728" s="246"/>
      <c r="AS728" s="245"/>
      <c r="AT728" s="245"/>
      <c r="AU728" s="245"/>
      <c r="AV728" s="245"/>
      <c r="AW728" s="245"/>
      <c r="AX728" s="246"/>
      <c r="AY728" s="245"/>
      <c r="AZ728" s="245"/>
      <c r="BA728" s="246"/>
      <c r="BB728" s="245"/>
      <c r="BC728" s="245"/>
      <c r="BD728" s="245"/>
      <c r="BE728" s="245"/>
      <c r="BF728" s="245"/>
      <c r="BG728" s="245"/>
      <c r="BH728" s="245"/>
      <c r="BI728" s="245"/>
      <c r="BJ728" s="245"/>
      <c r="BK728" s="245"/>
      <c r="BL728" s="245"/>
      <c r="BM728" s="245"/>
      <c r="BN728" s="245"/>
      <c r="BO728" s="245"/>
      <c r="BP728" s="245"/>
      <c r="BQ728" s="245"/>
      <c r="BR728" s="245"/>
      <c r="BS728" s="245"/>
      <c r="BT728" s="246"/>
      <c r="BU728" s="245"/>
      <c r="BV728" s="245"/>
      <c r="BW728" s="245"/>
      <c r="BX728" s="245"/>
      <c r="BY728" s="245"/>
      <c r="BZ728" s="282"/>
      <c r="CA728" s="245"/>
      <c r="CB728" s="245"/>
      <c r="CC728" s="245"/>
      <c r="CD728" s="245"/>
      <c r="CE728" s="245"/>
      <c r="CF728" s="245"/>
    </row>
    <row r="729">
      <c r="A729" s="245"/>
      <c r="B729" s="245"/>
      <c r="C729" s="245"/>
      <c r="D729" s="246"/>
      <c r="E729" s="245"/>
      <c r="F729" s="245"/>
      <c r="G729" s="245"/>
      <c r="H729" s="245"/>
      <c r="I729" s="245"/>
      <c r="J729" s="245"/>
      <c r="K729" s="265"/>
      <c r="L729" s="245"/>
      <c r="M729" s="245"/>
      <c r="N729" s="245"/>
      <c r="O729" s="245"/>
      <c r="P729" s="245"/>
      <c r="Q729" s="247"/>
      <c r="R729" s="254"/>
      <c r="S729" s="245"/>
      <c r="T729" s="245"/>
      <c r="U729" s="245"/>
      <c r="V729" s="245"/>
      <c r="W729" s="245"/>
      <c r="X729" s="245"/>
      <c r="Y729" s="249"/>
      <c r="Z729" s="276"/>
      <c r="AA729" s="245"/>
      <c r="AB729" s="276"/>
      <c r="AC729" s="276"/>
      <c r="AD729" s="246"/>
      <c r="AE729" s="278"/>
      <c r="AF729" s="370"/>
      <c r="AG729" s="371"/>
      <c r="AH729" s="276"/>
      <c r="AI729" s="245"/>
      <c r="AJ729" s="287"/>
      <c r="AK729" s="278"/>
      <c r="AL729" s="246"/>
      <c r="AM729" s="245"/>
      <c r="AN729" s="245"/>
      <c r="AO729" s="274"/>
      <c r="AP729" s="245"/>
      <c r="AQ729" s="245"/>
      <c r="AR729" s="246"/>
      <c r="AS729" s="245"/>
      <c r="AT729" s="245"/>
      <c r="AU729" s="245"/>
      <c r="AV729" s="245"/>
      <c r="AW729" s="245"/>
      <c r="AX729" s="246"/>
      <c r="AY729" s="245"/>
      <c r="AZ729" s="245"/>
      <c r="BA729" s="246"/>
      <c r="BB729" s="245"/>
      <c r="BC729" s="245"/>
      <c r="BD729" s="245"/>
      <c r="BE729" s="245"/>
      <c r="BF729" s="245"/>
      <c r="BG729" s="245"/>
      <c r="BH729" s="245"/>
      <c r="BI729" s="245"/>
      <c r="BJ729" s="245"/>
      <c r="BK729" s="245"/>
      <c r="BL729" s="245"/>
      <c r="BM729" s="245"/>
      <c r="BN729" s="245"/>
      <c r="BO729" s="245"/>
      <c r="BP729" s="245"/>
      <c r="BQ729" s="245"/>
      <c r="BR729" s="245"/>
      <c r="BS729" s="245"/>
      <c r="BT729" s="246"/>
      <c r="BU729" s="245"/>
      <c r="BV729" s="245"/>
      <c r="BW729" s="245"/>
      <c r="BX729" s="245"/>
      <c r="BY729" s="245"/>
      <c r="BZ729" s="282"/>
      <c r="CA729" s="245"/>
      <c r="CB729" s="245"/>
      <c r="CC729" s="245"/>
      <c r="CD729" s="245"/>
      <c r="CE729" s="245"/>
      <c r="CF729" s="245"/>
    </row>
    <row r="730">
      <c r="A730" s="245"/>
      <c r="B730" s="245"/>
      <c r="C730" s="245"/>
      <c r="D730" s="246"/>
      <c r="E730" s="245"/>
      <c r="F730" s="245"/>
      <c r="G730" s="245"/>
      <c r="H730" s="245"/>
      <c r="I730" s="245"/>
      <c r="J730" s="245"/>
      <c r="K730" s="265"/>
      <c r="L730" s="245"/>
      <c r="M730" s="245"/>
      <c r="N730" s="245"/>
      <c r="O730" s="245"/>
      <c r="P730" s="245"/>
      <c r="Q730" s="247"/>
      <c r="R730" s="254"/>
      <c r="S730" s="245"/>
      <c r="T730" s="245"/>
      <c r="U730" s="245"/>
      <c r="V730" s="245"/>
      <c r="W730" s="245"/>
      <c r="X730" s="245"/>
      <c r="Y730" s="249"/>
      <c r="Z730" s="276"/>
      <c r="AA730" s="245"/>
      <c r="AB730" s="276"/>
      <c r="AC730" s="276"/>
      <c r="AD730" s="246"/>
      <c r="AE730" s="278"/>
      <c r="AF730" s="370"/>
      <c r="AG730" s="371"/>
      <c r="AH730" s="276"/>
      <c r="AI730" s="245"/>
      <c r="AJ730" s="287"/>
      <c r="AK730" s="278"/>
      <c r="AL730" s="246"/>
      <c r="AM730" s="245"/>
      <c r="AN730" s="245"/>
      <c r="AO730" s="274"/>
      <c r="AP730" s="245"/>
      <c r="AQ730" s="245"/>
      <c r="AR730" s="246"/>
      <c r="AS730" s="245"/>
      <c r="AT730" s="245"/>
      <c r="AU730" s="245"/>
      <c r="AV730" s="245"/>
      <c r="AW730" s="245"/>
      <c r="AX730" s="246"/>
      <c r="AY730" s="245"/>
      <c r="AZ730" s="245"/>
      <c r="BA730" s="246"/>
      <c r="BB730" s="245"/>
      <c r="BC730" s="245"/>
      <c r="BD730" s="245"/>
      <c r="BE730" s="245"/>
      <c r="BF730" s="245"/>
      <c r="BG730" s="245"/>
      <c r="BH730" s="245"/>
      <c r="BI730" s="245"/>
      <c r="BJ730" s="245"/>
      <c r="BK730" s="245"/>
      <c r="BL730" s="245"/>
      <c r="BM730" s="245"/>
      <c r="BN730" s="245"/>
      <c r="BO730" s="245"/>
      <c r="BP730" s="245"/>
      <c r="BQ730" s="245"/>
      <c r="BR730" s="245"/>
      <c r="BS730" s="245"/>
      <c r="BT730" s="246"/>
      <c r="BU730" s="245"/>
      <c r="BV730" s="245"/>
      <c r="BW730" s="245"/>
      <c r="BX730" s="245"/>
      <c r="BY730" s="245"/>
      <c r="BZ730" s="282"/>
      <c r="CA730" s="245"/>
      <c r="CB730" s="245"/>
      <c r="CC730" s="245"/>
      <c r="CD730" s="245"/>
      <c r="CE730" s="245"/>
      <c r="CF730" s="245"/>
    </row>
    <row r="731">
      <c r="A731" s="245"/>
      <c r="B731" s="245"/>
      <c r="C731" s="245"/>
      <c r="D731" s="246"/>
      <c r="E731" s="245"/>
      <c r="F731" s="245"/>
      <c r="G731" s="245"/>
      <c r="H731" s="245"/>
      <c r="I731" s="245"/>
      <c r="J731" s="245"/>
      <c r="K731" s="265"/>
      <c r="L731" s="245"/>
      <c r="M731" s="245"/>
      <c r="N731" s="245"/>
      <c r="O731" s="245"/>
      <c r="P731" s="245"/>
      <c r="Q731" s="247"/>
      <c r="R731" s="254"/>
      <c r="S731" s="245"/>
      <c r="T731" s="245"/>
      <c r="U731" s="245"/>
      <c r="V731" s="245"/>
      <c r="W731" s="245"/>
      <c r="X731" s="245"/>
      <c r="Y731" s="249"/>
      <c r="Z731" s="276"/>
      <c r="AA731" s="245"/>
      <c r="AB731" s="276"/>
      <c r="AC731" s="276"/>
      <c r="AD731" s="246"/>
      <c r="AE731" s="278"/>
      <c r="AF731" s="370"/>
      <c r="AG731" s="371"/>
      <c r="AH731" s="276"/>
      <c r="AI731" s="245"/>
      <c r="AJ731" s="287"/>
      <c r="AK731" s="278"/>
      <c r="AL731" s="246"/>
      <c r="AM731" s="245"/>
      <c r="AN731" s="245"/>
      <c r="AO731" s="274"/>
      <c r="AP731" s="245"/>
      <c r="AQ731" s="245"/>
      <c r="AR731" s="246"/>
      <c r="AS731" s="245"/>
      <c r="AT731" s="245"/>
      <c r="AU731" s="245"/>
      <c r="AV731" s="245"/>
      <c r="AW731" s="245"/>
      <c r="AX731" s="246"/>
      <c r="AY731" s="245"/>
      <c r="AZ731" s="245"/>
      <c r="BA731" s="246"/>
      <c r="BB731" s="245"/>
      <c r="BC731" s="245"/>
      <c r="BD731" s="245"/>
      <c r="BE731" s="245"/>
      <c r="BF731" s="245"/>
      <c r="BG731" s="245"/>
      <c r="BH731" s="245"/>
      <c r="BI731" s="245"/>
      <c r="BJ731" s="245"/>
      <c r="BK731" s="245"/>
      <c r="BL731" s="245"/>
      <c r="BM731" s="245"/>
      <c r="BN731" s="245"/>
      <c r="BO731" s="245"/>
      <c r="BP731" s="245"/>
      <c r="BQ731" s="245"/>
      <c r="BR731" s="245"/>
      <c r="BS731" s="245"/>
      <c r="BT731" s="246"/>
      <c r="BU731" s="245"/>
      <c r="BV731" s="245"/>
      <c r="BW731" s="245"/>
      <c r="BX731" s="245"/>
      <c r="BY731" s="245"/>
      <c r="BZ731" s="282"/>
      <c r="CA731" s="245"/>
      <c r="CB731" s="245"/>
      <c r="CC731" s="245"/>
      <c r="CD731" s="245"/>
      <c r="CE731" s="245"/>
      <c r="CF731" s="245"/>
    </row>
    <row r="732">
      <c r="A732" s="245"/>
      <c r="B732" s="245"/>
      <c r="C732" s="245"/>
      <c r="D732" s="246"/>
      <c r="E732" s="245"/>
      <c r="F732" s="245"/>
      <c r="G732" s="245"/>
      <c r="H732" s="245"/>
      <c r="I732" s="245"/>
      <c r="J732" s="245"/>
      <c r="K732" s="265"/>
      <c r="L732" s="245"/>
      <c r="M732" s="245"/>
      <c r="N732" s="245"/>
      <c r="O732" s="245"/>
      <c r="P732" s="245"/>
      <c r="Q732" s="247"/>
      <c r="R732" s="254"/>
      <c r="S732" s="245"/>
      <c r="T732" s="245"/>
      <c r="U732" s="245"/>
      <c r="V732" s="245"/>
      <c r="W732" s="245"/>
      <c r="X732" s="245"/>
      <c r="Y732" s="249"/>
      <c r="Z732" s="276"/>
      <c r="AA732" s="245"/>
      <c r="AB732" s="276"/>
      <c r="AC732" s="276"/>
      <c r="AD732" s="246"/>
      <c r="AE732" s="278"/>
      <c r="AF732" s="370"/>
      <c r="AG732" s="371"/>
      <c r="AH732" s="276"/>
      <c r="AI732" s="245"/>
      <c r="AJ732" s="287"/>
      <c r="AK732" s="278"/>
      <c r="AL732" s="246"/>
      <c r="AM732" s="245"/>
      <c r="AN732" s="245"/>
      <c r="AO732" s="274"/>
      <c r="AP732" s="245"/>
      <c r="AQ732" s="245"/>
      <c r="AR732" s="246"/>
      <c r="AS732" s="245"/>
      <c r="AT732" s="245"/>
      <c r="AU732" s="245"/>
      <c r="AV732" s="245"/>
      <c r="AW732" s="245"/>
      <c r="AX732" s="246"/>
      <c r="AY732" s="245"/>
      <c r="AZ732" s="245"/>
      <c r="BA732" s="246"/>
      <c r="BB732" s="245"/>
      <c r="BC732" s="245"/>
      <c r="BD732" s="245"/>
      <c r="BE732" s="245"/>
      <c r="BF732" s="245"/>
      <c r="BG732" s="245"/>
      <c r="BH732" s="245"/>
      <c r="BI732" s="245"/>
      <c r="BJ732" s="245"/>
      <c r="BK732" s="245"/>
      <c r="BL732" s="245"/>
      <c r="BM732" s="245"/>
      <c r="BN732" s="245"/>
      <c r="BO732" s="245"/>
      <c r="BP732" s="245"/>
      <c r="BQ732" s="245"/>
      <c r="BR732" s="245"/>
      <c r="BS732" s="245"/>
      <c r="BT732" s="246"/>
      <c r="BU732" s="245"/>
      <c r="BV732" s="245"/>
      <c r="BW732" s="245"/>
      <c r="BX732" s="245"/>
      <c r="BY732" s="245"/>
      <c r="BZ732" s="282"/>
      <c r="CA732" s="245"/>
      <c r="CB732" s="245"/>
      <c r="CC732" s="245"/>
      <c r="CD732" s="245"/>
      <c r="CE732" s="245"/>
      <c r="CF732" s="245"/>
    </row>
    <row r="733">
      <c r="A733" s="245"/>
      <c r="B733" s="245"/>
      <c r="C733" s="245"/>
      <c r="D733" s="246"/>
      <c r="E733" s="245"/>
      <c r="F733" s="245"/>
      <c r="G733" s="245"/>
      <c r="H733" s="245"/>
      <c r="I733" s="245"/>
      <c r="J733" s="245"/>
      <c r="K733" s="265"/>
      <c r="L733" s="245"/>
      <c r="M733" s="245"/>
      <c r="N733" s="245"/>
      <c r="O733" s="245"/>
      <c r="P733" s="245"/>
      <c r="Q733" s="247"/>
      <c r="R733" s="254"/>
      <c r="S733" s="245"/>
      <c r="T733" s="245"/>
      <c r="U733" s="245"/>
      <c r="V733" s="245"/>
      <c r="W733" s="245"/>
      <c r="X733" s="245"/>
      <c r="Y733" s="249"/>
      <c r="Z733" s="276"/>
      <c r="AA733" s="245"/>
      <c r="AB733" s="276"/>
      <c r="AC733" s="276"/>
      <c r="AD733" s="246"/>
      <c r="AE733" s="278"/>
      <c r="AF733" s="370"/>
      <c r="AG733" s="371"/>
      <c r="AH733" s="276"/>
      <c r="AI733" s="245"/>
      <c r="AJ733" s="287"/>
      <c r="AK733" s="278"/>
      <c r="AL733" s="246"/>
      <c r="AM733" s="245"/>
      <c r="AN733" s="245"/>
      <c r="AO733" s="274"/>
      <c r="AP733" s="245"/>
      <c r="AQ733" s="245"/>
      <c r="AR733" s="246"/>
      <c r="AS733" s="245"/>
      <c r="AT733" s="245"/>
      <c r="AU733" s="245"/>
      <c r="AV733" s="245"/>
      <c r="AW733" s="245"/>
      <c r="AX733" s="246"/>
      <c r="AY733" s="245"/>
      <c r="AZ733" s="245"/>
      <c r="BA733" s="246"/>
      <c r="BB733" s="245"/>
      <c r="BC733" s="245"/>
      <c r="BD733" s="245"/>
      <c r="BE733" s="245"/>
      <c r="BF733" s="245"/>
      <c r="BG733" s="245"/>
      <c r="BH733" s="245"/>
      <c r="BI733" s="245"/>
      <c r="BJ733" s="245"/>
      <c r="BK733" s="245"/>
      <c r="BL733" s="245"/>
      <c r="BM733" s="245"/>
      <c r="BN733" s="245"/>
      <c r="BO733" s="245"/>
      <c r="BP733" s="245"/>
      <c r="BQ733" s="245"/>
      <c r="BR733" s="245"/>
      <c r="BS733" s="245"/>
      <c r="BT733" s="246"/>
      <c r="BU733" s="245"/>
      <c r="BV733" s="245"/>
      <c r="BW733" s="245"/>
      <c r="BX733" s="245"/>
      <c r="BY733" s="245"/>
      <c r="BZ733" s="282"/>
      <c r="CA733" s="245"/>
      <c r="CB733" s="245"/>
      <c r="CC733" s="245"/>
      <c r="CD733" s="245"/>
      <c r="CE733" s="245"/>
      <c r="CF733" s="245"/>
    </row>
    <row r="734">
      <c r="A734" s="245"/>
      <c r="B734" s="245"/>
      <c r="C734" s="245"/>
      <c r="D734" s="246"/>
      <c r="E734" s="245"/>
      <c r="F734" s="245"/>
      <c r="G734" s="245"/>
      <c r="H734" s="245"/>
      <c r="I734" s="245"/>
      <c r="J734" s="245"/>
      <c r="K734" s="265"/>
      <c r="L734" s="245"/>
      <c r="M734" s="245"/>
      <c r="N734" s="245"/>
      <c r="O734" s="245"/>
      <c r="P734" s="245"/>
      <c r="Q734" s="247"/>
      <c r="R734" s="254"/>
      <c r="S734" s="245"/>
      <c r="T734" s="245"/>
      <c r="U734" s="245"/>
      <c r="V734" s="245"/>
      <c r="W734" s="245"/>
      <c r="X734" s="245"/>
      <c r="Y734" s="249"/>
      <c r="Z734" s="276"/>
      <c r="AA734" s="245"/>
      <c r="AB734" s="276"/>
      <c r="AC734" s="276"/>
      <c r="AD734" s="246"/>
      <c r="AE734" s="278"/>
      <c r="AF734" s="370"/>
      <c r="AG734" s="371"/>
      <c r="AH734" s="276"/>
      <c r="AI734" s="245"/>
      <c r="AJ734" s="287"/>
      <c r="AK734" s="278"/>
      <c r="AL734" s="246"/>
      <c r="AM734" s="245"/>
      <c r="AN734" s="245"/>
      <c r="AO734" s="274"/>
      <c r="AP734" s="245"/>
      <c r="AQ734" s="245"/>
      <c r="AR734" s="246"/>
      <c r="AS734" s="245"/>
      <c r="AT734" s="245"/>
      <c r="AU734" s="245"/>
      <c r="AV734" s="245"/>
      <c r="AW734" s="245"/>
      <c r="AX734" s="246"/>
      <c r="AY734" s="245"/>
      <c r="AZ734" s="245"/>
      <c r="BA734" s="246"/>
      <c r="BB734" s="245"/>
      <c r="BC734" s="245"/>
      <c r="BD734" s="245"/>
      <c r="BE734" s="245"/>
      <c r="BF734" s="245"/>
      <c r="BG734" s="245"/>
      <c r="BH734" s="245"/>
      <c r="BI734" s="245"/>
      <c r="BJ734" s="245"/>
      <c r="BK734" s="245"/>
      <c r="BL734" s="245"/>
      <c r="BM734" s="245"/>
      <c r="BN734" s="245"/>
      <c r="BO734" s="245"/>
      <c r="BP734" s="245"/>
      <c r="BQ734" s="245"/>
      <c r="BR734" s="245"/>
      <c r="BS734" s="245"/>
      <c r="BT734" s="246"/>
      <c r="BU734" s="245"/>
      <c r="BV734" s="245"/>
      <c r="BW734" s="245"/>
      <c r="BX734" s="245"/>
      <c r="BY734" s="245"/>
      <c r="BZ734" s="282"/>
      <c r="CA734" s="245"/>
      <c r="CB734" s="245"/>
      <c r="CC734" s="245"/>
      <c r="CD734" s="245"/>
      <c r="CE734" s="245"/>
      <c r="CF734" s="245"/>
    </row>
    <row r="735">
      <c r="A735" s="245"/>
      <c r="B735" s="245"/>
      <c r="C735" s="245"/>
      <c r="D735" s="246"/>
      <c r="E735" s="245"/>
      <c r="F735" s="245"/>
      <c r="G735" s="245"/>
      <c r="H735" s="245"/>
      <c r="I735" s="245"/>
      <c r="J735" s="245"/>
      <c r="K735" s="265"/>
      <c r="L735" s="245"/>
      <c r="M735" s="245"/>
      <c r="N735" s="245"/>
      <c r="O735" s="245"/>
      <c r="P735" s="245"/>
      <c r="Q735" s="247"/>
      <c r="R735" s="254"/>
      <c r="S735" s="245"/>
      <c r="T735" s="245"/>
      <c r="U735" s="245"/>
      <c r="V735" s="245"/>
      <c r="W735" s="245"/>
      <c r="X735" s="245"/>
      <c r="Y735" s="249"/>
      <c r="Z735" s="276"/>
      <c r="AA735" s="245"/>
      <c r="AB735" s="276"/>
      <c r="AC735" s="276"/>
      <c r="AD735" s="246"/>
      <c r="AE735" s="278"/>
      <c r="AF735" s="370"/>
      <c r="AG735" s="371"/>
      <c r="AH735" s="276"/>
      <c r="AI735" s="245"/>
      <c r="AJ735" s="287"/>
      <c r="AK735" s="278"/>
      <c r="AL735" s="246"/>
      <c r="AM735" s="245"/>
      <c r="AN735" s="245"/>
      <c r="AO735" s="274"/>
      <c r="AP735" s="245"/>
      <c r="AQ735" s="245"/>
      <c r="AR735" s="246"/>
      <c r="AS735" s="245"/>
      <c r="AT735" s="245"/>
      <c r="AU735" s="245"/>
      <c r="AV735" s="245"/>
      <c r="AW735" s="245"/>
      <c r="AX735" s="246"/>
      <c r="AY735" s="245"/>
      <c r="AZ735" s="245"/>
      <c r="BA735" s="246"/>
      <c r="BB735" s="245"/>
      <c r="BC735" s="245"/>
      <c r="BD735" s="245"/>
      <c r="BE735" s="245"/>
      <c r="BF735" s="245"/>
      <c r="BG735" s="245"/>
      <c r="BH735" s="245"/>
      <c r="BI735" s="245"/>
      <c r="BJ735" s="245"/>
      <c r="BK735" s="245"/>
      <c r="BL735" s="245"/>
      <c r="BM735" s="245"/>
      <c r="BN735" s="245"/>
      <c r="BO735" s="245"/>
      <c r="BP735" s="245"/>
      <c r="BQ735" s="245"/>
      <c r="BR735" s="245"/>
      <c r="BS735" s="245"/>
      <c r="BT735" s="246"/>
      <c r="BU735" s="245"/>
      <c r="BV735" s="245"/>
      <c r="BW735" s="245"/>
      <c r="BX735" s="245"/>
      <c r="BY735" s="245"/>
      <c r="BZ735" s="282"/>
      <c r="CA735" s="245"/>
      <c r="CB735" s="245"/>
      <c r="CC735" s="245"/>
      <c r="CD735" s="245"/>
      <c r="CE735" s="245"/>
      <c r="CF735" s="245"/>
    </row>
    <row r="736">
      <c r="A736" s="245"/>
      <c r="B736" s="245"/>
      <c r="C736" s="245"/>
      <c r="D736" s="246"/>
      <c r="E736" s="245"/>
      <c r="F736" s="245"/>
      <c r="G736" s="245"/>
      <c r="H736" s="245"/>
      <c r="I736" s="245"/>
      <c r="J736" s="245"/>
      <c r="K736" s="265"/>
      <c r="L736" s="245"/>
      <c r="M736" s="245"/>
      <c r="N736" s="245"/>
      <c r="O736" s="245"/>
      <c r="P736" s="245"/>
      <c r="Q736" s="247"/>
      <c r="R736" s="254"/>
      <c r="S736" s="245"/>
      <c r="T736" s="245"/>
      <c r="U736" s="245"/>
      <c r="V736" s="245"/>
      <c r="W736" s="245"/>
      <c r="X736" s="245"/>
      <c r="Y736" s="249"/>
      <c r="Z736" s="276"/>
      <c r="AA736" s="245"/>
      <c r="AB736" s="276"/>
      <c r="AC736" s="276"/>
      <c r="AD736" s="246"/>
      <c r="AE736" s="278"/>
      <c r="AF736" s="370"/>
      <c r="AG736" s="371"/>
      <c r="AH736" s="276"/>
      <c r="AI736" s="245"/>
      <c r="AJ736" s="287"/>
      <c r="AK736" s="278"/>
      <c r="AL736" s="246"/>
      <c r="AM736" s="245"/>
      <c r="AN736" s="245"/>
      <c r="AO736" s="274"/>
      <c r="AP736" s="245"/>
      <c r="AQ736" s="245"/>
      <c r="AR736" s="246"/>
      <c r="AS736" s="245"/>
      <c r="AT736" s="245"/>
      <c r="AU736" s="245"/>
      <c r="AV736" s="245"/>
      <c r="AW736" s="245"/>
      <c r="AX736" s="246"/>
      <c r="AY736" s="245"/>
      <c r="AZ736" s="245"/>
      <c r="BA736" s="246"/>
      <c r="BB736" s="245"/>
      <c r="BC736" s="245"/>
      <c r="BD736" s="245"/>
      <c r="BE736" s="245"/>
      <c r="BF736" s="245"/>
      <c r="BG736" s="245"/>
      <c r="BH736" s="245"/>
      <c r="BI736" s="245"/>
      <c r="BJ736" s="245"/>
      <c r="BK736" s="245"/>
      <c r="BL736" s="245"/>
      <c r="BM736" s="245"/>
      <c r="BN736" s="245"/>
      <c r="BO736" s="245"/>
      <c r="BP736" s="245"/>
      <c r="BQ736" s="245"/>
      <c r="BR736" s="245"/>
      <c r="BS736" s="245"/>
      <c r="BT736" s="246"/>
      <c r="BU736" s="245"/>
      <c r="BV736" s="245"/>
      <c r="BW736" s="245"/>
      <c r="BX736" s="245"/>
      <c r="BY736" s="245"/>
      <c r="BZ736" s="282"/>
      <c r="CA736" s="245"/>
      <c r="CB736" s="245"/>
      <c r="CC736" s="245"/>
      <c r="CD736" s="245"/>
      <c r="CE736" s="245"/>
      <c r="CF736" s="245"/>
    </row>
    <row r="737">
      <c r="A737" s="245"/>
      <c r="B737" s="245"/>
      <c r="C737" s="245"/>
      <c r="D737" s="246"/>
      <c r="E737" s="245"/>
      <c r="F737" s="245"/>
      <c r="G737" s="245"/>
      <c r="H737" s="245"/>
      <c r="I737" s="245"/>
      <c r="J737" s="245"/>
      <c r="K737" s="265"/>
      <c r="L737" s="245"/>
      <c r="M737" s="245"/>
      <c r="N737" s="245"/>
      <c r="O737" s="245"/>
      <c r="P737" s="245"/>
      <c r="Q737" s="247"/>
      <c r="R737" s="254"/>
      <c r="S737" s="245"/>
      <c r="T737" s="245"/>
      <c r="U737" s="245"/>
      <c r="V737" s="245"/>
      <c r="W737" s="245"/>
      <c r="X737" s="245"/>
      <c r="Y737" s="249"/>
      <c r="Z737" s="276"/>
      <c r="AA737" s="245"/>
      <c r="AB737" s="276"/>
      <c r="AC737" s="276"/>
      <c r="AD737" s="246"/>
      <c r="AE737" s="278"/>
      <c r="AF737" s="370"/>
      <c r="AG737" s="371"/>
      <c r="AH737" s="276"/>
      <c r="AI737" s="245"/>
      <c r="AJ737" s="287"/>
      <c r="AK737" s="278"/>
      <c r="AL737" s="246"/>
      <c r="AM737" s="245"/>
      <c r="AN737" s="245"/>
      <c r="AO737" s="274"/>
      <c r="AP737" s="245"/>
      <c r="AQ737" s="245"/>
      <c r="AR737" s="246"/>
      <c r="AS737" s="245"/>
      <c r="AT737" s="245"/>
      <c r="AU737" s="245"/>
      <c r="AV737" s="245"/>
      <c r="AW737" s="245"/>
      <c r="AX737" s="246"/>
      <c r="AY737" s="245"/>
      <c r="AZ737" s="245"/>
      <c r="BA737" s="246"/>
      <c r="BB737" s="245"/>
      <c r="BC737" s="245"/>
      <c r="BD737" s="245"/>
      <c r="BE737" s="245"/>
      <c r="BF737" s="245"/>
      <c r="BG737" s="245"/>
      <c r="BH737" s="245"/>
      <c r="BI737" s="245"/>
      <c r="BJ737" s="245"/>
      <c r="BK737" s="245"/>
      <c r="BL737" s="245"/>
      <c r="BM737" s="245"/>
      <c r="BN737" s="245"/>
      <c r="BO737" s="245"/>
      <c r="BP737" s="245"/>
      <c r="BQ737" s="245"/>
      <c r="BR737" s="245"/>
      <c r="BS737" s="245"/>
      <c r="BT737" s="246"/>
      <c r="BU737" s="245"/>
      <c r="BV737" s="245"/>
      <c r="BW737" s="245"/>
      <c r="BX737" s="245"/>
      <c r="BY737" s="245"/>
      <c r="BZ737" s="282"/>
      <c r="CA737" s="245"/>
      <c r="CB737" s="245"/>
      <c r="CC737" s="245"/>
      <c r="CD737" s="245"/>
      <c r="CE737" s="245"/>
      <c r="CF737" s="245"/>
    </row>
    <row r="738">
      <c r="A738" s="245"/>
      <c r="B738" s="245"/>
      <c r="C738" s="245"/>
      <c r="D738" s="246"/>
      <c r="E738" s="245"/>
      <c r="F738" s="245"/>
      <c r="G738" s="245"/>
      <c r="H738" s="245"/>
      <c r="I738" s="245"/>
      <c r="J738" s="245"/>
      <c r="K738" s="265"/>
      <c r="L738" s="245"/>
      <c r="M738" s="245"/>
      <c r="N738" s="245"/>
      <c r="O738" s="245"/>
      <c r="P738" s="245"/>
      <c r="Q738" s="247"/>
      <c r="R738" s="254"/>
      <c r="S738" s="245"/>
      <c r="T738" s="245"/>
      <c r="U738" s="245"/>
      <c r="V738" s="245"/>
      <c r="W738" s="245"/>
      <c r="X738" s="245"/>
      <c r="Y738" s="249"/>
      <c r="Z738" s="276"/>
      <c r="AA738" s="245"/>
      <c r="AB738" s="276"/>
      <c r="AC738" s="276"/>
      <c r="AD738" s="246"/>
      <c r="AE738" s="278"/>
      <c r="AF738" s="370"/>
      <c r="AG738" s="371"/>
      <c r="AH738" s="276"/>
      <c r="AI738" s="245"/>
      <c r="AJ738" s="287"/>
      <c r="AK738" s="278"/>
      <c r="AL738" s="246"/>
      <c r="AM738" s="245"/>
      <c r="AN738" s="245"/>
      <c r="AO738" s="274"/>
      <c r="AP738" s="245"/>
      <c r="AQ738" s="245"/>
      <c r="AR738" s="246"/>
      <c r="AS738" s="245"/>
      <c r="AT738" s="245"/>
      <c r="AU738" s="245"/>
      <c r="AV738" s="245"/>
      <c r="AW738" s="245"/>
      <c r="AX738" s="246"/>
      <c r="AY738" s="245"/>
      <c r="AZ738" s="245"/>
      <c r="BA738" s="246"/>
      <c r="BB738" s="245"/>
      <c r="BC738" s="245"/>
      <c r="BD738" s="245"/>
      <c r="BE738" s="245"/>
      <c r="BF738" s="245"/>
      <c r="BG738" s="245"/>
      <c r="BH738" s="245"/>
      <c r="BI738" s="245"/>
      <c r="BJ738" s="245"/>
      <c r="BK738" s="245"/>
      <c r="BL738" s="245"/>
      <c r="BM738" s="245"/>
      <c r="BN738" s="245"/>
      <c r="BO738" s="245"/>
      <c r="BP738" s="245"/>
      <c r="BQ738" s="245"/>
      <c r="BR738" s="245"/>
      <c r="BS738" s="245"/>
      <c r="BT738" s="246"/>
      <c r="BU738" s="245"/>
      <c r="BV738" s="245"/>
      <c r="BW738" s="245"/>
      <c r="BX738" s="245"/>
      <c r="BY738" s="245"/>
      <c r="BZ738" s="282"/>
      <c r="CA738" s="245"/>
      <c r="CB738" s="245"/>
      <c r="CC738" s="245"/>
      <c r="CD738" s="245"/>
      <c r="CE738" s="245"/>
      <c r="CF738" s="245"/>
    </row>
    <row r="739">
      <c r="A739" s="245"/>
      <c r="B739" s="245"/>
      <c r="C739" s="245"/>
      <c r="D739" s="246"/>
      <c r="E739" s="245"/>
      <c r="F739" s="245"/>
      <c r="G739" s="245"/>
      <c r="H739" s="245"/>
      <c r="I739" s="245"/>
      <c r="J739" s="245"/>
      <c r="K739" s="265"/>
      <c r="L739" s="245"/>
      <c r="M739" s="245"/>
      <c r="N739" s="245"/>
      <c r="O739" s="245"/>
      <c r="P739" s="245"/>
      <c r="Q739" s="247"/>
      <c r="R739" s="254"/>
      <c r="S739" s="245"/>
      <c r="T739" s="245"/>
      <c r="U739" s="245"/>
      <c r="V739" s="245"/>
      <c r="W739" s="245"/>
      <c r="X739" s="245"/>
      <c r="Y739" s="249"/>
      <c r="Z739" s="276"/>
      <c r="AA739" s="245"/>
      <c r="AB739" s="276"/>
      <c r="AC739" s="276"/>
      <c r="AD739" s="246"/>
      <c r="AE739" s="278"/>
      <c r="AF739" s="370"/>
      <c r="AG739" s="371"/>
      <c r="AH739" s="276"/>
      <c r="AI739" s="245"/>
      <c r="AJ739" s="287"/>
      <c r="AK739" s="278"/>
      <c r="AL739" s="246"/>
      <c r="AM739" s="245"/>
      <c r="AN739" s="245"/>
      <c r="AO739" s="274"/>
      <c r="AP739" s="245"/>
      <c r="AQ739" s="245"/>
      <c r="AR739" s="246"/>
      <c r="AS739" s="245"/>
      <c r="AT739" s="245"/>
      <c r="AU739" s="245"/>
      <c r="AV739" s="245"/>
      <c r="AW739" s="245"/>
      <c r="AX739" s="246"/>
      <c r="AY739" s="245"/>
      <c r="AZ739" s="245"/>
      <c r="BA739" s="246"/>
      <c r="BB739" s="245"/>
      <c r="BC739" s="245"/>
      <c r="BD739" s="245"/>
      <c r="BE739" s="245"/>
      <c r="BF739" s="245"/>
      <c r="BG739" s="245"/>
      <c r="BH739" s="245"/>
      <c r="BI739" s="245"/>
      <c r="BJ739" s="245"/>
      <c r="BK739" s="245"/>
      <c r="BL739" s="245"/>
      <c r="BM739" s="245"/>
      <c r="BN739" s="245"/>
      <c r="BO739" s="245"/>
      <c r="BP739" s="245"/>
      <c r="BQ739" s="245"/>
      <c r="BR739" s="245"/>
      <c r="BS739" s="245"/>
      <c r="BT739" s="246"/>
      <c r="BU739" s="245"/>
      <c r="BV739" s="245"/>
      <c r="BW739" s="245"/>
      <c r="BX739" s="245"/>
      <c r="BY739" s="245"/>
      <c r="BZ739" s="282"/>
      <c r="CA739" s="245"/>
      <c r="CB739" s="245"/>
      <c r="CC739" s="245"/>
      <c r="CD739" s="245"/>
      <c r="CE739" s="245"/>
      <c r="CF739" s="245"/>
    </row>
    <row r="740">
      <c r="A740" s="245"/>
      <c r="B740" s="245"/>
      <c r="C740" s="245"/>
      <c r="D740" s="246"/>
      <c r="E740" s="245"/>
      <c r="F740" s="245"/>
      <c r="G740" s="245"/>
      <c r="H740" s="245"/>
      <c r="I740" s="245"/>
      <c r="J740" s="245"/>
      <c r="K740" s="265"/>
      <c r="L740" s="245"/>
      <c r="M740" s="245"/>
      <c r="N740" s="245"/>
      <c r="O740" s="245"/>
      <c r="P740" s="245"/>
      <c r="Q740" s="247"/>
      <c r="R740" s="254"/>
      <c r="S740" s="245"/>
      <c r="T740" s="245"/>
      <c r="U740" s="245"/>
      <c r="V740" s="245"/>
      <c r="W740" s="245"/>
      <c r="X740" s="245"/>
      <c r="Y740" s="249"/>
      <c r="Z740" s="276"/>
      <c r="AA740" s="245"/>
      <c r="AB740" s="276"/>
      <c r="AC740" s="276"/>
      <c r="AD740" s="246"/>
      <c r="AE740" s="278"/>
      <c r="AF740" s="370"/>
      <c r="AG740" s="371"/>
      <c r="AH740" s="276"/>
      <c r="AI740" s="245"/>
      <c r="AJ740" s="287"/>
      <c r="AK740" s="278"/>
      <c r="AL740" s="246"/>
      <c r="AM740" s="245"/>
      <c r="AN740" s="245"/>
      <c r="AO740" s="274"/>
      <c r="AP740" s="245"/>
      <c r="AQ740" s="245"/>
      <c r="AR740" s="246"/>
      <c r="AS740" s="245"/>
      <c r="AT740" s="245"/>
      <c r="AU740" s="245"/>
      <c r="AV740" s="245"/>
      <c r="AW740" s="245"/>
      <c r="AX740" s="246"/>
      <c r="AY740" s="245"/>
      <c r="AZ740" s="245"/>
      <c r="BA740" s="246"/>
      <c r="BB740" s="245"/>
      <c r="BC740" s="245"/>
      <c r="BD740" s="245"/>
      <c r="BE740" s="245"/>
      <c r="BF740" s="245"/>
      <c r="BG740" s="245"/>
      <c r="BH740" s="245"/>
      <c r="BI740" s="245"/>
      <c r="BJ740" s="245"/>
      <c r="BK740" s="245"/>
      <c r="BL740" s="245"/>
      <c r="BM740" s="245"/>
      <c r="BN740" s="245"/>
      <c r="BO740" s="245"/>
      <c r="BP740" s="245"/>
      <c r="BQ740" s="245"/>
      <c r="BR740" s="245"/>
      <c r="BS740" s="245"/>
      <c r="BT740" s="246"/>
      <c r="BU740" s="245"/>
      <c r="BV740" s="245"/>
      <c r="BW740" s="245"/>
      <c r="BX740" s="245"/>
      <c r="BY740" s="245"/>
      <c r="BZ740" s="282"/>
      <c r="CA740" s="245"/>
      <c r="CB740" s="245"/>
      <c r="CC740" s="245"/>
      <c r="CD740" s="245"/>
      <c r="CE740" s="245"/>
      <c r="CF740" s="245"/>
    </row>
    <row r="741">
      <c r="A741" s="245"/>
      <c r="B741" s="245"/>
      <c r="C741" s="245"/>
      <c r="D741" s="246"/>
      <c r="E741" s="245"/>
      <c r="F741" s="245"/>
      <c r="G741" s="245"/>
      <c r="H741" s="245"/>
      <c r="I741" s="245"/>
      <c r="J741" s="245"/>
      <c r="K741" s="265"/>
      <c r="L741" s="245"/>
      <c r="M741" s="245"/>
      <c r="N741" s="245"/>
      <c r="O741" s="245"/>
      <c r="P741" s="245"/>
      <c r="Q741" s="247"/>
      <c r="R741" s="254"/>
      <c r="S741" s="245"/>
      <c r="T741" s="245"/>
      <c r="U741" s="245"/>
      <c r="V741" s="245"/>
      <c r="W741" s="245"/>
      <c r="X741" s="245"/>
      <c r="Y741" s="249"/>
      <c r="Z741" s="276"/>
      <c r="AA741" s="245"/>
      <c r="AB741" s="276"/>
      <c r="AC741" s="276"/>
      <c r="AD741" s="246"/>
      <c r="AE741" s="278"/>
      <c r="AF741" s="370"/>
      <c r="AG741" s="371"/>
      <c r="AH741" s="276"/>
      <c r="AI741" s="245"/>
      <c r="AJ741" s="287"/>
      <c r="AK741" s="278"/>
      <c r="AL741" s="246"/>
      <c r="AM741" s="245"/>
      <c r="AN741" s="245"/>
      <c r="AO741" s="274"/>
      <c r="AP741" s="245"/>
      <c r="AQ741" s="245"/>
      <c r="AR741" s="246"/>
      <c r="AS741" s="245"/>
      <c r="AT741" s="245"/>
      <c r="AU741" s="245"/>
      <c r="AV741" s="245"/>
      <c r="AW741" s="245"/>
      <c r="AX741" s="246"/>
      <c r="AY741" s="245"/>
      <c r="AZ741" s="245"/>
      <c r="BA741" s="246"/>
      <c r="BB741" s="245"/>
      <c r="BC741" s="245"/>
      <c r="BD741" s="245"/>
      <c r="BE741" s="245"/>
      <c r="BF741" s="245"/>
      <c r="BG741" s="245"/>
      <c r="BH741" s="245"/>
      <c r="BI741" s="245"/>
      <c r="BJ741" s="245"/>
      <c r="BK741" s="245"/>
      <c r="BL741" s="245"/>
      <c r="BM741" s="245"/>
      <c r="BN741" s="245"/>
      <c r="BO741" s="245"/>
      <c r="BP741" s="245"/>
      <c r="BQ741" s="245"/>
      <c r="BR741" s="245"/>
      <c r="BS741" s="245"/>
      <c r="BT741" s="246"/>
      <c r="BU741" s="245"/>
      <c r="BV741" s="245"/>
      <c r="BW741" s="245"/>
      <c r="BX741" s="245"/>
      <c r="BY741" s="245"/>
      <c r="BZ741" s="282"/>
      <c r="CA741" s="245"/>
      <c r="CB741" s="245"/>
      <c r="CC741" s="245"/>
      <c r="CD741" s="245"/>
      <c r="CE741" s="245"/>
      <c r="CF741" s="245"/>
    </row>
    <row r="742">
      <c r="A742" s="245"/>
      <c r="B742" s="245"/>
      <c r="C742" s="245"/>
      <c r="D742" s="246"/>
      <c r="E742" s="245"/>
      <c r="F742" s="245"/>
      <c r="G742" s="245"/>
      <c r="H742" s="245"/>
      <c r="I742" s="245"/>
      <c r="J742" s="245"/>
      <c r="K742" s="265"/>
      <c r="L742" s="245"/>
      <c r="M742" s="245"/>
      <c r="N742" s="245"/>
      <c r="O742" s="245"/>
      <c r="P742" s="245"/>
      <c r="Q742" s="247"/>
      <c r="R742" s="254"/>
      <c r="S742" s="245"/>
      <c r="T742" s="245"/>
      <c r="U742" s="245"/>
      <c r="V742" s="245"/>
      <c r="W742" s="245"/>
      <c r="X742" s="245"/>
      <c r="Y742" s="249"/>
      <c r="Z742" s="276"/>
      <c r="AA742" s="245"/>
      <c r="AB742" s="276"/>
      <c r="AC742" s="276"/>
      <c r="AD742" s="246"/>
      <c r="AE742" s="278"/>
      <c r="AF742" s="370"/>
      <c r="AG742" s="371"/>
      <c r="AH742" s="276"/>
      <c r="AI742" s="245"/>
      <c r="AJ742" s="287"/>
      <c r="AK742" s="278"/>
      <c r="AL742" s="246"/>
      <c r="AM742" s="245"/>
      <c r="AN742" s="245"/>
      <c r="AO742" s="274"/>
      <c r="AP742" s="245"/>
      <c r="AQ742" s="245"/>
      <c r="AR742" s="246"/>
      <c r="AS742" s="245"/>
      <c r="AT742" s="245"/>
      <c r="AU742" s="245"/>
      <c r="AV742" s="245"/>
      <c r="AW742" s="245"/>
      <c r="AX742" s="246"/>
      <c r="AY742" s="245"/>
      <c r="AZ742" s="245"/>
      <c r="BA742" s="246"/>
      <c r="BB742" s="245"/>
      <c r="BC742" s="245"/>
      <c r="BD742" s="245"/>
      <c r="BE742" s="245"/>
      <c r="BF742" s="245"/>
      <c r="BG742" s="245"/>
      <c r="BH742" s="245"/>
      <c r="BI742" s="245"/>
      <c r="BJ742" s="245"/>
      <c r="BK742" s="245"/>
      <c r="BL742" s="245"/>
      <c r="BM742" s="245"/>
      <c r="BN742" s="245"/>
      <c r="BO742" s="245"/>
      <c r="BP742" s="245"/>
      <c r="BQ742" s="245"/>
      <c r="BR742" s="245"/>
      <c r="BS742" s="245"/>
      <c r="BT742" s="246"/>
      <c r="BU742" s="245"/>
      <c r="BV742" s="245"/>
      <c r="BW742" s="245"/>
      <c r="BX742" s="245"/>
      <c r="BY742" s="245"/>
      <c r="BZ742" s="282"/>
      <c r="CA742" s="245"/>
      <c r="CB742" s="245"/>
      <c r="CC742" s="245"/>
      <c r="CD742" s="245"/>
      <c r="CE742" s="245"/>
      <c r="CF742" s="245"/>
    </row>
    <row r="743">
      <c r="A743" s="245"/>
      <c r="B743" s="245"/>
      <c r="C743" s="245"/>
      <c r="D743" s="246"/>
      <c r="E743" s="245"/>
      <c r="F743" s="245"/>
      <c r="G743" s="245"/>
      <c r="H743" s="245"/>
      <c r="I743" s="245"/>
      <c r="J743" s="245"/>
      <c r="K743" s="265"/>
      <c r="L743" s="245"/>
      <c r="M743" s="245"/>
      <c r="N743" s="245"/>
      <c r="O743" s="245"/>
      <c r="P743" s="245"/>
      <c r="Q743" s="247"/>
      <c r="R743" s="254"/>
      <c r="S743" s="245"/>
      <c r="T743" s="245"/>
      <c r="U743" s="245"/>
      <c r="V743" s="245"/>
      <c r="W743" s="245"/>
      <c r="X743" s="245"/>
      <c r="Y743" s="249"/>
      <c r="Z743" s="276"/>
      <c r="AA743" s="245"/>
      <c r="AB743" s="276"/>
      <c r="AC743" s="276"/>
      <c r="AD743" s="246"/>
      <c r="AE743" s="278"/>
      <c r="AF743" s="370"/>
      <c r="AG743" s="371"/>
      <c r="AH743" s="276"/>
      <c r="AI743" s="245"/>
      <c r="AJ743" s="287"/>
      <c r="AK743" s="278"/>
      <c r="AL743" s="246"/>
      <c r="AM743" s="245"/>
      <c r="AN743" s="245"/>
      <c r="AO743" s="274"/>
      <c r="AP743" s="245"/>
      <c r="AQ743" s="245"/>
      <c r="AR743" s="246"/>
      <c r="AS743" s="245"/>
      <c r="AT743" s="245"/>
      <c r="AU743" s="245"/>
      <c r="AV743" s="245"/>
      <c r="AW743" s="245"/>
      <c r="AX743" s="246"/>
      <c r="AY743" s="245"/>
      <c r="AZ743" s="245"/>
      <c r="BA743" s="246"/>
      <c r="BB743" s="245"/>
      <c r="BC743" s="245"/>
      <c r="BD743" s="245"/>
      <c r="BE743" s="245"/>
      <c r="BF743" s="245"/>
      <c r="BG743" s="245"/>
      <c r="BH743" s="245"/>
      <c r="BI743" s="245"/>
      <c r="BJ743" s="245"/>
      <c r="BK743" s="245"/>
      <c r="BL743" s="245"/>
      <c r="BM743" s="245"/>
      <c r="BN743" s="245"/>
      <c r="BO743" s="245"/>
      <c r="BP743" s="245"/>
      <c r="BQ743" s="245"/>
      <c r="BR743" s="245"/>
      <c r="BS743" s="245"/>
      <c r="BT743" s="246"/>
      <c r="BU743" s="245"/>
      <c r="BV743" s="245"/>
      <c r="BW743" s="245"/>
      <c r="BX743" s="245"/>
      <c r="BY743" s="245"/>
      <c r="BZ743" s="282"/>
      <c r="CA743" s="245"/>
      <c r="CB743" s="245"/>
      <c r="CC743" s="245"/>
      <c r="CD743" s="245"/>
      <c r="CE743" s="245"/>
      <c r="CF743" s="245"/>
    </row>
    <row r="744">
      <c r="A744" s="245"/>
      <c r="B744" s="245"/>
      <c r="C744" s="245"/>
      <c r="D744" s="246"/>
      <c r="E744" s="245"/>
      <c r="F744" s="245"/>
      <c r="G744" s="245"/>
      <c r="H744" s="245"/>
      <c r="I744" s="245"/>
      <c r="J744" s="245"/>
      <c r="K744" s="265"/>
      <c r="L744" s="245"/>
      <c r="M744" s="245"/>
      <c r="N744" s="245"/>
      <c r="O744" s="245"/>
      <c r="P744" s="245"/>
      <c r="Q744" s="247"/>
      <c r="R744" s="254"/>
      <c r="S744" s="245"/>
      <c r="T744" s="245"/>
      <c r="U744" s="245"/>
      <c r="V744" s="245"/>
      <c r="W744" s="245"/>
      <c r="X744" s="245"/>
      <c r="Y744" s="249"/>
      <c r="Z744" s="276"/>
      <c r="AA744" s="245"/>
      <c r="AB744" s="276"/>
      <c r="AC744" s="276"/>
      <c r="AD744" s="246"/>
      <c r="AE744" s="278"/>
      <c r="AF744" s="370"/>
      <c r="AG744" s="371"/>
      <c r="AH744" s="276"/>
      <c r="AI744" s="245"/>
      <c r="AJ744" s="287"/>
      <c r="AK744" s="278"/>
      <c r="AL744" s="246"/>
      <c r="AM744" s="245"/>
      <c r="AN744" s="245"/>
      <c r="AO744" s="274"/>
      <c r="AP744" s="245"/>
      <c r="AQ744" s="245"/>
      <c r="AR744" s="246"/>
      <c r="AS744" s="245"/>
      <c r="AT744" s="245"/>
      <c r="AU744" s="245"/>
      <c r="AV744" s="245"/>
      <c r="AW744" s="245"/>
      <c r="AX744" s="246"/>
      <c r="AY744" s="245"/>
      <c r="AZ744" s="245"/>
      <c r="BA744" s="246"/>
      <c r="BB744" s="245"/>
      <c r="BC744" s="245"/>
      <c r="BD744" s="245"/>
      <c r="BE744" s="245"/>
      <c r="BF744" s="245"/>
      <c r="BG744" s="245"/>
      <c r="BH744" s="245"/>
      <c r="BI744" s="245"/>
      <c r="BJ744" s="245"/>
      <c r="BK744" s="245"/>
      <c r="BL744" s="245"/>
      <c r="BM744" s="245"/>
      <c r="BN744" s="245"/>
      <c r="BO744" s="245"/>
      <c r="BP744" s="245"/>
      <c r="BQ744" s="245"/>
      <c r="BR744" s="245"/>
      <c r="BS744" s="245"/>
      <c r="BT744" s="246"/>
      <c r="BU744" s="245"/>
      <c r="BV744" s="245"/>
      <c r="BW744" s="245"/>
      <c r="BX744" s="245"/>
      <c r="BY744" s="245"/>
      <c r="BZ744" s="282"/>
      <c r="CA744" s="245"/>
      <c r="CB744" s="245"/>
      <c r="CC744" s="245"/>
      <c r="CD744" s="245"/>
      <c r="CE744" s="245"/>
      <c r="CF744" s="245"/>
    </row>
    <row r="745">
      <c r="A745" s="305"/>
      <c r="B745" s="245"/>
      <c r="C745" s="245"/>
      <c r="D745" s="246"/>
      <c r="E745" s="245"/>
      <c r="F745" s="245"/>
      <c r="G745" s="245"/>
      <c r="H745" s="245"/>
      <c r="I745" s="245"/>
      <c r="J745" s="245"/>
      <c r="K745" s="265"/>
      <c r="L745" s="245"/>
      <c r="M745" s="245"/>
      <c r="N745" s="245"/>
      <c r="O745" s="245"/>
      <c r="P745" s="245"/>
      <c r="Q745" s="247"/>
      <c r="R745" s="254"/>
      <c r="S745" s="245"/>
      <c r="T745" s="245"/>
      <c r="U745" s="245"/>
      <c r="V745" s="245"/>
      <c r="W745" s="245"/>
      <c r="X745" s="245"/>
      <c r="Y745" s="249"/>
      <c r="Z745" s="276"/>
      <c r="AA745" s="245"/>
      <c r="AB745" s="276"/>
      <c r="AC745" s="276"/>
      <c r="AD745" s="246"/>
      <c r="AE745" s="278"/>
      <c r="AF745" s="370"/>
      <c r="AG745" s="371"/>
      <c r="AH745" s="276"/>
      <c r="AI745" s="245"/>
      <c r="AJ745" s="287"/>
      <c r="AK745" s="278"/>
      <c r="AL745" s="246"/>
      <c r="AM745" s="245"/>
      <c r="AN745" s="245"/>
      <c r="AO745" s="274"/>
      <c r="AP745" s="245"/>
      <c r="AQ745" s="245"/>
      <c r="AR745" s="246"/>
      <c r="AS745" s="245"/>
      <c r="AT745" s="245"/>
      <c r="AU745" s="245"/>
      <c r="AV745" s="245"/>
      <c r="AW745" s="245"/>
      <c r="AX745" s="246"/>
      <c r="AY745" s="245"/>
      <c r="AZ745" s="245"/>
      <c r="BA745" s="246"/>
      <c r="BB745" s="245"/>
      <c r="BC745" s="245"/>
      <c r="BD745" s="245"/>
      <c r="BE745" s="245"/>
      <c r="BF745" s="245"/>
      <c r="BG745" s="245"/>
      <c r="BH745" s="245"/>
      <c r="BI745" s="245"/>
      <c r="BJ745" s="245"/>
      <c r="BK745" s="245"/>
      <c r="BL745" s="245"/>
      <c r="BM745" s="245"/>
      <c r="BN745" s="245"/>
      <c r="BO745" s="245"/>
      <c r="BP745" s="245"/>
      <c r="BQ745" s="245"/>
      <c r="BR745" s="245"/>
      <c r="BS745" s="245"/>
      <c r="BT745" s="246"/>
      <c r="BU745" s="245"/>
      <c r="BV745" s="245"/>
      <c r="BW745" s="245"/>
      <c r="BX745" s="245"/>
      <c r="BY745" s="245"/>
      <c r="BZ745" s="282"/>
      <c r="CA745" s="245"/>
      <c r="CB745" s="245"/>
      <c r="CC745" s="245"/>
      <c r="CD745" s="245"/>
      <c r="CE745" s="245"/>
      <c r="CF745" s="245"/>
    </row>
    <row r="746">
      <c r="A746" s="305"/>
      <c r="B746" s="245"/>
      <c r="C746" s="245"/>
      <c r="D746" s="246"/>
      <c r="E746" s="245"/>
      <c r="F746" s="245"/>
      <c r="G746" s="245"/>
      <c r="H746" s="245"/>
      <c r="I746" s="245"/>
      <c r="J746" s="245"/>
      <c r="K746" s="265"/>
      <c r="L746" s="245"/>
      <c r="M746" s="245"/>
      <c r="N746" s="245"/>
      <c r="O746" s="245"/>
      <c r="P746" s="245"/>
      <c r="Q746" s="247"/>
      <c r="R746" s="254"/>
      <c r="S746" s="245"/>
      <c r="T746" s="245"/>
      <c r="U746" s="245"/>
      <c r="V746" s="245"/>
      <c r="W746" s="245"/>
      <c r="X746" s="245"/>
      <c r="Y746" s="249"/>
      <c r="Z746" s="276"/>
      <c r="AA746" s="245"/>
      <c r="AB746" s="276"/>
      <c r="AC746" s="276"/>
      <c r="AD746" s="246"/>
      <c r="AE746" s="278"/>
      <c r="AF746" s="370"/>
      <c r="AG746" s="371"/>
      <c r="AH746" s="276"/>
      <c r="AI746" s="245"/>
      <c r="AJ746" s="287"/>
      <c r="AK746" s="278"/>
      <c r="AL746" s="246"/>
      <c r="AM746" s="245"/>
      <c r="AN746" s="245"/>
      <c r="AO746" s="274"/>
      <c r="AP746" s="245"/>
      <c r="AQ746" s="245"/>
      <c r="AR746" s="246"/>
      <c r="AS746" s="245"/>
      <c r="AT746" s="245"/>
      <c r="AU746" s="245"/>
      <c r="AV746" s="245"/>
      <c r="AW746" s="245"/>
      <c r="AX746" s="246"/>
      <c r="AY746" s="245"/>
      <c r="AZ746" s="245"/>
      <c r="BA746" s="246"/>
      <c r="BB746" s="245"/>
      <c r="BC746" s="245"/>
      <c r="BD746" s="245"/>
      <c r="BE746" s="245"/>
      <c r="BF746" s="245"/>
      <c r="BG746" s="245"/>
      <c r="BH746" s="245"/>
      <c r="BI746" s="245"/>
      <c r="BJ746" s="245"/>
      <c r="BK746" s="245"/>
      <c r="BL746" s="245"/>
      <c r="BM746" s="245"/>
      <c r="BN746" s="245"/>
      <c r="BO746" s="245"/>
      <c r="BP746" s="245"/>
      <c r="BQ746" s="245"/>
      <c r="BR746" s="245"/>
      <c r="BS746" s="245"/>
      <c r="BT746" s="246"/>
      <c r="BU746" s="245"/>
      <c r="BV746" s="245"/>
      <c r="BW746" s="245"/>
      <c r="BX746" s="245"/>
      <c r="BY746" s="245"/>
      <c r="BZ746" s="282"/>
      <c r="CA746" s="245"/>
      <c r="CB746" s="245"/>
      <c r="CC746" s="245"/>
      <c r="CD746" s="245"/>
      <c r="CE746" s="245"/>
      <c r="CF746" s="245"/>
    </row>
    <row r="747">
      <c r="A747" s="305"/>
      <c r="B747" s="245"/>
      <c r="C747" s="245"/>
      <c r="D747" s="246"/>
      <c r="E747" s="245"/>
      <c r="F747" s="245"/>
      <c r="G747" s="245"/>
      <c r="H747" s="245"/>
      <c r="I747" s="245"/>
      <c r="J747" s="245"/>
      <c r="K747" s="265"/>
      <c r="L747" s="245"/>
      <c r="M747" s="245"/>
      <c r="N747" s="245"/>
      <c r="O747" s="245"/>
      <c r="P747" s="245"/>
      <c r="Q747" s="247"/>
      <c r="R747" s="254"/>
      <c r="S747" s="245"/>
      <c r="T747" s="245"/>
      <c r="U747" s="245"/>
      <c r="V747" s="245"/>
      <c r="W747" s="245"/>
      <c r="X747" s="245"/>
      <c r="Y747" s="249"/>
      <c r="Z747" s="276"/>
      <c r="AA747" s="245"/>
      <c r="AB747" s="276"/>
      <c r="AC747" s="276"/>
      <c r="AD747" s="246"/>
      <c r="AE747" s="278"/>
      <c r="AF747" s="370"/>
      <c r="AG747" s="371"/>
      <c r="AH747" s="276"/>
      <c r="AI747" s="245"/>
      <c r="AJ747" s="287"/>
      <c r="AK747" s="278"/>
      <c r="AL747" s="246"/>
      <c r="AM747" s="245"/>
      <c r="AN747" s="245"/>
      <c r="AO747" s="274"/>
      <c r="AP747" s="245"/>
      <c r="AQ747" s="245"/>
      <c r="AR747" s="246"/>
      <c r="AS747" s="245"/>
      <c r="AT747" s="245"/>
      <c r="AU747" s="245"/>
      <c r="AV747" s="245"/>
      <c r="AW747" s="245"/>
      <c r="AX747" s="246"/>
      <c r="AY747" s="245"/>
      <c r="AZ747" s="245"/>
      <c r="BA747" s="246"/>
      <c r="BB747" s="245"/>
      <c r="BC747" s="245"/>
      <c r="BD747" s="245"/>
      <c r="BE747" s="245"/>
      <c r="BF747" s="245"/>
      <c r="BG747" s="245"/>
      <c r="BH747" s="245"/>
      <c r="BI747" s="245"/>
      <c r="BJ747" s="245"/>
      <c r="BK747" s="245"/>
      <c r="BL747" s="245"/>
      <c r="BM747" s="245"/>
      <c r="BN747" s="245"/>
      <c r="BO747" s="245"/>
      <c r="BP747" s="245"/>
      <c r="BQ747" s="245"/>
      <c r="BR747" s="245"/>
      <c r="BS747" s="245"/>
      <c r="BT747" s="246"/>
      <c r="BU747" s="245"/>
      <c r="BV747" s="245"/>
      <c r="BW747" s="245"/>
      <c r="BX747" s="245"/>
      <c r="BY747" s="245"/>
      <c r="BZ747" s="282"/>
      <c r="CA747" s="245"/>
      <c r="CB747" s="245"/>
      <c r="CC747" s="245"/>
      <c r="CD747" s="245"/>
      <c r="CE747" s="245"/>
      <c r="CF747" s="245"/>
    </row>
    <row r="748">
      <c r="A748" s="305"/>
      <c r="B748" s="245"/>
      <c r="C748" s="245"/>
      <c r="D748" s="246"/>
      <c r="E748" s="245"/>
      <c r="F748" s="245"/>
      <c r="G748" s="245"/>
      <c r="H748" s="245"/>
      <c r="I748" s="245"/>
      <c r="J748" s="245"/>
      <c r="K748" s="265"/>
      <c r="L748" s="245"/>
      <c r="M748" s="245"/>
      <c r="N748" s="245"/>
      <c r="O748" s="245"/>
      <c r="P748" s="245"/>
      <c r="Q748" s="247"/>
      <c r="R748" s="254"/>
      <c r="S748" s="245"/>
      <c r="T748" s="245"/>
      <c r="U748" s="245"/>
      <c r="V748" s="245"/>
      <c r="W748" s="245"/>
      <c r="X748" s="245"/>
      <c r="Y748" s="249"/>
      <c r="Z748" s="276"/>
      <c r="AA748" s="245"/>
      <c r="AB748" s="276"/>
      <c r="AC748" s="276"/>
      <c r="AD748" s="246"/>
      <c r="AE748" s="278"/>
      <c r="AF748" s="370"/>
      <c r="AG748" s="371"/>
      <c r="AH748" s="276"/>
      <c r="AI748" s="245"/>
      <c r="AJ748" s="287"/>
      <c r="AK748" s="278"/>
      <c r="AL748" s="246"/>
      <c r="AM748" s="245"/>
      <c r="AN748" s="245"/>
      <c r="AO748" s="274"/>
      <c r="AP748" s="245"/>
      <c r="AQ748" s="245"/>
      <c r="AR748" s="246"/>
      <c r="AS748" s="245"/>
      <c r="AT748" s="245"/>
      <c r="AU748" s="245"/>
      <c r="AV748" s="245"/>
      <c r="AW748" s="245"/>
      <c r="AX748" s="246"/>
      <c r="AY748" s="245"/>
      <c r="AZ748" s="245"/>
      <c r="BA748" s="246"/>
      <c r="BB748" s="245"/>
      <c r="BC748" s="245"/>
      <c r="BD748" s="245"/>
      <c r="BE748" s="245"/>
      <c r="BF748" s="245"/>
      <c r="BG748" s="245"/>
      <c r="BH748" s="245"/>
      <c r="BI748" s="245"/>
      <c r="BJ748" s="245"/>
      <c r="BK748" s="245"/>
      <c r="BL748" s="245"/>
      <c r="BM748" s="245"/>
      <c r="BN748" s="245"/>
      <c r="BO748" s="245"/>
      <c r="BP748" s="245"/>
      <c r="BQ748" s="245"/>
      <c r="BR748" s="245"/>
      <c r="BS748" s="245"/>
      <c r="BT748" s="246"/>
      <c r="BU748" s="245"/>
      <c r="BV748" s="245"/>
      <c r="BW748" s="245"/>
      <c r="BX748" s="245"/>
      <c r="BY748" s="245"/>
      <c r="BZ748" s="282"/>
      <c r="CA748" s="245"/>
      <c r="CB748" s="245"/>
      <c r="CC748" s="245"/>
      <c r="CD748" s="245"/>
      <c r="CE748" s="245"/>
      <c r="CF748" s="245"/>
    </row>
    <row r="749">
      <c r="A749" s="305"/>
      <c r="B749" s="245"/>
      <c r="C749" s="245"/>
      <c r="D749" s="246"/>
      <c r="E749" s="245"/>
      <c r="F749" s="245"/>
      <c r="G749" s="245"/>
      <c r="H749" s="245"/>
      <c r="I749" s="245"/>
      <c r="J749" s="245"/>
      <c r="K749" s="265"/>
      <c r="L749" s="245"/>
      <c r="M749" s="245"/>
      <c r="N749" s="245"/>
      <c r="O749" s="245"/>
      <c r="P749" s="245"/>
      <c r="Q749" s="247"/>
      <c r="R749" s="254"/>
      <c r="S749" s="245"/>
      <c r="T749" s="245"/>
      <c r="U749" s="245"/>
      <c r="V749" s="245"/>
      <c r="W749" s="245"/>
      <c r="X749" s="245"/>
      <c r="Y749" s="249"/>
      <c r="Z749" s="276"/>
      <c r="AA749" s="245"/>
      <c r="AB749" s="276"/>
      <c r="AC749" s="276"/>
      <c r="AD749" s="246"/>
      <c r="AE749" s="278"/>
      <c r="AF749" s="370"/>
      <c r="AG749" s="371"/>
      <c r="AH749" s="276"/>
      <c r="AI749" s="245"/>
      <c r="AJ749" s="287"/>
      <c r="AK749" s="278"/>
      <c r="AL749" s="246"/>
      <c r="AM749" s="245"/>
      <c r="AN749" s="245"/>
      <c r="AO749" s="274"/>
      <c r="AP749" s="245"/>
      <c r="AQ749" s="245"/>
      <c r="AR749" s="246"/>
      <c r="AS749" s="245"/>
      <c r="AT749" s="245"/>
      <c r="AU749" s="245"/>
      <c r="AV749" s="245"/>
      <c r="AW749" s="245"/>
      <c r="AX749" s="246"/>
      <c r="AY749" s="245"/>
      <c r="AZ749" s="245"/>
      <c r="BA749" s="246"/>
      <c r="BB749" s="245"/>
      <c r="BC749" s="245"/>
      <c r="BD749" s="245"/>
      <c r="BE749" s="245"/>
      <c r="BF749" s="245"/>
      <c r="BG749" s="245"/>
      <c r="BH749" s="245"/>
      <c r="BI749" s="245"/>
      <c r="BJ749" s="245"/>
      <c r="BK749" s="245"/>
      <c r="BL749" s="245"/>
      <c r="BM749" s="245"/>
      <c r="BN749" s="245"/>
      <c r="BO749" s="245"/>
      <c r="BP749" s="245"/>
      <c r="BQ749" s="245"/>
      <c r="BR749" s="245"/>
      <c r="BS749" s="245"/>
      <c r="BT749" s="246"/>
      <c r="BU749" s="245"/>
      <c r="BV749" s="245"/>
      <c r="BW749" s="245"/>
      <c r="BX749" s="245"/>
      <c r="BY749" s="245"/>
      <c r="BZ749" s="282"/>
      <c r="CA749" s="245"/>
      <c r="CB749" s="245"/>
      <c r="CC749" s="245"/>
      <c r="CD749" s="245"/>
      <c r="CE749" s="245"/>
      <c r="CF749" s="245"/>
    </row>
    <row r="750">
      <c r="A750" s="305"/>
      <c r="B750" s="245"/>
      <c r="C750" s="245"/>
      <c r="D750" s="246"/>
      <c r="E750" s="245"/>
      <c r="F750" s="245"/>
      <c r="G750" s="245"/>
      <c r="H750" s="245"/>
      <c r="I750" s="245"/>
      <c r="J750" s="245"/>
      <c r="K750" s="265"/>
      <c r="L750" s="245"/>
      <c r="M750" s="245"/>
      <c r="N750" s="245"/>
      <c r="O750" s="245"/>
      <c r="P750" s="245"/>
      <c r="Q750" s="247"/>
      <c r="R750" s="254"/>
      <c r="S750" s="245"/>
      <c r="T750" s="245"/>
      <c r="U750" s="245"/>
      <c r="V750" s="245"/>
      <c r="W750" s="245"/>
      <c r="X750" s="245"/>
      <c r="Y750" s="249"/>
      <c r="Z750" s="276"/>
      <c r="AA750" s="245"/>
      <c r="AB750" s="276"/>
      <c r="AC750" s="276"/>
      <c r="AD750" s="246"/>
      <c r="AE750" s="278"/>
      <c r="AF750" s="370"/>
      <c r="AG750" s="371"/>
      <c r="AH750" s="276"/>
      <c r="AI750" s="245"/>
      <c r="AJ750" s="287"/>
      <c r="AK750" s="278"/>
      <c r="AL750" s="246"/>
      <c r="AM750" s="245"/>
      <c r="AN750" s="245"/>
      <c r="AO750" s="274"/>
      <c r="AP750" s="245"/>
      <c r="AQ750" s="245"/>
      <c r="AR750" s="246"/>
      <c r="AS750" s="245"/>
      <c r="AT750" s="245"/>
      <c r="AU750" s="245"/>
      <c r="AV750" s="245"/>
      <c r="AW750" s="245"/>
      <c r="AX750" s="246"/>
      <c r="AY750" s="245"/>
      <c r="AZ750" s="245"/>
      <c r="BA750" s="246"/>
      <c r="BB750" s="245"/>
      <c r="BC750" s="245"/>
      <c r="BD750" s="245"/>
      <c r="BE750" s="245"/>
      <c r="BF750" s="245"/>
      <c r="BG750" s="245"/>
      <c r="BH750" s="245"/>
      <c r="BI750" s="245"/>
      <c r="BJ750" s="245"/>
      <c r="BK750" s="245"/>
      <c r="BL750" s="245"/>
      <c r="BM750" s="245"/>
      <c r="BN750" s="245"/>
      <c r="BO750" s="245"/>
      <c r="BP750" s="245"/>
      <c r="BQ750" s="245"/>
      <c r="BR750" s="245"/>
      <c r="BS750" s="245"/>
      <c r="BT750" s="246"/>
      <c r="BU750" s="245"/>
      <c r="BV750" s="245"/>
      <c r="BW750" s="245"/>
      <c r="BX750" s="245"/>
      <c r="BY750" s="245"/>
      <c r="BZ750" s="282"/>
      <c r="CA750" s="245"/>
      <c r="CB750" s="245"/>
      <c r="CC750" s="245"/>
      <c r="CD750" s="245"/>
      <c r="CE750" s="245"/>
      <c r="CF750" s="245"/>
    </row>
    <row r="751">
      <c r="A751" s="305"/>
      <c r="B751" s="245"/>
      <c r="C751" s="245"/>
      <c r="D751" s="246"/>
      <c r="E751" s="245"/>
      <c r="F751" s="245"/>
      <c r="G751" s="245"/>
      <c r="H751" s="245"/>
      <c r="I751" s="245"/>
      <c r="J751" s="245"/>
      <c r="K751" s="265"/>
      <c r="L751" s="245"/>
      <c r="M751" s="245"/>
      <c r="N751" s="245"/>
      <c r="O751" s="245"/>
      <c r="P751" s="245"/>
      <c r="Q751" s="247"/>
      <c r="R751" s="254"/>
      <c r="S751" s="245"/>
      <c r="T751" s="245"/>
      <c r="U751" s="245"/>
      <c r="V751" s="245"/>
      <c r="W751" s="245"/>
      <c r="X751" s="245"/>
      <c r="Y751" s="249"/>
      <c r="Z751" s="276"/>
      <c r="AA751" s="245"/>
      <c r="AB751" s="276"/>
      <c r="AC751" s="276"/>
      <c r="AD751" s="246"/>
      <c r="AE751" s="278"/>
      <c r="AF751" s="370"/>
      <c r="AG751" s="371"/>
      <c r="AH751" s="276"/>
      <c r="AI751" s="245"/>
      <c r="AJ751" s="287"/>
      <c r="AK751" s="278"/>
      <c r="AL751" s="246"/>
      <c r="AM751" s="245"/>
      <c r="AN751" s="245"/>
      <c r="AO751" s="274"/>
      <c r="AP751" s="245"/>
      <c r="AQ751" s="245"/>
      <c r="AR751" s="246"/>
      <c r="AS751" s="245"/>
      <c r="AT751" s="245"/>
      <c r="AU751" s="245"/>
      <c r="AV751" s="245"/>
      <c r="AW751" s="245"/>
      <c r="AX751" s="246"/>
      <c r="AY751" s="245"/>
      <c r="AZ751" s="245"/>
      <c r="BA751" s="246"/>
      <c r="BB751" s="245"/>
      <c r="BC751" s="245"/>
      <c r="BD751" s="245"/>
      <c r="BE751" s="245"/>
      <c r="BF751" s="245"/>
      <c r="BG751" s="245"/>
      <c r="BH751" s="245"/>
      <c r="BI751" s="245"/>
      <c r="BJ751" s="245"/>
      <c r="BK751" s="245"/>
      <c r="BL751" s="245"/>
      <c r="BM751" s="245"/>
      <c r="BN751" s="245"/>
      <c r="BO751" s="245"/>
      <c r="BP751" s="245"/>
      <c r="BQ751" s="245"/>
      <c r="BR751" s="245"/>
      <c r="BS751" s="245"/>
      <c r="BT751" s="246"/>
      <c r="BU751" s="245"/>
      <c r="BV751" s="245"/>
      <c r="BW751" s="245"/>
      <c r="BX751" s="245"/>
      <c r="BY751" s="245"/>
      <c r="BZ751" s="282"/>
      <c r="CA751" s="245"/>
      <c r="CB751" s="245"/>
      <c r="CC751" s="245"/>
      <c r="CD751" s="245"/>
      <c r="CE751" s="245"/>
      <c r="CF751" s="245"/>
    </row>
    <row r="752">
      <c r="A752" s="305"/>
      <c r="B752" s="245"/>
      <c r="C752" s="245"/>
      <c r="D752" s="246"/>
      <c r="E752" s="245"/>
      <c r="F752" s="245"/>
      <c r="G752" s="245"/>
      <c r="H752" s="245"/>
      <c r="I752" s="245"/>
      <c r="J752" s="245"/>
      <c r="K752" s="265"/>
      <c r="L752" s="245"/>
      <c r="M752" s="245"/>
      <c r="N752" s="245"/>
      <c r="O752" s="245"/>
      <c r="P752" s="245"/>
      <c r="Q752" s="247"/>
      <c r="R752" s="254"/>
      <c r="S752" s="245"/>
      <c r="T752" s="245"/>
      <c r="U752" s="245"/>
      <c r="V752" s="245"/>
      <c r="W752" s="245"/>
      <c r="X752" s="245"/>
      <c r="Y752" s="249"/>
      <c r="Z752" s="276"/>
      <c r="AA752" s="245"/>
      <c r="AB752" s="276"/>
      <c r="AC752" s="276"/>
      <c r="AD752" s="246"/>
      <c r="AE752" s="278"/>
      <c r="AF752" s="370"/>
      <c r="AG752" s="371"/>
      <c r="AH752" s="276"/>
      <c r="AI752" s="245"/>
      <c r="AJ752" s="287"/>
      <c r="AK752" s="278"/>
      <c r="AL752" s="246"/>
      <c r="AM752" s="245"/>
      <c r="AN752" s="245"/>
      <c r="AO752" s="274"/>
      <c r="AP752" s="245"/>
      <c r="AQ752" s="245"/>
      <c r="AR752" s="246"/>
      <c r="AS752" s="245"/>
      <c r="AT752" s="245"/>
      <c r="AU752" s="245"/>
      <c r="AV752" s="245"/>
      <c r="AW752" s="245"/>
      <c r="AX752" s="246"/>
      <c r="AY752" s="245"/>
      <c r="AZ752" s="245"/>
      <c r="BA752" s="246"/>
      <c r="BB752" s="245"/>
      <c r="BC752" s="245"/>
      <c r="BD752" s="245"/>
      <c r="BE752" s="245"/>
      <c r="BF752" s="245"/>
      <c r="BG752" s="245"/>
      <c r="BH752" s="245"/>
      <c r="BI752" s="245"/>
      <c r="BJ752" s="245"/>
      <c r="BK752" s="245"/>
      <c r="BL752" s="245"/>
      <c r="BM752" s="245"/>
      <c r="BN752" s="245"/>
      <c r="BO752" s="245"/>
      <c r="BP752" s="245"/>
      <c r="BQ752" s="245"/>
      <c r="BR752" s="245"/>
      <c r="BS752" s="245"/>
      <c r="BT752" s="246"/>
      <c r="BU752" s="245"/>
      <c r="BV752" s="245"/>
      <c r="BW752" s="245"/>
      <c r="BX752" s="245"/>
      <c r="BY752" s="245"/>
      <c r="BZ752" s="282"/>
      <c r="CA752" s="245"/>
      <c r="CB752" s="245"/>
      <c r="CC752" s="245"/>
      <c r="CD752" s="245"/>
      <c r="CE752" s="245"/>
      <c r="CF752" s="245"/>
    </row>
    <row r="753">
      <c r="A753" s="305"/>
      <c r="B753" s="245"/>
      <c r="C753" s="245"/>
      <c r="D753" s="246"/>
      <c r="E753" s="245"/>
      <c r="F753" s="245"/>
      <c r="G753" s="245"/>
      <c r="H753" s="245"/>
      <c r="I753" s="245"/>
      <c r="J753" s="245"/>
      <c r="K753" s="265"/>
      <c r="L753" s="245"/>
      <c r="M753" s="245"/>
      <c r="N753" s="245"/>
      <c r="O753" s="245"/>
      <c r="P753" s="245"/>
      <c r="Q753" s="247"/>
      <c r="R753" s="254"/>
      <c r="S753" s="245"/>
      <c r="T753" s="245"/>
      <c r="U753" s="245"/>
      <c r="V753" s="245"/>
      <c r="W753" s="245"/>
      <c r="X753" s="245"/>
      <c r="Y753" s="249"/>
      <c r="Z753" s="276"/>
      <c r="AA753" s="245"/>
      <c r="AB753" s="276"/>
      <c r="AC753" s="276"/>
      <c r="AD753" s="246"/>
      <c r="AE753" s="278"/>
      <c r="AF753" s="370"/>
      <c r="AG753" s="371"/>
      <c r="AH753" s="276"/>
      <c r="AI753" s="245"/>
      <c r="AJ753" s="287"/>
      <c r="AK753" s="278"/>
      <c r="AL753" s="246"/>
      <c r="AM753" s="245"/>
      <c r="AN753" s="245"/>
      <c r="AO753" s="274"/>
      <c r="AP753" s="245"/>
      <c r="AQ753" s="245"/>
      <c r="AR753" s="246"/>
      <c r="AS753" s="245"/>
      <c r="AT753" s="245"/>
      <c r="AU753" s="245"/>
      <c r="AV753" s="245"/>
      <c r="AW753" s="245"/>
      <c r="AX753" s="246"/>
      <c r="AY753" s="245"/>
      <c r="AZ753" s="245"/>
      <c r="BA753" s="246"/>
      <c r="BB753" s="245"/>
      <c r="BC753" s="245"/>
      <c r="BD753" s="245"/>
      <c r="BE753" s="245"/>
      <c r="BF753" s="245"/>
      <c r="BG753" s="245"/>
      <c r="BH753" s="245"/>
      <c r="BI753" s="245"/>
      <c r="BJ753" s="245"/>
      <c r="BK753" s="245"/>
      <c r="BL753" s="245"/>
      <c r="BM753" s="245"/>
      <c r="BN753" s="245"/>
      <c r="BO753" s="245"/>
      <c r="BP753" s="245"/>
      <c r="BQ753" s="245"/>
      <c r="BR753" s="245"/>
      <c r="BS753" s="245"/>
      <c r="BT753" s="246"/>
      <c r="BU753" s="245"/>
      <c r="BV753" s="245"/>
      <c r="BW753" s="245"/>
      <c r="BX753" s="245"/>
      <c r="BY753" s="245"/>
      <c r="BZ753" s="282"/>
      <c r="CA753" s="245"/>
      <c r="CB753" s="245"/>
      <c r="CC753" s="245"/>
      <c r="CD753" s="245"/>
      <c r="CE753" s="245"/>
      <c r="CF753" s="245"/>
    </row>
    <row r="754">
      <c r="A754" s="305"/>
      <c r="B754" s="245"/>
      <c r="C754" s="245"/>
      <c r="D754" s="246"/>
      <c r="E754" s="245"/>
      <c r="F754" s="245"/>
      <c r="G754" s="245"/>
      <c r="H754" s="245"/>
      <c r="I754" s="245"/>
      <c r="J754" s="245"/>
      <c r="K754" s="265"/>
      <c r="L754" s="245"/>
      <c r="M754" s="245"/>
      <c r="N754" s="245"/>
      <c r="O754" s="245"/>
      <c r="P754" s="245"/>
      <c r="Q754" s="247"/>
      <c r="R754" s="254"/>
      <c r="S754" s="245"/>
      <c r="T754" s="245"/>
      <c r="U754" s="245"/>
      <c r="V754" s="245"/>
      <c r="W754" s="245"/>
      <c r="X754" s="245"/>
      <c r="Y754" s="249"/>
      <c r="Z754" s="276"/>
      <c r="AA754" s="245"/>
      <c r="AB754" s="276"/>
      <c r="AC754" s="276"/>
      <c r="AD754" s="246"/>
      <c r="AE754" s="278"/>
      <c r="AF754" s="370"/>
      <c r="AG754" s="371"/>
      <c r="AH754" s="276"/>
      <c r="AI754" s="245"/>
      <c r="AJ754" s="287"/>
      <c r="AK754" s="278"/>
      <c r="AL754" s="246"/>
      <c r="AM754" s="245"/>
      <c r="AN754" s="245"/>
      <c r="AO754" s="274"/>
      <c r="AP754" s="245"/>
      <c r="AQ754" s="245"/>
      <c r="AR754" s="246"/>
      <c r="AS754" s="245"/>
      <c r="AT754" s="245"/>
      <c r="AU754" s="245"/>
      <c r="AV754" s="245"/>
      <c r="AW754" s="245"/>
      <c r="AX754" s="246"/>
      <c r="AY754" s="245"/>
      <c r="AZ754" s="245"/>
      <c r="BA754" s="246"/>
      <c r="BB754" s="245"/>
      <c r="BC754" s="245"/>
      <c r="BD754" s="245"/>
      <c r="BE754" s="245"/>
      <c r="BF754" s="245"/>
      <c r="BG754" s="245"/>
      <c r="BH754" s="245"/>
      <c r="BI754" s="245"/>
      <c r="BJ754" s="245"/>
      <c r="BK754" s="245"/>
      <c r="BL754" s="245"/>
      <c r="BM754" s="245"/>
      <c r="BN754" s="245"/>
      <c r="BO754" s="245"/>
      <c r="BP754" s="245"/>
      <c r="BQ754" s="245"/>
      <c r="BR754" s="245"/>
      <c r="BS754" s="245"/>
      <c r="BT754" s="246"/>
      <c r="BU754" s="245"/>
      <c r="BV754" s="245"/>
      <c r="BW754" s="245"/>
      <c r="BX754" s="245"/>
      <c r="BY754" s="245"/>
      <c r="BZ754" s="282"/>
      <c r="CA754" s="245"/>
      <c r="CB754" s="245"/>
      <c r="CC754" s="245"/>
      <c r="CD754" s="245"/>
      <c r="CE754" s="245"/>
      <c r="CF754" s="245"/>
    </row>
    <row r="755">
      <c r="A755" s="305"/>
      <c r="B755" s="245"/>
      <c r="C755" s="245"/>
      <c r="D755" s="246"/>
      <c r="E755" s="245"/>
      <c r="F755" s="245"/>
      <c r="G755" s="245"/>
      <c r="H755" s="245"/>
      <c r="I755" s="245"/>
      <c r="J755" s="245"/>
      <c r="K755" s="265"/>
      <c r="L755" s="245"/>
      <c r="M755" s="245"/>
      <c r="N755" s="245"/>
      <c r="O755" s="245"/>
      <c r="P755" s="245"/>
      <c r="Q755" s="247"/>
      <c r="R755" s="254"/>
      <c r="S755" s="245"/>
      <c r="T755" s="245"/>
      <c r="U755" s="245"/>
      <c r="V755" s="245"/>
      <c r="W755" s="245"/>
      <c r="X755" s="245"/>
      <c r="Y755" s="249"/>
      <c r="Z755" s="276"/>
      <c r="AA755" s="245"/>
      <c r="AB755" s="276"/>
      <c r="AC755" s="276"/>
      <c r="AD755" s="246"/>
      <c r="AE755" s="278"/>
      <c r="AF755" s="370"/>
      <c r="AG755" s="371"/>
      <c r="AH755" s="276"/>
      <c r="AI755" s="245"/>
      <c r="AJ755" s="287"/>
      <c r="AK755" s="278"/>
      <c r="AL755" s="246"/>
      <c r="AM755" s="245"/>
      <c r="AN755" s="245"/>
      <c r="AO755" s="274"/>
      <c r="AP755" s="245"/>
      <c r="AQ755" s="245"/>
      <c r="AR755" s="246"/>
      <c r="AS755" s="245"/>
      <c r="AT755" s="245"/>
      <c r="AU755" s="245"/>
      <c r="AV755" s="245"/>
      <c r="AW755" s="245"/>
      <c r="AX755" s="246"/>
      <c r="AY755" s="245"/>
      <c r="AZ755" s="245"/>
      <c r="BA755" s="246"/>
      <c r="BB755" s="245"/>
      <c r="BC755" s="245"/>
      <c r="BD755" s="245"/>
      <c r="BE755" s="245"/>
      <c r="BF755" s="245"/>
      <c r="BG755" s="245"/>
      <c r="BH755" s="245"/>
      <c r="BI755" s="245"/>
      <c r="BJ755" s="245"/>
      <c r="BK755" s="245"/>
      <c r="BL755" s="245"/>
      <c r="BM755" s="245"/>
      <c r="BN755" s="245"/>
      <c r="BO755" s="245"/>
      <c r="BP755" s="245"/>
      <c r="BQ755" s="245"/>
      <c r="BR755" s="245"/>
      <c r="BS755" s="245"/>
      <c r="BT755" s="246"/>
      <c r="BU755" s="245"/>
      <c r="BV755" s="245"/>
      <c r="BW755" s="245"/>
      <c r="BX755" s="245"/>
      <c r="BY755" s="245"/>
      <c r="BZ755" s="282"/>
      <c r="CA755" s="245"/>
      <c r="CB755" s="245"/>
      <c r="CC755" s="245"/>
      <c r="CD755" s="245"/>
      <c r="CE755" s="245"/>
      <c r="CF755" s="245"/>
    </row>
    <row r="756">
      <c r="A756" s="305"/>
      <c r="B756" s="245"/>
      <c r="C756" s="245"/>
      <c r="D756" s="246"/>
      <c r="E756" s="245"/>
      <c r="F756" s="245"/>
      <c r="G756" s="245"/>
      <c r="H756" s="245"/>
      <c r="I756" s="245"/>
      <c r="J756" s="245"/>
      <c r="K756" s="265"/>
      <c r="L756" s="245"/>
      <c r="M756" s="245"/>
      <c r="N756" s="245"/>
      <c r="O756" s="245"/>
      <c r="P756" s="245"/>
      <c r="Q756" s="247"/>
      <c r="R756" s="254"/>
      <c r="S756" s="245"/>
      <c r="T756" s="245"/>
      <c r="U756" s="245"/>
      <c r="V756" s="245"/>
      <c r="W756" s="245"/>
      <c r="X756" s="245"/>
      <c r="Y756" s="249"/>
      <c r="Z756" s="276"/>
      <c r="AA756" s="245"/>
      <c r="AB756" s="276"/>
      <c r="AC756" s="276"/>
      <c r="AD756" s="246"/>
      <c r="AE756" s="278"/>
      <c r="AF756" s="370"/>
      <c r="AG756" s="371"/>
      <c r="AH756" s="276"/>
      <c r="AI756" s="245"/>
      <c r="AJ756" s="287"/>
      <c r="AK756" s="278"/>
      <c r="AL756" s="246"/>
      <c r="AM756" s="245"/>
      <c r="AN756" s="245"/>
      <c r="AO756" s="274"/>
      <c r="AP756" s="245"/>
      <c r="AQ756" s="245"/>
      <c r="AR756" s="246"/>
      <c r="AS756" s="245"/>
      <c r="AT756" s="245"/>
      <c r="AU756" s="245"/>
      <c r="AV756" s="245"/>
      <c r="AW756" s="245"/>
      <c r="AX756" s="246"/>
      <c r="AY756" s="245"/>
      <c r="AZ756" s="245"/>
      <c r="BA756" s="246"/>
      <c r="BB756" s="245"/>
      <c r="BC756" s="245"/>
      <c r="BD756" s="245"/>
      <c r="BE756" s="245"/>
      <c r="BF756" s="245"/>
      <c r="BG756" s="245"/>
      <c r="BH756" s="245"/>
      <c r="BI756" s="245"/>
      <c r="BJ756" s="245"/>
      <c r="BK756" s="245"/>
      <c r="BL756" s="245"/>
      <c r="BM756" s="245"/>
      <c r="BN756" s="245"/>
      <c r="BO756" s="245"/>
      <c r="BP756" s="245"/>
      <c r="BQ756" s="245"/>
      <c r="BR756" s="245"/>
      <c r="BS756" s="245"/>
      <c r="BT756" s="246"/>
      <c r="BU756" s="245"/>
      <c r="BV756" s="245"/>
      <c r="BW756" s="245"/>
      <c r="BX756" s="245"/>
      <c r="BY756" s="245"/>
      <c r="BZ756" s="282"/>
      <c r="CA756" s="245"/>
      <c r="CB756" s="245"/>
      <c r="CC756" s="245"/>
      <c r="CD756" s="245"/>
      <c r="CE756" s="245"/>
      <c r="CF756" s="245"/>
    </row>
    <row r="757">
      <c r="A757" s="305"/>
      <c r="B757" s="245"/>
      <c r="C757" s="245"/>
      <c r="D757" s="246"/>
      <c r="E757" s="245"/>
      <c r="F757" s="245"/>
      <c r="G757" s="245"/>
      <c r="H757" s="245"/>
      <c r="I757" s="245"/>
      <c r="J757" s="245"/>
      <c r="K757" s="265"/>
      <c r="L757" s="245"/>
      <c r="M757" s="245"/>
      <c r="N757" s="245"/>
      <c r="O757" s="245"/>
      <c r="P757" s="245"/>
      <c r="Q757" s="247"/>
      <c r="R757" s="254"/>
      <c r="S757" s="245"/>
      <c r="T757" s="245"/>
      <c r="U757" s="245"/>
      <c r="V757" s="245"/>
      <c r="W757" s="245"/>
      <c r="X757" s="245"/>
      <c r="Y757" s="249"/>
      <c r="Z757" s="276"/>
      <c r="AA757" s="245"/>
      <c r="AB757" s="276"/>
      <c r="AC757" s="276"/>
      <c r="AD757" s="246"/>
      <c r="AE757" s="278"/>
      <c r="AF757" s="370"/>
      <c r="AG757" s="371"/>
      <c r="AH757" s="276"/>
      <c r="AI757" s="245"/>
      <c r="AJ757" s="287"/>
      <c r="AK757" s="278"/>
      <c r="AL757" s="246"/>
      <c r="AM757" s="245"/>
      <c r="AN757" s="245"/>
      <c r="AO757" s="274"/>
      <c r="AP757" s="245"/>
      <c r="AQ757" s="245"/>
      <c r="AR757" s="246"/>
      <c r="AS757" s="245"/>
      <c r="AT757" s="245"/>
      <c r="AU757" s="245"/>
      <c r="AV757" s="245"/>
      <c r="AW757" s="245"/>
      <c r="AX757" s="246"/>
      <c r="AY757" s="245"/>
      <c r="AZ757" s="245"/>
      <c r="BA757" s="246"/>
      <c r="BB757" s="245"/>
      <c r="BC757" s="245"/>
      <c r="BD757" s="245"/>
      <c r="BE757" s="245"/>
      <c r="BF757" s="245"/>
      <c r="BG757" s="245"/>
      <c r="BH757" s="245"/>
      <c r="BI757" s="245"/>
      <c r="BJ757" s="245"/>
      <c r="BK757" s="245"/>
      <c r="BL757" s="245"/>
      <c r="BM757" s="245"/>
      <c r="BN757" s="245"/>
      <c r="BO757" s="245"/>
      <c r="BP757" s="245"/>
      <c r="BQ757" s="245"/>
      <c r="BR757" s="245"/>
      <c r="BS757" s="245"/>
      <c r="BT757" s="246"/>
      <c r="BU757" s="245"/>
      <c r="BV757" s="245"/>
      <c r="BW757" s="245"/>
      <c r="BX757" s="245"/>
      <c r="BY757" s="245"/>
      <c r="BZ757" s="282"/>
      <c r="CA757" s="245"/>
      <c r="CB757" s="245"/>
      <c r="CC757" s="245"/>
      <c r="CD757" s="245"/>
      <c r="CE757" s="245"/>
      <c r="CF757" s="245"/>
    </row>
    <row r="758">
      <c r="A758" s="305"/>
      <c r="B758" s="245"/>
      <c r="C758" s="245"/>
      <c r="D758" s="246"/>
      <c r="E758" s="245"/>
      <c r="F758" s="245"/>
      <c r="G758" s="245"/>
      <c r="H758" s="245"/>
      <c r="I758" s="245"/>
      <c r="J758" s="245"/>
      <c r="K758" s="265"/>
      <c r="L758" s="245"/>
      <c r="M758" s="245"/>
      <c r="N758" s="245"/>
      <c r="O758" s="245"/>
      <c r="P758" s="245"/>
      <c r="Q758" s="247"/>
      <c r="R758" s="254"/>
      <c r="S758" s="245"/>
      <c r="T758" s="245"/>
      <c r="U758" s="245"/>
      <c r="V758" s="245"/>
      <c r="W758" s="245"/>
      <c r="X758" s="245"/>
      <c r="Y758" s="249"/>
      <c r="Z758" s="276"/>
      <c r="AA758" s="245"/>
      <c r="AB758" s="276"/>
      <c r="AC758" s="276"/>
      <c r="AD758" s="246"/>
      <c r="AE758" s="278"/>
      <c r="AF758" s="370"/>
      <c r="AG758" s="371"/>
      <c r="AH758" s="276"/>
      <c r="AI758" s="245"/>
      <c r="AJ758" s="287"/>
      <c r="AK758" s="278"/>
      <c r="AL758" s="246"/>
      <c r="AM758" s="245"/>
      <c r="AN758" s="245"/>
      <c r="AO758" s="274"/>
      <c r="AP758" s="245"/>
      <c r="AQ758" s="245"/>
      <c r="AR758" s="246"/>
      <c r="AS758" s="245"/>
      <c r="AT758" s="245"/>
      <c r="AU758" s="245"/>
      <c r="AV758" s="245"/>
      <c r="AW758" s="245"/>
      <c r="AX758" s="246"/>
      <c r="AY758" s="245"/>
      <c r="AZ758" s="245"/>
      <c r="BA758" s="246"/>
      <c r="BB758" s="245"/>
      <c r="BC758" s="245"/>
      <c r="BD758" s="245"/>
      <c r="BE758" s="245"/>
      <c r="BF758" s="245"/>
      <c r="BG758" s="245"/>
      <c r="BH758" s="245"/>
      <c r="BI758" s="245"/>
      <c r="BJ758" s="245"/>
      <c r="BK758" s="245"/>
      <c r="BL758" s="245"/>
      <c r="BM758" s="245"/>
      <c r="BN758" s="245"/>
      <c r="BO758" s="245"/>
      <c r="BP758" s="245"/>
      <c r="BQ758" s="245"/>
      <c r="BR758" s="245"/>
      <c r="BS758" s="245"/>
      <c r="BT758" s="246"/>
      <c r="BU758" s="245"/>
      <c r="BV758" s="245"/>
      <c r="BW758" s="245"/>
      <c r="BX758" s="245"/>
      <c r="BY758" s="245"/>
      <c r="BZ758" s="282"/>
      <c r="CA758" s="245"/>
      <c r="CB758" s="245"/>
      <c r="CC758" s="245"/>
      <c r="CD758" s="245"/>
      <c r="CE758" s="245"/>
      <c r="CF758" s="245"/>
    </row>
    <row r="759">
      <c r="A759" s="305"/>
      <c r="B759" s="245"/>
      <c r="C759" s="245"/>
      <c r="D759" s="246"/>
      <c r="E759" s="245"/>
      <c r="F759" s="245"/>
      <c r="G759" s="245"/>
      <c r="H759" s="245"/>
      <c r="I759" s="245"/>
      <c r="J759" s="245"/>
      <c r="K759" s="265"/>
      <c r="L759" s="245"/>
      <c r="M759" s="245"/>
      <c r="N759" s="245"/>
      <c r="O759" s="245"/>
      <c r="P759" s="245"/>
      <c r="Q759" s="247"/>
      <c r="R759" s="254"/>
      <c r="S759" s="245"/>
      <c r="T759" s="245"/>
      <c r="U759" s="245"/>
      <c r="V759" s="245"/>
      <c r="W759" s="245"/>
      <c r="X759" s="245"/>
      <c r="Y759" s="249"/>
      <c r="Z759" s="276"/>
      <c r="AA759" s="245"/>
      <c r="AB759" s="276"/>
      <c r="AC759" s="276"/>
      <c r="AD759" s="246"/>
      <c r="AE759" s="278"/>
      <c r="AF759" s="370"/>
      <c r="AG759" s="371"/>
      <c r="AH759" s="276"/>
      <c r="AI759" s="245"/>
      <c r="AJ759" s="287"/>
      <c r="AK759" s="278"/>
      <c r="AL759" s="246"/>
      <c r="AM759" s="245"/>
      <c r="AN759" s="245"/>
      <c r="AO759" s="274"/>
      <c r="AP759" s="245"/>
      <c r="AQ759" s="245"/>
      <c r="AR759" s="246"/>
      <c r="AS759" s="245"/>
      <c r="AT759" s="245"/>
      <c r="AU759" s="245"/>
      <c r="AV759" s="245"/>
      <c r="AW759" s="245"/>
      <c r="AX759" s="246"/>
      <c r="AY759" s="245"/>
      <c r="AZ759" s="245"/>
      <c r="BA759" s="246"/>
      <c r="BB759" s="245"/>
      <c r="BC759" s="245"/>
      <c r="BD759" s="245"/>
      <c r="BE759" s="245"/>
      <c r="BF759" s="245"/>
      <c r="BG759" s="245"/>
      <c r="BH759" s="245"/>
      <c r="BI759" s="245"/>
      <c r="BJ759" s="245"/>
      <c r="BK759" s="245"/>
      <c r="BL759" s="245"/>
      <c r="BM759" s="245"/>
      <c r="BN759" s="245"/>
      <c r="BO759" s="245"/>
      <c r="BP759" s="245"/>
      <c r="BQ759" s="245"/>
      <c r="BR759" s="245"/>
      <c r="BS759" s="245"/>
      <c r="BT759" s="246"/>
      <c r="BU759" s="245"/>
      <c r="BV759" s="245"/>
      <c r="BW759" s="245"/>
      <c r="BX759" s="245"/>
      <c r="BY759" s="245"/>
      <c r="BZ759" s="282"/>
      <c r="CA759" s="245"/>
      <c r="CB759" s="245"/>
      <c r="CC759" s="245"/>
      <c r="CD759" s="245"/>
      <c r="CE759" s="245"/>
      <c r="CF759" s="245"/>
    </row>
    <row r="760">
      <c r="A760" s="305"/>
      <c r="B760" s="245"/>
      <c r="C760" s="245"/>
      <c r="D760" s="246"/>
      <c r="E760" s="245"/>
      <c r="F760" s="245"/>
      <c r="G760" s="245"/>
      <c r="H760" s="245"/>
      <c r="I760" s="245"/>
      <c r="J760" s="245"/>
      <c r="K760" s="265"/>
      <c r="L760" s="245"/>
      <c r="M760" s="245"/>
      <c r="N760" s="245"/>
      <c r="O760" s="245"/>
      <c r="P760" s="245"/>
      <c r="Q760" s="247"/>
      <c r="R760" s="254"/>
      <c r="S760" s="245"/>
      <c r="T760" s="245"/>
      <c r="U760" s="245"/>
      <c r="V760" s="245"/>
      <c r="W760" s="245"/>
      <c r="X760" s="245"/>
      <c r="Y760" s="249"/>
      <c r="Z760" s="276"/>
      <c r="AA760" s="245"/>
      <c r="AB760" s="276"/>
      <c r="AC760" s="276"/>
      <c r="AD760" s="246"/>
      <c r="AE760" s="278"/>
      <c r="AF760" s="370"/>
      <c r="AG760" s="371"/>
      <c r="AH760" s="276"/>
      <c r="AI760" s="245"/>
      <c r="AJ760" s="287"/>
      <c r="AK760" s="278"/>
      <c r="AL760" s="246"/>
      <c r="AM760" s="245"/>
      <c r="AN760" s="245"/>
      <c r="AO760" s="274"/>
      <c r="AP760" s="245"/>
      <c r="AQ760" s="245"/>
      <c r="AR760" s="246"/>
      <c r="AS760" s="245"/>
      <c r="AT760" s="245"/>
      <c r="AU760" s="245"/>
      <c r="AV760" s="245"/>
      <c r="AW760" s="245"/>
      <c r="AX760" s="246"/>
      <c r="AY760" s="245"/>
      <c r="AZ760" s="245"/>
      <c r="BA760" s="246"/>
      <c r="BB760" s="245"/>
      <c r="BC760" s="245"/>
      <c r="BD760" s="245"/>
      <c r="BE760" s="245"/>
      <c r="BF760" s="245"/>
      <c r="BG760" s="245"/>
      <c r="BH760" s="245"/>
      <c r="BI760" s="245"/>
      <c r="BJ760" s="245"/>
      <c r="BK760" s="245"/>
      <c r="BL760" s="245"/>
      <c r="BM760" s="245"/>
      <c r="BN760" s="245"/>
      <c r="BO760" s="245"/>
      <c r="BP760" s="245"/>
      <c r="BQ760" s="245"/>
      <c r="BR760" s="245"/>
      <c r="BS760" s="245"/>
      <c r="BT760" s="246"/>
      <c r="BU760" s="245"/>
      <c r="BV760" s="245"/>
      <c r="BW760" s="245"/>
      <c r="BX760" s="245"/>
      <c r="BY760" s="245"/>
      <c r="BZ760" s="282"/>
      <c r="CA760" s="245"/>
      <c r="CB760" s="245"/>
      <c r="CC760" s="245"/>
      <c r="CD760" s="245"/>
      <c r="CE760" s="245"/>
      <c r="CF760" s="245"/>
    </row>
    <row r="761">
      <c r="A761" s="305"/>
      <c r="B761" s="245"/>
      <c r="C761" s="245"/>
      <c r="D761" s="246"/>
      <c r="E761" s="245"/>
      <c r="F761" s="245"/>
      <c r="G761" s="245"/>
      <c r="H761" s="245"/>
      <c r="I761" s="245"/>
      <c r="J761" s="245"/>
      <c r="K761" s="265"/>
      <c r="L761" s="245"/>
      <c r="M761" s="245"/>
      <c r="N761" s="245"/>
      <c r="O761" s="245"/>
      <c r="P761" s="245"/>
      <c r="Q761" s="247"/>
      <c r="R761" s="254"/>
      <c r="S761" s="245"/>
      <c r="T761" s="245"/>
      <c r="U761" s="245"/>
      <c r="V761" s="245"/>
      <c r="W761" s="245"/>
      <c r="X761" s="245"/>
      <c r="Y761" s="249"/>
      <c r="Z761" s="276"/>
      <c r="AA761" s="245"/>
      <c r="AB761" s="276"/>
      <c r="AC761" s="276"/>
      <c r="AD761" s="246"/>
      <c r="AE761" s="278"/>
      <c r="AF761" s="370"/>
      <c r="AG761" s="371"/>
      <c r="AH761" s="276"/>
      <c r="AI761" s="245"/>
      <c r="AJ761" s="287"/>
      <c r="AK761" s="278"/>
      <c r="AL761" s="246"/>
      <c r="AM761" s="245"/>
      <c r="AN761" s="245"/>
      <c r="AO761" s="274"/>
      <c r="AP761" s="245"/>
      <c r="AQ761" s="245"/>
      <c r="AR761" s="246"/>
      <c r="AS761" s="245"/>
      <c r="AT761" s="245"/>
      <c r="AU761" s="245"/>
      <c r="AV761" s="245"/>
      <c r="AW761" s="245"/>
      <c r="AX761" s="246"/>
      <c r="AY761" s="245"/>
      <c r="AZ761" s="245"/>
      <c r="BA761" s="246"/>
      <c r="BB761" s="245"/>
      <c r="BC761" s="245"/>
      <c r="BD761" s="245"/>
      <c r="BE761" s="245"/>
      <c r="BF761" s="245"/>
      <c r="BG761" s="245"/>
      <c r="BH761" s="245"/>
      <c r="BI761" s="245"/>
      <c r="BJ761" s="245"/>
      <c r="BK761" s="245"/>
      <c r="BL761" s="245"/>
      <c r="BM761" s="245"/>
      <c r="BN761" s="245"/>
      <c r="BO761" s="245"/>
      <c r="BP761" s="245"/>
      <c r="BQ761" s="245"/>
      <c r="BR761" s="245"/>
      <c r="BS761" s="245"/>
      <c r="BT761" s="246"/>
      <c r="BU761" s="245"/>
      <c r="BV761" s="245"/>
      <c r="BW761" s="245"/>
      <c r="BX761" s="245"/>
      <c r="BY761" s="245"/>
      <c r="BZ761" s="282"/>
      <c r="CA761" s="245"/>
      <c r="CB761" s="245"/>
      <c r="CC761" s="245"/>
      <c r="CD761" s="245"/>
      <c r="CE761" s="245"/>
      <c r="CF761" s="245"/>
    </row>
    <row r="762">
      <c r="A762" s="305"/>
      <c r="B762" s="245"/>
      <c r="C762" s="245"/>
      <c r="D762" s="246"/>
      <c r="E762" s="245"/>
      <c r="F762" s="245"/>
      <c r="G762" s="245"/>
      <c r="H762" s="245"/>
      <c r="I762" s="245"/>
      <c r="J762" s="245"/>
      <c r="K762" s="265"/>
      <c r="L762" s="245"/>
      <c r="M762" s="245"/>
      <c r="N762" s="245"/>
      <c r="O762" s="245"/>
      <c r="P762" s="245"/>
      <c r="Q762" s="247"/>
      <c r="R762" s="254"/>
      <c r="S762" s="245"/>
      <c r="T762" s="245"/>
      <c r="U762" s="245"/>
      <c r="V762" s="245"/>
      <c r="W762" s="245"/>
      <c r="X762" s="245"/>
      <c r="Y762" s="249"/>
      <c r="Z762" s="276"/>
      <c r="AA762" s="245"/>
      <c r="AB762" s="276"/>
      <c r="AC762" s="276"/>
      <c r="AD762" s="246"/>
      <c r="AE762" s="278"/>
      <c r="AF762" s="370"/>
      <c r="AG762" s="371"/>
      <c r="AH762" s="276"/>
      <c r="AI762" s="245"/>
      <c r="AJ762" s="287"/>
      <c r="AK762" s="278"/>
      <c r="AL762" s="246"/>
      <c r="AM762" s="245"/>
      <c r="AN762" s="245"/>
      <c r="AO762" s="274"/>
      <c r="AP762" s="245"/>
      <c r="AQ762" s="245"/>
      <c r="AR762" s="246"/>
      <c r="AS762" s="245"/>
      <c r="AT762" s="245"/>
      <c r="AU762" s="245"/>
      <c r="AV762" s="245"/>
      <c r="AW762" s="245"/>
      <c r="AX762" s="246"/>
      <c r="AY762" s="245"/>
      <c r="AZ762" s="245"/>
      <c r="BA762" s="246"/>
      <c r="BB762" s="245"/>
      <c r="BC762" s="245"/>
      <c r="BD762" s="245"/>
      <c r="BE762" s="245"/>
      <c r="BF762" s="245"/>
      <c r="BG762" s="245"/>
      <c r="BH762" s="245"/>
      <c r="BI762" s="245"/>
      <c r="BJ762" s="245"/>
      <c r="BK762" s="245"/>
      <c r="BL762" s="245"/>
      <c r="BM762" s="245"/>
      <c r="BN762" s="245"/>
      <c r="BO762" s="245"/>
      <c r="BP762" s="245"/>
      <c r="BQ762" s="245"/>
      <c r="BR762" s="245"/>
      <c r="BS762" s="245"/>
      <c r="BT762" s="246"/>
      <c r="BU762" s="245"/>
      <c r="BV762" s="245"/>
      <c r="BW762" s="245"/>
      <c r="BX762" s="245"/>
      <c r="BY762" s="245"/>
      <c r="BZ762" s="282"/>
      <c r="CA762" s="245"/>
      <c r="CB762" s="245"/>
      <c r="CC762" s="245"/>
      <c r="CD762" s="245"/>
      <c r="CE762" s="245"/>
      <c r="CF762" s="245"/>
    </row>
    <row r="763">
      <c r="A763" s="305"/>
      <c r="B763" s="245"/>
      <c r="C763" s="245"/>
      <c r="D763" s="246"/>
      <c r="E763" s="245"/>
      <c r="F763" s="245"/>
      <c r="G763" s="245"/>
      <c r="H763" s="245"/>
      <c r="I763" s="245"/>
      <c r="J763" s="245"/>
      <c r="K763" s="265"/>
      <c r="L763" s="245"/>
      <c r="M763" s="245"/>
      <c r="N763" s="245"/>
      <c r="O763" s="245"/>
      <c r="P763" s="245"/>
      <c r="Q763" s="247"/>
      <c r="R763" s="254"/>
      <c r="S763" s="245"/>
      <c r="T763" s="245"/>
      <c r="U763" s="245"/>
      <c r="V763" s="245"/>
      <c r="W763" s="245"/>
      <c r="X763" s="245"/>
      <c r="Y763" s="249"/>
      <c r="Z763" s="276"/>
      <c r="AA763" s="245"/>
      <c r="AB763" s="276"/>
      <c r="AC763" s="276"/>
      <c r="AD763" s="246"/>
      <c r="AE763" s="278"/>
      <c r="AF763" s="370"/>
      <c r="AG763" s="371"/>
      <c r="AH763" s="276"/>
      <c r="AI763" s="245"/>
      <c r="AJ763" s="287"/>
      <c r="AK763" s="278"/>
      <c r="AL763" s="246"/>
      <c r="AM763" s="245"/>
      <c r="AN763" s="245"/>
      <c r="AO763" s="274"/>
      <c r="AP763" s="245"/>
      <c r="AQ763" s="245"/>
      <c r="AR763" s="246"/>
      <c r="AS763" s="245"/>
      <c r="AT763" s="245"/>
      <c r="AU763" s="245"/>
      <c r="AV763" s="245"/>
      <c r="AW763" s="245"/>
      <c r="AX763" s="246"/>
      <c r="AY763" s="245"/>
      <c r="AZ763" s="245"/>
      <c r="BA763" s="246"/>
      <c r="BB763" s="245"/>
      <c r="BC763" s="245"/>
      <c r="BD763" s="245"/>
      <c r="BE763" s="245"/>
      <c r="BF763" s="245"/>
      <c r="BG763" s="245"/>
      <c r="BH763" s="245"/>
      <c r="BI763" s="245"/>
      <c r="BJ763" s="245"/>
      <c r="BK763" s="245"/>
      <c r="BL763" s="245"/>
      <c r="BM763" s="245"/>
      <c r="BN763" s="245"/>
      <c r="BO763" s="245"/>
      <c r="BP763" s="245"/>
      <c r="BQ763" s="245"/>
      <c r="BR763" s="245"/>
      <c r="BS763" s="245"/>
      <c r="BT763" s="246"/>
      <c r="BU763" s="245"/>
      <c r="BV763" s="245"/>
      <c r="BW763" s="245"/>
      <c r="BX763" s="245"/>
      <c r="BY763" s="245"/>
      <c r="BZ763" s="282"/>
      <c r="CA763" s="245"/>
      <c r="CB763" s="245"/>
      <c r="CC763" s="245"/>
      <c r="CD763" s="245"/>
      <c r="CE763" s="245"/>
      <c r="CF763" s="245"/>
    </row>
    <row r="764">
      <c r="A764" s="305"/>
      <c r="B764" s="245"/>
      <c r="C764" s="245"/>
      <c r="D764" s="246"/>
      <c r="E764" s="245"/>
      <c r="F764" s="245"/>
      <c r="G764" s="245"/>
      <c r="H764" s="245"/>
      <c r="I764" s="245"/>
      <c r="J764" s="245"/>
      <c r="K764" s="265"/>
      <c r="L764" s="245"/>
      <c r="M764" s="245"/>
      <c r="N764" s="245"/>
      <c r="O764" s="245"/>
      <c r="P764" s="245"/>
      <c r="Q764" s="247"/>
      <c r="R764" s="254"/>
      <c r="S764" s="245"/>
      <c r="T764" s="245"/>
      <c r="U764" s="245"/>
      <c r="V764" s="245"/>
      <c r="W764" s="245"/>
      <c r="X764" s="245"/>
      <c r="Y764" s="249"/>
      <c r="Z764" s="276"/>
      <c r="AA764" s="245"/>
      <c r="AB764" s="276"/>
      <c r="AC764" s="276"/>
      <c r="AD764" s="246"/>
      <c r="AE764" s="278"/>
      <c r="AF764" s="370"/>
      <c r="AG764" s="371"/>
      <c r="AH764" s="276"/>
      <c r="AI764" s="245"/>
      <c r="AJ764" s="287"/>
      <c r="AK764" s="278"/>
      <c r="AL764" s="246"/>
      <c r="AM764" s="245"/>
      <c r="AN764" s="245"/>
      <c r="AO764" s="274"/>
      <c r="AP764" s="245"/>
      <c r="AQ764" s="245"/>
      <c r="AR764" s="246"/>
      <c r="AS764" s="245"/>
      <c r="AT764" s="245"/>
      <c r="AU764" s="245"/>
      <c r="AV764" s="245"/>
      <c r="AW764" s="245"/>
      <c r="AX764" s="246"/>
      <c r="AY764" s="245"/>
      <c r="AZ764" s="245"/>
      <c r="BA764" s="246"/>
      <c r="BB764" s="245"/>
      <c r="BC764" s="245"/>
      <c r="BD764" s="245"/>
      <c r="BE764" s="245"/>
      <c r="BF764" s="245"/>
      <c r="BG764" s="245"/>
      <c r="BH764" s="245"/>
      <c r="BI764" s="245"/>
      <c r="BJ764" s="245"/>
      <c r="BK764" s="245"/>
      <c r="BL764" s="245"/>
      <c r="BM764" s="245"/>
      <c r="BN764" s="245"/>
      <c r="BO764" s="245"/>
      <c r="BP764" s="245"/>
      <c r="BQ764" s="245"/>
      <c r="BR764" s="245"/>
      <c r="BS764" s="245"/>
      <c r="BT764" s="246"/>
      <c r="BU764" s="245"/>
      <c r="BV764" s="245"/>
      <c r="BW764" s="245"/>
      <c r="BX764" s="245"/>
      <c r="BY764" s="245"/>
      <c r="BZ764" s="282"/>
      <c r="CA764" s="245"/>
      <c r="CB764" s="245"/>
      <c r="CC764" s="245"/>
      <c r="CD764" s="245"/>
      <c r="CE764" s="245"/>
      <c r="CF764" s="245"/>
    </row>
    <row r="765">
      <c r="A765" s="305"/>
      <c r="B765" s="245"/>
      <c r="C765" s="245"/>
      <c r="D765" s="246"/>
      <c r="E765" s="245"/>
      <c r="F765" s="245"/>
      <c r="G765" s="245"/>
      <c r="H765" s="245"/>
      <c r="I765" s="245"/>
      <c r="J765" s="245"/>
      <c r="K765" s="265"/>
      <c r="L765" s="245"/>
      <c r="M765" s="245"/>
      <c r="N765" s="245"/>
      <c r="O765" s="245"/>
      <c r="P765" s="245"/>
      <c r="Q765" s="247"/>
      <c r="R765" s="254"/>
      <c r="S765" s="245"/>
      <c r="T765" s="245"/>
      <c r="U765" s="245"/>
      <c r="V765" s="245"/>
      <c r="W765" s="245"/>
      <c r="X765" s="245"/>
      <c r="Y765" s="249"/>
      <c r="Z765" s="276"/>
      <c r="AA765" s="245"/>
      <c r="AB765" s="276"/>
      <c r="AC765" s="276"/>
      <c r="AD765" s="246"/>
      <c r="AE765" s="278"/>
      <c r="AF765" s="370"/>
      <c r="AG765" s="371"/>
      <c r="AH765" s="276"/>
      <c r="AI765" s="245"/>
      <c r="AJ765" s="287"/>
      <c r="AK765" s="278"/>
      <c r="AL765" s="246"/>
      <c r="AM765" s="245"/>
      <c r="AN765" s="245"/>
      <c r="AO765" s="274"/>
      <c r="AP765" s="245"/>
      <c r="AQ765" s="245"/>
      <c r="AR765" s="246"/>
      <c r="AS765" s="245"/>
      <c r="AT765" s="245"/>
      <c r="AU765" s="245"/>
      <c r="AV765" s="245"/>
      <c r="AW765" s="245"/>
      <c r="AX765" s="246"/>
      <c r="AY765" s="245"/>
      <c r="AZ765" s="245"/>
      <c r="BA765" s="246"/>
      <c r="BB765" s="245"/>
      <c r="BC765" s="245"/>
      <c r="BD765" s="245"/>
      <c r="BE765" s="245"/>
      <c r="BF765" s="245"/>
      <c r="BG765" s="245"/>
      <c r="BH765" s="245"/>
      <c r="BI765" s="245"/>
      <c r="BJ765" s="245"/>
      <c r="BK765" s="245"/>
      <c r="BL765" s="245"/>
      <c r="BM765" s="245"/>
      <c r="BN765" s="245"/>
      <c r="BO765" s="245"/>
      <c r="BP765" s="245"/>
      <c r="BQ765" s="245"/>
      <c r="BR765" s="245"/>
      <c r="BS765" s="245"/>
      <c r="BT765" s="246"/>
      <c r="BU765" s="245"/>
      <c r="BV765" s="245"/>
      <c r="BW765" s="245"/>
      <c r="BX765" s="245"/>
      <c r="BY765" s="245"/>
      <c r="BZ765" s="282"/>
      <c r="CA765" s="245"/>
      <c r="CB765" s="245"/>
      <c r="CC765" s="245"/>
      <c r="CD765" s="245"/>
      <c r="CE765" s="245"/>
      <c r="CF765" s="245"/>
    </row>
    <row r="766">
      <c r="A766" s="305"/>
      <c r="B766" s="245"/>
      <c r="C766" s="245"/>
      <c r="D766" s="246"/>
      <c r="E766" s="245"/>
      <c r="F766" s="245"/>
      <c r="G766" s="245"/>
      <c r="H766" s="245"/>
      <c r="I766" s="245"/>
      <c r="J766" s="245"/>
      <c r="K766" s="265"/>
      <c r="L766" s="245"/>
      <c r="M766" s="245"/>
      <c r="N766" s="245"/>
      <c r="O766" s="245"/>
      <c r="P766" s="245"/>
      <c r="Q766" s="247"/>
      <c r="R766" s="254"/>
      <c r="S766" s="245"/>
      <c r="T766" s="245"/>
      <c r="U766" s="245"/>
      <c r="V766" s="245"/>
      <c r="W766" s="245"/>
      <c r="X766" s="245"/>
      <c r="Y766" s="249"/>
      <c r="Z766" s="276"/>
      <c r="AA766" s="245"/>
      <c r="AB766" s="276"/>
      <c r="AC766" s="276"/>
      <c r="AD766" s="246"/>
      <c r="AE766" s="278"/>
      <c r="AF766" s="370"/>
      <c r="AG766" s="371"/>
      <c r="AH766" s="276"/>
      <c r="AI766" s="245"/>
      <c r="AJ766" s="287"/>
      <c r="AK766" s="278"/>
      <c r="AL766" s="246"/>
      <c r="AM766" s="245"/>
      <c r="AN766" s="245"/>
      <c r="AO766" s="274"/>
      <c r="AP766" s="245"/>
      <c r="AQ766" s="245"/>
      <c r="AR766" s="246"/>
      <c r="AS766" s="245"/>
      <c r="AT766" s="245"/>
      <c r="AU766" s="245"/>
      <c r="AV766" s="245"/>
      <c r="AW766" s="245"/>
      <c r="AX766" s="246"/>
      <c r="AY766" s="245"/>
      <c r="AZ766" s="245"/>
      <c r="BA766" s="246"/>
      <c r="BB766" s="245"/>
      <c r="BC766" s="245"/>
      <c r="BD766" s="245"/>
      <c r="BE766" s="245"/>
      <c r="BF766" s="245"/>
      <c r="BG766" s="245"/>
      <c r="BH766" s="245"/>
      <c r="BI766" s="245"/>
      <c r="BJ766" s="245"/>
      <c r="BK766" s="245"/>
      <c r="BL766" s="245"/>
      <c r="BM766" s="245"/>
      <c r="BN766" s="245"/>
      <c r="BO766" s="245"/>
      <c r="BP766" s="245"/>
      <c r="BQ766" s="245"/>
      <c r="BR766" s="245"/>
      <c r="BS766" s="245"/>
      <c r="BT766" s="246"/>
      <c r="BU766" s="245"/>
      <c r="BV766" s="245"/>
      <c r="BW766" s="245"/>
      <c r="BX766" s="245"/>
      <c r="BY766" s="245"/>
      <c r="BZ766" s="282"/>
      <c r="CA766" s="245"/>
      <c r="CB766" s="245"/>
      <c r="CC766" s="245"/>
      <c r="CD766" s="245"/>
      <c r="CE766" s="245"/>
      <c r="CF766" s="245"/>
    </row>
    <row r="767">
      <c r="A767" s="305"/>
      <c r="B767" s="245"/>
      <c r="C767" s="245"/>
      <c r="D767" s="246"/>
      <c r="E767" s="245"/>
      <c r="F767" s="245"/>
      <c r="G767" s="245"/>
      <c r="H767" s="245"/>
      <c r="I767" s="245"/>
      <c r="J767" s="245"/>
      <c r="K767" s="265"/>
      <c r="L767" s="245"/>
      <c r="M767" s="245"/>
      <c r="N767" s="245"/>
      <c r="O767" s="245"/>
      <c r="P767" s="245"/>
      <c r="Q767" s="247"/>
      <c r="R767" s="254"/>
      <c r="S767" s="245"/>
      <c r="T767" s="245"/>
      <c r="U767" s="245"/>
      <c r="V767" s="245"/>
      <c r="W767" s="245"/>
      <c r="X767" s="245"/>
      <c r="Y767" s="249"/>
      <c r="Z767" s="276"/>
      <c r="AA767" s="245"/>
      <c r="AB767" s="276"/>
      <c r="AC767" s="276"/>
      <c r="AD767" s="246"/>
      <c r="AE767" s="278"/>
      <c r="AF767" s="370"/>
      <c r="AG767" s="371"/>
      <c r="AH767" s="276"/>
      <c r="AI767" s="245"/>
      <c r="AJ767" s="287"/>
      <c r="AK767" s="278"/>
      <c r="AL767" s="246"/>
      <c r="AM767" s="245"/>
      <c r="AN767" s="245"/>
      <c r="AO767" s="274"/>
      <c r="AP767" s="245"/>
      <c r="AQ767" s="245"/>
      <c r="AR767" s="246"/>
      <c r="AS767" s="245"/>
      <c r="AT767" s="245"/>
      <c r="AU767" s="245"/>
      <c r="AV767" s="245"/>
      <c r="AW767" s="245"/>
      <c r="AX767" s="246"/>
      <c r="AY767" s="245"/>
      <c r="AZ767" s="245"/>
      <c r="BA767" s="246"/>
      <c r="BB767" s="245"/>
      <c r="BC767" s="245"/>
      <c r="BD767" s="245"/>
      <c r="BE767" s="245"/>
      <c r="BF767" s="245"/>
      <c r="BG767" s="245"/>
      <c r="BH767" s="245"/>
      <c r="BI767" s="245"/>
      <c r="BJ767" s="245"/>
      <c r="BK767" s="245"/>
      <c r="BL767" s="245"/>
      <c r="BM767" s="245"/>
      <c r="BN767" s="245"/>
      <c r="BO767" s="245"/>
      <c r="BP767" s="245"/>
      <c r="BQ767" s="245"/>
      <c r="BR767" s="245"/>
      <c r="BS767" s="245"/>
      <c r="BT767" s="246"/>
      <c r="BU767" s="245"/>
      <c r="BV767" s="245"/>
      <c r="BW767" s="245"/>
      <c r="BX767" s="245"/>
      <c r="BY767" s="245"/>
      <c r="BZ767" s="282"/>
      <c r="CA767" s="245"/>
      <c r="CB767" s="245"/>
      <c r="CC767" s="245"/>
      <c r="CD767" s="245"/>
      <c r="CE767" s="245"/>
      <c r="CF767" s="245"/>
    </row>
    <row r="768">
      <c r="A768" s="305"/>
      <c r="B768" s="245"/>
      <c r="C768" s="245"/>
      <c r="D768" s="246"/>
      <c r="E768" s="245"/>
      <c r="F768" s="245"/>
      <c r="G768" s="245"/>
      <c r="H768" s="245"/>
      <c r="I768" s="245"/>
      <c r="J768" s="245"/>
      <c r="K768" s="265"/>
      <c r="L768" s="245"/>
      <c r="M768" s="245"/>
      <c r="N768" s="245"/>
      <c r="O768" s="245"/>
      <c r="P768" s="245"/>
      <c r="Q768" s="247"/>
      <c r="R768" s="254"/>
      <c r="S768" s="245"/>
      <c r="T768" s="245"/>
      <c r="U768" s="245"/>
      <c r="V768" s="245"/>
      <c r="W768" s="245"/>
      <c r="X768" s="245"/>
      <c r="Y768" s="249"/>
      <c r="Z768" s="276"/>
      <c r="AA768" s="245"/>
      <c r="AB768" s="276"/>
      <c r="AC768" s="276"/>
      <c r="AD768" s="246"/>
      <c r="AE768" s="278"/>
      <c r="AF768" s="370"/>
      <c r="AG768" s="371"/>
      <c r="AH768" s="276"/>
      <c r="AI768" s="245"/>
      <c r="AJ768" s="287"/>
      <c r="AK768" s="278"/>
      <c r="AL768" s="246"/>
      <c r="AM768" s="245"/>
      <c r="AN768" s="245"/>
      <c r="AO768" s="274"/>
      <c r="AP768" s="245"/>
      <c r="AQ768" s="245"/>
      <c r="AR768" s="246"/>
      <c r="AS768" s="245"/>
      <c r="AT768" s="245"/>
      <c r="AU768" s="245"/>
      <c r="AV768" s="245"/>
      <c r="AW768" s="245"/>
      <c r="AX768" s="246"/>
      <c r="AY768" s="245"/>
      <c r="AZ768" s="245"/>
      <c r="BA768" s="246"/>
      <c r="BB768" s="245"/>
      <c r="BC768" s="245"/>
      <c r="BD768" s="245"/>
      <c r="BE768" s="245"/>
      <c r="BF768" s="245"/>
      <c r="BG768" s="245"/>
      <c r="BH768" s="245"/>
      <c r="BI768" s="245"/>
      <c r="BJ768" s="245"/>
      <c r="BK768" s="245"/>
      <c r="BL768" s="245"/>
      <c r="BM768" s="245"/>
      <c r="BN768" s="245"/>
      <c r="BO768" s="245"/>
      <c r="BP768" s="245"/>
      <c r="BQ768" s="245"/>
      <c r="BR768" s="245"/>
      <c r="BS768" s="245"/>
      <c r="BT768" s="246"/>
      <c r="BU768" s="245"/>
      <c r="BV768" s="245"/>
      <c r="BW768" s="245"/>
      <c r="BX768" s="245"/>
      <c r="BY768" s="245"/>
      <c r="BZ768" s="282"/>
      <c r="CA768" s="245"/>
      <c r="CB768" s="245"/>
      <c r="CC768" s="245"/>
      <c r="CD768" s="245"/>
      <c r="CE768" s="245"/>
      <c r="CF768" s="245"/>
    </row>
    <row r="769">
      <c r="A769" s="305"/>
      <c r="B769" s="245"/>
      <c r="C769" s="245"/>
      <c r="D769" s="246"/>
      <c r="E769" s="245"/>
      <c r="F769" s="245"/>
      <c r="G769" s="245"/>
      <c r="H769" s="245"/>
      <c r="I769" s="245"/>
      <c r="J769" s="245"/>
      <c r="K769" s="265"/>
      <c r="L769" s="245"/>
      <c r="M769" s="245"/>
      <c r="N769" s="245"/>
      <c r="O769" s="245"/>
      <c r="P769" s="245"/>
      <c r="Q769" s="247"/>
      <c r="R769" s="254"/>
      <c r="S769" s="245"/>
      <c r="T769" s="245"/>
      <c r="U769" s="245"/>
      <c r="V769" s="245"/>
      <c r="W769" s="245"/>
      <c r="X769" s="245"/>
      <c r="Y769" s="249"/>
      <c r="Z769" s="276"/>
      <c r="AA769" s="245"/>
      <c r="AB769" s="276"/>
      <c r="AC769" s="276"/>
      <c r="AD769" s="246"/>
      <c r="AE769" s="278"/>
      <c r="AF769" s="370"/>
      <c r="AG769" s="371"/>
      <c r="AH769" s="276"/>
      <c r="AI769" s="245"/>
      <c r="AJ769" s="287"/>
      <c r="AK769" s="278"/>
      <c r="AL769" s="246"/>
      <c r="AM769" s="245"/>
      <c r="AN769" s="245"/>
      <c r="AO769" s="274"/>
      <c r="AP769" s="245"/>
      <c r="AQ769" s="245"/>
      <c r="AR769" s="246"/>
      <c r="AS769" s="245"/>
      <c r="AT769" s="245"/>
      <c r="AU769" s="245"/>
      <c r="AV769" s="245"/>
      <c r="AW769" s="245"/>
      <c r="AX769" s="246"/>
      <c r="AY769" s="245"/>
      <c r="AZ769" s="245"/>
      <c r="BA769" s="246"/>
      <c r="BB769" s="245"/>
      <c r="BC769" s="245"/>
      <c r="BD769" s="245"/>
      <c r="BE769" s="245"/>
      <c r="BF769" s="245"/>
      <c r="BG769" s="245"/>
      <c r="BH769" s="245"/>
      <c r="BI769" s="245"/>
      <c r="BJ769" s="245"/>
      <c r="BK769" s="245"/>
      <c r="BL769" s="245"/>
      <c r="BM769" s="245"/>
      <c r="BN769" s="245"/>
      <c r="BO769" s="245"/>
      <c r="BP769" s="245"/>
      <c r="BQ769" s="245"/>
      <c r="BR769" s="245"/>
      <c r="BS769" s="245"/>
      <c r="BT769" s="246"/>
      <c r="BU769" s="245"/>
      <c r="BV769" s="245"/>
      <c r="BW769" s="245"/>
      <c r="BX769" s="245"/>
      <c r="BY769" s="245"/>
      <c r="BZ769" s="282"/>
      <c r="CA769" s="245"/>
      <c r="CB769" s="245"/>
      <c r="CC769" s="245"/>
      <c r="CD769" s="245"/>
      <c r="CE769" s="245"/>
      <c r="CF769" s="245"/>
    </row>
    <row r="770">
      <c r="A770" s="305"/>
      <c r="B770" s="245"/>
      <c r="C770" s="245"/>
      <c r="D770" s="246"/>
      <c r="E770" s="245"/>
      <c r="F770" s="245"/>
      <c r="G770" s="245"/>
      <c r="H770" s="245"/>
      <c r="I770" s="245"/>
      <c r="J770" s="245"/>
      <c r="K770" s="265"/>
      <c r="L770" s="245"/>
      <c r="M770" s="245"/>
      <c r="N770" s="245"/>
      <c r="O770" s="245"/>
      <c r="P770" s="245"/>
      <c r="Q770" s="247"/>
      <c r="R770" s="254"/>
      <c r="S770" s="245"/>
      <c r="T770" s="245"/>
      <c r="U770" s="245"/>
      <c r="V770" s="245"/>
      <c r="W770" s="245"/>
      <c r="X770" s="245"/>
      <c r="Y770" s="249"/>
      <c r="Z770" s="276"/>
      <c r="AA770" s="245"/>
      <c r="AB770" s="276"/>
      <c r="AC770" s="276"/>
      <c r="AD770" s="246"/>
      <c r="AE770" s="278"/>
      <c r="AF770" s="370"/>
      <c r="AG770" s="371"/>
      <c r="AH770" s="276"/>
      <c r="AI770" s="245"/>
      <c r="AJ770" s="287"/>
      <c r="AK770" s="278"/>
      <c r="AL770" s="246"/>
      <c r="AM770" s="245"/>
      <c r="AN770" s="245"/>
      <c r="AO770" s="274"/>
      <c r="AP770" s="245"/>
      <c r="AQ770" s="245"/>
      <c r="AR770" s="246"/>
      <c r="AS770" s="245"/>
      <c r="AT770" s="245"/>
      <c r="AU770" s="245"/>
      <c r="AV770" s="245"/>
      <c r="AW770" s="245"/>
      <c r="AX770" s="246"/>
      <c r="AY770" s="245"/>
      <c r="AZ770" s="245"/>
      <c r="BA770" s="246"/>
      <c r="BB770" s="245"/>
      <c r="BC770" s="245"/>
      <c r="BD770" s="245"/>
      <c r="BE770" s="245"/>
      <c r="BF770" s="245"/>
      <c r="BG770" s="245"/>
      <c r="BH770" s="245"/>
      <c r="BI770" s="245"/>
      <c r="BJ770" s="245"/>
      <c r="BK770" s="245"/>
      <c r="BL770" s="245"/>
      <c r="BM770" s="245"/>
      <c r="BN770" s="245"/>
      <c r="BO770" s="245"/>
      <c r="BP770" s="245"/>
      <c r="BQ770" s="245"/>
      <c r="BR770" s="245"/>
      <c r="BS770" s="245"/>
      <c r="BT770" s="246"/>
      <c r="BU770" s="245"/>
      <c r="BV770" s="245"/>
      <c r="BW770" s="245"/>
      <c r="BX770" s="245"/>
      <c r="BY770" s="245"/>
      <c r="BZ770" s="282"/>
      <c r="CA770" s="245"/>
      <c r="CB770" s="245"/>
      <c r="CC770" s="245"/>
      <c r="CD770" s="245"/>
      <c r="CE770" s="245"/>
      <c r="CF770" s="245"/>
    </row>
    <row r="771">
      <c r="A771" s="305"/>
      <c r="B771" s="245"/>
      <c r="C771" s="245"/>
      <c r="D771" s="246"/>
      <c r="E771" s="245"/>
      <c r="F771" s="245"/>
      <c r="G771" s="245"/>
      <c r="H771" s="245"/>
      <c r="I771" s="245"/>
      <c r="J771" s="245"/>
      <c r="K771" s="265"/>
      <c r="L771" s="245"/>
      <c r="M771" s="245"/>
      <c r="N771" s="245"/>
      <c r="O771" s="245"/>
      <c r="P771" s="245"/>
      <c r="Q771" s="247"/>
      <c r="R771" s="254"/>
      <c r="S771" s="245"/>
      <c r="T771" s="245"/>
      <c r="U771" s="245"/>
      <c r="V771" s="245"/>
      <c r="W771" s="245"/>
      <c r="X771" s="245"/>
      <c r="Y771" s="249"/>
      <c r="Z771" s="276"/>
      <c r="AA771" s="245"/>
      <c r="AB771" s="276"/>
      <c r="AC771" s="276"/>
      <c r="AD771" s="246"/>
      <c r="AE771" s="278"/>
      <c r="AF771" s="370"/>
      <c r="AG771" s="371"/>
      <c r="AH771" s="276"/>
      <c r="AI771" s="245"/>
      <c r="AJ771" s="287"/>
      <c r="AK771" s="278"/>
      <c r="AL771" s="246"/>
      <c r="AM771" s="245"/>
      <c r="AN771" s="245"/>
      <c r="AO771" s="274"/>
      <c r="AP771" s="245"/>
      <c r="AQ771" s="245"/>
      <c r="AR771" s="246"/>
      <c r="AS771" s="245"/>
      <c r="AT771" s="245"/>
      <c r="AU771" s="245"/>
      <c r="AV771" s="245"/>
      <c r="AW771" s="245"/>
      <c r="AX771" s="246"/>
      <c r="AY771" s="245"/>
      <c r="AZ771" s="245"/>
      <c r="BA771" s="246"/>
      <c r="BB771" s="245"/>
      <c r="BC771" s="245"/>
      <c r="BD771" s="245"/>
      <c r="BE771" s="245"/>
      <c r="BF771" s="245"/>
      <c r="BG771" s="245"/>
      <c r="BH771" s="245"/>
      <c r="BI771" s="245"/>
      <c r="BJ771" s="245"/>
      <c r="BK771" s="245"/>
      <c r="BL771" s="245"/>
      <c r="BM771" s="245"/>
      <c r="BN771" s="245"/>
      <c r="BO771" s="245"/>
      <c r="BP771" s="245"/>
      <c r="BQ771" s="245"/>
      <c r="BR771" s="245"/>
      <c r="BS771" s="245"/>
      <c r="BT771" s="246"/>
      <c r="BU771" s="245"/>
      <c r="BV771" s="245"/>
      <c r="BW771" s="245"/>
      <c r="BX771" s="245"/>
      <c r="BY771" s="245"/>
      <c r="BZ771" s="282"/>
      <c r="CA771" s="245"/>
      <c r="CB771" s="245"/>
      <c r="CC771" s="245"/>
      <c r="CD771" s="245"/>
      <c r="CE771" s="245"/>
      <c r="CF771" s="245"/>
    </row>
    <row r="772">
      <c r="A772" s="305"/>
      <c r="B772" s="245"/>
      <c r="C772" s="245"/>
      <c r="D772" s="246"/>
      <c r="E772" s="245"/>
      <c r="F772" s="245"/>
      <c r="G772" s="245"/>
      <c r="H772" s="245"/>
      <c r="I772" s="245"/>
      <c r="J772" s="245"/>
      <c r="K772" s="265"/>
      <c r="L772" s="245"/>
      <c r="M772" s="245"/>
      <c r="N772" s="245"/>
      <c r="O772" s="245"/>
      <c r="P772" s="245"/>
      <c r="Q772" s="247"/>
      <c r="R772" s="254"/>
      <c r="S772" s="245"/>
      <c r="T772" s="245"/>
      <c r="U772" s="245"/>
      <c r="V772" s="245"/>
      <c r="W772" s="245"/>
      <c r="X772" s="245"/>
      <c r="Y772" s="249"/>
      <c r="Z772" s="276"/>
      <c r="AA772" s="245"/>
      <c r="AB772" s="276"/>
      <c r="AC772" s="276"/>
      <c r="AD772" s="246"/>
      <c r="AE772" s="278"/>
      <c r="AF772" s="370"/>
      <c r="AG772" s="371"/>
      <c r="AH772" s="276"/>
      <c r="AI772" s="245"/>
      <c r="AJ772" s="287"/>
      <c r="AK772" s="278"/>
      <c r="AL772" s="246"/>
      <c r="AM772" s="245"/>
      <c r="AN772" s="245"/>
      <c r="AO772" s="274"/>
      <c r="AP772" s="245"/>
      <c r="AQ772" s="245"/>
      <c r="AR772" s="246"/>
      <c r="AS772" s="245"/>
      <c r="AT772" s="245"/>
      <c r="AU772" s="245"/>
      <c r="AV772" s="245"/>
      <c r="AW772" s="245"/>
      <c r="AX772" s="246"/>
      <c r="AY772" s="245"/>
      <c r="AZ772" s="245"/>
      <c r="BA772" s="246"/>
      <c r="BB772" s="245"/>
      <c r="BC772" s="245"/>
      <c r="BD772" s="245"/>
      <c r="BE772" s="245"/>
      <c r="BF772" s="245"/>
      <c r="BG772" s="245"/>
      <c r="BH772" s="245"/>
      <c r="BI772" s="245"/>
      <c r="BJ772" s="245"/>
      <c r="BK772" s="245"/>
      <c r="BL772" s="245"/>
      <c r="BM772" s="245"/>
      <c r="BN772" s="245"/>
      <c r="BO772" s="245"/>
      <c r="BP772" s="245"/>
      <c r="BQ772" s="245"/>
      <c r="BR772" s="245"/>
      <c r="BS772" s="245"/>
      <c r="BT772" s="246"/>
      <c r="BU772" s="245"/>
      <c r="BV772" s="245"/>
      <c r="BW772" s="245"/>
      <c r="BX772" s="245"/>
      <c r="BY772" s="245"/>
      <c r="BZ772" s="282"/>
      <c r="CA772" s="245"/>
      <c r="CB772" s="245"/>
      <c r="CC772" s="245"/>
      <c r="CD772" s="245"/>
      <c r="CE772" s="245"/>
      <c r="CF772" s="245"/>
    </row>
    <row r="773">
      <c r="A773" s="305"/>
      <c r="B773" s="245"/>
      <c r="C773" s="245"/>
      <c r="D773" s="246"/>
      <c r="E773" s="245"/>
      <c r="F773" s="245"/>
      <c r="G773" s="245"/>
      <c r="H773" s="245"/>
      <c r="I773" s="245"/>
      <c r="J773" s="245"/>
      <c r="K773" s="265"/>
      <c r="L773" s="245"/>
      <c r="M773" s="245"/>
      <c r="N773" s="245"/>
      <c r="O773" s="245"/>
      <c r="P773" s="245"/>
      <c r="Q773" s="247"/>
      <c r="R773" s="254"/>
      <c r="S773" s="245"/>
      <c r="T773" s="245"/>
      <c r="U773" s="245"/>
      <c r="V773" s="245"/>
      <c r="W773" s="245"/>
      <c r="X773" s="245"/>
      <c r="Y773" s="249"/>
      <c r="Z773" s="276"/>
      <c r="AA773" s="245"/>
      <c r="AB773" s="276"/>
      <c r="AC773" s="276"/>
      <c r="AD773" s="246"/>
      <c r="AE773" s="278"/>
      <c r="AF773" s="370"/>
      <c r="AG773" s="371"/>
      <c r="AH773" s="276"/>
      <c r="AI773" s="245"/>
      <c r="AJ773" s="287"/>
      <c r="AK773" s="278"/>
      <c r="AL773" s="246"/>
      <c r="AM773" s="245"/>
      <c r="AN773" s="245"/>
      <c r="AO773" s="274"/>
      <c r="AP773" s="245"/>
      <c r="AQ773" s="245"/>
      <c r="AR773" s="246"/>
      <c r="AS773" s="245"/>
      <c r="AT773" s="245"/>
      <c r="AU773" s="245"/>
      <c r="AV773" s="245"/>
      <c r="AW773" s="245"/>
      <c r="AX773" s="246"/>
      <c r="AY773" s="245"/>
      <c r="AZ773" s="245"/>
      <c r="BA773" s="246"/>
      <c r="BB773" s="245"/>
      <c r="BC773" s="245"/>
      <c r="BD773" s="245"/>
      <c r="BE773" s="245"/>
      <c r="BF773" s="245"/>
      <c r="BG773" s="245"/>
      <c r="BH773" s="245"/>
      <c r="BI773" s="245"/>
      <c r="BJ773" s="245"/>
      <c r="BK773" s="245"/>
      <c r="BL773" s="245"/>
      <c r="BM773" s="245"/>
      <c r="BN773" s="245"/>
      <c r="BO773" s="245"/>
      <c r="BP773" s="245"/>
      <c r="BQ773" s="245"/>
      <c r="BR773" s="245"/>
      <c r="BS773" s="245"/>
      <c r="BT773" s="246"/>
      <c r="BU773" s="245"/>
      <c r="BV773" s="245"/>
      <c r="BW773" s="245"/>
      <c r="BX773" s="245"/>
      <c r="BY773" s="245"/>
      <c r="BZ773" s="282"/>
      <c r="CA773" s="245"/>
      <c r="CB773" s="245"/>
      <c r="CC773" s="245"/>
      <c r="CD773" s="245"/>
      <c r="CE773" s="245"/>
      <c r="CF773" s="245"/>
    </row>
    <row r="774">
      <c r="A774" s="305"/>
      <c r="B774" s="245"/>
      <c r="C774" s="245"/>
      <c r="D774" s="246"/>
      <c r="E774" s="245"/>
      <c r="F774" s="245"/>
      <c r="G774" s="245"/>
      <c r="H774" s="245"/>
      <c r="I774" s="245"/>
      <c r="J774" s="245"/>
      <c r="K774" s="265"/>
      <c r="L774" s="245"/>
      <c r="M774" s="245"/>
      <c r="N774" s="245"/>
      <c r="O774" s="245"/>
      <c r="P774" s="245"/>
      <c r="Q774" s="247"/>
      <c r="R774" s="254"/>
      <c r="S774" s="245"/>
      <c r="T774" s="245"/>
      <c r="U774" s="245"/>
      <c r="V774" s="245"/>
      <c r="W774" s="245"/>
      <c r="X774" s="245"/>
      <c r="Y774" s="249"/>
      <c r="Z774" s="276"/>
      <c r="AA774" s="245"/>
      <c r="AB774" s="276"/>
      <c r="AC774" s="276"/>
      <c r="AD774" s="246"/>
      <c r="AE774" s="278"/>
      <c r="AF774" s="370"/>
      <c r="AG774" s="371"/>
      <c r="AH774" s="276"/>
      <c r="AI774" s="245"/>
      <c r="AJ774" s="287"/>
      <c r="AK774" s="278"/>
      <c r="AL774" s="246"/>
      <c r="AM774" s="245"/>
      <c r="AN774" s="245"/>
      <c r="AO774" s="274"/>
      <c r="AP774" s="245"/>
      <c r="AQ774" s="245"/>
      <c r="AR774" s="246"/>
      <c r="AS774" s="245"/>
      <c r="AT774" s="245"/>
      <c r="AU774" s="245"/>
      <c r="AV774" s="245"/>
      <c r="AW774" s="245"/>
      <c r="AX774" s="246"/>
      <c r="AY774" s="245"/>
      <c r="AZ774" s="245"/>
      <c r="BA774" s="246"/>
      <c r="BB774" s="245"/>
      <c r="BC774" s="245"/>
      <c r="BD774" s="245"/>
      <c r="BE774" s="245"/>
      <c r="BF774" s="245"/>
      <c r="BG774" s="245"/>
      <c r="BH774" s="245"/>
      <c r="BI774" s="245"/>
      <c r="BJ774" s="245"/>
      <c r="BK774" s="245"/>
      <c r="BL774" s="245"/>
      <c r="BM774" s="245"/>
      <c r="BN774" s="245"/>
      <c r="BO774" s="245"/>
      <c r="BP774" s="245"/>
      <c r="BQ774" s="245"/>
      <c r="BR774" s="245"/>
      <c r="BS774" s="245"/>
      <c r="BT774" s="246"/>
      <c r="BU774" s="245"/>
      <c r="BV774" s="245"/>
      <c r="BW774" s="245"/>
      <c r="BX774" s="245"/>
      <c r="BY774" s="245"/>
      <c r="BZ774" s="282"/>
      <c r="CA774" s="245"/>
      <c r="CB774" s="245"/>
      <c r="CC774" s="245"/>
      <c r="CD774" s="245"/>
      <c r="CE774" s="245"/>
      <c r="CF774" s="245"/>
    </row>
    <row r="775">
      <c r="A775" s="245"/>
      <c r="B775" s="245"/>
      <c r="C775" s="245"/>
      <c r="D775" s="246"/>
      <c r="E775" s="245"/>
      <c r="F775" s="245"/>
      <c r="G775" s="245"/>
      <c r="H775" s="245"/>
      <c r="I775" s="245"/>
      <c r="J775" s="245"/>
      <c r="K775" s="265"/>
      <c r="L775" s="245"/>
      <c r="M775" s="245"/>
      <c r="N775" s="245"/>
      <c r="O775" s="245"/>
      <c r="P775" s="245"/>
      <c r="Q775" s="247"/>
      <c r="R775" s="254"/>
      <c r="S775" s="245"/>
      <c r="T775" s="245"/>
      <c r="U775" s="245"/>
      <c r="V775" s="245"/>
      <c r="W775" s="245"/>
      <c r="X775" s="245"/>
      <c r="Y775" s="249"/>
      <c r="Z775" s="276"/>
      <c r="AA775" s="245"/>
      <c r="AB775" s="276"/>
      <c r="AC775" s="276"/>
      <c r="AD775" s="246"/>
      <c r="AE775" s="278"/>
      <c r="AF775" s="370"/>
      <c r="AG775" s="371"/>
      <c r="AH775" s="276"/>
      <c r="AI775" s="245"/>
      <c r="AJ775" s="287"/>
      <c r="AK775" s="278"/>
      <c r="AL775" s="246"/>
      <c r="AM775" s="245"/>
      <c r="AN775" s="245"/>
      <c r="AO775" s="274"/>
      <c r="AP775" s="245"/>
      <c r="AQ775" s="245"/>
      <c r="AR775" s="246"/>
      <c r="AS775" s="245"/>
      <c r="AT775" s="245"/>
      <c r="AU775" s="245"/>
      <c r="AV775" s="245"/>
      <c r="AW775" s="245"/>
      <c r="AX775" s="246"/>
      <c r="AY775" s="245"/>
      <c r="AZ775" s="245"/>
      <c r="BA775" s="246"/>
      <c r="BB775" s="245"/>
      <c r="BC775" s="245"/>
      <c r="BD775" s="245"/>
      <c r="BE775" s="245"/>
      <c r="BF775" s="245"/>
      <c r="BG775" s="245"/>
      <c r="BH775" s="245"/>
      <c r="BI775" s="245"/>
      <c r="BJ775" s="245"/>
      <c r="BK775" s="245"/>
      <c r="BL775" s="245"/>
      <c r="BM775" s="245"/>
      <c r="BN775" s="245"/>
      <c r="BO775" s="245"/>
      <c r="BP775" s="245"/>
      <c r="BQ775" s="245"/>
      <c r="BR775" s="245"/>
      <c r="BS775" s="245"/>
      <c r="BT775" s="246"/>
      <c r="BU775" s="245"/>
      <c r="BV775" s="245"/>
      <c r="BW775" s="245"/>
      <c r="BX775" s="245"/>
      <c r="BY775" s="245"/>
      <c r="BZ775" s="282"/>
      <c r="CA775" s="245"/>
      <c r="CB775" s="245"/>
      <c r="CC775" s="245"/>
      <c r="CD775" s="245"/>
      <c r="CE775" s="245"/>
      <c r="CF775" s="245"/>
    </row>
    <row r="776">
      <c r="A776" s="245"/>
      <c r="B776" s="245"/>
      <c r="C776" s="245"/>
      <c r="D776" s="246"/>
      <c r="E776" s="245"/>
      <c r="F776" s="245"/>
      <c r="G776" s="245"/>
      <c r="H776" s="245"/>
      <c r="I776" s="245"/>
      <c r="J776" s="245"/>
      <c r="K776" s="265"/>
      <c r="L776" s="245"/>
      <c r="M776" s="245"/>
      <c r="N776" s="245"/>
      <c r="O776" s="245"/>
      <c r="P776" s="245"/>
      <c r="Q776" s="247"/>
      <c r="R776" s="254"/>
      <c r="S776" s="245"/>
      <c r="T776" s="245"/>
      <c r="U776" s="245"/>
      <c r="V776" s="245"/>
      <c r="W776" s="245"/>
      <c r="X776" s="245"/>
      <c r="Y776" s="249"/>
      <c r="Z776" s="276"/>
      <c r="AA776" s="245"/>
      <c r="AB776" s="276"/>
      <c r="AC776" s="276"/>
      <c r="AD776" s="246"/>
      <c r="AE776" s="278"/>
      <c r="AF776" s="370"/>
      <c r="AG776" s="371"/>
      <c r="AH776" s="276"/>
      <c r="AI776" s="245"/>
      <c r="AJ776" s="287"/>
      <c r="AK776" s="278"/>
      <c r="AL776" s="246"/>
      <c r="AM776" s="245"/>
      <c r="AN776" s="245"/>
      <c r="AO776" s="274"/>
      <c r="AP776" s="245"/>
      <c r="AQ776" s="245"/>
      <c r="AR776" s="246"/>
      <c r="AS776" s="245"/>
      <c r="AT776" s="245"/>
      <c r="AU776" s="245"/>
      <c r="AV776" s="245"/>
      <c r="AW776" s="245"/>
      <c r="AX776" s="246"/>
      <c r="AY776" s="245"/>
      <c r="AZ776" s="245"/>
      <c r="BA776" s="246"/>
      <c r="BB776" s="245"/>
      <c r="BC776" s="245"/>
      <c r="BD776" s="245"/>
      <c r="BE776" s="245"/>
      <c r="BF776" s="245"/>
      <c r="BG776" s="245"/>
      <c r="BH776" s="245"/>
      <c r="BI776" s="245"/>
      <c r="BJ776" s="245"/>
      <c r="BK776" s="245"/>
      <c r="BL776" s="245"/>
      <c r="BM776" s="245"/>
      <c r="BN776" s="245"/>
      <c r="BO776" s="245"/>
      <c r="BP776" s="245"/>
      <c r="BQ776" s="245"/>
      <c r="BR776" s="245"/>
      <c r="BS776" s="245"/>
      <c r="BT776" s="246"/>
      <c r="BU776" s="245"/>
      <c r="BV776" s="245"/>
      <c r="BW776" s="245"/>
      <c r="BX776" s="245"/>
      <c r="BY776" s="245"/>
      <c r="BZ776" s="282"/>
      <c r="CA776" s="245"/>
      <c r="CB776" s="245"/>
      <c r="CC776" s="245"/>
      <c r="CD776" s="245"/>
      <c r="CE776" s="245"/>
      <c r="CF776" s="245"/>
    </row>
    <row r="777">
      <c r="A777" s="245"/>
      <c r="B777" s="245"/>
      <c r="C777" s="245"/>
      <c r="D777" s="246"/>
      <c r="E777" s="245"/>
      <c r="F777" s="245"/>
      <c r="G777" s="245"/>
      <c r="H777" s="245"/>
      <c r="I777" s="245"/>
      <c r="J777" s="245"/>
      <c r="K777" s="265"/>
      <c r="L777" s="245"/>
      <c r="M777" s="245"/>
      <c r="N777" s="245"/>
      <c r="O777" s="245"/>
      <c r="P777" s="245"/>
      <c r="Q777" s="247"/>
      <c r="R777" s="254"/>
      <c r="S777" s="245"/>
      <c r="T777" s="245"/>
      <c r="U777" s="245"/>
      <c r="V777" s="245"/>
      <c r="W777" s="245"/>
      <c r="X777" s="245"/>
      <c r="Y777" s="249"/>
      <c r="Z777" s="276"/>
      <c r="AA777" s="245"/>
      <c r="AB777" s="276"/>
      <c r="AC777" s="276"/>
      <c r="AD777" s="246"/>
      <c r="AE777" s="278"/>
      <c r="AF777" s="370"/>
      <c r="AG777" s="371"/>
      <c r="AH777" s="276"/>
      <c r="AI777" s="245"/>
      <c r="AJ777" s="287"/>
      <c r="AK777" s="278"/>
      <c r="AL777" s="246"/>
      <c r="AM777" s="245"/>
      <c r="AN777" s="245"/>
      <c r="AO777" s="274"/>
      <c r="AP777" s="245"/>
      <c r="AQ777" s="245"/>
      <c r="AR777" s="246"/>
      <c r="AS777" s="245"/>
      <c r="AT777" s="245"/>
      <c r="AU777" s="245"/>
      <c r="AV777" s="245"/>
      <c r="AW777" s="245"/>
      <c r="AX777" s="246"/>
      <c r="AY777" s="245"/>
      <c r="AZ777" s="245"/>
      <c r="BA777" s="246"/>
      <c r="BB777" s="245"/>
      <c r="BC777" s="245"/>
      <c r="BD777" s="245"/>
      <c r="BE777" s="245"/>
      <c r="BF777" s="245"/>
      <c r="BG777" s="245"/>
      <c r="BH777" s="245"/>
      <c r="BI777" s="245"/>
      <c r="BJ777" s="245"/>
      <c r="BK777" s="245"/>
      <c r="BL777" s="245"/>
      <c r="BM777" s="245"/>
      <c r="BN777" s="245"/>
      <c r="BO777" s="245"/>
      <c r="BP777" s="245"/>
      <c r="BQ777" s="245"/>
      <c r="BR777" s="245"/>
      <c r="BS777" s="245"/>
      <c r="BT777" s="246"/>
      <c r="BU777" s="245"/>
      <c r="BV777" s="245"/>
      <c r="BW777" s="245"/>
      <c r="BX777" s="245"/>
      <c r="BY777" s="245"/>
      <c r="BZ777" s="282"/>
      <c r="CA777" s="245"/>
      <c r="CB777" s="245"/>
      <c r="CC777" s="245"/>
      <c r="CD777" s="245"/>
      <c r="CE777" s="245"/>
      <c r="CF777" s="245"/>
    </row>
    <row r="778">
      <c r="A778" s="245"/>
      <c r="B778" s="245"/>
      <c r="C778" s="245"/>
      <c r="D778" s="246"/>
      <c r="E778" s="245"/>
      <c r="F778" s="245"/>
      <c r="G778" s="245"/>
      <c r="H778" s="245"/>
      <c r="I778" s="245"/>
      <c r="J778" s="245"/>
      <c r="K778" s="265"/>
      <c r="L778" s="245"/>
      <c r="M778" s="245"/>
      <c r="N778" s="245"/>
      <c r="O778" s="245"/>
      <c r="P778" s="245"/>
      <c r="Q778" s="247"/>
      <c r="R778" s="254"/>
      <c r="S778" s="245"/>
      <c r="T778" s="245"/>
      <c r="U778" s="245"/>
      <c r="V778" s="245"/>
      <c r="W778" s="245"/>
      <c r="X778" s="245"/>
      <c r="Y778" s="249"/>
      <c r="Z778" s="276"/>
      <c r="AA778" s="245"/>
      <c r="AB778" s="276"/>
      <c r="AC778" s="276"/>
      <c r="AD778" s="246"/>
      <c r="AE778" s="278"/>
      <c r="AF778" s="370"/>
      <c r="AG778" s="371"/>
      <c r="AH778" s="276"/>
      <c r="AI778" s="245"/>
      <c r="AJ778" s="287"/>
      <c r="AK778" s="278"/>
      <c r="AL778" s="246"/>
      <c r="AM778" s="245"/>
      <c r="AN778" s="245"/>
      <c r="AO778" s="274"/>
      <c r="AP778" s="245"/>
      <c r="AQ778" s="245"/>
      <c r="AR778" s="246"/>
      <c r="AS778" s="245"/>
      <c r="AT778" s="245"/>
      <c r="AU778" s="245"/>
      <c r="AV778" s="245"/>
      <c r="AW778" s="245"/>
      <c r="AX778" s="246"/>
      <c r="AY778" s="245"/>
      <c r="AZ778" s="245"/>
      <c r="BA778" s="246"/>
      <c r="BB778" s="245"/>
      <c r="BC778" s="245"/>
      <c r="BD778" s="245"/>
      <c r="BE778" s="245"/>
      <c r="BF778" s="245"/>
      <c r="BG778" s="245"/>
      <c r="BH778" s="245"/>
      <c r="BI778" s="245"/>
      <c r="BJ778" s="245"/>
      <c r="BK778" s="245"/>
      <c r="BL778" s="245"/>
      <c r="BM778" s="245"/>
      <c r="BN778" s="245"/>
      <c r="BO778" s="245"/>
      <c r="BP778" s="245"/>
      <c r="BQ778" s="245"/>
      <c r="BR778" s="245"/>
      <c r="BS778" s="245"/>
      <c r="BT778" s="246"/>
      <c r="BU778" s="245"/>
      <c r="BV778" s="245"/>
      <c r="BW778" s="245"/>
      <c r="BX778" s="245"/>
      <c r="BY778" s="245"/>
      <c r="BZ778" s="282"/>
      <c r="CA778" s="245"/>
      <c r="CB778" s="245"/>
      <c r="CC778" s="245"/>
      <c r="CD778" s="245"/>
      <c r="CE778" s="245"/>
      <c r="CF778" s="245"/>
    </row>
    <row r="779">
      <c r="A779" s="245"/>
      <c r="B779" s="245"/>
      <c r="C779" s="245"/>
      <c r="D779" s="246"/>
      <c r="E779" s="245"/>
      <c r="F779" s="245"/>
      <c r="G779" s="245"/>
      <c r="H779" s="245"/>
      <c r="I779" s="245"/>
      <c r="J779" s="245"/>
      <c r="K779" s="265"/>
      <c r="L779" s="245"/>
      <c r="M779" s="245"/>
      <c r="N779" s="245"/>
      <c r="O779" s="245"/>
      <c r="P779" s="245"/>
      <c r="Q779" s="247"/>
      <c r="R779" s="254"/>
      <c r="S779" s="245"/>
      <c r="T779" s="245"/>
      <c r="U779" s="245"/>
      <c r="V779" s="245"/>
      <c r="W779" s="245"/>
      <c r="X779" s="245"/>
      <c r="Y779" s="249"/>
      <c r="Z779" s="276"/>
      <c r="AA779" s="245"/>
      <c r="AB779" s="276"/>
      <c r="AC779" s="276"/>
      <c r="AD779" s="246"/>
      <c r="AE779" s="278"/>
      <c r="AF779" s="370"/>
      <c r="AG779" s="371"/>
      <c r="AH779" s="276"/>
      <c r="AI779" s="245"/>
      <c r="AJ779" s="287"/>
      <c r="AK779" s="278"/>
      <c r="AL779" s="246"/>
      <c r="AM779" s="245"/>
      <c r="AN779" s="245"/>
      <c r="AO779" s="274"/>
      <c r="AP779" s="245"/>
      <c r="AQ779" s="245"/>
      <c r="AR779" s="246"/>
      <c r="AS779" s="245"/>
      <c r="AT779" s="245"/>
      <c r="AU779" s="245"/>
      <c r="AV779" s="245"/>
      <c r="AW779" s="245"/>
      <c r="AX779" s="246"/>
      <c r="AY779" s="245"/>
      <c r="AZ779" s="245"/>
      <c r="BA779" s="246"/>
      <c r="BB779" s="245"/>
      <c r="BC779" s="245"/>
      <c r="BD779" s="245"/>
      <c r="BE779" s="245"/>
      <c r="BF779" s="245"/>
      <c r="BG779" s="245"/>
      <c r="BH779" s="245"/>
      <c r="BI779" s="245"/>
      <c r="BJ779" s="245"/>
      <c r="BK779" s="245"/>
      <c r="BL779" s="245"/>
      <c r="BM779" s="245"/>
      <c r="BN779" s="245"/>
      <c r="BO779" s="245"/>
      <c r="BP779" s="245"/>
      <c r="BQ779" s="245"/>
      <c r="BR779" s="245"/>
      <c r="BS779" s="245"/>
      <c r="BT779" s="246"/>
      <c r="BU779" s="245"/>
      <c r="BV779" s="245"/>
      <c r="BW779" s="245"/>
      <c r="BX779" s="245"/>
      <c r="BY779" s="245"/>
      <c r="BZ779" s="282"/>
      <c r="CA779" s="245"/>
      <c r="CB779" s="245"/>
      <c r="CC779" s="245"/>
      <c r="CD779" s="245"/>
      <c r="CE779" s="245"/>
      <c r="CF779" s="245"/>
    </row>
    <row r="780">
      <c r="A780" s="245"/>
      <c r="B780" s="245"/>
      <c r="C780" s="245"/>
      <c r="D780" s="246"/>
      <c r="E780" s="245"/>
      <c r="F780" s="245"/>
      <c r="G780" s="245"/>
      <c r="H780" s="245"/>
      <c r="I780" s="245"/>
      <c r="J780" s="245"/>
      <c r="K780" s="265"/>
      <c r="L780" s="245"/>
      <c r="M780" s="245"/>
      <c r="N780" s="245"/>
      <c r="O780" s="245"/>
      <c r="P780" s="245"/>
      <c r="Q780" s="247"/>
      <c r="R780" s="254"/>
      <c r="S780" s="245"/>
      <c r="T780" s="245"/>
      <c r="U780" s="245"/>
      <c r="V780" s="245"/>
      <c r="W780" s="245"/>
      <c r="X780" s="245"/>
      <c r="Y780" s="249"/>
      <c r="Z780" s="276"/>
      <c r="AA780" s="245"/>
      <c r="AB780" s="276"/>
      <c r="AC780" s="276"/>
      <c r="AD780" s="246"/>
      <c r="AE780" s="278"/>
      <c r="AF780" s="370"/>
      <c r="AG780" s="371"/>
      <c r="AH780" s="276"/>
      <c r="AI780" s="245"/>
      <c r="AJ780" s="287"/>
      <c r="AK780" s="278"/>
      <c r="AL780" s="246"/>
      <c r="AM780" s="245"/>
      <c r="AN780" s="245"/>
      <c r="AO780" s="274"/>
      <c r="AP780" s="245"/>
      <c r="AQ780" s="245"/>
      <c r="AR780" s="246"/>
      <c r="AS780" s="245"/>
      <c r="AT780" s="245"/>
      <c r="AU780" s="245"/>
      <c r="AV780" s="245"/>
      <c r="AW780" s="245"/>
      <c r="AX780" s="246"/>
      <c r="AY780" s="245"/>
      <c r="AZ780" s="245"/>
      <c r="BA780" s="246"/>
      <c r="BB780" s="245"/>
      <c r="BC780" s="245"/>
      <c r="BD780" s="245"/>
      <c r="BE780" s="245"/>
      <c r="BF780" s="245"/>
      <c r="BG780" s="245"/>
      <c r="BH780" s="245"/>
      <c r="BI780" s="245"/>
      <c r="BJ780" s="245"/>
      <c r="BK780" s="245"/>
      <c r="BL780" s="245"/>
      <c r="BM780" s="245"/>
      <c r="BN780" s="245"/>
      <c r="BO780" s="245"/>
      <c r="BP780" s="245"/>
      <c r="BQ780" s="245"/>
      <c r="BR780" s="245"/>
      <c r="BS780" s="245"/>
      <c r="BT780" s="246"/>
      <c r="BU780" s="245"/>
      <c r="BV780" s="245"/>
      <c r="BW780" s="245"/>
      <c r="BX780" s="245"/>
      <c r="BY780" s="245"/>
      <c r="BZ780" s="282"/>
      <c r="CA780" s="245"/>
      <c r="CB780" s="245"/>
      <c r="CC780" s="245"/>
      <c r="CD780" s="245"/>
      <c r="CE780" s="245"/>
      <c r="CF780" s="245"/>
    </row>
    <row r="781">
      <c r="A781" s="245"/>
      <c r="B781" s="245"/>
      <c r="C781" s="245"/>
      <c r="D781" s="246"/>
      <c r="E781" s="245"/>
      <c r="F781" s="245"/>
      <c r="G781" s="245"/>
      <c r="H781" s="245"/>
      <c r="I781" s="245"/>
      <c r="J781" s="245"/>
      <c r="K781" s="265"/>
      <c r="L781" s="245"/>
      <c r="M781" s="245"/>
      <c r="N781" s="245"/>
      <c r="O781" s="245"/>
      <c r="P781" s="245"/>
      <c r="Q781" s="247"/>
      <c r="R781" s="254"/>
      <c r="S781" s="245"/>
      <c r="T781" s="245"/>
      <c r="U781" s="245"/>
      <c r="V781" s="245"/>
      <c r="W781" s="245"/>
      <c r="X781" s="245"/>
      <c r="Y781" s="249"/>
      <c r="Z781" s="276"/>
      <c r="AA781" s="245"/>
      <c r="AB781" s="276"/>
      <c r="AC781" s="276"/>
      <c r="AD781" s="246"/>
      <c r="AE781" s="278"/>
      <c r="AF781" s="370"/>
      <c r="AG781" s="371"/>
      <c r="AH781" s="276"/>
      <c r="AI781" s="245"/>
      <c r="AJ781" s="287"/>
      <c r="AK781" s="278"/>
      <c r="AL781" s="246"/>
      <c r="AM781" s="245"/>
      <c r="AN781" s="245"/>
      <c r="AO781" s="274"/>
      <c r="AP781" s="245"/>
      <c r="AQ781" s="245"/>
      <c r="AR781" s="246"/>
      <c r="AS781" s="245"/>
      <c r="AT781" s="245"/>
      <c r="AU781" s="245"/>
      <c r="AV781" s="245"/>
      <c r="AW781" s="245"/>
      <c r="AX781" s="246"/>
      <c r="AY781" s="245"/>
      <c r="AZ781" s="245"/>
      <c r="BA781" s="246"/>
      <c r="BB781" s="245"/>
      <c r="BC781" s="245"/>
      <c r="BD781" s="245"/>
      <c r="BE781" s="245"/>
      <c r="BF781" s="245"/>
      <c r="BG781" s="245"/>
      <c r="BH781" s="245"/>
      <c r="BI781" s="245"/>
      <c r="BJ781" s="245"/>
      <c r="BK781" s="245"/>
      <c r="BL781" s="245"/>
      <c r="BM781" s="245"/>
      <c r="BN781" s="245"/>
      <c r="BO781" s="245"/>
      <c r="BP781" s="245"/>
      <c r="BQ781" s="245"/>
      <c r="BR781" s="245"/>
      <c r="BS781" s="245"/>
      <c r="BT781" s="246"/>
      <c r="BU781" s="245"/>
      <c r="BV781" s="245"/>
      <c r="BW781" s="245"/>
      <c r="BX781" s="245"/>
      <c r="BY781" s="245"/>
      <c r="BZ781" s="282"/>
      <c r="CA781" s="245"/>
      <c r="CB781" s="245"/>
      <c r="CC781" s="245"/>
      <c r="CD781" s="245"/>
      <c r="CE781" s="245"/>
      <c r="CF781" s="245"/>
    </row>
    <row r="782">
      <c r="A782" s="245"/>
      <c r="B782" s="245"/>
      <c r="C782" s="245"/>
      <c r="D782" s="246"/>
      <c r="E782" s="245"/>
      <c r="F782" s="245"/>
      <c r="G782" s="245"/>
      <c r="H782" s="245"/>
      <c r="I782" s="245"/>
      <c r="J782" s="245"/>
      <c r="K782" s="265"/>
      <c r="L782" s="245"/>
      <c r="M782" s="245"/>
      <c r="N782" s="245"/>
      <c r="O782" s="245"/>
      <c r="P782" s="245"/>
      <c r="Q782" s="247"/>
      <c r="R782" s="254"/>
      <c r="S782" s="245"/>
      <c r="T782" s="245"/>
      <c r="U782" s="245"/>
      <c r="V782" s="245"/>
      <c r="W782" s="245"/>
      <c r="X782" s="245"/>
      <c r="Y782" s="249"/>
      <c r="Z782" s="276"/>
      <c r="AA782" s="245"/>
      <c r="AB782" s="276"/>
      <c r="AC782" s="276"/>
      <c r="AD782" s="246"/>
      <c r="AE782" s="278"/>
      <c r="AF782" s="370"/>
      <c r="AG782" s="371"/>
      <c r="AH782" s="276"/>
      <c r="AI782" s="245"/>
      <c r="AJ782" s="287"/>
      <c r="AK782" s="278"/>
      <c r="AL782" s="246"/>
      <c r="AM782" s="245"/>
      <c r="AN782" s="245"/>
      <c r="AO782" s="274"/>
      <c r="AP782" s="245"/>
      <c r="AQ782" s="245"/>
      <c r="AR782" s="246"/>
      <c r="AS782" s="245"/>
      <c r="AT782" s="245"/>
      <c r="AU782" s="245"/>
      <c r="AV782" s="245"/>
      <c r="AW782" s="245"/>
      <c r="AX782" s="246"/>
      <c r="AY782" s="245"/>
      <c r="AZ782" s="245"/>
      <c r="BA782" s="246"/>
      <c r="BB782" s="245"/>
      <c r="BC782" s="245"/>
      <c r="BD782" s="245"/>
      <c r="BE782" s="245"/>
      <c r="BF782" s="245"/>
      <c r="BG782" s="245"/>
      <c r="BH782" s="245"/>
      <c r="BI782" s="245"/>
      <c r="BJ782" s="245"/>
      <c r="BK782" s="245"/>
      <c r="BL782" s="245"/>
      <c r="BM782" s="245"/>
      <c r="BN782" s="245"/>
      <c r="BO782" s="245"/>
      <c r="BP782" s="245"/>
      <c r="BQ782" s="245"/>
      <c r="BR782" s="245"/>
      <c r="BS782" s="245"/>
      <c r="BT782" s="246"/>
      <c r="BU782" s="245"/>
      <c r="BV782" s="245"/>
      <c r="BW782" s="245"/>
      <c r="BX782" s="245"/>
      <c r="BY782" s="245"/>
      <c r="BZ782" s="282"/>
      <c r="CA782" s="245"/>
      <c r="CB782" s="245"/>
      <c r="CC782" s="245"/>
      <c r="CD782" s="245"/>
      <c r="CE782" s="245"/>
      <c r="CF782" s="245"/>
    </row>
    <row r="783">
      <c r="A783" s="245"/>
      <c r="B783" s="245"/>
      <c r="C783" s="245"/>
      <c r="D783" s="246"/>
      <c r="E783" s="245"/>
      <c r="F783" s="245"/>
      <c r="G783" s="245"/>
      <c r="H783" s="245"/>
      <c r="I783" s="245"/>
      <c r="J783" s="245"/>
      <c r="K783" s="265"/>
      <c r="L783" s="245"/>
      <c r="M783" s="245"/>
      <c r="N783" s="245"/>
      <c r="O783" s="245"/>
      <c r="P783" s="245"/>
      <c r="Q783" s="247"/>
      <c r="R783" s="254"/>
      <c r="S783" s="245"/>
      <c r="T783" s="245"/>
      <c r="U783" s="245"/>
      <c r="V783" s="245"/>
      <c r="W783" s="245"/>
      <c r="X783" s="245"/>
      <c r="Y783" s="249"/>
      <c r="Z783" s="276"/>
      <c r="AA783" s="245"/>
      <c r="AB783" s="276"/>
      <c r="AC783" s="276"/>
      <c r="AD783" s="246"/>
      <c r="AE783" s="278"/>
      <c r="AF783" s="370"/>
      <c r="AG783" s="371"/>
      <c r="AH783" s="276"/>
      <c r="AI783" s="245"/>
      <c r="AJ783" s="287"/>
      <c r="AK783" s="278"/>
      <c r="AL783" s="246"/>
      <c r="AM783" s="245"/>
      <c r="AN783" s="245"/>
      <c r="AO783" s="274"/>
      <c r="AP783" s="245"/>
      <c r="AQ783" s="245"/>
      <c r="AR783" s="246"/>
      <c r="AS783" s="245"/>
      <c r="AT783" s="245"/>
      <c r="AU783" s="245"/>
      <c r="AV783" s="245"/>
      <c r="AW783" s="245"/>
      <c r="AX783" s="246"/>
      <c r="AY783" s="245"/>
      <c r="AZ783" s="245"/>
      <c r="BA783" s="246"/>
      <c r="BB783" s="245"/>
      <c r="BC783" s="245"/>
      <c r="BD783" s="245"/>
      <c r="BE783" s="245"/>
      <c r="BF783" s="245"/>
      <c r="BG783" s="245"/>
      <c r="BH783" s="245"/>
      <c r="BI783" s="245"/>
      <c r="BJ783" s="245"/>
      <c r="BK783" s="245"/>
      <c r="BL783" s="245"/>
      <c r="BM783" s="245"/>
      <c r="BN783" s="245"/>
      <c r="BO783" s="245"/>
      <c r="BP783" s="245"/>
      <c r="BQ783" s="245"/>
      <c r="BR783" s="245"/>
      <c r="BS783" s="245"/>
      <c r="BT783" s="246"/>
      <c r="BU783" s="245"/>
      <c r="BV783" s="245"/>
      <c r="BW783" s="245"/>
      <c r="BX783" s="245"/>
      <c r="BY783" s="245"/>
      <c r="BZ783" s="282"/>
      <c r="CA783" s="245"/>
      <c r="CB783" s="245"/>
      <c r="CC783" s="245"/>
      <c r="CD783" s="245"/>
      <c r="CE783" s="245"/>
      <c r="CF783" s="245"/>
    </row>
    <row r="784">
      <c r="A784" s="245"/>
      <c r="B784" s="245"/>
      <c r="C784" s="245"/>
      <c r="D784" s="246"/>
      <c r="E784" s="245"/>
      <c r="F784" s="245"/>
      <c r="G784" s="245"/>
      <c r="H784" s="245"/>
      <c r="I784" s="245"/>
      <c r="J784" s="245"/>
      <c r="K784" s="265"/>
      <c r="L784" s="245"/>
      <c r="M784" s="245"/>
      <c r="N784" s="245"/>
      <c r="O784" s="245"/>
      <c r="P784" s="245"/>
      <c r="Q784" s="247"/>
      <c r="R784" s="254"/>
      <c r="S784" s="245"/>
      <c r="T784" s="245"/>
      <c r="U784" s="245"/>
      <c r="V784" s="245"/>
      <c r="W784" s="245"/>
      <c r="X784" s="245"/>
      <c r="Y784" s="249"/>
      <c r="Z784" s="276"/>
      <c r="AA784" s="245"/>
      <c r="AB784" s="276"/>
      <c r="AC784" s="276"/>
      <c r="AD784" s="246"/>
      <c r="AE784" s="278"/>
      <c r="AF784" s="370"/>
      <c r="AG784" s="371"/>
      <c r="AH784" s="276"/>
      <c r="AI784" s="245"/>
      <c r="AJ784" s="287"/>
      <c r="AK784" s="278"/>
      <c r="AL784" s="246"/>
      <c r="AM784" s="245"/>
      <c r="AN784" s="245"/>
      <c r="AO784" s="274"/>
      <c r="AP784" s="245"/>
      <c r="AQ784" s="245"/>
      <c r="AR784" s="246"/>
      <c r="AS784" s="245"/>
      <c r="AT784" s="245"/>
      <c r="AU784" s="245"/>
      <c r="AV784" s="245"/>
      <c r="AW784" s="245"/>
      <c r="AX784" s="246"/>
      <c r="AY784" s="245"/>
      <c r="AZ784" s="245"/>
      <c r="BA784" s="246"/>
      <c r="BB784" s="245"/>
      <c r="BC784" s="245"/>
      <c r="BD784" s="245"/>
      <c r="BE784" s="245"/>
      <c r="BF784" s="245"/>
      <c r="BG784" s="245"/>
      <c r="BH784" s="245"/>
      <c r="BI784" s="245"/>
      <c r="BJ784" s="245"/>
      <c r="BK784" s="245"/>
      <c r="BL784" s="245"/>
      <c r="BM784" s="245"/>
      <c r="BN784" s="245"/>
      <c r="BO784" s="245"/>
      <c r="BP784" s="245"/>
      <c r="BQ784" s="245"/>
      <c r="BR784" s="245"/>
      <c r="BS784" s="245"/>
      <c r="BT784" s="246"/>
      <c r="BU784" s="245"/>
      <c r="BV784" s="245"/>
      <c r="BW784" s="245"/>
      <c r="BX784" s="245"/>
      <c r="BY784" s="245"/>
      <c r="BZ784" s="282"/>
      <c r="CA784" s="245"/>
      <c r="CB784" s="245"/>
      <c r="CC784" s="245"/>
      <c r="CD784" s="245"/>
      <c r="CE784" s="245"/>
      <c r="CF784" s="245"/>
    </row>
    <row r="785">
      <c r="A785" s="245"/>
      <c r="B785" s="245"/>
      <c r="C785" s="245"/>
      <c r="D785" s="246"/>
      <c r="E785" s="245"/>
      <c r="F785" s="245"/>
      <c r="G785" s="245"/>
      <c r="H785" s="245"/>
      <c r="I785" s="245"/>
      <c r="J785" s="245"/>
      <c r="K785" s="265"/>
      <c r="L785" s="245"/>
      <c r="M785" s="245"/>
      <c r="N785" s="245"/>
      <c r="O785" s="245"/>
      <c r="P785" s="245"/>
      <c r="Q785" s="247"/>
      <c r="R785" s="254"/>
      <c r="S785" s="245"/>
      <c r="T785" s="245"/>
      <c r="U785" s="245"/>
      <c r="V785" s="245"/>
      <c r="W785" s="245"/>
      <c r="X785" s="245"/>
      <c r="Y785" s="249"/>
      <c r="Z785" s="276"/>
      <c r="AA785" s="245"/>
      <c r="AB785" s="276"/>
      <c r="AC785" s="276"/>
      <c r="AD785" s="246"/>
      <c r="AE785" s="278"/>
      <c r="AF785" s="370"/>
      <c r="AG785" s="371"/>
      <c r="AH785" s="276"/>
      <c r="AI785" s="245"/>
      <c r="AJ785" s="287"/>
      <c r="AK785" s="278"/>
      <c r="AL785" s="246"/>
      <c r="AM785" s="245"/>
      <c r="AN785" s="245"/>
      <c r="AO785" s="274"/>
      <c r="AP785" s="245"/>
      <c r="AQ785" s="245"/>
      <c r="AR785" s="246"/>
      <c r="AS785" s="245"/>
      <c r="AT785" s="245"/>
      <c r="AU785" s="245"/>
      <c r="AV785" s="245"/>
      <c r="AW785" s="245"/>
      <c r="AX785" s="246"/>
      <c r="AY785" s="245"/>
      <c r="AZ785" s="245"/>
      <c r="BA785" s="246"/>
      <c r="BB785" s="245"/>
      <c r="BC785" s="245"/>
      <c r="BD785" s="245"/>
      <c r="BE785" s="245"/>
      <c r="BF785" s="245"/>
      <c r="BG785" s="245"/>
      <c r="BH785" s="245"/>
      <c r="BI785" s="245"/>
      <c r="BJ785" s="245"/>
      <c r="BK785" s="245"/>
      <c r="BL785" s="245"/>
      <c r="BM785" s="245"/>
      <c r="BN785" s="245"/>
      <c r="BO785" s="245"/>
      <c r="BP785" s="245"/>
      <c r="BQ785" s="245"/>
      <c r="BR785" s="245"/>
      <c r="BS785" s="245"/>
      <c r="BT785" s="246"/>
      <c r="BU785" s="245"/>
      <c r="BV785" s="245"/>
      <c r="BW785" s="245"/>
      <c r="BX785" s="245"/>
      <c r="BY785" s="245"/>
      <c r="BZ785" s="282"/>
      <c r="CA785" s="245"/>
      <c r="CB785" s="245"/>
      <c r="CC785" s="245"/>
      <c r="CD785" s="245"/>
      <c r="CE785" s="245"/>
      <c r="CF785" s="245"/>
    </row>
    <row r="786">
      <c r="A786" s="245"/>
      <c r="B786" s="245"/>
      <c r="C786" s="245"/>
      <c r="D786" s="246"/>
      <c r="E786" s="245"/>
      <c r="F786" s="245"/>
      <c r="G786" s="245"/>
      <c r="H786" s="245"/>
      <c r="I786" s="245"/>
      <c r="J786" s="245"/>
      <c r="K786" s="265"/>
      <c r="L786" s="245"/>
      <c r="M786" s="245"/>
      <c r="N786" s="245"/>
      <c r="O786" s="245"/>
      <c r="P786" s="245"/>
      <c r="Q786" s="247"/>
      <c r="R786" s="254"/>
      <c r="S786" s="245"/>
      <c r="T786" s="245"/>
      <c r="U786" s="245"/>
      <c r="V786" s="245"/>
      <c r="W786" s="245"/>
      <c r="X786" s="245"/>
      <c r="Y786" s="249"/>
      <c r="Z786" s="276"/>
      <c r="AA786" s="245"/>
      <c r="AB786" s="276"/>
      <c r="AC786" s="276"/>
      <c r="AD786" s="246"/>
      <c r="AE786" s="278"/>
      <c r="AF786" s="370"/>
      <c r="AG786" s="371"/>
      <c r="AH786" s="276"/>
      <c r="AI786" s="245"/>
      <c r="AJ786" s="287"/>
      <c r="AK786" s="278"/>
      <c r="AL786" s="246"/>
      <c r="AM786" s="245"/>
      <c r="AN786" s="245"/>
      <c r="AO786" s="274"/>
      <c r="AP786" s="245"/>
      <c r="AQ786" s="245"/>
      <c r="AR786" s="246"/>
      <c r="AS786" s="245"/>
      <c r="AT786" s="245"/>
      <c r="AU786" s="245"/>
      <c r="AV786" s="245"/>
      <c r="AW786" s="245"/>
      <c r="AX786" s="246"/>
      <c r="AY786" s="245"/>
      <c r="AZ786" s="245"/>
      <c r="BA786" s="246"/>
      <c r="BB786" s="245"/>
      <c r="BC786" s="245"/>
      <c r="BD786" s="245"/>
      <c r="BE786" s="245"/>
      <c r="BF786" s="245"/>
      <c r="BG786" s="245"/>
      <c r="BH786" s="245"/>
      <c r="BI786" s="245"/>
      <c r="BJ786" s="245"/>
      <c r="BK786" s="245"/>
      <c r="BL786" s="245"/>
      <c r="BM786" s="245"/>
      <c r="BN786" s="245"/>
      <c r="BO786" s="245"/>
      <c r="BP786" s="245"/>
      <c r="BQ786" s="245"/>
      <c r="BR786" s="245"/>
      <c r="BS786" s="245"/>
      <c r="BT786" s="246"/>
      <c r="BU786" s="245"/>
      <c r="BV786" s="245"/>
      <c r="BW786" s="245"/>
      <c r="BX786" s="245"/>
      <c r="BY786" s="245"/>
      <c r="BZ786" s="282"/>
      <c r="CA786" s="245"/>
      <c r="CB786" s="245"/>
      <c r="CC786" s="245"/>
      <c r="CD786" s="245"/>
      <c r="CE786" s="245"/>
      <c r="CF786" s="245"/>
    </row>
    <row r="787">
      <c r="A787" s="245"/>
      <c r="B787" s="245"/>
      <c r="C787" s="245"/>
      <c r="D787" s="246"/>
      <c r="E787" s="245"/>
      <c r="F787" s="245"/>
      <c r="G787" s="245"/>
      <c r="H787" s="245"/>
      <c r="I787" s="245"/>
      <c r="J787" s="245"/>
      <c r="K787" s="265"/>
      <c r="L787" s="245"/>
      <c r="M787" s="245"/>
      <c r="N787" s="245"/>
      <c r="O787" s="245"/>
      <c r="P787" s="245"/>
      <c r="Q787" s="247"/>
      <c r="R787" s="254"/>
      <c r="S787" s="245"/>
      <c r="T787" s="245"/>
      <c r="U787" s="245"/>
      <c r="V787" s="245"/>
      <c r="W787" s="245"/>
      <c r="X787" s="245"/>
      <c r="Y787" s="249"/>
      <c r="Z787" s="276"/>
      <c r="AA787" s="245"/>
      <c r="AB787" s="276"/>
      <c r="AC787" s="276"/>
      <c r="AD787" s="246"/>
      <c r="AE787" s="278"/>
      <c r="AF787" s="370"/>
      <c r="AG787" s="371"/>
      <c r="AH787" s="276"/>
      <c r="AI787" s="245"/>
      <c r="AJ787" s="287"/>
      <c r="AK787" s="278"/>
      <c r="AL787" s="246"/>
      <c r="AM787" s="245"/>
      <c r="AN787" s="245"/>
      <c r="AO787" s="274"/>
      <c r="AP787" s="245"/>
      <c r="AQ787" s="245"/>
      <c r="AR787" s="246"/>
      <c r="AS787" s="245"/>
      <c r="AT787" s="245"/>
      <c r="AU787" s="245"/>
      <c r="AV787" s="245"/>
      <c r="AW787" s="245"/>
      <c r="AX787" s="246"/>
      <c r="AY787" s="245"/>
      <c r="AZ787" s="245"/>
      <c r="BA787" s="246"/>
      <c r="BB787" s="245"/>
      <c r="BC787" s="245"/>
      <c r="BD787" s="245"/>
      <c r="BE787" s="245"/>
      <c r="BF787" s="245"/>
      <c r="BG787" s="245"/>
      <c r="BH787" s="245"/>
      <c r="BI787" s="245"/>
      <c r="BJ787" s="245"/>
      <c r="BK787" s="245"/>
      <c r="BL787" s="245"/>
      <c r="BM787" s="245"/>
      <c r="BN787" s="245"/>
      <c r="BO787" s="245"/>
      <c r="BP787" s="245"/>
      <c r="BQ787" s="245"/>
      <c r="BR787" s="245"/>
      <c r="BS787" s="245"/>
      <c r="BT787" s="246"/>
      <c r="BU787" s="245"/>
      <c r="BV787" s="245"/>
      <c r="BW787" s="245"/>
      <c r="BX787" s="245"/>
      <c r="BY787" s="245"/>
      <c r="BZ787" s="282"/>
      <c r="CA787" s="245"/>
      <c r="CB787" s="245"/>
      <c r="CC787" s="245"/>
      <c r="CD787" s="245"/>
      <c r="CE787" s="245"/>
      <c r="CF787" s="245"/>
    </row>
    <row r="788">
      <c r="A788" s="245"/>
      <c r="B788" s="245"/>
      <c r="C788" s="245"/>
      <c r="D788" s="246"/>
      <c r="E788" s="245"/>
      <c r="F788" s="245"/>
      <c r="G788" s="245"/>
      <c r="H788" s="245"/>
      <c r="I788" s="245"/>
      <c r="J788" s="245"/>
      <c r="K788" s="265"/>
      <c r="L788" s="245"/>
      <c r="M788" s="245"/>
      <c r="N788" s="245"/>
      <c r="O788" s="245"/>
      <c r="P788" s="245"/>
      <c r="Q788" s="247"/>
      <c r="R788" s="254"/>
      <c r="S788" s="245"/>
      <c r="T788" s="245"/>
      <c r="U788" s="245"/>
      <c r="V788" s="245"/>
      <c r="W788" s="245"/>
      <c r="X788" s="245"/>
      <c r="Y788" s="249"/>
      <c r="Z788" s="276"/>
      <c r="AA788" s="245"/>
      <c r="AB788" s="276"/>
      <c r="AC788" s="276"/>
      <c r="AD788" s="246"/>
      <c r="AE788" s="278"/>
      <c r="AF788" s="370"/>
      <c r="AG788" s="371"/>
      <c r="AH788" s="276"/>
      <c r="AI788" s="245"/>
      <c r="AJ788" s="287"/>
      <c r="AK788" s="278"/>
      <c r="AL788" s="246"/>
      <c r="AM788" s="245"/>
      <c r="AN788" s="245"/>
      <c r="AO788" s="274"/>
      <c r="AP788" s="245"/>
      <c r="AQ788" s="245"/>
      <c r="AR788" s="246"/>
      <c r="AS788" s="245"/>
      <c r="AT788" s="245"/>
      <c r="AU788" s="245"/>
      <c r="AV788" s="245"/>
      <c r="AW788" s="245"/>
      <c r="AX788" s="246"/>
      <c r="AY788" s="245"/>
      <c r="AZ788" s="245"/>
      <c r="BA788" s="246"/>
      <c r="BB788" s="245"/>
      <c r="BC788" s="245"/>
      <c r="BD788" s="245"/>
      <c r="BE788" s="245"/>
      <c r="BF788" s="245"/>
      <c r="BG788" s="245"/>
      <c r="BH788" s="245"/>
      <c r="BI788" s="245"/>
      <c r="BJ788" s="245"/>
      <c r="BK788" s="245"/>
      <c r="BL788" s="245"/>
      <c r="BM788" s="245"/>
      <c r="BN788" s="245"/>
      <c r="BO788" s="245"/>
      <c r="BP788" s="245"/>
      <c r="BQ788" s="245"/>
      <c r="BR788" s="245"/>
      <c r="BS788" s="245"/>
      <c r="BT788" s="246"/>
      <c r="BU788" s="245"/>
      <c r="BV788" s="245"/>
      <c r="BW788" s="245"/>
      <c r="BX788" s="245"/>
      <c r="BY788" s="245"/>
      <c r="BZ788" s="282"/>
      <c r="CA788" s="245"/>
      <c r="CB788" s="245"/>
      <c r="CC788" s="245"/>
      <c r="CD788" s="245"/>
      <c r="CE788" s="245"/>
      <c r="CF788" s="245"/>
    </row>
    <row r="789">
      <c r="A789" s="245"/>
      <c r="B789" s="245"/>
      <c r="C789" s="245"/>
      <c r="D789" s="246"/>
      <c r="E789" s="245"/>
      <c r="F789" s="245"/>
      <c r="G789" s="245"/>
      <c r="H789" s="245"/>
      <c r="I789" s="245"/>
      <c r="J789" s="245"/>
      <c r="K789" s="265"/>
      <c r="L789" s="245"/>
      <c r="M789" s="245"/>
      <c r="N789" s="245"/>
      <c r="O789" s="245"/>
      <c r="P789" s="245"/>
      <c r="Q789" s="247"/>
      <c r="R789" s="254"/>
      <c r="S789" s="245"/>
      <c r="T789" s="245"/>
      <c r="U789" s="245"/>
      <c r="V789" s="245"/>
      <c r="W789" s="245"/>
      <c r="X789" s="245"/>
      <c r="Y789" s="249"/>
      <c r="Z789" s="276"/>
      <c r="AA789" s="245"/>
      <c r="AB789" s="276"/>
      <c r="AC789" s="276"/>
      <c r="AD789" s="246"/>
      <c r="AE789" s="278"/>
      <c r="AF789" s="370"/>
      <c r="AG789" s="371"/>
      <c r="AH789" s="276"/>
      <c r="AI789" s="245"/>
      <c r="AJ789" s="287"/>
      <c r="AK789" s="278"/>
      <c r="AL789" s="246"/>
      <c r="AM789" s="245"/>
      <c r="AN789" s="245"/>
      <c r="AO789" s="274"/>
      <c r="AP789" s="245"/>
      <c r="AQ789" s="245"/>
      <c r="AR789" s="246"/>
      <c r="AS789" s="245"/>
      <c r="AT789" s="245"/>
      <c r="AU789" s="245"/>
      <c r="AV789" s="245"/>
      <c r="AW789" s="245"/>
      <c r="AX789" s="246"/>
      <c r="AY789" s="245"/>
      <c r="AZ789" s="245"/>
      <c r="BA789" s="246"/>
      <c r="BB789" s="245"/>
      <c r="BC789" s="245"/>
      <c r="BD789" s="245"/>
      <c r="BE789" s="245"/>
      <c r="BF789" s="245"/>
      <c r="BG789" s="245"/>
      <c r="BH789" s="245"/>
      <c r="BI789" s="245"/>
      <c r="BJ789" s="245"/>
      <c r="BK789" s="245"/>
      <c r="BL789" s="245"/>
      <c r="BM789" s="245"/>
      <c r="BN789" s="245"/>
      <c r="BO789" s="245"/>
      <c r="BP789" s="245"/>
      <c r="BQ789" s="245"/>
      <c r="BR789" s="245"/>
      <c r="BS789" s="245"/>
      <c r="BT789" s="246"/>
      <c r="BU789" s="245"/>
      <c r="BV789" s="245"/>
      <c r="BW789" s="245"/>
      <c r="BX789" s="245"/>
      <c r="BY789" s="245"/>
      <c r="BZ789" s="282"/>
      <c r="CA789" s="245"/>
      <c r="CB789" s="245"/>
      <c r="CC789" s="245"/>
      <c r="CD789" s="245"/>
      <c r="CE789" s="245"/>
      <c r="CF789" s="245"/>
    </row>
    <row r="790">
      <c r="A790" s="245"/>
      <c r="B790" s="245"/>
      <c r="C790" s="245"/>
      <c r="D790" s="246"/>
      <c r="E790" s="245"/>
      <c r="F790" s="245"/>
      <c r="G790" s="245"/>
      <c r="H790" s="245"/>
      <c r="I790" s="245"/>
      <c r="J790" s="245"/>
      <c r="K790" s="265"/>
      <c r="L790" s="245"/>
      <c r="M790" s="245"/>
      <c r="N790" s="245"/>
      <c r="O790" s="245"/>
      <c r="P790" s="245"/>
      <c r="Q790" s="247"/>
      <c r="R790" s="254"/>
      <c r="S790" s="245"/>
      <c r="T790" s="245"/>
      <c r="U790" s="245"/>
      <c r="V790" s="245"/>
      <c r="W790" s="245"/>
      <c r="X790" s="245"/>
      <c r="Y790" s="249"/>
      <c r="Z790" s="276"/>
      <c r="AA790" s="245"/>
      <c r="AB790" s="276"/>
      <c r="AC790" s="276"/>
      <c r="AD790" s="246"/>
      <c r="AE790" s="278"/>
      <c r="AF790" s="370"/>
      <c r="AG790" s="371"/>
      <c r="AH790" s="276"/>
      <c r="AI790" s="245"/>
      <c r="AJ790" s="287"/>
      <c r="AK790" s="278"/>
      <c r="AL790" s="246"/>
      <c r="AM790" s="245"/>
      <c r="AN790" s="245"/>
      <c r="AO790" s="274"/>
      <c r="AP790" s="245"/>
      <c r="AQ790" s="245"/>
      <c r="AR790" s="246"/>
      <c r="AS790" s="245"/>
      <c r="AT790" s="245"/>
      <c r="AU790" s="245"/>
      <c r="AV790" s="245"/>
      <c r="AW790" s="245"/>
      <c r="AX790" s="246"/>
      <c r="AY790" s="245"/>
      <c r="AZ790" s="245"/>
      <c r="BA790" s="246"/>
      <c r="BB790" s="245"/>
      <c r="BC790" s="245"/>
      <c r="BD790" s="245"/>
      <c r="BE790" s="245"/>
      <c r="BF790" s="245"/>
      <c r="BG790" s="245"/>
      <c r="BH790" s="245"/>
      <c r="BI790" s="245"/>
      <c r="BJ790" s="245"/>
      <c r="BK790" s="245"/>
      <c r="BL790" s="245"/>
      <c r="BM790" s="245"/>
      <c r="BN790" s="245"/>
      <c r="BO790" s="245"/>
      <c r="BP790" s="245"/>
      <c r="BQ790" s="245"/>
      <c r="BR790" s="245"/>
      <c r="BS790" s="245"/>
      <c r="BT790" s="246"/>
      <c r="BU790" s="245"/>
      <c r="BV790" s="245"/>
      <c r="BW790" s="245"/>
      <c r="BX790" s="245"/>
      <c r="BY790" s="245"/>
      <c r="BZ790" s="282"/>
      <c r="CA790" s="245"/>
      <c r="CB790" s="245"/>
      <c r="CC790" s="245"/>
      <c r="CD790" s="245"/>
      <c r="CE790" s="245"/>
      <c r="CF790" s="245"/>
    </row>
    <row r="791">
      <c r="A791" s="245"/>
      <c r="B791" s="245"/>
      <c r="C791" s="245"/>
      <c r="D791" s="246"/>
      <c r="E791" s="245"/>
      <c r="F791" s="245"/>
      <c r="G791" s="245"/>
      <c r="H791" s="245"/>
      <c r="I791" s="245"/>
      <c r="J791" s="245"/>
      <c r="K791" s="265"/>
      <c r="L791" s="245"/>
      <c r="M791" s="245"/>
      <c r="N791" s="245"/>
      <c r="O791" s="245"/>
      <c r="P791" s="245"/>
      <c r="Q791" s="247"/>
      <c r="R791" s="254"/>
      <c r="S791" s="245"/>
      <c r="T791" s="245"/>
      <c r="U791" s="245"/>
      <c r="V791" s="245"/>
      <c r="W791" s="245"/>
      <c r="X791" s="245"/>
      <c r="Y791" s="249"/>
      <c r="Z791" s="276"/>
      <c r="AA791" s="245"/>
      <c r="AB791" s="276"/>
      <c r="AC791" s="276"/>
      <c r="AD791" s="246"/>
      <c r="AE791" s="278"/>
      <c r="AF791" s="370"/>
      <c r="AG791" s="371"/>
      <c r="AH791" s="276"/>
      <c r="AI791" s="245"/>
      <c r="AJ791" s="287"/>
      <c r="AK791" s="278"/>
      <c r="AL791" s="246"/>
      <c r="AM791" s="245"/>
      <c r="AN791" s="245"/>
      <c r="AO791" s="274"/>
      <c r="AP791" s="245"/>
      <c r="AQ791" s="245"/>
      <c r="AR791" s="246"/>
      <c r="AS791" s="245"/>
      <c r="AT791" s="245"/>
      <c r="AU791" s="245"/>
      <c r="AV791" s="245"/>
      <c r="AW791" s="245"/>
      <c r="AX791" s="246"/>
      <c r="AY791" s="245"/>
      <c r="AZ791" s="245"/>
      <c r="BA791" s="246"/>
      <c r="BB791" s="245"/>
      <c r="BC791" s="245"/>
      <c r="BD791" s="245"/>
      <c r="BE791" s="245"/>
      <c r="BF791" s="245"/>
      <c r="BG791" s="245"/>
      <c r="BH791" s="245"/>
      <c r="BI791" s="245"/>
      <c r="BJ791" s="245"/>
      <c r="BK791" s="245"/>
      <c r="BL791" s="245"/>
      <c r="BM791" s="245"/>
      <c r="BN791" s="245"/>
      <c r="BO791" s="245"/>
      <c r="BP791" s="245"/>
      <c r="BQ791" s="245"/>
      <c r="BR791" s="245"/>
      <c r="BS791" s="245"/>
      <c r="BT791" s="246"/>
      <c r="BU791" s="245"/>
      <c r="BV791" s="245"/>
      <c r="BW791" s="245"/>
      <c r="BX791" s="245"/>
      <c r="BY791" s="245"/>
      <c r="BZ791" s="282"/>
      <c r="CA791" s="245"/>
      <c r="CB791" s="245"/>
      <c r="CC791" s="245"/>
      <c r="CD791" s="245"/>
      <c r="CE791" s="245"/>
      <c r="CF791" s="245"/>
    </row>
    <row r="792">
      <c r="A792" s="245"/>
      <c r="B792" s="245"/>
      <c r="C792" s="245"/>
      <c r="D792" s="246"/>
      <c r="E792" s="245"/>
      <c r="F792" s="245"/>
      <c r="G792" s="245"/>
      <c r="H792" s="245"/>
      <c r="I792" s="245"/>
      <c r="J792" s="245"/>
      <c r="K792" s="265"/>
      <c r="L792" s="245"/>
      <c r="M792" s="245"/>
      <c r="N792" s="245"/>
      <c r="O792" s="245"/>
      <c r="P792" s="245"/>
      <c r="Q792" s="247"/>
      <c r="R792" s="254"/>
      <c r="S792" s="245"/>
      <c r="T792" s="245"/>
      <c r="U792" s="245"/>
      <c r="V792" s="245"/>
      <c r="W792" s="245"/>
      <c r="X792" s="245"/>
      <c r="Y792" s="249"/>
      <c r="Z792" s="276"/>
      <c r="AA792" s="245"/>
      <c r="AB792" s="276"/>
      <c r="AC792" s="276"/>
      <c r="AD792" s="246"/>
      <c r="AE792" s="278"/>
      <c r="AF792" s="370"/>
      <c r="AG792" s="371"/>
      <c r="AH792" s="276"/>
      <c r="AI792" s="245"/>
      <c r="AJ792" s="287"/>
      <c r="AK792" s="278"/>
      <c r="AL792" s="246"/>
      <c r="AM792" s="245"/>
      <c r="AN792" s="245"/>
      <c r="AO792" s="274"/>
      <c r="AP792" s="245"/>
      <c r="AQ792" s="245"/>
      <c r="AR792" s="246"/>
      <c r="AS792" s="245"/>
      <c r="AT792" s="245"/>
      <c r="AU792" s="245"/>
      <c r="AV792" s="245"/>
      <c r="AW792" s="245"/>
      <c r="AX792" s="246"/>
      <c r="AY792" s="245"/>
      <c r="AZ792" s="245"/>
      <c r="BA792" s="246"/>
      <c r="BB792" s="245"/>
      <c r="BC792" s="245"/>
      <c r="BD792" s="245"/>
      <c r="BE792" s="245"/>
      <c r="BF792" s="245"/>
      <c r="BG792" s="245"/>
      <c r="BH792" s="245"/>
      <c r="BI792" s="245"/>
      <c r="BJ792" s="245"/>
      <c r="BK792" s="245"/>
      <c r="BL792" s="245"/>
      <c r="BM792" s="245"/>
      <c r="BN792" s="245"/>
      <c r="BO792" s="245"/>
      <c r="BP792" s="245"/>
      <c r="BQ792" s="245"/>
      <c r="BR792" s="245"/>
      <c r="BS792" s="245"/>
      <c r="BT792" s="246"/>
      <c r="BU792" s="245"/>
      <c r="BV792" s="245"/>
      <c r="BW792" s="245"/>
      <c r="BX792" s="245"/>
      <c r="BY792" s="245"/>
      <c r="BZ792" s="282"/>
      <c r="CA792" s="245"/>
      <c r="CB792" s="245"/>
      <c r="CC792" s="245"/>
      <c r="CD792" s="245"/>
      <c r="CE792" s="245"/>
      <c r="CF792" s="245"/>
    </row>
    <row r="793">
      <c r="A793" s="245"/>
      <c r="B793" s="245"/>
      <c r="C793" s="245"/>
      <c r="D793" s="246"/>
      <c r="E793" s="245"/>
      <c r="F793" s="245"/>
      <c r="G793" s="245"/>
      <c r="H793" s="245"/>
      <c r="I793" s="245"/>
      <c r="J793" s="245"/>
      <c r="K793" s="265"/>
      <c r="L793" s="245"/>
      <c r="M793" s="245"/>
      <c r="N793" s="245"/>
      <c r="O793" s="245"/>
      <c r="P793" s="245"/>
      <c r="Q793" s="247"/>
      <c r="R793" s="254"/>
      <c r="S793" s="245"/>
      <c r="T793" s="245"/>
      <c r="U793" s="245"/>
      <c r="V793" s="245"/>
      <c r="W793" s="245"/>
      <c r="X793" s="245"/>
      <c r="Y793" s="249"/>
      <c r="Z793" s="276"/>
      <c r="AA793" s="245"/>
      <c r="AB793" s="276"/>
      <c r="AC793" s="276"/>
      <c r="AD793" s="246"/>
      <c r="AE793" s="278"/>
      <c r="AF793" s="370"/>
      <c r="AG793" s="371"/>
      <c r="AH793" s="276"/>
      <c r="AI793" s="245"/>
      <c r="AJ793" s="287"/>
      <c r="AK793" s="278"/>
      <c r="AL793" s="246"/>
      <c r="AM793" s="245"/>
      <c r="AN793" s="245"/>
      <c r="AO793" s="274"/>
      <c r="AP793" s="245"/>
      <c r="AQ793" s="245"/>
      <c r="AR793" s="246"/>
      <c r="AS793" s="245"/>
      <c r="AT793" s="245"/>
      <c r="AU793" s="245"/>
      <c r="AV793" s="245"/>
      <c r="AW793" s="245"/>
      <c r="AX793" s="246"/>
      <c r="AY793" s="245"/>
      <c r="AZ793" s="245"/>
      <c r="BA793" s="246"/>
      <c r="BB793" s="245"/>
      <c r="BC793" s="245"/>
      <c r="BD793" s="245"/>
      <c r="BE793" s="245"/>
      <c r="BF793" s="245"/>
      <c r="BG793" s="245"/>
      <c r="BH793" s="245"/>
      <c r="BI793" s="245"/>
      <c r="BJ793" s="245"/>
      <c r="BK793" s="245"/>
      <c r="BL793" s="245"/>
      <c r="BM793" s="245"/>
      <c r="BN793" s="245"/>
      <c r="BO793" s="245"/>
      <c r="BP793" s="245"/>
      <c r="BQ793" s="245"/>
      <c r="BR793" s="245"/>
      <c r="BS793" s="245"/>
      <c r="BT793" s="246"/>
      <c r="BU793" s="245"/>
      <c r="BV793" s="245"/>
      <c r="BW793" s="245"/>
      <c r="BX793" s="245"/>
      <c r="BY793" s="245"/>
      <c r="BZ793" s="282"/>
      <c r="CA793" s="245"/>
      <c r="CB793" s="245"/>
      <c r="CC793" s="245"/>
      <c r="CD793" s="245"/>
      <c r="CE793" s="245"/>
      <c r="CF793" s="245"/>
    </row>
    <row r="794">
      <c r="A794" s="245"/>
      <c r="B794" s="245"/>
      <c r="C794" s="245"/>
      <c r="D794" s="246"/>
      <c r="E794" s="245"/>
      <c r="F794" s="245"/>
      <c r="G794" s="245"/>
      <c r="H794" s="245"/>
      <c r="I794" s="245"/>
      <c r="J794" s="245"/>
      <c r="K794" s="265"/>
      <c r="L794" s="245"/>
      <c r="M794" s="245"/>
      <c r="N794" s="245"/>
      <c r="O794" s="245"/>
      <c r="P794" s="245"/>
      <c r="Q794" s="247"/>
      <c r="R794" s="254"/>
      <c r="S794" s="245"/>
      <c r="T794" s="245"/>
      <c r="U794" s="245"/>
      <c r="V794" s="245"/>
      <c r="W794" s="245"/>
      <c r="X794" s="245"/>
      <c r="Y794" s="249"/>
      <c r="Z794" s="276"/>
      <c r="AA794" s="245"/>
      <c r="AB794" s="276"/>
      <c r="AC794" s="276"/>
      <c r="AD794" s="246"/>
      <c r="AE794" s="278"/>
      <c r="AF794" s="370"/>
      <c r="AG794" s="371"/>
      <c r="AH794" s="276"/>
      <c r="AI794" s="245"/>
      <c r="AJ794" s="287"/>
      <c r="AK794" s="278"/>
      <c r="AL794" s="246"/>
      <c r="AM794" s="245"/>
      <c r="AN794" s="245"/>
      <c r="AO794" s="274"/>
      <c r="AP794" s="245"/>
      <c r="AQ794" s="245"/>
      <c r="AR794" s="246"/>
      <c r="AS794" s="245"/>
      <c r="AT794" s="245"/>
      <c r="AU794" s="245"/>
      <c r="AV794" s="245"/>
      <c r="AW794" s="245"/>
      <c r="AX794" s="246"/>
      <c r="AY794" s="245"/>
      <c r="AZ794" s="245"/>
      <c r="BA794" s="246"/>
      <c r="BB794" s="245"/>
      <c r="BC794" s="245"/>
      <c r="BD794" s="245"/>
      <c r="BE794" s="245"/>
      <c r="BF794" s="245"/>
      <c r="BG794" s="245"/>
      <c r="BH794" s="245"/>
      <c r="BI794" s="245"/>
      <c r="BJ794" s="245"/>
      <c r="BK794" s="245"/>
      <c r="BL794" s="245"/>
      <c r="BM794" s="245"/>
      <c r="BN794" s="245"/>
      <c r="BO794" s="245"/>
      <c r="BP794" s="245"/>
      <c r="BQ794" s="245"/>
      <c r="BR794" s="245"/>
      <c r="BS794" s="245"/>
      <c r="BT794" s="246"/>
      <c r="BU794" s="245"/>
      <c r="BV794" s="245"/>
      <c r="BW794" s="245"/>
      <c r="BX794" s="245"/>
      <c r="BY794" s="245"/>
      <c r="BZ794" s="282"/>
      <c r="CA794" s="245"/>
      <c r="CB794" s="245"/>
      <c r="CC794" s="245"/>
      <c r="CD794" s="245"/>
      <c r="CE794" s="245"/>
      <c r="CF794" s="245"/>
    </row>
    <row r="795">
      <c r="A795" s="245"/>
      <c r="B795" s="245"/>
      <c r="C795" s="245"/>
      <c r="D795" s="246"/>
      <c r="E795" s="245"/>
      <c r="F795" s="245"/>
      <c r="G795" s="245"/>
      <c r="H795" s="245"/>
      <c r="I795" s="245"/>
      <c r="J795" s="245"/>
      <c r="K795" s="265"/>
      <c r="L795" s="245"/>
      <c r="M795" s="245"/>
      <c r="N795" s="245"/>
      <c r="O795" s="245"/>
      <c r="P795" s="245"/>
      <c r="Q795" s="247"/>
      <c r="R795" s="254"/>
      <c r="S795" s="245"/>
      <c r="T795" s="245"/>
      <c r="U795" s="245"/>
      <c r="V795" s="245"/>
      <c r="W795" s="245"/>
      <c r="X795" s="245"/>
      <c r="Y795" s="249"/>
      <c r="Z795" s="276"/>
      <c r="AA795" s="245"/>
      <c r="AB795" s="276"/>
      <c r="AC795" s="276"/>
      <c r="AD795" s="246"/>
      <c r="AE795" s="278"/>
      <c r="AF795" s="370"/>
      <c r="AG795" s="371"/>
      <c r="AH795" s="276"/>
      <c r="AI795" s="245"/>
      <c r="AJ795" s="287"/>
      <c r="AK795" s="278"/>
      <c r="AL795" s="246"/>
      <c r="AM795" s="245"/>
      <c r="AN795" s="245"/>
      <c r="AO795" s="274"/>
      <c r="AP795" s="245"/>
      <c r="AQ795" s="245"/>
      <c r="AR795" s="246"/>
      <c r="AS795" s="245"/>
      <c r="AT795" s="245"/>
      <c r="AU795" s="245"/>
      <c r="AV795" s="245"/>
      <c r="AW795" s="245"/>
      <c r="AX795" s="246"/>
      <c r="AY795" s="245"/>
      <c r="AZ795" s="245"/>
      <c r="BA795" s="246"/>
      <c r="BB795" s="245"/>
      <c r="BC795" s="245"/>
      <c r="BD795" s="245"/>
      <c r="BE795" s="245"/>
      <c r="BF795" s="245"/>
      <c r="BG795" s="245"/>
      <c r="BH795" s="245"/>
      <c r="BI795" s="245"/>
      <c r="BJ795" s="245"/>
      <c r="BK795" s="245"/>
      <c r="BL795" s="245"/>
      <c r="BM795" s="245"/>
      <c r="BN795" s="245"/>
      <c r="BO795" s="245"/>
      <c r="BP795" s="245"/>
      <c r="BQ795" s="245"/>
      <c r="BR795" s="245"/>
      <c r="BS795" s="245"/>
      <c r="BT795" s="246"/>
      <c r="BU795" s="245"/>
      <c r="BV795" s="245"/>
      <c r="BW795" s="245"/>
      <c r="BX795" s="245"/>
      <c r="BY795" s="245"/>
      <c r="BZ795" s="282"/>
      <c r="CA795" s="245"/>
      <c r="CB795" s="245"/>
      <c r="CC795" s="245"/>
      <c r="CD795" s="245"/>
      <c r="CE795" s="245"/>
      <c r="CF795" s="245"/>
    </row>
    <row r="796">
      <c r="A796" s="245"/>
      <c r="B796" s="245"/>
      <c r="C796" s="245"/>
      <c r="D796" s="246"/>
      <c r="E796" s="245"/>
      <c r="F796" s="245"/>
      <c r="G796" s="245"/>
      <c r="H796" s="245"/>
      <c r="I796" s="245"/>
      <c r="J796" s="245"/>
      <c r="K796" s="265"/>
      <c r="L796" s="245"/>
      <c r="M796" s="245"/>
      <c r="N796" s="245"/>
      <c r="O796" s="245"/>
      <c r="P796" s="245"/>
      <c r="Q796" s="247"/>
      <c r="R796" s="254"/>
      <c r="S796" s="245"/>
      <c r="T796" s="245"/>
      <c r="U796" s="245"/>
      <c r="V796" s="245"/>
      <c r="W796" s="245"/>
      <c r="X796" s="245"/>
      <c r="Y796" s="249"/>
      <c r="Z796" s="276"/>
      <c r="AA796" s="245"/>
      <c r="AB796" s="276"/>
      <c r="AC796" s="276"/>
      <c r="AD796" s="246"/>
      <c r="AE796" s="278"/>
      <c r="AF796" s="370"/>
      <c r="AG796" s="371"/>
      <c r="AH796" s="276"/>
      <c r="AI796" s="245"/>
      <c r="AJ796" s="287"/>
      <c r="AK796" s="278"/>
      <c r="AL796" s="246"/>
      <c r="AM796" s="245"/>
      <c r="AN796" s="245"/>
      <c r="AO796" s="274"/>
      <c r="AP796" s="245"/>
      <c r="AQ796" s="245"/>
      <c r="AR796" s="246"/>
      <c r="AS796" s="245"/>
      <c r="AT796" s="245"/>
      <c r="AU796" s="245"/>
      <c r="AV796" s="245"/>
      <c r="AW796" s="245"/>
      <c r="AX796" s="246"/>
      <c r="AY796" s="245"/>
      <c r="AZ796" s="245"/>
      <c r="BA796" s="246"/>
      <c r="BB796" s="245"/>
      <c r="BC796" s="245"/>
      <c r="BD796" s="245"/>
      <c r="BE796" s="245"/>
      <c r="BF796" s="245"/>
      <c r="BG796" s="245"/>
      <c r="BH796" s="245"/>
      <c r="BI796" s="245"/>
      <c r="BJ796" s="245"/>
      <c r="BK796" s="245"/>
      <c r="BL796" s="245"/>
      <c r="BM796" s="245"/>
      <c r="BN796" s="245"/>
      <c r="BO796" s="245"/>
      <c r="BP796" s="245"/>
      <c r="BQ796" s="245"/>
      <c r="BR796" s="245"/>
      <c r="BS796" s="245"/>
      <c r="BT796" s="246"/>
      <c r="BU796" s="245"/>
      <c r="BV796" s="245"/>
      <c r="BW796" s="245"/>
      <c r="BX796" s="245"/>
      <c r="BY796" s="245"/>
      <c r="BZ796" s="282"/>
      <c r="CA796" s="245"/>
      <c r="CB796" s="245"/>
      <c r="CC796" s="245"/>
      <c r="CD796" s="245"/>
      <c r="CE796" s="245"/>
      <c r="CF796" s="245"/>
    </row>
    <row r="797">
      <c r="A797" s="245"/>
      <c r="B797" s="245"/>
      <c r="C797" s="245"/>
      <c r="D797" s="246"/>
      <c r="E797" s="245"/>
      <c r="F797" s="245"/>
      <c r="G797" s="245"/>
      <c r="H797" s="245"/>
      <c r="I797" s="245"/>
      <c r="J797" s="245"/>
      <c r="K797" s="265"/>
      <c r="L797" s="245"/>
      <c r="M797" s="245"/>
      <c r="N797" s="245"/>
      <c r="O797" s="245"/>
      <c r="P797" s="245"/>
      <c r="Q797" s="247"/>
      <c r="R797" s="254"/>
      <c r="S797" s="245"/>
      <c r="T797" s="245"/>
      <c r="U797" s="245"/>
      <c r="V797" s="245"/>
      <c r="W797" s="245"/>
      <c r="X797" s="245"/>
      <c r="Y797" s="249"/>
      <c r="Z797" s="276"/>
      <c r="AA797" s="245"/>
      <c r="AB797" s="276"/>
      <c r="AC797" s="276"/>
      <c r="AD797" s="246"/>
      <c r="AE797" s="278"/>
      <c r="AF797" s="370"/>
      <c r="AG797" s="371"/>
      <c r="AH797" s="276"/>
      <c r="AI797" s="245"/>
      <c r="AJ797" s="287"/>
      <c r="AK797" s="278"/>
      <c r="AL797" s="246"/>
      <c r="AM797" s="245"/>
      <c r="AN797" s="245"/>
      <c r="AO797" s="274"/>
      <c r="AP797" s="245"/>
      <c r="AQ797" s="245"/>
      <c r="AR797" s="246"/>
      <c r="AS797" s="245"/>
      <c r="AT797" s="245"/>
      <c r="AU797" s="245"/>
      <c r="AV797" s="245"/>
      <c r="AW797" s="245"/>
      <c r="AX797" s="246"/>
      <c r="AY797" s="245"/>
      <c r="AZ797" s="245"/>
      <c r="BA797" s="246"/>
      <c r="BB797" s="245"/>
      <c r="BC797" s="245"/>
      <c r="BD797" s="245"/>
      <c r="BE797" s="245"/>
      <c r="BF797" s="245"/>
      <c r="BG797" s="245"/>
      <c r="BH797" s="245"/>
      <c r="BI797" s="245"/>
      <c r="BJ797" s="245"/>
      <c r="BK797" s="245"/>
      <c r="BL797" s="245"/>
      <c r="BM797" s="245"/>
      <c r="BN797" s="245"/>
      <c r="BO797" s="245"/>
      <c r="BP797" s="245"/>
      <c r="BQ797" s="245"/>
      <c r="BR797" s="245"/>
      <c r="BS797" s="245"/>
      <c r="BT797" s="246"/>
      <c r="BU797" s="245"/>
      <c r="BV797" s="245"/>
      <c r="BW797" s="245"/>
      <c r="BX797" s="245"/>
      <c r="BY797" s="245"/>
      <c r="BZ797" s="282"/>
      <c r="CA797" s="245"/>
      <c r="CB797" s="245"/>
      <c r="CC797" s="245"/>
      <c r="CD797" s="245"/>
      <c r="CE797" s="245"/>
      <c r="CF797" s="245"/>
    </row>
    <row r="798">
      <c r="A798" s="245"/>
      <c r="B798" s="245"/>
      <c r="C798" s="245"/>
      <c r="D798" s="246"/>
      <c r="E798" s="245"/>
      <c r="F798" s="245"/>
      <c r="G798" s="245"/>
      <c r="H798" s="245"/>
      <c r="I798" s="245"/>
      <c r="J798" s="245"/>
      <c r="K798" s="265"/>
      <c r="L798" s="245"/>
      <c r="M798" s="245"/>
      <c r="N798" s="245"/>
      <c r="O798" s="245"/>
      <c r="P798" s="245"/>
      <c r="Q798" s="247"/>
      <c r="R798" s="254"/>
      <c r="S798" s="245"/>
      <c r="T798" s="245"/>
      <c r="U798" s="245"/>
      <c r="V798" s="245"/>
      <c r="W798" s="245"/>
      <c r="X798" s="245"/>
      <c r="Y798" s="249"/>
      <c r="Z798" s="276"/>
      <c r="AA798" s="245"/>
      <c r="AB798" s="276"/>
      <c r="AC798" s="276"/>
      <c r="AD798" s="246"/>
      <c r="AE798" s="278"/>
      <c r="AF798" s="370"/>
      <c r="AG798" s="371"/>
      <c r="AH798" s="276"/>
      <c r="AI798" s="245"/>
      <c r="AJ798" s="287"/>
      <c r="AK798" s="278"/>
      <c r="AL798" s="246"/>
      <c r="AM798" s="245"/>
      <c r="AN798" s="245"/>
      <c r="AO798" s="274"/>
      <c r="AP798" s="245"/>
      <c r="AQ798" s="245"/>
      <c r="AR798" s="246"/>
      <c r="AS798" s="245"/>
      <c r="AT798" s="245"/>
      <c r="AU798" s="245"/>
      <c r="AV798" s="245"/>
      <c r="AW798" s="245"/>
      <c r="AX798" s="246"/>
      <c r="AY798" s="245"/>
      <c r="AZ798" s="245"/>
      <c r="BA798" s="246"/>
      <c r="BB798" s="245"/>
      <c r="BC798" s="245"/>
      <c r="BD798" s="245"/>
      <c r="BE798" s="245"/>
      <c r="BF798" s="245"/>
      <c r="BG798" s="245"/>
      <c r="BH798" s="245"/>
      <c r="BI798" s="245"/>
      <c r="BJ798" s="245"/>
      <c r="BK798" s="245"/>
      <c r="BL798" s="245"/>
      <c r="BM798" s="245"/>
      <c r="BN798" s="245"/>
      <c r="BO798" s="245"/>
      <c r="BP798" s="245"/>
      <c r="BQ798" s="245"/>
      <c r="BR798" s="245"/>
      <c r="BS798" s="245"/>
      <c r="BT798" s="246"/>
      <c r="BU798" s="245"/>
      <c r="BV798" s="245"/>
      <c r="BW798" s="245"/>
      <c r="BX798" s="245"/>
      <c r="BY798" s="245"/>
      <c r="BZ798" s="282"/>
      <c r="CA798" s="245"/>
      <c r="CB798" s="245"/>
      <c r="CC798" s="245"/>
      <c r="CD798" s="245"/>
      <c r="CE798" s="245"/>
      <c r="CF798" s="245"/>
    </row>
    <row r="799">
      <c r="A799" s="245"/>
      <c r="B799" s="245"/>
      <c r="C799" s="245"/>
      <c r="D799" s="246"/>
      <c r="E799" s="245"/>
      <c r="F799" s="245"/>
      <c r="G799" s="245"/>
      <c r="H799" s="245"/>
      <c r="I799" s="245"/>
      <c r="J799" s="245"/>
      <c r="K799" s="265"/>
      <c r="L799" s="245"/>
      <c r="M799" s="245"/>
      <c r="N799" s="245"/>
      <c r="O799" s="245"/>
      <c r="P799" s="245"/>
      <c r="Q799" s="247"/>
      <c r="R799" s="254"/>
      <c r="S799" s="245"/>
      <c r="T799" s="245"/>
      <c r="U799" s="245"/>
      <c r="V799" s="245"/>
      <c r="W799" s="245"/>
      <c r="X799" s="245"/>
      <c r="Y799" s="249"/>
      <c r="Z799" s="276"/>
      <c r="AA799" s="245"/>
      <c r="AB799" s="276"/>
      <c r="AC799" s="276"/>
      <c r="AD799" s="246"/>
      <c r="AE799" s="278"/>
      <c r="AF799" s="370"/>
      <c r="AG799" s="371"/>
      <c r="AH799" s="276"/>
      <c r="AI799" s="245"/>
      <c r="AJ799" s="287"/>
      <c r="AK799" s="278"/>
      <c r="AL799" s="246"/>
      <c r="AM799" s="245"/>
      <c r="AN799" s="245"/>
      <c r="AO799" s="274"/>
      <c r="AP799" s="245"/>
      <c r="AQ799" s="245"/>
      <c r="AR799" s="246"/>
      <c r="AS799" s="245"/>
      <c r="AT799" s="245"/>
      <c r="AU799" s="245"/>
      <c r="AV799" s="245"/>
      <c r="AW799" s="245"/>
      <c r="AX799" s="246"/>
      <c r="AY799" s="245"/>
      <c r="AZ799" s="245"/>
      <c r="BA799" s="246"/>
      <c r="BB799" s="245"/>
      <c r="BC799" s="245"/>
      <c r="BD799" s="245"/>
      <c r="BE799" s="245"/>
      <c r="BF799" s="245"/>
      <c r="BG799" s="245"/>
      <c r="BH799" s="245"/>
      <c r="BI799" s="245"/>
      <c r="BJ799" s="245"/>
      <c r="BK799" s="245"/>
      <c r="BL799" s="245"/>
      <c r="BM799" s="245"/>
      <c r="BN799" s="245"/>
      <c r="BO799" s="245"/>
      <c r="BP799" s="245"/>
      <c r="BQ799" s="245"/>
      <c r="BR799" s="245"/>
      <c r="BS799" s="245"/>
      <c r="BT799" s="246"/>
      <c r="BU799" s="245"/>
      <c r="BV799" s="245"/>
      <c r="BW799" s="245"/>
      <c r="BX799" s="245"/>
      <c r="BY799" s="245"/>
      <c r="BZ799" s="282"/>
      <c r="CA799" s="245"/>
      <c r="CB799" s="245"/>
      <c r="CC799" s="245"/>
      <c r="CD799" s="245"/>
      <c r="CE799" s="245"/>
      <c r="CF799" s="245"/>
    </row>
    <row r="800">
      <c r="A800" s="245"/>
      <c r="B800" s="245"/>
      <c r="C800" s="245"/>
      <c r="D800" s="246"/>
      <c r="E800" s="245"/>
      <c r="F800" s="245"/>
      <c r="G800" s="245"/>
      <c r="H800" s="245"/>
      <c r="I800" s="245"/>
      <c r="J800" s="245"/>
      <c r="K800" s="265"/>
      <c r="L800" s="245"/>
      <c r="M800" s="245"/>
      <c r="N800" s="245"/>
      <c r="O800" s="245"/>
      <c r="P800" s="245"/>
      <c r="Q800" s="247"/>
      <c r="R800" s="254"/>
      <c r="S800" s="245"/>
      <c r="T800" s="245"/>
      <c r="U800" s="245"/>
      <c r="V800" s="245"/>
      <c r="W800" s="245"/>
      <c r="X800" s="245"/>
      <c r="Y800" s="249"/>
      <c r="Z800" s="276"/>
      <c r="AA800" s="245"/>
      <c r="AB800" s="276"/>
      <c r="AC800" s="276"/>
      <c r="AD800" s="246"/>
      <c r="AE800" s="278"/>
      <c r="AF800" s="370"/>
      <c r="AG800" s="371"/>
      <c r="AH800" s="276"/>
      <c r="AI800" s="245"/>
      <c r="AJ800" s="287"/>
      <c r="AK800" s="278"/>
      <c r="AL800" s="246"/>
      <c r="AM800" s="245"/>
      <c r="AN800" s="245"/>
      <c r="AO800" s="274"/>
      <c r="AP800" s="245"/>
      <c r="AQ800" s="245"/>
      <c r="AR800" s="246"/>
      <c r="AS800" s="245"/>
      <c r="AT800" s="245"/>
      <c r="AU800" s="245"/>
      <c r="AV800" s="245"/>
      <c r="AW800" s="245"/>
      <c r="AX800" s="246"/>
      <c r="AY800" s="245"/>
      <c r="AZ800" s="245"/>
      <c r="BA800" s="246"/>
      <c r="BB800" s="245"/>
      <c r="BC800" s="245"/>
      <c r="BD800" s="245"/>
      <c r="BE800" s="245"/>
      <c r="BF800" s="245"/>
      <c r="BG800" s="245"/>
      <c r="BH800" s="245"/>
      <c r="BI800" s="245"/>
      <c r="BJ800" s="245"/>
      <c r="BK800" s="245"/>
      <c r="BL800" s="245"/>
      <c r="BM800" s="245"/>
      <c r="BN800" s="245"/>
      <c r="BO800" s="245"/>
      <c r="BP800" s="245"/>
      <c r="BQ800" s="245"/>
      <c r="BR800" s="245"/>
      <c r="BS800" s="245"/>
      <c r="BT800" s="246"/>
      <c r="BU800" s="245"/>
      <c r="BV800" s="245"/>
      <c r="BW800" s="245"/>
      <c r="BX800" s="245"/>
      <c r="BY800" s="245"/>
      <c r="BZ800" s="282"/>
      <c r="CA800" s="245"/>
      <c r="CB800" s="245"/>
      <c r="CC800" s="245"/>
      <c r="CD800" s="245"/>
      <c r="CE800" s="245"/>
      <c r="CF800" s="245"/>
    </row>
    <row r="801">
      <c r="A801" s="245"/>
      <c r="B801" s="245"/>
      <c r="C801" s="245"/>
      <c r="D801" s="246"/>
      <c r="E801" s="245"/>
      <c r="F801" s="245"/>
      <c r="G801" s="245"/>
      <c r="H801" s="245"/>
      <c r="I801" s="245"/>
      <c r="J801" s="245"/>
      <c r="K801" s="265"/>
      <c r="L801" s="245"/>
      <c r="M801" s="245"/>
      <c r="N801" s="245"/>
      <c r="O801" s="245"/>
      <c r="P801" s="245"/>
      <c r="Q801" s="247"/>
      <c r="R801" s="254"/>
      <c r="S801" s="245"/>
      <c r="T801" s="245"/>
      <c r="U801" s="245"/>
      <c r="V801" s="245"/>
      <c r="W801" s="245"/>
      <c r="X801" s="245"/>
      <c r="Y801" s="249"/>
      <c r="Z801" s="276"/>
      <c r="AA801" s="245"/>
      <c r="AB801" s="276"/>
      <c r="AC801" s="276"/>
      <c r="AD801" s="246"/>
      <c r="AE801" s="278"/>
      <c r="AF801" s="370"/>
      <c r="AG801" s="371"/>
      <c r="AH801" s="250"/>
      <c r="AI801" s="245"/>
      <c r="AJ801" s="287"/>
      <c r="AK801" s="278"/>
      <c r="AL801" s="246"/>
      <c r="AM801" s="245"/>
      <c r="AN801" s="245"/>
      <c r="AO801" s="274"/>
      <c r="AP801" s="245"/>
      <c r="AQ801" s="245"/>
      <c r="AR801" s="246"/>
      <c r="AS801" s="245"/>
      <c r="AT801" s="245"/>
      <c r="AU801" s="245"/>
      <c r="AV801" s="245"/>
      <c r="AW801" s="245"/>
      <c r="AX801" s="246"/>
      <c r="AY801" s="245"/>
      <c r="AZ801" s="245"/>
      <c r="BA801" s="246"/>
      <c r="BB801" s="245"/>
      <c r="BC801" s="245"/>
      <c r="BD801" s="245"/>
      <c r="BE801" s="245"/>
      <c r="BF801" s="245"/>
      <c r="BG801" s="245"/>
      <c r="BH801" s="245"/>
      <c r="BI801" s="245"/>
      <c r="BJ801" s="245"/>
      <c r="BK801" s="245"/>
      <c r="BL801" s="245"/>
      <c r="BM801" s="245"/>
      <c r="BN801" s="245"/>
      <c r="BO801" s="245"/>
      <c r="BP801" s="245"/>
      <c r="BQ801" s="245"/>
      <c r="BR801" s="245"/>
      <c r="BS801" s="245"/>
      <c r="BT801" s="246"/>
      <c r="BU801" s="245"/>
      <c r="BV801" s="245"/>
      <c r="BW801" s="245"/>
      <c r="BX801" s="245"/>
      <c r="BY801" s="245"/>
      <c r="BZ801" s="282"/>
      <c r="CA801" s="245"/>
      <c r="CB801" s="245"/>
      <c r="CC801" s="245"/>
      <c r="CD801" s="245"/>
      <c r="CE801" s="245"/>
      <c r="CF801" s="245"/>
    </row>
    <row r="802">
      <c r="A802" s="245"/>
      <c r="B802" s="245"/>
      <c r="C802" s="245"/>
      <c r="D802" s="246"/>
      <c r="E802" s="245"/>
      <c r="F802" s="245"/>
      <c r="G802" s="245"/>
      <c r="H802" s="245"/>
      <c r="I802" s="245"/>
      <c r="J802" s="245"/>
      <c r="K802" s="265"/>
      <c r="L802" s="245"/>
      <c r="M802" s="245"/>
      <c r="N802" s="245"/>
      <c r="O802" s="245"/>
      <c r="P802" s="245"/>
      <c r="Q802" s="247"/>
      <c r="R802" s="254"/>
      <c r="S802" s="265"/>
      <c r="T802" s="245"/>
      <c r="U802" s="245"/>
      <c r="V802" s="245"/>
      <c r="W802" s="245"/>
      <c r="X802" s="245"/>
      <c r="Y802" s="249"/>
      <c r="Z802" s="276"/>
      <c r="AA802" s="245"/>
      <c r="AB802" s="276"/>
      <c r="AC802" s="276"/>
      <c r="AD802" s="246"/>
      <c r="AE802" s="278"/>
      <c r="AF802" s="370"/>
      <c r="AG802" s="371"/>
      <c r="AH802" s="250"/>
      <c r="AI802" s="254"/>
      <c r="AJ802" s="287"/>
      <c r="AK802" s="278"/>
      <c r="AL802" s="246"/>
      <c r="AM802" s="245"/>
      <c r="AN802" s="245"/>
      <c r="AO802" s="274"/>
      <c r="AP802" s="245"/>
      <c r="AQ802" s="276"/>
      <c r="AR802" s="246"/>
      <c r="AS802" s="245"/>
      <c r="AT802" s="276"/>
      <c r="AU802" s="245"/>
      <c r="AV802" s="245"/>
      <c r="AW802" s="278"/>
      <c r="AX802" s="246"/>
      <c r="AY802" s="245"/>
      <c r="AZ802" s="245"/>
      <c r="BA802" s="274"/>
      <c r="BB802" s="245"/>
      <c r="BC802" s="245"/>
      <c r="BD802" s="245"/>
      <c r="BE802" s="245"/>
      <c r="BF802" s="245"/>
      <c r="BG802" s="245"/>
      <c r="BH802" s="245"/>
      <c r="BI802" s="245"/>
      <c r="BJ802" s="245"/>
      <c r="BK802" s="245"/>
      <c r="BL802" s="245"/>
      <c r="BM802" s="245"/>
      <c r="BN802" s="245"/>
      <c r="BO802" s="245"/>
      <c r="BP802" s="245"/>
      <c r="BQ802" s="245"/>
      <c r="BR802" s="245"/>
      <c r="BS802" s="245"/>
      <c r="BT802" s="246"/>
      <c r="BU802" s="245"/>
      <c r="BV802" s="245"/>
      <c r="BW802" s="245"/>
      <c r="BX802" s="245"/>
      <c r="BY802" s="245"/>
      <c r="BZ802" s="282"/>
      <c r="CA802" s="245"/>
      <c r="CB802" s="245"/>
      <c r="CC802" s="245"/>
      <c r="CD802" s="245"/>
      <c r="CE802" s="245"/>
      <c r="CF802" s="245"/>
    </row>
    <row r="803">
      <c r="A803" s="245"/>
      <c r="B803" s="245"/>
      <c r="C803" s="245"/>
      <c r="D803" s="246"/>
      <c r="E803" s="245"/>
      <c r="F803" s="245"/>
      <c r="G803" s="245"/>
      <c r="H803" s="245"/>
      <c r="I803" s="245"/>
      <c r="J803" s="245"/>
      <c r="K803" s="265"/>
      <c r="L803" s="245"/>
      <c r="M803" s="245"/>
      <c r="N803" s="245"/>
      <c r="O803" s="245"/>
      <c r="P803" s="245"/>
      <c r="Q803" s="247"/>
      <c r="R803" s="254"/>
      <c r="S803" s="265"/>
      <c r="T803" s="245"/>
      <c r="U803" s="245"/>
      <c r="V803" s="245"/>
      <c r="W803" s="245"/>
      <c r="X803" s="245"/>
      <c r="Y803" s="249"/>
      <c r="Z803" s="276"/>
      <c r="AA803" s="245"/>
      <c r="AB803" s="276"/>
      <c r="AC803" s="276"/>
      <c r="AD803" s="246"/>
      <c r="AE803" s="278"/>
      <c r="AF803" s="370"/>
      <c r="AG803" s="371"/>
      <c r="AH803" s="286"/>
      <c r="AI803" s="254"/>
      <c r="AJ803" s="287"/>
      <c r="AK803" s="278"/>
      <c r="AL803" s="246"/>
      <c r="AM803" s="245"/>
      <c r="AN803" s="245"/>
      <c r="AO803" s="274"/>
      <c r="AP803" s="245"/>
      <c r="AQ803" s="289"/>
      <c r="AR803" s="246"/>
      <c r="AS803" s="245"/>
      <c r="AT803" s="289"/>
      <c r="AU803" s="245"/>
      <c r="AV803" s="245"/>
      <c r="AW803" s="245"/>
      <c r="AX803" s="246"/>
      <c r="AY803" s="245"/>
      <c r="AZ803" s="245"/>
      <c r="BA803" s="292"/>
      <c r="BB803" s="291"/>
      <c r="BC803" s="245"/>
      <c r="BD803" s="245"/>
      <c r="BE803" s="245"/>
      <c r="BF803" s="245"/>
      <c r="BG803" s="245"/>
      <c r="BH803" s="245"/>
      <c r="BI803" s="245"/>
      <c r="BJ803" s="245"/>
      <c r="BK803" s="245"/>
      <c r="BL803" s="245"/>
      <c r="BM803" s="245"/>
      <c r="BN803" s="245"/>
      <c r="BO803" s="245"/>
      <c r="BP803" s="245"/>
      <c r="BQ803" s="245"/>
      <c r="BR803" s="245"/>
      <c r="BS803" s="245"/>
      <c r="BT803" s="246"/>
      <c r="BU803" s="245"/>
      <c r="BV803" s="245"/>
      <c r="BW803" s="245"/>
      <c r="BX803" s="245"/>
      <c r="BY803" s="245"/>
      <c r="BZ803" s="282"/>
      <c r="CA803" s="245"/>
      <c r="CB803" s="245"/>
      <c r="CC803" s="245"/>
      <c r="CD803" s="245"/>
      <c r="CE803" s="245"/>
      <c r="CF803" s="245"/>
    </row>
    <row r="804">
      <c r="A804" s="245"/>
      <c r="B804" s="245"/>
      <c r="C804" s="245"/>
      <c r="D804" s="246"/>
      <c r="E804" s="245"/>
      <c r="F804" s="245"/>
      <c r="G804" s="245"/>
      <c r="H804" s="245"/>
      <c r="I804" s="245"/>
      <c r="J804" s="245"/>
      <c r="K804" s="265"/>
      <c r="L804" s="245"/>
      <c r="M804" s="245"/>
      <c r="N804" s="245"/>
      <c r="O804" s="245"/>
      <c r="P804" s="245"/>
      <c r="Q804" s="247"/>
      <c r="R804" s="254"/>
      <c r="S804" s="265"/>
      <c r="T804" s="245"/>
      <c r="U804" s="245"/>
      <c r="V804" s="245"/>
      <c r="W804" s="245"/>
      <c r="X804" s="245"/>
      <c r="Y804" s="249"/>
      <c r="Z804" s="276"/>
      <c r="AA804" s="245"/>
      <c r="AB804" s="276"/>
      <c r="AC804" s="276"/>
      <c r="AD804" s="246"/>
      <c r="AE804" s="278"/>
      <c r="AF804" s="370"/>
      <c r="AG804" s="371"/>
      <c r="AH804" s="276"/>
      <c r="AI804" s="254"/>
      <c r="AJ804" s="287"/>
      <c r="AK804" s="278"/>
      <c r="AL804" s="246"/>
      <c r="AM804" s="245"/>
      <c r="AN804" s="245"/>
      <c r="AO804" s="274"/>
      <c r="AP804" s="245"/>
      <c r="AQ804" s="289"/>
      <c r="AR804" s="246"/>
      <c r="AS804" s="245"/>
      <c r="AT804" s="289"/>
      <c r="AU804" s="245"/>
      <c r="AV804" s="245"/>
      <c r="AW804" s="245"/>
      <c r="AX804" s="246"/>
      <c r="AY804" s="245"/>
      <c r="AZ804" s="245"/>
      <c r="BA804" s="264"/>
      <c r="BB804" s="302"/>
      <c r="BC804" s="245"/>
      <c r="BD804" s="245"/>
      <c r="BE804" s="245"/>
      <c r="BF804" s="245"/>
      <c r="BG804" s="245"/>
      <c r="BH804" s="245"/>
      <c r="BI804" s="245"/>
      <c r="BJ804" s="245"/>
      <c r="BK804" s="245"/>
      <c r="BL804" s="245"/>
      <c r="BM804" s="245"/>
      <c r="BN804" s="245"/>
      <c r="BO804" s="245"/>
      <c r="BP804" s="245"/>
      <c r="BQ804" s="245"/>
      <c r="BR804" s="245"/>
      <c r="BS804" s="245"/>
      <c r="BT804" s="246"/>
      <c r="BU804" s="245"/>
      <c r="BV804" s="245"/>
      <c r="BW804" s="245"/>
      <c r="BX804" s="245"/>
      <c r="BY804" s="245"/>
      <c r="BZ804" s="282"/>
      <c r="CA804" s="245"/>
      <c r="CB804" s="245"/>
      <c r="CC804" s="245"/>
      <c r="CD804" s="245"/>
      <c r="CE804" s="245"/>
      <c r="CF804" s="245"/>
    </row>
    <row r="805">
      <c r="A805" s="245"/>
      <c r="B805" s="245"/>
      <c r="C805" s="245"/>
      <c r="D805" s="246"/>
      <c r="E805" s="245"/>
      <c r="F805" s="245"/>
      <c r="G805" s="245"/>
      <c r="H805" s="245"/>
      <c r="I805" s="245"/>
      <c r="J805" s="245"/>
      <c r="K805" s="265"/>
      <c r="L805" s="245"/>
      <c r="M805" s="245"/>
      <c r="N805" s="245"/>
      <c r="O805" s="245"/>
      <c r="P805" s="245"/>
      <c r="Q805" s="247"/>
      <c r="R805" s="254"/>
      <c r="S805" s="265"/>
      <c r="T805" s="245"/>
      <c r="U805" s="245"/>
      <c r="V805" s="245"/>
      <c r="W805" s="245"/>
      <c r="X805" s="245"/>
      <c r="Y805" s="249"/>
      <c r="Z805" s="276"/>
      <c r="AA805" s="245"/>
      <c r="AB805" s="276"/>
      <c r="AC805" s="276"/>
      <c r="AD805" s="246"/>
      <c r="AE805" s="278"/>
      <c r="AF805" s="370"/>
      <c r="AG805" s="371"/>
      <c r="AH805" s="309"/>
      <c r="AI805" s="254"/>
      <c r="AJ805" s="287"/>
      <c r="AK805" s="278"/>
      <c r="AL805" s="246"/>
      <c r="AM805" s="245"/>
      <c r="AN805" s="245"/>
      <c r="AO805" s="274"/>
      <c r="AP805" s="245"/>
      <c r="AQ805" s="289"/>
      <c r="AR805" s="246"/>
      <c r="AS805" s="245"/>
      <c r="AT805" s="289"/>
      <c r="AU805" s="245"/>
      <c r="AV805" s="245"/>
      <c r="AW805" s="245"/>
      <c r="AX805" s="246"/>
      <c r="AY805" s="305"/>
      <c r="AZ805" s="245"/>
      <c r="BA805" s="314"/>
      <c r="BB805" s="313"/>
      <c r="BC805" s="245"/>
      <c r="BD805" s="245"/>
      <c r="BE805" s="245"/>
      <c r="BF805" s="245"/>
      <c r="BG805" s="245"/>
      <c r="BH805" s="245"/>
      <c r="BI805" s="245"/>
      <c r="BJ805" s="245"/>
      <c r="BK805" s="245"/>
      <c r="BL805" s="245"/>
      <c r="BM805" s="245"/>
      <c r="BN805" s="245"/>
      <c r="BO805" s="245"/>
      <c r="BP805" s="245"/>
      <c r="BQ805" s="245"/>
      <c r="BR805" s="245"/>
      <c r="BS805" s="245"/>
      <c r="BT805" s="246"/>
      <c r="BU805" s="245"/>
      <c r="BV805" s="245"/>
      <c r="BW805" s="245"/>
      <c r="BX805" s="245"/>
      <c r="BY805" s="245"/>
      <c r="BZ805" s="282"/>
      <c r="CA805" s="245"/>
      <c r="CB805" s="245"/>
      <c r="CC805" s="245"/>
      <c r="CD805" s="245"/>
      <c r="CE805" s="245"/>
      <c r="CF805" s="245"/>
    </row>
    <row r="806">
      <c r="A806" s="245"/>
      <c r="B806" s="245"/>
      <c r="C806" s="245"/>
      <c r="D806" s="246"/>
      <c r="E806" s="245"/>
      <c r="F806" s="245"/>
      <c r="G806" s="245"/>
      <c r="H806" s="245"/>
      <c r="I806" s="245"/>
      <c r="J806" s="245"/>
      <c r="K806" s="265"/>
      <c r="L806" s="245"/>
      <c r="M806" s="245"/>
      <c r="N806" s="245"/>
      <c r="O806" s="245"/>
      <c r="P806" s="245"/>
      <c r="Q806" s="247"/>
      <c r="R806" s="254"/>
      <c r="S806" s="265"/>
      <c r="T806" s="245"/>
      <c r="U806" s="245"/>
      <c r="V806" s="245"/>
      <c r="W806" s="245"/>
      <c r="X806" s="245"/>
      <c r="Y806" s="249"/>
      <c r="Z806" s="276"/>
      <c r="AA806" s="245"/>
      <c r="AB806" s="276"/>
      <c r="AC806" s="276"/>
      <c r="AD806" s="246"/>
      <c r="AE806" s="278"/>
      <c r="AF806" s="370"/>
      <c r="AG806" s="371"/>
      <c r="AH806" s="317"/>
      <c r="AI806" s="254"/>
      <c r="AJ806" s="287"/>
      <c r="AK806" s="278"/>
      <c r="AL806" s="246"/>
      <c r="AM806" s="245"/>
      <c r="AN806" s="245"/>
      <c r="AO806" s="274"/>
      <c r="AP806" s="245"/>
      <c r="AQ806" s="289"/>
      <c r="AR806" s="246"/>
      <c r="AS806" s="245"/>
      <c r="AT806" s="289"/>
      <c r="AU806" s="245"/>
      <c r="AV806" s="245"/>
      <c r="AW806" s="313"/>
      <c r="AX806" s="246"/>
      <c r="AY806" s="245"/>
      <c r="AZ806" s="245"/>
      <c r="BA806" s="321"/>
      <c r="BB806" s="319"/>
      <c r="BC806" s="245"/>
      <c r="BD806" s="245"/>
      <c r="BE806" s="245"/>
      <c r="BF806" s="245"/>
      <c r="BG806" s="245"/>
      <c r="BH806" s="245"/>
      <c r="BI806" s="245"/>
      <c r="BJ806" s="245"/>
      <c r="BK806" s="245"/>
      <c r="BL806" s="245"/>
      <c r="BM806" s="245"/>
      <c r="BN806" s="245"/>
      <c r="BO806" s="245"/>
      <c r="BP806" s="245"/>
      <c r="BQ806" s="245"/>
      <c r="BR806" s="245"/>
      <c r="BS806" s="245"/>
      <c r="BT806" s="246"/>
      <c r="BU806" s="245"/>
      <c r="BV806" s="245"/>
      <c r="BW806" s="245"/>
      <c r="BX806" s="245"/>
      <c r="BY806" s="245"/>
      <c r="BZ806" s="282"/>
      <c r="CA806" s="245"/>
      <c r="CB806" s="245"/>
      <c r="CC806" s="245"/>
      <c r="CD806" s="245"/>
      <c r="CE806" s="245"/>
      <c r="CF806" s="245"/>
    </row>
    <row r="807">
      <c r="A807" s="245"/>
      <c r="B807" s="245"/>
      <c r="C807" s="245"/>
      <c r="D807" s="246"/>
      <c r="E807" s="245"/>
      <c r="F807" s="245"/>
      <c r="G807" s="245"/>
      <c r="H807" s="245"/>
      <c r="I807" s="245"/>
      <c r="J807" s="245"/>
      <c r="K807" s="265"/>
      <c r="L807" s="245"/>
      <c r="M807" s="245"/>
      <c r="N807" s="245"/>
      <c r="O807" s="245"/>
      <c r="P807" s="245"/>
      <c r="Q807" s="247"/>
      <c r="R807" s="254"/>
      <c r="S807" s="265"/>
      <c r="T807" s="245"/>
      <c r="U807" s="245"/>
      <c r="V807" s="245"/>
      <c r="W807" s="245"/>
      <c r="X807" s="245"/>
      <c r="Y807" s="249"/>
      <c r="Z807" s="276"/>
      <c r="AA807" s="245"/>
      <c r="AB807" s="276"/>
      <c r="AC807" s="276"/>
      <c r="AD807" s="246"/>
      <c r="AE807" s="278"/>
      <c r="AF807" s="370"/>
      <c r="AG807" s="371"/>
      <c r="AH807" s="286"/>
      <c r="AI807" s="245"/>
      <c r="AJ807" s="287"/>
      <c r="AK807" s="278"/>
      <c r="AL807" s="246"/>
      <c r="AM807" s="245"/>
      <c r="AN807" s="245"/>
      <c r="AO807" s="274"/>
      <c r="AP807" s="245"/>
      <c r="AQ807" s="245"/>
      <c r="AR807" s="246"/>
      <c r="AS807" s="245"/>
      <c r="AT807" s="245"/>
      <c r="AU807" s="245"/>
      <c r="AV807" s="245"/>
      <c r="AW807" s="276"/>
      <c r="AX807" s="246"/>
      <c r="AY807" s="245"/>
      <c r="AZ807" s="245"/>
      <c r="BA807" s="325"/>
      <c r="BB807" s="324"/>
      <c r="BC807" s="245"/>
      <c r="BD807" s="245"/>
      <c r="BE807" s="245"/>
      <c r="BF807" s="245"/>
      <c r="BG807" s="245"/>
      <c r="BH807" s="245"/>
      <c r="BI807" s="245"/>
      <c r="BJ807" s="245"/>
      <c r="BK807" s="245"/>
      <c r="BL807" s="245"/>
      <c r="BM807" s="245"/>
      <c r="BN807" s="245"/>
      <c r="BO807" s="245"/>
      <c r="BP807" s="245"/>
      <c r="BQ807" s="245"/>
      <c r="BR807" s="245"/>
      <c r="BS807" s="245"/>
      <c r="BT807" s="246"/>
      <c r="BU807" s="245"/>
      <c r="BV807" s="245"/>
      <c r="BW807" s="245"/>
      <c r="BX807" s="245"/>
      <c r="BY807" s="245"/>
      <c r="BZ807" s="282"/>
      <c r="CA807" s="245"/>
      <c r="CB807" s="245"/>
      <c r="CC807" s="245"/>
      <c r="CD807" s="245"/>
      <c r="CE807" s="245"/>
      <c r="CF807" s="245"/>
    </row>
    <row r="808">
      <c r="A808" s="245"/>
      <c r="B808" s="245"/>
      <c r="C808" s="245"/>
      <c r="D808" s="246"/>
      <c r="E808" s="245"/>
      <c r="F808" s="245"/>
      <c r="G808" s="245"/>
      <c r="H808" s="245"/>
      <c r="I808" s="245"/>
      <c r="J808" s="245"/>
      <c r="K808" s="265"/>
      <c r="L808" s="245"/>
      <c r="M808" s="245"/>
      <c r="N808" s="245"/>
      <c r="O808" s="245"/>
      <c r="P808" s="245"/>
      <c r="Q808" s="247"/>
      <c r="R808" s="254"/>
      <c r="S808" s="265"/>
      <c r="T808" s="245"/>
      <c r="U808" s="245"/>
      <c r="V808" s="245"/>
      <c r="W808" s="245"/>
      <c r="X808" s="245"/>
      <c r="Y808" s="249"/>
      <c r="Z808" s="276"/>
      <c r="AA808" s="245"/>
      <c r="AB808" s="276"/>
      <c r="AC808" s="276"/>
      <c r="AD808" s="246"/>
      <c r="AE808" s="278"/>
      <c r="AF808" s="370"/>
      <c r="AG808" s="371"/>
      <c r="AH808" s="327"/>
      <c r="AI808" s="254"/>
      <c r="AJ808" s="287"/>
      <c r="AK808" s="278"/>
      <c r="AL808" s="246"/>
      <c r="AM808" s="245"/>
      <c r="AN808" s="245"/>
      <c r="AO808" s="274"/>
      <c r="AP808" s="245"/>
      <c r="AQ808" s="245"/>
      <c r="AR808" s="246"/>
      <c r="AS808" s="245"/>
      <c r="AT808" s="276"/>
      <c r="AU808" s="245"/>
      <c r="AV808" s="245"/>
      <c r="AW808" s="276"/>
      <c r="AX808" s="246"/>
      <c r="AY808" s="245"/>
      <c r="AZ808" s="245"/>
      <c r="BA808" s="274"/>
      <c r="BB808" s="245"/>
      <c r="BC808" s="245"/>
      <c r="BD808" s="245"/>
      <c r="BE808" s="245"/>
      <c r="BF808" s="245"/>
      <c r="BG808" s="245"/>
      <c r="BH808" s="245"/>
      <c r="BI808" s="245"/>
      <c r="BJ808" s="245"/>
      <c r="BK808" s="245"/>
      <c r="BL808" s="245"/>
      <c r="BM808" s="245"/>
      <c r="BN808" s="245"/>
      <c r="BO808" s="245"/>
      <c r="BP808" s="245"/>
      <c r="BQ808" s="245"/>
      <c r="BR808" s="245"/>
      <c r="BS808" s="245"/>
      <c r="BT808" s="246"/>
      <c r="BU808" s="245"/>
      <c r="BV808" s="245"/>
      <c r="BW808" s="245"/>
      <c r="BX808" s="245"/>
      <c r="BY808" s="245"/>
      <c r="BZ808" s="282"/>
      <c r="CA808" s="245"/>
      <c r="CB808" s="245"/>
      <c r="CC808" s="245"/>
      <c r="CD808" s="245"/>
      <c r="CE808" s="245"/>
      <c r="CF808" s="245"/>
    </row>
    <row r="809">
      <c r="A809" s="245"/>
      <c r="B809" s="245"/>
      <c r="C809" s="245"/>
      <c r="D809" s="246"/>
      <c r="E809" s="245"/>
      <c r="F809" s="245"/>
      <c r="G809" s="245"/>
      <c r="H809" s="245"/>
      <c r="I809" s="245"/>
      <c r="J809" s="245"/>
      <c r="K809" s="265"/>
      <c r="L809" s="245"/>
      <c r="M809" s="245"/>
      <c r="N809" s="245"/>
      <c r="O809" s="245"/>
      <c r="P809" s="245"/>
      <c r="Q809" s="247"/>
      <c r="R809" s="254"/>
      <c r="S809" s="265"/>
      <c r="T809" s="245"/>
      <c r="U809" s="245"/>
      <c r="V809" s="245"/>
      <c r="W809" s="245"/>
      <c r="X809" s="245"/>
      <c r="Y809" s="249"/>
      <c r="Z809" s="276"/>
      <c r="AA809" s="245"/>
      <c r="AB809" s="276"/>
      <c r="AC809" s="276"/>
      <c r="AD809" s="246"/>
      <c r="AE809" s="278"/>
      <c r="AF809" s="370"/>
      <c r="AG809" s="371"/>
      <c r="AH809" s="327"/>
      <c r="AI809" s="254"/>
      <c r="AJ809" s="287"/>
      <c r="AK809" s="278"/>
      <c r="AL809" s="246"/>
      <c r="AM809" s="245"/>
      <c r="AN809" s="245"/>
      <c r="AO809" s="274"/>
      <c r="AP809" s="245"/>
      <c r="AQ809" s="245"/>
      <c r="AR809" s="246"/>
      <c r="AS809" s="245"/>
      <c r="AT809" s="245"/>
      <c r="AU809" s="245"/>
      <c r="AV809" s="245"/>
      <c r="AW809" s="245"/>
      <c r="AX809" s="246"/>
      <c r="AY809" s="245"/>
      <c r="AZ809" s="245"/>
      <c r="BA809" s="333"/>
      <c r="BB809" s="313"/>
      <c r="BC809" s="245"/>
      <c r="BD809" s="245"/>
      <c r="BE809" s="245"/>
      <c r="BF809" s="245"/>
      <c r="BG809" s="245"/>
      <c r="BH809" s="245"/>
      <c r="BI809" s="245"/>
      <c r="BJ809" s="245"/>
      <c r="BK809" s="245"/>
      <c r="BL809" s="245"/>
      <c r="BM809" s="245"/>
      <c r="BN809" s="245"/>
      <c r="BO809" s="245"/>
      <c r="BP809" s="245"/>
      <c r="BQ809" s="245"/>
      <c r="BR809" s="245"/>
      <c r="BS809" s="245"/>
      <c r="BT809" s="246"/>
      <c r="BU809" s="245"/>
      <c r="BV809" s="245"/>
      <c r="BW809" s="245"/>
      <c r="BX809" s="245"/>
      <c r="BY809" s="245"/>
      <c r="BZ809" s="282"/>
      <c r="CA809" s="245"/>
      <c r="CB809" s="245"/>
      <c r="CC809" s="245"/>
      <c r="CD809" s="245"/>
      <c r="CE809" s="245"/>
      <c r="CF809" s="245"/>
    </row>
    <row r="810">
      <c r="A810" s="245"/>
      <c r="B810" s="245"/>
      <c r="C810" s="245"/>
      <c r="D810" s="246"/>
      <c r="E810" s="245"/>
      <c r="F810" s="245"/>
      <c r="G810" s="245"/>
      <c r="H810" s="245"/>
      <c r="I810" s="245"/>
      <c r="J810" s="245"/>
      <c r="K810" s="265"/>
      <c r="L810" s="245"/>
      <c r="M810" s="245"/>
      <c r="N810" s="245"/>
      <c r="O810" s="245"/>
      <c r="P810" s="245"/>
      <c r="Q810" s="247"/>
      <c r="R810" s="254"/>
      <c r="S810" s="265"/>
      <c r="T810" s="245"/>
      <c r="U810" s="245"/>
      <c r="V810" s="245"/>
      <c r="W810" s="245"/>
      <c r="X810" s="245"/>
      <c r="Y810" s="249"/>
      <c r="Z810" s="276"/>
      <c r="AA810" s="245"/>
      <c r="AB810" s="276"/>
      <c r="AC810" s="276"/>
      <c r="AD810" s="246"/>
      <c r="AE810" s="278"/>
      <c r="AF810" s="370"/>
      <c r="AG810" s="371"/>
      <c r="AH810" s="250"/>
      <c r="AI810" s="245"/>
      <c r="AJ810" s="287"/>
      <c r="AK810" s="278"/>
      <c r="AL810" s="246"/>
      <c r="AM810" s="245"/>
      <c r="AN810" s="245"/>
      <c r="AO810" s="274"/>
      <c r="AP810" s="245"/>
      <c r="AQ810" s="276"/>
      <c r="AR810" s="246"/>
      <c r="AS810" s="245"/>
      <c r="AT810" s="276"/>
      <c r="AU810" s="276"/>
      <c r="AV810" s="276"/>
      <c r="AW810" s="276"/>
      <c r="AX810" s="246"/>
      <c r="AY810" s="245"/>
      <c r="AZ810" s="245"/>
      <c r="BA810" s="335"/>
      <c r="BB810" s="254"/>
      <c r="BC810" s="245"/>
      <c r="BD810" s="245"/>
      <c r="BE810" s="245"/>
      <c r="BF810" s="245"/>
      <c r="BG810" s="245"/>
      <c r="BH810" s="245"/>
      <c r="BI810" s="245"/>
      <c r="BJ810" s="245"/>
      <c r="BK810" s="245"/>
      <c r="BL810" s="245"/>
      <c r="BM810" s="245"/>
      <c r="BN810" s="245"/>
      <c r="BO810" s="245"/>
      <c r="BP810" s="245"/>
      <c r="BQ810" s="245"/>
      <c r="BR810" s="245"/>
      <c r="BS810" s="245"/>
      <c r="BT810" s="246"/>
      <c r="BU810" s="245"/>
      <c r="BV810" s="245"/>
      <c r="BW810" s="245"/>
      <c r="BX810" s="245"/>
      <c r="BY810" s="245"/>
      <c r="BZ810" s="282"/>
      <c r="CA810" s="245"/>
      <c r="CB810" s="245"/>
      <c r="CC810" s="245"/>
      <c r="CD810" s="245"/>
      <c r="CE810" s="245"/>
      <c r="CF810" s="245"/>
    </row>
    <row r="811">
      <c r="A811" s="245"/>
      <c r="B811" s="245"/>
      <c r="C811" s="245"/>
      <c r="D811" s="246"/>
      <c r="E811" s="245"/>
      <c r="F811" s="245"/>
      <c r="G811" s="245"/>
      <c r="H811" s="245"/>
      <c r="I811" s="245"/>
      <c r="J811" s="245"/>
      <c r="K811" s="265"/>
      <c r="L811" s="245"/>
      <c r="M811" s="245"/>
      <c r="N811" s="245"/>
      <c r="O811" s="245"/>
      <c r="P811" s="245"/>
      <c r="Q811" s="247"/>
      <c r="R811" s="254"/>
      <c r="S811" s="265"/>
      <c r="T811" s="245"/>
      <c r="U811" s="245"/>
      <c r="V811" s="245"/>
      <c r="W811" s="245"/>
      <c r="X811" s="245"/>
      <c r="Y811" s="249"/>
      <c r="Z811" s="276"/>
      <c r="AA811" s="245"/>
      <c r="AB811" s="276"/>
      <c r="AC811" s="276"/>
      <c r="AD811" s="246"/>
      <c r="AE811" s="278"/>
      <c r="AF811" s="370"/>
      <c r="AG811" s="371"/>
      <c r="AH811" s="337"/>
      <c r="AI811" s="245"/>
      <c r="AJ811" s="287"/>
      <c r="AK811" s="278"/>
      <c r="AL811" s="246"/>
      <c r="AM811" s="245"/>
      <c r="AN811" s="245"/>
      <c r="AO811" s="274"/>
      <c r="AP811" s="245"/>
      <c r="AQ811" s="313"/>
      <c r="AR811" s="246"/>
      <c r="AS811" s="245"/>
      <c r="AT811" s="313"/>
      <c r="AU811" s="245"/>
      <c r="AV811" s="245"/>
      <c r="AW811" s="245"/>
      <c r="AX811" s="246"/>
      <c r="AY811" s="245"/>
      <c r="AZ811" s="245"/>
      <c r="BA811" s="341"/>
      <c r="BB811" s="254"/>
      <c r="BC811" s="245"/>
      <c r="BD811" s="245"/>
      <c r="BE811" s="245"/>
      <c r="BF811" s="245"/>
      <c r="BG811" s="245"/>
      <c r="BH811" s="245"/>
      <c r="BI811" s="245"/>
      <c r="BJ811" s="245"/>
      <c r="BK811" s="245"/>
      <c r="BL811" s="245"/>
      <c r="BM811" s="245"/>
      <c r="BN811" s="245"/>
      <c r="BO811" s="245"/>
      <c r="BP811" s="245"/>
      <c r="BQ811" s="245"/>
      <c r="BR811" s="245"/>
      <c r="BS811" s="245"/>
      <c r="BT811" s="246"/>
      <c r="BU811" s="245"/>
      <c r="BV811" s="245"/>
      <c r="BW811" s="245"/>
      <c r="BX811" s="245"/>
      <c r="BY811" s="245"/>
      <c r="BZ811" s="282"/>
      <c r="CA811" s="245"/>
      <c r="CB811" s="245"/>
      <c r="CC811" s="245"/>
      <c r="CD811" s="245"/>
      <c r="CE811" s="245"/>
      <c r="CF811" s="245"/>
    </row>
    <row r="812">
      <c r="A812" s="245"/>
      <c r="B812" s="245"/>
      <c r="C812" s="245"/>
      <c r="D812" s="246"/>
      <c r="E812" s="245"/>
      <c r="F812" s="245"/>
      <c r="G812" s="245"/>
      <c r="H812" s="245"/>
      <c r="I812" s="245"/>
      <c r="J812" s="245"/>
      <c r="K812" s="265"/>
      <c r="L812" s="245"/>
      <c r="M812" s="245"/>
      <c r="N812" s="245"/>
      <c r="O812" s="245"/>
      <c r="P812" s="245"/>
      <c r="Q812" s="247"/>
      <c r="R812" s="254"/>
      <c r="S812" s="265"/>
      <c r="T812" s="245"/>
      <c r="U812" s="245"/>
      <c r="V812" s="245"/>
      <c r="W812" s="245"/>
      <c r="X812" s="245"/>
      <c r="Y812" s="249"/>
      <c r="Z812" s="276"/>
      <c r="AA812" s="245"/>
      <c r="AB812" s="276"/>
      <c r="AC812" s="276"/>
      <c r="AD812" s="246"/>
      <c r="AE812" s="278"/>
      <c r="AF812" s="370"/>
      <c r="AG812" s="371"/>
      <c r="AH812" s="291"/>
      <c r="AI812" s="245"/>
      <c r="AJ812" s="287"/>
      <c r="AK812" s="278"/>
      <c r="AL812" s="246"/>
      <c r="AM812" s="245"/>
      <c r="AN812" s="245"/>
      <c r="AO812" s="274"/>
      <c r="AP812" s="245"/>
      <c r="AQ812" s="245"/>
      <c r="AR812" s="246"/>
      <c r="AS812" s="245"/>
      <c r="AT812" s="245"/>
      <c r="AU812" s="245"/>
      <c r="AV812" s="245"/>
      <c r="AW812" s="245"/>
      <c r="AX812" s="246"/>
      <c r="AY812" s="245"/>
      <c r="AZ812" s="245"/>
      <c r="BA812" s="345"/>
      <c r="BB812" s="254"/>
      <c r="BC812" s="245"/>
      <c r="BD812" s="245"/>
      <c r="BE812" s="245"/>
      <c r="BF812" s="245"/>
      <c r="BG812" s="245"/>
      <c r="BH812" s="245"/>
      <c r="BI812" s="245"/>
      <c r="BJ812" s="245"/>
      <c r="BK812" s="245"/>
      <c r="BL812" s="245"/>
      <c r="BM812" s="245"/>
      <c r="BN812" s="245"/>
      <c r="BO812" s="245"/>
      <c r="BP812" s="245"/>
      <c r="BQ812" s="245"/>
      <c r="BR812" s="245"/>
      <c r="BS812" s="245"/>
      <c r="BT812" s="246"/>
      <c r="BU812" s="245"/>
      <c r="BV812" s="245"/>
      <c r="BW812" s="245"/>
      <c r="BX812" s="245"/>
      <c r="BY812" s="245"/>
      <c r="BZ812" s="282"/>
      <c r="CA812" s="245"/>
      <c r="CB812" s="245"/>
      <c r="CC812" s="245"/>
      <c r="CD812" s="245"/>
      <c r="CE812" s="245"/>
      <c r="CF812" s="245"/>
    </row>
    <row r="813">
      <c r="A813" s="245"/>
      <c r="B813" s="245"/>
      <c r="C813" s="245"/>
      <c r="D813" s="246"/>
      <c r="E813" s="245"/>
      <c r="F813" s="245"/>
      <c r="G813" s="245"/>
      <c r="H813" s="245"/>
      <c r="I813" s="245"/>
      <c r="J813" s="245"/>
      <c r="K813" s="265"/>
      <c r="L813" s="245"/>
      <c r="M813" s="245"/>
      <c r="N813" s="245"/>
      <c r="O813" s="245"/>
      <c r="P813" s="245"/>
      <c r="Q813" s="247"/>
      <c r="R813" s="254"/>
      <c r="S813" s="265"/>
      <c r="T813" s="245"/>
      <c r="U813" s="245"/>
      <c r="V813" s="245"/>
      <c r="W813" s="245"/>
      <c r="X813" s="245"/>
      <c r="Y813" s="249"/>
      <c r="Z813" s="276"/>
      <c r="AA813" s="245"/>
      <c r="AB813" s="276"/>
      <c r="AC813" s="276"/>
      <c r="AD813" s="246"/>
      <c r="AE813" s="278"/>
      <c r="AF813" s="370"/>
      <c r="AG813" s="371"/>
      <c r="AH813" s="347"/>
      <c r="AI813" s="245"/>
      <c r="AJ813" s="287"/>
      <c r="AK813" s="278"/>
      <c r="AL813" s="246"/>
      <c r="AM813" s="245"/>
      <c r="AN813" s="245"/>
      <c r="AO813" s="274"/>
      <c r="AP813" s="245"/>
      <c r="AQ813" s="276"/>
      <c r="AR813" s="246"/>
      <c r="AS813" s="245"/>
      <c r="AT813" s="276"/>
      <c r="AU813" s="245"/>
      <c r="AV813" s="245"/>
      <c r="AW813" s="287"/>
      <c r="AX813" s="246"/>
      <c r="AY813" s="305"/>
      <c r="AZ813" s="245"/>
      <c r="BA813" s="333"/>
      <c r="BB813" s="254"/>
      <c r="BC813" s="245"/>
      <c r="BD813" s="245"/>
      <c r="BE813" s="245"/>
      <c r="BF813" s="245"/>
      <c r="BG813" s="245"/>
      <c r="BH813" s="245"/>
      <c r="BI813" s="245"/>
      <c r="BJ813" s="245"/>
      <c r="BK813" s="245"/>
      <c r="BL813" s="245"/>
      <c r="BM813" s="245"/>
      <c r="BN813" s="245"/>
      <c r="BO813" s="245"/>
      <c r="BP813" s="245"/>
      <c r="BQ813" s="245"/>
      <c r="BR813" s="245"/>
      <c r="BS813" s="245"/>
      <c r="BT813" s="246"/>
      <c r="BU813" s="245"/>
      <c r="BV813" s="245"/>
      <c r="BW813" s="245"/>
      <c r="BX813" s="245"/>
      <c r="BY813" s="245"/>
      <c r="BZ813" s="282"/>
      <c r="CA813" s="245"/>
      <c r="CB813" s="245"/>
      <c r="CC813" s="245"/>
      <c r="CD813" s="245"/>
      <c r="CE813" s="245"/>
      <c r="CF813" s="245"/>
    </row>
    <row r="814">
      <c r="A814" s="245"/>
      <c r="B814" s="245"/>
      <c r="C814" s="245"/>
      <c r="D814" s="246"/>
      <c r="E814" s="245"/>
      <c r="F814" s="245"/>
      <c r="G814" s="245"/>
      <c r="H814" s="245"/>
      <c r="I814" s="245"/>
      <c r="J814" s="245"/>
      <c r="K814" s="265"/>
      <c r="L814" s="245"/>
      <c r="M814" s="245"/>
      <c r="N814" s="245"/>
      <c r="O814" s="245"/>
      <c r="P814" s="245"/>
      <c r="Q814" s="247"/>
      <c r="R814" s="254"/>
      <c r="S814" s="265"/>
      <c r="T814" s="245"/>
      <c r="U814" s="245"/>
      <c r="V814" s="245"/>
      <c r="W814" s="245"/>
      <c r="X814" s="245"/>
      <c r="Y814" s="249"/>
      <c r="Z814" s="276"/>
      <c r="AA814" s="245"/>
      <c r="AB814" s="276"/>
      <c r="AC814" s="276"/>
      <c r="AD814" s="246"/>
      <c r="AE814" s="278"/>
      <c r="AF814" s="370"/>
      <c r="AG814" s="371"/>
      <c r="AH814" s="327"/>
      <c r="AI814" s="254"/>
      <c r="AJ814" s="287"/>
      <c r="AK814" s="278"/>
      <c r="AL814" s="246"/>
      <c r="AM814" s="245"/>
      <c r="AN814" s="245"/>
      <c r="AO814" s="274"/>
      <c r="AP814" s="245"/>
      <c r="AQ814" s="276"/>
      <c r="AR814" s="246"/>
      <c r="AS814" s="245"/>
      <c r="AT814" s="276"/>
      <c r="AU814" s="245"/>
      <c r="AV814" s="245"/>
      <c r="AW814" s="287"/>
      <c r="AX814" s="246"/>
      <c r="AY814" s="245"/>
      <c r="AZ814" s="245"/>
      <c r="BA814" s="335"/>
      <c r="BB814" s="254"/>
      <c r="BC814" s="245"/>
      <c r="BD814" s="245"/>
      <c r="BE814" s="245"/>
      <c r="BF814" s="245"/>
      <c r="BG814" s="245"/>
      <c r="BH814" s="245"/>
      <c r="BI814" s="245"/>
      <c r="BJ814" s="245"/>
      <c r="BK814" s="245"/>
      <c r="BL814" s="245"/>
      <c r="BM814" s="245"/>
      <c r="BN814" s="245"/>
      <c r="BO814" s="245"/>
      <c r="BP814" s="245"/>
      <c r="BQ814" s="245"/>
      <c r="BR814" s="245"/>
      <c r="BS814" s="245"/>
      <c r="BT814" s="246"/>
      <c r="BU814" s="245"/>
      <c r="BV814" s="245"/>
      <c r="BW814" s="245"/>
      <c r="BX814" s="245"/>
      <c r="BY814" s="245"/>
      <c r="BZ814" s="282"/>
      <c r="CA814" s="245"/>
      <c r="CB814" s="245"/>
      <c r="CC814" s="245"/>
      <c r="CD814" s="245"/>
      <c r="CE814" s="245"/>
      <c r="CF814" s="245"/>
    </row>
    <row r="815">
      <c r="A815" s="245"/>
      <c r="B815" s="245"/>
      <c r="C815" s="245"/>
      <c r="D815" s="246"/>
      <c r="E815" s="245"/>
      <c r="F815" s="245"/>
      <c r="G815" s="245"/>
      <c r="H815" s="245"/>
      <c r="I815" s="245"/>
      <c r="J815" s="245"/>
      <c r="K815" s="265"/>
      <c r="L815" s="245"/>
      <c r="M815" s="245"/>
      <c r="N815" s="245"/>
      <c r="O815" s="245"/>
      <c r="P815" s="245"/>
      <c r="Q815" s="247"/>
      <c r="R815" s="254"/>
      <c r="S815" s="265"/>
      <c r="T815" s="245"/>
      <c r="U815" s="245"/>
      <c r="V815" s="245"/>
      <c r="W815" s="245"/>
      <c r="X815" s="245"/>
      <c r="Y815" s="249"/>
      <c r="Z815" s="276"/>
      <c r="AA815" s="245"/>
      <c r="AB815" s="276"/>
      <c r="AC815" s="276"/>
      <c r="AD815" s="246"/>
      <c r="AE815" s="278"/>
      <c r="AF815" s="370"/>
      <c r="AG815" s="371"/>
      <c r="AH815" s="287"/>
      <c r="AI815" s="254"/>
      <c r="AJ815" s="287"/>
      <c r="AK815" s="278"/>
      <c r="AL815" s="246"/>
      <c r="AM815" s="245"/>
      <c r="AN815" s="245"/>
      <c r="AO815" s="274"/>
      <c r="AP815" s="245"/>
      <c r="AQ815" s="276"/>
      <c r="AR815" s="246"/>
      <c r="AS815" s="245"/>
      <c r="AT815" s="276"/>
      <c r="AU815" s="245"/>
      <c r="AV815" s="245"/>
      <c r="AW815" s="287"/>
      <c r="AX815" s="246"/>
      <c r="AY815" s="245"/>
      <c r="AZ815" s="245"/>
      <c r="BA815" s="352"/>
      <c r="BB815" s="254"/>
      <c r="BC815" s="245"/>
      <c r="BD815" s="245"/>
      <c r="BE815" s="245"/>
      <c r="BF815" s="245"/>
      <c r="BG815" s="245"/>
      <c r="BH815" s="245"/>
      <c r="BI815" s="245"/>
      <c r="BJ815" s="245"/>
      <c r="BK815" s="245"/>
      <c r="BL815" s="245"/>
      <c r="BM815" s="245"/>
      <c r="BN815" s="245"/>
      <c r="BO815" s="245"/>
      <c r="BP815" s="245"/>
      <c r="BQ815" s="245"/>
      <c r="BR815" s="245"/>
      <c r="BS815" s="245"/>
      <c r="BT815" s="246"/>
      <c r="BU815" s="245"/>
      <c r="BV815" s="245"/>
      <c r="BW815" s="245"/>
      <c r="BX815" s="245"/>
      <c r="BY815" s="245"/>
      <c r="BZ815" s="282"/>
      <c r="CA815" s="245"/>
      <c r="CB815" s="245"/>
      <c r="CC815" s="245"/>
      <c r="CD815" s="245"/>
      <c r="CE815" s="245"/>
      <c r="CF815" s="245"/>
    </row>
    <row r="816">
      <c r="A816" s="305"/>
      <c r="B816" s="245"/>
      <c r="C816" s="245"/>
      <c r="D816" s="246"/>
      <c r="E816" s="245"/>
      <c r="F816" s="245"/>
      <c r="G816" s="245"/>
      <c r="H816" s="245"/>
      <c r="I816" s="245"/>
      <c r="J816" s="245"/>
      <c r="K816" s="265"/>
      <c r="L816" s="245"/>
      <c r="M816" s="245"/>
      <c r="N816" s="245"/>
      <c r="O816" s="245"/>
      <c r="P816" s="245"/>
      <c r="Q816" s="247"/>
      <c r="R816" s="254"/>
      <c r="S816" s="265"/>
      <c r="T816" s="245"/>
      <c r="U816" s="245"/>
      <c r="V816" s="245"/>
      <c r="W816" s="245"/>
      <c r="X816" s="245"/>
      <c r="Y816" s="249"/>
      <c r="Z816" s="276"/>
      <c r="AA816" s="245"/>
      <c r="AB816" s="276"/>
      <c r="AC816" s="276"/>
      <c r="AD816" s="246"/>
      <c r="AE816" s="278"/>
      <c r="AF816" s="370"/>
      <c r="AG816" s="371"/>
      <c r="AH816" s="327"/>
      <c r="AI816" s="254"/>
      <c r="AJ816" s="287"/>
      <c r="AK816" s="278"/>
      <c r="AL816" s="246"/>
      <c r="AM816" s="245"/>
      <c r="AN816" s="245"/>
      <c r="AO816" s="274"/>
      <c r="AP816" s="245"/>
      <c r="AQ816" s="276"/>
      <c r="AR816" s="246"/>
      <c r="AS816" s="245"/>
      <c r="AT816" s="276"/>
      <c r="AU816" s="245"/>
      <c r="AV816" s="245"/>
      <c r="AW816" s="287"/>
      <c r="AX816" s="246"/>
      <c r="AY816" s="245"/>
      <c r="AZ816" s="245"/>
      <c r="BA816" s="345"/>
      <c r="BB816" s="254"/>
      <c r="BC816" s="245"/>
      <c r="BD816" s="245"/>
      <c r="BE816" s="245"/>
      <c r="BF816" s="245"/>
      <c r="BG816" s="245"/>
      <c r="BH816" s="245"/>
      <c r="BI816" s="245"/>
      <c r="BJ816" s="245"/>
      <c r="BK816" s="245"/>
      <c r="BL816" s="245"/>
      <c r="BM816" s="245"/>
      <c r="BN816" s="245"/>
      <c r="BO816" s="245"/>
      <c r="BP816" s="245"/>
      <c r="BQ816" s="245"/>
      <c r="BR816" s="245"/>
      <c r="BS816" s="245"/>
      <c r="BT816" s="246"/>
      <c r="BU816" s="245"/>
      <c r="BV816" s="245"/>
      <c r="BW816" s="245"/>
      <c r="BX816" s="245"/>
      <c r="BY816" s="245"/>
      <c r="BZ816" s="282"/>
      <c r="CA816" s="245"/>
      <c r="CB816" s="245"/>
      <c r="CC816" s="245"/>
      <c r="CD816" s="245"/>
      <c r="CE816" s="245"/>
      <c r="CF816" s="245"/>
    </row>
    <row r="817">
      <c r="A817" s="245"/>
      <c r="B817" s="245"/>
      <c r="C817" s="245"/>
      <c r="D817" s="246"/>
      <c r="E817" s="245"/>
      <c r="F817" s="245"/>
      <c r="G817" s="245"/>
      <c r="H817" s="245"/>
      <c r="I817" s="245"/>
      <c r="J817" s="245"/>
      <c r="K817" s="265"/>
      <c r="L817" s="245"/>
      <c r="M817" s="245"/>
      <c r="N817" s="245"/>
      <c r="O817" s="245"/>
      <c r="P817" s="245"/>
      <c r="Q817" s="247"/>
      <c r="R817" s="254"/>
      <c r="S817" s="265"/>
      <c r="T817" s="245"/>
      <c r="U817" s="245"/>
      <c r="V817" s="245"/>
      <c r="W817" s="245"/>
      <c r="X817" s="245"/>
      <c r="Y817" s="249"/>
      <c r="Z817" s="276"/>
      <c r="AA817" s="245"/>
      <c r="AB817" s="276"/>
      <c r="AC817" s="276"/>
      <c r="AD817" s="246"/>
      <c r="AE817" s="278"/>
      <c r="AF817" s="370"/>
      <c r="AG817" s="371"/>
      <c r="AH817" s="287"/>
      <c r="AI817" s="254"/>
      <c r="AJ817" s="287"/>
      <c r="AK817" s="278"/>
      <c r="AL817" s="246"/>
      <c r="AM817" s="245"/>
      <c r="AN817" s="245"/>
      <c r="AO817" s="274"/>
      <c r="AP817" s="245"/>
      <c r="AQ817" s="276"/>
      <c r="AR817" s="246"/>
      <c r="AS817" s="245"/>
      <c r="AT817" s="276"/>
      <c r="AU817" s="245"/>
      <c r="AV817" s="245"/>
      <c r="AW817" s="287"/>
      <c r="AX817" s="246"/>
      <c r="AY817" s="245"/>
      <c r="AZ817" s="245"/>
      <c r="BA817" s="333"/>
      <c r="BB817" s="254"/>
      <c r="BC817" s="245"/>
      <c r="BD817" s="245"/>
      <c r="BE817" s="245"/>
      <c r="BF817" s="245"/>
      <c r="BG817" s="245"/>
      <c r="BH817" s="245"/>
      <c r="BI817" s="245"/>
      <c r="BJ817" s="245"/>
      <c r="BK817" s="245"/>
      <c r="BL817" s="245"/>
      <c r="BM817" s="245"/>
      <c r="BN817" s="245"/>
      <c r="BO817" s="245"/>
      <c r="BP817" s="245"/>
      <c r="BQ817" s="245"/>
      <c r="BR817" s="245"/>
      <c r="BS817" s="245"/>
      <c r="BT817" s="246"/>
      <c r="BU817" s="245"/>
      <c r="BV817" s="245"/>
      <c r="BW817" s="245"/>
      <c r="BX817" s="245"/>
      <c r="BY817" s="245"/>
      <c r="BZ817" s="282"/>
      <c r="CA817" s="245"/>
      <c r="CB817" s="245"/>
      <c r="CC817" s="245"/>
      <c r="CD817" s="245"/>
      <c r="CE817" s="245"/>
      <c r="CF817" s="245"/>
    </row>
    <row r="818">
      <c r="A818" s="245"/>
      <c r="B818" s="245"/>
      <c r="C818" s="245"/>
      <c r="D818" s="246"/>
      <c r="E818" s="245"/>
      <c r="F818" s="245"/>
      <c r="G818" s="245"/>
      <c r="H818" s="245"/>
      <c r="I818" s="245"/>
      <c r="J818" s="245"/>
      <c r="K818" s="265"/>
      <c r="L818" s="245"/>
      <c r="M818" s="245"/>
      <c r="N818" s="245"/>
      <c r="O818" s="245"/>
      <c r="P818" s="245"/>
      <c r="Q818" s="247"/>
      <c r="R818" s="254"/>
      <c r="S818" s="265"/>
      <c r="T818" s="245"/>
      <c r="U818" s="245"/>
      <c r="V818" s="245"/>
      <c r="W818" s="245"/>
      <c r="X818" s="245"/>
      <c r="Y818" s="249"/>
      <c r="Z818" s="276"/>
      <c r="AA818" s="245"/>
      <c r="AB818" s="276"/>
      <c r="AC818" s="276"/>
      <c r="AD818" s="246"/>
      <c r="AE818" s="278"/>
      <c r="AF818" s="370"/>
      <c r="AG818" s="371"/>
      <c r="AH818" s="317"/>
      <c r="AI818" s="254"/>
      <c r="AJ818" s="287"/>
      <c r="AK818" s="278"/>
      <c r="AL818" s="246"/>
      <c r="AM818" s="245"/>
      <c r="AN818" s="245"/>
      <c r="AO818" s="274"/>
      <c r="AP818" s="245"/>
      <c r="AQ818" s="276"/>
      <c r="AR818" s="246"/>
      <c r="AS818" s="245"/>
      <c r="AT818" s="276"/>
      <c r="AU818" s="245"/>
      <c r="AV818" s="245"/>
      <c r="AW818" s="287"/>
      <c r="AX818" s="246"/>
      <c r="AY818" s="245"/>
      <c r="AZ818" s="245"/>
      <c r="BA818" s="246"/>
      <c r="BB818" s="245"/>
      <c r="BC818" s="245"/>
      <c r="BD818" s="245"/>
      <c r="BE818" s="245"/>
      <c r="BF818" s="245"/>
      <c r="BG818" s="245"/>
      <c r="BH818" s="245"/>
      <c r="BI818" s="245"/>
      <c r="BJ818" s="245"/>
      <c r="BK818" s="245"/>
      <c r="BL818" s="245"/>
      <c r="BM818" s="245"/>
      <c r="BN818" s="245"/>
      <c r="BO818" s="245"/>
      <c r="BP818" s="245"/>
      <c r="BQ818" s="245"/>
      <c r="BR818" s="245"/>
      <c r="BS818" s="245"/>
      <c r="BT818" s="246"/>
      <c r="BU818" s="245"/>
      <c r="BV818" s="245"/>
      <c r="BW818" s="245"/>
      <c r="BX818" s="245"/>
      <c r="BY818" s="245"/>
      <c r="BZ818" s="282"/>
      <c r="CA818" s="245"/>
      <c r="CB818" s="245"/>
      <c r="CC818" s="245"/>
      <c r="CD818" s="245"/>
      <c r="CE818" s="245"/>
      <c r="CF818" s="245"/>
    </row>
    <row r="819">
      <c r="A819" s="245"/>
      <c r="B819" s="245"/>
      <c r="C819" s="245"/>
      <c r="D819" s="246"/>
      <c r="E819" s="245"/>
      <c r="F819" s="245"/>
      <c r="G819" s="245"/>
      <c r="H819" s="245"/>
      <c r="I819" s="245"/>
      <c r="J819" s="245"/>
      <c r="K819" s="265"/>
      <c r="L819" s="245"/>
      <c r="M819" s="245"/>
      <c r="N819" s="245"/>
      <c r="O819" s="245"/>
      <c r="P819" s="245"/>
      <c r="Q819" s="247"/>
      <c r="R819" s="254"/>
      <c r="S819" s="265"/>
      <c r="T819" s="245"/>
      <c r="U819" s="245"/>
      <c r="V819" s="245"/>
      <c r="W819" s="245"/>
      <c r="X819" s="245"/>
      <c r="Y819" s="249"/>
      <c r="Z819" s="276"/>
      <c r="AA819" s="245"/>
      <c r="AB819" s="276"/>
      <c r="AC819" s="276"/>
      <c r="AD819" s="246"/>
      <c r="AE819" s="278"/>
      <c r="AF819" s="370"/>
      <c r="AG819" s="371"/>
      <c r="AH819" s="286"/>
      <c r="AI819" s="254"/>
      <c r="AJ819" s="287"/>
      <c r="AK819" s="278"/>
      <c r="AL819" s="246"/>
      <c r="AM819" s="245"/>
      <c r="AN819" s="245"/>
      <c r="AO819" s="274"/>
      <c r="AP819" s="245"/>
      <c r="AQ819" s="276"/>
      <c r="AR819" s="246"/>
      <c r="AS819" s="245"/>
      <c r="AT819" s="276"/>
      <c r="AU819" s="245"/>
      <c r="AV819" s="245"/>
      <c r="AW819" s="287"/>
      <c r="AX819" s="246"/>
      <c r="AY819" s="245"/>
      <c r="AZ819" s="245"/>
      <c r="BA819" s="246"/>
      <c r="BB819" s="245"/>
      <c r="BC819" s="245"/>
      <c r="BD819" s="245"/>
      <c r="BE819" s="245"/>
      <c r="BF819" s="245"/>
      <c r="BG819" s="245"/>
      <c r="BH819" s="245"/>
      <c r="BI819" s="245"/>
      <c r="BJ819" s="245"/>
      <c r="BK819" s="245"/>
      <c r="BL819" s="245"/>
      <c r="BM819" s="245"/>
      <c r="BN819" s="245"/>
      <c r="BO819" s="245"/>
      <c r="BP819" s="245"/>
      <c r="BQ819" s="245"/>
      <c r="BR819" s="245"/>
      <c r="BS819" s="245"/>
      <c r="BT819" s="246"/>
      <c r="BU819" s="245"/>
      <c r="BV819" s="245"/>
      <c r="BW819" s="245"/>
      <c r="BX819" s="245"/>
      <c r="BY819" s="245"/>
      <c r="BZ819" s="282"/>
      <c r="CA819" s="245"/>
      <c r="CB819" s="245"/>
      <c r="CC819" s="245"/>
      <c r="CD819" s="245"/>
      <c r="CE819" s="245"/>
      <c r="CF819" s="245"/>
    </row>
    <row r="820">
      <c r="A820" s="245"/>
      <c r="B820" s="245"/>
      <c r="C820" s="245"/>
      <c r="D820" s="246"/>
      <c r="E820" s="245"/>
      <c r="F820" s="245"/>
      <c r="G820" s="245"/>
      <c r="H820" s="245"/>
      <c r="I820" s="245"/>
      <c r="J820" s="245"/>
      <c r="K820" s="265"/>
      <c r="L820" s="245"/>
      <c r="M820" s="245"/>
      <c r="N820" s="245"/>
      <c r="O820" s="245"/>
      <c r="P820" s="245"/>
      <c r="Q820" s="247"/>
      <c r="R820" s="254"/>
      <c r="S820" s="245"/>
      <c r="T820" s="245"/>
      <c r="U820" s="245"/>
      <c r="V820" s="245"/>
      <c r="W820" s="245"/>
      <c r="X820" s="245"/>
      <c r="Y820" s="249"/>
      <c r="Z820" s="276"/>
      <c r="AA820" s="245"/>
      <c r="AB820" s="276"/>
      <c r="AC820" s="276"/>
      <c r="AD820" s="246"/>
      <c r="AE820" s="278"/>
      <c r="AF820" s="370"/>
      <c r="AG820" s="371"/>
      <c r="AH820" s="327"/>
      <c r="AI820" s="254"/>
      <c r="AJ820" s="287"/>
      <c r="AK820" s="278"/>
      <c r="AL820" s="246"/>
      <c r="AM820" s="245"/>
      <c r="AN820" s="245"/>
      <c r="AO820" s="274"/>
      <c r="AP820" s="245"/>
      <c r="AQ820" s="245"/>
      <c r="AR820" s="246"/>
      <c r="AS820" s="245"/>
      <c r="AT820" s="276"/>
      <c r="AU820" s="245"/>
      <c r="AV820" s="245"/>
      <c r="AW820" s="287"/>
      <c r="AX820" s="246"/>
      <c r="AY820" s="245"/>
      <c r="AZ820" s="245"/>
      <c r="BA820" s="246"/>
      <c r="BB820" s="245"/>
      <c r="BC820" s="245"/>
      <c r="BD820" s="245"/>
      <c r="BE820" s="245"/>
      <c r="BF820" s="245"/>
      <c r="BG820" s="245"/>
      <c r="BH820" s="245"/>
      <c r="BI820" s="245"/>
      <c r="BJ820" s="245"/>
      <c r="BK820" s="245"/>
      <c r="BL820" s="245"/>
      <c r="BM820" s="245"/>
      <c r="BN820" s="245"/>
      <c r="BO820" s="245"/>
      <c r="BP820" s="245"/>
      <c r="BQ820" s="245"/>
      <c r="BR820" s="245"/>
      <c r="BS820" s="245"/>
      <c r="BT820" s="246"/>
      <c r="BU820" s="245"/>
      <c r="BV820" s="245"/>
      <c r="BW820" s="245"/>
      <c r="BX820" s="245"/>
      <c r="BY820" s="245"/>
      <c r="BZ820" s="282"/>
      <c r="CA820" s="245"/>
      <c r="CB820" s="245"/>
      <c r="CC820" s="245"/>
      <c r="CD820" s="245"/>
      <c r="CE820" s="245"/>
      <c r="CF820" s="245"/>
    </row>
    <row r="821">
      <c r="A821" s="245"/>
      <c r="B821" s="245"/>
      <c r="C821" s="245"/>
      <c r="D821" s="246"/>
      <c r="E821" s="245"/>
      <c r="F821" s="245"/>
      <c r="G821" s="245"/>
      <c r="H821" s="245"/>
      <c r="I821" s="245"/>
      <c r="J821" s="245"/>
      <c r="K821" s="265"/>
      <c r="L821" s="245"/>
      <c r="M821" s="245"/>
      <c r="N821" s="245"/>
      <c r="O821" s="245"/>
      <c r="P821" s="245"/>
      <c r="Q821" s="247"/>
      <c r="R821" s="254"/>
      <c r="S821" s="245"/>
      <c r="T821" s="245"/>
      <c r="U821" s="245"/>
      <c r="V821" s="245"/>
      <c r="W821" s="245"/>
      <c r="X821" s="245"/>
      <c r="Y821" s="249"/>
      <c r="Z821" s="276"/>
      <c r="AA821" s="245"/>
      <c r="AB821" s="276"/>
      <c r="AC821" s="276"/>
      <c r="AD821" s="246"/>
      <c r="AE821" s="278"/>
      <c r="AF821" s="370"/>
      <c r="AG821" s="371"/>
      <c r="AH821" s="358"/>
      <c r="AI821" s="254"/>
      <c r="AJ821" s="287"/>
      <c r="AK821" s="278"/>
      <c r="AL821" s="246"/>
      <c r="AM821" s="245"/>
      <c r="AN821" s="245"/>
      <c r="AO821" s="274"/>
      <c r="AP821" s="245"/>
      <c r="AQ821" s="276"/>
      <c r="AR821" s="246"/>
      <c r="AS821" s="245"/>
      <c r="AT821" s="276"/>
      <c r="AU821" s="245"/>
      <c r="AV821" s="245"/>
      <c r="AW821" s="287"/>
      <c r="AX821" s="246"/>
      <c r="AY821" s="245"/>
      <c r="AZ821" s="245"/>
      <c r="BA821" s="246"/>
      <c r="BB821" s="245"/>
      <c r="BC821" s="245"/>
      <c r="BD821" s="245"/>
      <c r="BE821" s="245"/>
      <c r="BF821" s="245"/>
      <c r="BG821" s="245"/>
      <c r="BH821" s="245"/>
      <c r="BI821" s="245"/>
      <c r="BJ821" s="245"/>
      <c r="BK821" s="245"/>
      <c r="BL821" s="245"/>
      <c r="BM821" s="245"/>
      <c r="BN821" s="245"/>
      <c r="BO821" s="245"/>
      <c r="BP821" s="245"/>
      <c r="BQ821" s="245"/>
      <c r="BR821" s="245"/>
      <c r="BS821" s="245"/>
      <c r="BT821" s="246"/>
      <c r="BU821" s="245"/>
      <c r="BV821" s="245"/>
      <c r="BW821" s="245"/>
      <c r="BX821" s="245"/>
      <c r="BY821" s="245"/>
      <c r="BZ821" s="282"/>
      <c r="CA821" s="245"/>
      <c r="CB821" s="245"/>
      <c r="CC821" s="245"/>
      <c r="CD821" s="245"/>
      <c r="CE821" s="245"/>
      <c r="CF821" s="245"/>
    </row>
    <row r="822">
      <c r="A822" s="245"/>
      <c r="B822" s="245"/>
      <c r="C822" s="245"/>
      <c r="D822" s="246"/>
      <c r="E822" s="245"/>
      <c r="F822" s="245"/>
      <c r="G822" s="245"/>
      <c r="H822" s="245"/>
      <c r="I822" s="245"/>
      <c r="J822" s="245"/>
      <c r="K822" s="265"/>
      <c r="L822" s="245"/>
      <c r="M822" s="245"/>
      <c r="N822" s="245"/>
      <c r="O822" s="245"/>
      <c r="P822" s="245"/>
      <c r="Q822" s="247"/>
      <c r="R822" s="254"/>
      <c r="S822" s="245"/>
      <c r="T822" s="245"/>
      <c r="U822" s="245"/>
      <c r="V822" s="245"/>
      <c r="W822" s="245"/>
      <c r="X822" s="245"/>
      <c r="Y822" s="249"/>
      <c r="Z822" s="276"/>
      <c r="AA822" s="245"/>
      <c r="AB822" s="276"/>
      <c r="AC822" s="276"/>
      <c r="AD822" s="246"/>
      <c r="AE822" s="278"/>
      <c r="AF822" s="370"/>
      <c r="AG822" s="371"/>
      <c r="AH822" s="360"/>
      <c r="AI822" s="254"/>
      <c r="AJ822" s="287"/>
      <c r="AK822" s="278"/>
      <c r="AL822" s="246"/>
      <c r="AM822" s="245"/>
      <c r="AN822" s="245"/>
      <c r="AO822" s="274"/>
      <c r="AP822" s="245"/>
      <c r="AQ822" s="276"/>
      <c r="AR822" s="246"/>
      <c r="AS822" s="245"/>
      <c r="AT822" s="276"/>
      <c r="AU822" s="245"/>
      <c r="AV822" s="245"/>
      <c r="AW822" s="287"/>
      <c r="AX822" s="246"/>
      <c r="AY822" s="245"/>
      <c r="AZ822" s="245"/>
      <c r="BA822" s="246"/>
      <c r="BB822" s="245"/>
      <c r="BC822" s="245"/>
      <c r="BD822" s="245"/>
      <c r="BE822" s="245"/>
      <c r="BF822" s="245"/>
      <c r="BG822" s="245"/>
      <c r="BH822" s="245"/>
      <c r="BI822" s="245"/>
      <c r="BJ822" s="245"/>
      <c r="BK822" s="245"/>
      <c r="BL822" s="245"/>
      <c r="BM822" s="245"/>
      <c r="BN822" s="245"/>
      <c r="BO822" s="245"/>
      <c r="BP822" s="245"/>
      <c r="BQ822" s="245"/>
      <c r="BR822" s="245"/>
      <c r="BS822" s="245"/>
      <c r="BT822" s="246"/>
      <c r="BU822" s="245"/>
      <c r="BV822" s="245"/>
      <c r="BW822" s="245"/>
      <c r="BX822" s="245"/>
      <c r="BY822" s="245"/>
      <c r="BZ822" s="282"/>
      <c r="CA822" s="245"/>
      <c r="CB822" s="245"/>
      <c r="CC822" s="245"/>
      <c r="CD822" s="245"/>
      <c r="CE822" s="245"/>
      <c r="CF822" s="245"/>
    </row>
    <row r="823">
      <c r="A823" s="245"/>
      <c r="B823" s="245"/>
      <c r="C823" s="245"/>
      <c r="D823" s="246"/>
      <c r="E823" s="245"/>
      <c r="F823" s="245"/>
      <c r="G823" s="245"/>
      <c r="H823" s="245"/>
      <c r="I823" s="245"/>
      <c r="J823" s="245"/>
      <c r="K823" s="265"/>
      <c r="L823" s="245"/>
      <c r="M823" s="245"/>
      <c r="N823" s="245"/>
      <c r="O823" s="245"/>
      <c r="P823" s="245"/>
      <c r="Q823" s="247"/>
      <c r="R823" s="254"/>
      <c r="S823" s="245"/>
      <c r="T823" s="245"/>
      <c r="U823" s="245"/>
      <c r="V823" s="245"/>
      <c r="W823" s="245"/>
      <c r="X823" s="245"/>
      <c r="Y823" s="249"/>
      <c r="Z823" s="276"/>
      <c r="AA823" s="245"/>
      <c r="AB823" s="276"/>
      <c r="AC823" s="276"/>
      <c r="AD823" s="246"/>
      <c r="AE823" s="278"/>
      <c r="AF823" s="370"/>
      <c r="AG823" s="371"/>
      <c r="AH823" s="362"/>
      <c r="AI823" s="254"/>
      <c r="AJ823" s="287"/>
      <c r="AK823" s="278"/>
      <c r="AL823" s="246"/>
      <c r="AM823" s="245"/>
      <c r="AN823" s="245"/>
      <c r="AO823" s="274"/>
      <c r="AP823" s="245"/>
      <c r="AQ823" s="276"/>
      <c r="AR823" s="246"/>
      <c r="AS823" s="245"/>
      <c r="AT823" s="276"/>
      <c r="AU823" s="245"/>
      <c r="AV823" s="245"/>
      <c r="AW823" s="287"/>
      <c r="AX823" s="246"/>
      <c r="AY823" s="245"/>
      <c r="AZ823" s="245"/>
      <c r="BA823" s="246"/>
      <c r="BB823" s="245"/>
      <c r="BC823" s="245"/>
      <c r="BD823" s="245"/>
      <c r="BE823" s="245"/>
      <c r="BF823" s="245"/>
      <c r="BG823" s="245"/>
      <c r="BH823" s="245"/>
      <c r="BI823" s="245"/>
      <c r="BJ823" s="245"/>
      <c r="BK823" s="245"/>
      <c r="BL823" s="245"/>
      <c r="BM823" s="245"/>
      <c r="BN823" s="245"/>
      <c r="BO823" s="245"/>
      <c r="BP823" s="245"/>
      <c r="BQ823" s="245"/>
      <c r="BR823" s="245"/>
      <c r="BS823" s="245"/>
      <c r="BT823" s="246"/>
      <c r="BU823" s="245"/>
      <c r="BV823" s="245"/>
      <c r="BW823" s="245"/>
      <c r="BX823" s="245"/>
      <c r="BY823" s="245"/>
      <c r="BZ823" s="282"/>
      <c r="CA823" s="245"/>
      <c r="CB823" s="245"/>
      <c r="CC823" s="245"/>
      <c r="CD823" s="245"/>
      <c r="CE823" s="245"/>
      <c r="CF823" s="245"/>
    </row>
    <row r="824">
      <c r="A824" s="245"/>
      <c r="B824" s="245"/>
      <c r="C824" s="245"/>
      <c r="D824" s="246"/>
      <c r="E824" s="245"/>
      <c r="F824" s="245"/>
      <c r="G824" s="245"/>
      <c r="H824" s="245"/>
      <c r="I824" s="245"/>
      <c r="J824" s="245"/>
      <c r="K824" s="265"/>
      <c r="L824" s="245"/>
      <c r="M824" s="245"/>
      <c r="N824" s="245"/>
      <c r="O824" s="245"/>
      <c r="P824" s="245"/>
      <c r="Q824" s="247"/>
      <c r="R824" s="254"/>
      <c r="S824" s="245"/>
      <c r="T824" s="245"/>
      <c r="U824" s="245"/>
      <c r="V824" s="245"/>
      <c r="W824" s="245"/>
      <c r="X824" s="245"/>
      <c r="Y824" s="249"/>
      <c r="Z824" s="276"/>
      <c r="AA824" s="245"/>
      <c r="AB824" s="276"/>
      <c r="AC824" s="276"/>
      <c r="AD824" s="246"/>
      <c r="AE824" s="278"/>
      <c r="AF824" s="370"/>
      <c r="AG824" s="371"/>
      <c r="AH824" s="327"/>
      <c r="AI824" s="254"/>
      <c r="AJ824" s="287"/>
      <c r="AK824" s="278"/>
      <c r="AL824" s="246"/>
      <c r="AM824" s="245"/>
      <c r="AN824" s="245"/>
      <c r="AO824" s="274"/>
      <c r="AP824" s="245"/>
      <c r="AQ824" s="276"/>
      <c r="AR824" s="246"/>
      <c r="AS824" s="245"/>
      <c r="AT824" s="276"/>
      <c r="AU824" s="245"/>
      <c r="AV824" s="245"/>
      <c r="AW824" s="287"/>
      <c r="AX824" s="246"/>
      <c r="AY824" s="245"/>
      <c r="AZ824" s="245"/>
      <c r="BA824" s="246"/>
      <c r="BB824" s="245"/>
      <c r="BC824" s="245"/>
      <c r="BD824" s="245"/>
      <c r="BE824" s="245"/>
      <c r="BF824" s="245"/>
      <c r="BG824" s="245"/>
      <c r="BH824" s="245"/>
      <c r="BI824" s="245"/>
      <c r="BJ824" s="245"/>
      <c r="BK824" s="245"/>
      <c r="BL824" s="245"/>
      <c r="BM824" s="245"/>
      <c r="BN824" s="245"/>
      <c r="BO824" s="245"/>
      <c r="BP824" s="245"/>
      <c r="BQ824" s="245"/>
      <c r="BR824" s="245"/>
      <c r="BS824" s="245"/>
      <c r="BT824" s="246"/>
      <c r="BU824" s="245"/>
      <c r="BV824" s="245"/>
      <c r="BW824" s="245"/>
      <c r="BX824" s="245"/>
      <c r="BY824" s="245"/>
      <c r="BZ824" s="282"/>
      <c r="CA824" s="245"/>
      <c r="CB824" s="245"/>
      <c r="CC824" s="245"/>
      <c r="CD824" s="245"/>
      <c r="CE824" s="245"/>
      <c r="CF824" s="245"/>
    </row>
    <row r="825">
      <c r="A825" s="245"/>
      <c r="B825" s="245"/>
      <c r="C825" s="245"/>
      <c r="D825" s="246"/>
      <c r="E825" s="245"/>
      <c r="F825" s="245"/>
      <c r="G825" s="245"/>
      <c r="H825" s="245"/>
      <c r="I825" s="245"/>
      <c r="J825" s="245"/>
      <c r="K825" s="265"/>
      <c r="L825" s="245"/>
      <c r="M825" s="245"/>
      <c r="N825" s="245"/>
      <c r="O825" s="245"/>
      <c r="P825" s="245"/>
      <c r="Q825" s="247"/>
      <c r="R825" s="254"/>
      <c r="S825" s="245"/>
      <c r="T825" s="245"/>
      <c r="U825" s="245"/>
      <c r="V825" s="245"/>
      <c r="W825" s="245"/>
      <c r="X825" s="245"/>
      <c r="Y825" s="249"/>
      <c r="Z825" s="276"/>
      <c r="AA825" s="245"/>
      <c r="AB825" s="276"/>
      <c r="AC825" s="276"/>
      <c r="AD825" s="246"/>
      <c r="AE825" s="278"/>
      <c r="AF825" s="370"/>
      <c r="AG825" s="371"/>
      <c r="AH825" s="309"/>
      <c r="AI825" s="254"/>
      <c r="AJ825" s="287"/>
      <c r="AK825" s="278"/>
      <c r="AL825" s="246"/>
      <c r="AM825" s="245"/>
      <c r="AN825" s="245"/>
      <c r="AO825" s="274"/>
      <c r="AP825" s="245"/>
      <c r="AQ825" s="276"/>
      <c r="AR825" s="246"/>
      <c r="AS825" s="245"/>
      <c r="AT825" s="276"/>
      <c r="AU825" s="245"/>
      <c r="AV825" s="245"/>
      <c r="AW825" s="287"/>
      <c r="AX825" s="246"/>
      <c r="AY825" s="245"/>
      <c r="AZ825" s="245"/>
      <c r="BA825" s="246"/>
      <c r="BB825" s="245"/>
      <c r="BC825" s="245"/>
      <c r="BD825" s="245"/>
      <c r="BE825" s="245"/>
      <c r="BF825" s="245"/>
      <c r="BG825" s="245"/>
      <c r="BH825" s="245"/>
      <c r="BI825" s="245"/>
      <c r="BJ825" s="245"/>
      <c r="BK825" s="245"/>
      <c r="BL825" s="245"/>
      <c r="BM825" s="245"/>
      <c r="BN825" s="245"/>
      <c r="BO825" s="245"/>
      <c r="BP825" s="245"/>
      <c r="BQ825" s="245"/>
      <c r="BR825" s="245"/>
      <c r="BS825" s="245"/>
      <c r="BT825" s="246"/>
      <c r="BU825" s="245"/>
      <c r="BV825" s="245"/>
      <c r="BW825" s="245"/>
      <c r="BX825" s="245"/>
      <c r="BY825" s="245"/>
      <c r="BZ825" s="282"/>
      <c r="CA825" s="245"/>
      <c r="CB825" s="245"/>
      <c r="CC825" s="245"/>
      <c r="CD825" s="245"/>
      <c r="CE825" s="245"/>
      <c r="CF825" s="245"/>
    </row>
    <row r="826">
      <c r="A826" s="245"/>
      <c r="B826" s="245"/>
      <c r="C826" s="245"/>
      <c r="D826" s="246"/>
      <c r="E826" s="245"/>
      <c r="F826" s="245"/>
      <c r="G826" s="245"/>
      <c r="H826" s="245"/>
      <c r="I826" s="245"/>
      <c r="J826" s="245"/>
      <c r="K826" s="265"/>
      <c r="L826" s="245"/>
      <c r="M826" s="245"/>
      <c r="N826" s="245"/>
      <c r="O826" s="245"/>
      <c r="P826" s="245"/>
      <c r="Q826" s="247"/>
      <c r="R826" s="254"/>
      <c r="S826" s="245"/>
      <c r="T826" s="245"/>
      <c r="U826" s="245"/>
      <c r="V826" s="245"/>
      <c r="W826" s="245"/>
      <c r="X826" s="245"/>
      <c r="Y826" s="249"/>
      <c r="Z826" s="276"/>
      <c r="AA826" s="245"/>
      <c r="AB826" s="276"/>
      <c r="AC826" s="276"/>
      <c r="AD826" s="246"/>
      <c r="AE826" s="278"/>
      <c r="AF826" s="370"/>
      <c r="AG826" s="371"/>
      <c r="AH826" s="365"/>
      <c r="AI826" s="254"/>
      <c r="AJ826" s="287"/>
      <c r="AK826" s="278"/>
      <c r="AL826" s="246"/>
      <c r="AM826" s="245"/>
      <c r="AN826" s="245"/>
      <c r="AO826" s="274"/>
      <c r="AP826" s="245"/>
      <c r="AQ826" s="245"/>
      <c r="AR826" s="246"/>
      <c r="AS826" s="245"/>
      <c r="AT826" s="276"/>
      <c r="AU826" s="245"/>
      <c r="AV826" s="245"/>
      <c r="AW826" s="245"/>
      <c r="AX826" s="246"/>
      <c r="AY826" s="245"/>
      <c r="AZ826" s="245"/>
      <c r="BA826" s="246"/>
      <c r="BB826" s="245"/>
      <c r="BC826" s="245"/>
      <c r="BD826" s="245"/>
      <c r="BE826" s="245"/>
      <c r="BF826" s="245"/>
      <c r="BG826" s="245"/>
      <c r="BH826" s="245"/>
      <c r="BI826" s="245"/>
      <c r="BJ826" s="245"/>
      <c r="BK826" s="245"/>
      <c r="BL826" s="245"/>
      <c r="BM826" s="245"/>
      <c r="BN826" s="245"/>
      <c r="BO826" s="245"/>
      <c r="BP826" s="245"/>
      <c r="BQ826" s="245"/>
      <c r="BR826" s="245"/>
      <c r="BS826" s="245"/>
      <c r="BT826" s="246"/>
      <c r="BU826" s="245"/>
      <c r="BV826" s="245"/>
      <c r="BW826" s="245"/>
      <c r="BX826" s="245"/>
      <c r="BY826" s="245"/>
      <c r="BZ826" s="282"/>
      <c r="CA826" s="245"/>
      <c r="CB826" s="245"/>
      <c r="CC826" s="245"/>
      <c r="CD826" s="245"/>
      <c r="CE826" s="245"/>
      <c r="CF826" s="245"/>
    </row>
    <row r="827">
      <c r="A827" s="245"/>
      <c r="B827" s="245"/>
      <c r="C827" s="245"/>
      <c r="D827" s="246"/>
      <c r="E827" s="245"/>
      <c r="F827" s="245"/>
      <c r="G827" s="245"/>
      <c r="H827" s="245"/>
      <c r="I827" s="245"/>
      <c r="J827" s="245"/>
      <c r="K827" s="265"/>
      <c r="L827" s="245"/>
      <c r="M827" s="245"/>
      <c r="N827" s="245"/>
      <c r="O827" s="245"/>
      <c r="P827" s="245"/>
      <c r="Q827" s="247"/>
      <c r="R827" s="254"/>
      <c r="S827" s="245"/>
      <c r="T827" s="245"/>
      <c r="U827" s="245"/>
      <c r="V827" s="245"/>
      <c r="W827" s="245"/>
      <c r="X827" s="245"/>
      <c r="Y827" s="249"/>
      <c r="Z827" s="276"/>
      <c r="AA827" s="245"/>
      <c r="AB827" s="276"/>
      <c r="AC827" s="276"/>
      <c r="AD827" s="246"/>
      <c r="AE827" s="278"/>
      <c r="AF827" s="370"/>
      <c r="AG827" s="371"/>
      <c r="AH827" s="327"/>
      <c r="AI827" s="254"/>
      <c r="AJ827" s="287"/>
      <c r="AK827" s="278"/>
      <c r="AL827" s="246"/>
      <c r="AM827" s="245"/>
      <c r="AN827" s="245"/>
      <c r="AO827" s="274"/>
      <c r="AP827" s="245"/>
      <c r="AQ827" s="276"/>
      <c r="AR827" s="246"/>
      <c r="AS827" s="245"/>
      <c r="AT827" s="276"/>
      <c r="AU827" s="245"/>
      <c r="AV827" s="245"/>
      <c r="AW827" s="287"/>
      <c r="AX827" s="246"/>
      <c r="AY827" s="245"/>
      <c r="AZ827" s="245"/>
      <c r="BA827" s="246"/>
      <c r="BB827" s="245"/>
      <c r="BC827" s="245"/>
      <c r="BD827" s="245"/>
      <c r="BE827" s="245"/>
      <c r="BF827" s="245"/>
      <c r="BG827" s="245"/>
      <c r="BH827" s="245"/>
      <c r="BI827" s="245"/>
      <c r="BJ827" s="245"/>
      <c r="BK827" s="245"/>
      <c r="BL827" s="245"/>
      <c r="BM827" s="245"/>
      <c r="BN827" s="245"/>
      <c r="BO827" s="245"/>
      <c r="BP827" s="245"/>
      <c r="BQ827" s="245"/>
      <c r="BR827" s="245"/>
      <c r="BS827" s="245"/>
      <c r="BT827" s="246"/>
      <c r="BU827" s="245"/>
      <c r="BV827" s="245"/>
      <c r="BW827" s="245"/>
      <c r="BX827" s="245"/>
      <c r="BY827" s="245"/>
      <c r="BZ827" s="282"/>
      <c r="CA827" s="245"/>
      <c r="CB827" s="245"/>
      <c r="CC827" s="245"/>
      <c r="CD827" s="245"/>
      <c r="CE827" s="245"/>
      <c r="CF827" s="245"/>
    </row>
    <row r="828">
      <c r="A828" s="245"/>
      <c r="B828" s="245"/>
      <c r="C828" s="245"/>
      <c r="D828" s="246"/>
      <c r="E828" s="245"/>
      <c r="F828" s="245"/>
      <c r="G828" s="245"/>
      <c r="H828" s="245"/>
      <c r="I828" s="245"/>
      <c r="J828" s="245"/>
      <c r="K828" s="265"/>
      <c r="L828" s="245"/>
      <c r="M828" s="245"/>
      <c r="N828" s="245"/>
      <c r="O828" s="245"/>
      <c r="P828" s="245"/>
      <c r="Q828" s="247"/>
      <c r="R828" s="254"/>
      <c r="S828" s="245"/>
      <c r="T828" s="245"/>
      <c r="U828" s="245"/>
      <c r="V828" s="245"/>
      <c r="W828" s="245"/>
      <c r="X828" s="245"/>
      <c r="Y828" s="249"/>
      <c r="Z828" s="276"/>
      <c r="AA828" s="245"/>
      <c r="AB828" s="276"/>
      <c r="AC828" s="276"/>
      <c r="AD828" s="246"/>
      <c r="AE828" s="278"/>
      <c r="AF828" s="370"/>
      <c r="AG828" s="371"/>
      <c r="AH828" s="327"/>
      <c r="AI828" s="254"/>
      <c r="AJ828" s="287"/>
      <c r="AK828" s="278"/>
      <c r="AL828" s="246"/>
      <c r="AM828" s="245"/>
      <c r="AN828" s="245"/>
      <c r="AO828" s="274"/>
      <c r="AP828" s="245"/>
      <c r="AQ828" s="276"/>
      <c r="AR828" s="246"/>
      <c r="AS828" s="245"/>
      <c r="AT828" s="276"/>
      <c r="AU828" s="245"/>
      <c r="AV828" s="245"/>
      <c r="AW828" s="287"/>
      <c r="AX828" s="246"/>
      <c r="AY828" s="245"/>
      <c r="AZ828" s="245"/>
      <c r="BA828" s="246"/>
      <c r="BB828" s="245"/>
      <c r="BC828" s="245"/>
      <c r="BD828" s="245"/>
      <c r="BE828" s="245"/>
      <c r="BF828" s="245"/>
      <c r="BG828" s="245"/>
      <c r="BH828" s="245"/>
      <c r="BI828" s="245"/>
      <c r="BJ828" s="245"/>
      <c r="BK828" s="245"/>
      <c r="BL828" s="245"/>
      <c r="BM828" s="245"/>
      <c r="BN828" s="245"/>
      <c r="BO828" s="245"/>
      <c r="BP828" s="245"/>
      <c r="BQ828" s="245"/>
      <c r="BR828" s="245"/>
      <c r="BS828" s="245"/>
      <c r="BT828" s="246"/>
      <c r="BU828" s="245"/>
      <c r="BV828" s="245"/>
      <c r="BW828" s="245"/>
      <c r="BX828" s="245"/>
      <c r="BY828" s="245"/>
      <c r="BZ828" s="282"/>
      <c r="CA828" s="245"/>
      <c r="CB828" s="245"/>
      <c r="CC828" s="245"/>
      <c r="CD828" s="245"/>
      <c r="CE828" s="245"/>
      <c r="CF828" s="245"/>
    </row>
    <row r="829">
      <c r="A829" s="245"/>
      <c r="B829" s="245"/>
      <c r="C829" s="245"/>
      <c r="D829" s="246"/>
      <c r="E829" s="245"/>
      <c r="F829" s="245"/>
      <c r="G829" s="245"/>
      <c r="H829" s="245"/>
      <c r="I829" s="245"/>
      <c r="J829" s="245"/>
      <c r="K829" s="265"/>
      <c r="L829" s="245"/>
      <c r="M829" s="245"/>
      <c r="N829" s="245"/>
      <c r="O829" s="245"/>
      <c r="P829" s="245"/>
      <c r="Q829" s="247"/>
      <c r="R829" s="254"/>
      <c r="S829" s="245"/>
      <c r="T829" s="245"/>
      <c r="U829" s="245"/>
      <c r="V829" s="245"/>
      <c r="W829" s="245"/>
      <c r="X829" s="245"/>
      <c r="Y829" s="249"/>
      <c r="Z829" s="276"/>
      <c r="AA829" s="245"/>
      <c r="AB829" s="276"/>
      <c r="AC829" s="276"/>
      <c r="AD829" s="246"/>
      <c r="AE829" s="278"/>
      <c r="AF829" s="370"/>
      <c r="AG829" s="371"/>
      <c r="AH829" s="287"/>
      <c r="AI829" s="254"/>
      <c r="AJ829" s="287"/>
      <c r="AK829" s="278"/>
      <c r="AL829" s="246"/>
      <c r="AM829" s="245"/>
      <c r="AN829" s="245"/>
      <c r="AO829" s="274"/>
      <c r="AP829" s="245"/>
      <c r="AQ829" s="276"/>
      <c r="AR829" s="246"/>
      <c r="AS829" s="245"/>
      <c r="AT829" s="276"/>
      <c r="AU829" s="245"/>
      <c r="AV829" s="245"/>
      <c r="AW829" s="276"/>
      <c r="AX829" s="246"/>
      <c r="AY829" s="245"/>
      <c r="AZ829" s="245"/>
      <c r="BA829" s="246"/>
      <c r="BB829" s="245"/>
      <c r="BC829" s="245"/>
      <c r="BD829" s="245"/>
      <c r="BE829" s="245"/>
      <c r="BF829" s="245"/>
      <c r="BG829" s="245"/>
      <c r="BH829" s="245"/>
      <c r="BI829" s="245"/>
      <c r="BJ829" s="245"/>
      <c r="BK829" s="245"/>
      <c r="BL829" s="245"/>
      <c r="BM829" s="245"/>
      <c r="BN829" s="245"/>
      <c r="BO829" s="245"/>
      <c r="BP829" s="245"/>
      <c r="BQ829" s="245"/>
      <c r="BR829" s="245"/>
      <c r="BS829" s="245"/>
      <c r="BT829" s="246"/>
      <c r="BU829" s="245"/>
      <c r="BV829" s="245"/>
      <c r="BW829" s="245"/>
      <c r="BX829" s="245"/>
      <c r="BY829" s="245"/>
      <c r="BZ829" s="282"/>
      <c r="CA829" s="245"/>
      <c r="CB829" s="245"/>
      <c r="CC829" s="245"/>
      <c r="CD829" s="245"/>
      <c r="CE829" s="245"/>
      <c r="CF829" s="245"/>
    </row>
    <row r="830">
      <c r="A830" s="245"/>
      <c r="B830" s="245"/>
      <c r="C830" s="245"/>
      <c r="D830" s="246"/>
      <c r="E830" s="245"/>
      <c r="F830" s="245"/>
      <c r="G830" s="245"/>
      <c r="H830" s="245"/>
      <c r="I830" s="245"/>
      <c r="J830" s="245"/>
      <c r="K830" s="265"/>
      <c r="L830" s="245"/>
      <c r="M830" s="245"/>
      <c r="N830" s="245"/>
      <c r="O830" s="245"/>
      <c r="P830" s="245"/>
      <c r="Q830" s="247"/>
      <c r="R830" s="254"/>
      <c r="S830" s="245"/>
      <c r="T830" s="245"/>
      <c r="U830" s="245"/>
      <c r="V830" s="245"/>
      <c r="W830" s="245"/>
      <c r="X830" s="245"/>
      <c r="Y830" s="249"/>
      <c r="Z830" s="276"/>
      <c r="AA830" s="245"/>
      <c r="AB830" s="276"/>
      <c r="AC830" s="276"/>
      <c r="AD830" s="246"/>
      <c r="AE830" s="278"/>
      <c r="AF830" s="370"/>
      <c r="AG830" s="371"/>
      <c r="AH830" s="313"/>
      <c r="AI830" s="254"/>
      <c r="AJ830" s="287"/>
      <c r="AK830" s="278"/>
      <c r="AL830" s="246"/>
      <c r="AM830" s="245"/>
      <c r="AN830" s="245"/>
      <c r="AO830" s="274"/>
      <c r="AP830" s="245"/>
      <c r="AQ830" s="276"/>
      <c r="AR830" s="246"/>
      <c r="AS830" s="245"/>
      <c r="AT830" s="276"/>
      <c r="AU830" s="245"/>
      <c r="AV830" s="245"/>
      <c r="AW830" s="287"/>
      <c r="AX830" s="246"/>
      <c r="AY830" s="245"/>
      <c r="AZ830" s="245"/>
      <c r="BA830" s="246"/>
      <c r="BB830" s="245"/>
      <c r="BC830" s="245"/>
      <c r="BD830" s="245"/>
      <c r="BE830" s="245"/>
      <c r="BF830" s="245"/>
      <c r="BG830" s="245"/>
      <c r="BH830" s="245"/>
      <c r="BI830" s="245"/>
      <c r="BJ830" s="245"/>
      <c r="BK830" s="245"/>
      <c r="BL830" s="245"/>
      <c r="BM830" s="245"/>
      <c r="BN830" s="245"/>
      <c r="BO830" s="245"/>
      <c r="BP830" s="245"/>
      <c r="BQ830" s="245"/>
      <c r="BR830" s="245"/>
      <c r="BS830" s="245"/>
      <c r="BT830" s="246"/>
      <c r="BU830" s="245"/>
      <c r="BV830" s="245"/>
      <c r="BW830" s="245"/>
      <c r="BX830" s="245"/>
      <c r="BY830" s="245"/>
      <c r="BZ830" s="282"/>
      <c r="CA830" s="245"/>
      <c r="CB830" s="245"/>
      <c r="CC830" s="245"/>
      <c r="CD830" s="245"/>
      <c r="CE830" s="245"/>
      <c r="CF830" s="245"/>
    </row>
    <row r="831">
      <c r="A831" s="245"/>
      <c r="B831" s="245"/>
      <c r="C831" s="245"/>
      <c r="D831" s="246"/>
      <c r="E831" s="245"/>
      <c r="F831" s="245"/>
      <c r="G831" s="245"/>
      <c r="H831" s="245"/>
      <c r="I831" s="245"/>
      <c r="J831" s="245"/>
      <c r="K831" s="265"/>
      <c r="L831" s="245"/>
      <c r="M831" s="245"/>
      <c r="N831" s="245"/>
      <c r="O831" s="245"/>
      <c r="P831" s="245"/>
      <c r="Q831" s="247"/>
      <c r="R831" s="254"/>
      <c r="S831" s="245"/>
      <c r="T831" s="245"/>
      <c r="U831" s="245"/>
      <c r="V831" s="245"/>
      <c r="W831" s="245"/>
      <c r="X831" s="245"/>
      <c r="Y831" s="249"/>
      <c r="Z831" s="276"/>
      <c r="AA831" s="245"/>
      <c r="AB831" s="276"/>
      <c r="AC831" s="276"/>
      <c r="AD831" s="246"/>
      <c r="AE831" s="278"/>
      <c r="AF831" s="370"/>
      <c r="AG831" s="371"/>
      <c r="AH831" s="291"/>
      <c r="AI831" s="254"/>
      <c r="AJ831" s="287"/>
      <c r="AK831" s="278"/>
      <c r="AL831" s="246"/>
      <c r="AM831" s="245"/>
      <c r="AN831" s="245"/>
      <c r="AO831" s="274"/>
      <c r="AP831" s="245"/>
      <c r="AQ831" s="276"/>
      <c r="AR831" s="246"/>
      <c r="AS831" s="245"/>
      <c r="AT831" s="276"/>
      <c r="AU831" s="245"/>
      <c r="AV831" s="245"/>
      <c r="AW831" s="287"/>
      <c r="AX831" s="246"/>
      <c r="AY831" s="245"/>
      <c r="AZ831" s="245"/>
      <c r="BA831" s="246"/>
      <c r="BB831" s="245"/>
      <c r="BC831" s="245"/>
      <c r="BD831" s="245"/>
      <c r="BE831" s="245"/>
      <c r="BF831" s="245"/>
      <c r="BG831" s="245"/>
      <c r="BH831" s="245"/>
      <c r="BI831" s="245"/>
      <c r="BJ831" s="245"/>
      <c r="BK831" s="245"/>
      <c r="BL831" s="245"/>
      <c r="BM831" s="245"/>
      <c r="BN831" s="245"/>
      <c r="BO831" s="245"/>
      <c r="BP831" s="245"/>
      <c r="BQ831" s="245"/>
      <c r="BR831" s="245"/>
      <c r="BS831" s="245"/>
      <c r="BT831" s="246"/>
      <c r="BU831" s="245"/>
      <c r="BV831" s="245"/>
      <c r="BW831" s="245"/>
      <c r="BX831" s="245"/>
      <c r="BY831" s="245"/>
      <c r="BZ831" s="282"/>
      <c r="CA831" s="245"/>
      <c r="CB831" s="245"/>
      <c r="CC831" s="245"/>
      <c r="CD831" s="245"/>
      <c r="CE831" s="245"/>
      <c r="CF831" s="245"/>
    </row>
    <row r="832">
      <c r="A832" s="245"/>
      <c r="B832" s="245"/>
      <c r="C832" s="245"/>
      <c r="D832" s="246"/>
      <c r="E832" s="245"/>
      <c r="F832" s="245"/>
      <c r="G832" s="245"/>
      <c r="H832" s="245"/>
      <c r="I832" s="245"/>
      <c r="J832" s="245"/>
      <c r="K832" s="265"/>
      <c r="L832" s="245"/>
      <c r="M832" s="245"/>
      <c r="N832" s="245"/>
      <c r="O832" s="245"/>
      <c r="P832" s="245"/>
      <c r="Q832" s="247"/>
      <c r="R832" s="254"/>
      <c r="S832" s="245"/>
      <c r="T832" s="245"/>
      <c r="U832" s="245"/>
      <c r="V832" s="245"/>
      <c r="W832" s="245"/>
      <c r="X832" s="245"/>
      <c r="Y832" s="249"/>
      <c r="Z832" s="276"/>
      <c r="AA832" s="245"/>
      <c r="AB832" s="276"/>
      <c r="AC832" s="276"/>
      <c r="AD832" s="246"/>
      <c r="AE832" s="278"/>
      <c r="AF832" s="370"/>
      <c r="AG832" s="371"/>
      <c r="AH832" s="291"/>
      <c r="AI832" s="254"/>
      <c r="AJ832" s="287"/>
      <c r="AK832" s="278"/>
      <c r="AL832" s="246"/>
      <c r="AM832" s="245"/>
      <c r="AN832" s="245"/>
      <c r="AO832" s="274"/>
      <c r="AP832" s="245"/>
      <c r="AQ832" s="245"/>
      <c r="AR832" s="246"/>
      <c r="AS832" s="245"/>
      <c r="AT832" s="276"/>
      <c r="AU832" s="245"/>
      <c r="AV832" s="245"/>
      <c r="AW832" s="287"/>
      <c r="AX832" s="246"/>
      <c r="AY832" s="245"/>
      <c r="AZ832" s="245"/>
      <c r="BA832" s="246"/>
      <c r="BB832" s="245"/>
      <c r="BC832" s="245"/>
      <c r="BD832" s="245"/>
      <c r="BE832" s="245"/>
      <c r="BF832" s="245"/>
      <c r="BG832" s="245"/>
      <c r="BH832" s="245"/>
      <c r="BI832" s="245"/>
      <c r="BJ832" s="245"/>
      <c r="BK832" s="245"/>
      <c r="BL832" s="245"/>
      <c r="BM832" s="245"/>
      <c r="BN832" s="245"/>
      <c r="BO832" s="245"/>
      <c r="BP832" s="245"/>
      <c r="BQ832" s="245"/>
      <c r="BR832" s="245"/>
      <c r="BS832" s="245"/>
      <c r="BT832" s="246"/>
      <c r="BU832" s="245"/>
      <c r="BV832" s="245"/>
      <c r="BW832" s="245"/>
      <c r="BX832" s="245"/>
      <c r="BY832" s="245"/>
      <c r="BZ832" s="282"/>
      <c r="CA832" s="245"/>
      <c r="CB832" s="245"/>
      <c r="CC832" s="245"/>
      <c r="CD832" s="245"/>
      <c r="CE832" s="245"/>
      <c r="CF832" s="245"/>
    </row>
    <row r="833">
      <c r="A833" s="245"/>
      <c r="B833" s="245"/>
      <c r="C833" s="245"/>
      <c r="D833" s="246"/>
      <c r="E833" s="245"/>
      <c r="F833" s="245"/>
      <c r="G833" s="245"/>
      <c r="H833" s="245"/>
      <c r="I833" s="245"/>
      <c r="J833" s="245"/>
      <c r="K833" s="265"/>
      <c r="L833" s="245"/>
      <c r="M833" s="245"/>
      <c r="N833" s="245"/>
      <c r="O833" s="245"/>
      <c r="P833" s="245"/>
      <c r="Q833" s="247"/>
      <c r="R833" s="254"/>
      <c r="S833" s="245"/>
      <c r="T833" s="245"/>
      <c r="U833" s="245"/>
      <c r="V833" s="245"/>
      <c r="W833" s="245"/>
      <c r="X833" s="245"/>
      <c r="Y833" s="249"/>
      <c r="Z833" s="276"/>
      <c r="AA833" s="245"/>
      <c r="AB833" s="276"/>
      <c r="AC833" s="276"/>
      <c r="AD833" s="246"/>
      <c r="AE833" s="278"/>
      <c r="AF833" s="370"/>
      <c r="AG833" s="371"/>
      <c r="AH833" s="309"/>
      <c r="AI833" s="254"/>
      <c r="AJ833" s="287"/>
      <c r="AK833" s="278"/>
      <c r="AL833" s="246"/>
      <c r="AM833" s="245"/>
      <c r="AN833" s="245"/>
      <c r="AO833" s="274"/>
      <c r="AP833" s="245"/>
      <c r="AQ833" s="245"/>
      <c r="AR833" s="246"/>
      <c r="AS833" s="245"/>
      <c r="AT833" s="276"/>
      <c r="AU833" s="245"/>
      <c r="AV833" s="245"/>
      <c r="AW833" s="287"/>
      <c r="AX833" s="246"/>
      <c r="AY833" s="245"/>
      <c r="AZ833" s="245"/>
      <c r="BA833" s="246"/>
      <c r="BB833" s="245"/>
      <c r="BC833" s="245"/>
      <c r="BD833" s="245"/>
      <c r="BE833" s="245"/>
      <c r="BF833" s="245"/>
      <c r="BG833" s="245"/>
      <c r="BH833" s="245"/>
      <c r="BI833" s="245"/>
      <c r="BJ833" s="245"/>
      <c r="BK833" s="245"/>
      <c r="BL833" s="245"/>
      <c r="BM833" s="245"/>
      <c r="BN833" s="245"/>
      <c r="BO833" s="245"/>
      <c r="BP833" s="245"/>
      <c r="BQ833" s="245"/>
      <c r="BR833" s="245"/>
      <c r="BS833" s="245"/>
      <c r="BT833" s="246"/>
      <c r="BU833" s="245"/>
      <c r="BV833" s="245"/>
      <c r="BW833" s="245"/>
      <c r="BX833" s="245"/>
      <c r="BY833" s="245"/>
      <c r="BZ833" s="282"/>
      <c r="CA833" s="245"/>
      <c r="CB833" s="245"/>
      <c r="CC833" s="245"/>
      <c r="CD833" s="245"/>
      <c r="CE833" s="245"/>
      <c r="CF833" s="245"/>
    </row>
    <row r="834">
      <c r="A834" s="245"/>
      <c r="B834" s="245"/>
      <c r="C834" s="245"/>
      <c r="D834" s="246"/>
      <c r="E834" s="245"/>
      <c r="F834" s="245"/>
      <c r="G834" s="245"/>
      <c r="H834" s="245"/>
      <c r="I834" s="245"/>
      <c r="J834" s="245"/>
      <c r="K834" s="265"/>
      <c r="L834" s="245"/>
      <c r="M834" s="245"/>
      <c r="N834" s="245"/>
      <c r="O834" s="245"/>
      <c r="P834" s="245"/>
      <c r="Q834" s="247"/>
      <c r="R834" s="254"/>
      <c r="S834" s="245"/>
      <c r="T834" s="245"/>
      <c r="U834" s="245"/>
      <c r="V834" s="245"/>
      <c r="W834" s="245"/>
      <c r="X834" s="245"/>
      <c r="Y834" s="249"/>
      <c r="Z834" s="276"/>
      <c r="AA834" s="245"/>
      <c r="AB834" s="276"/>
      <c r="AC834" s="276"/>
      <c r="AD834" s="246"/>
      <c r="AE834" s="278"/>
      <c r="AF834" s="370"/>
      <c r="AG834" s="371"/>
      <c r="AH834" s="360"/>
      <c r="AI834" s="254"/>
      <c r="AJ834" s="287"/>
      <c r="AK834" s="278"/>
      <c r="AL834" s="246"/>
      <c r="AM834" s="245"/>
      <c r="AN834" s="245"/>
      <c r="AO834" s="274"/>
      <c r="AP834" s="245"/>
      <c r="AQ834" s="245"/>
      <c r="AR834" s="246"/>
      <c r="AS834" s="245"/>
      <c r="AT834" s="276"/>
      <c r="AU834" s="245"/>
      <c r="AV834" s="245"/>
      <c r="AW834" s="287"/>
      <c r="AX834" s="246"/>
      <c r="AY834" s="245"/>
      <c r="AZ834" s="245"/>
      <c r="BA834" s="246"/>
      <c r="BB834" s="245"/>
      <c r="BC834" s="245"/>
      <c r="BD834" s="245"/>
      <c r="BE834" s="245"/>
      <c r="BF834" s="245"/>
      <c r="BG834" s="245"/>
      <c r="BH834" s="245"/>
      <c r="BI834" s="245"/>
      <c r="BJ834" s="245"/>
      <c r="BK834" s="245"/>
      <c r="BL834" s="245"/>
      <c r="BM834" s="245"/>
      <c r="BN834" s="245"/>
      <c r="BO834" s="245"/>
      <c r="BP834" s="245"/>
      <c r="BQ834" s="245"/>
      <c r="BR834" s="245"/>
      <c r="BS834" s="245"/>
      <c r="BT834" s="246"/>
      <c r="BU834" s="245"/>
      <c r="BV834" s="245"/>
      <c r="BW834" s="245"/>
      <c r="BX834" s="245"/>
      <c r="BY834" s="245"/>
      <c r="BZ834" s="282"/>
      <c r="CA834" s="245"/>
      <c r="CB834" s="245"/>
      <c r="CC834" s="245"/>
      <c r="CD834" s="245"/>
      <c r="CE834" s="245"/>
      <c r="CF834" s="245"/>
    </row>
    <row r="835">
      <c r="A835" s="245"/>
      <c r="B835" s="245"/>
      <c r="C835" s="245"/>
      <c r="D835" s="246"/>
      <c r="E835" s="245"/>
      <c r="F835" s="245"/>
      <c r="G835" s="245"/>
      <c r="H835" s="245"/>
      <c r="I835" s="245"/>
      <c r="J835" s="245"/>
      <c r="K835" s="265"/>
      <c r="L835" s="245"/>
      <c r="M835" s="245"/>
      <c r="N835" s="245"/>
      <c r="O835" s="245"/>
      <c r="P835" s="245"/>
      <c r="Q835" s="247"/>
      <c r="R835" s="254"/>
      <c r="S835" s="245"/>
      <c r="T835" s="245"/>
      <c r="U835" s="245"/>
      <c r="V835" s="245"/>
      <c r="W835" s="245"/>
      <c r="X835" s="245"/>
      <c r="Y835" s="249"/>
      <c r="Z835" s="276"/>
      <c r="AA835" s="245"/>
      <c r="AB835" s="276"/>
      <c r="AC835" s="276"/>
      <c r="AD835" s="246"/>
      <c r="AE835" s="278"/>
      <c r="AF835" s="370"/>
      <c r="AG835" s="371"/>
      <c r="AH835" s="276"/>
      <c r="AI835" s="254"/>
      <c r="AJ835" s="287"/>
      <c r="AK835" s="278"/>
      <c r="AL835" s="246"/>
      <c r="AM835" s="245"/>
      <c r="AN835" s="245"/>
      <c r="AO835" s="274"/>
      <c r="AP835" s="245"/>
      <c r="AQ835" s="245"/>
      <c r="AR835" s="246"/>
      <c r="AS835" s="245"/>
      <c r="AT835" s="276"/>
      <c r="AU835" s="245"/>
      <c r="AV835" s="245"/>
      <c r="AW835" s="245"/>
      <c r="AX835" s="246"/>
      <c r="AY835" s="245"/>
      <c r="AZ835" s="245"/>
      <c r="BA835" s="246"/>
      <c r="BB835" s="245"/>
      <c r="BC835" s="245"/>
      <c r="BD835" s="245"/>
      <c r="BE835" s="245"/>
      <c r="BF835" s="245"/>
      <c r="BG835" s="245"/>
      <c r="BH835" s="245"/>
      <c r="BI835" s="245"/>
      <c r="BJ835" s="245"/>
      <c r="BK835" s="245"/>
      <c r="BL835" s="245"/>
      <c r="BM835" s="245"/>
      <c r="BN835" s="245"/>
      <c r="BO835" s="245"/>
      <c r="BP835" s="245"/>
      <c r="BQ835" s="245"/>
      <c r="BR835" s="245"/>
      <c r="BS835" s="245"/>
      <c r="BT835" s="246"/>
      <c r="BU835" s="245"/>
      <c r="BV835" s="245"/>
      <c r="BW835" s="245"/>
      <c r="BX835" s="245"/>
      <c r="BY835" s="245"/>
      <c r="BZ835" s="282"/>
      <c r="CA835" s="245"/>
      <c r="CB835" s="245"/>
      <c r="CC835" s="245"/>
      <c r="CD835" s="245"/>
      <c r="CE835" s="245"/>
      <c r="CF835" s="245"/>
    </row>
    <row r="836">
      <c r="A836" s="245"/>
      <c r="B836" s="245"/>
      <c r="C836" s="245"/>
      <c r="D836" s="246"/>
      <c r="E836" s="245"/>
      <c r="F836" s="245"/>
      <c r="G836" s="245"/>
      <c r="H836" s="245"/>
      <c r="I836" s="245"/>
      <c r="J836" s="245"/>
      <c r="K836" s="265"/>
      <c r="L836" s="245"/>
      <c r="M836" s="245"/>
      <c r="N836" s="245"/>
      <c r="O836" s="245"/>
      <c r="P836" s="245"/>
      <c r="Q836" s="247"/>
      <c r="R836" s="254"/>
      <c r="S836" s="245"/>
      <c r="T836" s="245"/>
      <c r="U836" s="245"/>
      <c r="V836" s="245"/>
      <c r="W836" s="245"/>
      <c r="X836" s="245"/>
      <c r="Y836" s="249"/>
      <c r="Z836" s="276"/>
      <c r="AA836" s="245"/>
      <c r="AB836" s="276"/>
      <c r="AC836" s="276"/>
      <c r="AD836" s="246"/>
      <c r="AE836" s="278"/>
      <c r="AF836" s="370"/>
      <c r="AG836" s="371"/>
      <c r="AH836" s="286"/>
      <c r="AI836" s="254"/>
      <c r="AJ836" s="287"/>
      <c r="AK836" s="278"/>
      <c r="AL836" s="246"/>
      <c r="AM836" s="245"/>
      <c r="AN836" s="245"/>
      <c r="AO836" s="274"/>
      <c r="AP836" s="245"/>
      <c r="AQ836" s="245"/>
      <c r="AR836" s="246"/>
      <c r="AS836" s="245"/>
      <c r="AT836" s="276"/>
      <c r="AU836" s="245"/>
      <c r="AV836" s="245"/>
      <c r="AW836" s="327"/>
      <c r="AX836" s="246"/>
      <c r="AY836" s="245"/>
      <c r="AZ836" s="245"/>
      <c r="BA836" s="246"/>
      <c r="BB836" s="245"/>
      <c r="BC836" s="245"/>
      <c r="BD836" s="245"/>
      <c r="BE836" s="245"/>
      <c r="BF836" s="245"/>
      <c r="BG836" s="245"/>
      <c r="BH836" s="245"/>
      <c r="BI836" s="245"/>
      <c r="BJ836" s="245"/>
      <c r="BK836" s="245"/>
      <c r="BL836" s="245"/>
      <c r="BM836" s="245"/>
      <c r="BN836" s="245"/>
      <c r="BO836" s="245"/>
      <c r="BP836" s="245"/>
      <c r="BQ836" s="245"/>
      <c r="BR836" s="245"/>
      <c r="BS836" s="245"/>
      <c r="BT836" s="246"/>
      <c r="BU836" s="245"/>
      <c r="BV836" s="245"/>
      <c r="BW836" s="245"/>
      <c r="BX836" s="245"/>
      <c r="BY836" s="245"/>
      <c r="BZ836" s="282"/>
      <c r="CA836" s="245"/>
      <c r="CB836" s="245"/>
      <c r="CC836" s="245"/>
      <c r="CD836" s="245"/>
      <c r="CE836" s="245"/>
      <c r="CF836" s="245"/>
    </row>
    <row r="837">
      <c r="A837" s="245"/>
      <c r="B837" s="245"/>
      <c r="C837" s="245"/>
      <c r="D837" s="246"/>
      <c r="E837" s="245"/>
      <c r="F837" s="245"/>
      <c r="G837" s="245"/>
      <c r="H837" s="245"/>
      <c r="I837" s="245"/>
      <c r="J837" s="245"/>
      <c r="K837" s="265"/>
      <c r="L837" s="245"/>
      <c r="M837" s="245"/>
      <c r="N837" s="245"/>
      <c r="O837" s="245"/>
      <c r="P837" s="245"/>
      <c r="Q837" s="247"/>
      <c r="R837" s="254"/>
      <c r="S837" s="245"/>
      <c r="T837" s="245"/>
      <c r="U837" s="245"/>
      <c r="V837" s="245"/>
      <c r="W837" s="245"/>
      <c r="X837" s="245"/>
      <c r="Y837" s="249"/>
      <c r="Z837" s="276"/>
      <c r="AA837" s="245"/>
      <c r="AB837" s="276"/>
      <c r="AC837" s="276"/>
      <c r="AD837" s="246"/>
      <c r="AE837" s="278"/>
      <c r="AF837" s="370"/>
      <c r="AG837" s="371"/>
      <c r="AH837" s="287"/>
      <c r="AI837" s="254"/>
      <c r="AJ837" s="287"/>
      <c r="AK837" s="278"/>
      <c r="AL837" s="246"/>
      <c r="AM837" s="245"/>
      <c r="AN837" s="245"/>
      <c r="AO837" s="274"/>
      <c r="AP837" s="245"/>
      <c r="AQ837" s="245"/>
      <c r="AR837" s="246"/>
      <c r="AS837" s="245"/>
      <c r="AT837" s="276"/>
      <c r="AU837" s="245"/>
      <c r="AV837" s="245"/>
      <c r="AW837" s="287"/>
      <c r="AX837" s="246"/>
      <c r="AY837" s="245"/>
      <c r="AZ837" s="245"/>
      <c r="BA837" s="246"/>
      <c r="BB837" s="245"/>
      <c r="BC837" s="245"/>
      <c r="BD837" s="245"/>
      <c r="BE837" s="245"/>
      <c r="BF837" s="245"/>
      <c r="BG837" s="245"/>
      <c r="BH837" s="245"/>
      <c r="BI837" s="245"/>
      <c r="BJ837" s="245"/>
      <c r="BK837" s="245"/>
      <c r="BL837" s="245"/>
      <c r="BM837" s="245"/>
      <c r="BN837" s="245"/>
      <c r="BO837" s="245"/>
      <c r="BP837" s="245"/>
      <c r="BQ837" s="245"/>
      <c r="BR837" s="245"/>
      <c r="BS837" s="245"/>
      <c r="BT837" s="246"/>
      <c r="BU837" s="245"/>
      <c r="BV837" s="245"/>
      <c r="BW837" s="245"/>
      <c r="BX837" s="245"/>
      <c r="BY837" s="245"/>
      <c r="BZ837" s="282"/>
      <c r="CA837" s="245"/>
      <c r="CB837" s="245"/>
      <c r="CC837" s="245"/>
      <c r="CD837" s="245"/>
      <c r="CE837" s="245"/>
      <c r="CF837" s="245"/>
    </row>
    <row r="838">
      <c r="A838" s="245"/>
      <c r="B838" s="245"/>
      <c r="C838" s="245"/>
      <c r="D838" s="246"/>
      <c r="E838" s="245"/>
      <c r="F838" s="245"/>
      <c r="G838" s="245"/>
      <c r="H838" s="245"/>
      <c r="I838" s="245"/>
      <c r="J838" s="245"/>
      <c r="K838" s="265"/>
      <c r="L838" s="245"/>
      <c r="M838" s="245"/>
      <c r="N838" s="245"/>
      <c r="O838" s="245"/>
      <c r="P838" s="245"/>
      <c r="Q838" s="247"/>
      <c r="R838" s="254"/>
      <c r="S838" s="245"/>
      <c r="T838" s="245"/>
      <c r="U838" s="245"/>
      <c r="V838" s="245"/>
      <c r="W838" s="245"/>
      <c r="X838" s="245"/>
      <c r="Y838" s="249"/>
      <c r="Z838" s="276"/>
      <c r="AA838" s="245"/>
      <c r="AB838" s="276"/>
      <c r="AC838" s="276"/>
      <c r="AD838" s="246"/>
      <c r="AE838" s="278"/>
      <c r="AF838" s="370"/>
      <c r="AG838" s="371"/>
      <c r="AH838" s="276"/>
      <c r="AI838" s="245"/>
      <c r="AJ838" s="287"/>
      <c r="AK838" s="278"/>
      <c r="AL838" s="246"/>
      <c r="AM838" s="245"/>
      <c r="AN838" s="245"/>
      <c r="AO838" s="274"/>
      <c r="AP838" s="245"/>
      <c r="AQ838" s="245"/>
      <c r="AR838" s="246"/>
      <c r="AS838" s="245"/>
      <c r="AT838" s="245"/>
      <c r="AU838" s="245"/>
      <c r="AV838" s="245"/>
      <c r="AW838" s="327"/>
      <c r="AX838" s="246"/>
      <c r="AY838" s="245"/>
      <c r="AZ838" s="245"/>
      <c r="BA838" s="246"/>
      <c r="BB838" s="245"/>
      <c r="BC838" s="245"/>
      <c r="BD838" s="245"/>
      <c r="BE838" s="245"/>
      <c r="BF838" s="245"/>
      <c r="BG838" s="245"/>
      <c r="BH838" s="245"/>
      <c r="BI838" s="245"/>
      <c r="BJ838" s="245"/>
      <c r="BK838" s="245"/>
      <c r="BL838" s="245"/>
      <c r="BM838" s="245"/>
      <c r="BN838" s="245"/>
      <c r="BO838" s="245"/>
      <c r="BP838" s="245"/>
      <c r="BQ838" s="245"/>
      <c r="BR838" s="245"/>
      <c r="BS838" s="245"/>
      <c r="BT838" s="246"/>
      <c r="BU838" s="245"/>
      <c r="BV838" s="245"/>
      <c r="BW838" s="245"/>
      <c r="BX838" s="245"/>
      <c r="BY838" s="245"/>
      <c r="BZ838" s="282"/>
      <c r="CA838" s="245"/>
      <c r="CB838" s="245"/>
      <c r="CC838" s="245"/>
      <c r="CD838" s="245"/>
      <c r="CE838" s="245"/>
      <c r="CF838" s="245"/>
    </row>
    <row r="839">
      <c r="A839" s="245"/>
      <c r="B839" s="245"/>
      <c r="C839" s="245"/>
      <c r="D839" s="246"/>
      <c r="E839" s="245"/>
      <c r="F839" s="245"/>
      <c r="G839" s="245"/>
      <c r="H839" s="245"/>
      <c r="I839" s="245"/>
      <c r="J839" s="245"/>
      <c r="K839" s="265"/>
      <c r="L839" s="245"/>
      <c r="M839" s="245"/>
      <c r="N839" s="245"/>
      <c r="O839" s="245"/>
      <c r="P839" s="245"/>
      <c r="Q839" s="247"/>
      <c r="R839" s="254"/>
      <c r="S839" s="245"/>
      <c r="T839" s="245"/>
      <c r="U839" s="245"/>
      <c r="V839" s="245"/>
      <c r="W839" s="245"/>
      <c r="X839" s="245"/>
      <c r="Y839" s="249"/>
      <c r="Z839" s="276"/>
      <c r="AA839" s="245"/>
      <c r="AB839" s="276"/>
      <c r="AC839" s="276"/>
      <c r="AD839" s="246"/>
      <c r="AE839" s="278"/>
      <c r="AF839" s="370"/>
      <c r="AG839" s="371"/>
      <c r="AH839" s="276"/>
      <c r="AI839" s="245"/>
      <c r="AJ839" s="287"/>
      <c r="AK839" s="278"/>
      <c r="AL839" s="246"/>
      <c r="AM839" s="245"/>
      <c r="AN839" s="245"/>
      <c r="AO839" s="274"/>
      <c r="AP839" s="245"/>
      <c r="AQ839" s="245"/>
      <c r="AR839" s="246"/>
      <c r="AS839" s="245"/>
      <c r="AT839" s="245"/>
      <c r="AU839" s="245"/>
      <c r="AV839" s="245"/>
      <c r="AW839" s="245"/>
      <c r="AX839" s="246"/>
      <c r="AY839" s="245"/>
      <c r="AZ839" s="245"/>
      <c r="BA839" s="246"/>
      <c r="BB839" s="245"/>
      <c r="BC839" s="245"/>
      <c r="BD839" s="245"/>
      <c r="BE839" s="245"/>
      <c r="BF839" s="245"/>
      <c r="BG839" s="245"/>
      <c r="BH839" s="245"/>
      <c r="BI839" s="245"/>
      <c r="BJ839" s="245"/>
      <c r="BK839" s="245"/>
      <c r="BL839" s="245"/>
      <c r="BM839" s="245"/>
      <c r="BN839" s="245"/>
      <c r="BO839" s="245"/>
      <c r="BP839" s="245"/>
      <c r="BQ839" s="245"/>
      <c r="BR839" s="245"/>
      <c r="BS839" s="245"/>
      <c r="BT839" s="246"/>
      <c r="BU839" s="245"/>
      <c r="BV839" s="245"/>
      <c r="BW839" s="245"/>
      <c r="BX839" s="245"/>
      <c r="BY839" s="245"/>
      <c r="BZ839" s="282"/>
      <c r="CA839" s="245"/>
      <c r="CB839" s="245"/>
      <c r="CC839" s="245"/>
      <c r="CD839" s="245"/>
      <c r="CE839" s="245"/>
      <c r="CF839" s="245"/>
    </row>
    <row r="840">
      <c r="A840" s="245"/>
      <c r="B840" s="245"/>
      <c r="C840" s="245"/>
      <c r="D840" s="246"/>
      <c r="E840" s="245"/>
      <c r="F840" s="245"/>
      <c r="G840" s="245"/>
      <c r="H840" s="245"/>
      <c r="I840" s="245"/>
      <c r="J840" s="245"/>
      <c r="K840" s="265"/>
      <c r="L840" s="245"/>
      <c r="M840" s="245"/>
      <c r="N840" s="245"/>
      <c r="O840" s="245"/>
      <c r="P840" s="245"/>
      <c r="Q840" s="247"/>
      <c r="R840" s="254"/>
      <c r="S840" s="245"/>
      <c r="T840" s="245"/>
      <c r="U840" s="245"/>
      <c r="V840" s="245"/>
      <c r="W840" s="245"/>
      <c r="X840" s="245"/>
      <c r="Y840" s="249"/>
      <c r="Z840" s="276"/>
      <c r="AA840" s="245"/>
      <c r="AB840" s="276"/>
      <c r="AC840" s="276"/>
      <c r="AD840" s="246"/>
      <c r="AE840" s="278"/>
      <c r="AF840" s="370"/>
      <c r="AG840" s="371"/>
      <c r="AH840" s="276"/>
      <c r="AI840" s="245"/>
      <c r="AJ840" s="287"/>
      <c r="AK840" s="278"/>
      <c r="AL840" s="246"/>
      <c r="AM840" s="245"/>
      <c r="AN840" s="245"/>
      <c r="AO840" s="274"/>
      <c r="AP840" s="245"/>
      <c r="AQ840" s="245"/>
      <c r="AR840" s="246"/>
      <c r="AS840" s="245"/>
      <c r="AT840" s="245"/>
      <c r="AU840" s="245"/>
      <c r="AV840" s="245"/>
      <c r="AW840" s="287"/>
      <c r="AX840" s="246"/>
      <c r="AY840" s="245"/>
      <c r="AZ840" s="245"/>
      <c r="BA840" s="246"/>
      <c r="BB840" s="245"/>
      <c r="BC840" s="245"/>
      <c r="BD840" s="245"/>
      <c r="BE840" s="245"/>
      <c r="BF840" s="245"/>
      <c r="BG840" s="245"/>
      <c r="BH840" s="245"/>
      <c r="BI840" s="245"/>
      <c r="BJ840" s="245"/>
      <c r="BK840" s="245"/>
      <c r="BL840" s="245"/>
      <c r="BM840" s="245"/>
      <c r="BN840" s="245"/>
      <c r="BO840" s="245"/>
      <c r="BP840" s="245"/>
      <c r="BQ840" s="245"/>
      <c r="BR840" s="245"/>
      <c r="BS840" s="245"/>
      <c r="BT840" s="246"/>
      <c r="BU840" s="245"/>
      <c r="BV840" s="245"/>
      <c r="BW840" s="245"/>
      <c r="BX840" s="245"/>
      <c r="BY840" s="245"/>
      <c r="BZ840" s="282"/>
      <c r="CA840" s="245"/>
      <c r="CB840" s="245"/>
      <c r="CC840" s="245"/>
      <c r="CD840" s="245"/>
      <c r="CE840" s="245"/>
      <c r="CF840" s="245"/>
    </row>
    <row r="841">
      <c r="A841" s="245"/>
      <c r="B841" s="245"/>
      <c r="C841" s="245"/>
      <c r="D841" s="246"/>
      <c r="E841" s="245"/>
      <c r="F841" s="245"/>
      <c r="G841" s="245"/>
      <c r="H841" s="245"/>
      <c r="I841" s="245"/>
      <c r="J841" s="245"/>
      <c r="K841" s="265"/>
      <c r="L841" s="245"/>
      <c r="M841" s="245"/>
      <c r="N841" s="245"/>
      <c r="O841" s="245"/>
      <c r="P841" s="245"/>
      <c r="Q841" s="247"/>
      <c r="R841" s="254"/>
      <c r="S841" s="245"/>
      <c r="T841" s="245"/>
      <c r="U841" s="245"/>
      <c r="V841" s="245"/>
      <c r="W841" s="245"/>
      <c r="X841" s="245"/>
      <c r="Y841" s="249"/>
      <c r="Z841" s="276"/>
      <c r="AA841" s="245"/>
      <c r="AB841" s="276"/>
      <c r="AC841" s="276"/>
      <c r="AD841" s="246"/>
      <c r="AE841" s="278"/>
      <c r="AF841" s="370"/>
      <c r="AG841" s="371"/>
      <c r="AH841" s="276"/>
      <c r="AI841" s="245"/>
      <c r="AJ841" s="287"/>
      <c r="AK841" s="278"/>
      <c r="AL841" s="246"/>
      <c r="AM841" s="245"/>
      <c r="AN841" s="245"/>
      <c r="AO841" s="274"/>
      <c r="AP841" s="245"/>
      <c r="AQ841" s="245"/>
      <c r="AR841" s="246"/>
      <c r="AS841" s="245"/>
      <c r="AT841" s="245"/>
      <c r="AU841" s="245"/>
      <c r="AV841" s="245"/>
      <c r="AW841" s="287"/>
      <c r="AX841" s="246"/>
      <c r="AY841" s="245"/>
      <c r="AZ841" s="245"/>
      <c r="BA841" s="246"/>
      <c r="BB841" s="245"/>
      <c r="BC841" s="245"/>
      <c r="BD841" s="245"/>
      <c r="BE841" s="245"/>
      <c r="BF841" s="245"/>
      <c r="BG841" s="245"/>
      <c r="BH841" s="245"/>
      <c r="BI841" s="245"/>
      <c r="BJ841" s="245"/>
      <c r="BK841" s="245"/>
      <c r="BL841" s="245"/>
      <c r="BM841" s="245"/>
      <c r="BN841" s="245"/>
      <c r="BO841" s="245"/>
      <c r="BP841" s="245"/>
      <c r="BQ841" s="245"/>
      <c r="BR841" s="245"/>
      <c r="BS841" s="245"/>
      <c r="BT841" s="246"/>
      <c r="BU841" s="245"/>
      <c r="BV841" s="245"/>
      <c r="BW841" s="245"/>
      <c r="BX841" s="245"/>
      <c r="BY841" s="245"/>
      <c r="BZ841" s="282"/>
      <c r="CA841" s="245"/>
      <c r="CB841" s="245"/>
      <c r="CC841" s="245"/>
      <c r="CD841" s="245"/>
      <c r="CE841" s="245"/>
      <c r="CF841" s="245"/>
    </row>
    <row r="842">
      <c r="A842" s="245"/>
      <c r="B842" s="245"/>
      <c r="C842" s="245"/>
      <c r="D842" s="246"/>
      <c r="E842" s="245"/>
      <c r="F842" s="245"/>
      <c r="G842" s="245"/>
      <c r="H842" s="245"/>
      <c r="I842" s="245"/>
      <c r="J842" s="245"/>
      <c r="K842" s="265"/>
      <c r="L842" s="245"/>
      <c r="M842" s="245"/>
      <c r="N842" s="245"/>
      <c r="O842" s="245"/>
      <c r="P842" s="245"/>
      <c r="Q842" s="247"/>
      <c r="R842" s="254"/>
      <c r="S842" s="245"/>
      <c r="T842" s="245"/>
      <c r="U842" s="245"/>
      <c r="V842" s="245"/>
      <c r="W842" s="245"/>
      <c r="X842" s="245"/>
      <c r="Y842" s="249"/>
      <c r="Z842" s="276"/>
      <c r="AA842" s="245"/>
      <c r="AB842" s="276"/>
      <c r="AC842" s="276"/>
      <c r="AD842" s="246"/>
      <c r="AE842" s="278"/>
      <c r="AF842" s="370"/>
      <c r="AG842" s="371"/>
      <c r="AH842" s="276"/>
      <c r="AI842" s="245"/>
      <c r="AJ842" s="287"/>
      <c r="AK842" s="278"/>
      <c r="AL842" s="246"/>
      <c r="AM842" s="245"/>
      <c r="AN842" s="245"/>
      <c r="AO842" s="274"/>
      <c r="AP842" s="245"/>
      <c r="AQ842" s="245"/>
      <c r="AR842" s="246"/>
      <c r="AS842" s="245"/>
      <c r="AT842" s="245"/>
      <c r="AU842" s="245"/>
      <c r="AV842" s="245"/>
      <c r="AW842" s="287"/>
      <c r="AX842" s="246"/>
      <c r="AY842" s="245"/>
      <c r="AZ842" s="245"/>
      <c r="BA842" s="246"/>
      <c r="BB842" s="245"/>
      <c r="BC842" s="245"/>
      <c r="BD842" s="245"/>
      <c r="BE842" s="245"/>
      <c r="BF842" s="245"/>
      <c r="BG842" s="245"/>
      <c r="BH842" s="245"/>
      <c r="BI842" s="245"/>
      <c r="BJ842" s="245"/>
      <c r="BK842" s="245"/>
      <c r="BL842" s="245"/>
      <c r="BM842" s="245"/>
      <c r="BN842" s="245"/>
      <c r="BO842" s="245"/>
      <c r="BP842" s="245"/>
      <c r="BQ842" s="245"/>
      <c r="BR842" s="245"/>
      <c r="BS842" s="245"/>
      <c r="BT842" s="246"/>
      <c r="BU842" s="245"/>
      <c r="BV842" s="245"/>
      <c r="BW842" s="245"/>
      <c r="BX842" s="245"/>
      <c r="BY842" s="245"/>
      <c r="BZ842" s="282"/>
      <c r="CA842" s="245"/>
      <c r="CB842" s="245"/>
      <c r="CC842" s="245"/>
      <c r="CD842" s="245"/>
      <c r="CE842" s="245"/>
      <c r="CF842" s="245"/>
    </row>
    <row r="843">
      <c r="A843" s="245"/>
      <c r="B843" s="245"/>
      <c r="C843" s="245"/>
      <c r="D843" s="246"/>
      <c r="E843" s="245"/>
      <c r="F843" s="245"/>
      <c r="G843" s="245"/>
      <c r="H843" s="245"/>
      <c r="I843" s="245"/>
      <c r="J843" s="245"/>
      <c r="K843" s="265"/>
      <c r="L843" s="245"/>
      <c r="M843" s="245"/>
      <c r="N843" s="245"/>
      <c r="O843" s="245"/>
      <c r="P843" s="245"/>
      <c r="Q843" s="247"/>
      <c r="R843" s="254"/>
      <c r="S843" s="245"/>
      <c r="T843" s="245"/>
      <c r="U843" s="245"/>
      <c r="V843" s="245"/>
      <c r="W843" s="245"/>
      <c r="X843" s="245"/>
      <c r="Y843" s="249"/>
      <c r="Z843" s="276"/>
      <c r="AA843" s="245"/>
      <c r="AB843" s="276"/>
      <c r="AC843" s="276"/>
      <c r="AD843" s="246"/>
      <c r="AE843" s="278"/>
      <c r="AF843" s="370"/>
      <c r="AG843" s="371"/>
      <c r="AH843" s="276"/>
      <c r="AI843" s="245"/>
      <c r="AJ843" s="287"/>
      <c r="AK843" s="278"/>
      <c r="AL843" s="246"/>
      <c r="AM843" s="245"/>
      <c r="AN843" s="245"/>
      <c r="AO843" s="274"/>
      <c r="AP843" s="245"/>
      <c r="AQ843" s="245"/>
      <c r="AR843" s="246"/>
      <c r="AS843" s="245"/>
      <c r="AT843" s="245"/>
      <c r="AU843" s="245"/>
      <c r="AV843" s="245"/>
      <c r="AW843" s="287"/>
      <c r="AX843" s="246"/>
      <c r="AY843" s="245"/>
      <c r="AZ843" s="245"/>
      <c r="BA843" s="246"/>
      <c r="BB843" s="245"/>
      <c r="BC843" s="245"/>
      <c r="BD843" s="245"/>
      <c r="BE843" s="245"/>
      <c r="BF843" s="245"/>
      <c r="BG843" s="245"/>
      <c r="BH843" s="245"/>
      <c r="BI843" s="245"/>
      <c r="BJ843" s="245"/>
      <c r="BK843" s="245"/>
      <c r="BL843" s="245"/>
      <c r="BM843" s="245"/>
      <c r="BN843" s="245"/>
      <c r="BO843" s="245"/>
      <c r="BP843" s="245"/>
      <c r="BQ843" s="245"/>
      <c r="BR843" s="245"/>
      <c r="BS843" s="245"/>
      <c r="BT843" s="246"/>
      <c r="BU843" s="245"/>
      <c r="BV843" s="245"/>
      <c r="BW843" s="245"/>
      <c r="BX843" s="245"/>
      <c r="BY843" s="245"/>
      <c r="BZ843" s="282"/>
      <c r="CA843" s="245"/>
      <c r="CB843" s="245"/>
      <c r="CC843" s="245"/>
      <c r="CD843" s="245"/>
      <c r="CE843" s="245"/>
      <c r="CF843" s="245"/>
    </row>
    <row r="844">
      <c r="A844" s="245"/>
      <c r="B844" s="245"/>
      <c r="C844" s="245"/>
      <c r="D844" s="246"/>
      <c r="E844" s="245"/>
      <c r="F844" s="245"/>
      <c r="G844" s="245"/>
      <c r="H844" s="245"/>
      <c r="I844" s="245"/>
      <c r="J844" s="245"/>
      <c r="K844" s="265"/>
      <c r="L844" s="245"/>
      <c r="M844" s="245"/>
      <c r="N844" s="245"/>
      <c r="O844" s="245"/>
      <c r="P844" s="245"/>
      <c r="Q844" s="247"/>
      <c r="R844" s="254"/>
      <c r="S844" s="245"/>
      <c r="T844" s="245"/>
      <c r="U844" s="245"/>
      <c r="V844" s="245"/>
      <c r="W844" s="245"/>
      <c r="X844" s="245"/>
      <c r="Y844" s="249"/>
      <c r="Z844" s="276"/>
      <c r="AA844" s="245"/>
      <c r="AB844" s="276"/>
      <c r="AC844" s="276"/>
      <c r="AD844" s="246"/>
      <c r="AE844" s="278"/>
      <c r="AF844" s="370"/>
      <c r="AG844" s="371"/>
      <c r="AH844" s="276"/>
      <c r="AI844" s="245"/>
      <c r="AJ844" s="287"/>
      <c r="AK844" s="278"/>
      <c r="AL844" s="246"/>
      <c r="AM844" s="245"/>
      <c r="AN844" s="245"/>
      <c r="AO844" s="274"/>
      <c r="AP844" s="245"/>
      <c r="AQ844" s="245"/>
      <c r="AR844" s="246"/>
      <c r="AS844" s="245"/>
      <c r="AT844" s="245"/>
      <c r="AU844" s="245"/>
      <c r="AV844" s="245"/>
      <c r="AW844" s="287"/>
      <c r="AX844" s="246"/>
      <c r="AY844" s="245"/>
      <c r="AZ844" s="245"/>
      <c r="BA844" s="246"/>
      <c r="BB844" s="245"/>
      <c r="BC844" s="245"/>
      <c r="BD844" s="245"/>
      <c r="BE844" s="245"/>
      <c r="BF844" s="245"/>
      <c r="BG844" s="245"/>
      <c r="BH844" s="245"/>
      <c r="BI844" s="245"/>
      <c r="BJ844" s="245"/>
      <c r="BK844" s="245"/>
      <c r="BL844" s="245"/>
      <c r="BM844" s="245"/>
      <c r="BN844" s="245"/>
      <c r="BO844" s="245"/>
      <c r="BP844" s="245"/>
      <c r="BQ844" s="245"/>
      <c r="BR844" s="245"/>
      <c r="BS844" s="245"/>
      <c r="BT844" s="246"/>
      <c r="BU844" s="245"/>
      <c r="BV844" s="245"/>
      <c r="BW844" s="245"/>
      <c r="BX844" s="245"/>
      <c r="BY844" s="245"/>
      <c r="BZ844" s="282"/>
      <c r="CA844" s="245"/>
      <c r="CB844" s="245"/>
      <c r="CC844" s="245"/>
      <c r="CD844" s="245"/>
      <c r="CE844" s="245"/>
      <c r="CF844" s="245"/>
    </row>
    <row r="845">
      <c r="A845" s="245"/>
      <c r="B845" s="245"/>
      <c r="C845" s="245"/>
      <c r="D845" s="246"/>
      <c r="E845" s="245"/>
      <c r="F845" s="245"/>
      <c r="G845" s="245"/>
      <c r="H845" s="245"/>
      <c r="I845" s="245"/>
      <c r="J845" s="245"/>
      <c r="K845" s="265"/>
      <c r="L845" s="245"/>
      <c r="M845" s="245"/>
      <c r="N845" s="245"/>
      <c r="O845" s="245"/>
      <c r="P845" s="245"/>
      <c r="Q845" s="247"/>
      <c r="R845" s="254"/>
      <c r="S845" s="245"/>
      <c r="T845" s="245"/>
      <c r="U845" s="245"/>
      <c r="V845" s="245"/>
      <c r="W845" s="245"/>
      <c r="X845" s="245"/>
      <c r="Y845" s="249"/>
      <c r="Z845" s="276"/>
      <c r="AA845" s="245"/>
      <c r="AB845" s="276"/>
      <c r="AC845" s="276"/>
      <c r="AD845" s="246"/>
      <c r="AE845" s="278"/>
      <c r="AF845" s="370"/>
      <c r="AG845" s="371"/>
      <c r="AH845" s="276"/>
      <c r="AI845" s="245"/>
      <c r="AJ845" s="287"/>
      <c r="AK845" s="278"/>
      <c r="AL845" s="246"/>
      <c r="AM845" s="245"/>
      <c r="AN845" s="245"/>
      <c r="AO845" s="274"/>
      <c r="AP845" s="245"/>
      <c r="AQ845" s="245"/>
      <c r="AR845" s="246"/>
      <c r="AS845" s="245"/>
      <c r="AT845" s="245"/>
      <c r="AU845" s="245"/>
      <c r="AV845" s="245"/>
      <c r="AW845" s="287"/>
      <c r="AX845" s="246"/>
      <c r="AY845" s="245"/>
      <c r="AZ845" s="245"/>
      <c r="BA845" s="246"/>
      <c r="BB845" s="245"/>
      <c r="BC845" s="245"/>
      <c r="BD845" s="245"/>
      <c r="BE845" s="245"/>
      <c r="BF845" s="245"/>
      <c r="BG845" s="245"/>
      <c r="BH845" s="245"/>
      <c r="BI845" s="245"/>
      <c r="BJ845" s="245"/>
      <c r="BK845" s="245"/>
      <c r="BL845" s="245"/>
      <c r="BM845" s="245"/>
      <c r="BN845" s="245"/>
      <c r="BO845" s="245"/>
      <c r="BP845" s="245"/>
      <c r="BQ845" s="245"/>
      <c r="BR845" s="245"/>
      <c r="BS845" s="245"/>
      <c r="BT845" s="246"/>
      <c r="BU845" s="245"/>
      <c r="BV845" s="245"/>
      <c r="BW845" s="245"/>
      <c r="BX845" s="245"/>
      <c r="BY845" s="245"/>
      <c r="BZ845" s="282"/>
      <c r="CA845" s="245"/>
      <c r="CB845" s="245"/>
      <c r="CC845" s="245"/>
      <c r="CD845" s="245"/>
      <c r="CE845" s="245"/>
      <c r="CF845" s="245"/>
    </row>
    <row r="846">
      <c r="A846" s="245"/>
      <c r="B846" s="245"/>
      <c r="C846" s="245"/>
      <c r="D846" s="246"/>
      <c r="E846" s="245"/>
      <c r="F846" s="245"/>
      <c r="G846" s="245"/>
      <c r="H846" s="245"/>
      <c r="I846" s="245"/>
      <c r="J846" s="245"/>
      <c r="K846" s="265"/>
      <c r="L846" s="245"/>
      <c r="M846" s="245"/>
      <c r="N846" s="245"/>
      <c r="O846" s="245"/>
      <c r="P846" s="245"/>
      <c r="Q846" s="247"/>
      <c r="R846" s="254"/>
      <c r="S846" s="245"/>
      <c r="T846" s="245"/>
      <c r="U846" s="245"/>
      <c r="V846" s="245"/>
      <c r="W846" s="245"/>
      <c r="X846" s="245"/>
      <c r="Y846" s="249"/>
      <c r="Z846" s="276"/>
      <c r="AA846" s="245"/>
      <c r="AB846" s="276"/>
      <c r="AC846" s="276"/>
      <c r="AD846" s="246"/>
      <c r="AE846" s="278"/>
      <c r="AF846" s="370"/>
      <c r="AG846" s="371"/>
      <c r="AH846" s="276"/>
      <c r="AI846" s="245"/>
      <c r="AJ846" s="287"/>
      <c r="AK846" s="278"/>
      <c r="AL846" s="246"/>
      <c r="AM846" s="245"/>
      <c r="AN846" s="245"/>
      <c r="AO846" s="274"/>
      <c r="AP846" s="245"/>
      <c r="AQ846" s="245"/>
      <c r="AR846" s="246"/>
      <c r="AS846" s="245"/>
      <c r="AT846" s="245"/>
      <c r="AU846" s="245"/>
      <c r="AV846" s="245"/>
      <c r="AW846" s="287"/>
      <c r="AX846" s="246"/>
      <c r="AY846" s="245"/>
      <c r="AZ846" s="245"/>
      <c r="BA846" s="246"/>
      <c r="BB846" s="245"/>
      <c r="BC846" s="245"/>
      <c r="BD846" s="245"/>
      <c r="BE846" s="245"/>
      <c r="BF846" s="245"/>
      <c r="BG846" s="245"/>
      <c r="BH846" s="245"/>
      <c r="BI846" s="245"/>
      <c r="BJ846" s="245"/>
      <c r="BK846" s="245"/>
      <c r="BL846" s="245"/>
      <c r="BM846" s="245"/>
      <c r="BN846" s="245"/>
      <c r="BO846" s="245"/>
      <c r="BP846" s="245"/>
      <c r="BQ846" s="245"/>
      <c r="BR846" s="245"/>
      <c r="BS846" s="245"/>
      <c r="BT846" s="246"/>
      <c r="BU846" s="245"/>
      <c r="BV846" s="245"/>
      <c r="BW846" s="245"/>
      <c r="BX846" s="245"/>
      <c r="BY846" s="245"/>
      <c r="BZ846" s="282"/>
      <c r="CA846" s="245"/>
      <c r="CB846" s="245"/>
      <c r="CC846" s="245"/>
      <c r="CD846" s="245"/>
      <c r="CE846" s="245"/>
      <c r="CF846" s="245"/>
    </row>
    <row r="847">
      <c r="A847" s="245"/>
      <c r="B847" s="245"/>
      <c r="C847" s="245"/>
      <c r="D847" s="246"/>
      <c r="E847" s="245"/>
      <c r="F847" s="245"/>
      <c r="G847" s="245"/>
      <c r="H847" s="245"/>
      <c r="I847" s="245"/>
      <c r="J847" s="245"/>
      <c r="K847" s="265"/>
      <c r="L847" s="245"/>
      <c r="M847" s="245"/>
      <c r="N847" s="245"/>
      <c r="O847" s="245"/>
      <c r="P847" s="245"/>
      <c r="Q847" s="247"/>
      <c r="R847" s="254"/>
      <c r="S847" s="245"/>
      <c r="T847" s="245"/>
      <c r="U847" s="245"/>
      <c r="V847" s="245"/>
      <c r="W847" s="245"/>
      <c r="X847" s="245"/>
      <c r="Y847" s="249"/>
      <c r="Z847" s="276"/>
      <c r="AA847" s="245"/>
      <c r="AB847" s="276"/>
      <c r="AC847" s="276"/>
      <c r="AD847" s="246"/>
      <c r="AE847" s="278"/>
      <c r="AF847" s="370"/>
      <c r="AG847" s="371"/>
      <c r="AH847" s="276"/>
      <c r="AI847" s="245"/>
      <c r="AJ847" s="287"/>
      <c r="AK847" s="278"/>
      <c r="AL847" s="246"/>
      <c r="AM847" s="245"/>
      <c r="AN847" s="245"/>
      <c r="AO847" s="274"/>
      <c r="AP847" s="245"/>
      <c r="AQ847" s="245"/>
      <c r="AR847" s="246"/>
      <c r="AS847" s="245"/>
      <c r="AT847" s="245"/>
      <c r="AU847" s="245"/>
      <c r="AV847" s="245"/>
      <c r="AW847" s="287"/>
      <c r="AX847" s="246"/>
      <c r="AY847" s="245"/>
      <c r="AZ847" s="245"/>
      <c r="BA847" s="246"/>
      <c r="BB847" s="245"/>
      <c r="BC847" s="245"/>
      <c r="BD847" s="245"/>
      <c r="BE847" s="245"/>
      <c r="BF847" s="245"/>
      <c r="BG847" s="245"/>
      <c r="BH847" s="245"/>
      <c r="BI847" s="245"/>
      <c r="BJ847" s="245"/>
      <c r="BK847" s="245"/>
      <c r="BL847" s="245"/>
      <c r="BM847" s="245"/>
      <c r="BN847" s="245"/>
      <c r="BO847" s="245"/>
      <c r="BP847" s="245"/>
      <c r="BQ847" s="245"/>
      <c r="BR847" s="245"/>
      <c r="BS847" s="245"/>
      <c r="BT847" s="246"/>
      <c r="BU847" s="245"/>
      <c r="BV847" s="245"/>
      <c r="BW847" s="245"/>
      <c r="BX847" s="245"/>
      <c r="BY847" s="245"/>
      <c r="BZ847" s="282"/>
      <c r="CA847" s="245"/>
      <c r="CB847" s="245"/>
      <c r="CC847" s="245"/>
      <c r="CD847" s="245"/>
      <c r="CE847" s="245"/>
      <c r="CF847" s="245"/>
    </row>
    <row r="848">
      <c r="A848" s="245"/>
      <c r="B848" s="245"/>
      <c r="C848" s="245"/>
      <c r="D848" s="246"/>
      <c r="E848" s="245"/>
      <c r="F848" s="245"/>
      <c r="G848" s="245"/>
      <c r="H848" s="245"/>
      <c r="I848" s="245"/>
      <c r="J848" s="245"/>
      <c r="K848" s="265"/>
      <c r="L848" s="245"/>
      <c r="M848" s="245"/>
      <c r="N848" s="245"/>
      <c r="O848" s="245"/>
      <c r="P848" s="245"/>
      <c r="Q848" s="247"/>
      <c r="R848" s="254"/>
      <c r="S848" s="245"/>
      <c r="T848" s="245"/>
      <c r="U848" s="245"/>
      <c r="V848" s="245"/>
      <c r="W848" s="245"/>
      <c r="X848" s="245"/>
      <c r="Y848" s="249"/>
      <c r="Z848" s="276"/>
      <c r="AA848" s="245"/>
      <c r="AB848" s="276"/>
      <c r="AC848" s="276"/>
      <c r="AD848" s="246"/>
      <c r="AE848" s="278"/>
      <c r="AF848" s="370"/>
      <c r="AG848" s="371"/>
      <c r="AH848" s="276"/>
      <c r="AI848" s="245"/>
      <c r="AJ848" s="287"/>
      <c r="AK848" s="278"/>
      <c r="AL848" s="246"/>
      <c r="AM848" s="245"/>
      <c r="AN848" s="245"/>
      <c r="AO848" s="274"/>
      <c r="AP848" s="245"/>
      <c r="AQ848" s="245"/>
      <c r="AR848" s="246"/>
      <c r="AS848" s="245"/>
      <c r="AT848" s="245"/>
      <c r="AU848" s="245"/>
      <c r="AV848" s="245"/>
      <c r="AW848" s="287"/>
      <c r="AX848" s="246"/>
      <c r="AY848" s="245"/>
      <c r="AZ848" s="245"/>
      <c r="BA848" s="246"/>
      <c r="BB848" s="245"/>
      <c r="BC848" s="245"/>
      <c r="BD848" s="245"/>
      <c r="BE848" s="245"/>
      <c r="BF848" s="245"/>
      <c r="BG848" s="245"/>
      <c r="BH848" s="245"/>
      <c r="BI848" s="245"/>
      <c r="BJ848" s="245"/>
      <c r="BK848" s="245"/>
      <c r="BL848" s="245"/>
      <c r="BM848" s="245"/>
      <c r="BN848" s="245"/>
      <c r="BO848" s="245"/>
      <c r="BP848" s="245"/>
      <c r="BQ848" s="245"/>
      <c r="BR848" s="245"/>
      <c r="BS848" s="245"/>
      <c r="BT848" s="246"/>
      <c r="BU848" s="245"/>
      <c r="BV848" s="245"/>
      <c r="BW848" s="245"/>
      <c r="BX848" s="245"/>
      <c r="BY848" s="245"/>
      <c r="BZ848" s="282"/>
      <c r="CA848" s="245"/>
      <c r="CB848" s="245"/>
      <c r="CC848" s="245"/>
      <c r="CD848" s="245"/>
      <c r="CE848" s="245"/>
      <c r="CF848" s="245"/>
    </row>
    <row r="849">
      <c r="A849" s="245"/>
      <c r="B849" s="245"/>
      <c r="C849" s="245"/>
      <c r="D849" s="246"/>
      <c r="E849" s="245"/>
      <c r="F849" s="245"/>
      <c r="G849" s="245"/>
      <c r="H849" s="245"/>
      <c r="I849" s="245"/>
      <c r="J849" s="245"/>
      <c r="K849" s="265"/>
      <c r="L849" s="245"/>
      <c r="M849" s="245"/>
      <c r="N849" s="245"/>
      <c r="O849" s="245"/>
      <c r="P849" s="245"/>
      <c r="Q849" s="247"/>
      <c r="R849" s="254"/>
      <c r="S849" s="245"/>
      <c r="T849" s="245"/>
      <c r="U849" s="245"/>
      <c r="V849" s="245"/>
      <c r="W849" s="245"/>
      <c r="X849" s="245"/>
      <c r="Y849" s="249"/>
      <c r="Z849" s="276"/>
      <c r="AA849" s="245"/>
      <c r="AB849" s="276"/>
      <c r="AC849" s="276"/>
      <c r="AD849" s="246"/>
      <c r="AE849" s="278"/>
      <c r="AF849" s="370"/>
      <c r="AG849" s="371"/>
      <c r="AH849" s="276"/>
      <c r="AI849" s="245"/>
      <c r="AJ849" s="287"/>
      <c r="AK849" s="278"/>
      <c r="AL849" s="246"/>
      <c r="AM849" s="245"/>
      <c r="AN849" s="245"/>
      <c r="AO849" s="274"/>
      <c r="AP849" s="245"/>
      <c r="AQ849" s="245"/>
      <c r="AR849" s="246"/>
      <c r="AS849" s="245"/>
      <c r="AT849" s="245"/>
      <c r="AU849" s="245"/>
      <c r="AV849" s="245"/>
      <c r="AW849" s="287"/>
      <c r="AX849" s="246"/>
      <c r="AY849" s="245"/>
      <c r="AZ849" s="245"/>
      <c r="BA849" s="246"/>
      <c r="BB849" s="245"/>
      <c r="BC849" s="245"/>
      <c r="BD849" s="245"/>
      <c r="BE849" s="245"/>
      <c r="BF849" s="245"/>
      <c r="BG849" s="245"/>
      <c r="BH849" s="245"/>
      <c r="BI849" s="245"/>
      <c r="BJ849" s="245"/>
      <c r="BK849" s="245"/>
      <c r="BL849" s="245"/>
      <c r="BM849" s="245"/>
      <c r="BN849" s="245"/>
      <c r="BO849" s="245"/>
      <c r="BP849" s="245"/>
      <c r="BQ849" s="245"/>
      <c r="BR849" s="245"/>
      <c r="BS849" s="245"/>
      <c r="BT849" s="246"/>
      <c r="BU849" s="245"/>
      <c r="BV849" s="245"/>
      <c r="BW849" s="245"/>
      <c r="BX849" s="245"/>
      <c r="BY849" s="245"/>
      <c r="BZ849" s="282"/>
      <c r="CA849" s="245"/>
      <c r="CB849" s="245"/>
      <c r="CC849" s="245"/>
      <c r="CD849" s="245"/>
      <c r="CE849" s="245"/>
      <c r="CF849" s="245"/>
    </row>
    <row r="850">
      <c r="A850" s="245"/>
      <c r="B850" s="245"/>
      <c r="C850" s="245"/>
      <c r="D850" s="246"/>
      <c r="E850" s="245"/>
      <c r="F850" s="245"/>
      <c r="G850" s="245"/>
      <c r="H850" s="245"/>
      <c r="I850" s="245"/>
      <c r="J850" s="245"/>
      <c r="K850" s="265"/>
      <c r="L850" s="245"/>
      <c r="M850" s="245"/>
      <c r="N850" s="245"/>
      <c r="O850" s="245"/>
      <c r="P850" s="245"/>
      <c r="Q850" s="247"/>
      <c r="R850" s="254"/>
      <c r="S850" s="245"/>
      <c r="T850" s="245"/>
      <c r="U850" s="245"/>
      <c r="V850" s="245"/>
      <c r="W850" s="245"/>
      <c r="X850" s="245"/>
      <c r="Y850" s="249"/>
      <c r="Z850" s="276"/>
      <c r="AA850" s="245"/>
      <c r="AB850" s="276"/>
      <c r="AC850" s="276"/>
      <c r="AD850" s="246"/>
      <c r="AE850" s="278"/>
      <c r="AF850" s="370"/>
      <c r="AG850" s="371"/>
      <c r="AH850" s="276"/>
      <c r="AI850" s="245"/>
      <c r="AJ850" s="287"/>
      <c r="AK850" s="278"/>
      <c r="AL850" s="246"/>
      <c r="AM850" s="245"/>
      <c r="AN850" s="245"/>
      <c r="AO850" s="274"/>
      <c r="AP850" s="245"/>
      <c r="AQ850" s="245"/>
      <c r="AR850" s="246"/>
      <c r="AS850" s="245"/>
      <c r="AT850" s="245"/>
      <c r="AU850" s="245"/>
      <c r="AV850" s="245"/>
      <c r="AW850" s="276"/>
      <c r="AX850" s="246"/>
      <c r="AY850" s="245"/>
      <c r="AZ850" s="245"/>
      <c r="BA850" s="246"/>
      <c r="BB850" s="245"/>
      <c r="BC850" s="245"/>
      <c r="BD850" s="245"/>
      <c r="BE850" s="245"/>
      <c r="BF850" s="245"/>
      <c r="BG850" s="245"/>
      <c r="BH850" s="245"/>
      <c r="BI850" s="245"/>
      <c r="BJ850" s="245"/>
      <c r="BK850" s="245"/>
      <c r="BL850" s="245"/>
      <c r="BM850" s="245"/>
      <c r="BN850" s="245"/>
      <c r="BO850" s="245"/>
      <c r="BP850" s="245"/>
      <c r="BQ850" s="245"/>
      <c r="BR850" s="245"/>
      <c r="BS850" s="245"/>
      <c r="BT850" s="246"/>
      <c r="BU850" s="245"/>
      <c r="BV850" s="245"/>
      <c r="BW850" s="245"/>
      <c r="BX850" s="245"/>
      <c r="BY850" s="245"/>
      <c r="BZ850" s="282"/>
      <c r="CA850" s="245"/>
      <c r="CB850" s="245"/>
      <c r="CC850" s="245"/>
      <c r="CD850" s="245"/>
      <c r="CE850" s="245"/>
      <c r="CF850" s="245"/>
    </row>
    <row r="851">
      <c r="A851" s="245"/>
      <c r="B851" s="245"/>
      <c r="C851" s="245"/>
      <c r="D851" s="246"/>
      <c r="E851" s="245"/>
      <c r="F851" s="245"/>
      <c r="G851" s="245"/>
      <c r="H851" s="245"/>
      <c r="I851" s="245"/>
      <c r="J851" s="245"/>
      <c r="K851" s="265"/>
      <c r="L851" s="245"/>
      <c r="M851" s="245"/>
      <c r="N851" s="245"/>
      <c r="O851" s="245"/>
      <c r="P851" s="245"/>
      <c r="Q851" s="247"/>
      <c r="R851" s="254"/>
      <c r="S851" s="245"/>
      <c r="T851" s="245"/>
      <c r="U851" s="245"/>
      <c r="V851" s="245"/>
      <c r="W851" s="245"/>
      <c r="X851" s="245"/>
      <c r="Y851" s="249"/>
      <c r="Z851" s="276"/>
      <c r="AA851" s="245"/>
      <c r="AB851" s="276"/>
      <c r="AC851" s="276"/>
      <c r="AD851" s="246"/>
      <c r="AE851" s="278"/>
      <c r="AF851" s="370"/>
      <c r="AG851" s="371"/>
      <c r="AH851" s="276"/>
      <c r="AI851" s="245"/>
      <c r="AJ851" s="287"/>
      <c r="AK851" s="278"/>
      <c r="AL851" s="246"/>
      <c r="AM851" s="245"/>
      <c r="AN851" s="245"/>
      <c r="AO851" s="274"/>
      <c r="AP851" s="245"/>
      <c r="AQ851" s="245"/>
      <c r="AR851" s="246"/>
      <c r="AS851" s="245"/>
      <c r="AT851" s="245"/>
      <c r="AU851" s="245"/>
      <c r="AV851" s="245"/>
      <c r="AW851" s="276"/>
      <c r="AX851" s="246"/>
      <c r="AY851" s="245"/>
      <c r="AZ851" s="245"/>
      <c r="BA851" s="246"/>
      <c r="BB851" s="245"/>
      <c r="BC851" s="245"/>
      <c r="BD851" s="245"/>
      <c r="BE851" s="245"/>
      <c r="BF851" s="245"/>
      <c r="BG851" s="245"/>
      <c r="BH851" s="245"/>
      <c r="BI851" s="245"/>
      <c r="BJ851" s="245"/>
      <c r="BK851" s="245"/>
      <c r="BL851" s="245"/>
      <c r="BM851" s="245"/>
      <c r="BN851" s="245"/>
      <c r="BO851" s="245"/>
      <c r="BP851" s="245"/>
      <c r="BQ851" s="245"/>
      <c r="BR851" s="245"/>
      <c r="BS851" s="245"/>
      <c r="BT851" s="246"/>
      <c r="BU851" s="245"/>
      <c r="BV851" s="245"/>
      <c r="BW851" s="245"/>
      <c r="BX851" s="245"/>
      <c r="BY851" s="245"/>
      <c r="BZ851" s="282"/>
      <c r="CA851" s="245"/>
      <c r="CB851" s="245"/>
      <c r="CC851" s="245"/>
      <c r="CD851" s="245"/>
      <c r="CE851" s="245"/>
      <c r="CF851" s="245"/>
    </row>
    <row r="852">
      <c r="A852" s="245"/>
      <c r="B852" s="245"/>
      <c r="C852" s="245"/>
      <c r="D852" s="246"/>
      <c r="E852" s="245"/>
      <c r="F852" s="245"/>
      <c r="G852" s="245"/>
      <c r="H852" s="245"/>
      <c r="I852" s="245"/>
      <c r="J852" s="245"/>
      <c r="K852" s="265"/>
      <c r="L852" s="245"/>
      <c r="M852" s="245"/>
      <c r="N852" s="245"/>
      <c r="O852" s="245"/>
      <c r="P852" s="245"/>
      <c r="Q852" s="247"/>
      <c r="R852" s="254"/>
      <c r="S852" s="245"/>
      <c r="T852" s="245"/>
      <c r="U852" s="245"/>
      <c r="V852" s="245"/>
      <c r="W852" s="245"/>
      <c r="X852" s="245"/>
      <c r="Y852" s="249"/>
      <c r="Z852" s="276"/>
      <c r="AA852" s="245"/>
      <c r="AB852" s="276"/>
      <c r="AC852" s="276"/>
      <c r="AD852" s="246"/>
      <c r="AE852" s="278"/>
      <c r="AF852" s="370"/>
      <c r="AG852" s="371"/>
      <c r="AH852" s="276"/>
      <c r="AI852" s="245"/>
      <c r="AJ852" s="287"/>
      <c r="AK852" s="278"/>
      <c r="AL852" s="246"/>
      <c r="AM852" s="245"/>
      <c r="AN852" s="245"/>
      <c r="AO852" s="274"/>
      <c r="AP852" s="245"/>
      <c r="AQ852" s="245"/>
      <c r="AR852" s="246"/>
      <c r="AS852" s="245"/>
      <c r="AT852" s="245"/>
      <c r="AU852" s="245"/>
      <c r="AV852" s="245"/>
      <c r="AW852" s="245"/>
      <c r="AX852" s="246"/>
      <c r="AY852" s="245"/>
      <c r="AZ852" s="245"/>
      <c r="BA852" s="246"/>
      <c r="BB852" s="245"/>
      <c r="BC852" s="245"/>
      <c r="BD852" s="245"/>
      <c r="BE852" s="245"/>
      <c r="BF852" s="245"/>
      <c r="BG852" s="245"/>
      <c r="BH852" s="245"/>
      <c r="BI852" s="245"/>
      <c r="BJ852" s="245"/>
      <c r="BK852" s="245"/>
      <c r="BL852" s="245"/>
      <c r="BM852" s="245"/>
      <c r="BN852" s="245"/>
      <c r="BO852" s="245"/>
      <c r="BP852" s="245"/>
      <c r="BQ852" s="245"/>
      <c r="BR852" s="245"/>
      <c r="BS852" s="245"/>
      <c r="BT852" s="246"/>
      <c r="BU852" s="245"/>
      <c r="BV852" s="245"/>
      <c r="BW852" s="245"/>
      <c r="BX852" s="245"/>
      <c r="BY852" s="245"/>
      <c r="BZ852" s="282"/>
      <c r="CA852" s="245"/>
      <c r="CB852" s="245"/>
      <c r="CC852" s="245"/>
      <c r="CD852" s="245"/>
      <c r="CE852" s="245"/>
      <c r="CF852" s="245"/>
    </row>
    <row r="853">
      <c r="A853" s="245"/>
      <c r="B853" s="245"/>
      <c r="C853" s="245"/>
      <c r="D853" s="246"/>
      <c r="E853" s="245"/>
      <c r="F853" s="245"/>
      <c r="G853" s="245"/>
      <c r="H853" s="245"/>
      <c r="I853" s="245"/>
      <c r="J853" s="245"/>
      <c r="K853" s="265"/>
      <c r="L853" s="245"/>
      <c r="M853" s="245"/>
      <c r="N853" s="245"/>
      <c r="O853" s="245"/>
      <c r="P853" s="245"/>
      <c r="Q853" s="247"/>
      <c r="R853" s="254"/>
      <c r="S853" s="245"/>
      <c r="T853" s="245"/>
      <c r="U853" s="245"/>
      <c r="V853" s="245"/>
      <c r="W853" s="245"/>
      <c r="X853" s="245"/>
      <c r="Y853" s="249"/>
      <c r="Z853" s="276"/>
      <c r="AA853" s="245"/>
      <c r="AB853" s="276"/>
      <c r="AC853" s="276"/>
      <c r="AD853" s="246"/>
      <c r="AE853" s="278"/>
      <c r="AF853" s="370"/>
      <c r="AG853" s="371"/>
      <c r="AH853" s="276"/>
      <c r="AI853" s="245"/>
      <c r="AJ853" s="287"/>
      <c r="AK853" s="278"/>
      <c r="AL853" s="246"/>
      <c r="AM853" s="245"/>
      <c r="AN853" s="245"/>
      <c r="AO853" s="274"/>
      <c r="AP853" s="245"/>
      <c r="AQ853" s="245"/>
      <c r="AR853" s="246"/>
      <c r="AS853" s="245"/>
      <c r="AT853" s="245"/>
      <c r="AU853" s="245"/>
      <c r="AV853" s="245"/>
      <c r="AW853" s="245"/>
      <c r="AX853" s="246"/>
      <c r="AY853" s="245"/>
      <c r="AZ853" s="245"/>
      <c r="BA853" s="246"/>
      <c r="BB853" s="245"/>
      <c r="BC853" s="245"/>
      <c r="BD853" s="245"/>
      <c r="BE853" s="245"/>
      <c r="BF853" s="245"/>
      <c r="BG853" s="245"/>
      <c r="BH853" s="245"/>
      <c r="BI853" s="245"/>
      <c r="BJ853" s="245"/>
      <c r="BK853" s="245"/>
      <c r="BL853" s="245"/>
      <c r="BM853" s="245"/>
      <c r="BN853" s="245"/>
      <c r="BO853" s="245"/>
      <c r="BP853" s="245"/>
      <c r="BQ853" s="245"/>
      <c r="BR853" s="245"/>
      <c r="BS853" s="245"/>
      <c r="BT853" s="246"/>
      <c r="BU853" s="245"/>
      <c r="BV853" s="245"/>
      <c r="BW853" s="245"/>
      <c r="BX853" s="245"/>
      <c r="BY853" s="245"/>
      <c r="BZ853" s="282"/>
      <c r="CA853" s="245"/>
      <c r="CB853" s="245"/>
      <c r="CC853" s="245"/>
      <c r="CD853" s="245"/>
      <c r="CE853" s="245"/>
      <c r="CF853" s="245"/>
    </row>
    <row r="854">
      <c r="A854" s="245"/>
      <c r="B854" s="245"/>
      <c r="C854" s="245"/>
      <c r="D854" s="246"/>
      <c r="E854" s="245"/>
      <c r="F854" s="245"/>
      <c r="G854" s="245"/>
      <c r="H854" s="245"/>
      <c r="I854" s="245"/>
      <c r="J854" s="245"/>
      <c r="K854" s="265"/>
      <c r="L854" s="245"/>
      <c r="M854" s="245"/>
      <c r="N854" s="245"/>
      <c r="O854" s="245"/>
      <c r="P854" s="245"/>
      <c r="Q854" s="247"/>
      <c r="R854" s="254"/>
      <c r="S854" s="245"/>
      <c r="T854" s="245"/>
      <c r="U854" s="245"/>
      <c r="V854" s="245"/>
      <c r="W854" s="245"/>
      <c r="X854" s="245"/>
      <c r="Y854" s="249"/>
      <c r="Z854" s="276"/>
      <c r="AA854" s="245"/>
      <c r="AB854" s="276"/>
      <c r="AC854" s="276"/>
      <c r="AD854" s="246"/>
      <c r="AE854" s="278"/>
      <c r="AF854" s="370"/>
      <c r="AG854" s="371"/>
      <c r="AH854" s="276"/>
      <c r="AI854" s="245"/>
      <c r="AJ854" s="287"/>
      <c r="AK854" s="278"/>
      <c r="AL854" s="246"/>
      <c r="AM854" s="245"/>
      <c r="AN854" s="245"/>
      <c r="AO854" s="274"/>
      <c r="AP854" s="245"/>
      <c r="AQ854" s="245"/>
      <c r="AR854" s="246"/>
      <c r="AS854" s="245"/>
      <c r="AT854" s="245"/>
      <c r="AU854" s="245"/>
      <c r="AV854" s="245"/>
      <c r="AW854" s="245"/>
      <c r="AX854" s="246"/>
      <c r="AY854" s="245"/>
      <c r="AZ854" s="245"/>
      <c r="BA854" s="246"/>
      <c r="BB854" s="245"/>
      <c r="BC854" s="245"/>
      <c r="BD854" s="245"/>
      <c r="BE854" s="245"/>
      <c r="BF854" s="245"/>
      <c r="BG854" s="245"/>
      <c r="BH854" s="245"/>
      <c r="BI854" s="245"/>
      <c r="BJ854" s="245"/>
      <c r="BK854" s="245"/>
      <c r="BL854" s="245"/>
      <c r="BM854" s="245"/>
      <c r="BN854" s="245"/>
      <c r="BO854" s="245"/>
      <c r="BP854" s="245"/>
      <c r="BQ854" s="245"/>
      <c r="BR854" s="245"/>
      <c r="BS854" s="245"/>
      <c r="BT854" s="246"/>
      <c r="BU854" s="245"/>
      <c r="BV854" s="245"/>
      <c r="BW854" s="245"/>
      <c r="BX854" s="245"/>
      <c r="BY854" s="245"/>
      <c r="BZ854" s="282"/>
      <c r="CA854" s="245"/>
      <c r="CB854" s="245"/>
      <c r="CC854" s="245"/>
      <c r="CD854" s="245"/>
      <c r="CE854" s="245"/>
      <c r="CF854" s="245"/>
    </row>
    <row r="855">
      <c r="A855" s="245"/>
      <c r="B855" s="245"/>
      <c r="C855" s="245"/>
      <c r="D855" s="246"/>
      <c r="E855" s="245"/>
      <c r="F855" s="245"/>
      <c r="G855" s="245"/>
      <c r="H855" s="245"/>
      <c r="I855" s="245"/>
      <c r="J855" s="245"/>
      <c r="K855" s="265"/>
      <c r="L855" s="245"/>
      <c r="M855" s="245"/>
      <c r="N855" s="245"/>
      <c r="O855" s="245"/>
      <c r="P855" s="245"/>
      <c r="Q855" s="247"/>
      <c r="R855" s="254"/>
      <c r="S855" s="245"/>
      <c r="T855" s="245"/>
      <c r="U855" s="245"/>
      <c r="V855" s="245"/>
      <c r="W855" s="245"/>
      <c r="X855" s="245"/>
      <c r="Y855" s="249"/>
      <c r="Z855" s="276"/>
      <c r="AA855" s="245"/>
      <c r="AB855" s="276"/>
      <c r="AC855" s="276"/>
      <c r="AD855" s="246"/>
      <c r="AE855" s="278"/>
      <c r="AF855" s="370"/>
      <c r="AG855" s="371"/>
      <c r="AH855" s="276"/>
      <c r="AI855" s="245"/>
      <c r="AJ855" s="287"/>
      <c r="AK855" s="278"/>
      <c r="AL855" s="246"/>
      <c r="AM855" s="245"/>
      <c r="AN855" s="245"/>
      <c r="AO855" s="274"/>
      <c r="AP855" s="245"/>
      <c r="AQ855" s="245"/>
      <c r="AR855" s="246"/>
      <c r="AS855" s="245"/>
      <c r="AT855" s="245"/>
      <c r="AU855" s="245"/>
      <c r="AV855" s="245"/>
      <c r="AW855" s="245"/>
      <c r="AX855" s="246"/>
      <c r="AY855" s="245"/>
      <c r="AZ855" s="245"/>
      <c r="BA855" s="246"/>
      <c r="BB855" s="245"/>
      <c r="BC855" s="245"/>
      <c r="BD855" s="245"/>
      <c r="BE855" s="245"/>
      <c r="BF855" s="245"/>
      <c r="BG855" s="245"/>
      <c r="BH855" s="245"/>
      <c r="BI855" s="245"/>
      <c r="BJ855" s="245"/>
      <c r="BK855" s="245"/>
      <c r="BL855" s="245"/>
      <c r="BM855" s="245"/>
      <c r="BN855" s="245"/>
      <c r="BO855" s="245"/>
      <c r="BP855" s="245"/>
      <c r="BQ855" s="245"/>
      <c r="BR855" s="245"/>
      <c r="BS855" s="245"/>
      <c r="BT855" s="246"/>
      <c r="BU855" s="245"/>
      <c r="BV855" s="245"/>
      <c r="BW855" s="245"/>
      <c r="BX855" s="245"/>
      <c r="BY855" s="245"/>
      <c r="BZ855" s="282"/>
      <c r="CA855" s="245"/>
      <c r="CB855" s="245"/>
      <c r="CC855" s="245"/>
      <c r="CD855" s="245"/>
      <c r="CE855" s="245"/>
      <c r="CF855" s="245"/>
    </row>
    <row r="856">
      <c r="A856" s="245"/>
      <c r="B856" s="245"/>
      <c r="C856" s="245"/>
      <c r="D856" s="246"/>
      <c r="E856" s="245"/>
      <c r="F856" s="245"/>
      <c r="G856" s="245"/>
      <c r="H856" s="245"/>
      <c r="I856" s="245"/>
      <c r="J856" s="245"/>
      <c r="K856" s="265"/>
      <c r="L856" s="245"/>
      <c r="M856" s="245"/>
      <c r="N856" s="245"/>
      <c r="O856" s="245"/>
      <c r="P856" s="245"/>
      <c r="Q856" s="247"/>
      <c r="R856" s="254"/>
      <c r="S856" s="245"/>
      <c r="T856" s="245"/>
      <c r="U856" s="245"/>
      <c r="V856" s="245"/>
      <c r="W856" s="245"/>
      <c r="X856" s="245"/>
      <c r="Y856" s="249"/>
      <c r="Z856" s="276"/>
      <c r="AA856" s="245"/>
      <c r="AB856" s="276"/>
      <c r="AC856" s="276"/>
      <c r="AD856" s="246"/>
      <c r="AE856" s="278"/>
      <c r="AF856" s="370"/>
      <c r="AG856" s="371"/>
      <c r="AH856" s="276"/>
      <c r="AI856" s="245"/>
      <c r="AJ856" s="287"/>
      <c r="AK856" s="278"/>
      <c r="AL856" s="246"/>
      <c r="AM856" s="245"/>
      <c r="AN856" s="245"/>
      <c r="AO856" s="274"/>
      <c r="AP856" s="245"/>
      <c r="AQ856" s="245"/>
      <c r="AR856" s="246"/>
      <c r="AS856" s="245"/>
      <c r="AT856" s="245"/>
      <c r="AU856" s="245"/>
      <c r="AV856" s="245"/>
      <c r="AW856" s="245"/>
      <c r="AX856" s="246"/>
      <c r="AY856" s="245"/>
      <c r="AZ856" s="245"/>
      <c r="BA856" s="246"/>
      <c r="BB856" s="245"/>
      <c r="BC856" s="245"/>
      <c r="BD856" s="245"/>
      <c r="BE856" s="245"/>
      <c r="BF856" s="245"/>
      <c r="BG856" s="245"/>
      <c r="BH856" s="245"/>
      <c r="BI856" s="245"/>
      <c r="BJ856" s="245"/>
      <c r="BK856" s="245"/>
      <c r="BL856" s="245"/>
      <c r="BM856" s="245"/>
      <c r="BN856" s="245"/>
      <c r="BO856" s="245"/>
      <c r="BP856" s="245"/>
      <c r="BQ856" s="245"/>
      <c r="BR856" s="245"/>
      <c r="BS856" s="245"/>
      <c r="BT856" s="246"/>
      <c r="BU856" s="245"/>
      <c r="BV856" s="245"/>
      <c r="BW856" s="245"/>
      <c r="BX856" s="245"/>
      <c r="BY856" s="245"/>
      <c r="BZ856" s="282"/>
      <c r="CA856" s="245"/>
      <c r="CB856" s="245"/>
      <c r="CC856" s="245"/>
      <c r="CD856" s="245"/>
      <c r="CE856" s="245"/>
      <c r="CF856" s="245"/>
    </row>
    <row r="857">
      <c r="A857" s="245"/>
      <c r="B857" s="245"/>
      <c r="C857" s="245"/>
      <c r="D857" s="246"/>
      <c r="E857" s="245"/>
      <c r="F857" s="245"/>
      <c r="G857" s="245"/>
      <c r="H857" s="245"/>
      <c r="I857" s="245"/>
      <c r="J857" s="245"/>
      <c r="K857" s="265"/>
      <c r="L857" s="245"/>
      <c r="M857" s="245"/>
      <c r="N857" s="245"/>
      <c r="O857" s="245"/>
      <c r="P857" s="245"/>
      <c r="Q857" s="247"/>
      <c r="R857" s="254"/>
      <c r="S857" s="245"/>
      <c r="T857" s="245"/>
      <c r="U857" s="245"/>
      <c r="V857" s="245"/>
      <c r="W857" s="245"/>
      <c r="X857" s="245"/>
      <c r="Y857" s="249"/>
      <c r="Z857" s="276"/>
      <c r="AA857" s="245"/>
      <c r="AB857" s="276"/>
      <c r="AC857" s="276"/>
      <c r="AD857" s="246"/>
      <c r="AE857" s="278"/>
      <c r="AF857" s="370"/>
      <c r="AG857" s="371"/>
      <c r="AH857" s="276"/>
      <c r="AI857" s="245"/>
      <c r="AJ857" s="287"/>
      <c r="AK857" s="278"/>
      <c r="AL857" s="246"/>
      <c r="AM857" s="245"/>
      <c r="AN857" s="245"/>
      <c r="AO857" s="274"/>
      <c r="AP857" s="245"/>
      <c r="AQ857" s="245"/>
      <c r="AR857" s="246"/>
      <c r="AS857" s="245"/>
      <c r="AT857" s="245"/>
      <c r="AU857" s="245"/>
      <c r="AV857" s="245"/>
      <c r="AW857" s="245"/>
      <c r="AX857" s="246"/>
      <c r="AY857" s="245"/>
      <c r="AZ857" s="245"/>
      <c r="BA857" s="246"/>
      <c r="BB857" s="245"/>
      <c r="BC857" s="245"/>
      <c r="BD857" s="245"/>
      <c r="BE857" s="245"/>
      <c r="BF857" s="245"/>
      <c r="BG857" s="245"/>
      <c r="BH857" s="245"/>
      <c r="BI857" s="245"/>
      <c r="BJ857" s="245"/>
      <c r="BK857" s="245"/>
      <c r="BL857" s="245"/>
      <c r="BM857" s="245"/>
      <c r="BN857" s="245"/>
      <c r="BO857" s="245"/>
      <c r="BP857" s="245"/>
      <c r="BQ857" s="245"/>
      <c r="BR857" s="245"/>
      <c r="BS857" s="245"/>
      <c r="BT857" s="246"/>
      <c r="BU857" s="245"/>
      <c r="BV857" s="245"/>
      <c r="BW857" s="245"/>
      <c r="BX857" s="245"/>
      <c r="BY857" s="245"/>
      <c r="BZ857" s="282"/>
      <c r="CA857" s="245"/>
      <c r="CB857" s="245"/>
      <c r="CC857" s="245"/>
      <c r="CD857" s="245"/>
      <c r="CE857" s="245"/>
      <c r="CF857" s="245"/>
    </row>
    <row r="858">
      <c r="A858" s="245"/>
      <c r="B858" s="245"/>
      <c r="C858" s="245"/>
      <c r="D858" s="246"/>
      <c r="E858" s="245"/>
      <c r="F858" s="245"/>
      <c r="G858" s="245"/>
      <c r="H858" s="245"/>
      <c r="I858" s="245"/>
      <c r="J858" s="245"/>
      <c r="K858" s="265"/>
      <c r="L858" s="245"/>
      <c r="M858" s="245"/>
      <c r="N858" s="245"/>
      <c r="O858" s="245"/>
      <c r="P858" s="245"/>
      <c r="Q858" s="247"/>
      <c r="R858" s="254"/>
      <c r="S858" s="245"/>
      <c r="T858" s="245"/>
      <c r="U858" s="245"/>
      <c r="V858" s="245"/>
      <c r="W858" s="245"/>
      <c r="X858" s="245"/>
      <c r="Y858" s="249"/>
      <c r="Z858" s="276"/>
      <c r="AA858" s="245"/>
      <c r="AB858" s="276"/>
      <c r="AC858" s="276"/>
      <c r="AD858" s="246"/>
      <c r="AE858" s="278"/>
      <c r="AF858" s="370"/>
      <c r="AG858" s="371"/>
      <c r="AH858" s="276"/>
      <c r="AI858" s="245"/>
      <c r="AJ858" s="287"/>
      <c r="AK858" s="278"/>
      <c r="AL858" s="246"/>
      <c r="AM858" s="245"/>
      <c r="AN858" s="245"/>
      <c r="AO858" s="274"/>
      <c r="AP858" s="245"/>
      <c r="AQ858" s="245"/>
      <c r="AR858" s="246"/>
      <c r="AS858" s="245"/>
      <c r="AT858" s="245"/>
      <c r="AU858" s="245"/>
      <c r="AV858" s="245"/>
      <c r="AW858" s="245"/>
      <c r="AX858" s="246"/>
      <c r="AY858" s="245"/>
      <c r="AZ858" s="245"/>
      <c r="BA858" s="246"/>
      <c r="BB858" s="245"/>
      <c r="BC858" s="245"/>
      <c r="BD858" s="245"/>
      <c r="BE858" s="245"/>
      <c r="BF858" s="245"/>
      <c r="BG858" s="245"/>
      <c r="BH858" s="245"/>
      <c r="BI858" s="245"/>
      <c r="BJ858" s="245"/>
      <c r="BK858" s="245"/>
      <c r="BL858" s="245"/>
      <c r="BM858" s="245"/>
      <c r="BN858" s="245"/>
      <c r="BO858" s="245"/>
      <c r="BP858" s="245"/>
      <c r="BQ858" s="245"/>
      <c r="BR858" s="245"/>
      <c r="BS858" s="245"/>
      <c r="BT858" s="246"/>
      <c r="BU858" s="245"/>
      <c r="BV858" s="245"/>
      <c r="BW858" s="245"/>
      <c r="BX858" s="245"/>
      <c r="BY858" s="245"/>
      <c r="BZ858" s="282"/>
      <c r="CA858" s="245"/>
      <c r="CB858" s="245"/>
      <c r="CC858" s="245"/>
      <c r="CD858" s="245"/>
      <c r="CE858" s="245"/>
      <c r="CF858" s="245"/>
    </row>
    <row r="859">
      <c r="A859" s="245"/>
      <c r="B859" s="245"/>
      <c r="C859" s="245"/>
      <c r="D859" s="246"/>
      <c r="E859" s="245"/>
      <c r="F859" s="245"/>
      <c r="G859" s="245"/>
      <c r="H859" s="245"/>
      <c r="I859" s="245"/>
      <c r="J859" s="245"/>
      <c r="K859" s="265"/>
      <c r="L859" s="245"/>
      <c r="M859" s="245"/>
      <c r="N859" s="245"/>
      <c r="O859" s="245"/>
      <c r="P859" s="245"/>
      <c r="Q859" s="247"/>
      <c r="R859" s="254"/>
      <c r="S859" s="245"/>
      <c r="T859" s="245"/>
      <c r="U859" s="245"/>
      <c r="V859" s="245"/>
      <c r="W859" s="245"/>
      <c r="X859" s="245"/>
      <c r="Y859" s="249"/>
      <c r="Z859" s="276"/>
      <c r="AA859" s="245"/>
      <c r="AB859" s="276"/>
      <c r="AC859" s="276"/>
      <c r="AD859" s="246"/>
      <c r="AE859" s="278"/>
      <c r="AF859" s="370"/>
      <c r="AG859" s="371"/>
      <c r="AH859" s="276"/>
      <c r="AI859" s="245"/>
      <c r="AJ859" s="287"/>
      <c r="AK859" s="278"/>
      <c r="AL859" s="246"/>
      <c r="AM859" s="245"/>
      <c r="AN859" s="245"/>
      <c r="AO859" s="274"/>
      <c r="AP859" s="245"/>
      <c r="AQ859" s="245"/>
      <c r="AR859" s="246"/>
      <c r="AS859" s="245"/>
      <c r="AT859" s="245"/>
      <c r="AU859" s="245"/>
      <c r="AV859" s="245"/>
      <c r="AW859" s="245"/>
      <c r="AX859" s="246"/>
      <c r="AY859" s="245"/>
      <c r="AZ859" s="245"/>
      <c r="BA859" s="246"/>
      <c r="BB859" s="245"/>
      <c r="BC859" s="245"/>
      <c r="BD859" s="245"/>
      <c r="BE859" s="245"/>
      <c r="BF859" s="245"/>
      <c r="BG859" s="245"/>
      <c r="BH859" s="245"/>
      <c r="BI859" s="245"/>
      <c r="BJ859" s="245"/>
      <c r="BK859" s="245"/>
      <c r="BL859" s="245"/>
      <c r="BM859" s="245"/>
      <c r="BN859" s="245"/>
      <c r="BO859" s="245"/>
      <c r="BP859" s="245"/>
      <c r="BQ859" s="245"/>
      <c r="BR859" s="245"/>
      <c r="BS859" s="245"/>
      <c r="BT859" s="246"/>
      <c r="BU859" s="245"/>
      <c r="BV859" s="245"/>
      <c r="BW859" s="245"/>
      <c r="BX859" s="245"/>
      <c r="BY859" s="245"/>
      <c r="BZ859" s="282"/>
      <c r="CA859" s="245"/>
      <c r="CB859" s="245"/>
      <c r="CC859" s="245"/>
      <c r="CD859" s="245"/>
      <c r="CE859" s="245"/>
      <c r="CF859" s="245"/>
    </row>
    <row r="860">
      <c r="A860" s="245"/>
      <c r="B860" s="245"/>
      <c r="C860" s="245"/>
      <c r="D860" s="246"/>
      <c r="E860" s="245"/>
      <c r="F860" s="245"/>
      <c r="G860" s="245"/>
      <c r="H860" s="245"/>
      <c r="I860" s="245"/>
      <c r="J860" s="245"/>
      <c r="K860" s="265"/>
      <c r="L860" s="245"/>
      <c r="M860" s="245"/>
      <c r="N860" s="245"/>
      <c r="O860" s="245"/>
      <c r="P860" s="245"/>
      <c r="Q860" s="247"/>
      <c r="R860" s="254"/>
      <c r="S860" s="245"/>
      <c r="T860" s="245"/>
      <c r="U860" s="245"/>
      <c r="V860" s="245"/>
      <c r="W860" s="245"/>
      <c r="X860" s="245"/>
      <c r="Y860" s="249"/>
      <c r="Z860" s="276"/>
      <c r="AA860" s="245"/>
      <c r="AB860" s="276"/>
      <c r="AC860" s="276"/>
      <c r="AD860" s="246"/>
      <c r="AE860" s="278"/>
      <c r="AF860" s="370"/>
      <c r="AG860" s="371"/>
      <c r="AH860" s="276"/>
      <c r="AI860" s="245"/>
      <c r="AJ860" s="287"/>
      <c r="AK860" s="278"/>
      <c r="AL860" s="246"/>
      <c r="AM860" s="245"/>
      <c r="AN860" s="245"/>
      <c r="AO860" s="274"/>
      <c r="AP860" s="245"/>
      <c r="AQ860" s="245"/>
      <c r="AR860" s="246"/>
      <c r="AS860" s="245"/>
      <c r="AT860" s="245"/>
      <c r="AU860" s="245"/>
      <c r="AV860" s="245"/>
      <c r="AW860" s="245"/>
      <c r="AX860" s="246"/>
      <c r="AY860" s="245"/>
      <c r="AZ860" s="245"/>
      <c r="BA860" s="246"/>
      <c r="BB860" s="245"/>
      <c r="BC860" s="245"/>
      <c r="BD860" s="245"/>
      <c r="BE860" s="245"/>
      <c r="BF860" s="245"/>
      <c r="BG860" s="245"/>
      <c r="BH860" s="245"/>
      <c r="BI860" s="245"/>
      <c r="BJ860" s="245"/>
      <c r="BK860" s="245"/>
      <c r="BL860" s="245"/>
      <c r="BM860" s="245"/>
      <c r="BN860" s="245"/>
      <c r="BO860" s="245"/>
      <c r="BP860" s="245"/>
      <c r="BQ860" s="245"/>
      <c r="BR860" s="245"/>
      <c r="BS860" s="245"/>
      <c r="BT860" s="246"/>
      <c r="BU860" s="245"/>
      <c r="BV860" s="245"/>
      <c r="BW860" s="245"/>
      <c r="BX860" s="245"/>
      <c r="BY860" s="245"/>
      <c r="BZ860" s="282"/>
      <c r="CA860" s="245"/>
      <c r="CB860" s="245"/>
      <c r="CC860" s="245"/>
      <c r="CD860" s="245"/>
      <c r="CE860" s="245"/>
      <c r="CF860" s="245"/>
    </row>
    <row r="861">
      <c r="A861" s="245"/>
      <c r="B861" s="245"/>
      <c r="C861" s="245"/>
      <c r="D861" s="246"/>
      <c r="E861" s="245"/>
      <c r="F861" s="245"/>
      <c r="G861" s="245"/>
      <c r="H861" s="245"/>
      <c r="I861" s="245"/>
      <c r="J861" s="245"/>
      <c r="K861" s="265"/>
      <c r="L861" s="245"/>
      <c r="M861" s="245"/>
      <c r="N861" s="245"/>
      <c r="O861" s="245"/>
      <c r="P861" s="245"/>
      <c r="Q861" s="247"/>
      <c r="R861" s="254"/>
      <c r="S861" s="245"/>
      <c r="T861" s="245"/>
      <c r="U861" s="245"/>
      <c r="V861" s="245"/>
      <c r="W861" s="245"/>
      <c r="X861" s="245"/>
      <c r="Y861" s="249"/>
      <c r="Z861" s="276"/>
      <c r="AA861" s="245"/>
      <c r="AB861" s="276"/>
      <c r="AC861" s="276"/>
      <c r="AD861" s="246"/>
      <c r="AE861" s="278"/>
      <c r="AF861" s="370"/>
      <c r="AG861" s="371"/>
      <c r="AH861" s="276"/>
      <c r="AI861" s="245"/>
      <c r="AJ861" s="287"/>
      <c r="AK861" s="278"/>
      <c r="AL861" s="246"/>
      <c r="AM861" s="245"/>
      <c r="AN861" s="245"/>
      <c r="AO861" s="274"/>
      <c r="AP861" s="245"/>
      <c r="AQ861" s="245"/>
      <c r="AR861" s="246"/>
      <c r="AS861" s="245"/>
      <c r="AT861" s="245"/>
      <c r="AU861" s="245"/>
      <c r="AV861" s="245"/>
      <c r="AW861" s="245"/>
      <c r="AX861" s="246"/>
      <c r="AY861" s="245"/>
      <c r="AZ861" s="245"/>
      <c r="BA861" s="246"/>
      <c r="BB861" s="245"/>
      <c r="BC861" s="245"/>
      <c r="BD861" s="245"/>
      <c r="BE861" s="245"/>
      <c r="BF861" s="245"/>
      <c r="BG861" s="245"/>
      <c r="BH861" s="245"/>
      <c r="BI861" s="245"/>
      <c r="BJ861" s="245"/>
      <c r="BK861" s="245"/>
      <c r="BL861" s="245"/>
      <c r="BM861" s="245"/>
      <c r="BN861" s="245"/>
      <c r="BO861" s="245"/>
      <c r="BP861" s="245"/>
      <c r="BQ861" s="245"/>
      <c r="BR861" s="245"/>
      <c r="BS861" s="245"/>
      <c r="BT861" s="246"/>
      <c r="BU861" s="245"/>
      <c r="BV861" s="245"/>
      <c r="BW861" s="245"/>
      <c r="BX861" s="245"/>
      <c r="BY861" s="245"/>
      <c r="BZ861" s="282"/>
      <c r="CA861" s="245"/>
      <c r="CB861" s="245"/>
      <c r="CC861" s="245"/>
      <c r="CD861" s="245"/>
      <c r="CE861" s="245"/>
      <c r="CF861" s="245"/>
    </row>
    <row r="862">
      <c r="A862" s="245"/>
      <c r="B862" s="245"/>
      <c r="C862" s="245"/>
      <c r="D862" s="246"/>
      <c r="E862" s="245"/>
      <c r="F862" s="245"/>
      <c r="G862" s="245"/>
      <c r="H862" s="245"/>
      <c r="I862" s="245"/>
      <c r="J862" s="245"/>
      <c r="K862" s="265"/>
      <c r="L862" s="245"/>
      <c r="M862" s="245"/>
      <c r="N862" s="245"/>
      <c r="O862" s="245"/>
      <c r="P862" s="245"/>
      <c r="Q862" s="247"/>
      <c r="R862" s="254"/>
      <c r="S862" s="245"/>
      <c r="T862" s="245"/>
      <c r="U862" s="245"/>
      <c r="V862" s="245"/>
      <c r="W862" s="245"/>
      <c r="X862" s="245"/>
      <c r="Y862" s="249"/>
      <c r="Z862" s="276"/>
      <c r="AA862" s="245"/>
      <c r="AB862" s="276"/>
      <c r="AC862" s="276"/>
      <c r="AD862" s="246"/>
      <c r="AE862" s="278"/>
      <c r="AF862" s="370"/>
      <c r="AG862" s="371"/>
      <c r="AH862" s="276"/>
      <c r="AI862" s="245"/>
      <c r="AJ862" s="287"/>
      <c r="AK862" s="278"/>
      <c r="AL862" s="246"/>
      <c r="AM862" s="245"/>
      <c r="AN862" s="245"/>
      <c r="AO862" s="274"/>
      <c r="AP862" s="245"/>
      <c r="AQ862" s="245"/>
      <c r="AR862" s="246"/>
      <c r="AS862" s="245"/>
      <c r="AT862" s="245"/>
      <c r="AU862" s="245"/>
      <c r="AV862" s="245"/>
      <c r="AW862" s="245"/>
      <c r="AX862" s="246"/>
      <c r="AY862" s="245"/>
      <c r="AZ862" s="245"/>
      <c r="BA862" s="246"/>
      <c r="BB862" s="245"/>
      <c r="BC862" s="245"/>
      <c r="BD862" s="245"/>
      <c r="BE862" s="245"/>
      <c r="BF862" s="245"/>
      <c r="BG862" s="245"/>
      <c r="BH862" s="245"/>
      <c r="BI862" s="245"/>
      <c r="BJ862" s="245"/>
      <c r="BK862" s="245"/>
      <c r="BL862" s="245"/>
      <c r="BM862" s="245"/>
      <c r="BN862" s="245"/>
      <c r="BO862" s="245"/>
      <c r="BP862" s="245"/>
      <c r="BQ862" s="245"/>
      <c r="BR862" s="245"/>
      <c r="BS862" s="245"/>
      <c r="BT862" s="246"/>
      <c r="BU862" s="245"/>
      <c r="BV862" s="245"/>
      <c r="BW862" s="245"/>
      <c r="BX862" s="245"/>
      <c r="BY862" s="245"/>
      <c r="BZ862" s="282"/>
      <c r="CA862" s="245"/>
      <c r="CB862" s="245"/>
      <c r="CC862" s="245"/>
      <c r="CD862" s="245"/>
      <c r="CE862" s="245"/>
      <c r="CF862" s="245"/>
    </row>
    <row r="863">
      <c r="A863" s="245"/>
      <c r="B863" s="245"/>
      <c r="C863" s="245"/>
      <c r="D863" s="246"/>
      <c r="E863" s="245"/>
      <c r="F863" s="245"/>
      <c r="G863" s="245"/>
      <c r="H863" s="245"/>
      <c r="I863" s="245"/>
      <c r="J863" s="245"/>
      <c r="K863" s="265"/>
      <c r="L863" s="245"/>
      <c r="M863" s="245"/>
      <c r="N863" s="245"/>
      <c r="O863" s="245"/>
      <c r="P863" s="245"/>
      <c r="Q863" s="247"/>
      <c r="R863" s="254"/>
      <c r="S863" s="245"/>
      <c r="T863" s="245"/>
      <c r="U863" s="245"/>
      <c r="V863" s="245"/>
      <c r="W863" s="245"/>
      <c r="X863" s="245"/>
      <c r="Y863" s="249"/>
      <c r="Z863" s="276"/>
      <c r="AA863" s="245"/>
      <c r="AB863" s="276"/>
      <c r="AC863" s="276"/>
      <c r="AD863" s="246"/>
      <c r="AE863" s="278"/>
      <c r="AF863" s="370"/>
      <c r="AG863" s="371"/>
      <c r="AH863" s="276"/>
      <c r="AI863" s="245"/>
      <c r="AJ863" s="287"/>
      <c r="AK863" s="278"/>
      <c r="AL863" s="246"/>
      <c r="AM863" s="245"/>
      <c r="AN863" s="245"/>
      <c r="AO863" s="274"/>
      <c r="AP863" s="245"/>
      <c r="AQ863" s="245"/>
      <c r="AR863" s="246"/>
      <c r="AS863" s="245"/>
      <c r="AT863" s="245"/>
      <c r="AU863" s="245"/>
      <c r="AV863" s="245"/>
      <c r="AW863" s="245"/>
      <c r="AX863" s="246"/>
      <c r="AY863" s="245"/>
      <c r="AZ863" s="245"/>
      <c r="BA863" s="246"/>
      <c r="BB863" s="245"/>
      <c r="BC863" s="245"/>
      <c r="BD863" s="245"/>
      <c r="BE863" s="245"/>
      <c r="BF863" s="245"/>
      <c r="BG863" s="245"/>
      <c r="BH863" s="245"/>
      <c r="BI863" s="245"/>
      <c r="BJ863" s="245"/>
      <c r="BK863" s="245"/>
      <c r="BL863" s="245"/>
      <c r="BM863" s="245"/>
      <c r="BN863" s="245"/>
      <c r="BO863" s="245"/>
      <c r="BP863" s="245"/>
      <c r="BQ863" s="245"/>
      <c r="BR863" s="245"/>
      <c r="BS863" s="245"/>
      <c r="BT863" s="246"/>
      <c r="BU863" s="245"/>
      <c r="BV863" s="245"/>
      <c r="BW863" s="245"/>
      <c r="BX863" s="245"/>
      <c r="BY863" s="245"/>
      <c r="BZ863" s="282"/>
      <c r="CA863" s="245"/>
      <c r="CB863" s="245"/>
      <c r="CC863" s="245"/>
      <c r="CD863" s="245"/>
      <c r="CE863" s="245"/>
      <c r="CF863" s="245"/>
    </row>
    <row r="864">
      <c r="A864" s="245"/>
      <c r="B864" s="245"/>
      <c r="C864" s="245"/>
      <c r="D864" s="246"/>
      <c r="E864" s="245"/>
      <c r="F864" s="245"/>
      <c r="G864" s="245"/>
      <c r="H864" s="245"/>
      <c r="I864" s="245"/>
      <c r="J864" s="245"/>
      <c r="K864" s="265"/>
      <c r="L864" s="245"/>
      <c r="M864" s="245"/>
      <c r="N864" s="245"/>
      <c r="O864" s="245"/>
      <c r="P864" s="245"/>
      <c r="Q864" s="247"/>
      <c r="R864" s="254"/>
      <c r="S864" s="245"/>
      <c r="T864" s="245"/>
      <c r="U864" s="245"/>
      <c r="V864" s="245"/>
      <c r="W864" s="245"/>
      <c r="X864" s="245"/>
      <c r="Y864" s="249"/>
      <c r="Z864" s="276"/>
      <c r="AA864" s="245"/>
      <c r="AB864" s="276"/>
      <c r="AC864" s="276"/>
      <c r="AD864" s="246"/>
      <c r="AE864" s="278"/>
      <c r="AF864" s="370"/>
      <c r="AG864" s="371"/>
      <c r="AH864" s="276"/>
      <c r="AI864" s="245"/>
      <c r="AJ864" s="287"/>
      <c r="AK864" s="278"/>
      <c r="AL864" s="246"/>
      <c r="AM864" s="245"/>
      <c r="AN864" s="245"/>
      <c r="AO864" s="274"/>
      <c r="AP864" s="245"/>
      <c r="AQ864" s="245"/>
      <c r="AR864" s="246"/>
      <c r="AS864" s="245"/>
      <c r="AT864" s="245"/>
      <c r="AU864" s="245"/>
      <c r="AV864" s="245"/>
      <c r="AW864" s="245"/>
      <c r="AX864" s="246"/>
      <c r="AY864" s="245"/>
      <c r="AZ864" s="245"/>
      <c r="BA864" s="246"/>
      <c r="BB864" s="245"/>
      <c r="BC864" s="245"/>
      <c r="BD864" s="245"/>
      <c r="BE864" s="245"/>
      <c r="BF864" s="245"/>
      <c r="BG864" s="245"/>
      <c r="BH864" s="245"/>
      <c r="BI864" s="245"/>
      <c r="BJ864" s="245"/>
      <c r="BK864" s="245"/>
      <c r="BL864" s="245"/>
      <c r="BM864" s="245"/>
      <c r="BN864" s="245"/>
      <c r="BO864" s="245"/>
      <c r="BP864" s="245"/>
      <c r="BQ864" s="245"/>
      <c r="BR864" s="245"/>
      <c r="BS864" s="245"/>
      <c r="BT864" s="246"/>
      <c r="BU864" s="245"/>
      <c r="BV864" s="245"/>
      <c r="BW864" s="245"/>
      <c r="BX864" s="245"/>
      <c r="BY864" s="245"/>
      <c r="BZ864" s="282"/>
      <c r="CA864" s="245"/>
      <c r="CB864" s="245"/>
      <c r="CC864" s="245"/>
      <c r="CD864" s="245"/>
      <c r="CE864" s="245"/>
      <c r="CF864" s="245"/>
    </row>
    <row r="865">
      <c r="A865" s="245"/>
      <c r="B865" s="245"/>
      <c r="C865" s="245"/>
      <c r="D865" s="246"/>
      <c r="E865" s="245"/>
      <c r="F865" s="245"/>
      <c r="G865" s="245"/>
      <c r="H865" s="245"/>
      <c r="I865" s="245"/>
      <c r="J865" s="245"/>
      <c r="K865" s="265"/>
      <c r="L865" s="245"/>
      <c r="M865" s="245"/>
      <c r="N865" s="245"/>
      <c r="O865" s="245"/>
      <c r="P865" s="245"/>
      <c r="Q865" s="247"/>
      <c r="R865" s="254"/>
      <c r="S865" s="245"/>
      <c r="T865" s="245"/>
      <c r="U865" s="245"/>
      <c r="V865" s="245"/>
      <c r="W865" s="245"/>
      <c r="X865" s="245"/>
      <c r="Y865" s="249"/>
      <c r="Z865" s="276"/>
      <c r="AA865" s="245"/>
      <c r="AB865" s="276"/>
      <c r="AC865" s="276"/>
      <c r="AD865" s="246"/>
      <c r="AE865" s="278"/>
      <c r="AF865" s="370"/>
      <c r="AG865" s="371"/>
      <c r="AH865" s="276"/>
      <c r="AI865" s="245"/>
      <c r="AJ865" s="287"/>
      <c r="AK865" s="278"/>
      <c r="AL865" s="246"/>
      <c r="AM865" s="245"/>
      <c r="AN865" s="245"/>
      <c r="AO865" s="274"/>
      <c r="AP865" s="245"/>
      <c r="AQ865" s="245"/>
      <c r="AR865" s="246"/>
      <c r="AS865" s="245"/>
      <c r="AT865" s="245"/>
      <c r="AU865" s="245"/>
      <c r="AV865" s="245"/>
      <c r="AW865" s="245"/>
      <c r="AX865" s="246"/>
      <c r="AY865" s="245"/>
      <c r="AZ865" s="245"/>
      <c r="BA865" s="246"/>
      <c r="BB865" s="245"/>
      <c r="BC865" s="245"/>
      <c r="BD865" s="245"/>
      <c r="BE865" s="245"/>
      <c r="BF865" s="245"/>
      <c r="BG865" s="245"/>
      <c r="BH865" s="245"/>
      <c r="BI865" s="245"/>
      <c r="BJ865" s="245"/>
      <c r="BK865" s="245"/>
      <c r="BL865" s="245"/>
      <c r="BM865" s="245"/>
      <c r="BN865" s="245"/>
      <c r="BO865" s="245"/>
      <c r="BP865" s="245"/>
      <c r="BQ865" s="245"/>
      <c r="BR865" s="245"/>
      <c r="BS865" s="245"/>
      <c r="BT865" s="246"/>
      <c r="BU865" s="245"/>
      <c r="BV865" s="245"/>
      <c r="BW865" s="245"/>
      <c r="BX865" s="245"/>
      <c r="BY865" s="245"/>
      <c r="BZ865" s="282"/>
      <c r="CA865" s="245"/>
      <c r="CB865" s="245"/>
      <c r="CC865" s="245"/>
      <c r="CD865" s="245"/>
      <c r="CE865" s="245"/>
      <c r="CF865" s="245"/>
    </row>
    <row r="866">
      <c r="A866" s="245"/>
      <c r="B866" s="245"/>
      <c r="C866" s="245"/>
      <c r="D866" s="246"/>
      <c r="E866" s="245"/>
      <c r="F866" s="245"/>
      <c r="G866" s="245"/>
      <c r="H866" s="245"/>
      <c r="I866" s="245"/>
      <c r="J866" s="245"/>
      <c r="K866" s="265"/>
      <c r="L866" s="245"/>
      <c r="M866" s="245"/>
      <c r="N866" s="245"/>
      <c r="O866" s="245"/>
      <c r="P866" s="245"/>
      <c r="Q866" s="247"/>
      <c r="R866" s="254"/>
      <c r="S866" s="245"/>
      <c r="T866" s="245"/>
      <c r="U866" s="245"/>
      <c r="V866" s="245"/>
      <c r="W866" s="245"/>
      <c r="X866" s="245"/>
      <c r="Y866" s="249"/>
      <c r="Z866" s="276"/>
      <c r="AA866" s="245"/>
      <c r="AB866" s="276"/>
      <c r="AC866" s="276"/>
      <c r="AD866" s="246"/>
      <c r="AE866" s="278"/>
      <c r="AF866" s="370"/>
      <c r="AG866" s="371"/>
      <c r="AH866" s="276"/>
      <c r="AI866" s="245"/>
      <c r="AJ866" s="287"/>
      <c r="AK866" s="278"/>
      <c r="AL866" s="246"/>
      <c r="AM866" s="245"/>
      <c r="AN866" s="245"/>
      <c r="AO866" s="274"/>
      <c r="AP866" s="245"/>
      <c r="AQ866" s="245"/>
      <c r="AR866" s="246"/>
      <c r="AS866" s="245"/>
      <c r="AT866" s="245"/>
      <c r="AU866" s="245"/>
      <c r="AV866" s="245"/>
      <c r="AW866" s="245"/>
      <c r="AX866" s="246"/>
      <c r="AY866" s="245"/>
      <c r="AZ866" s="245"/>
      <c r="BA866" s="246"/>
      <c r="BB866" s="245"/>
      <c r="BC866" s="245"/>
      <c r="BD866" s="245"/>
      <c r="BE866" s="245"/>
      <c r="BF866" s="245"/>
      <c r="BG866" s="245"/>
      <c r="BH866" s="245"/>
      <c r="BI866" s="245"/>
      <c r="BJ866" s="245"/>
      <c r="BK866" s="245"/>
      <c r="BL866" s="245"/>
      <c r="BM866" s="245"/>
      <c r="BN866" s="245"/>
      <c r="BO866" s="245"/>
      <c r="BP866" s="245"/>
      <c r="BQ866" s="245"/>
      <c r="BR866" s="245"/>
      <c r="BS866" s="245"/>
      <c r="BT866" s="246"/>
      <c r="BU866" s="245"/>
      <c r="BV866" s="245"/>
      <c r="BW866" s="245"/>
      <c r="BX866" s="245"/>
      <c r="BY866" s="245"/>
      <c r="BZ866" s="282"/>
      <c r="CA866" s="245"/>
      <c r="CB866" s="245"/>
      <c r="CC866" s="245"/>
      <c r="CD866" s="245"/>
      <c r="CE866" s="245"/>
      <c r="CF866" s="245"/>
    </row>
    <row r="867">
      <c r="A867" s="245"/>
      <c r="B867" s="245"/>
      <c r="C867" s="245"/>
      <c r="D867" s="246"/>
      <c r="E867" s="245"/>
      <c r="F867" s="245"/>
      <c r="G867" s="245"/>
      <c r="H867" s="245"/>
      <c r="I867" s="245"/>
      <c r="J867" s="245"/>
      <c r="K867" s="265"/>
      <c r="L867" s="245"/>
      <c r="M867" s="245"/>
      <c r="N867" s="245"/>
      <c r="O867" s="245"/>
      <c r="P867" s="245"/>
      <c r="Q867" s="247"/>
      <c r="R867" s="254"/>
      <c r="S867" s="245"/>
      <c r="T867" s="245"/>
      <c r="U867" s="245"/>
      <c r="V867" s="245"/>
      <c r="W867" s="245"/>
      <c r="X867" s="245"/>
      <c r="Y867" s="249"/>
      <c r="Z867" s="276"/>
      <c r="AA867" s="245"/>
      <c r="AB867" s="276"/>
      <c r="AC867" s="276"/>
      <c r="AD867" s="246"/>
      <c r="AE867" s="278"/>
      <c r="AF867" s="370"/>
      <c r="AG867" s="371"/>
      <c r="AH867" s="276"/>
      <c r="AI867" s="245"/>
      <c r="AJ867" s="287"/>
      <c r="AK867" s="278"/>
      <c r="AL867" s="246"/>
      <c r="AM867" s="245"/>
      <c r="AN867" s="245"/>
      <c r="AO867" s="274"/>
      <c r="AP867" s="245"/>
      <c r="AQ867" s="245"/>
      <c r="AR867" s="246"/>
      <c r="AS867" s="245"/>
      <c r="AT867" s="245"/>
      <c r="AU867" s="245"/>
      <c r="AV867" s="245"/>
      <c r="AW867" s="245"/>
      <c r="AX867" s="246"/>
      <c r="AY867" s="245"/>
      <c r="AZ867" s="245"/>
      <c r="BA867" s="246"/>
      <c r="BB867" s="245"/>
      <c r="BC867" s="245"/>
      <c r="BD867" s="245"/>
      <c r="BE867" s="245"/>
      <c r="BF867" s="245"/>
      <c r="BG867" s="245"/>
      <c r="BH867" s="245"/>
      <c r="BI867" s="245"/>
      <c r="BJ867" s="245"/>
      <c r="BK867" s="245"/>
      <c r="BL867" s="245"/>
      <c r="BM867" s="245"/>
      <c r="BN867" s="245"/>
      <c r="BO867" s="245"/>
      <c r="BP867" s="245"/>
      <c r="BQ867" s="245"/>
      <c r="BR867" s="245"/>
      <c r="BS867" s="245"/>
      <c r="BT867" s="246"/>
      <c r="BU867" s="245"/>
      <c r="BV867" s="245"/>
      <c r="BW867" s="245"/>
      <c r="BX867" s="245"/>
      <c r="BY867" s="245"/>
      <c r="BZ867" s="282"/>
      <c r="CA867" s="245"/>
      <c r="CB867" s="245"/>
      <c r="CC867" s="245"/>
      <c r="CD867" s="245"/>
      <c r="CE867" s="245"/>
      <c r="CF867" s="245"/>
    </row>
    <row r="868">
      <c r="A868" s="245"/>
      <c r="B868" s="245"/>
      <c r="C868" s="245"/>
      <c r="D868" s="246"/>
      <c r="E868" s="245"/>
      <c r="F868" s="245"/>
      <c r="G868" s="245"/>
      <c r="H868" s="245"/>
      <c r="I868" s="245"/>
      <c r="J868" s="245"/>
      <c r="K868" s="265"/>
      <c r="L868" s="245"/>
      <c r="M868" s="245"/>
      <c r="N868" s="245"/>
      <c r="O868" s="245"/>
      <c r="P868" s="245"/>
      <c r="Q868" s="247"/>
      <c r="R868" s="254"/>
      <c r="S868" s="245"/>
      <c r="T868" s="245"/>
      <c r="U868" s="245"/>
      <c r="V868" s="245"/>
      <c r="W868" s="245"/>
      <c r="X868" s="245"/>
      <c r="Y868" s="249"/>
      <c r="Z868" s="276"/>
      <c r="AA868" s="245"/>
      <c r="AB868" s="276"/>
      <c r="AC868" s="276"/>
      <c r="AD868" s="246"/>
      <c r="AE868" s="278"/>
      <c r="AF868" s="370"/>
      <c r="AG868" s="371"/>
      <c r="AH868" s="276"/>
      <c r="AI868" s="245"/>
      <c r="AJ868" s="287"/>
      <c r="AK868" s="278"/>
      <c r="AL868" s="246"/>
      <c r="AM868" s="245"/>
      <c r="AN868" s="245"/>
      <c r="AO868" s="274"/>
      <c r="AP868" s="245"/>
      <c r="AQ868" s="245"/>
      <c r="AR868" s="246"/>
      <c r="AS868" s="245"/>
      <c r="AT868" s="245"/>
      <c r="AU868" s="245"/>
      <c r="AV868" s="245"/>
      <c r="AW868" s="245"/>
      <c r="AX868" s="246"/>
      <c r="AY868" s="245"/>
      <c r="AZ868" s="245"/>
      <c r="BA868" s="246"/>
      <c r="BB868" s="245"/>
      <c r="BC868" s="245"/>
      <c r="BD868" s="245"/>
      <c r="BE868" s="245"/>
      <c r="BF868" s="245"/>
      <c r="BG868" s="245"/>
      <c r="BH868" s="245"/>
      <c r="BI868" s="245"/>
      <c r="BJ868" s="245"/>
      <c r="BK868" s="245"/>
      <c r="BL868" s="245"/>
      <c r="BM868" s="245"/>
      <c r="BN868" s="245"/>
      <c r="BO868" s="245"/>
      <c r="BP868" s="245"/>
      <c r="BQ868" s="245"/>
      <c r="BR868" s="245"/>
      <c r="BS868" s="245"/>
      <c r="BT868" s="246"/>
      <c r="BU868" s="245"/>
      <c r="BV868" s="245"/>
      <c r="BW868" s="245"/>
      <c r="BX868" s="245"/>
      <c r="BY868" s="245"/>
      <c r="BZ868" s="282"/>
      <c r="CA868" s="245"/>
      <c r="CB868" s="245"/>
      <c r="CC868" s="245"/>
      <c r="CD868" s="245"/>
      <c r="CE868" s="245"/>
      <c r="CF868" s="245"/>
    </row>
    <row r="869">
      <c r="A869" s="245"/>
      <c r="B869" s="245"/>
      <c r="C869" s="245"/>
      <c r="D869" s="246"/>
      <c r="E869" s="245"/>
      <c r="F869" s="245"/>
      <c r="G869" s="245"/>
      <c r="H869" s="245"/>
      <c r="I869" s="245"/>
      <c r="J869" s="245"/>
      <c r="K869" s="265"/>
      <c r="L869" s="245"/>
      <c r="M869" s="245"/>
      <c r="N869" s="245"/>
      <c r="O869" s="245"/>
      <c r="P869" s="245"/>
      <c r="Q869" s="247"/>
      <c r="R869" s="254"/>
      <c r="S869" s="245"/>
      <c r="T869" s="245"/>
      <c r="U869" s="245"/>
      <c r="V869" s="245"/>
      <c r="W869" s="245"/>
      <c r="X869" s="245"/>
      <c r="Y869" s="249"/>
      <c r="Z869" s="276"/>
      <c r="AA869" s="245"/>
      <c r="AB869" s="276"/>
      <c r="AC869" s="276"/>
      <c r="AD869" s="246"/>
      <c r="AE869" s="278"/>
      <c r="AF869" s="370"/>
      <c r="AG869" s="371"/>
      <c r="AH869" s="276"/>
      <c r="AI869" s="245"/>
      <c r="AJ869" s="287"/>
      <c r="AK869" s="278"/>
      <c r="AL869" s="246"/>
      <c r="AM869" s="245"/>
      <c r="AN869" s="245"/>
      <c r="AO869" s="274"/>
      <c r="AP869" s="245"/>
      <c r="AQ869" s="245"/>
      <c r="AR869" s="246"/>
      <c r="AS869" s="245"/>
      <c r="AT869" s="245"/>
      <c r="AU869" s="245"/>
      <c r="AV869" s="245"/>
      <c r="AW869" s="245"/>
      <c r="AX869" s="246"/>
      <c r="AY869" s="245"/>
      <c r="AZ869" s="245"/>
      <c r="BA869" s="246"/>
      <c r="BB869" s="245"/>
      <c r="BC869" s="245"/>
      <c r="BD869" s="245"/>
      <c r="BE869" s="245"/>
      <c r="BF869" s="245"/>
      <c r="BG869" s="245"/>
      <c r="BH869" s="245"/>
      <c r="BI869" s="245"/>
      <c r="BJ869" s="245"/>
      <c r="BK869" s="245"/>
      <c r="BL869" s="245"/>
      <c r="BM869" s="245"/>
      <c r="BN869" s="245"/>
      <c r="BO869" s="245"/>
      <c r="BP869" s="245"/>
      <c r="BQ869" s="245"/>
      <c r="BR869" s="245"/>
      <c r="BS869" s="245"/>
      <c r="BT869" s="246"/>
      <c r="BU869" s="245"/>
      <c r="BV869" s="245"/>
      <c r="BW869" s="245"/>
      <c r="BX869" s="245"/>
      <c r="BY869" s="245"/>
      <c r="BZ869" s="282"/>
      <c r="CA869" s="245"/>
      <c r="CB869" s="245"/>
      <c r="CC869" s="245"/>
      <c r="CD869" s="245"/>
      <c r="CE869" s="245"/>
      <c r="CF869" s="245"/>
    </row>
    <row r="870">
      <c r="A870" s="245"/>
      <c r="B870" s="245"/>
      <c r="C870" s="245"/>
      <c r="D870" s="246"/>
      <c r="E870" s="245"/>
      <c r="F870" s="245"/>
      <c r="G870" s="245"/>
      <c r="H870" s="245"/>
      <c r="I870" s="245"/>
      <c r="J870" s="245"/>
      <c r="K870" s="265"/>
      <c r="L870" s="245"/>
      <c r="M870" s="245"/>
      <c r="N870" s="245"/>
      <c r="O870" s="245"/>
      <c r="P870" s="245"/>
      <c r="Q870" s="247"/>
      <c r="R870" s="254"/>
      <c r="S870" s="245"/>
      <c r="T870" s="245"/>
      <c r="U870" s="245"/>
      <c r="V870" s="245"/>
      <c r="W870" s="245"/>
      <c r="X870" s="245"/>
      <c r="Y870" s="249"/>
      <c r="Z870" s="276"/>
      <c r="AA870" s="245"/>
      <c r="AB870" s="276"/>
      <c r="AC870" s="276"/>
      <c r="AD870" s="246"/>
      <c r="AE870" s="278"/>
      <c r="AF870" s="370"/>
      <c r="AG870" s="371"/>
      <c r="AH870" s="276"/>
      <c r="AI870" s="245"/>
      <c r="AJ870" s="287"/>
      <c r="AK870" s="278"/>
      <c r="AL870" s="246"/>
      <c r="AM870" s="245"/>
      <c r="AN870" s="245"/>
      <c r="AO870" s="274"/>
      <c r="AP870" s="245"/>
      <c r="AQ870" s="245"/>
      <c r="AR870" s="246"/>
      <c r="AS870" s="245"/>
      <c r="AT870" s="245"/>
      <c r="AU870" s="245"/>
      <c r="AV870" s="245"/>
      <c r="AW870" s="245"/>
      <c r="AX870" s="246"/>
      <c r="AY870" s="245"/>
      <c r="AZ870" s="245"/>
      <c r="BA870" s="246"/>
      <c r="BB870" s="245"/>
      <c r="BC870" s="245"/>
      <c r="BD870" s="245"/>
      <c r="BE870" s="245"/>
      <c r="BF870" s="245"/>
      <c r="BG870" s="245"/>
      <c r="BH870" s="245"/>
      <c r="BI870" s="245"/>
      <c r="BJ870" s="245"/>
      <c r="BK870" s="245"/>
      <c r="BL870" s="245"/>
      <c r="BM870" s="245"/>
      <c r="BN870" s="245"/>
      <c r="BO870" s="245"/>
      <c r="BP870" s="245"/>
      <c r="BQ870" s="245"/>
      <c r="BR870" s="245"/>
      <c r="BS870" s="245"/>
      <c r="BT870" s="246"/>
      <c r="BU870" s="245"/>
      <c r="BV870" s="245"/>
      <c r="BW870" s="245"/>
      <c r="BX870" s="245"/>
      <c r="BY870" s="245"/>
      <c r="BZ870" s="282"/>
      <c r="CA870" s="245"/>
      <c r="CB870" s="245"/>
      <c r="CC870" s="245"/>
      <c r="CD870" s="245"/>
      <c r="CE870" s="245"/>
      <c r="CF870" s="245"/>
    </row>
    <row r="871">
      <c r="A871" s="245"/>
      <c r="B871" s="245"/>
      <c r="C871" s="245"/>
      <c r="D871" s="246"/>
      <c r="E871" s="245"/>
      <c r="F871" s="245"/>
      <c r="G871" s="245"/>
      <c r="H871" s="245"/>
      <c r="I871" s="245"/>
      <c r="J871" s="245"/>
      <c r="K871" s="265"/>
      <c r="L871" s="245"/>
      <c r="M871" s="245"/>
      <c r="N871" s="245"/>
      <c r="O871" s="245"/>
      <c r="P871" s="245"/>
      <c r="Q871" s="247"/>
      <c r="R871" s="254"/>
      <c r="S871" s="245"/>
      <c r="T871" s="245"/>
      <c r="U871" s="245"/>
      <c r="V871" s="245"/>
      <c r="W871" s="245"/>
      <c r="X871" s="245"/>
      <c r="Y871" s="249"/>
      <c r="Z871" s="276"/>
      <c r="AA871" s="245"/>
      <c r="AB871" s="276"/>
      <c r="AC871" s="276"/>
      <c r="AD871" s="246"/>
      <c r="AE871" s="278"/>
      <c r="AF871" s="370"/>
      <c r="AG871" s="371"/>
      <c r="AH871" s="276"/>
      <c r="AI871" s="245"/>
      <c r="AJ871" s="287"/>
      <c r="AK871" s="278"/>
      <c r="AL871" s="246"/>
      <c r="AM871" s="245"/>
      <c r="AN871" s="245"/>
      <c r="AO871" s="274"/>
      <c r="AP871" s="245"/>
      <c r="AQ871" s="245"/>
      <c r="AR871" s="246"/>
      <c r="AS871" s="245"/>
      <c r="AT871" s="245"/>
      <c r="AU871" s="245"/>
      <c r="AV871" s="245"/>
      <c r="AW871" s="245"/>
      <c r="AX871" s="246"/>
      <c r="AY871" s="245"/>
      <c r="AZ871" s="245"/>
      <c r="BA871" s="246"/>
      <c r="BB871" s="245"/>
      <c r="BC871" s="245"/>
      <c r="BD871" s="245"/>
      <c r="BE871" s="245"/>
      <c r="BF871" s="245"/>
      <c r="BG871" s="245"/>
      <c r="BH871" s="245"/>
      <c r="BI871" s="245"/>
      <c r="BJ871" s="245"/>
      <c r="BK871" s="245"/>
      <c r="BL871" s="245"/>
      <c r="BM871" s="245"/>
      <c r="BN871" s="245"/>
      <c r="BO871" s="245"/>
      <c r="BP871" s="245"/>
      <c r="BQ871" s="245"/>
      <c r="BR871" s="245"/>
      <c r="BS871" s="245"/>
      <c r="BT871" s="246"/>
      <c r="BU871" s="245"/>
      <c r="BV871" s="245"/>
      <c r="BW871" s="245"/>
      <c r="BX871" s="245"/>
      <c r="BY871" s="245"/>
      <c r="BZ871" s="282"/>
      <c r="CA871" s="245"/>
      <c r="CB871" s="245"/>
      <c r="CC871" s="245"/>
      <c r="CD871" s="245"/>
      <c r="CE871" s="245"/>
      <c r="CF871" s="245"/>
    </row>
    <row r="872">
      <c r="A872" s="245"/>
      <c r="B872" s="245"/>
      <c r="C872" s="245"/>
      <c r="D872" s="246"/>
      <c r="E872" s="245"/>
      <c r="F872" s="245"/>
      <c r="G872" s="245"/>
      <c r="H872" s="245"/>
      <c r="I872" s="245"/>
      <c r="J872" s="245"/>
      <c r="K872" s="265"/>
      <c r="L872" s="245"/>
      <c r="M872" s="245"/>
      <c r="N872" s="245"/>
      <c r="O872" s="245"/>
      <c r="P872" s="245"/>
      <c r="Q872" s="247"/>
      <c r="R872" s="254"/>
      <c r="S872" s="245"/>
      <c r="T872" s="245"/>
      <c r="U872" s="245"/>
      <c r="V872" s="245"/>
      <c r="W872" s="245"/>
      <c r="X872" s="245"/>
      <c r="Y872" s="249"/>
      <c r="Z872" s="276"/>
      <c r="AA872" s="245"/>
      <c r="AB872" s="276"/>
      <c r="AC872" s="276"/>
      <c r="AD872" s="246"/>
      <c r="AE872" s="278"/>
      <c r="AF872" s="370"/>
      <c r="AG872" s="371"/>
      <c r="AH872" s="276"/>
      <c r="AI872" s="245"/>
      <c r="AJ872" s="287"/>
      <c r="AK872" s="278"/>
      <c r="AL872" s="246"/>
      <c r="AM872" s="245"/>
      <c r="AN872" s="245"/>
      <c r="AO872" s="274"/>
      <c r="AP872" s="245"/>
      <c r="AQ872" s="245"/>
      <c r="AR872" s="246"/>
      <c r="AS872" s="245"/>
      <c r="AT872" s="245"/>
      <c r="AU872" s="245"/>
      <c r="AV872" s="245"/>
      <c r="AW872" s="245"/>
      <c r="AX872" s="246"/>
      <c r="AY872" s="245"/>
      <c r="AZ872" s="245"/>
      <c r="BA872" s="246"/>
      <c r="BB872" s="245"/>
      <c r="BC872" s="245"/>
      <c r="BD872" s="245"/>
      <c r="BE872" s="245"/>
      <c r="BF872" s="245"/>
      <c r="BG872" s="245"/>
      <c r="BH872" s="245"/>
      <c r="BI872" s="245"/>
      <c r="BJ872" s="245"/>
      <c r="BK872" s="245"/>
      <c r="BL872" s="245"/>
      <c r="BM872" s="245"/>
      <c r="BN872" s="245"/>
      <c r="BO872" s="245"/>
      <c r="BP872" s="245"/>
      <c r="BQ872" s="245"/>
      <c r="BR872" s="245"/>
      <c r="BS872" s="245"/>
      <c r="BT872" s="246"/>
      <c r="BU872" s="245"/>
      <c r="BV872" s="245"/>
      <c r="BW872" s="245"/>
      <c r="BX872" s="245"/>
      <c r="BY872" s="245"/>
      <c r="BZ872" s="282"/>
      <c r="CA872" s="245"/>
      <c r="CB872" s="245"/>
      <c r="CC872" s="245"/>
      <c r="CD872" s="245"/>
      <c r="CE872" s="245"/>
      <c r="CF872" s="245"/>
    </row>
    <row r="873">
      <c r="A873" s="245"/>
      <c r="B873" s="245"/>
      <c r="C873" s="245"/>
      <c r="D873" s="246"/>
      <c r="E873" s="245"/>
      <c r="F873" s="245"/>
      <c r="G873" s="245"/>
      <c r="H873" s="245"/>
      <c r="I873" s="245"/>
      <c r="J873" s="245"/>
      <c r="K873" s="265"/>
      <c r="L873" s="245"/>
      <c r="M873" s="245"/>
      <c r="N873" s="245"/>
      <c r="O873" s="245"/>
      <c r="P873" s="245"/>
      <c r="Q873" s="247"/>
      <c r="R873" s="254"/>
      <c r="S873" s="245"/>
      <c r="T873" s="245"/>
      <c r="U873" s="245"/>
      <c r="V873" s="245"/>
      <c r="W873" s="245"/>
      <c r="X873" s="245"/>
      <c r="Y873" s="249"/>
      <c r="Z873" s="276"/>
      <c r="AA873" s="245"/>
      <c r="AB873" s="276"/>
      <c r="AC873" s="276"/>
      <c r="AD873" s="246"/>
      <c r="AE873" s="278"/>
      <c r="AF873" s="370"/>
      <c r="AG873" s="371"/>
      <c r="AH873" s="276"/>
      <c r="AI873" s="245"/>
      <c r="AJ873" s="287"/>
      <c r="AK873" s="278"/>
      <c r="AL873" s="246"/>
      <c r="AM873" s="245"/>
      <c r="AN873" s="245"/>
      <c r="AO873" s="274"/>
      <c r="AP873" s="245"/>
      <c r="AQ873" s="245"/>
      <c r="AR873" s="246"/>
      <c r="AS873" s="245"/>
      <c r="AT873" s="245"/>
      <c r="AU873" s="245"/>
      <c r="AV873" s="245"/>
      <c r="AW873" s="245"/>
      <c r="AX873" s="246"/>
      <c r="AY873" s="245"/>
      <c r="AZ873" s="245"/>
      <c r="BA873" s="246"/>
      <c r="BB873" s="245"/>
      <c r="BC873" s="245"/>
      <c r="BD873" s="245"/>
      <c r="BE873" s="245"/>
      <c r="BF873" s="245"/>
      <c r="BG873" s="245"/>
      <c r="BH873" s="245"/>
      <c r="BI873" s="245"/>
      <c r="BJ873" s="245"/>
      <c r="BK873" s="245"/>
      <c r="BL873" s="245"/>
      <c r="BM873" s="245"/>
      <c r="BN873" s="245"/>
      <c r="BO873" s="245"/>
      <c r="BP873" s="245"/>
      <c r="BQ873" s="245"/>
      <c r="BR873" s="245"/>
      <c r="BS873" s="245"/>
      <c r="BT873" s="246"/>
      <c r="BU873" s="245"/>
      <c r="BV873" s="245"/>
      <c r="BW873" s="245"/>
      <c r="BX873" s="245"/>
      <c r="BY873" s="245"/>
      <c r="BZ873" s="282"/>
      <c r="CA873" s="245"/>
      <c r="CB873" s="245"/>
      <c r="CC873" s="245"/>
      <c r="CD873" s="245"/>
      <c r="CE873" s="245"/>
      <c r="CF873" s="245"/>
    </row>
    <row r="874">
      <c r="A874" s="245"/>
      <c r="B874" s="245"/>
      <c r="C874" s="245"/>
      <c r="D874" s="246"/>
      <c r="E874" s="245"/>
      <c r="F874" s="245"/>
      <c r="G874" s="245"/>
      <c r="H874" s="245"/>
      <c r="I874" s="245"/>
      <c r="J874" s="245"/>
      <c r="K874" s="265"/>
      <c r="L874" s="245"/>
      <c r="M874" s="245"/>
      <c r="N874" s="245"/>
      <c r="O874" s="245"/>
      <c r="P874" s="245"/>
      <c r="Q874" s="247"/>
      <c r="R874" s="254"/>
      <c r="S874" s="245"/>
      <c r="T874" s="245"/>
      <c r="U874" s="245"/>
      <c r="V874" s="245"/>
      <c r="W874" s="245"/>
      <c r="X874" s="245"/>
      <c r="Y874" s="249"/>
      <c r="Z874" s="276"/>
      <c r="AA874" s="245"/>
      <c r="AB874" s="276"/>
      <c r="AC874" s="276"/>
      <c r="AD874" s="246"/>
      <c r="AE874" s="278"/>
      <c r="AF874" s="370"/>
      <c r="AG874" s="371"/>
      <c r="AH874" s="276"/>
      <c r="AI874" s="245"/>
      <c r="AJ874" s="287"/>
      <c r="AK874" s="278"/>
      <c r="AL874" s="246"/>
      <c r="AM874" s="245"/>
      <c r="AN874" s="245"/>
      <c r="AO874" s="274"/>
      <c r="AP874" s="245"/>
      <c r="AQ874" s="245"/>
      <c r="AR874" s="246"/>
      <c r="AS874" s="245"/>
      <c r="AT874" s="245"/>
      <c r="AU874" s="245"/>
      <c r="AV874" s="245"/>
      <c r="AW874" s="245"/>
      <c r="AX874" s="246"/>
      <c r="AY874" s="245"/>
      <c r="AZ874" s="245"/>
      <c r="BA874" s="246"/>
      <c r="BB874" s="245"/>
      <c r="BC874" s="245"/>
      <c r="BD874" s="245"/>
      <c r="BE874" s="245"/>
      <c r="BF874" s="245"/>
      <c r="BG874" s="245"/>
      <c r="BH874" s="245"/>
      <c r="BI874" s="245"/>
      <c r="BJ874" s="245"/>
      <c r="BK874" s="245"/>
      <c r="BL874" s="245"/>
      <c r="BM874" s="245"/>
      <c r="BN874" s="245"/>
      <c r="BO874" s="245"/>
      <c r="BP874" s="245"/>
      <c r="BQ874" s="245"/>
      <c r="BR874" s="245"/>
      <c r="BS874" s="245"/>
      <c r="BT874" s="246"/>
      <c r="BU874" s="245"/>
      <c r="BV874" s="245"/>
      <c r="BW874" s="245"/>
      <c r="BX874" s="245"/>
      <c r="BY874" s="245"/>
      <c r="BZ874" s="282"/>
      <c r="CA874" s="245"/>
      <c r="CB874" s="245"/>
      <c r="CC874" s="245"/>
      <c r="CD874" s="245"/>
      <c r="CE874" s="245"/>
      <c r="CF874" s="245"/>
    </row>
    <row r="875">
      <c r="A875" s="245"/>
      <c r="B875" s="245"/>
      <c r="C875" s="245"/>
      <c r="D875" s="246"/>
      <c r="E875" s="245"/>
      <c r="F875" s="245"/>
      <c r="G875" s="245"/>
      <c r="H875" s="245"/>
      <c r="I875" s="245"/>
      <c r="J875" s="245"/>
      <c r="K875" s="265"/>
      <c r="L875" s="245"/>
      <c r="M875" s="245"/>
      <c r="N875" s="245"/>
      <c r="O875" s="245"/>
      <c r="P875" s="245"/>
      <c r="Q875" s="247"/>
      <c r="R875" s="254"/>
      <c r="S875" s="245"/>
      <c r="T875" s="245"/>
      <c r="U875" s="245"/>
      <c r="V875" s="245"/>
      <c r="W875" s="245"/>
      <c r="X875" s="245"/>
      <c r="Y875" s="249"/>
      <c r="Z875" s="276"/>
      <c r="AA875" s="245"/>
      <c r="AB875" s="276"/>
      <c r="AC875" s="276"/>
      <c r="AD875" s="246"/>
      <c r="AE875" s="278"/>
      <c r="AF875" s="370"/>
      <c r="AG875" s="371"/>
      <c r="AH875" s="276"/>
      <c r="AI875" s="245"/>
      <c r="AJ875" s="287"/>
      <c r="AK875" s="278"/>
      <c r="AL875" s="246"/>
      <c r="AM875" s="245"/>
      <c r="AN875" s="245"/>
      <c r="AO875" s="274"/>
      <c r="AP875" s="245"/>
      <c r="AQ875" s="245"/>
      <c r="AR875" s="246"/>
      <c r="AS875" s="245"/>
      <c r="AT875" s="245"/>
      <c r="AU875" s="245"/>
      <c r="AV875" s="245"/>
      <c r="AW875" s="245"/>
      <c r="AX875" s="246"/>
      <c r="AY875" s="245"/>
      <c r="AZ875" s="245"/>
      <c r="BA875" s="246"/>
      <c r="BB875" s="245"/>
      <c r="BC875" s="245"/>
      <c r="BD875" s="245"/>
      <c r="BE875" s="245"/>
      <c r="BF875" s="245"/>
      <c r="BG875" s="245"/>
      <c r="BH875" s="245"/>
      <c r="BI875" s="245"/>
      <c r="BJ875" s="245"/>
      <c r="BK875" s="245"/>
      <c r="BL875" s="245"/>
      <c r="BM875" s="245"/>
      <c r="BN875" s="245"/>
      <c r="BO875" s="245"/>
      <c r="BP875" s="245"/>
      <c r="BQ875" s="245"/>
      <c r="BR875" s="245"/>
      <c r="BS875" s="245"/>
      <c r="BT875" s="246"/>
      <c r="BU875" s="245"/>
      <c r="BV875" s="245"/>
      <c r="BW875" s="245"/>
      <c r="BX875" s="245"/>
      <c r="BY875" s="245"/>
      <c r="BZ875" s="282"/>
      <c r="CA875" s="245"/>
      <c r="CB875" s="245"/>
      <c r="CC875" s="245"/>
      <c r="CD875" s="245"/>
      <c r="CE875" s="245"/>
      <c r="CF875" s="245"/>
    </row>
    <row r="876">
      <c r="A876" s="245"/>
      <c r="B876" s="245"/>
      <c r="C876" s="245"/>
      <c r="D876" s="246"/>
      <c r="E876" s="245"/>
      <c r="F876" s="245"/>
      <c r="G876" s="245"/>
      <c r="H876" s="245"/>
      <c r="I876" s="245"/>
      <c r="J876" s="245"/>
      <c r="K876" s="265"/>
      <c r="L876" s="245"/>
      <c r="M876" s="245"/>
      <c r="N876" s="245"/>
      <c r="O876" s="245"/>
      <c r="P876" s="245"/>
      <c r="Q876" s="247"/>
      <c r="R876" s="254"/>
      <c r="S876" s="245"/>
      <c r="T876" s="245"/>
      <c r="U876" s="245"/>
      <c r="V876" s="245"/>
      <c r="W876" s="245"/>
      <c r="X876" s="245"/>
      <c r="Y876" s="249"/>
      <c r="Z876" s="276"/>
      <c r="AA876" s="245"/>
      <c r="AB876" s="276"/>
      <c r="AC876" s="276"/>
      <c r="AD876" s="246"/>
      <c r="AE876" s="278"/>
      <c r="AF876" s="370"/>
      <c r="AG876" s="371"/>
      <c r="AH876" s="276"/>
      <c r="AI876" s="245"/>
      <c r="AJ876" s="287"/>
      <c r="AK876" s="278"/>
      <c r="AL876" s="246"/>
      <c r="AM876" s="245"/>
      <c r="AN876" s="245"/>
      <c r="AO876" s="274"/>
      <c r="AP876" s="245"/>
      <c r="AQ876" s="245"/>
      <c r="AR876" s="246"/>
      <c r="AS876" s="245"/>
      <c r="AT876" s="245"/>
      <c r="AU876" s="245"/>
      <c r="AV876" s="245"/>
      <c r="AW876" s="245"/>
      <c r="AX876" s="246"/>
      <c r="AY876" s="245"/>
      <c r="AZ876" s="245"/>
      <c r="BA876" s="246"/>
      <c r="BB876" s="245"/>
      <c r="BC876" s="245"/>
      <c r="BD876" s="245"/>
      <c r="BE876" s="245"/>
      <c r="BF876" s="245"/>
      <c r="BG876" s="245"/>
      <c r="BH876" s="245"/>
      <c r="BI876" s="245"/>
      <c r="BJ876" s="245"/>
      <c r="BK876" s="245"/>
      <c r="BL876" s="245"/>
      <c r="BM876" s="245"/>
      <c r="BN876" s="245"/>
      <c r="BO876" s="245"/>
      <c r="BP876" s="245"/>
      <c r="BQ876" s="245"/>
      <c r="BR876" s="245"/>
      <c r="BS876" s="245"/>
      <c r="BT876" s="246"/>
      <c r="BU876" s="245"/>
      <c r="BV876" s="245"/>
      <c r="BW876" s="245"/>
      <c r="BX876" s="245"/>
      <c r="BY876" s="245"/>
      <c r="BZ876" s="282"/>
      <c r="CA876" s="245"/>
      <c r="CB876" s="245"/>
      <c r="CC876" s="245"/>
      <c r="CD876" s="245"/>
      <c r="CE876" s="245"/>
      <c r="CF876" s="245"/>
    </row>
    <row r="877">
      <c r="A877" s="245"/>
      <c r="B877" s="245"/>
      <c r="C877" s="245"/>
      <c r="D877" s="246"/>
      <c r="E877" s="245"/>
      <c r="F877" s="245"/>
      <c r="G877" s="245"/>
      <c r="H877" s="245"/>
      <c r="I877" s="245"/>
      <c r="J877" s="245"/>
      <c r="K877" s="265"/>
      <c r="L877" s="245"/>
      <c r="M877" s="245"/>
      <c r="N877" s="245"/>
      <c r="O877" s="245"/>
      <c r="P877" s="245"/>
      <c r="Q877" s="247"/>
      <c r="R877" s="254"/>
      <c r="S877" s="245"/>
      <c r="T877" s="245"/>
      <c r="U877" s="245"/>
      <c r="V877" s="245"/>
      <c r="W877" s="245"/>
      <c r="X877" s="245"/>
      <c r="Y877" s="249"/>
      <c r="Z877" s="276"/>
      <c r="AA877" s="245"/>
      <c r="AB877" s="276"/>
      <c r="AC877" s="276"/>
      <c r="AD877" s="246"/>
      <c r="AE877" s="278"/>
      <c r="AF877" s="370"/>
      <c r="AG877" s="371"/>
      <c r="AH877" s="276"/>
      <c r="AI877" s="245"/>
      <c r="AJ877" s="287"/>
      <c r="AK877" s="278"/>
      <c r="AL877" s="246"/>
      <c r="AM877" s="245"/>
      <c r="AN877" s="245"/>
      <c r="AO877" s="274"/>
      <c r="AP877" s="245"/>
      <c r="AQ877" s="245"/>
      <c r="AR877" s="246"/>
      <c r="AS877" s="245"/>
      <c r="AT877" s="245"/>
      <c r="AU877" s="245"/>
      <c r="AV877" s="245"/>
      <c r="AW877" s="245"/>
      <c r="AX877" s="246"/>
      <c r="AY877" s="245"/>
      <c r="AZ877" s="245"/>
      <c r="BA877" s="246"/>
      <c r="BB877" s="245"/>
      <c r="BC877" s="245"/>
      <c r="BD877" s="245"/>
      <c r="BE877" s="245"/>
      <c r="BF877" s="245"/>
      <c r="BG877" s="245"/>
      <c r="BH877" s="245"/>
      <c r="BI877" s="245"/>
      <c r="BJ877" s="245"/>
      <c r="BK877" s="245"/>
      <c r="BL877" s="245"/>
      <c r="BM877" s="245"/>
      <c r="BN877" s="245"/>
      <c r="BO877" s="245"/>
      <c r="BP877" s="245"/>
      <c r="BQ877" s="245"/>
      <c r="BR877" s="245"/>
      <c r="BS877" s="245"/>
      <c r="BT877" s="246"/>
      <c r="BU877" s="245"/>
      <c r="BV877" s="245"/>
      <c r="BW877" s="245"/>
      <c r="BX877" s="245"/>
      <c r="BY877" s="245"/>
      <c r="BZ877" s="282"/>
      <c r="CA877" s="245"/>
      <c r="CB877" s="245"/>
      <c r="CC877" s="245"/>
      <c r="CD877" s="245"/>
      <c r="CE877" s="245"/>
      <c r="CF877" s="245"/>
    </row>
    <row r="878">
      <c r="A878" s="245"/>
      <c r="B878" s="245"/>
      <c r="C878" s="245"/>
      <c r="D878" s="246"/>
      <c r="E878" s="245"/>
      <c r="F878" s="245"/>
      <c r="G878" s="245"/>
      <c r="H878" s="245"/>
      <c r="I878" s="245"/>
      <c r="J878" s="245"/>
      <c r="K878" s="265"/>
      <c r="L878" s="245"/>
      <c r="M878" s="245"/>
      <c r="N878" s="245"/>
      <c r="O878" s="245"/>
      <c r="P878" s="245"/>
      <c r="Q878" s="247"/>
      <c r="R878" s="254"/>
      <c r="S878" s="245"/>
      <c r="T878" s="245"/>
      <c r="U878" s="245"/>
      <c r="V878" s="245"/>
      <c r="W878" s="245"/>
      <c r="X878" s="245"/>
      <c r="Y878" s="249"/>
      <c r="Z878" s="276"/>
      <c r="AA878" s="245"/>
      <c r="AB878" s="276"/>
      <c r="AC878" s="276"/>
      <c r="AD878" s="246"/>
      <c r="AE878" s="278"/>
      <c r="AF878" s="370"/>
      <c r="AG878" s="371"/>
      <c r="AH878" s="276"/>
      <c r="AI878" s="245"/>
      <c r="AJ878" s="287"/>
      <c r="AK878" s="278"/>
      <c r="AL878" s="246"/>
      <c r="AM878" s="245"/>
      <c r="AN878" s="245"/>
      <c r="AO878" s="274"/>
      <c r="AP878" s="245"/>
      <c r="AQ878" s="245"/>
      <c r="AR878" s="246"/>
      <c r="AS878" s="245"/>
      <c r="AT878" s="245"/>
      <c r="AU878" s="245"/>
      <c r="AV878" s="245"/>
      <c r="AW878" s="245"/>
      <c r="AX878" s="246"/>
      <c r="AY878" s="245"/>
      <c r="AZ878" s="245"/>
      <c r="BA878" s="246"/>
      <c r="BB878" s="245"/>
      <c r="BC878" s="245"/>
      <c r="BD878" s="245"/>
      <c r="BE878" s="245"/>
      <c r="BF878" s="245"/>
      <c r="BG878" s="245"/>
      <c r="BH878" s="245"/>
      <c r="BI878" s="245"/>
      <c r="BJ878" s="245"/>
      <c r="BK878" s="245"/>
      <c r="BL878" s="245"/>
      <c r="BM878" s="245"/>
      <c r="BN878" s="245"/>
      <c r="BO878" s="245"/>
      <c r="BP878" s="245"/>
      <c r="BQ878" s="245"/>
      <c r="BR878" s="245"/>
      <c r="BS878" s="245"/>
      <c r="BT878" s="246"/>
      <c r="BU878" s="245"/>
      <c r="BV878" s="245"/>
      <c r="BW878" s="245"/>
      <c r="BX878" s="245"/>
      <c r="BY878" s="245"/>
      <c r="BZ878" s="282"/>
      <c r="CA878" s="245"/>
      <c r="CB878" s="245"/>
      <c r="CC878" s="245"/>
      <c r="CD878" s="245"/>
      <c r="CE878" s="245"/>
      <c r="CF878" s="245"/>
    </row>
    <row r="879">
      <c r="A879" s="245"/>
      <c r="B879" s="245"/>
      <c r="C879" s="245"/>
      <c r="D879" s="246"/>
      <c r="E879" s="245"/>
      <c r="F879" s="245"/>
      <c r="G879" s="245"/>
      <c r="H879" s="245"/>
      <c r="I879" s="245"/>
      <c r="J879" s="245"/>
      <c r="K879" s="265"/>
      <c r="L879" s="245"/>
      <c r="M879" s="245"/>
      <c r="N879" s="245"/>
      <c r="O879" s="245"/>
      <c r="P879" s="245"/>
      <c r="Q879" s="247"/>
      <c r="R879" s="254"/>
      <c r="S879" s="245"/>
      <c r="T879" s="245"/>
      <c r="U879" s="245"/>
      <c r="V879" s="245"/>
      <c r="W879" s="245"/>
      <c r="X879" s="245"/>
      <c r="Y879" s="249"/>
      <c r="Z879" s="276"/>
      <c r="AA879" s="245"/>
      <c r="AB879" s="276"/>
      <c r="AC879" s="276"/>
      <c r="AD879" s="246"/>
      <c r="AE879" s="278"/>
      <c r="AF879" s="370"/>
      <c r="AG879" s="371"/>
      <c r="AH879" s="276"/>
      <c r="AI879" s="245"/>
      <c r="AJ879" s="287"/>
      <c r="AK879" s="278"/>
      <c r="AL879" s="246"/>
      <c r="AM879" s="245"/>
      <c r="AN879" s="245"/>
      <c r="AO879" s="274"/>
      <c r="AP879" s="245"/>
      <c r="AQ879" s="245"/>
      <c r="AR879" s="246"/>
      <c r="AS879" s="245"/>
      <c r="AT879" s="245"/>
      <c r="AU879" s="245"/>
      <c r="AV879" s="245"/>
      <c r="AW879" s="245"/>
      <c r="AX879" s="246"/>
      <c r="AY879" s="245"/>
      <c r="AZ879" s="245"/>
      <c r="BA879" s="246"/>
      <c r="BB879" s="245"/>
      <c r="BC879" s="245"/>
      <c r="BD879" s="245"/>
      <c r="BE879" s="245"/>
      <c r="BF879" s="245"/>
      <c r="BG879" s="245"/>
      <c r="BH879" s="245"/>
      <c r="BI879" s="245"/>
      <c r="BJ879" s="245"/>
      <c r="BK879" s="245"/>
      <c r="BL879" s="245"/>
      <c r="BM879" s="245"/>
      <c r="BN879" s="245"/>
      <c r="BO879" s="245"/>
      <c r="BP879" s="245"/>
      <c r="BQ879" s="245"/>
      <c r="BR879" s="245"/>
      <c r="BS879" s="245"/>
      <c r="BT879" s="246"/>
      <c r="BU879" s="245"/>
      <c r="BV879" s="245"/>
      <c r="BW879" s="245"/>
      <c r="BX879" s="245"/>
      <c r="BY879" s="245"/>
      <c r="BZ879" s="282"/>
      <c r="CA879" s="245"/>
      <c r="CB879" s="245"/>
      <c r="CC879" s="245"/>
      <c r="CD879" s="245"/>
      <c r="CE879" s="245"/>
      <c r="CF879" s="245"/>
    </row>
    <row r="880">
      <c r="A880" s="245"/>
      <c r="B880" s="245"/>
      <c r="C880" s="245"/>
      <c r="D880" s="246"/>
      <c r="E880" s="245"/>
      <c r="F880" s="245"/>
      <c r="G880" s="245"/>
      <c r="H880" s="245"/>
      <c r="I880" s="245"/>
      <c r="J880" s="245"/>
      <c r="K880" s="265"/>
      <c r="L880" s="245"/>
      <c r="M880" s="245"/>
      <c r="N880" s="245"/>
      <c r="O880" s="245"/>
      <c r="P880" s="245"/>
      <c r="Q880" s="247"/>
      <c r="R880" s="254"/>
      <c r="S880" s="245"/>
      <c r="T880" s="245"/>
      <c r="U880" s="245"/>
      <c r="V880" s="245"/>
      <c r="W880" s="245"/>
      <c r="X880" s="245"/>
      <c r="Y880" s="249"/>
      <c r="Z880" s="276"/>
      <c r="AA880" s="245"/>
      <c r="AB880" s="276"/>
      <c r="AC880" s="276"/>
      <c r="AD880" s="246"/>
      <c r="AE880" s="278"/>
      <c r="AF880" s="370"/>
      <c r="AG880" s="371"/>
      <c r="AH880" s="276"/>
      <c r="AI880" s="245"/>
      <c r="AJ880" s="287"/>
      <c r="AK880" s="278"/>
      <c r="AL880" s="246"/>
      <c r="AM880" s="245"/>
      <c r="AN880" s="245"/>
      <c r="AO880" s="274"/>
      <c r="AP880" s="245"/>
      <c r="AQ880" s="245"/>
      <c r="AR880" s="246"/>
      <c r="AS880" s="245"/>
      <c r="AT880" s="245"/>
      <c r="AU880" s="245"/>
      <c r="AV880" s="245"/>
      <c r="AW880" s="245"/>
      <c r="AX880" s="246"/>
      <c r="AY880" s="245"/>
      <c r="AZ880" s="245"/>
      <c r="BA880" s="246"/>
      <c r="BB880" s="245"/>
      <c r="BC880" s="245"/>
      <c r="BD880" s="245"/>
      <c r="BE880" s="245"/>
      <c r="BF880" s="245"/>
      <c r="BG880" s="245"/>
      <c r="BH880" s="245"/>
      <c r="BI880" s="245"/>
      <c r="BJ880" s="245"/>
      <c r="BK880" s="245"/>
      <c r="BL880" s="245"/>
      <c r="BM880" s="245"/>
      <c r="BN880" s="245"/>
      <c r="BO880" s="245"/>
      <c r="BP880" s="245"/>
      <c r="BQ880" s="245"/>
      <c r="BR880" s="245"/>
      <c r="BS880" s="245"/>
      <c r="BT880" s="246"/>
      <c r="BU880" s="245"/>
      <c r="BV880" s="245"/>
      <c r="BW880" s="245"/>
      <c r="BX880" s="245"/>
      <c r="BY880" s="245"/>
      <c r="BZ880" s="282"/>
      <c r="CA880" s="245"/>
      <c r="CB880" s="245"/>
      <c r="CC880" s="245"/>
      <c r="CD880" s="245"/>
      <c r="CE880" s="245"/>
      <c r="CF880" s="245"/>
    </row>
    <row r="881">
      <c r="A881" s="245"/>
      <c r="B881" s="245"/>
      <c r="C881" s="245"/>
      <c r="D881" s="246"/>
      <c r="E881" s="245"/>
      <c r="F881" s="245"/>
      <c r="G881" s="245"/>
      <c r="H881" s="245"/>
      <c r="I881" s="245"/>
      <c r="J881" s="245"/>
      <c r="K881" s="265"/>
      <c r="L881" s="245"/>
      <c r="M881" s="245"/>
      <c r="N881" s="245"/>
      <c r="O881" s="245"/>
      <c r="P881" s="245"/>
      <c r="Q881" s="247"/>
      <c r="R881" s="254"/>
      <c r="S881" s="245"/>
      <c r="T881" s="245"/>
      <c r="U881" s="245"/>
      <c r="V881" s="245"/>
      <c r="W881" s="245"/>
      <c r="X881" s="245"/>
      <c r="Y881" s="249"/>
      <c r="Z881" s="276"/>
      <c r="AA881" s="245"/>
      <c r="AB881" s="276"/>
      <c r="AC881" s="276"/>
      <c r="AD881" s="246"/>
      <c r="AE881" s="278"/>
      <c r="AF881" s="370"/>
      <c r="AG881" s="371"/>
      <c r="AH881" s="276"/>
      <c r="AI881" s="245"/>
      <c r="AJ881" s="287"/>
      <c r="AK881" s="278"/>
      <c r="AL881" s="246"/>
      <c r="AM881" s="245"/>
      <c r="AN881" s="245"/>
      <c r="AO881" s="274"/>
      <c r="AP881" s="245"/>
      <c r="AQ881" s="245"/>
      <c r="AR881" s="246"/>
      <c r="AS881" s="245"/>
      <c r="AT881" s="245"/>
      <c r="AU881" s="245"/>
      <c r="AV881" s="245"/>
      <c r="AW881" s="245"/>
      <c r="AX881" s="246"/>
      <c r="AY881" s="245"/>
      <c r="AZ881" s="245"/>
      <c r="BA881" s="246"/>
      <c r="BB881" s="245"/>
      <c r="BC881" s="245"/>
      <c r="BD881" s="245"/>
      <c r="BE881" s="245"/>
      <c r="BF881" s="245"/>
      <c r="BG881" s="245"/>
      <c r="BH881" s="245"/>
      <c r="BI881" s="245"/>
      <c r="BJ881" s="245"/>
      <c r="BK881" s="245"/>
      <c r="BL881" s="245"/>
      <c r="BM881" s="245"/>
      <c r="BN881" s="245"/>
      <c r="BO881" s="245"/>
      <c r="BP881" s="245"/>
      <c r="BQ881" s="245"/>
      <c r="BR881" s="245"/>
      <c r="BS881" s="245"/>
      <c r="BT881" s="246"/>
      <c r="BU881" s="245"/>
      <c r="BV881" s="245"/>
      <c r="BW881" s="245"/>
      <c r="BX881" s="245"/>
      <c r="BY881" s="245"/>
      <c r="BZ881" s="282"/>
      <c r="CA881" s="245"/>
      <c r="CB881" s="245"/>
      <c r="CC881" s="245"/>
      <c r="CD881" s="245"/>
      <c r="CE881" s="245"/>
      <c r="CF881" s="245"/>
    </row>
    <row r="882">
      <c r="A882" s="245"/>
      <c r="B882" s="245"/>
      <c r="C882" s="245"/>
      <c r="D882" s="246"/>
      <c r="E882" s="245"/>
      <c r="F882" s="245"/>
      <c r="G882" s="245"/>
      <c r="H882" s="245"/>
      <c r="I882" s="245"/>
      <c r="J882" s="245"/>
      <c r="K882" s="265"/>
      <c r="L882" s="245"/>
      <c r="M882" s="245"/>
      <c r="N882" s="245"/>
      <c r="O882" s="245"/>
      <c r="P882" s="245"/>
      <c r="Q882" s="247"/>
      <c r="R882" s="254"/>
      <c r="S882" s="245"/>
      <c r="T882" s="245"/>
      <c r="U882" s="245"/>
      <c r="V882" s="245"/>
      <c r="W882" s="245"/>
      <c r="X882" s="245"/>
      <c r="Y882" s="249"/>
      <c r="Z882" s="276"/>
      <c r="AA882" s="245"/>
      <c r="AB882" s="276"/>
      <c r="AC882" s="276"/>
      <c r="AD882" s="246"/>
      <c r="AE882" s="278"/>
      <c r="AF882" s="370"/>
      <c r="AG882" s="371"/>
      <c r="AH882" s="276"/>
      <c r="AI882" s="245"/>
      <c r="AJ882" s="287"/>
      <c r="AK882" s="278"/>
      <c r="AL882" s="246"/>
      <c r="AM882" s="245"/>
      <c r="AN882" s="245"/>
      <c r="AO882" s="274"/>
      <c r="AP882" s="245"/>
      <c r="AQ882" s="245"/>
      <c r="AR882" s="246"/>
      <c r="AS882" s="245"/>
      <c r="AT882" s="245"/>
      <c r="AU882" s="245"/>
      <c r="AV882" s="245"/>
      <c r="AW882" s="245"/>
      <c r="AX882" s="246"/>
      <c r="AY882" s="245"/>
      <c r="AZ882" s="245"/>
      <c r="BA882" s="246"/>
      <c r="BB882" s="245"/>
      <c r="BC882" s="245"/>
      <c r="BD882" s="245"/>
      <c r="BE882" s="245"/>
      <c r="BF882" s="245"/>
      <c r="BG882" s="245"/>
      <c r="BH882" s="245"/>
      <c r="BI882" s="245"/>
      <c r="BJ882" s="245"/>
      <c r="BK882" s="245"/>
      <c r="BL882" s="245"/>
      <c r="BM882" s="245"/>
      <c r="BN882" s="245"/>
      <c r="BO882" s="245"/>
      <c r="BP882" s="245"/>
      <c r="BQ882" s="245"/>
      <c r="BR882" s="245"/>
      <c r="BS882" s="245"/>
      <c r="BT882" s="246"/>
      <c r="BU882" s="245"/>
      <c r="BV882" s="245"/>
      <c r="BW882" s="245"/>
      <c r="BX882" s="245"/>
      <c r="BY882" s="245"/>
      <c r="BZ882" s="282"/>
      <c r="CA882" s="245"/>
      <c r="CB882" s="245"/>
      <c r="CC882" s="245"/>
      <c r="CD882" s="245"/>
      <c r="CE882" s="245"/>
      <c r="CF882" s="245"/>
    </row>
    <row r="883">
      <c r="A883" s="245"/>
      <c r="B883" s="245"/>
      <c r="C883" s="245"/>
      <c r="D883" s="246"/>
      <c r="E883" s="245"/>
      <c r="F883" s="245"/>
      <c r="G883" s="245"/>
      <c r="H883" s="245"/>
      <c r="I883" s="245"/>
      <c r="J883" s="245"/>
      <c r="K883" s="265"/>
      <c r="L883" s="245"/>
      <c r="M883" s="245"/>
      <c r="N883" s="245"/>
      <c r="O883" s="245"/>
      <c r="P883" s="245"/>
      <c r="Q883" s="247"/>
      <c r="R883" s="254"/>
      <c r="S883" s="245"/>
      <c r="T883" s="245"/>
      <c r="U883" s="245"/>
      <c r="V883" s="245"/>
      <c r="W883" s="245"/>
      <c r="X883" s="245"/>
      <c r="Y883" s="249"/>
      <c r="Z883" s="276"/>
      <c r="AA883" s="245"/>
      <c r="AB883" s="276"/>
      <c r="AC883" s="276"/>
      <c r="AD883" s="246"/>
      <c r="AE883" s="278"/>
      <c r="AF883" s="370"/>
      <c r="AG883" s="371"/>
      <c r="AH883" s="276"/>
      <c r="AI883" s="245"/>
      <c r="AJ883" s="287"/>
      <c r="AK883" s="278"/>
      <c r="AL883" s="246"/>
      <c r="AM883" s="245"/>
      <c r="AN883" s="245"/>
      <c r="AO883" s="274"/>
      <c r="AP883" s="245"/>
      <c r="AQ883" s="245"/>
      <c r="AR883" s="246"/>
      <c r="AS883" s="245"/>
      <c r="AT883" s="245"/>
      <c r="AU883" s="245"/>
      <c r="AV883" s="245"/>
      <c r="AW883" s="245"/>
      <c r="AX883" s="246"/>
      <c r="AY883" s="245"/>
      <c r="AZ883" s="245"/>
      <c r="BA883" s="246"/>
      <c r="BB883" s="245"/>
      <c r="BC883" s="245"/>
      <c r="BD883" s="245"/>
      <c r="BE883" s="245"/>
      <c r="BF883" s="245"/>
      <c r="BG883" s="245"/>
      <c r="BH883" s="245"/>
      <c r="BI883" s="245"/>
      <c r="BJ883" s="245"/>
      <c r="BK883" s="245"/>
      <c r="BL883" s="245"/>
      <c r="BM883" s="245"/>
      <c r="BN883" s="245"/>
      <c r="BO883" s="245"/>
      <c r="BP883" s="245"/>
      <c r="BQ883" s="245"/>
      <c r="BR883" s="245"/>
      <c r="BS883" s="245"/>
      <c r="BT883" s="246"/>
      <c r="BU883" s="245"/>
      <c r="BV883" s="245"/>
      <c r="BW883" s="245"/>
      <c r="BX883" s="245"/>
      <c r="BY883" s="245"/>
      <c r="BZ883" s="282"/>
      <c r="CA883" s="245"/>
      <c r="CB883" s="245"/>
      <c r="CC883" s="245"/>
      <c r="CD883" s="245"/>
      <c r="CE883" s="245"/>
      <c r="CF883" s="245"/>
    </row>
    <row r="884">
      <c r="A884" s="245"/>
      <c r="B884" s="245"/>
      <c r="C884" s="245"/>
      <c r="D884" s="246"/>
      <c r="E884" s="245"/>
      <c r="F884" s="245"/>
      <c r="G884" s="245"/>
      <c r="H884" s="245"/>
      <c r="I884" s="245"/>
      <c r="J884" s="245"/>
      <c r="K884" s="265"/>
      <c r="L884" s="245"/>
      <c r="M884" s="245"/>
      <c r="N884" s="245"/>
      <c r="O884" s="245"/>
      <c r="P884" s="245"/>
      <c r="Q884" s="247"/>
      <c r="R884" s="254"/>
      <c r="S884" s="245"/>
      <c r="T884" s="245"/>
      <c r="U884" s="245"/>
      <c r="V884" s="245"/>
      <c r="W884" s="245"/>
      <c r="X884" s="245"/>
      <c r="Y884" s="249"/>
      <c r="Z884" s="276"/>
      <c r="AA884" s="245"/>
      <c r="AB884" s="276"/>
      <c r="AC884" s="276"/>
      <c r="AD884" s="246"/>
      <c r="AE884" s="278"/>
      <c r="AF884" s="370"/>
      <c r="AG884" s="371"/>
      <c r="AH884" s="276"/>
      <c r="AI884" s="245"/>
      <c r="AJ884" s="287"/>
      <c r="AK884" s="278"/>
      <c r="AL884" s="246"/>
      <c r="AM884" s="245"/>
      <c r="AN884" s="245"/>
      <c r="AO884" s="274"/>
      <c r="AP884" s="245"/>
      <c r="AQ884" s="245"/>
      <c r="AR884" s="246"/>
      <c r="AS884" s="245"/>
      <c r="AT884" s="245"/>
      <c r="AU884" s="245"/>
      <c r="AV884" s="245"/>
      <c r="AW884" s="245"/>
      <c r="AX884" s="246"/>
      <c r="AY884" s="245"/>
      <c r="AZ884" s="245"/>
      <c r="BA884" s="246"/>
      <c r="BB884" s="245"/>
      <c r="BC884" s="245"/>
      <c r="BD884" s="245"/>
      <c r="BE884" s="245"/>
      <c r="BF884" s="245"/>
      <c r="BG884" s="245"/>
      <c r="BH884" s="245"/>
      <c r="BI884" s="245"/>
      <c r="BJ884" s="245"/>
      <c r="BK884" s="245"/>
      <c r="BL884" s="245"/>
      <c r="BM884" s="245"/>
      <c r="BN884" s="245"/>
      <c r="BO884" s="245"/>
      <c r="BP884" s="245"/>
      <c r="BQ884" s="245"/>
      <c r="BR884" s="245"/>
      <c r="BS884" s="245"/>
      <c r="BT884" s="246"/>
      <c r="BU884" s="245"/>
      <c r="BV884" s="245"/>
      <c r="BW884" s="245"/>
      <c r="BX884" s="245"/>
      <c r="BY884" s="245"/>
      <c r="BZ884" s="282"/>
      <c r="CA884" s="245"/>
      <c r="CB884" s="245"/>
      <c r="CC884" s="245"/>
      <c r="CD884" s="245"/>
      <c r="CE884" s="245"/>
      <c r="CF884" s="245"/>
    </row>
    <row r="885">
      <c r="A885" s="245"/>
      <c r="B885" s="245"/>
      <c r="C885" s="245"/>
      <c r="D885" s="246"/>
      <c r="E885" s="245"/>
      <c r="F885" s="245"/>
      <c r="G885" s="245"/>
      <c r="H885" s="245"/>
      <c r="I885" s="245"/>
      <c r="J885" s="245"/>
      <c r="K885" s="265"/>
      <c r="L885" s="245"/>
      <c r="M885" s="245"/>
      <c r="N885" s="245"/>
      <c r="O885" s="245"/>
      <c r="P885" s="245"/>
      <c r="Q885" s="247"/>
      <c r="R885" s="254"/>
      <c r="S885" s="245"/>
      <c r="T885" s="245"/>
      <c r="U885" s="245"/>
      <c r="V885" s="245"/>
      <c r="W885" s="245"/>
      <c r="X885" s="245"/>
      <c r="Y885" s="249"/>
      <c r="Z885" s="276"/>
      <c r="AA885" s="245"/>
      <c r="AB885" s="276"/>
      <c r="AC885" s="276"/>
      <c r="AD885" s="246"/>
      <c r="AE885" s="278"/>
      <c r="AF885" s="370"/>
      <c r="AG885" s="371"/>
      <c r="AH885" s="276"/>
      <c r="AI885" s="245"/>
      <c r="AJ885" s="287"/>
      <c r="AK885" s="278"/>
      <c r="AL885" s="246"/>
      <c r="AM885" s="245"/>
      <c r="AN885" s="245"/>
      <c r="AO885" s="274"/>
      <c r="AP885" s="245"/>
      <c r="AQ885" s="245"/>
      <c r="AR885" s="246"/>
      <c r="AS885" s="245"/>
      <c r="AT885" s="245"/>
      <c r="AU885" s="245"/>
      <c r="AV885" s="245"/>
      <c r="AW885" s="245"/>
      <c r="AX885" s="246"/>
      <c r="AY885" s="245"/>
      <c r="AZ885" s="245"/>
      <c r="BA885" s="246"/>
      <c r="BB885" s="245"/>
      <c r="BC885" s="245"/>
      <c r="BD885" s="245"/>
      <c r="BE885" s="245"/>
      <c r="BF885" s="245"/>
      <c r="BG885" s="245"/>
      <c r="BH885" s="245"/>
      <c r="BI885" s="245"/>
      <c r="BJ885" s="245"/>
      <c r="BK885" s="245"/>
      <c r="BL885" s="245"/>
      <c r="BM885" s="245"/>
      <c r="BN885" s="245"/>
      <c r="BO885" s="245"/>
      <c r="BP885" s="245"/>
      <c r="BQ885" s="245"/>
      <c r="BR885" s="245"/>
      <c r="BS885" s="245"/>
      <c r="BT885" s="246"/>
      <c r="BU885" s="245"/>
      <c r="BV885" s="245"/>
      <c r="BW885" s="245"/>
      <c r="BX885" s="245"/>
      <c r="BY885" s="245"/>
      <c r="BZ885" s="282"/>
      <c r="CA885" s="245"/>
      <c r="CB885" s="245"/>
      <c r="CC885" s="245"/>
      <c r="CD885" s="245"/>
      <c r="CE885" s="245"/>
      <c r="CF885" s="245"/>
    </row>
    <row r="886">
      <c r="A886" s="245"/>
      <c r="B886" s="245"/>
      <c r="C886" s="245"/>
      <c r="D886" s="246"/>
      <c r="E886" s="245"/>
      <c r="F886" s="245"/>
      <c r="G886" s="245"/>
      <c r="H886" s="245"/>
      <c r="I886" s="245"/>
      <c r="J886" s="245"/>
      <c r="K886" s="265"/>
      <c r="L886" s="245"/>
      <c r="M886" s="245"/>
      <c r="N886" s="245"/>
      <c r="O886" s="245"/>
      <c r="P886" s="245"/>
      <c r="Q886" s="247"/>
      <c r="R886" s="254"/>
      <c r="S886" s="245"/>
      <c r="T886" s="245"/>
      <c r="U886" s="245"/>
      <c r="V886" s="245"/>
      <c r="W886" s="245"/>
      <c r="X886" s="245"/>
      <c r="Y886" s="249"/>
      <c r="Z886" s="276"/>
      <c r="AA886" s="245"/>
      <c r="AB886" s="276"/>
      <c r="AC886" s="276"/>
      <c r="AD886" s="246"/>
      <c r="AE886" s="278"/>
      <c r="AF886" s="370"/>
      <c r="AG886" s="371"/>
      <c r="AH886" s="276"/>
      <c r="AI886" s="245"/>
      <c r="AJ886" s="287"/>
      <c r="AK886" s="278"/>
      <c r="AL886" s="246"/>
      <c r="AM886" s="245"/>
      <c r="AN886" s="245"/>
      <c r="AO886" s="274"/>
      <c r="AP886" s="245"/>
      <c r="AQ886" s="245"/>
      <c r="AR886" s="246"/>
      <c r="AS886" s="245"/>
      <c r="AT886" s="245"/>
      <c r="AU886" s="245"/>
      <c r="AV886" s="245"/>
      <c r="AW886" s="245"/>
      <c r="AX886" s="246"/>
      <c r="AY886" s="245"/>
      <c r="AZ886" s="245"/>
      <c r="BA886" s="246"/>
      <c r="BB886" s="245"/>
      <c r="BC886" s="245"/>
      <c r="BD886" s="245"/>
      <c r="BE886" s="245"/>
      <c r="BF886" s="245"/>
      <c r="BG886" s="245"/>
      <c r="BH886" s="245"/>
      <c r="BI886" s="245"/>
      <c r="BJ886" s="245"/>
      <c r="BK886" s="245"/>
      <c r="BL886" s="245"/>
      <c r="BM886" s="245"/>
      <c r="BN886" s="245"/>
      <c r="BO886" s="245"/>
      <c r="BP886" s="245"/>
      <c r="BQ886" s="245"/>
      <c r="BR886" s="245"/>
      <c r="BS886" s="245"/>
      <c r="BT886" s="246"/>
      <c r="BU886" s="245"/>
      <c r="BV886" s="245"/>
      <c r="BW886" s="245"/>
      <c r="BX886" s="245"/>
      <c r="BY886" s="245"/>
      <c r="BZ886" s="282"/>
      <c r="CA886" s="245"/>
      <c r="CB886" s="245"/>
      <c r="CC886" s="245"/>
      <c r="CD886" s="245"/>
      <c r="CE886" s="245"/>
      <c r="CF886" s="245"/>
    </row>
    <row r="887">
      <c r="A887" s="245"/>
      <c r="B887" s="245"/>
      <c r="C887" s="245"/>
      <c r="D887" s="246"/>
      <c r="E887" s="245"/>
      <c r="F887" s="245"/>
      <c r="G887" s="245"/>
      <c r="H887" s="245"/>
      <c r="I887" s="245"/>
      <c r="J887" s="245"/>
      <c r="K887" s="265"/>
      <c r="L887" s="245"/>
      <c r="M887" s="245"/>
      <c r="N887" s="245"/>
      <c r="O887" s="245"/>
      <c r="P887" s="245"/>
      <c r="Q887" s="247"/>
      <c r="R887" s="254"/>
      <c r="S887" s="245"/>
      <c r="T887" s="245"/>
      <c r="U887" s="245"/>
      <c r="V887" s="245"/>
      <c r="W887" s="245"/>
      <c r="X887" s="245"/>
      <c r="Y887" s="249"/>
      <c r="Z887" s="276"/>
      <c r="AA887" s="245"/>
      <c r="AB887" s="276"/>
      <c r="AC887" s="276"/>
      <c r="AD887" s="246"/>
      <c r="AE887" s="278"/>
      <c r="AF887" s="370"/>
      <c r="AG887" s="371"/>
      <c r="AH887" s="276"/>
      <c r="AI887" s="245"/>
      <c r="AJ887" s="287"/>
      <c r="AK887" s="278"/>
      <c r="AL887" s="246"/>
      <c r="AM887" s="245"/>
      <c r="AN887" s="245"/>
      <c r="AO887" s="274"/>
      <c r="AP887" s="245"/>
      <c r="AQ887" s="245"/>
      <c r="AR887" s="246"/>
      <c r="AS887" s="245"/>
      <c r="AT887" s="245"/>
      <c r="AU887" s="245"/>
      <c r="AV887" s="245"/>
      <c r="AW887" s="245"/>
      <c r="AX887" s="246"/>
      <c r="AY887" s="245"/>
      <c r="AZ887" s="245"/>
      <c r="BA887" s="246"/>
      <c r="BB887" s="245"/>
      <c r="BC887" s="245"/>
      <c r="BD887" s="245"/>
      <c r="BE887" s="245"/>
      <c r="BF887" s="245"/>
      <c r="BG887" s="245"/>
      <c r="BH887" s="245"/>
      <c r="BI887" s="245"/>
      <c r="BJ887" s="245"/>
      <c r="BK887" s="245"/>
      <c r="BL887" s="245"/>
      <c r="BM887" s="245"/>
      <c r="BN887" s="245"/>
      <c r="BO887" s="245"/>
      <c r="BP887" s="245"/>
      <c r="BQ887" s="245"/>
      <c r="BR887" s="245"/>
      <c r="BS887" s="245"/>
      <c r="BT887" s="246"/>
      <c r="BU887" s="245"/>
      <c r="BV887" s="245"/>
      <c r="BW887" s="245"/>
      <c r="BX887" s="245"/>
      <c r="BY887" s="245"/>
      <c r="BZ887" s="282"/>
      <c r="CA887" s="245"/>
      <c r="CB887" s="245"/>
      <c r="CC887" s="245"/>
      <c r="CD887" s="245"/>
      <c r="CE887" s="245"/>
      <c r="CF887" s="245"/>
    </row>
    <row r="888">
      <c r="A888" s="245"/>
      <c r="B888" s="245"/>
      <c r="C888" s="245"/>
      <c r="D888" s="246"/>
      <c r="E888" s="245"/>
      <c r="F888" s="245"/>
      <c r="G888" s="245"/>
      <c r="H888" s="245"/>
      <c r="I888" s="245"/>
      <c r="J888" s="245"/>
      <c r="K888" s="265"/>
      <c r="L888" s="245"/>
      <c r="M888" s="245"/>
      <c r="N888" s="245"/>
      <c r="O888" s="245"/>
      <c r="P888" s="245"/>
      <c r="Q888" s="247"/>
      <c r="R888" s="254"/>
      <c r="S888" s="245"/>
      <c r="T888" s="245"/>
      <c r="U888" s="245"/>
      <c r="V888" s="245"/>
      <c r="W888" s="245"/>
      <c r="X888" s="245"/>
      <c r="Y888" s="249"/>
      <c r="Z888" s="276"/>
      <c r="AA888" s="245"/>
      <c r="AB888" s="276"/>
      <c r="AC888" s="276"/>
      <c r="AD888" s="246"/>
      <c r="AE888" s="278"/>
      <c r="AF888" s="370"/>
      <c r="AG888" s="371"/>
      <c r="AH888" s="276"/>
      <c r="AI888" s="245"/>
      <c r="AJ888" s="287"/>
      <c r="AK888" s="278"/>
      <c r="AL888" s="246"/>
      <c r="AM888" s="245"/>
      <c r="AN888" s="245"/>
      <c r="AO888" s="274"/>
      <c r="AP888" s="245"/>
      <c r="AQ888" s="245"/>
      <c r="AR888" s="246"/>
      <c r="AS888" s="245"/>
      <c r="AT888" s="245"/>
      <c r="AU888" s="245"/>
      <c r="AV888" s="245"/>
      <c r="AW888" s="245"/>
      <c r="AX888" s="246"/>
      <c r="AY888" s="245"/>
      <c r="AZ888" s="245"/>
      <c r="BA888" s="246"/>
      <c r="BB888" s="245"/>
      <c r="BC888" s="245"/>
      <c r="BD888" s="245"/>
      <c r="BE888" s="245"/>
      <c r="BF888" s="245"/>
      <c r="BG888" s="245"/>
      <c r="BH888" s="245"/>
      <c r="BI888" s="245"/>
      <c r="BJ888" s="245"/>
      <c r="BK888" s="245"/>
      <c r="BL888" s="245"/>
      <c r="BM888" s="245"/>
      <c r="BN888" s="245"/>
      <c r="BO888" s="245"/>
      <c r="BP888" s="245"/>
      <c r="BQ888" s="245"/>
      <c r="BR888" s="245"/>
      <c r="BS888" s="245"/>
      <c r="BT888" s="246"/>
      <c r="BU888" s="245"/>
      <c r="BV888" s="245"/>
      <c r="BW888" s="245"/>
      <c r="BX888" s="245"/>
      <c r="BY888" s="245"/>
      <c r="BZ888" s="282"/>
      <c r="CA888" s="245"/>
      <c r="CB888" s="245"/>
      <c r="CC888" s="245"/>
      <c r="CD888" s="245"/>
      <c r="CE888" s="245"/>
      <c r="CF888" s="245"/>
    </row>
    <row r="889">
      <c r="A889" s="245"/>
      <c r="B889" s="245"/>
      <c r="C889" s="245"/>
      <c r="D889" s="246"/>
      <c r="E889" s="245"/>
      <c r="F889" s="245"/>
      <c r="G889" s="245"/>
      <c r="H889" s="245"/>
      <c r="I889" s="245"/>
      <c r="J889" s="245"/>
      <c r="K889" s="265"/>
      <c r="L889" s="245"/>
      <c r="M889" s="245"/>
      <c r="N889" s="245"/>
      <c r="O889" s="245"/>
      <c r="P889" s="245"/>
      <c r="Q889" s="247"/>
      <c r="R889" s="254"/>
      <c r="S889" s="245"/>
      <c r="T889" s="245"/>
      <c r="U889" s="245"/>
      <c r="V889" s="245"/>
      <c r="W889" s="245"/>
      <c r="X889" s="245"/>
      <c r="Y889" s="249"/>
      <c r="Z889" s="276"/>
      <c r="AA889" s="245"/>
      <c r="AB889" s="276"/>
      <c r="AC889" s="276"/>
      <c r="AD889" s="246"/>
      <c r="AE889" s="278"/>
      <c r="AF889" s="370"/>
      <c r="AG889" s="371"/>
      <c r="AH889" s="276"/>
      <c r="AI889" s="245"/>
      <c r="AJ889" s="287"/>
      <c r="AK889" s="278"/>
      <c r="AL889" s="246"/>
      <c r="AM889" s="245"/>
      <c r="AN889" s="245"/>
      <c r="AO889" s="274"/>
      <c r="AP889" s="245"/>
      <c r="AQ889" s="245"/>
      <c r="AR889" s="246"/>
      <c r="AS889" s="245"/>
      <c r="AT889" s="245"/>
      <c r="AU889" s="245"/>
      <c r="AV889" s="245"/>
      <c r="AW889" s="245"/>
      <c r="AX889" s="246"/>
      <c r="AY889" s="245"/>
      <c r="AZ889" s="245"/>
      <c r="BA889" s="246"/>
      <c r="BB889" s="245"/>
      <c r="BC889" s="245"/>
      <c r="BD889" s="245"/>
      <c r="BE889" s="245"/>
      <c r="BF889" s="245"/>
      <c r="BG889" s="245"/>
      <c r="BH889" s="245"/>
      <c r="BI889" s="245"/>
      <c r="BJ889" s="245"/>
      <c r="BK889" s="245"/>
      <c r="BL889" s="245"/>
      <c r="BM889" s="245"/>
      <c r="BN889" s="245"/>
      <c r="BO889" s="245"/>
      <c r="BP889" s="245"/>
      <c r="BQ889" s="245"/>
      <c r="BR889" s="245"/>
      <c r="BS889" s="245"/>
      <c r="BT889" s="246"/>
      <c r="BU889" s="245"/>
      <c r="BV889" s="245"/>
      <c r="BW889" s="245"/>
      <c r="BX889" s="245"/>
      <c r="BY889" s="245"/>
      <c r="BZ889" s="282"/>
      <c r="CA889" s="245"/>
      <c r="CB889" s="245"/>
      <c r="CC889" s="245"/>
      <c r="CD889" s="245"/>
      <c r="CE889" s="245"/>
      <c r="CF889" s="245"/>
    </row>
    <row r="890">
      <c r="A890" s="245"/>
      <c r="B890" s="245"/>
      <c r="C890" s="245"/>
      <c r="D890" s="246"/>
      <c r="E890" s="245"/>
      <c r="F890" s="245"/>
      <c r="G890" s="245"/>
      <c r="H890" s="245"/>
      <c r="I890" s="245"/>
      <c r="J890" s="245"/>
      <c r="K890" s="265"/>
      <c r="L890" s="245"/>
      <c r="M890" s="245"/>
      <c r="N890" s="245"/>
      <c r="O890" s="245"/>
      <c r="P890" s="245"/>
      <c r="Q890" s="247"/>
      <c r="R890" s="254"/>
      <c r="S890" s="245"/>
      <c r="T890" s="245"/>
      <c r="U890" s="245"/>
      <c r="V890" s="245"/>
      <c r="W890" s="245"/>
      <c r="X890" s="245"/>
      <c r="Y890" s="249"/>
      <c r="Z890" s="276"/>
      <c r="AA890" s="245"/>
      <c r="AB890" s="276"/>
      <c r="AC890" s="276"/>
      <c r="AD890" s="246"/>
      <c r="AE890" s="278"/>
      <c r="AF890" s="370"/>
      <c r="AG890" s="371"/>
      <c r="AH890" s="276"/>
      <c r="AI890" s="245"/>
      <c r="AJ890" s="287"/>
      <c r="AK890" s="278"/>
      <c r="AL890" s="246"/>
      <c r="AM890" s="245"/>
      <c r="AN890" s="245"/>
      <c r="AO890" s="274"/>
      <c r="AP890" s="245"/>
      <c r="AQ890" s="245"/>
      <c r="AR890" s="246"/>
      <c r="AS890" s="245"/>
      <c r="AT890" s="245"/>
      <c r="AU890" s="245"/>
      <c r="AV890" s="245"/>
      <c r="AW890" s="245"/>
      <c r="AX890" s="246"/>
      <c r="AY890" s="245"/>
      <c r="AZ890" s="245"/>
      <c r="BA890" s="246"/>
      <c r="BB890" s="245"/>
      <c r="BC890" s="245"/>
      <c r="BD890" s="245"/>
      <c r="BE890" s="245"/>
      <c r="BF890" s="245"/>
      <c r="BG890" s="245"/>
      <c r="BH890" s="245"/>
      <c r="BI890" s="245"/>
      <c r="BJ890" s="245"/>
      <c r="BK890" s="245"/>
      <c r="BL890" s="245"/>
      <c r="BM890" s="245"/>
      <c r="BN890" s="245"/>
      <c r="BO890" s="245"/>
      <c r="BP890" s="245"/>
      <c r="BQ890" s="245"/>
      <c r="BR890" s="245"/>
      <c r="BS890" s="245"/>
      <c r="BT890" s="246"/>
      <c r="BU890" s="245"/>
      <c r="BV890" s="245"/>
      <c r="BW890" s="245"/>
      <c r="BX890" s="245"/>
      <c r="BY890" s="245"/>
      <c r="BZ890" s="282"/>
      <c r="CA890" s="245"/>
      <c r="CB890" s="245"/>
      <c r="CC890" s="245"/>
      <c r="CD890" s="245"/>
      <c r="CE890" s="245"/>
      <c r="CF890" s="245"/>
    </row>
    <row r="891">
      <c r="A891" s="245"/>
      <c r="B891" s="245"/>
      <c r="C891" s="245"/>
      <c r="D891" s="246"/>
      <c r="E891" s="245"/>
      <c r="F891" s="245"/>
      <c r="G891" s="245"/>
      <c r="H891" s="245"/>
      <c r="I891" s="245"/>
      <c r="J891" s="245"/>
      <c r="K891" s="265"/>
      <c r="L891" s="245"/>
      <c r="M891" s="245"/>
      <c r="N891" s="245"/>
      <c r="O891" s="245"/>
      <c r="P891" s="245"/>
      <c r="Q891" s="247"/>
      <c r="R891" s="254"/>
      <c r="S891" s="245"/>
      <c r="T891" s="245"/>
      <c r="U891" s="245"/>
      <c r="V891" s="245"/>
      <c r="W891" s="245"/>
      <c r="X891" s="245"/>
      <c r="Y891" s="249"/>
      <c r="Z891" s="276"/>
      <c r="AA891" s="245"/>
      <c r="AB891" s="276"/>
      <c r="AC891" s="276"/>
      <c r="AD891" s="246"/>
      <c r="AE891" s="278"/>
      <c r="AF891" s="370"/>
      <c r="AG891" s="371"/>
      <c r="AH891" s="276"/>
      <c r="AI891" s="245"/>
      <c r="AJ891" s="287"/>
      <c r="AK891" s="278"/>
      <c r="AL891" s="246"/>
      <c r="AM891" s="245"/>
      <c r="AN891" s="245"/>
      <c r="AO891" s="274"/>
      <c r="AP891" s="245"/>
      <c r="AQ891" s="245"/>
      <c r="AR891" s="246"/>
      <c r="AS891" s="245"/>
      <c r="AT891" s="245"/>
      <c r="AU891" s="245"/>
      <c r="AV891" s="245"/>
      <c r="AW891" s="245"/>
      <c r="AX891" s="246"/>
      <c r="AY891" s="245"/>
      <c r="AZ891" s="245"/>
      <c r="BA891" s="246"/>
      <c r="BB891" s="245"/>
      <c r="BC891" s="245"/>
      <c r="BD891" s="245"/>
      <c r="BE891" s="245"/>
      <c r="BF891" s="245"/>
      <c r="BG891" s="245"/>
      <c r="BH891" s="245"/>
      <c r="BI891" s="245"/>
      <c r="BJ891" s="245"/>
      <c r="BK891" s="245"/>
      <c r="BL891" s="245"/>
      <c r="BM891" s="245"/>
      <c r="BN891" s="245"/>
      <c r="BO891" s="245"/>
      <c r="BP891" s="245"/>
      <c r="BQ891" s="245"/>
      <c r="BR891" s="245"/>
      <c r="BS891" s="245"/>
      <c r="BT891" s="246"/>
      <c r="BU891" s="245"/>
      <c r="BV891" s="245"/>
      <c r="BW891" s="245"/>
      <c r="BX891" s="245"/>
      <c r="BY891" s="245"/>
      <c r="BZ891" s="282"/>
      <c r="CA891" s="245"/>
      <c r="CB891" s="245"/>
      <c r="CC891" s="245"/>
      <c r="CD891" s="245"/>
      <c r="CE891" s="245"/>
      <c r="CF891" s="245"/>
    </row>
    <row r="892">
      <c r="A892" s="305"/>
      <c r="B892" s="245"/>
      <c r="C892" s="245"/>
      <c r="D892" s="246"/>
      <c r="E892" s="245"/>
      <c r="F892" s="245"/>
      <c r="G892" s="245"/>
      <c r="H892" s="245"/>
      <c r="I892" s="245"/>
      <c r="J892" s="245"/>
      <c r="K892" s="265"/>
      <c r="L892" s="245"/>
      <c r="M892" s="245"/>
      <c r="N892" s="245"/>
      <c r="O892" s="245"/>
      <c r="P892" s="245"/>
      <c r="Q892" s="247"/>
      <c r="R892" s="254"/>
      <c r="S892" s="245"/>
      <c r="T892" s="245"/>
      <c r="U892" s="245"/>
      <c r="V892" s="245"/>
      <c r="W892" s="245"/>
      <c r="X892" s="245"/>
      <c r="Y892" s="249"/>
      <c r="Z892" s="276"/>
      <c r="AA892" s="245"/>
      <c r="AB892" s="276"/>
      <c r="AC892" s="276"/>
      <c r="AD892" s="246"/>
      <c r="AE892" s="278"/>
      <c r="AF892" s="370"/>
      <c r="AG892" s="371"/>
      <c r="AH892" s="276"/>
      <c r="AI892" s="245"/>
      <c r="AJ892" s="287"/>
      <c r="AK892" s="278"/>
      <c r="AL892" s="246"/>
      <c r="AM892" s="245"/>
      <c r="AN892" s="245"/>
      <c r="AO892" s="274"/>
      <c r="AP892" s="245"/>
      <c r="AQ892" s="245"/>
      <c r="AR892" s="246"/>
      <c r="AS892" s="245"/>
      <c r="AT892" s="245"/>
      <c r="AU892" s="245"/>
      <c r="AV892" s="245"/>
      <c r="AW892" s="245"/>
      <c r="AX892" s="246"/>
      <c r="AY892" s="245"/>
      <c r="AZ892" s="245"/>
      <c r="BA892" s="246"/>
      <c r="BB892" s="245"/>
      <c r="BC892" s="245"/>
      <c r="BD892" s="245"/>
      <c r="BE892" s="245"/>
      <c r="BF892" s="245"/>
      <c r="BG892" s="245"/>
      <c r="BH892" s="245"/>
      <c r="BI892" s="245"/>
      <c r="BJ892" s="245"/>
      <c r="BK892" s="245"/>
      <c r="BL892" s="245"/>
      <c r="BM892" s="245"/>
      <c r="BN892" s="245"/>
      <c r="BO892" s="245"/>
      <c r="BP892" s="245"/>
      <c r="BQ892" s="245"/>
      <c r="BR892" s="245"/>
      <c r="BS892" s="245"/>
      <c r="BT892" s="246"/>
      <c r="BU892" s="245"/>
      <c r="BV892" s="245"/>
      <c r="BW892" s="245"/>
      <c r="BX892" s="245"/>
      <c r="BY892" s="245"/>
      <c r="BZ892" s="282"/>
      <c r="CA892" s="245"/>
      <c r="CB892" s="245"/>
      <c r="CC892" s="245"/>
      <c r="CD892" s="245"/>
      <c r="CE892" s="245"/>
      <c r="CF892" s="245"/>
    </row>
    <row r="893">
      <c r="A893" s="245"/>
      <c r="B893" s="245"/>
      <c r="C893" s="245"/>
      <c r="D893" s="246"/>
      <c r="E893" s="245"/>
      <c r="F893" s="245"/>
      <c r="G893" s="245"/>
      <c r="H893" s="245"/>
      <c r="I893" s="245"/>
      <c r="J893" s="245"/>
      <c r="K893" s="265"/>
      <c r="L893" s="245"/>
      <c r="M893" s="245"/>
      <c r="N893" s="245"/>
      <c r="O893" s="245"/>
      <c r="P893" s="245"/>
      <c r="Q893" s="247"/>
      <c r="R893" s="254"/>
      <c r="S893" s="245"/>
      <c r="T893" s="245"/>
      <c r="U893" s="245"/>
      <c r="V893" s="245"/>
      <c r="W893" s="245"/>
      <c r="X893" s="245"/>
      <c r="Y893" s="249"/>
      <c r="Z893" s="276"/>
      <c r="AA893" s="245"/>
      <c r="AB893" s="276"/>
      <c r="AC893" s="276"/>
      <c r="AD893" s="246"/>
      <c r="AE893" s="278"/>
      <c r="AF893" s="370"/>
      <c r="AG893" s="371"/>
      <c r="AH893" s="276"/>
      <c r="AI893" s="245"/>
      <c r="AJ893" s="287"/>
      <c r="AK893" s="278"/>
      <c r="AL893" s="246"/>
      <c r="AM893" s="245"/>
      <c r="AN893" s="245"/>
      <c r="AO893" s="274"/>
      <c r="AP893" s="245"/>
      <c r="AQ893" s="245"/>
      <c r="AR893" s="246"/>
      <c r="AS893" s="245"/>
      <c r="AT893" s="245"/>
      <c r="AU893" s="245"/>
      <c r="AV893" s="245"/>
      <c r="AW893" s="245"/>
      <c r="AX893" s="246"/>
      <c r="AY893" s="245"/>
      <c r="AZ893" s="245"/>
      <c r="BA893" s="246"/>
      <c r="BB893" s="245"/>
      <c r="BC893" s="245"/>
      <c r="BD893" s="245"/>
      <c r="BE893" s="245"/>
      <c r="BF893" s="245"/>
      <c r="BG893" s="245"/>
      <c r="BH893" s="245"/>
      <c r="BI893" s="245"/>
      <c r="BJ893" s="245"/>
      <c r="BK893" s="245"/>
      <c r="BL893" s="245"/>
      <c r="BM893" s="245"/>
      <c r="BN893" s="245"/>
      <c r="BO893" s="245"/>
      <c r="BP893" s="245"/>
      <c r="BQ893" s="245"/>
      <c r="BR893" s="245"/>
      <c r="BS893" s="245"/>
      <c r="BT893" s="246"/>
      <c r="BU893" s="245"/>
      <c r="BV893" s="245"/>
      <c r="BW893" s="245"/>
      <c r="BX893" s="245"/>
      <c r="BY893" s="245"/>
      <c r="BZ893" s="282"/>
      <c r="CA893" s="245"/>
      <c r="CB893" s="245"/>
      <c r="CC893" s="245"/>
      <c r="CD893" s="245"/>
      <c r="CE893" s="245"/>
      <c r="CF893" s="245"/>
    </row>
    <row r="894">
      <c r="A894" s="245"/>
      <c r="B894" s="245"/>
      <c r="C894" s="245"/>
      <c r="D894" s="246"/>
      <c r="E894" s="245"/>
      <c r="F894" s="245"/>
      <c r="G894" s="245"/>
      <c r="H894" s="245"/>
      <c r="I894" s="245"/>
      <c r="J894" s="245"/>
      <c r="K894" s="265"/>
      <c r="L894" s="245"/>
      <c r="M894" s="245"/>
      <c r="N894" s="245"/>
      <c r="O894" s="245"/>
      <c r="P894" s="245"/>
      <c r="Q894" s="247"/>
      <c r="R894" s="254"/>
      <c r="S894" s="245"/>
      <c r="T894" s="245"/>
      <c r="U894" s="245"/>
      <c r="V894" s="245"/>
      <c r="W894" s="245"/>
      <c r="X894" s="245"/>
      <c r="Y894" s="249"/>
      <c r="Z894" s="276"/>
      <c r="AA894" s="245"/>
      <c r="AB894" s="276"/>
      <c r="AC894" s="276"/>
      <c r="AD894" s="246"/>
      <c r="AE894" s="278"/>
      <c r="AF894" s="370"/>
      <c r="AG894" s="371"/>
      <c r="AH894" s="276"/>
      <c r="AI894" s="245"/>
      <c r="AJ894" s="287"/>
      <c r="AK894" s="278"/>
      <c r="AL894" s="246"/>
      <c r="AM894" s="245"/>
      <c r="AN894" s="245"/>
      <c r="AO894" s="274"/>
      <c r="AP894" s="245"/>
      <c r="AQ894" s="245"/>
      <c r="AR894" s="246"/>
      <c r="AS894" s="245"/>
      <c r="AT894" s="245"/>
      <c r="AU894" s="245"/>
      <c r="AV894" s="245"/>
      <c r="AW894" s="245"/>
      <c r="AX894" s="246"/>
      <c r="AY894" s="245"/>
      <c r="AZ894" s="245"/>
      <c r="BA894" s="246"/>
      <c r="BB894" s="245"/>
      <c r="BC894" s="245"/>
      <c r="BD894" s="245"/>
      <c r="BE894" s="245"/>
      <c r="BF894" s="245"/>
      <c r="BG894" s="245"/>
      <c r="BH894" s="245"/>
      <c r="BI894" s="245"/>
      <c r="BJ894" s="245"/>
      <c r="BK894" s="245"/>
      <c r="BL894" s="245"/>
      <c r="BM894" s="245"/>
      <c r="BN894" s="245"/>
      <c r="BO894" s="245"/>
      <c r="BP894" s="245"/>
      <c r="BQ894" s="245"/>
      <c r="BR894" s="245"/>
      <c r="BS894" s="245"/>
      <c r="BT894" s="246"/>
      <c r="BU894" s="245"/>
      <c r="BV894" s="245"/>
      <c r="BW894" s="245"/>
      <c r="BX894" s="245"/>
      <c r="BY894" s="245"/>
      <c r="BZ894" s="282"/>
      <c r="CA894" s="245"/>
      <c r="CB894" s="245"/>
      <c r="CC894" s="245"/>
      <c r="CD894" s="245"/>
      <c r="CE894" s="245"/>
      <c r="CF894" s="245"/>
    </row>
    <row r="895">
      <c r="A895" s="245"/>
      <c r="B895" s="245"/>
      <c r="C895" s="245"/>
      <c r="D895" s="246"/>
      <c r="E895" s="245"/>
      <c r="F895" s="245"/>
      <c r="G895" s="245"/>
      <c r="H895" s="245"/>
      <c r="I895" s="245"/>
      <c r="J895" s="245"/>
      <c r="K895" s="265"/>
      <c r="L895" s="245"/>
      <c r="M895" s="245"/>
      <c r="N895" s="245"/>
      <c r="O895" s="245"/>
      <c r="P895" s="245"/>
      <c r="Q895" s="247"/>
      <c r="R895" s="254"/>
      <c r="S895" s="245"/>
      <c r="T895" s="245"/>
      <c r="U895" s="245"/>
      <c r="V895" s="245"/>
      <c r="W895" s="245"/>
      <c r="X895" s="245"/>
      <c r="Y895" s="249"/>
      <c r="Z895" s="276"/>
      <c r="AA895" s="245"/>
      <c r="AB895" s="276"/>
      <c r="AC895" s="276"/>
      <c r="AD895" s="246"/>
      <c r="AE895" s="278"/>
      <c r="AF895" s="370"/>
      <c r="AG895" s="371"/>
      <c r="AH895" s="276"/>
      <c r="AI895" s="245"/>
      <c r="AJ895" s="287"/>
      <c r="AK895" s="278"/>
      <c r="AL895" s="246"/>
      <c r="AM895" s="245"/>
      <c r="AN895" s="245"/>
      <c r="AO895" s="274"/>
      <c r="AP895" s="245"/>
      <c r="AQ895" s="245"/>
      <c r="AR895" s="246"/>
      <c r="AS895" s="245"/>
      <c r="AT895" s="245"/>
      <c r="AU895" s="245"/>
      <c r="AV895" s="245"/>
      <c r="AW895" s="245"/>
      <c r="AX895" s="246"/>
      <c r="AY895" s="245"/>
      <c r="AZ895" s="245"/>
      <c r="BA895" s="246"/>
      <c r="BB895" s="245"/>
      <c r="BC895" s="245"/>
      <c r="BD895" s="245"/>
      <c r="BE895" s="245"/>
      <c r="BF895" s="245"/>
      <c r="BG895" s="245"/>
      <c r="BH895" s="245"/>
      <c r="BI895" s="245"/>
      <c r="BJ895" s="245"/>
      <c r="BK895" s="245"/>
      <c r="BL895" s="245"/>
      <c r="BM895" s="245"/>
      <c r="BN895" s="245"/>
      <c r="BO895" s="245"/>
      <c r="BP895" s="245"/>
      <c r="BQ895" s="245"/>
      <c r="BR895" s="245"/>
      <c r="BS895" s="245"/>
      <c r="BT895" s="246"/>
      <c r="BU895" s="245"/>
      <c r="BV895" s="245"/>
      <c r="BW895" s="245"/>
      <c r="BX895" s="245"/>
      <c r="BY895" s="245"/>
      <c r="BZ895" s="282"/>
      <c r="CA895" s="245"/>
      <c r="CB895" s="245"/>
      <c r="CC895" s="245"/>
      <c r="CD895" s="245"/>
      <c r="CE895" s="245"/>
      <c r="CF895" s="245"/>
    </row>
    <row r="896">
      <c r="A896" s="245"/>
      <c r="B896" s="245"/>
      <c r="C896" s="245"/>
      <c r="D896" s="246"/>
      <c r="E896" s="245"/>
      <c r="F896" s="245"/>
      <c r="G896" s="245"/>
      <c r="H896" s="245"/>
      <c r="I896" s="245"/>
      <c r="J896" s="245"/>
      <c r="K896" s="265"/>
      <c r="L896" s="245"/>
      <c r="M896" s="245"/>
      <c r="N896" s="245"/>
      <c r="O896" s="245"/>
      <c r="P896" s="245"/>
      <c r="Q896" s="247"/>
      <c r="R896" s="254"/>
      <c r="S896" s="245"/>
      <c r="T896" s="245"/>
      <c r="U896" s="245"/>
      <c r="V896" s="245"/>
      <c r="W896" s="245"/>
      <c r="X896" s="245"/>
      <c r="Y896" s="249"/>
      <c r="Z896" s="276"/>
      <c r="AA896" s="245"/>
      <c r="AB896" s="276"/>
      <c r="AC896" s="276"/>
      <c r="AD896" s="246"/>
      <c r="AE896" s="278"/>
      <c r="AF896" s="370"/>
      <c r="AG896" s="371"/>
      <c r="AH896" s="276"/>
      <c r="AI896" s="245"/>
      <c r="AJ896" s="287"/>
      <c r="AK896" s="278"/>
      <c r="AL896" s="246"/>
      <c r="AM896" s="245"/>
      <c r="AN896" s="245"/>
      <c r="AO896" s="274"/>
      <c r="AP896" s="245"/>
      <c r="AQ896" s="245"/>
      <c r="AR896" s="246"/>
      <c r="AS896" s="245"/>
      <c r="AT896" s="245"/>
      <c r="AU896" s="245"/>
      <c r="AV896" s="245"/>
      <c r="AW896" s="245"/>
      <c r="AX896" s="246"/>
      <c r="AY896" s="245"/>
      <c r="AZ896" s="245"/>
      <c r="BA896" s="246"/>
      <c r="BB896" s="245"/>
      <c r="BC896" s="245"/>
      <c r="BD896" s="245"/>
      <c r="BE896" s="245"/>
      <c r="BF896" s="245"/>
      <c r="BG896" s="245"/>
      <c r="BH896" s="245"/>
      <c r="BI896" s="245"/>
      <c r="BJ896" s="245"/>
      <c r="BK896" s="245"/>
      <c r="BL896" s="245"/>
      <c r="BM896" s="245"/>
      <c r="BN896" s="245"/>
      <c r="BO896" s="245"/>
      <c r="BP896" s="245"/>
      <c r="BQ896" s="245"/>
      <c r="BR896" s="245"/>
      <c r="BS896" s="245"/>
      <c r="BT896" s="246"/>
      <c r="BU896" s="245"/>
      <c r="BV896" s="245"/>
      <c r="BW896" s="245"/>
      <c r="BX896" s="245"/>
      <c r="BY896" s="245"/>
      <c r="BZ896" s="282"/>
      <c r="CA896" s="245"/>
      <c r="CB896" s="245"/>
      <c r="CC896" s="245"/>
      <c r="CD896" s="245"/>
      <c r="CE896" s="245"/>
      <c r="CF896" s="245"/>
    </row>
    <row r="897">
      <c r="A897" s="245"/>
      <c r="B897" s="245"/>
      <c r="C897" s="245"/>
      <c r="D897" s="246"/>
      <c r="E897" s="245"/>
      <c r="F897" s="245"/>
      <c r="G897" s="245"/>
      <c r="H897" s="245"/>
      <c r="I897" s="245"/>
      <c r="J897" s="245"/>
      <c r="K897" s="265"/>
      <c r="L897" s="245"/>
      <c r="M897" s="245"/>
      <c r="N897" s="245"/>
      <c r="O897" s="245"/>
      <c r="P897" s="245"/>
      <c r="Q897" s="247"/>
      <c r="R897" s="254"/>
      <c r="S897" s="245"/>
      <c r="T897" s="245"/>
      <c r="U897" s="245"/>
      <c r="V897" s="245"/>
      <c r="W897" s="245"/>
      <c r="X897" s="245"/>
      <c r="Y897" s="249"/>
      <c r="Z897" s="276"/>
      <c r="AA897" s="245"/>
      <c r="AB897" s="276"/>
      <c r="AC897" s="276"/>
      <c r="AD897" s="246"/>
      <c r="AE897" s="278"/>
      <c r="AF897" s="370"/>
      <c r="AG897" s="371"/>
      <c r="AH897" s="276"/>
      <c r="AI897" s="245"/>
      <c r="AJ897" s="287"/>
      <c r="AK897" s="278"/>
      <c r="AL897" s="246"/>
      <c r="AM897" s="245"/>
      <c r="AN897" s="245"/>
      <c r="AO897" s="274"/>
      <c r="AP897" s="245"/>
      <c r="AQ897" s="245"/>
      <c r="AR897" s="246"/>
      <c r="AS897" s="245"/>
      <c r="AT897" s="245"/>
      <c r="AU897" s="245"/>
      <c r="AV897" s="245"/>
      <c r="AW897" s="245"/>
      <c r="AX897" s="246"/>
      <c r="AY897" s="245"/>
      <c r="AZ897" s="245"/>
      <c r="BA897" s="246"/>
      <c r="BB897" s="245"/>
      <c r="BC897" s="245"/>
      <c r="BD897" s="245"/>
      <c r="BE897" s="245"/>
      <c r="BF897" s="245"/>
      <c r="BG897" s="245"/>
      <c r="BH897" s="245"/>
      <c r="BI897" s="245"/>
      <c r="BJ897" s="245"/>
      <c r="BK897" s="245"/>
      <c r="BL897" s="245"/>
      <c r="BM897" s="245"/>
      <c r="BN897" s="245"/>
      <c r="BO897" s="245"/>
      <c r="BP897" s="245"/>
      <c r="BQ897" s="245"/>
      <c r="BR897" s="245"/>
      <c r="BS897" s="245"/>
      <c r="BT897" s="246"/>
      <c r="BU897" s="245"/>
      <c r="BV897" s="245"/>
      <c r="BW897" s="245"/>
      <c r="BX897" s="245"/>
      <c r="BY897" s="245"/>
      <c r="BZ897" s="282"/>
      <c r="CA897" s="245"/>
      <c r="CB897" s="245"/>
      <c r="CC897" s="245"/>
      <c r="CD897" s="245"/>
      <c r="CE897" s="245"/>
      <c r="CF897" s="245"/>
    </row>
    <row r="898">
      <c r="A898" s="245"/>
      <c r="B898" s="245"/>
      <c r="C898" s="245"/>
      <c r="D898" s="246"/>
      <c r="E898" s="245"/>
      <c r="F898" s="245"/>
      <c r="G898" s="245"/>
      <c r="H898" s="245"/>
      <c r="I898" s="245"/>
      <c r="J898" s="245"/>
      <c r="K898" s="265"/>
      <c r="L898" s="245"/>
      <c r="M898" s="245"/>
      <c r="N898" s="245"/>
      <c r="O898" s="245"/>
      <c r="P898" s="245"/>
      <c r="Q898" s="247"/>
      <c r="R898" s="254"/>
      <c r="S898" s="245"/>
      <c r="T898" s="245"/>
      <c r="U898" s="245"/>
      <c r="V898" s="245"/>
      <c r="W898" s="245"/>
      <c r="X898" s="245"/>
      <c r="Y898" s="249"/>
      <c r="Z898" s="276"/>
      <c r="AA898" s="245"/>
      <c r="AB898" s="276"/>
      <c r="AC898" s="276"/>
      <c r="AD898" s="246"/>
      <c r="AE898" s="278"/>
      <c r="AF898" s="370"/>
      <c r="AG898" s="371"/>
      <c r="AH898" s="276"/>
      <c r="AI898" s="245"/>
      <c r="AJ898" s="287"/>
      <c r="AK898" s="278"/>
      <c r="AL898" s="246"/>
      <c r="AM898" s="245"/>
      <c r="AN898" s="245"/>
      <c r="AO898" s="274"/>
      <c r="AP898" s="245"/>
      <c r="AQ898" s="245"/>
      <c r="AR898" s="246"/>
      <c r="AS898" s="245"/>
      <c r="AT898" s="245"/>
      <c r="AU898" s="245"/>
      <c r="AV898" s="245"/>
      <c r="AW898" s="245"/>
      <c r="AX898" s="246"/>
      <c r="AY898" s="245"/>
      <c r="AZ898" s="245"/>
      <c r="BA898" s="246"/>
      <c r="BB898" s="245"/>
      <c r="BC898" s="245"/>
      <c r="BD898" s="245"/>
      <c r="BE898" s="245"/>
      <c r="BF898" s="245"/>
      <c r="BG898" s="245"/>
      <c r="BH898" s="245"/>
      <c r="BI898" s="245"/>
      <c r="BJ898" s="245"/>
      <c r="BK898" s="245"/>
      <c r="BL898" s="245"/>
      <c r="BM898" s="245"/>
      <c r="BN898" s="245"/>
      <c r="BO898" s="245"/>
      <c r="BP898" s="245"/>
      <c r="BQ898" s="245"/>
      <c r="BR898" s="245"/>
      <c r="BS898" s="245"/>
      <c r="BT898" s="246"/>
      <c r="BU898" s="245"/>
      <c r="BV898" s="245"/>
      <c r="BW898" s="245"/>
      <c r="BX898" s="245"/>
      <c r="BY898" s="245"/>
      <c r="BZ898" s="282"/>
      <c r="CA898" s="245"/>
      <c r="CB898" s="245"/>
      <c r="CC898" s="245"/>
      <c r="CD898" s="245"/>
      <c r="CE898" s="245"/>
      <c r="CF898" s="245"/>
    </row>
    <row r="899">
      <c r="A899" s="245"/>
      <c r="B899" s="245"/>
      <c r="C899" s="245"/>
      <c r="D899" s="246"/>
      <c r="E899" s="245"/>
      <c r="F899" s="245"/>
      <c r="G899" s="245"/>
      <c r="H899" s="245"/>
      <c r="I899" s="245"/>
      <c r="J899" s="245"/>
      <c r="K899" s="265"/>
      <c r="L899" s="245"/>
      <c r="M899" s="245"/>
      <c r="N899" s="245"/>
      <c r="O899" s="245"/>
      <c r="P899" s="245"/>
      <c r="Q899" s="247"/>
      <c r="R899" s="254"/>
      <c r="S899" s="245"/>
      <c r="T899" s="245"/>
      <c r="U899" s="245"/>
      <c r="V899" s="245"/>
      <c r="W899" s="245"/>
      <c r="X899" s="245"/>
      <c r="Y899" s="249"/>
      <c r="Z899" s="276"/>
      <c r="AA899" s="245"/>
      <c r="AB899" s="276"/>
      <c r="AC899" s="276"/>
      <c r="AD899" s="246"/>
      <c r="AE899" s="278"/>
      <c r="AF899" s="370"/>
      <c r="AG899" s="371"/>
      <c r="AH899" s="276"/>
      <c r="AI899" s="245"/>
      <c r="AJ899" s="287"/>
      <c r="AK899" s="278"/>
      <c r="AL899" s="246"/>
      <c r="AM899" s="245"/>
      <c r="AN899" s="245"/>
      <c r="AO899" s="274"/>
      <c r="AP899" s="245"/>
      <c r="AQ899" s="245"/>
      <c r="AR899" s="246"/>
      <c r="AS899" s="245"/>
      <c r="AT899" s="245"/>
      <c r="AU899" s="245"/>
      <c r="AV899" s="245"/>
      <c r="AW899" s="245"/>
      <c r="AX899" s="246"/>
      <c r="AY899" s="245"/>
      <c r="AZ899" s="245"/>
      <c r="BA899" s="246"/>
      <c r="BB899" s="245"/>
      <c r="BC899" s="245"/>
      <c r="BD899" s="245"/>
      <c r="BE899" s="245"/>
      <c r="BF899" s="245"/>
      <c r="BG899" s="245"/>
      <c r="BH899" s="245"/>
      <c r="BI899" s="245"/>
      <c r="BJ899" s="245"/>
      <c r="BK899" s="245"/>
      <c r="BL899" s="245"/>
      <c r="BM899" s="245"/>
      <c r="BN899" s="245"/>
      <c r="BO899" s="245"/>
      <c r="BP899" s="245"/>
      <c r="BQ899" s="245"/>
      <c r="BR899" s="245"/>
      <c r="BS899" s="245"/>
      <c r="BT899" s="246"/>
      <c r="BU899" s="245"/>
      <c r="BV899" s="245"/>
      <c r="BW899" s="245"/>
      <c r="BX899" s="245"/>
      <c r="BY899" s="245"/>
      <c r="BZ899" s="282"/>
      <c r="CA899" s="245"/>
      <c r="CB899" s="245"/>
      <c r="CC899" s="245"/>
      <c r="CD899" s="245"/>
      <c r="CE899" s="245"/>
      <c r="CF899" s="245"/>
    </row>
    <row r="900">
      <c r="A900" s="245"/>
      <c r="B900" s="245"/>
      <c r="C900" s="245"/>
      <c r="D900" s="246"/>
      <c r="E900" s="245"/>
      <c r="F900" s="245"/>
      <c r="G900" s="245"/>
      <c r="H900" s="245"/>
      <c r="I900" s="245"/>
      <c r="J900" s="245"/>
      <c r="K900" s="265"/>
      <c r="L900" s="245"/>
      <c r="M900" s="245"/>
      <c r="N900" s="245"/>
      <c r="O900" s="245"/>
      <c r="P900" s="245"/>
      <c r="Q900" s="247"/>
      <c r="R900" s="254"/>
      <c r="S900" s="245"/>
      <c r="T900" s="245"/>
      <c r="U900" s="245"/>
      <c r="V900" s="245"/>
      <c r="W900" s="245"/>
      <c r="X900" s="245"/>
      <c r="Y900" s="249"/>
      <c r="Z900" s="276"/>
      <c r="AA900" s="245"/>
      <c r="AB900" s="276"/>
      <c r="AC900" s="276"/>
      <c r="AD900" s="246"/>
      <c r="AE900" s="278"/>
      <c r="AF900" s="370"/>
      <c r="AG900" s="371"/>
      <c r="AH900" s="276"/>
      <c r="AI900" s="245"/>
      <c r="AJ900" s="287"/>
      <c r="AK900" s="278"/>
      <c r="AL900" s="246"/>
      <c r="AM900" s="245"/>
      <c r="AN900" s="245"/>
      <c r="AO900" s="274"/>
      <c r="AP900" s="245"/>
      <c r="AQ900" s="245"/>
      <c r="AR900" s="246"/>
      <c r="AS900" s="245"/>
      <c r="AT900" s="245"/>
      <c r="AU900" s="245"/>
      <c r="AV900" s="245"/>
      <c r="AW900" s="245"/>
      <c r="AX900" s="246"/>
      <c r="AY900" s="245"/>
      <c r="AZ900" s="245"/>
      <c r="BA900" s="246"/>
      <c r="BB900" s="245"/>
      <c r="BC900" s="245"/>
      <c r="BD900" s="245"/>
      <c r="BE900" s="245"/>
      <c r="BF900" s="245"/>
      <c r="BG900" s="245"/>
      <c r="BH900" s="245"/>
      <c r="BI900" s="245"/>
      <c r="BJ900" s="245"/>
      <c r="BK900" s="245"/>
      <c r="BL900" s="245"/>
      <c r="BM900" s="245"/>
      <c r="BN900" s="245"/>
      <c r="BO900" s="245"/>
      <c r="BP900" s="245"/>
      <c r="BQ900" s="245"/>
      <c r="BR900" s="245"/>
      <c r="BS900" s="245"/>
      <c r="BT900" s="246"/>
      <c r="BU900" s="245"/>
      <c r="BV900" s="245"/>
      <c r="BW900" s="245"/>
      <c r="BX900" s="245"/>
      <c r="BY900" s="245"/>
      <c r="BZ900" s="282"/>
      <c r="CA900" s="245"/>
      <c r="CB900" s="245"/>
      <c r="CC900" s="245"/>
      <c r="CD900" s="245"/>
      <c r="CE900" s="245"/>
      <c r="CF900" s="245"/>
    </row>
    <row r="901">
      <c r="A901" s="245"/>
      <c r="B901" s="245"/>
      <c r="C901" s="245"/>
      <c r="D901" s="246"/>
      <c r="E901" s="245"/>
      <c r="F901" s="245"/>
      <c r="G901" s="245"/>
      <c r="H901" s="245"/>
      <c r="I901" s="245"/>
      <c r="J901" s="245"/>
      <c r="K901" s="265"/>
      <c r="L901" s="245"/>
      <c r="M901" s="245"/>
      <c r="N901" s="245"/>
      <c r="O901" s="245"/>
      <c r="P901" s="245"/>
      <c r="Q901" s="247"/>
      <c r="R901" s="254"/>
      <c r="S901" s="245"/>
      <c r="T901" s="245"/>
      <c r="U901" s="245"/>
      <c r="V901" s="245"/>
      <c r="W901" s="245"/>
      <c r="X901" s="245"/>
      <c r="Y901" s="249"/>
      <c r="Z901" s="276"/>
      <c r="AA901" s="245"/>
      <c r="AB901" s="276"/>
      <c r="AC901" s="276"/>
      <c r="AD901" s="246"/>
      <c r="AE901" s="278"/>
      <c r="AF901" s="370"/>
      <c r="AG901" s="371"/>
      <c r="AH901" s="276"/>
      <c r="AI901" s="245"/>
      <c r="AJ901" s="287"/>
      <c r="AK901" s="278"/>
      <c r="AL901" s="246"/>
      <c r="AM901" s="245"/>
      <c r="AN901" s="245"/>
      <c r="AO901" s="274"/>
      <c r="AP901" s="245"/>
      <c r="AQ901" s="245"/>
      <c r="AR901" s="246"/>
      <c r="AS901" s="245"/>
      <c r="AT901" s="245"/>
      <c r="AU901" s="245"/>
      <c r="AV901" s="245"/>
      <c r="AW901" s="245"/>
      <c r="AX901" s="246"/>
      <c r="AY901" s="245"/>
      <c r="AZ901" s="245"/>
      <c r="BA901" s="246"/>
      <c r="BB901" s="245"/>
      <c r="BC901" s="245"/>
      <c r="BD901" s="245"/>
      <c r="BE901" s="245"/>
      <c r="BF901" s="245"/>
      <c r="BG901" s="245"/>
      <c r="BH901" s="245"/>
      <c r="BI901" s="245"/>
      <c r="BJ901" s="245"/>
      <c r="BK901" s="245"/>
      <c r="BL901" s="245"/>
      <c r="BM901" s="245"/>
      <c r="BN901" s="245"/>
      <c r="BO901" s="245"/>
      <c r="BP901" s="245"/>
      <c r="BQ901" s="245"/>
      <c r="BR901" s="245"/>
      <c r="BS901" s="245"/>
      <c r="BT901" s="246"/>
      <c r="BU901" s="245"/>
      <c r="BV901" s="245"/>
      <c r="BW901" s="245"/>
      <c r="BX901" s="245"/>
      <c r="BY901" s="245"/>
      <c r="BZ901" s="282"/>
      <c r="CA901" s="245"/>
      <c r="CB901" s="245"/>
      <c r="CC901" s="245"/>
      <c r="CD901" s="245"/>
      <c r="CE901" s="245"/>
      <c r="CF901" s="245"/>
    </row>
    <row r="902">
      <c r="A902" s="245"/>
      <c r="B902" s="245"/>
      <c r="C902" s="245"/>
      <c r="D902" s="246"/>
      <c r="E902" s="245"/>
      <c r="F902" s="245"/>
      <c r="G902" s="245"/>
      <c r="H902" s="245"/>
      <c r="I902" s="245"/>
      <c r="J902" s="245"/>
      <c r="K902" s="265"/>
      <c r="L902" s="245"/>
      <c r="M902" s="245"/>
      <c r="N902" s="245"/>
      <c r="O902" s="245"/>
      <c r="P902" s="245"/>
      <c r="Q902" s="247"/>
      <c r="R902" s="254"/>
      <c r="S902" s="245"/>
      <c r="T902" s="245"/>
      <c r="U902" s="245"/>
      <c r="V902" s="245"/>
      <c r="W902" s="245"/>
      <c r="X902" s="245"/>
      <c r="Y902" s="249"/>
      <c r="Z902" s="276"/>
      <c r="AA902" s="245"/>
      <c r="AB902" s="276"/>
      <c r="AC902" s="276"/>
      <c r="AD902" s="246"/>
      <c r="AE902" s="278"/>
      <c r="AF902" s="370"/>
      <c r="AG902" s="371"/>
      <c r="AH902" s="276"/>
      <c r="AI902" s="245"/>
      <c r="AJ902" s="287"/>
      <c r="AK902" s="278"/>
      <c r="AL902" s="246"/>
      <c r="AM902" s="245"/>
      <c r="AN902" s="245"/>
      <c r="AO902" s="274"/>
      <c r="AP902" s="245"/>
      <c r="AQ902" s="245"/>
      <c r="AR902" s="246"/>
      <c r="AS902" s="245"/>
      <c r="AT902" s="245"/>
      <c r="AU902" s="245"/>
      <c r="AV902" s="245"/>
      <c r="AW902" s="245"/>
      <c r="AX902" s="246"/>
      <c r="AY902" s="245"/>
      <c r="AZ902" s="245"/>
      <c r="BA902" s="246"/>
      <c r="BB902" s="245"/>
      <c r="BC902" s="245"/>
      <c r="BD902" s="245"/>
      <c r="BE902" s="245"/>
      <c r="BF902" s="245"/>
      <c r="BG902" s="245"/>
      <c r="BH902" s="245"/>
      <c r="BI902" s="245"/>
      <c r="BJ902" s="245"/>
      <c r="BK902" s="245"/>
      <c r="BL902" s="245"/>
      <c r="BM902" s="245"/>
      <c r="BN902" s="245"/>
      <c r="BO902" s="245"/>
      <c r="BP902" s="245"/>
      <c r="BQ902" s="245"/>
      <c r="BR902" s="245"/>
      <c r="BS902" s="245"/>
      <c r="BT902" s="246"/>
      <c r="BU902" s="245"/>
      <c r="BV902" s="245"/>
      <c r="BW902" s="245"/>
      <c r="BX902" s="245"/>
      <c r="BY902" s="245"/>
      <c r="BZ902" s="282"/>
      <c r="CA902" s="245"/>
      <c r="CB902" s="245"/>
      <c r="CC902" s="245"/>
      <c r="CD902" s="245"/>
      <c r="CE902" s="245"/>
      <c r="CF902" s="245"/>
    </row>
    <row r="903">
      <c r="A903" s="245"/>
      <c r="B903" s="245"/>
      <c r="C903" s="245"/>
      <c r="D903" s="246"/>
      <c r="E903" s="245"/>
      <c r="F903" s="245"/>
      <c r="G903" s="245"/>
      <c r="H903" s="245"/>
      <c r="I903" s="245"/>
      <c r="J903" s="245"/>
      <c r="K903" s="265"/>
      <c r="L903" s="245"/>
      <c r="M903" s="245"/>
      <c r="N903" s="245"/>
      <c r="O903" s="245"/>
      <c r="P903" s="245"/>
      <c r="Q903" s="247"/>
      <c r="R903" s="254"/>
      <c r="S903" s="245"/>
      <c r="T903" s="245"/>
      <c r="U903" s="245"/>
      <c r="V903" s="245"/>
      <c r="W903" s="245"/>
      <c r="X903" s="245"/>
      <c r="Y903" s="249"/>
      <c r="Z903" s="276"/>
      <c r="AA903" s="245"/>
      <c r="AB903" s="276"/>
      <c r="AC903" s="276"/>
      <c r="AD903" s="246"/>
      <c r="AE903" s="278"/>
      <c r="AF903" s="370"/>
      <c r="AG903" s="371"/>
      <c r="AH903" s="276"/>
      <c r="AI903" s="245"/>
      <c r="AJ903" s="287"/>
      <c r="AK903" s="278"/>
      <c r="AL903" s="246"/>
      <c r="AM903" s="245"/>
      <c r="AN903" s="245"/>
      <c r="AO903" s="274"/>
      <c r="AP903" s="245"/>
      <c r="AQ903" s="245"/>
      <c r="AR903" s="246"/>
      <c r="AS903" s="245"/>
      <c r="AT903" s="245"/>
      <c r="AU903" s="245"/>
      <c r="AV903" s="245"/>
      <c r="AW903" s="245"/>
      <c r="AX903" s="246"/>
      <c r="AY903" s="245"/>
      <c r="AZ903" s="245"/>
      <c r="BA903" s="246"/>
      <c r="BB903" s="245"/>
      <c r="BC903" s="245"/>
      <c r="BD903" s="245"/>
      <c r="BE903" s="245"/>
      <c r="BF903" s="245"/>
      <c r="BG903" s="245"/>
      <c r="BH903" s="245"/>
      <c r="BI903" s="245"/>
      <c r="BJ903" s="245"/>
      <c r="BK903" s="245"/>
      <c r="BL903" s="245"/>
      <c r="BM903" s="245"/>
      <c r="BN903" s="245"/>
      <c r="BO903" s="245"/>
      <c r="BP903" s="245"/>
      <c r="BQ903" s="245"/>
      <c r="BR903" s="245"/>
      <c r="BS903" s="245"/>
      <c r="BT903" s="246"/>
      <c r="BU903" s="245"/>
      <c r="BV903" s="245"/>
      <c r="BW903" s="245"/>
      <c r="BX903" s="245"/>
      <c r="BY903" s="245"/>
      <c r="BZ903" s="282"/>
      <c r="CA903" s="245"/>
      <c r="CB903" s="245"/>
      <c r="CC903" s="245"/>
      <c r="CD903" s="245"/>
      <c r="CE903" s="245"/>
      <c r="CF903" s="245"/>
    </row>
    <row r="904">
      <c r="A904" s="245"/>
      <c r="B904" s="245"/>
      <c r="C904" s="245"/>
      <c r="D904" s="246"/>
      <c r="E904" s="245"/>
      <c r="F904" s="245"/>
      <c r="G904" s="245"/>
      <c r="H904" s="245"/>
      <c r="I904" s="245"/>
      <c r="J904" s="245"/>
      <c r="K904" s="265"/>
      <c r="L904" s="245"/>
      <c r="M904" s="245"/>
      <c r="N904" s="245"/>
      <c r="O904" s="245"/>
      <c r="P904" s="245"/>
      <c r="Q904" s="247"/>
      <c r="R904" s="254"/>
      <c r="S904" s="245"/>
      <c r="T904" s="245"/>
      <c r="U904" s="245"/>
      <c r="V904" s="245"/>
      <c r="W904" s="245"/>
      <c r="X904" s="245"/>
      <c r="Y904" s="249"/>
      <c r="Z904" s="276"/>
      <c r="AA904" s="245"/>
      <c r="AB904" s="276"/>
      <c r="AC904" s="276"/>
      <c r="AD904" s="246"/>
      <c r="AE904" s="278"/>
      <c r="AF904" s="370"/>
      <c r="AG904" s="371"/>
      <c r="AH904" s="276"/>
      <c r="AI904" s="245"/>
      <c r="AJ904" s="287"/>
      <c r="AK904" s="278"/>
      <c r="AL904" s="246"/>
      <c r="AM904" s="245"/>
      <c r="AN904" s="245"/>
      <c r="AO904" s="274"/>
      <c r="AP904" s="245"/>
      <c r="AQ904" s="245"/>
      <c r="AR904" s="246"/>
      <c r="AS904" s="245"/>
      <c r="AT904" s="245"/>
      <c r="AU904" s="245"/>
      <c r="AV904" s="245"/>
      <c r="AW904" s="245"/>
      <c r="AX904" s="246"/>
      <c r="AY904" s="245"/>
      <c r="AZ904" s="245"/>
      <c r="BA904" s="246"/>
      <c r="BB904" s="245"/>
      <c r="BC904" s="245"/>
      <c r="BD904" s="245"/>
      <c r="BE904" s="245"/>
      <c r="BF904" s="245"/>
      <c r="BG904" s="245"/>
      <c r="BH904" s="245"/>
      <c r="BI904" s="245"/>
      <c r="BJ904" s="245"/>
      <c r="BK904" s="245"/>
      <c r="BL904" s="245"/>
      <c r="BM904" s="245"/>
      <c r="BN904" s="245"/>
      <c r="BO904" s="245"/>
      <c r="BP904" s="245"/>
      <c r="BQ904" s="245"/>
      <c r="BR904" s="245"/>
      <c r="BS904" s="245"/>
      <c r="BT904" s="246"/>
      <c r="BU904" s="245"/>
      <c r="BV904" s="245"/>
      <c r="BW904" s="245"/>
      <c r="BX904" s="245"/>
      <c r="BY904" s="245"/>
      <c r="BZ904" s="282"/>
      <c r="CA904" s="245"/>
      <c r="CB904" s="245"/>
      <c r="CC904" s="245"/>
      <c r="CD904" s="245"/>
      <c r="CE904" s="245"/>
      <c r="CF904" s="245"/>
    </row>
    <row r="905">
      <c r="A905" s="245"/>
      <c r="B905" s="245"/>
      <c r="C905" s="245"/>
      <c r="D905" s="246"/>
      <c r="E905" s="245"/>
      <c r="F905" s="245"/>
      <c r="G905" s="245"/>
      <c r="H905" s="245"/>
      <c r="I905" s="245"/>
      <c r="J905" s="245"/>
      <c r="K905" s="265"/>
      <c r="L905" s="245"/>
      <c r="M905" s="245"/>
      <c r="N905" s="245"/>
      <c r="O905" s="245"/>
      <c r="P905" s="245"/>
      <c r="Q905" s="247"/>
      <c r="R905" s="254"/>
      <c r="S905" s="245"/>
      <c r="T905" s="245"/>
      <c r="U905" s="245"/>
      <c r="V905" s="245"/>
      <c r="W905" s="245"/>
      <c r="X905" s="245"/>
      <c r="Y905" s="249"/>
      <c r="Z905" s="276"/>
      <c r="AA905" s="245"/>
      <c r="AB905" s="276"/>
      <c r="AC905" s="276"/>
      <c r="AD905" s="246"/>
      <c r="AE905" s="278"/>
      <c r="AF905" s="370"/>
      <c r="AG905" s="371"/>
      <c r="AH905" s="276"/>
      <c r="AI905" s="245"/>
      <c r="AJ905" s="287"/>
      <c r="AK905" s="278"/>
      <c r="AL905" s="246"/>
      <c r="AM905" s="245"/>
      <c r="AN905" s="245"/>
      <c r="AO905" s="274"/>
      <c r="AP905" s="245"/>
      <c r="AQ905" s="245"/>
      <c r="AR905" s="246"/>
      <c r="AS905" s="245"/>
      <c r="AT905" s="245"/>
      <c r="AU905" s="245"/>
      <c r="AV905" s="245"/>
      <c r="AW905" s="245"/>
      <c r="AX905" s="246"/>
      <c r="AY905" s="245"/>
      <c r="AZ905" s="245"/>
      <c r="BA905" s="246"/>
      <c r="BB905" s="245"/>
      <c r="BC905" s="245"/>
      <c r="BD905" s="245"/>
      <c r="BE905" s="245"/>
      <c r="BF905" s="245"/>
      <c r="BG905" s="245"/>
      <c r="BH905" s="245"/>
      <c r="BI905" s="245"/>
      <c r="BJ905" s="245"/>
      <c r="BK905" s="245"/>
      <c r="BL905" s="245"/>
      <c r="BM905" s="245"/>
      <c r="BN905" s="245"/>
      <c r="BO905" s="245"/>
      <c r="BP905" s="245"/>
      <c r="BQ905" s="245"/>
      <c r="BR905" s="245"/>
      <c r="BS905" s="245"/>
      <c r="BT905" s="246"/>
      <c r="BU905" s="245"/>
      <c r="BV905" s="245"/>
      <c r="BW905" s="245"/>
      <c r="BX905" s="245"/>
      <c r="BY905" s="245"/>
      <c r="BZ905" s="282"/>
      <c r="CA905" s="245"/>
      <c r="CB905" s="245"/>
      <c r="CC905" s="245"/>
      <c r="CD905" s="245"/>
      <c r="CE905" s="245"/>
      <c r="CF905" s="245"/>
    </row>
    <row r="906">
      <c r="A906" s="245"/>
      <c r="B906" s="245"/>
      <c r="C906" s="245"/>
      <c r="D906" s="246"/>
      <c r="E906" s="245"/>
      <c r="F906" s="245"/>
      <c r="G906" s="245"/>
      <c r="H906" s="245"/>
      <c r="I906" s="245"/>
      <c r="J906" s="245"/>
      <c r="K906" s="265"/>
      <c r="L906" s="245"/>
      <c r="M906" s="245"/>
      <c r="N906" s="245"/>
      <c r="O906" s="245"/>
      <c r="P906" s="245"/>
      <c r="Q906" s="247"/>
      <c r="R906" s="254"/>
      <c r="S906" s="245"/>
      <c r="T906" s="245"/>
      <c r="U906" s="245"/>
      <c r="V906" s="245"/>
      <c r="W906" s="245"/>
      <c r="X906" s="245"/>
      <c r="Y906" s="249"/>
      <c r="Z906" s="276"/>
      <c r="AA906" s="245"/>
      <c r="AB906" s="276"/>
      <c r="AC906" s="276"/>
      <c r="AD906" s="246"/>
      <c r="AE906" s="278"/>
      <c r="AF906" s="370"/>
      <c r="AG906" s="371"/>
      <c r="AH906" s="276"/>
      <c r="AI906" s="245"/>
      <c r="AJ906" s="287"/>
      <c r="AK906" s="278"/>
      <c r="AL906" s="246"/>
      <c r="AM906" s="245"/>
      <c r="AN906" s="245"/>
      <c r="AO906" s="274"/>
      <c r="AP906" s="245"/>
      <c r="AQ906" s="245"/>
      <c r="AR906" s="246"/>
      <c r="AS906" s="245"/>
      <c r="AT906" s="245"/>
      <c r="AU906" s="245"/>
      <c r="AV906" s="245"/>
      <c r="AW906" s="245"/>
      <c r="AX906" s="246"/>
      <c r="AY906" s="245"/>
      <c r="AZ906" s="245"/>
      <c r="BA906" s="246"/>
      <c r="BB906" s="245"/>
      <c r="BC906" s="245"/>
      <c r="BD906" s="245"/>
      <c r="BE906" s="245"/>
      <c r="BF906" s="245"/>
      <c r="BG906" s="245"/>
      <c r="BH906" s="245"/>
      <c r="BI906" s="245"/>
      <c r="BJ906" s="245"/>
      <c r="BK906" s="245"/>
      <c r="BL906" s="245"/>
      <c r="BM906" s="245"/>
      <c r="BN906" s="245"/>
      <c r="BO906" s="245"/>
      <c r="BP906" s="245"/>
      <c r="BQ906" s="245"/>
      <c r="BR906" s="245"/>
      <c r="BS906" s="245"/>
      <c r="BT906" s="246"/>
      <c r="BU906" s="245"/>
      <c r="BV906" s="245"/>
      <c r="BW906" s="245"/>
      <c r="BX906" s="245"/>
      <c r="BY906" s="245"/>
      <c r="BZ906" s="282"/>
      <c r="CA906" s="245"/>
      <c r="CB906" s="245"/>
      <c r="CC906" s="245"/>
      <c r="CD906" s="245"/>
      <c r="CE906" s="245"/>
      <c r="CF906" s="245"/>
    </row>
    <row r="907">
      <c r="A907" s="245"/>
      <c r="B907" s="245"/>
      <c r="C907" s="245"/>
      <c r="D907" s="246"/>
      <c r="E907" s="245"/>
      <c r="F907" s="245"/>
      <c r="G907" s="245"/>
      <c r="H907" s="245"/>
      <c r="I907" s="245"/>
      <c r="J907" s="245"/>
      <c r="K907" s="265"/>
      <c r="L907" s="245"/>
      <c r="M907" s="245"/>
      <c r="N907" s="245"/>
      <c r="O907" s="245"/>
      <c r="P907" s="245"/>
      <c r="Q907" s="247"/>
      <c r="R907" s="254"/>
      <c r="S907" s="245"/>
      <c r="T907" s="245"/>
      <c r="U907" s="245"/>
      <c r="V907" s="245"/>
      <c r="W907" s="245"/>
      <c r="X907" s="245"/>
      <c r="Y907" s="249"/>
      <c r="Z907" s="276"/>
      <c r="AA907" s="245"/>
      <c r="AB907" s="276"/>
      <c r="AC907" s="276"/>
      <c r="AD907" s="246"/>
      <c r="AE907" s="278"/>
      <c r="AF907" s="370"/>
      <c r="AG907" s="371"/>
      <c r="AH907" s="276"/>
      <c r="AI907" s="245"/>
      <c r="AJ907" s="287"/>
      <c r="AK907" s="278"/>
      <c r="AL907" s="246"/>
      <c r="AM907" s="245"/>
      <c r="AN907" s="245"/>
      <c r="AO907" s="274"/>
      <c r="AP907" s="245"/>
      <c r="AQ907" s="245"/>
      <c r="AR907" s="246"/>
      <c r="AS907" s="245"/>
      <c r="AT907" s="245"/>
      <c r="AU907" s="245"/>
      <c r="AV907" s="245"/>
      <c r="AW907" s="245"/>
      <c r="AX907" s="246"/>
      <c r="AY907" s="245"/>
      <c r="AZ907" s="245"/>
      <c r="BA907" s="246"/>
      <c r="BB907" s="245"/>
      <c r="BC907" s="245"/>
      <c r="BD907" s="245"/>
      <c r="BE907" s="245"/>
      <c r="BF907" s="245"/>
      <c r="BG907" s="245"/>
      <c r="BH907" s="245"/>
      <c r="BI907" s="245"/>
      <c r="BJ907" s="245"/>
      <c r="BK907" s="245"/>
      <c r="BL907" s="245"/>
      <c r="BM907" s="245"/>
      <c r="BN907" s="245"/>
      <c r="BO907" s="245"/>
      <c r="BP907" s="245"/>
      <c r="BQ907" s="245"/>
      <c r="BR907" s="245"/>
      <c r="BS907" s="245"/>
      <c r="BT907" s="246"/>
      <c r="BU907" s="245"/>
      <c r="BV907" s="245"/>
      <c r="BW907" s="245"/>
      <c r="BX907" s="245"/>
      <c r="BY907" s="245"/>
      <c r="BZ907" s="282"/>
      <c r="CA907" s="245"/>
      <c r="CB907" s="245"/>
      <c r="CC907" s="245"/>
      <c r="CD907" s="245"/>
      <c r="CE907" s="245"/>
      <c r="CF907" s="245"/>
    </row>
    <row r="908">
      <c r="A908" s="245"/>
      <c r="B908" s="245"/>
      <c r="C908" s="245"/>
      <c r="D908" s="246"/>
      <c r="E908" s="245"/>
      <c r="F908" s="245"/>
      <c r="G908" s="245"/>
      <c r="H908" s="245"/>
      <c r="I908" s="245"/>
      <c r="J908" s="245"/>
      <c r="K908" s="265"/>
      <c r="L908" s="245"/>
      <c r="M908" s="245"/>
      <c r="N908" s="245"/>
      <c r="O908" s="245"/>
      <c r="P908" s="245"/>
      <c r="Q908" s="247"/>
      <c r="R908" s="254"/>
      <c r="S908" s="245"/>
      <c r="T908" s="245"/>
      <c r="U908" s="245"/>
      <c r="V908" s="245"/>
      <c r="W908" s="245"/>
      <c r="X908" s="245"/>
      <c r="Y908" s="249"/>
      <c r="Z908" s="276"/>
      <c r="AA908" s="245"/>
      <c r="AB908" s="276"/>
      <c r="AC908" s="276"/>
      <c r="AD908" s="246"/>
      <c r="AE908" s="278"/>
      <c r="AF908" s="370"/>
      <c r="AG908" s="371"/>
      <c r="AH908" s="276"/>
      <c r="AI908" s="245"/>
      <c r="AJ908" s="287"/>
      <c r="AK908" s="278"/>
      <c r="AL908" s="246"/>
      <c r="AM908" s="245"/>
      <c r="AN908" s="245"/>
      <c r="AO908" s="274"/>
      <c r="AP908" s="245"/>
      <c r="AQ908" s="245"/>
      <c r="AR908" s="246"/>
      <c r="AS908" s="245"/>
      <c r="AT908" s="245"/>
      <c r="AU908" s="245"/>
      <c r="AV908" s="245"/>
      <c r="AW908" s="245"/>
      <c r="AX908" s="246"/>
      <c r="AY908" s="245"/>
      <c r="AZ908" s="245"/>
      <c r="BA908" s="246"/>
      <c r="BB908" s="245"/>
      <c r="BC908" s="245"/>
      <c r="BD908" s="245"/>
      <c r="BE908" s="245"/>
      <c r="BF908" s="245"/>
      <c r="BG908" s="245"/>
      <c r="BH908" s="245"/>
      <c r="BI908" s="245"/>
      <c r="BJ908" s="245"/>
      <c r="BK908" s="245"/>
      <c r="BL908" s="245"/>
      <c r="BM908" s="245"/>
      <c r="BN908" s="245"/>
      <c r="BO908" s="245"/>
      <c r="BP908" s="245"/>
      <c r="BQ908" s="245"/>
      <c r="BR908" s="245"/>
      <c r="BS908" s="245"/>
      <c r="BT908" s="246"/>
      <c r="BU908" s="245"/>
      <c r="BV908" s="245"/>
      <c r="BW908" s="245"/>
      <c r="BX908" s="245"/>
      <c r="BY908" s="245"/>
      <c r="BZ908" s="282"/>
      <c r="CA908" s="245"/>
      <c r="CB908" s="245"/>
      <c r="CC908" s="245"/>
      <c r="CD908" s="245"/>
      <c r="CE908" s="245"/>
      <c r="CF908" s="245"/>
    </row>
    <row r="909">
      <c r="A909" s="245"/>
      <c r="B909" s="245"/>
      <c r="C909" s="245"/>
      <c r="D909" s="246"/>
      <c r="E909" s="245"/>
      <c r="F909" s="245"/>
      <c r="G909" s="245"/>
      <c r="H909" s="245"/>
      <c r="I909" s="245"/>
      <c r="J909" s="245"/>
      <c r="K909" s="265"/>
      <c r="L909" s="245"/>
      <c r="M909" s="245"/>
      <c r="N909" s="245"/>
      <c r="O909" s="245"/>
      <c r="P909" s="245"/>
      <c r="Q909" s="247"/>
      <c r="R909" s="254"/>
      <c r="S909" s="245"/>
      <c r="T909" s="245"/>
      <c r="U909" s="245"/>
      <c r="V909" s="245"/>
      <c r="W909" s="245"/>
      <c r="X909" s="245"/>
      <c r="Y909" s="249"/>
      <c r="Z909" s="276"/>
      <c r="AA909" s="245"/>
      <c r="AB909" s="276"/>
      <c r="AC909" s="276"/>
      <c r="AD909" s="246"/>
      <c r="AE909" s="278"/>
      <c r="AF909" s="370"/>
      <c r="AG909" s="371"/>
      <c r="AH909" s="276"/>
      <c r="AI909" s="245"/>
      <c r="AJ909" s="287"/>
      <c r="AK909" s="278"/>
      <c r="AL909" s="246"/>
      <c r="AM909" s="245"/>
      <c r="AN909" s="245"/>
      <c r="AO909" s="274"/>
      <c r="AP909" s="245"/>
      <c r="AQ909" s="245"/>
      <c r="AR909" s="246"/>
      <c r="AS909" s="245"/>
      <c r="AT909" s="245"/>
      <c r="AU909" s="245"/>
      <c r="AV909" s="245"/>
      <c r="AW909" s="245"/>
      <c r="AX909" s="246"/>
      <c r="AY909" s="245"/>
      <c r="AZ909" s="245"/>
      <c r="BA909" s="246"/>
      <c r="BB909" s="245"/>
      <c r="BC909" s="245"/>
      <c r="BD909" s="245"/>
      <c r="BE909" s="245"/>
      <c r="BF909" s="245"/>
      <c r="BG909" s="245"/>
      <c r="BH909" s="245"/>
      <c r="BI909" s="245"/>
      <c r="BJ909" s="245"/>
      <c r="BK909" s="245"/>
      <c r="BL909" s="245"/>
      <c r="BM909" s="245"/>
      <c r="BN909" s="245"/>
      <c r="BO909" s="245"/>
      <c r="BP909" s="245"/>
      <c r="BQ909" s="245"/>
      <c r="BR909" s="245"/>
      <c r="BS909" s="245"/>
      <c r="BT909" s="246"/>
      <c r="BU909" s="245"/>
      <c r="BV909" s="245"/>
      <c r="BW909" s="245"/>
      <c r="BX909" s="245"/>
      <c r="BY909" s="245"/>
      <c r="BZ909" s="282"/>
      <c r="CA909" s="245"/>
      <c r="CB909" s="245"/>
      <c r="CC909" s="245"/>
      <c r="CD909" s="245"/>
      <c r="CE909" s="245"/>
      <c r="CF909" s="245"/>
    </row>
    <row r="910">
      <c r="A910" s="245"/>
      <c r="B910" s="245"/>
      <c r="C910" s="245"/>
      <c r="D910" s="246"/>
      <c r="E910" s="245"/>
      <c r="F910" s="245"/>
      <c r="G910" s="245"/>
      <c r="H910" s="245"/>
      <c r="I910" s="245"/>
      <c r="J910" s="245"/>
      <c r="K910" s="265"/>
      <c r="L910" s="245"/>
      <c r="M910" s="245"/>
      <c r="N910" s="245"/>
      <c r="O910" s="245"/>
      <c r="P910" s="245"/>
      <c r="Q910" s="247"/>
      <c r="R910" s="254"/>
      <c r="S910" s="245"/>
      <c r="T910" s="245"/>
      <c r="U910" s="245"/>
      <c r="V910" s="245"/>
      <c r="W910" s="245"/>
      <c r="X910" s="245"/>
      <c r="Y910" s="249"/>
      <c r="Z910" s="276"/>
      <c r="AA910" s="245"/>
      <c r="AB910" s="276"/>
      <c r="AC910" s="276"/>
      <c r="AD910" s="246"/>
      <c r="AE910" s="278"/>
      <c r="AF910" s="370"/>
      <c r="AG910" s="371"/>
      <c r="AH910" s="276"/>
      <c r="AI910" s="245"/>
      <c r="AJ910" s="287"/>
      <c r="AK910" s="278"/>
      <c r="AL910" s="246"/>
      <c r="AM910" s="245"/>
      <c r="AN910" s="245"/>
      <c r="AO910" s="274"/>
      <c r="AP910" s="245"/>
      <c r="AQ910" s="245"/>
      <c r="AR910" s="246"/>
      <c r="AS910" s="245"/>
      <c r="AT910" s="245"/>
      <c r="AU910" s="245"/>
      <c r="AV910" s="245"/>
      <c r="AW910" s="245"/>
      <c r="AX910" s="246"/>
      <c r="AY910" s="245"/>
      <c r="AZ910" s="245"/>
      <c r="BA910" s="246"/>
      <c r="BB910" s="245"/>
      <c r="BC910" s="245"/>
      <c r="BD910" s="245"/>
      <c r="BE910" s="245"/>
      <c r="BF910" s="245"/>
      <c r="BG910" s="245"/>
      <c r="BH910" s="245"/>
      <c r="BI910" s="245"/>
      <c r="BJ910" s="245"/>
      <c r="BK910" s="245"/>
      <c r="BL910" s="245"/>
      <c r="BM910" s="245"/>
      <c r="BN910" s="245"/>
      <c r="BO910" s="245"/>
      <c r="BP910" s="245"/>
      <c r="BQ910" s="245"/>
      <c r="BR910" s="245"/>
      <c r="BS910" s="245"/>
      <c r="BT910" s="246"/>
      <c r="BU910" s="245"/>
      <c r="BV910" s="245"/>
      <c r="BW910" s="245"/>
      <c r="BX910" s="245"/>
      <c r="BY910" s="245"/>
      <c r="BZ910" s="282"/>
      <c r="CA910" s="245"/>
      <c r="CB910" s="245"/>
      <c r="CC910" s="245"/>
      <c r="CD910" s="245"/>
      <c r="CE910" s="245"/>
      <c r="CF910" s="245"/>
    </row>
    <row r="911">
      <c r="A911" s="245"/>
      <c r="B911" s="245"/>
      <c r="C911" s="245"/>
      <c r="D911" s="246"/>
      <c r="E911" s="245"/>
      <c r="F911" s="245"/>
      <c r="G911" s="245"/>
      <c r="H911" s="245"/>
      <c r="I911" s="245"/>
      <c r="J911" s="245"/>
      <c r="K911" s="265"/>
      <c r="L911" s="245"/>
      <c r="M911" s="245"/>
      <c r="N911" s="245"/>
      <c r="O911" s="245"/>
      <c r="P911" s="245"/>
      <c r="Q911" s="247"/>
      <c r="R911" s="254"/>
      <c r="S911" s="245"/>
      <c r="T911" s="245"/>
      <c r="U911" s="245"/>
      <c r="V911" s="245"/>
      <c r="W911" s="245"/>
      <c r="X911" s="245"/>
      <c r="Y911" s="249"/>
      <c r="Z911" s="276"/>
      <c r="AA911" s="245"/>
      <c r="AB911" s="276"/>
      <c r="AC911" s="276"/>
      <c r="AD911" s="246"/>
      <c r="AE911" s="278"/>
      <c r="AF911" s="370"/>
      <c r="AG911" s="371"/>
      <c r="AH911" s="276"/>
      <c r="AI911" s="245"/>
      <c r="AJ911" s="287"/>
      <c r="AK911" s="278"/>
      <c r="AL911" s="246"/>
      <c r="AM911" s="245"/>
      <c r="AN911" s="245"/>
      <c r="AO911" s="274"/>
      <c r="AP911" s="245"/>
      <c r="AQ911" s="245"/>
      <c r="AR911" s="246"/>
      <c r="AS911" s="245"/>
      <c r="AT911" s="245"/>
      <c r="AU911" s="245"/>
      <c r="AV911" s="245"/>
      <c r="AW911" s="245"/>
      <c r="AX911" s="246"/>
      <c r="AY911" s="245"/>
      <c r="AZ911" s="245"/>
      <c r="BA911" s="246"/>
      <c r="BB911" s="245"/>
      <c r="BC911" s="245"/>
      <c r="BD911" s="245"/>
      <c r="BE911" s="245"/>
      <c r="BF911" s="245"/>
      <c r="BG911" s="245"/>
      <c r="BH911" s="245"/>
      <c r="BI911" s="245"/>
      <c r="BJ911" s="245"/>
      <c r="BK911" s="245"/>
      <c r="BL911" s="245"/>
      <c r="BM911" s="245"/>
      <c r="BN911" s="245"/>
      <c r="BO911" s="245"/>
      <c r="BP911" s="245"/>
      <c r="BQ911" s="245"/>
      <c r="BR911" s="245"/>
      <c r="BS911" s="245"/>
      <c r="BT911" s="246"/>
      <c r="BU911" s="245"/>
      <c r="BV911" s="245"/>
      <c r="BW911" s="245"/>
      <c r="BX911" s="245"/>
      <c r="BY911" s="245"/>
      <c r="BZ911" s="282"/>
      <c r="CA911" s="245"/>
      <c r="CB911" s="245"/>
      <c r="CC911" s="245"/>
      <c r="CD911" s="245"/>
      <c r="CE911" s="245"/>
      <c r="CF911" s="245"/>
    </row>
    <row r="912">
      <c r="A912" s="245"/>
      <c r="B912" s="245"/>
      <c r="C912" s="245"/>
      <c r="D912" s="246"/>
      <c r="E912" s="245"/>
      <c r="F912" s="245"/>
      <c r="G912" s="245"/>
      <c r="H912" s="245"/>
      <c r="I912" s="245"/>
      <c r="J912" s="245"/>
      <c r="K912" s="265"/>
      <c r="L912" s="245"/>
      <c r="M912" s="245"/>
      <c r="N912" s="245"/>
      <c r="O912" s="245"/>
      <c r="P912" s="245"/>
      <c r="Q912" s="247"/>
      <c r="R912" s="254"/>
      <c r="S912" s="245"/>
      <c r="T912" s="245"/>
      <c r="U912" s="245"/>
      <c r="V912" s="245"/>
      <c r="W912" s="245"/>
      <c r="X912" s="245"/>
      <c r="Y912" s="249"/>
      <c r="Z912" s="276"/>
      <c r="AA912" s="245"/>
      <c r="AB912" s="276"/>
      <c r="AC912" s="276"/>
      <c r="AD912" s="246"/>
      <c r="AE912" s="278"/>
      <c r="AF912" s="370"/>
      <c r="AG912" s="371"/>
      <c r="AH912" s="276"/>
      <c r="AI912" s="245"/>
      <c r="AJ912" s="287"/>
      <c r="AK912" s="278"/>
      <c r="AL912" s="246"/>
      <c r="AM912" s="245"/>
      <c r="AN912" s="245"/>
      <c r="AO912" s="274"/>
      <c r="AP912" s="245"/>
      <c r="AQ912" s="245"/>
      <c r="AR912" s="246"/>
      <c r="AS912" s="245"/>
      <c r="AT912" s="245"/>
      <c r="AU912" s="245"/>
      <c r="AV912" s="245"/>
      <c r="AW912" s="245"/>
      <c r="AX912" s="246"/>
      <c r="AY912" s="245"/>
      <c r="AZ912" s="245"/>
      <c r="BA912" s="246"/>
      <c r="BB912" s="245"/>
      <c r="BC912" s="245"/>
      <c r="BD912" s="245"/>
      <c r="BE912" s="245"/>
      <c r="BF912" s="245"/>
      <c r="BG912" s="245"/>
      <c r="BH912" s="245"/>
      <c r="BI912" s="245"/>
      <c r="BJ912" s="245"/>
      <c r="BK912" s="245"/>
      <c r="BL912" s="245"/>
      <c r="BM912" s="245"/>
      <c r="BN912" s="245"/>
      <c r="BO912" s="245"/>
      <c r="BP912" s="245"/>
      <c r="BQ912" s="245"/>
      <c r="BR912" s="245"/>
      <c r="BS912" s="245"/>
      <c r="BT912" s="246"/>
      <c r="BU912" s="245"/>
      <c r="BV912" s="245"/>
      <c r="BW912" s="245"/>
      <c r="BX912" s="245"/>
      <c r="BY912" s="245"/>
      <c r="BZ912" s="282"/>
      <c r="CA912" s="245"/>
      <c r="CB912" s="245"/>
      <c r="CC912" s="245"/>
      <c r="CD912" s="245"/>
      <c r="CE912" s="245"/>
      <c r="CF912" s="245"/>
    </row>
    <row r="913">
      <c r="A913" s="245"/>
      <c r="B913" s="245"/>
      <c r="C913" s="245"/>
      <c r="D913" s="246"/>
      <c r="E913" s="245"/>
      <c r="F913" s="245"/>
      <c r="G913" s="245"/>
      <c r="H913" s="245"/>
      <c r="I913" s="245"/>
      <c r="J913" s="245"/>
      <c r="K913" s="265"/>
      <c r="L913" s="245"/>
      <c r="M913" s="245"/>
      <c r="N913" s="245"/>
      <c r="O913" s="245"/>
      <c r="P913" s="245"/>
      <c r="Q913" s="247"/>
      <c r="R913" s="254"/>
      <c r="S913" s="245"/>
      <c r="T913" s="245"/>
      <c r="U913" s="245"/>
      <c r="V913" s="245"/>
      <c r="W913" s="245"/>
      <c r="X913" s="245"/>
      <c r="Y913" s="249"/>
      <c r="Z913" s="276"/>
      <c r="AA913" s="245"/>
      <c r="AB913" s="276"/>
      <c r="AC913" s="276"/>
      <c r="AD913" s="246"/>
      <c r="AE913" s="278"/>
      <c r="AF913" s="370"/>
      <c r="AG913" s="371"/>
      <c r="AH913" s="276"/>
      <c r="AI913" s="245"/>
      <c r="AJ913" s="287"/>
      <c r="AK913" s="278"/>
      <c r="AL913" s="246"/>
      <c r="AM913" s="245"/>
      <c r="AN913" s="245"/>
      <c r="AO913" s="274"/>
      <c r="AP913" s="245"/>
      <c r="AQ913" s="245"/>
      <c r="AR913" s="246"/>
      <c r="AS913" s="245"/>
      <c r="AT913" s="245"/>
      <c r="AU913" s="245"/>
      <c r="AV913" s="245"/>
      <c r="AW913" s="245"/>
      <c r="AX913" s="246"/>
      <c r="AY913" s="245"/>
      <c r="AZ913" s="245"/>
      <c r="BA913" s="246"/>
      <c r="BB913" s="245"/>
      <c r="BC913" s="245"/>
      <c r="BD913" s="245"/>
      <c r="BE913" s="245"/>
      <c r="BF913" s="245"/>
      <c r="BG913" s="245"/>
      <c r="BH913" s="245"/>
      <c r="BI913" s="245"/>
      <c r="BJ913" s="245"/>
      <c r="BK913" s="245"/>
      <c r="BL913" s="245"/>
      <c r="BM913" s="245"/>
      <c r="BN913" s="245"/>
      <c r="BO913" s="245"/>
      <c r="BP913" s="245"/>
      <c r="BQ913" s="245"/>
      <c r="BR913" s="245"/>
      <c r="BS913" s="245"/>
      <c r="BT913" s="246"/>
      <c r="BU913" s="245"/>
      <c r="BV913" s="245"/>
      <c r="BW913" s="245"/>
      <c r="BX913" s="245"/>
      <c r="BY913" s="245"/>
      <c r="BZ913" s="282"/>
      <c r="CA913" s="245"/>
      <c r="CB913" s="245"/>
      <c r="CC913" s="245"/>
      <c r="CD913" s="245"/>
      <c r="CE913" s="245"/>
      <c r="CF913" s="245"/>
    </row>
    <row r="914">
      <c r="A914" s="245"/>
      <c r="B914" s="245"/>
      <c r="C914" s="245"/>
      <c r="D914" s="246"/>
      <c r="E914" s="245"/>
      <c r="F914" s="245"/>
      <c r="G914" s="245"/>
      <c r="H914" s="245"/>
      <c r="I914" s="245"/>
      <c r="J914" s="245"/>
      <c r="K914" s="265"/>
      <c r="L914" s="245"/>
      <c r="M914" s="245"/>
      <c r="N914" s="245"/>
      <c r="O914" s="245"/>
      <c r="P914" s="245"/>
      <c r="Q914" s="247"/>
      <c r="R914" s="254"/>
      <c r="S914" s="245"/>
      <c r="T914" s="245"/>
      <c r="U914" s="245"/>
      <c r="V914" s="245"/>
      <c r="W914" s="245"/>
      <c r="X914" s="245"/>
      <c r="Y914" s="249"/>
      <c r="Z914" s="276"/>
      <c r="AA914" s="245"/>
      <c r="AB914" s="276"/>
      <c r="AC914" s="276"/>
      <c r="AD914" s="246"/>
      <c r="AE914" s="278"/>
      <c r="AF914" s="370"/>
      <c r="AG914" s="371"/>
      <c r="AH914" s="276"/>
      <c r="AI914" s="245"/>
      <c r="AJ914" s="287"/>
      <c r="AK914" s="278"/>
      <c r="AL914" s="246"/>
      <c r="AM914" s="245"/>
      <c r="AN914" s="245"/>
      <c r="AO914" s="274"/>
      <c r="AP914" s="245"/>
      <c r="AQ914" s="245"/>
      <c r="AR914" s="246"/>
      <c r="AS914" s="245"/>
      <c r="AT914" s="245"/>
      <c r="AU914" s="245"/>
      <c r="AV914" s="245"/>
      <c r="AW914" s="245"/>
      <c r="AX914" s="246"/>
      <c r="AY914" s="245"/>
      <c r="AZ914" s="245"/>
      <c r="BA914" s="246"/>
      <c r="BB914" s="245"/>
      <c r="BC914" s="245"/>
      <c r="BD914" s="245"/>
      <c r="BE914" s="245"/>
      <c r="BF914" s="245"/>
      <c r="BG914" s="245"/>
      <c r="BH914" s="245"/>
      <c r="BI914" s="245"/>
      <c r="BJ914" s="245"/>
      <c r="BK914" s="245"/>
      <c r="BL914" s="245"/>
      <c r="BM914" s="245"/>
      <c r="BN914" s="245"/>
      <c r="BO914" s="245"/>
      <c r="BP914" s="245"/>
      <c r="BQ914" s="245"/>
      <c r="BR914" s="245"/>
      <c r="BS914" s="245"/>
      <c r="BT914" s="246"/>
      <c r="BU914" s="245"/>
      <c r="BV914" s="245"/>
      <c r="BW914" s="245"/>
      <c r="BX914" s="245"/>
      <c r="BY914" s="245"/>
      <c r="BZ914" s="282"/>
      <c r="CA914" s="245"/>
      <c r="CB914" s="245"/>
      <c r="CC914" s="245"/>
      <c r="CD914" s="245"/>
      <c r="CE914" s="245"/>
      <c r="CF914" s="245"/>
    </row>
    <row r="915">
      <c r="A915" s="245"/>
      <c r="B915" s="245"/>
      <c r="C915" s="245"/>
      <c r="D915" s="246"/>
      <c r="E915" s="245"/>
      <c r="F915" s="245"/>
      <c r="G915" s="245"/>
      <c r="H915" s="245"/>
      <c r="I915" s="245"/>
      <c r="J915" s="245"/>
      <c r="K915" s="265"/>
      <c r="L915" s="245"/>
      <c r="M915" s="245"/>
      <c r="N915" s="245"/>
      <c r="O915" s="245"/>
      <c r="P915" s="245"/>
      <c r="Q915" s="247"/>
      <c r="R915" s="254"/>
      <c r="S915" s="245"/>
      <c r="T915" s="245"/>
      <c r="U915" s="245"/>
      <c r="V915" s="245"/>
      <c r="W915" s="245"/>
      <c r="X915" s="245"/>
      <c r="Y915" s="249"/>
      <c r="Z915" s="276"/>
      <c r="AA915" s="245"/>
      <c r="AB915" s="276"/>
      <c r="AC915" s="276"/>
      <c r="AD915" s="246"/>
      <c r="AE915" s="278"/>
      <c r="AF915" s="370"/>
      <c r="AG915" s="371"/>
      <c r="AH915" s="276"/>
      <c r="AI915" s="245"/>
      <c r="AJ915" s="287"/>
      <c r="AK915" s="278"/>
      <c r="AL915" s="246"/>
      <c r="AM915" s="245"/>
      <c r="AN915" s="245"/>
      <c r="AO915" s="274"/>
      <c r="AP915" s="245"/>
      <c r="AQ915" s="245"/>
      <c r="AR915" s="246"/>
      <c r="AS915" s="245"/>
      <c r="AT915" s="245"/>
      <c r="AU915" s="245"/>
      <c r="AV915" s="245"/>
      <c r="AW915" s="245"/>
      <c r="AX915" s="246"/>
      <c r="AY915" s="245"/>
      <c r="AZ915" s="245"/>
      <c r="BA915" s="246"/>
      <c r="BB915" s="245"/>
      <c r="BC915" s="245"/>
      <c r="BD915" s="245"/>
      <c r="BE915" s="245"/>
      <c r="BF915" s="245"/>
      <c r="BG915" s="245"/>
      <c r="BH915" s="245"/>
      <c r="BI915" s="245"/>
      <c r="BJ915" s="245"/>
      <c r="BK915" s="245"/>
      <c r="BL915" s="245"/>
      <c r="BM915" s="245"/>
      <c r="BN915" s="245"/>
      <c r="BO915" s="245"/>
      <c r="BP915" s="245"/>
      <c r="BQ915" s="245"/>
      <c r="BR915" s="245"/>
      <c r="BS915" s="245"/>
      <c r="BT915" s="246"/>
      <c r="BU915" s="245"/>
      <c r="BV915" s="245"/>
      <c r="BW915" s="245"/>
      <c r="BX915" s="245"/>
      <c r="BY915" s="245"/>
      <c r="BZ915" s="282"/>
      <c r="CA915" s="245"/>
      <c r="CB915" s="245"/>
      <c r="CC915" s="245"/>
      <c r="CD915" s="245"/>
      <c r="CE915" s="245"/>
      <c r="CF915" s="245"/>
    </row>
    <row r="916">
      <c r="A916" s="245"/>
      <c r="B916" s="245"/>
      <c r="C916" s="245"/>
      <c r="D916" s="246"/>
      <c r="E916" s="245"/>
      <c r="F916" s="245"/>
      <c r="G916" s="245"/>
      <c r="H916" s="245"/>
      <c r="I916" s="245"/>
      <c r="J916" s="245"/>
      <c r="K916" s="265"/>
      <c r="L916" s="245"/>
      <c r="M916" s="245"/>
      <c r="N916" s="245"/>
      <c r="O916" s="245"/>
      <c r="P916" s="245"/>
      <c r="Q916" s="247"/>
      <c r="R916" s="254"/>
      <c r="S916" s="245"/>
      <c r="T916" s="245"/>
      <c r="U916" s="245"/>
      <c r="V916" s="245"/>
      <c r="W916" s="245"/>
      <c r="X916" s="245"/>
      <c r="Y916" s="249"/>
      <c r="Z916" s="276"/>
      <c r="AA916" s="245"/>
      <c r="AB916" s="276"/>
      <c r="AC916" s="276"/>
      <c r="AD916" s="246"/>
      <c r="AE916" s="278"/>
      <c r="AF916" s="370"/>
      <c r="AG916" s="371"/>
      <c r="AH916" s="276"/>
      <c r="AI916" s="245"/>
      <c r="AJ916" s="287"/>
      <c r="AK916" s="278"/>
      <c r="AL916" s="246"/>
      <c r="AM916" s="245"/>
      <c r="AN916" s="245"/>
      <c r="AO916" s="274"/>
      <c r="AP916" s="245"/>
      <c r="AQ916" s="245"/>
      <c r="AR916" s="246"/>
      <c r="AS916" s="245"/>
      <c r="AT916" s="245"/>
      <c r="AU916" s="245"/>
      <c r="AV916" s="245"/>
      <c r="AW916" s="245"/>
      <c r="AX916" s="246"/>
      <c r="AY916" s="245"/>
      <c r="AZ916" s="245"/>
      <c r="BA916" s="246"/>
      <c r="BB916" s="245"/>
      <c r="BC916" s="245"/>
      <c r="BD916" s="245"/>
      <c r="BE916" s="245"/>
      <c r="BF916" s="245"/>
      <c r="BG916" s="245"/>
      <c r="BH916" s="245"/>
      <c r="BI916" s="245"/>
      <c r="BJ916" s="245"/>
      <c r="BK916" s="245"/>
      <c r="BL916" s="245"/>
      <c r="BM916" s="245"/>
      <c r="BN916" s="245"/>
      <c r="BO916" s="245"/>
      <c r="BP916" s="245"/>
      <c r="BQ916" s="245"/>
      <c r="BR916" s="245"/>
      <c r="BS916" s="245"/>
      <c r="BT916" s="246"/>
      <c r="BU916" s="245"/>
      <c r="BV916" s="245"/>
      <c r="BW916" s="245"/>
      <c r="BX916" s="245"/>
      <c r="BY916" s="245"/>
      <c r="BZ916" s="282"/>
      <c r="CA916" s="245"/>
      <c r="CB916" s="245"/>
      <c r="CC916" s="245"/>
      <c r="CD916" s="245"/>
      <c r="CE916" s="245"/>
      <c r="CF916" s="245"/>
    </row>
    <row r="917">
      <c r="A917" s="245"/>
      <c r="B917" s="245"/>
      <c r="C917" s="245"/>
      <c r="D917" s="246"/>
      <c r="E917" s="245"/>
      <c r="F917" s="245"/>
      <c r="G917" s="245"/>
      <c r="H917" s="245"/>
      <c r="I917" s="245"/>
      <c r="J917" s="245"/>
      <c r="K917" s="265"/>
      <c r="L917" s="245"/>
      <c r="M917" s="245"/>
      <c r="N917" s="245"/>
      <c r="O917" s="245"/>
      <c r="P917" s="245"/>
      <c r="Q917" s="247"/>
      <c r="R917" s="254"/>
      <c r="S917" s="245"/>
      <c r="T917" s="245"/>
      <c r="U917" s="245"/>
      <c r="V917" s="245"/>
      <c r="W917" s="245"/>
      <c r="X917" s="245"/>
      <c r="Y917" s="249"/>
      <c r="Z917" s="276"/>
      <c r="AA917" s="245"/>
      <c r="AB917" s="276"/>
      <c r="AC917" s="276"/>
      <c r="AD917" s="246"/>
      <c r="AE917" s="278"/>
      <c r="AF917" s="370"/>
      <c r="AG917" s="371"/>
      <c r="AH917" s="276"/>
      <c r="AI917" s="245"/>
      <c r="AJ917" s="287"/>
      <c r="AK917" s="278"/>
      <c r="AL917" s="246"/>
      <c r="AM917" s="245"/>
      <c r="AN917" s="245"/>
      <c r="AO917" s="274"/>
      <c r="AP917" s="245"/>
      <c r="AQ917" s="245"/>
      <c r="AR917" s="246"/>
      <c r="AS917" s="245"/>
      <c r="AT917" s="245"/>
      <c r="AU917" s="245"/>
      <c r="AV917" s="245"/>
      <c r="AW917" s="245"/>
      <c r="AX917" s="246"/>
      <c r="AY917" s="245"/>
      <c r="AZ917" s="245"/>
      <c r="BA917" s="246"/>
      <c r="BB917" s="245"/>
      <c r="BC917" s="245"/>
      <c r="BD917" s="245"/>
      <c r="BE917" s="245"/>
      <c r="BF917" s="245"/>
      <c r="BG917" s="245"/>
      <c r="BH917" s="245"/>
      <c r="BI917" s="245"/>
      <c r="BJ917" s="245"/>
      <c r="BK917" s="245"/>
      <c r="BL917" s="245"/>
      <c r="BM917" s="245"/>
      <c r="BN917" s="245"/>
      <c r="BO917" s="245"/>
      <c r="BP917" s="245"/>
      <c r="BQ917" s="245"/>
      <c r="BR917" s="245"/>
      <c r="BS917" s="245"/>
      <c r="BT917" s="246"/>
      <c r="BU917" s="245"/>
      <c r="BV917" s="245"/>
      <c r="BW917" s="245"/>
      <c r="BX917" s="245"/>
      <c r="BY917" s="245"/>
      <c r="BZ917" s="282"/>
      <c r="CA917" s="245"/>
      <c r="CB917" s="245"/>
      <c r="CC917" s="245"/>
      <c r="CD917" s="245"/>
      <c r="CE917" s="245"/>
      <c r="CF917" s="245"/>
    </row>
    <row r="918">
      <c r="A918" s="245"/>
      <c r="B918" s="245"/>
      <c r="C918" s="245"/>
      <c r="D918" s="246"/>
      <c r="E918" s="245"/>
      <c r="F918" s="245"/>
      <c r="G918" s="245"/>
      <c r="H918" s="245"/>
      <c r="I918" s="245"/>
      <c r="J918" s="245"/>
      <c r="K918" s="265"/>
      <c r="L918" s="245"/>
      <c r="M918" s="245"/>
      <c r="N918" s="245"/>
      <c r="O918" s="245"/>
      <c r="P918" s="245"/>
      <c r="Q918" s="247"/>
      <c r="R918" s="254"/>
      <c r="S918" s="245"/>
      <c r="T918" s="245"/>
      <c r="U918" s="245"/>
      <c r="V918" s="245"/>
      <c r="W918" s="245"/>
      <c r="X918" s="245"/>
      <c r="Y918" s="249"/>
      <c r="Z918" s="276"/>
      <c r="AA918" s="245"/>
      <c r="AB918" s="276"/>
      <c r="AC918" s="276"/>
      <c r="AD918" s="246"/>
      <c r="AE918" s="278"/>
      <c r="AF918" s="370"/>
      <c r="AG918" s="371"/>
      <c r="AH918" s="276"/>
      <c r="AI918" s="245"/>
      <c r="AJ918" s="287"/>
      <c r="AK918" s="278"/>
      <c r="AL918" s="246"/>
      <c r="AM918" s="245"/>
      <c r="AN918" s="245"/>
      <c r="AO918" s="274"/>
      <c r="AP918" s="245"/>
      <c r="AQ918" s="245"/>
      <c r="AR918" s="246"/>
      <c r="AS918" s="245"/>
      <c r="AT918" s="245"/>
      <c r="AU918" s="245"/>
      <c r="AV918" s="245"/>
      <c r="AW918" s="245"/>
      <c r="AX918" s="246"/>
      <c r="AY918" s="245"/>
      <c r="AZ918" s="245"/>
      <c r="BA918" s="246"/>
      <c r="BB918" s="245"/>
      <c r="BC918" s="245"/>
      <c r="BD918" s="245"/>
      <c r="BE918" s="245"/>
      <c r="BF918" s="245"/>
      <c r="BG918" s="245"/>
      <c r="BH918" s="245"/>
      <c r="BI918" s="245"/>
      <c r="BJ918" s="245"/>
      <c r="BK918" s="245"/>
      <c r="BL918" s="245"/>
      <c r="BM918" s="245"/>
      <c r="BN918" s="245"/>
      <c r="BO918" s="245"/>
      <c r="BP918" s="245"/>
      <c r="BQ918" s="245"/>
      <c r="BR918" s="245"/>
      <c r="BS918" s="245"/>
      <c r="BT918" s="246"/>
      <c r="BU918" s="245"/>
      <c r="BV918" s="245"/>
      <c r="BW918" s="245"/>
      <c r="BX918" s="245"/>
      <c r="BY918" s="245"/>
      <c r="BZ918" s="282"/>
      <c r="CA918" s="245"/>
      <c r="CB918" s="245"/>
      <c r="CC918" s="245"/>
      <c r="CD918" s="245"/>
      <c r="CE918" s="245"/>
      <c r="CF918" s="245"/>
    </row>
    <row r="919">
      <c r="A919" s="245"/>
      <c r="B919" s="245"/>
      <c r="C919" s="245"/>
      <c r="D919" s="246"/>
      <c r="E919" s="245"/>
      <c r="F919" s="245"/>
      <c r="G919" s="245"/>
      <c r="H919" s="245"/>
      <c r="I919" s="245"/>
      <c r="J919" s="245"/>
      <c r="K919" s="265"/>
      <c r="L919" s="245"/>
      <c r="M919" s="245"/>
      <c r="N919" s="245"/>
      <c r="O919" s="245"/>
      <c r="P919" s="245"/>
      <c r="Q919" s="247"/>
      <c r="R919" s="254"/>
      <c r="S919" s="245"/>
      <c r="T919" s="245"/>
      <c r="U919" s="245"/>
      <c r="V919" s="245"/>
      <c r="W919" s="245"/>
      <c r="X919" s="245"/>
      <c r="Y919" s="249"/>
      <c r="Z919" s="276"/>
      <c r="AA919" s="245"/>
      <c r="AB919" s="276"/>
      <c r="AC919" s="276"/>
      <c r="AD919" s="246"/>
      <c r="AE919" s="278"/>
      <c r="AF919" s="370"/>
      <c r="AG919" s="371"/>
      <c r="AH919" s="276"/>
      <c r="AI919" s="245"/>
      <c r="AJ919" s="287"/>
      <c r="AK919" s="278"/>
      <c r="AL919" s="246"/>
      <c r="AM919" s="245"/>
      <c r="AN919" s="245"/>
      <c r="AO919" s="274"/>
      <c r="AP919" s="245"/>
      <c r="AQ919" s="245"/>
      <c r="AR919" s="246"/>
      <c r="AS919" s="245"/>
      <c r="AT919" s="245"/>
      <c r="AU919" s="245"/>
      <c r="AV919" s="245"/>
      <c r="AW919" s="245"/>
      <c r="AX919" s="246"/>
      <c r="AY919" s="245"/>
      <c r="AZ919" s="245"/>
      <c r="BA919" s="246"/>
      <c r="BB919" s="245"/>
      <c r="BC919" s="245"/>
      <c r="BD919" s="245"/>
      <c r="BE919" s="245"/>
      <c r="BF919" s="245"/>
      <c r="BG919" s="245"/>
      <c r="BH919" s="245"/>
      <c r="BI919" s="245"/>
      <c r="BJ919" s="245"/>
      <c r="BK919" s="245"/>
      <c r="BL919" s="245"/>
      <c r="BM919" s="245"/>
      <c r="BN919" s="245"/>
      <c r="BO919" s="245"/>
      <c r="BP919" s="245"/>
      <c r="BQ919" s="245"/>
      <c r="BR919" s="245"/>
      <c r="BS919" s="245"/>
      <c r="BT919" s="246"/>
      <c r="BU919" s="245"/>
      <c r="BV919" s="245"/>
      <c r="BW919" s="245"/>
      <c r="BX919" s="245"/>
      <c r="BY919" s="245"/>
      <c r="BZ919" s="282"/>
      <c r="CA919" s="245"/>
      <c r="CB919" s="245"/>
      <c r="CC919" s="245"/>
      <c r="CD919" s="245"/>
      <c r="CE919" s="245"/>
      <c r="CF919" s="245"/>
    </row>
    <row r="920">
      <c r="A920" s="245"/>
      <c r="B920" s="245"/>
      <c r="C920" s="245"/>
      <c r="D920" s="246"/>
      <c r="E920" s="245"/>
      <c r="F920" s="245"/>
      <c r="G920" s="245"/>
      <c r="H920" s="245"/>
      <c r="I920" s="245"/>
      <c r="J920" s="245"/>
      <c r="K920" s="265"/>
      <c r="L920" s="245"/>
      <c r="M920" s="245"/>
      <c r="N920" s="245"/>
      <c r="O920" s="245"/>
      <c r="P920" s="245"/>
      <c r="Q920" s="247"/>
      <c r="R920" s="254"/>
      <c r="S920" s="245"/>
      <c r="T920" s="245"/>
      <c r="U920" s="245"/>
      <c r="V920" s="245"/>
      <c r="W920" s="245"/>
      <c r="X920" s="245"/>
      <c r="Y920" s="249"/>
      <c r="Z920" s="276"/>
      <c r="AA920" s="245"/>
      <c r="AB920" s="276"/>
      <c r="AC920" s="276"/>
      <c r="AD920" s="246"/>
      <c r="AE920" s="278"/>
      <c r="AF920" s="370"/>
      <c r="AG920" s="371"/>
      <c r="AH920" s="276"/>
      <c r="AI920" s="245"/>
      <c r="AJ920" s="287"/>
      <c r="AK920" s="278"/>
      <c r="AL920" s="246"/>
      <c r="AM920" s="245"/>
      <c r="AN920" s="245"/>
      <c r="AO920" s="274"/>
      <c r="AP920" s="245"/>
      <c r="AQ920" s="245"/>
      <c r="AR920" s="246"/>
      <c r="AS920" s="245"/>
      <c r="AT920" s="245"/>
      <c r="AU920" s="245"/>
      <c r="AV920" s="245"/>
      <c r="AW920" s="245"/>
      <c r="AX920" s="246"/>
      <c r="AY920" s="245"/>
      <c r="AZ920" s="245"/>
      <c r="BA920" s="246"/>
      <c r="BB920" s="245"/>
      <c r="BC920" s="245"/>
      <c r="BD920" s="245"/>
      <c r="BE920" s="245"/>
      <c r="BF920" s="245"/>
      <c r="BG920" s="245"/>
      <c r="BH920" s="245"/>
      <c r="BI920" s="245"/>
      <c r="BJ920" s="245"/>
      <c r="BK920" s="245"/>
      <c r="BL920" s="245"/>
      <c r="BM920" s="245"/>
      <c r="BN920" s="245"/>
      <c r="BO920" s="245"/>
      <c r="BP920" s="245"/>
      <c r="BQ920" s="245"/>
      <c r="BR920" s="245"/>
      <c r="BS920" s="245"/>
      <c r="BT920" s="246"/>
      <c r="BU920" s="245"/>
      <c r="BV920" s="245"/>
      <c r="BW920" s="245"/>
      <c r="BX920" s="245"/>
      <c r="BY920" s="245"/>
      <c r="BZ920" s="282"/>
      <c r="CA920" s="245"/>
      <c r="CB920" s="245"/>
      <c r="CC920" s="245"/>
      <c r="CD920" s="245"/>
      <c r="CE920" s="245"/>
      <c r="CF920" s="245"/>
    </row>
    <row r="921">
      <c r="A921" s="245"/>
      <c r="B921" s="245"/>
      <c r="C921" s="245"/>
      <c r="D921" s="246"/>
      <c r="E921" s="245"/>
      <c r="F921" s="245"/>
      <c r="G921" s="245"/>
      <c r="H921" s="245"/>
      <c r="I921" s="245"/>
      <c r="J921" s="245"/>
      <c r="K921" s="265"/>
      <c r="L921" s="245"/>
      <c r="M921" s="245"/>
      <c r="N921" s="245"/>
      <c r="O921" s="245"/>
      <c r="P921" s="245"/>
      <c r="Q921" s="247"/>
      <c r="R921" s="254"/>
      <c r="S921" s="245"/>
      <c r="T921" s="245"/>
      <c r="U921" s="245"/>
      <c r="V921" s="245"/>
      <c r="W921" s="245"/>
      <c r="X921" s="245"/>
      <c r="Y921" s="249"/>
      <c r="Z921" s="276"/>
      <c r="AA921" s="245"/>
      <c r="AB921" s="276"/>
      <c r="AC921" s="276"/>
      <c r="AD921" s="246"/>
      <c r="AE921" s="278"/>
      <c r="AF921" s="370"/>
      <c r="AG921" s="371"/>
      <c r="AH921" s="276"/>
      <c r="AI921" s="245"/>
      <c r="AJ921" s="287"/>
      <c r="AK921" s="278"/>
      <c r="AL921" s="246"/>
      <c r="AM921" s="245"/>
      <c r="AN921" s="245"/>
      <c r="AO921" s="274"/>
      <c r="AP921" s="245"/>
      <c r="AQ921" s="245"/>
      <c r="AR921" s="246"/>
      <c r="AS921" s="245"/>
      <c r="AT921" s="245"/>
      <c r="AU921" s="245"/>
      <c r="AV921" s="245"/>
      <c r="AW921" s="245"/>
      <c r="AX921" s="246"/>
      <c r="AY921" s="245"/>
      <c r="AZ921" s="245"/>
      <c r="BA921" s="246"/>
      <c r="BB921" s="245"/>
      <c r="BC921" s="245"/>
      <c r="BD921" s="245"/>
      <c r="BE921" s="245"/>
      <c r="BF921" s="245"/>
      <c r="BG921" s="245"/>
      <c r="BH921" s="245"/>
      <c r="BI921" s="245"/>
      <c r="BJ921" s="245"/>
      <c r="BK921" s="245"/>
      <c r="BL921" s="245"/>
      <c r="BM921" s="245"/>
      <c r="BN921" s="245"/>
      <c r="BO921" s="245"/>
      <c r="BP921" s="245"/>
      <c r="BQ921" s="245"/>
      <c r="BR921" s="245"/>
      <c r="BS921" s="245"/>
      <c r="BT921" s="246"/>
      <c r="BU921" s="245"/>
      <c r="BV921" s="245"/>
      <c r="BW921" s="245"/>
      <c r="BX921" s="245"/>
      <c r="BY921" s="245"/>
      <c r="BZ921" s="282"/>
      <c r="CA921" s="245"/>
      <c r="CB921" s="245"/>
      <c r="CC921" s="245"/>
      <c r="CD921" s="245"/>
      <c r="CE921" s="245"/>
      <c r="CF921" s="245"/>
    </row>
    <row r="922">
      <c r="A922" s="245"/>
      <c r="B922" s="245"/>
      <c r="C922" s="245"/>
      <c r="D922" s="246"/>
      <c r="E922" s="245"/>
      <c r="F922" s="245"/>
      <c r="G922" s="245"/>
      <c r="H922" s="245"/>
      <c r="I922" s="245"/>
      <c r="J922" s="245"/>
      <c r="K922" s="265"/>
      <c r="L922" s="245"/>
      <c r="M922" s="245"/>
      <c r="N922" s="245"/>
      <c r="O922" s="245"/>
      <c r="P922" s="245"/>
      <c r="Q922" s="247"/>
      <c r="R922" s="254"/>
      <c r="S922" s="245"/>
      <c r="T922" s="245"/>
      <c r="U922" s="245"/>
      <c r="V922" s="245"/>
      <c r="W922" s="245"/>
      <c r="X922" s="245"/>
      <c r="Y922" s="249"/>
      <c r="Z922" s="276"/>
      <c r="AA922" s="245"/>
      <c r="AB922" s="276"/>
      <c r="AC922" s="276"/>
      <c r="AD922" s="246"/>
      <c r="AE922" s="278"/>
      <c r="AF922" s="370"/>
      <c r="AG922" s="371"/>
      <c r="AH922" s="276"/>
      <c r="AI922" s="245"/>
      <c r="AJ922" s="287"/>
      <c r="AK922" s="278"/>
      <c r="AL922" s="246"/>
      <c r="AM922" s="245"/>
      <c r="AN922" s="245"/>
      <c r="AO922" s="274"/>
      <c r="AP922" s="245"/>
      <c r="AQ922" s="245"/>
      <c r="AR922" s="246"/>
      <c r="AS922" s="245"/>
      <c r="AT922" s="245"/>
      <c r="AU922" s="245"/>
      <c r="AV922" s="245"/>
      <c r="AW922" s="245"/>
      <c r="AX922" s="246"/>
      <c r="AY922" s="245"/>
      <c r="AZ922" s="245"/>
      <c r="BA922" s="246"/>
      <c r="BB922" s="245"/>
      <c r="BC922" s="245"/>
      <c r="BD922" s="245"/>
      <c r="BE922" s="245"/>
      <c r="BF922" s="245"/>
      <c r="BG922" s="245"/>
      <c r="BH922" s="245"/>
      <c r="BI922" s="245"/>
      <c r="BJ922" s="245"/>
      <c r="BK922" s="245"/>
      <c r="BL922" s="245"/>
      <c r="BM922" s="245"/>
      <c r="BN922" s="245"/>
      <c r="BO922" s="245"/>
      <c r="BP922" s="245"/>
      <c r="BQ922" s="245"/>
      <c r="BR922" s="245"/>
      <c r="BS922" s="245"/>
      <c r="BT922" s="246"/>
      <c r="BU922" s="245"/>
      <c r="BV922" s="245"/>
      <c r="BW922" s="245"/>
      <c r="BX922" s="245"/>
      <c r="BY922" s="245"/>
      <c r="BZ922" s="282"/>
      <c r="CA922" s="245"/>
      <c r="CB922" s="245"/>
      <c r="CC922" s="245"/>
      <c r="CD922" s="245"/>
      <c r="CE922" s="245"/>
      <c r="CF922" s="245"/>
    </row>
    <row r="923">
      <c r="A923" s="245"/>
      <c r="B923" s="245"/>
      <c r="C923" s="245"/>
      <c r="D923" s="246"/>
      <c r="E923" s="245"/>
      <c r="F923" s="245"/>
      <c r="G923" s="245"/>
      <c r="H923" s="245"/>
      <c r="I923" s="245"/>
      <c r="J923" s="245"/>
      <c r="K923" s="265"/>
      <c r="L923" s="245"/>
      <c r="M923" s="245"/>
      <c r="N923" s="245"/>
      <c r="O923" s="245"/>
      <c r="P923" s="245"/>
      <c r="Q923" s="247"/>
      <c r="R923" s="254"/>
      <c r="S923" s="245"/>
      <c r="T923" s="245"/>
      <c r="U923" s="245"/>
      <c r="V923" s="245"/>
      <c r="W923" s="245"/>
      <c r="X923" s="245"/>
      <c r="Y923" s="249"/>
      <c r="Z923" s="276"/>
      <c r="AA923" s="245"/>
      <c r="AB923" s="276"/>
      <c r="AC923" s="276"/>
      <c r="AD923" s="246"/>
      <c r="AE923" s="278"/>
      <c r="AF923" s="370"/>
      <c r="AG923" s="371"/>
      <c r="AH923" s="276"/>
      <c r="AI923" s="245"/>
      <c r="AJ923" s="287"/>
      <c r="AK923" s="278"/>
      <c r="AL923" s="246"/>
      <c r="AM923" s="245"/>
      <c r="AN923" s="245"/>
      <c r="AO923" s="274"/>
      <c r="AP923" s="245"/>
      <c r="AQ923" s="245"/>
      <c r="AR923" s="246"/>
      <c r="AS923" s="245"/>
      <c r="AT923" s="245"/>
      <c r="AU923" s="245"/>
      <c r="AV923" s="245"/>
      <c r="AW923" s="245"/>
      <c r="AX923" s="246"/>
      <c r="AY923" s="245"/>
      <c r="AZ923" s="245"/>
      <c r="BA923" s="246"/>
      <c r="BB923" s="245"/>
      <c r="BC923" s="245"/>
      <c r="BD923" s="245"/>
      <c r="BE923" s="245"/>
      <c r="BF923" s="245"/>
      <c r="BG923" s="245"/>
      <c r="BH923" s="245"/>
      <c r="BI923" s="245"/>
      <c r="BJ923" s="245"/>
      <c r="BK923" s="245"/>
      <c r="BL923" s="245"/>
      <c r="BM923" s="245"/>
      <c r="BN923" s="245"/>
      <c r="BO923" s="245"/>
      <c r="BP923" s="245"/>
      <c r="BQ923" s="245"/>
      <c r="BR923" s="245"/>
      <c r="BS923" s="245"/>
      <c r="BT923" s="246"/>
      <c r="BU923" s="245"/>
      <c r="BV923" s="245"/>
      <c r="BW923" s="245"/>
      <c r="BX923" s="245"/>
      <c r="BY923" s="245"/>
      <c r="BZ923" s="282"/>
      <c r="CA923" s="245"/>
      <c r="CB923" s="245"/>
      <c r="CC923" s="245"/>
      <c r="CD923" s="245"/>
      <c r="CE923" s="245"/>
      <c r="CF923" s="245"/>
    </row>
    <row r="924">
      <c r="A924" s="245"/>
      <c r="B924" s="245"/>
      <c r="C924" s="245"/>
      <c r="D924" s="246"/>
      <c r="E924" s="245"/>
      <c r="F924" s="245"/>
      <c r="G924" s="245"/>
      <c r="H924" s="245"/>
      <c r="I924" s="245"/>
      <c r="J924" s="245"/>
      <c r="K924" s="265"/>
      <c r="L924" s="245"/>
      <c r="M924" s="245"/>
      <c r="N924" s="245"/>
      <c r="O924" s="245"/>
      <c r="P924" s="245"/>
      <c r="Q924" s="247"/>
      <c r="R924" s="254"/>
      <c r="S924" s="245"/>
      <c r="T924" s="245"/>
      <c r="U924" s="245"/>
      <c r="V924" s="245"/>
      <c r="W924" s="245"/>
      <c r="X924" s="245"/>
      <c r="Y924" s="249"/>
      <c r="Z924" s="276"/>
      <c r="AA924" s="245"/>
      <c r="AB924" s="276"/>
      <c r="AC924" s="276"/>
      <c r="AD924" s="246"/>
      <c r="AE924" s="278"/>
      <c r="AF924" s="370"/>
      <c r="AG924" s="371"/>
      <c r="AH924" s="276"/>
      <c r="AI924" s="245"/>
      <c r="AJ924" s="287"/>
      <c r="AK924" s="278"/>
      <c r="AL924" s="246"/>
      <c r="AM924" s="245"/>
      <c r="AN924" s="245"/>
      <c r="AO924" s="274"/>
      <c r="AP924" s="245"/>
      <c r="AQ924" s="245"/>
      <c r="AR924" s="246"/>
      <c r="AS924" s="245"/>
      <c r="AT924" s="245"/>
      <c r="AU924" s="245"/>
      <c r="AV924" s="245"/>
      <c r="AW924" s="245"/>
      <c r="AX924" s="246"/>
      <c r="AY924" s="245"/>
      <c r="AZ924" s="245"/>
      <c r="BA924" s="246"/>
      <c r="BB924" s="245"/>
      <c r="BC924" s="245"/>
      <c r="BD924" s="245"/>
      <c r="BE924" s="245"/>
      <c r="BF924" s="245"/>
      <c r="BG924" s="245"/>
      <c r="BH924" s="245"/>
      <c r="BI924" s="245"/>
      <c r="BJ924" s="245"/>
      <c r="BK924" s="245"/>
      <c r="BL924" s="245"/>
      <c r="BM924" s="245"/>
      <c r="BN924" s="245"/>
      <c r="BO924" s="245"/>
      <c r="BP924" s="245"/>
      <c r="BQ924" s="245"/>
      <c r="BR924" s="245"/>
      <c r="BS924" s="245"/>
      <c r="BT924" s="246"/>
      <c r="BU924" s="245"/>
      <c r="BV924" s="245"/>
      <c r="BW924" s="245"/>
      <c r="BX924" s="245"/>
      <c r="BY924" s="245"/>
      <c r="BZ924" s="282"/>
      <c r="CA924" s="245"/>
      <c r="CB924" s="245"/>
      <c r="CC924" s="245"/>
      <c r="CD924" s="245"/>
      <c r="CE924" s="245"/>
      <c r="CF924" s="245"/>
    </row>
    <row r="925">
      <c r="A925" s="245"/>
      <c r="B925" s="245"/>
      <c r="C925" s="245"/>
      <c r="D925" s="246"/>
      <c r="E925" s="245"/>
      <c r="F925" s="245"/>
      <c r="G925" s="245"/>
      <c r="H925" s="245"/>
      <c r="I925" s="245"/>
      <c r="J925" s="245"/>
      <c r="K925" s="265"/>
      <c r="L925" s="245"/>
      <c r="M925" s="245"/>
      <c r="N925" s="245"/>
      <c r="O925" s="245"/>
      <c r="P925" s="245"/>
      <c r="Q925" s="247"/>
      <c r="R925" s="254"/>
      <c r="S925" s="245"/>
      <c r="T925" s="245"/>
      <c r="U925" s="245"/>
      <c r="V925" s="245"/>
      <c r="W925" s="245"/>
      <c r="X925" s="245"/>
      <c r="Y925" s="249"/>
      <c r="Z925" s="276"/>
      <c r="AA925" s="245"/>
      <c r="AB925" s="276"/>
      <c r="AC925" s="276"/>
      <c r="AD925" s="246"/>
      <c r="AE925" s="278"/>
      <c r="AF925" s="370"/>
      <c r="AG925" s="371"/>
      <c r="AH925" s="276"/>
      <c r="AI925" s="245"/>
      <c r="AJ925" s="287"/>
      <c r="AK925" s="278"/>
      <c r="AL925" s="246"/>
      <c r="AM925" s="245"/>
      <c r="AN925" s="245"/>
      <c r="AO925" s="274"/>
      <c r="AP925" s="245"/>
      <c r="AQ925" s="245"/>
      <c r="AR925" s="246"/>
      <c r="AS925" s="245"/>
      <c r="AT925" s="245"/>
      <c r="AU925" s="245"/>
      <c r="AV925" s="245"/>
      <c r="AW925" s="245"/>
      <c r="AX925" s="246"/>
      <c r="AY925" s="245"/>
      <c r="AZ925" s="245"/>
      <c r="BA925" s="246"/>
      <c r="BB925" s="245"/>
      <c r="BC925" s="245"/>
      <c r="BD925" s="245"/>
      <c r="BE925" s="245"/>
      <c r="BF925" s="245"/>
      <c r="BG925" s="245"/>
      <c r="BH925" s="245"/>
      <c r="BI925" s="245"/>
      <c r="BJ925" s="245"/>
      <c r="BK925" s="245"/>
      <c r="BL925" s="245"/>
      <c r="BM925" s="245"/>
      <c r="BN925" s="245"/>
      <c r="BO925" s="245"/>
      <c r="BP925" s="245"/>
      <c r="BQ925" s="245"/>
      <c r="BR925" s="245"/>
      <c r="BS925" s="245"/>
      <c r="BT925" s="246"/>
      <c r="BU925" s="245"/>
      <c r="BV925" s="245"/>
      <c r="BW925" s="245"/>
      <c r="BX925" s="245"/>
      <c r="BY925" s="245"/>
      <c r="BZ925" s="282"/>
      <c r="CA925" s="245"/>
      <c r="CB925" s="245"/>
      <c r="CC925" s="245"/>
      <c r="CD925" s="245"/>
      <c r="CE925" s="245"/>
      <c r="CF925" s="245"/>
    </row>
    <row r="926">
      <c r="A926" s="245"/>
      <c r="B926" s="245"/>
      <c r="C926" s="245"/>
      <c r="D926" s="246"/>
      <c r="E926" s="245"/>
      <c r="F926" s="245"/>
      <c r="G926" s="245"/>
      <c r="H926" s="245"/>
      <c r="I926" s="245"/>
      <c r="J926" s="245"/>
      <c r="K926" s="265"/>
      <c r="L926" s="245"/>
      <c r="M926" s="245"/>
      <c r="N926" s="245"/>
      <c r="O926" s="245"/>
      <c r="P926" s="245"/>
      <c r="Q926" s="247"/>
      <c r="R926" s="254"/>
      <c r="S926" s="245"/>
      <c r="T926" s="245"/>
      <c r="U926" s="245"/>
      <c r="V926" s="245"/>
      <c r="W926" s="245"/>
      <c r="X926" s="245"/>
      <c r="Y926" s="249"/>
      <c r="Z926" s="276"/>
      <c r="AA926" s="245"/>
      <c r="AB926" s="276"/>
      <c r="AC926" s="276"/>
      <c r="AD926" s="246"/>
      <c r="AE926" s="278"/>
      <c r="AF926" s="370"/>
      <c r="AG926" s="371"/>
      <c r="AH926" s="276"/>
      <c r="AI926" s="245"/>
      <c r="AJ926" s="287"/>
      <c r="AK926" s="278"/>
      <c r="AL926" s="246"/>
      <c r="AM926" s="245"/>
      <c r="AN926" s="245"/>
      <c r="AO926" s="274"/>
      <c r="AP926" s="245"/>
      <c r="AQ926" s="245"/>
      <c r="AR926" s="246"/>
      <c r="AS926" s="245"/>
      <c r="AT926" s="245"/>
      <c r="AU926" s="245"/>
      <c r="AV926" s="245"/>
      <c r="AW926" s="245"/>
      <c r="AX926" s="246"/>
      <c r="AY926" s="245"/>
      <c r="AZ926" s="245"/>
      <c r="BA926" s="246"/>
      <c r="BB926" s="245"/>
      <c r="BC926" s="245"/>
      <c r="BD926" s="245"/>
      <c r="BE926" s="245"/>
      <c r="BF926" s="245"/>
      <c r="BG926" s="245"/>
      <c r="BH926" s="245"/>
      <c r="BI926" s="245"/>
      <c r="BJ926" s="245"/>
      <c r="BK926" s="245"/>
      <c r="BL926" s="245"/>
      <c r="BM926" s="245"/>
      <c r="BN926" s="245"/>
      <c r="BO926" s="245"/>
      <c r="BP926" s="245"/>
      <c r="BQ926" s="245"/>
      <c r="BR926" s="245"/>
      <c r="BS926" s="245"/>
      <c r="BT926" s="246"/>
      <c r="BU926" s="245"/>
      <c r="BV926" s="245"/>
      <c r="BW926" s="245"/>
      <c r="BX926" s="245"/>
      <c r="BY926" s="245"/>
      <c r="BZ926" s="282"/>
      <c r="CA926" s="245"/>
      <c r="CB926" s="245"/>
      <c r="CC926" s="245"/>
      <c r="CD926" s="245"/>
      <c r="CE926" s="245"/>
      <c r="CF926" s="245"/>
    </row>
    <row r="927">
      <c r="A927" s="245"/>
      <c r="B927" s="245"/>
      <c r="C927" s="245"/>
      <c r="D927" s="246"/>
      <c r="E927" s="245"/>
      <c r="F927" s="245"/>
      <c r="G927" s="245"/>
      <c r="H927" s="245"/>
      <c r="I927" s="245"/>
      <c r="J927" s="245"/>
      <c r="K927" s="265"/>
      <c r="L927" s="245"/>
      <c r="M927" s="245"/>
      <c r="N927" s="245"/>
      <c r="O927" s="245"/>
      <c r="P927" s="245"/>
      <c r="Q927" s="247"/>
      <c r="R927" s="254"/>
      <c r="S927" s="245"/>
      <c r="T927" s="245"/>
      <c r="U927" s="245"/>
      <c r="V927" s="245"/>
      <c r="W927" s="245"/>
      <c r="X927" s="245"/>
      <c r="Y927" s="249"/>
      <c r="Z927" s="276"/>
      <c r="AA927" s="245"/>
      <c r="AB927" s="276"/>
      <c r="AC927" s="276"/>
      <c r="AD927" s="246"/>
      <c r="AE927" s="278"/>
      <c r="AF927" s="370"/>
      <c r="AG927" s="371"/>
      <c r="AH927" s="276"/>
      <c r="AI927" s="245"/>
      <c r="AJ927" s="287"/>
      <c r="AK927" s="278"/>
      <c r="AL927" s="246"/>
      <c r="AM927" s="245"/>
      <c r="AN927" s="245"/>
      <c r="AO927" s="274"/>
      <c r="AP927" s="245"/>
      <c r="AQ927" s="245"/>
      <c r="AR927" s="246"/>
      <c r="AS927" s="245"/>
      <c r="AT927" s="245"/>
      <c r="AU927" s="245"/>
      <c r="AV927" s="245"/>
      <c r="AW927" s="245"/>
      <c r="AX927" s="246"/>
      <c r="AY927" s="245"/>
      <c r="AZ927" s="245"/>
      <c r="BA927" s="246"/>
      <c r="BB927" s="245"/>
      <c r="BC927" s="245"/>
      <c r="BD927" s="245"/>
      <c r="BE927" s="245"/>
      <c r="BF927" s="245"/>
      <c r="BG927" s="245"/>
      <c r="BH927" s="245"/>
      <c r="BI927" s="245"/>
      <c r="BJ927" s="245"/>
      <c r="BK927" s="245"/>
      <c r="BL927" s="245"/>
      <c r="BM927" s="245"/>
      <c r="BN927" s="245"/>
      <c r="BO927" s="245"/>
      <c r="BP927" s="245"/>
      <c r="BQ927" s="245"/>
      <c r="BR927" s="245"/>
      <c r="BS927" s="245"/>
      <c r="BT927" s="246"/>
      <c r="BU927" s="245"/>
      <c r="BV927" s="245"/>
      <c r="BW927" s="245"/>
      <c r="BX927" s="245"/>
      <c r="BY927" s="245"/>
      <c r="BZ927" s="282"/>
      <c r="CA927" s="245"/>
      <c r="CB927" s="245"/>
      <c r="CC927" s="245"/>
      <c r="CD927" s="245"/>
      <c r="CE927" s="245"/>
      <c r="CF927" s="245"/>
    </row>
    <row r="928">
      <c r="A928" s="245"/>
      <c r="B928" s="245"/>
      <c r="C928" s="245"/>
      <c r="D928" s="246"/>
      <c r="E928" s="245"/>
      <c r="F928" s="245"/>
      <c r="G928" s="245"/>
      <c r="H928" s="245"/>
      <c r="I928" s="245"/>
      <c r="J928" s="245"/>
      <c r="K928" s="265"/>
      <c r="L928" s="245"/>
      <c r="M928" s="245"/>
      <c r="N928" s="245"/>
      <c r="O928" s="245"/>
      <c r="P928" s="245"/>
      <c r="Q928" s="247"/>
      <c r="R928" s="254"/>
      <c r="S928" s="245"/>
      <c r="T928" s="245"/>
      <c r="U928" s="245"/>
      <c r="V928" s="245"/>
      <c r="W928" s="245"/>
      <c r="X928" s="245"/>
      <c r="Y928" s="249"/>
      <c r="Z928" s="276"/>
      <c r="AA928" s="245"/>
      <c r="AB928" s="276"/>
      <c r="AC928" s="276"/>
      <c r="AD928" s="246"/>
      <c r="AE928" s="278"/>
      <c r="AF928" s="370"/>
      <c r="AG928" s="371"/>
      <c r="AH928" s="276"/>
      <c r="AI928" s="245"/>
      <c r="AJ928" s="287"/>
      <c r="AK928" s="278"/>
      <c r="AL928" s="246"/>
      <c r="AM928" s="245"/>
      <c r="AN928" s="245"/>
      <c r="AO928" s="274"/>
      <c r="AP928" s="245"/>
      <c r="AQ928" s="245"/>
      <c r="AR928" s="246"/>
      <c r="AS928" s="245"/>
      <c r="AT928" s="245"/>
      <c r="AU928" s="245"/>
      <c r="AV928" s="245"/>
      <c r="AW928" s="245"/>
      <c r="AX928" s="246"/>
      <c r="AY928" s="245"/>
      <c r="AZ928" s="245"/>
      <c r="BA928" s="246"/>
      <c r="BB928" s="245"/>
      <c r="BC928" s="245"/>
      <c r="BD928" s="245"/>
      <c r="BE928" s="245"/>
      <c r="BF928" s="245"/>
      <c r="BG928" s="245"/>
      <c r="BH928" s="245"/>
      <c r="BI928" s="245"/>
      <c r="BJ928" s="245"/>
      <c r="BK928" s="245"/>
      <c r="BL928" s="245"/>
      <c r="BM928" s="245"/>
      <c r="BN928" s="245"/>
      <c r="BO928" s="245"/>
      <c r="BP928" s="245"/>
      <c r="BQ928" s="245"/>
      <c r="BR928" s="245"/>
      <c r="BS928" s="245"/>
      <c r="BT928" s="246"/>
      <c r="BU928" s="245"/>
      <c r="BV928" s="245"/>
      <c r="BW928" s="245"/>
      <c r="BX928" s="245"/>
      <c r="BY928" s="245"/>
      <c r="BZ928" s="282"/>
      <c r="CA928" s="245"/>
      <c r="CB928" s="245"/>
      <c r="CC928" s="245"/>
      <c r="CD928" s="245"/>
      <c r="CE928" s="245"/>
      <c r="CF928" s="245"/>
    </row>
    <row r="929">
      <c r="A929" s="245"/>
      <c r="B929" s="245"/>
      <c r="C929" s="245"/>
      <c r="D929" s="246"/>
      <c r="E929" s="245"/>
      <c r="F929" s="245"/>
      <c r="G929" s="245"/>
      <c r="H929" s="245"/>
      <c r="I929" s="245"/>
      <c r="J929" s="245"/>
      <c r="K929" s="265"/>
      <c r="L929" s="245"/>
      <c r="M929" s="245"/>
      <c r="N929" s="245"/>
      <c r="O929" s="245"/>
      <c r="P929" s="245"/>
      <c r="Q929" s="247"/>
      <c r="R929" s="254"/>
      <c r="S929" s="245"/>
      <c r="T929" s="245"/>
      <c r="U929" s="245"/>
      <c r="V929" s="245"/>
      <c r="W929" s="245"/>
      <c r="X929" s="245"/>
      <c r="Y929" s="249"/>
      <c r="Z929" s="276"/>
      <c r="AA929" s="245"/>
      <c r="AB929" s="276"/>
      <c r="AC929" s="276"/>
      <c r="AD929" s="246"/>
      <c r="AE929" s="278"/>
      <c r="AF929" s="370"/>
      <c r="AG929" s="371"/>
      <c r="AH929" s="276"/>
      <c r="AI929" s="245"/>
      <c r="AJ929" s="287"/>
      <c r="AK929" s="278"/>
      <c r="AL929" s="246"/>
      <c r="AM929" s="245"/>
      <c r="AN929" s="245"/>
      <c r="AO929" s="274"/>
      <c r="AP929" s="245"/>
      <c r="AQ929" s="245"/>
      <c r="AR929" s="246"/>
      <c r="AS929" s="245"/>
      <c r="AT929" s="245"/>
      <c r="AU929" s="245"/>
      <c r="AV929" s="245"/>
      <c r="AW929" s="245"/>
      <c r="AX929" s="246"/>
      <c r="AY929" s="245"/>
      <c r="AZ929" s="245"/>
      <c r="BA929" s="246"/>
      <c r="BB929" s="245"/>
      <c r="BC929" s="245"/>
      <c r="BD929" s="245"/>
      <c r="BE929" s="245"/>
      <c r="BF929" s="245"/>
      <c r="BG929" s="245"/>
      <c r="BH929" s="245"/>
      <c r="BI929" s="245"/>
      <c r="BJ929" s="245"/>
      <c r="BK929" s="245"/>
      <c r="BL929" s="245"/>
      <c r="BM929" s="245"/>
      <c r="BN929" s="245"/>
      <c r="BO929" s="245"/>
      <c r="BP929" s="245"/>
      <c r="BQ929" s="245"/>
      <c r="BR929" s="245"/>
      <c r="BS929" s="245"/>
      <c r="BT929" s="246"/>
      <c r="BU929" s="245"/>
      <c r="BV929" s="245"/>
      <c r="BW929" s="245"/>
      <c r="BX929" s="245"/>
      <c r="BY929" s="245"/>
      <c r="BZ929" s="282"/>
      <c r="CA929" s="245"/>
      <c r="CB929" s="245"/>
      <c r="CC929" s="245"/>
      <c r="CD929" s="245"/>
      <c r="CE929" s="245"/>
      <c r="CF929" s="245"/>
    </row>
    <row r="930">
      <c r="A930" s="245"/>
      <c r="B930" s="245"/>
      <c r="C930" s="245"/>
      <c r="D930" s="246"/>
      <c r="E930" s="245"/>
      <c r="F930" s="245"/>
      <c r="G930" s="245"/>
      <c r="H930" s="245"/>
      <c r="I930" s="245"/>
      <c r="J930" s="245"/>
      <c r="K930" s="265"/>
      <c r="L930" s="245"/>
      <c r="M930" s="245"/>
      <c r="N930" s="245"/>
      <c r="O930" s="245"/>
      <c r="P930" s="245"/>
      <c r="Q930" s="247"/>
      <c r="R930" s="254"/>
      <c r="S930" s="245"/>
      <c r="T930" s="245"/>
      <c r="U930" s="245"/>
      <c r="V930" s="245"/>
      <c r="W930" s="245"/>
      <c r="X930" s="245"/>
      <c r="Y930" s="249"/>
      <c r="Z930" s="276"/>
      <c r="AA930" s="245"/>
      <c r="AB930" s="276"/>
      <c r="AC930" s="276"/>
      <c r="AD930" s="246"/>
      <c r="AE930" s="278"/>
      <c r="AF930" s="370"/>
      <c r="AG930" s="371"/>
      <c r="AH930" s="276"/>
      <c r="AI930" s="245"/>
      <c r="AJ930" s="287"/>
      <c r="AK930" s="278"/>
      <c r="AL930" s="246"/>
      <c r="AM930" s="245"/>
      <c r="AN930" s="245"/>
      <c r="AO930" s="274"/>
      <c r="AP930" s="245"/>
      <c r="AQ930" s="245"/>
      <c r="AR930" s="246"/>
      <c r="AS930" s="245"/>
      <c r="AT930" s="245"/>
      <c r="AU930" s="245"/>
      <c r="AV930" s="245"/>
      <c r="AW930" s="245"/>
      <c r="AX930" s="246"/>
      <c r="AY930" s="245"/>
      <c r="AZ930" s="245"/>
      <c r="BA930" s="246"/>
      <c r="BB930" s="245"/>
      <c r="BC930" s="245"/>
      <c r="BD930" s="245"/>
      <c r="BE930" s="245"/>
      <c r="BF930" s="245"/>
      <c r="BG930" s="245"/>
      <c r="BH930" s="245"/>
      <c r="BI930" s="245"/>
      <c r="BJ930" s="245"/>
      <c r="BK930" s="245"/>
      <c r="BL930" s="245"/>
      <c r="BM930" s="245"/>
      <c r="BN930" s="245"/>
      <c r="BO930" s="245"/>
      <c r="BP930" s="245"/>
      <c r="BQ930" s="245"/>
      <c r="BR930" s="245"/>
      <c r="BS930" s="245"/>
      <c r="BT930" s="246"/>
      <c r="BU930" s="245"/>
      <c r="BV930" s="245"/>
      <c r="BW930" s="245"/>
      <c r="BX930" s="245"/>
      <c r="BY930" s="245"/>
      <c r="BZ930" s="282"/>
      <c r="CA930" s="245"/>
      <c r="CB930" s="245"/>
      <c r="CC930" s="245"/>
      <c r="CD930" s="245"/>
      <c r="CE930" s="245"/>
      <c r="CF930" s="245"/>
    </row>
    <row r="931">
      <c r="A931" s="245"/>
      <c r="B931" s="245"/>
      <c r="C931" s="245"/>
      <c r="D931" s="246"/>
      <c r="E931" s="245"/>
      <c r="F931" s="245"/>
      <c r="G931" s="245"/>
      <c r="H931" s="245"/>
      <c r="I931" s="245"/>
      <c r="J931" s="245"/>
      <c r="K931" s="265"/>
      <c r="L931" s="245"/>
      <c r="M931" s="245"/>
      <c r="N931" s="245"/>
      <c r="O931" s="245"/>
      <c r="P931" s="245"/>
      <c r="Q931" s="247"/>
      <c r="R931" s="254"/>
      <c r="S931" s="245"/>
      <c r="T931" s="245"/>
      <c r="U931" s="245"/>
      <c r="V931" s="245"/>
      <c r="W931" s="245"/>
      <c r="X931" s="245"/>
      <c r="Y931" s="249"/>
      <c r="Z931" s="276"/>
      <c r="AA931" s="245"/>
      <c r="AB931" s="276"/>
      <c r="AC931" s="276"/>
      <c r="AD931" s="246"/>
      <c r="AE931" s="278"/>
      <c r="AF931" s="370"/>
      <c r="AG931" s="371"/>
      <c r="AH931" s="276"/>
      <c r="AI931" s="245"/>
      <c r="AJ931" s="287"/>
      <c r="AK931" s="278"/>
      <c r="AL931" s="246"/>
      <c r="AM931" s="245"/>
      <c r="AN931" s="245"/>
      <c r="AO931" s="274"/>
      <c r="AP931" s="245"/>
      <c r="AQ931" s="245"/>
      <c r="AR931" s="246"/>
      <c r="AS931" s="245"/>
      <c r="AT931" s="245"/>
      <c r="AU931" s="245"/>
      <c r="AV931" s="245"/>
      <c r="AW931" s="245"/>
      <c r="AX931" s="246"/>
      <c r="AY931" s="245"/>
      <c r="AZ931" s="245"/>
      <c r="BA931" s="246"/>
      <c r="BB931" s="245"/>
      <c r="BC931" s="245"/>
      <c r="BD931" s="245"/>
      <c r="BE931" s="245"/>
      <c r="BF931" s="245"/>
      <c r="BG931" s="245"/>
      <c r="BH931" s="245"/>
      <c r="BI931" s="245"/>
      <c r="BJ931" s="245"/>
      <c r="BK931" s="245"/>
      <c r="BL931" s="245"/>
      <c r="BM931" s="245"/>
      <c r="BN931" s="245"/>
      <c r="BO931" s="245"/>
      <c r="BP931" s="245"/>
      <c r="BQ931" s="245"/>
      <c r="BR931" s="245"/>
      <c r="BS931" s="245"/>
      <c r="BT931" s="246"/>
      <c r="BU931" s="245"/>
      <c r="BV931" s="245"/>
      <c r="BW931" s="245"/>
      <c r="BX931" s="245"/>
      <c r="BY931" s="245"/>
      <c r="BZ931" s="282"/>
      <c r="CA931" s="245"/>
      <c r="CB931" s="245"/>
      <c r="CC931" s="245"/>
      <c r="CD931" s="245"/>
      <c r="CE931" s="245"/>
      <c r="CF931" s="245"/>
    </row>
    <row r="932">
      <c r="A932" s="245"/>
      <c r="B932" s="245"/>
      <c r="C932" s="245"/>
      <c r="D932" s="246"/>
      <c r="E932" s="245"/>
      <c r="F932" s="245"/>
      <c r="G932" s="245"/>
      <c r="H932" s="245"/>
      <c r="I932" s="245"/>
      <c r="J932" s="245"/>
      <c r="K932" s="265"/>
      <c r="L932" s="245"/>
      <c r="M932" s="245"/>
      <c r="N932" s="245"/>
      <c r="O932" s="245"/>
      <c r="P932" s="245"/>
      <c r="Q932" s="247"/>
      <c r="R932" s="254"/>
      <c r="S932" s="245"/>
      <c r="T932" s="245"/>
      <c r="U932" s="245"/>
      <c r="V932" s="245"/>
      <c r="W932" s="245"/>
      <c r="X932" s="245"/>
      <c r="Y932" s="249"/>
      <c r="Z932" s="276"/>
      <c r="AA932" s="245"/>
      <c r="AB932" s="276"/>
      <c r="AC932" s="276"/>
      <c r="AD932" s="246"/>
      <c r="AE932" s="278"/>
      <c r="AF932" s="370"/>
      <c r="AG932" s="371"/>
      <c r="AH932" s="276"/>
      <c r="AI932" s="245"/>
      <c r="AJ932" s="287"/>
      <c r="AK932" s="278"/>
      <c r="AL932" s="246"/>
      <c r="AM932" s="245"/>
      <c r="AN932" s="245"/>
      <c r="AO932" s="274"/>
      <c r="AP932" s="245"/>
      <c r="AQ932" s="245"/>
      <c r="AR932" s="246"/>
      <c r="AS932" s="245"/>
      <c r="AT932" s="245"/>
      <c r="AU932" s="245"/>
      <c r="AV932" s="245"/>
      <c r="AW932" s="245"/>
      <c r="AX932" s="246"/>
      <c r="AY932" s="245"/>
      <c r="AZ932" s="245"/>
      <c r="BA932" s="246"/>
      <c r="BB932" s="245"/>
      <c r="BC932" s="245"/>
      <c r="BD932" s="245"/>
      <c r="BE932" s="245"/>
      <c r="BF932" s="245"/>
      <c r="BG932" s="245"/>
      <c r="BH932" s="245"/>
      <c r="BI932" s="245"/>
      <c r="BJ932" s="245"/>
      <c r="BK932" s="245"/>
      <c r="BL932" s="245"/>
      <c r="BM932" s="245"/>
      <c r="BN932" s="245"/>
      <c r="BO932" s="245"/>
      <c r="BP932" s="245"/>
      <c r="BQ932" s="245"/>
      <c r="BR932" s="245"/>
      <c r="BS932" s="245"/>
      <c r="BT932" s="246"/>
      <c r="BU932" s="245"/>
      <c r="BV932" s="245"/>
      <c r="BW932" s="245"/>
      <c r="BX932" s="245"/>
      <c r="BY932" s="245"/>
      <c r="BZ932" s="282"/>
      <c r="CA932" s="245"/>
      <c r="CB932" s="245"/>
      <c r="CC932" s="245"/>
      <c r="CD932" s="245"/>
      <c r="CE932" s="245"/>
      <c r="CF932" s="245"/>
    </row>
    <row r="933">
      <c r="A933" s="245"/>
      <c r="B933" s="245"/>
      <c r="C933" s="245"/>
      <c r="D933" s="246"/>
      <c r="E933" s="245"/>
      <c r="F933" s="245"/>
      <c r="G933" s="245"/>
      <c r="H933" s="245"/>
      <c r="I933" s="245"/>
      <c r="J933" s="245"/>
      <c r="K933" s="265"/>
      <c r="L933" s="245"/>
      <c r="M933" s="245"/>
      <c r="N933" s="245"/>
      <c r="O933" s="245"/>
      <c r="P933" s="245"/>
      <c r="Q933" s="247"/>
      <c r="R933" s="254"/>
      <c r="S933" s="245"/>
      <c r="T933" s="245"/>
      <c r="U933" s="245"/>
      <c r="V933" s="245"/>
      <c r="W933" s="245"/>
      <c r="X933" s="245"/>
      <c r="Y933" s="249"/>
      <c r="Z933" s="276"/>
      <c r="AA933" s="245"/>
      <c r="AB933" s="276"/>
      <c r="AC933" s="276"/>
      <c r="AD933" s="246"/>
      <c r="AE933" s="278"/>
      <c r="AF933" s="370"/>
      <c r="AG933" s="371"/>
      <c r="AH933" s="276"/>
      <c r="AI933" s="245"/>
      <c r="AJ933" s="287"/>
      <c r="AK933" s="278"/>
      <c r="AL933" s="246"/>
      <c r="AM933" s="245"/>
      <c r="AN933" s="245"/>
      <c r="AO933" s="274"/>
      <c r="AP933" s="245"/>
      <c r="AQ933" s="245"/>
      <c r="AR933" s="246"/>
      <c r="AS933" s="245"/>
      <c r="AT933" s="245"/>
      <c r="AU933" s="245"/>
      <c r="AV933" s="245"/>
      <c r="AW933" s="245"/>
      <c r="AX933" s="246"/>
      <c r="AY933" s="245"/>
      <c r="AZ933" s="245"/>
      <c r="BA933" s="246"/>
      <c r="BB933" s="245"/>
      <c r="BC933" s="245"/>
      <c r="BD933" s="245"/>
      <c r="BE933" s="245"/>
      <c r="BF933" s="245"/>
      <c r="BG933" s="245"/>
      <c r="BH933" s="245"/>
      <c r="BI933" s="245"/>
      <c r="BJ933" s="245"/>
      <c r="BK933" s="245"/>
      <c r="BL933" s="245"/>
      <c r="BM933" s="245"/>
      <c r="BN933" s="245"/>
      <c r="BO933" s="245"/>
      <c r="BP933" s="245"/>
      <c r="BQ933" s="245"/>
      <c r="BR933" s="245"/>
      <c r="BS933" s="245"/>
      <c r="BT933" s="246"/>
      <c r="BU933" s="245"/>
      <c r="BV933" s="245"/>
      <c r="BW933" s="245"/>
      <c r="BX933" s="245"/>
      <c r="BY933" s="245"/>
      <c r="BZ933" s="282"/>
      <c r="CA933" s="245"/>
      <c r="CB933" s="245"/>
      <c r="CC933" s="245"/>
      <c r="CD933" s="245"/>
      <c r="CE933" s="245"/>
      <c r="CF933" s="245"/>
    </row>
    <row r="934">
      <c r="A934" s="245"/>
      <c r="B934" s="245"/>
      <c r="C934" s="245"/>
      <c r="D934" s="246"/>
      <c r="E934" s="245"/>
      <c r="F934" s="245"/>
      <c r="G934" s="245"/>
      <c r="H934" s="245"/>
      <c r="I934" s="245"/>
      <c r="J934" s="245"/>
      <c r="K934" s="265"/>
      <c r="L934" s="245"/>
      <c r="M934" s="245"/>
      <c r="N934" s="245"/>
      <c r="O934" s="245"/>
      <c r="P934" s="245"/>
      <c r="Q934" s="247"/>
      <c r="R934" s="254"/>
      <c r="S934" s="245"/>
      <c r="T934" s="245"/>
      <c r="U934" s="245"/>
      <c r="V934" s="245"/>
      <c r="W934" s="245"/>
      <c r="X934" s="245"/>
      <c r="Y934" s="249"/>
      <c r="Z934" s="276"/>
      <c r="AA934" s="245"/>
      <c r="AB934" s="276"/>
      <c r="AC934" s="276"/>
      <c r="AD934" s="246"/>
      <c r="AE934" s="278"/>
      <c r="AF934" s="370"/>
      <c r="AG934" s="371"/>
      <c r="AH934" s="276"/>
      <c r="AI934" s="245"/>
      <c r="AJ934" s="287"/>
      <c r="AK934" s="278"/>
      <c r="AL934" s="246"/>
      <c r="AM934" s="245"/>
      <c r="AN934" s="245"/>
      <c r="AO934" s="274"/>
      <c r="AP934" s="245"/>
      <c r="AQ934" s="245"/>
      <c r="AR934" s="246"/>
      <c r="AS934" s="245"/>
      <c r="AT934" s="245"/>
      <c r="AU934" s="245"/>
      <c r="AV934" s="245"/>
      <c r="AW934" s="245"/>
      <c r="AX934" s="246"/>
      <c r="AY934" s="245"/>
      <c r="AZ934" s="245"/>
      <c r="BA934" s="246"/>
      <c r="BB934" s="245"/>
      <c r="BC934" s="245"/>
      <c r="BD934" s="245"/>
      <c r="BE934" s="245"/>
      <c r="BF934" s="245"/>
      <c r="BG934" s="245"/>
      <c r="BH934" s="245"/>
      <c r="BI934" s="245"/>
      <c r="BJ934" s="245"/>
      <c r="BK934" s="245"/>
      <c r="BL934" s="245"/>
      <c r="BM934" s="245"/>
      <c r="BN934" s="245"/>
      <c r="BO934" s="245"/>
      <c r="BP934" s="245"/>
      <c r="BQ934" s="245"/>
      <c r="BR934" s="245"/>
      <c r="BS934" s="245"/>
      <c r="BT934" s="246"/>
      <c r="BU934" s="245"/>
      <c r="BV934" s="245"/>
      <c r="BW934" s="245"/>
      <c r="BX934" s="245"/>
      <c r="BY934" s="245"/>
      <c r="BZ934" s="282"/>
      <c r="CA934" s="245"/>
      <c r="CB934" s="245"/>
      <c r="CC934" s="245"/>
      <c r="CD934" s="245"/>
      <c r="CE934" s="245"/>
      <c r="CF934" s="245"/>
    </row>
    <row r="935">
      <c r="A935" s="245"/>
      <c r="B935" s="245"/>
      <c r="C935" s="245"/>
      <c r="D935" s="246"/>
      <c r="E935" s="245"/>
      <c r="F935" s="245"/>
      <c r="G935" s="245"/>
      <c r="H935" s="245"/>
      <c r="I935" s="245"/>
      <c r="J935" s="245"/>
      <c r="K935" s="265"/>
      <c r="L935" s="245"/>
      <c r="M935" s="245"/>
      <c r="N935" s="245"/>
      <c r="O935" s="245"/>
      <c r="P935" s="245"/>
      <c r="Q935" s="247"/>
      <c r="R935" s="254"/>
      <c r="S935" s="245"/>
      <c r="T935" s="245"/>
      <c r="U935" s="245"/>
      <c r="V935" s="245"/>
      <c r="W935" s="245"/>
      <c r="X935" s="245"/>
      <c r="Y935" s="249"/>
      <c r="Z935" s="276"/>
      <c r="AA935" s="245"/>
      <c r="AB935" s="276"/>
      <c r="AC935" s="276"/>
      <c r="AD935" s="246"/>
      <c r="AE935" s="278"/>
      <c r="AF935" s="370"/>
      <c r="AG935" s="371"/>
      <c r="AH935" s="276"/>
      <c r="AI935" s="245"/>
      <c r="AJ935" s="287"/>
      <c r="AK935" s="278"/>
      <c r="AL935" s="246"/>
      <c r="AM935" s="245"/>
      <c r="AN935" s="245"/>
      <c r="AO935" s="274"/>
      <c r="AP935" s="245"/>
      <c r="AQ935" s="245"/>
      <c r="AR935" s="246"/>
      <c r="AS935" s="245"/>
      <c r="AT935" s="245"/>
      <c r="AU935" s="245"/>
      <c r="AV935" s="245"/>
      <c r="AW935" s="245"/>
      <c r="AX935" s="246"/>
      <c r="AY935" s="245"/>
      <c r="AZ935" s="245"/>
      <c r="BA935" s="246"/>
      <c r="BB935" s="245"/>
      <c r="BC935" s="245"/>
      <c r="BD935" s="245"/>
      <c r="BE935" s="245"/>
      <c r="BF935" s="245"/>
      <c r="BG935" s="245"/>
      <c r="BH935" s="245"/>
      <c r="BI935" s="245"/>
      <c r="BJ935" s="245"/>
      <c r="BK935" s="245"/>
      <c r="BL935" s="245"/>
      <c r="BM935" s="245"/>
      <c r="BN935" s="245"/>
      <c r="BO935" s="245"/>
      <c r="BP935" s="245"/>
      <c r="BQ935" s="245"/>
      <c r="BR935" s="245"/>
      <c r="BS935" s="245"/>
      <c r="BT935" s="246"/>
      <c r="BU935" s="245"/>
      <c r="BV935" s="245"/>
      <c r="BW935" s="245"/>
      <c r="BX935" s="245"/>
      <c r="BY935" s="245"/>
      <c r="BZ935" s="282"/>
      <c r="CA935" s="245"/>
      <c r="CB935" s="245"/>
      <c r="CC935" s="245"/>
      <c r="CD935" s="245"/>
      <c r="CE935" s="245"/>
      <c r="CF935" s="245"/>
    </row>
    <row r="936">
      <c r="A936" s="245"/>
      <c r="B936" s="245"/>
      <c r="C936" s="245"/>
      <c r="D936" s="246"/>
      <c r="E936" s="245"/>
      <c r="F936" s="245"/>
      <c r="G936" s="245"/>
      <c r="H936" s="245"/>
      <c r="I936" s="245"/>
      <c r="J936" s="245"/>
      <c r="K936" s="265"/>
      <c r="L936" s="245"/>
      <c r="M936" s="245"/>
      <c r="N936" s="245"/>
      <c r="O936" s="245"/>
      <c r="P936" s="245"/>
      <c r="Q936" s="247"/>
      <c r="R936" s="254"/>
      <c r="S936" s="245"/>
      <c r="T936" s="245"/>
      <c r="U936" s="245"/>
      <c r="V936" s="245"/>
      <c r="W936" s="245"/>
      <c r="X936" s="245"/>
      <c r="Y936" s="249"/>
      <c r="Z936" s="276"/>
      <c r="AA936" s="245"/>
      <c r="AB936" s="276"/>
      <c r="AC936" s="276"/>
      <c r="AD936" s="246"/>
      <c r="AE936" s="278"/>
      <c r="AF936" s="370"/>
      <c r="AG936" s="371"/>
      <c r="AH936" s="276"/>
      <c r="AI936" s="245"/>
      <c r="AJ936" s="287"/>
      <c r="AK936" s="278"/>
      <c r="AL936" s="246"/>
      <c r="AM936" s="245"/>
      <c r="AN936" s="245"/>
      <c r="AO936" s="274"/>
      <c r="AP936" s="245"/>
      <c r="AQ936" s="245"/>
      <c r="AR936" s="246"/>
      <c r="AS936" s="245"/>
      <c r="AT936" s="245"/>
      <c r="AU936" s="245"/>
      <c r="AV936" s="245"/>
      <c r="AW936" s="245"/>
      <c r="AX936" s="246"/>
      <c r="AY936" s="245"/>
      <c r="AZ936" s="245"/>
      <c r="BA936" s="246"/>
      <c r="BB936" s="245"/>
      <c r="BC936" s="245"/>
      <c r="BD936" s="245"/>
      <c r="BE936" s="245"/>
      <c r="BF936" s="245"/>
      <c r="BG936" s="245"/>
      <c r="BH936" s="245"/>
      <c r="BI936" s="245"/>
      <c r="BJ936" s="245"/>
      <c r="BK936" s="245"/>
      <c r="BL936" s="245"/>
      <c r="BM936" s="245"/>
      <c r="BN936" s="245"/>
      <c r="BO936" s="245"/>
      <c r="BP936" s="245"/>
      <c r="BQ936" s="245"/>
      <c r="BR936" s="245"/>
      <c r="BS936" s="245"/>
      <c r="BT936" s="246"/>
      <c r="BU936" s="245"/>
      <c r="BV936" s="245"/>
      <c r="BW936" s="245"/>
      <c r="BX936" s="245"/>
      <c r="BY936" s="245"/>
      <c r="BZ936" s="282"/>
      <c r="CA936" s="245"/>
      <c r="CB936" s="245"/>
      <c r="CC936" s="245"/>
      <c r="CD936" s="245"/>
      <c r="CE936" s="245"/>
      <c r="CF936" s="245"/>
    </row>
    <row r="937">
      <c r="A937" s="245"/>
      <c r="B937" s="245"/>
      <c r="C937" s="245"/>
      <c r="D937" s="246"/>
      <c r="E937" s="245"/>
      <c r="F937" s="245"/>
      <c r="G937" s="245"/>
      <c r="H937" s="245"/>
      <c r="I937" s="245"/>
      <c r="J937" s="245"/>
      <c r="K937" s="265"/>
      <c r="L937" s="245"/>
      <c r="M937" s="245"/>
      <c r="N937" s="245"/>
      <c r="O937" s="245"/>
      <c r="P937" s="245"/>
      <c r="Q937" s="247"/>
      <c r="R937" s="254"/>
      <c r="S937" s="245"/>
      <c r="T937" s="245"/>
      <c r="U937" s="245"/>
      <c r="V937" s="245"/>
      <c r="W937" s="245"/>
      <c r="X937" s="245"/>
      <c r="Y937" s="249"/>
      <c r="Z937" s="276"/>
      <c r="AA937" s="245"/>
      <c r="AB937" s="276"/>
      <c r="AC937" s="276"/>
      <c r="AD937" s="246"/>
      <c r="AE937" s="278"/>
      <c r="AF937" s="370"/>
      <c r="AG937" s="371"/>
      <c r="AH937" s="276"/>
      <c r="AI937" s="245"/>
      <c r="AJ937" s="287"/>
      <c r="AK937" s="278"/>
      <c r="AL937" s="246"/>
      <c r="AM937" s="245"/>
      <c r="AN937" s="245"/>
      <c r="AO937" s="274"/>
      <c r="AP937" s="245"/>
      <c r="AQ937" s="245"/>
      <c r="AR937" s="246"/>
      <c r="AS937" s="245"/>
      <c r="AT937" s="245"/>
      <c r="AU937" s="245"/>
      <c r="AV937" s="245"/>
      <c r="AW937" s="245"/>
      <c r="AX937" s="246"/>
      <c r="AY937" s="245"/>
      <c r="AZ937" s="245"/>
      <c r="BA937" s="246"/>
      <c r="BB937" s="245"/>
      <c r="BC937" s="245"/>
      <c r="BD937" s="245"/>
      <c r="BE937" s="245"/>
      <c r="BF937" s="245"/>
      <c r="BG937" s="245"/>
      <c r="BH937" s="245"/>
      <c r="BI937" s="245"/>
      <c r="BJ937" s="245"/>
      <c r="BK937" s="245"/>
      <c r="BL937" s="245"/>
      <c r="BM937" s="245"/>
      <c r="BN937" s="245"/>
      <c r="BO937" s="245"/>
      <c r="BP937" s="245"/>
      <c r="BQ937" s="245"/>
      <c r="BR937" s="245"/>
      <c r="BS937" s="245"/>
      <c r="BT937" s="246"/>
      <c r="BU937" s="245"/>
      <c r="BV937" s="245"/>
      <c r="BW937" s="245"/>
      <c r="BX937" s="245"/>
      <c r="BY937" s="245"/>
      <c r="BZ937" s="282"/>
      <c r="CA937" s="245"/>
      <c r="CB937" s="245"/>
      <c r="CC937" s="245"/>
      <c r="CD937" s="245"/>
      <c r="CE937" s="245"/>
      <c r="CF937" s="245"/>
    </row>
    <row r="938">
      <c r="A938" s="245"/>
      <c r="B938" s="245"/>
      <c r="C938" s="245"/>
      <c r="D938" s="246"/>
      <c r="E938" s="245"/>
      <c r="F938" s="245"/>
      <c r="G938" s="245"/>
      <c r="H938" s="245"/>
      <c r="I938" s="245"/>
      <c r="J938" s="245"/>
      <c r="K938" s="265"/>
      <c r="L938" s="245"/>
      <c r="M938" s="245"/>
      <c r="N938" s="245"/>
      <c r="O938" s="245"/>
      <c r="P938" s="245"/>
      <c r="Q938" s="247"/>
      <c r="R938" s="254"/>
      <c r="S938" s="245"/>
      <c r="T938" s="245"/>
      <c r="U938" s="245"/>
      <c r="V938" s="245"/>
      <c r="W938" s="245"/>
      <c r="X938" s="245"/>
      <c r="Y938" s="249"/>
      <c r="Z938" s="276"/>
      <c r="AA938" s="245"/>
      <c r="AB938" s="276"/>
      <c r="AC938" s="276"/>
      <c r="AD938" s="246"/>
      <c r="AE938" s="278"/>
      <c r="AF938" s="370"/>
      <c r="AG938" s="371"/>
      <c r="AH938" s="276"/>
      <c r="AI938" s="245"/>
      <c r="AJ938" s="287"/>
      <c r="AK938" s="278"/>
      <c r="AL938" s="246"/>
      <c r="AM938" s="245"/>
      <c r="AN938" s="245"/>
      <c r="AO938" s="274"/>
      <c r="AP938" s="245"/>
      <c r="AQ938" s="245"/>
      <c r="AR938" s="246"/>
      <c r="AS938" s="245"/>
      <c r="AT938" s="245"/>
      <c r="AU938" s="245"/>
      <c r="AV938" s="245"/>
      <c r="AW938" s="245"/>
      <c r="AX938" s="246"/>
      <c r="AY938" s="245"/>
      <c r="AZ938" s="245"/>
      <c r="BA938" s="246"/>
      <c r="BB938" s="245"/>
      <c r="BC938" s="245"/>
      <c r="BD938" s="245"/>
      <c r="BE938" s="245"/>
      <c r="BF938" s="245"/>
      <c r="BG938" s="245"/>
      <c r="BH938" s="245"/>
      <c r="BI938" s="245"/>
      <c r="BJ938" s="245"/>
      <c r="BK938" s="245"/>
      <c r="BL938" s="245"/>
      <c r="BM938" s="245"/>
      <c r="BN938" s="245"/>
      <c r="BO938" s="245"/>
      <c r="BP938" s="245"/>
      <c r="BQ938" s="245"/>
      <c r="BR938" s="245"/>
      <c r="BS938" s="245"/>
      <c r="BT938" s="246"/>
      <c r="BU938" s="245"/>
      <c r="BV938" s="245"/>
      <c r="BW938" s="245"/>
      <c r="BX938" s="245"/>
      <c r="BY938" s="245"/>
      <c r="BZ938" s="282"/>
      <c r="CA938" s="245"/>
      <c r="CB938" s="245"/>
      <c r="CC938" s="245"/>
      <c r="CD938" s="245"/>
      <c r="CE938" s="245"/>
      <c r="CF938" s="245"/>
    </row>
    <row r="939">
      <c r="A939" s="245"/>
      <c r="B939" s="245"/>
      <c r="C939" s="245"/>
      <c r="D939" s="246"/>
      <c r="E939" s="245"/>
      <c r="F939" s="245"/>
      <c r="G939" s="245"/>
      <c r="H939" s="245"/>
      <c r="I939" s="245"/>
      <c r="J939" s="245"/>
      <c r="K939" s="265"/>
      <c r="L939" s="245"/>
      <c r="M939" s="245"/>
      <c r="N939" s="245"/>
      <c r="O939" s="245"/>
      <c r="P939" s="245"/>
      <c r="Q939" s="247"/>
      <c r="R939" s="254"/>
      <c r="S939" s="245"/>
      <c r="T939" s="245"/>
      <c r="U939" s="245"/>
      <c r="V939" s="245"/>
      <c r="W939" s="245"/>
      <c r="X939" s="245"/>
      <c r="Y939" s="249"/>
      <c r="Z939" s="276"/>
      <c r="AA939" s="245"/>
      <c r="AB939" s="276"/>
      <c r="AC939" s="276"/>
      <c r="AD939" s="246"/>
      <c r="AE939" s="278"/>
      <c r="AF939" s="370"/>
      <c r="AG939" s="371"/>
      <c r="AH939" s="276"/>
      <c r="AI939" s="245"/>
      <c r="AJ939" s="287"/>
      <c r="AK939" s="278"/>
      <c r="AL939" s="246"/>
      <c r="AM939" s="245"/>
      <c r="AN939" s="245"/>
      <c r="AO939" s="274"/>
      <c r="AP939" s="245"/>
      <c r="AQ939" s="245"/>
      <c r="AR939" s="246"/>
      <c r="AS939" s="245"/>
      <c r="AT939" s="245"/>
      <c r="AU939" s="245"/>
      <c r="AV939" s="245"/>
      <c r="AW939" s="245"/>
      <c r="AX939" s="246"/>
      <c r="AY939" s="245"/>
      <c r="AZ939" s="245"/>
      <c r="BA939" s="246"/>
      <c r="BB939" s="245"/>
      <c r="BC939" s="245"/>
      <c r="BD939" s="245"/>
      <c r="BE939" s="245"/>
      <c r="BF939" s="245"/>
      <c r="BG939" s="245"/>
      <c r="BH939" s="245"/>
      <c r="BI939" s="245"/>
      <c r="BJ939" s="245"/>
      <c r="BK939" s="245"/>
      <c r="BL939" s="245"/>
      <c r="BM939" s="245"/>
      <c r="BN939" s="245"/>
      <c r="BO939" s="245"/>
      <c r="BP939" s="245"/>
      <c r="BQ939" s="245"/>
      <c r="BR939" s="245"/>
      <c r="BS939" s="245"/>
      <c r="BT939" s="246"/>
      <c r="BU939" s="245"/>
      <c r="BV939" s="245"/>
      <c r="BW939" s="245"/>
      <c r="BX939" s="245"/>
      <c r="BY939" s="245"/>
      <c r="BZ939" s="282"/>
      <c r="CA939" s="245"/>
      <c r="CB939" s="245"/>
      <c r="CC939" s="245"/>
      <c r="CD939" s="245"/>
      <c r="CE939" s="245"/>
      <c r="CF939" s="245"/>
    </row>
    <row r="940">
      <c r="A940" s="245"/>
      <c r="B940" s="245"/>
      <c r="C940" s="245"/>
      <c r="D940" s="246"/>
      <c r="E940" s="245"/>
      <c r="F940" s="245"/>
      <c r="G940" s="245"/>
      <c r="H940" s="245"/>
      <c r="I940" s="245"/>
      <c r="J940" s="245"/>
      <c r="K940" s="265"/>
      <c r="L940" s="245"/>
      <c r="M940" s="245"/>
      <c r="N940" s="245"/>
      <c r="O940" s="245"/>
      <c r="P940" s="245"/>
      <c r="Q940" s="247"/>
      <c r="R940" s="254"/>
      <c r="S940" s="245"/>
      <c r="T940" s="245"/>
      <c r="U940" s="245"/>
      <c r="V940" s="245"/>
      <c r="W940" s="245"/>
      <c r="X940" s="245"/>
      <c r="Y940" s="249"/>
      <c r="Z940" s="276"/>
      <c r="AA940" s="245"/>
      <c r="AB940" s="276"/>
      <c r="AC940" s="276"/>
      <c r="AD940" s="246"/>
      <c r="AE940" s="278"/>
      <c r="AF940" s="370"/>
      <c r="AG940" s="371"/>
      <c r="AH940" s="276"/>
      <c r="AI940" s="245"/>
      <c r="AJ940" s="287"/>
      <c r="AK940" s="278"/>
      <c r="AL940" s="246"/>
      <c r="AM940" s="245"/>
      <c r="AN940" s="245"/>
      <c r="AO940" s="274"/>
      <c r="AP940" s="245"/>
      <c r="AQ940" s="245"/>
      <c r="AR940" s="246"/>
      <c r="AS940" s="245"/>
      <c r="AT940" s="245"/>
      <c r="AU940" s="245"/>
      <c r="AV940" s="245"/>
      <c r="AW940" s="245"/>
      <c r="AX940" s="246"/>
      <c r="AY940" s="245"/>
      <c r="AZ940" s="245"/>
      <c r="BA940" s="246"/>
      <c r="BB940" s="245"/>
      <c r="BC940" s="245"/>
      <c r="BD940" s="245"/>
      <c r="BE940" s="245"/>
      <c r="BF940" s="245"/>
      <c r="BG940" s="245"/>
      <c r="BH940" s="245"/>
      <c r="BI940" s="245"/>
      <c r="BJ940" s="245"/>
      <c r="BK940" s="245"/>
      <c r="BL940" s="245"/>
      <c r="BM940" s="245"/>
      <c r="BN940" s="245"/>
      <c r="BO940" s="245"/>
      <c r="BP940" s="245"/>
      <c r="BQ940" s="245"/>
      <c r="BR940" s="245"/>
      <c r="BS940" s="245"/>
      <c r="BT940" s="246"/>
      <c r="BU940" s="245"/>
      <c r="BV940" s="245"/>
      <c r="BW940" s="245"/>
      <c r="BX940" s="245"/>
      <c r="BY940" s="245"/>
      <c r="BZ940" s="282"/>
      <c r="CA940" s="245"/>
      <c r="CB940" s="245"/>
      <c r="CC940" s="245"/>
      <c r="CD940" s="245"/>
      <c r="CE940" s="245"/>
      <c r="CF940" s="245"/>
    </row>
    <row r="941">
      <c r="A941" s="245"/>
      <c r="B941" s="245"/>
      <c r="C941" s="245"/>
      <c r="D941" s="246"/>
      <c r="E941" s="245"/>
      <c r="F941" s="245"/>
      <c r="G941" s="245"/>
      <c r="H941" s="245"/>
      <c r="I941" s="245"/>
      <c r="J941" s="245"/>
      <c r="K941" s="265"/>
      <c r="L941" s="245"/>
      <c r="M941" s="245"/>
      <c r="N941" s="245"/>
      <c r="O941" s="245"/>
      <c r="P941" s="245"/>
      <c r="Q941" s="247"/>
      <c r="R941" s="254"/>
      <c r="S941" s="245"/>
      <c r="T941" s="245"/>
      <c r="U941" s="245"/>
      <c r="V941" s="245"/>
      <c r="W941" s="245"/>
      <c r="X941" s="245"/>
      <c r="Y941" s="249"/>
      <c r="Z941" s="276"/>
      <c r="AA941" s="245"/>
      <c r="AB941" s="276"/>
      <c r="AC941" s="276"/>
      <c r="AD941" s="246"/>
      <c r="AE941" s="278"/>
      <c r="AF941" s="370"/>
      <c r="AG941" s="371"/>
      <c r="AH941" s="276"/>
      <c r="AI941" s="245"/>
      <c r="AJ941" s="287"/>
      <c r="AK941" s="278"/>
      <c r="AL941" s="246"/>
      <c r="AM941" s="245"/>
      <c r="AN941" s="245"/>
      <c r="AO941" s="274"/>
      <c r="AP941" s="245"/>
      <c r="AQ941" s="245"/>
      <c r="AR941" s="246"/>
      <c r="AS941" s="245"/>
      <c r="AT941" s="245"/>
      <c r="AU941" s="245"/>
      <c r="AV941" s="245"/>
      <c r="AW941" s="245"/>
      <c r="AX941" s="246"/>
      <c r="AY941" s="245"/>
      <c r="AZ941" s="245"/>
      <c r="BA941" s="246"/>
      <c r="BB941" s="245"/>
      <c r="BC941" s="245"/>
      <c r="BD941" s="245"/>
      <c r="BE941" s="245"/>
      <c r="BF941" s="245"/>
      <c r="BG941" s="245"/>
      <c r="BH941" s="245"/>
      <c r="BI941" s="245"/>
      <c r="BJ941" s="245"/>
      <c r="BK941" s="245"/>
      <c r="BL941" s="245"/>
      <c r="BM941" s="245"/>
      <c r="BN941" s="245"/>
      <c r="BO941" s="245"/>
      <c r="BP941" s="245"/>
      <c r="BQ941" s="245"/>
      <c r="BR941" s="245"/>
      <c r="BS941" s="245"/>
      <c r="BT941" s="246"/>
      <c r="BU941" s="245"/>
      <c r="BV941" s="245"/>
      <c r="BW941" s="245"/>
      <c r="BX941" s="245"/>
      <c r="BY941" s="245"/>
      <c r="BZ941" s="282"/>
      <c r="CA941" s="245"/>
      <c r="CB941" s="245"/>
      <c r="CC941" s="245"/>
      <c r="CD941" s="245"/>
      <c r="CE941" s="245"/>
      <c r="CF941" s="245"/>
    </row>
    <row r="942">
      <c r="A942" s="245"/>
      <c r="B942" s="245"/>
      <c r="C942" s="245"/>
      <c r="D942" s="246"/>
      <c r="E942" s="245"/>
      <c r="F942" s="245"/>
      <c r="G942" s="245"/>
      <c r="H942" s="245"/>
      <c r="I942" s="245"/>
      <c r="J942" s="245"/>
      <c r="K942" s="265"/>
      <c r="L942" s="245"/>
      <c r="M942" s="245"/>
      <c r="N942" s="245"/>
      <c r="O942" s="245"/>
      <c r="P942" s="245"/>
      <c r="Q942" s="247"/>
      <c r="R942" s="254"/>
      <c r="S942" s="245"/>
      <c r="T942" s="245"/>
      <c r="U942" s="245"/>
      <c r="V942" s="245"/>
      <c r="W942" s="245"/>
      <c r="X942" s="245"/>
      <c r="Y942" s="249"/>
      <c r="Z942" s="276"/>
      <c r="AA942" s="245"/>
      <c r="AB942" s="276"/>
      <c r="AC942" s="276"/>
      <c r="AD942" s="246"/>
      <c r="AE942" s="278"/>
      <c r="AF942" s="370"/>
      <c r="AG942" s="371"/>
      <c r="AH942" s="276"/>
      <c r="AI942" s="245"/>
      <c r="AJ942" s="287"/>
      <c r="AK942" s="278"/>
      <c r="AL942" s="246"/>
      <c r="AM942" s="245"/>
      <c r="AN942" s="245"/>
      <c r="AO942" s="274"/>
      <c r="AP942" s="245"/>
      <c r="AQ942" s="245"/>
      <c r="AR942" s="246"/>
      <c r="AS942" s="245"/>
      <c r="AT942" s="245"/>
      <c r="AU942" s="245"/>
      <c r="AV942" s="245"/>
      <c r="AW942" s="245"/>
      <c r="AX942" s="246"/>
      <c r="AY942" s="245"/>
      <c r="AZ942" s="245"/>
      <c r="BA942" s="246"/>
      <c r="BB942" s="245"/>
      <c r="BC942" s="245"/>
      <c r="BD942" s="245"/>
      <c r="BE942" s="245"/>
      <c r="BF942" s="245"/>
      <c r="BG942" s="245"/>
      <c r="BH942" s="245"/>
      <c r="BI942" s="245"/>
      <c r="BJ942" s="245"/>
      <c r="BK942" s="245"/>
      <c r="BL942" s="245"/>
      <c r="BM942" s="245"/>
      <c r="BN942" s="245"/>
      <c r="BO942" s="245"/>
      <c r="BP942" s="245"/>
      <c r="BQ942" s="245"/>
      <c r="BR942" s="245"/>
      <c r="BS942" s="245"/>
      <c r="BT942" s="246"/>
      <c r="BU942" s="245"/>
      <c r="BV942" s="245"/>
      <c r="BW942" s="245"/>
      <c r="BX942" s="245"/>
      <c r="BY942" s="245"/>
      <c r="BZ942" s="282"/>
      <c r="CA942" s="245"/>
      <c r="CB942" s="245"/>
      <c r="CC942" s="245"/>
      <c r="CD942" s="245"/>
      <c r="CE942" s="245"/>
      <c r="CF942" s="245"/>
    </row>
    <row r="943">
      <c r="A943" s="245"/>
      <c r="B943" s="245"/>
      <c r="C943" s="245"/>
      <c r="D943" s="246"/>
      <c r="E943" s="245"/>
      <c r="F943" s="245"/>
      <c r="G943" s="245"/>
      <c r="H943" s="245"/>
      <c r="I943" s="245"/>
      <c r="J943" s="245"/>
      <c r="K943" s="265"/>
      <c r="L943" s="245"/>
      <c r="M943" s="245"/>
      <c r="N943" s="245"/>
      <c r="O943" s="245"/>
      <c r="P943" s="245"/>
      <c r="Q943" s="247"/>
      <c r="R943" s="254"/>
      <c r="S943" s="245"/>
      <c r="T943" s="245"/>
      <c r="U943" s="245"/>
      <c r="V943" s="245"/>
      <c r="W943" s="245"/>
      <c r="X943" s="245"/>
      <c r="Y943" s="249"/>
      <c r="Z943" s="276"/>
      <c r="AA943" s="245"/>
      <c r="AB943" s="276"/>
      <c r="AC943" s="276"/>
      <c r="AD943" s="246"/>
      <c r="AE943" s="278"/>
      <c r="AF943" s="370"/>
      <c r="AG943" s="371"/>
      <c r="AH943" s="276"/>
      <c r="AI943" s="245"/>
      <c r="AJ943" s="287"/>
      <c r="AK943" s="278"/>
      <c r="AL943" s="246"/>
      <c r="AM943" s="245"/>
      <c r="AN943" s="245"/>
      <c r="AO943" s="274"/>
      <c r="AP943" s="245"/>
      <c r="AQ943" s="245"/>
      <c r="AR943" s="246"/>
      <c r="AS943" s="245"/>
      <c r="AT943" s="245"/>
      <c r="AU943" s="245"/>
      <c r="AV943" s="245"/>
      <c r="AW943" s="245"/>
      <c r="AX943" s="246"/>
      <c r="AY943" s="245"/>
      <c r="AZ943" s="245"/>
      <c r="BA943" s="246"/>
      <c r="BB943" s="245"/>
      <c r="BC943" s="245"/>
      <c r="BD943" s="245"/>
      <c r="BE943" s="245"/>
      <c r="BF943" s="245"/>
      <c r="BG943" s="245"/>
      <c r="BH943" s="245"/>
      <c r="BI943" s="245"/>
      <c r="BJ943" s="245"/>
      <c r="BK943" s="245"/>
      <c r="BL943" s="245"/>
      <c r="BM943" s="245"/>
      <c r="BN943" s="245"/>
      <c r="BO943" s="245"/>
      <c r="BP943" s="245"/>
      <c r="BQ943" s="245"/>
      <c r="BR943" s="245"/>
      <c r="BS943" s="245"/>
      <c r="BT943" s="246"/>
      <c r="BU943" s="245"/>
      <c r="BV943" s="245"/>
      <c r="BW943" s="245"/>
      <c r="BX943" s="245"/>
      <c r="BY943" s="245"/>
      <c r="BZ943" s="282"/>
      <c r="CA943" s="245"/>
      <c r="CB943" s="245"/>
      <c r="CC943" s="245"/>
      <c r="CD943" s="245"/>
      <c r="CE943" s="245"/>
      <c r="CF943" s="245"/>
    </row>
    <row r="944">
      <c r="A944" s="245"/>
      <c r="B944" s="245"/>
      <c r="C944" s="245"/>
      <c r="D944" s="246"/>
      <c r="E944" s="245"/>
      <c r="F944" s="245"/>
      <c r="G944" s="245"/>
      <c r="H944" s="245"/>
      <c r="I944" s="245"/>
      <c r="J944" s="245"/>
      <c r="K944" s="265"/>
      <c r="L944" s="245"/>
      <c r="M944" s="245"/>
      <c r="N944" s="245"/>
      <c r="O944" s="245"/>
      <c r="P944" s="245"/>
      <c r="Q944" s="247"/>
      <c r="R944" s="254"/>
      <c r="S944" s="245"/>
      <c r="T944" s="245"/>
      <c r="U944" s="245"/>
      <c r="V944" s="245"/>
      <c r="W944" s="245"/>
      <c r="X944" s="245"/>
      <c r="Y944" s="249"/>
      <c r="Z944" s="276"/>
      <c r="AA944" s="245"/>
      <c r="AB944" s="276"/>
      <c r="AC944" s="276"/>
      <c r="AD944" s="246"/>
      <c r="AE944" s="278"/>
      <c r="AF944" s="370"/>
      <c r="AG944" s="371"/>
      <c r="AH944" s="276"/>
      <c r="AI944" s="245"/>
      <c r="AJ944" s="287"/>
      <c r="AK944" s="278"/>
      <c r="AL944" s="246"/>
      <c r="AM944" s="245"/>
      <c r="AN944" s="245"/>
      <c r="AO944" s="274"/>
      <c r="AP944" s="245"/>
      <c r="AQ944" s="245"/>
      <c r="AR944" s="246"/>
      <c r="AS944" s="245"/>
      <c r="AT944" s="245"/>
      <c r="AU944" s="245"/>
      <c r="AV944" s="245"/>
      <c r="AW944" s="245"/>
      <c r="AX944" s="246"/>
      <c r="AY944" s="245"/>
      <c r="AZ944" s="245"/>
      <c r="BA944" s="246"/>
      <c r="BB944" s="245"/>
      <c r="BC944" s="245"/>
      <c r="BD944" s="245"/>
      <c r="BE944" s="245"/>
      <c r="BF944" s="245"/>
      <c r="BG944" s="245"/>
      <c r="BH944" s="245"/>
      <c r="BI944" s="245"/>
      <c r="BJ944" s="245"/>
      <c r="BK944" s="245"/>
      <c r="BL944" s="245"/>
      <c r="BM944" s="245"/>
      <c r="BN944" s="245"/>
      <c r="BO944" s="245"/>
      <c r="BP944" s="245"/>
      <c r="BQ944" s="245"/>
      <c r="BR944" s="245"/>
      <c r="BS944" s="245"/>
      <c r="BT944" s="246"/>
      <c r="BU944" s="245"/>
      <c r="BV944" s="245"/>
      <c r="BW944" s="245"/>
      <c r="BX944" s="245"/>
      <c r="BY944" s="245"/>
      <c r="BZ944" s="282"/>
      <c r="CA944" s="245"/>
      <c r="CB944" s="245"/>
      <c r="CC944" s="245"/>
      <c r="CD944" s="245"/>
      <c r="CE944" s="245"/>
      <c r="CF944" s="245"/>
    </row>
    <row r="945">
      <c r="A945" s="305"/>
      <c r="B945" s="245"/>
      <c r="C945" s="245"/>
      <c r="D945" s="246"/>
      <c r="E945" s="245"/>
      <c r="F945" s="245"/>
      <c r="G945" s="245"/>
      <c r="H945" s="245"/>
      <c r="I945" s="245"/>
      <c r="J945" s="245"/>
      <c r="K945" s="265"/>
      <c r="L945" s="245"/>
      <c r="M945" s="245"/>
      <c r="N945" s="245"/>
      <c r="O945" s="245"/>
      <c r="P945" s="245"/>
      <c r="Q945" s="247"/>
      <c r="R945" s="254"/>
      <c r="S945" s="245"/>
      <c r="T945" s="245"/>
      <c r="U945" s="245"/>
      <c r="V945" s="245"/>
      <c r="W945" s="245"/>
      <c r="X945" s="245"/>
      <c r="Y945" s="249"/>
      <c r="Z945" s="276"/>
      <c r="AA945" s="245"/>
      <c r="AB945" s="276"/>
      <c r="AC945" s="276"/>
      <c r="AD945" s="246"/>
      <c r="AE945" s="278"/>
      <c r="AF945" s="370"/>
      <c r="AG945" s="371"/>
      <c r="AH945" s="276"/>
      <c r="AI945" s="245"/>
      <c r="AJ945" s="287"/>
      <c r="AK945" s="278"/>
      <c r="AL945" s="246"/>
      <c r="AM945" s="245"/>
      <c r="AN945" s="245"/>
      <c r="AO945" s="274"/>
      <c r="AP945" s="245"/>
      <c r="AQ945" s="245"/>
      <c r="AR945" s="246"/>
      <c r="AS945" s="245"/>
      <c r="AT945" s="245"/>
      <c r="AU945" s="245"/>
      <c r="AV945" s="245"/>
      <c r="AW945" s="245"/>
      <c r="AX945" s="246"/>
      <c r="AY945" s="245"/>
      <c r="AZ945" s="245"/>
      <c r="BA945" s="246"/>
      <c r="BB945" s="245"/>
      <c r="BC945" s="245"/>
      <c r="BD945" s="245"/>
      <c r="BE945" s="245"/>
      <c r="BF945" s="245"/>
      <c r="BG945" s="245"/>
      <c r="BH945" s="245"/>
      <c r="BI945" s="245"/>
      <c r="BJ945" s="245"/>
      <c r="BK945" s="245"/>
      <c r="BL945" s="245"/>
      <c r="BM945" s="245"/>
      <c r="BN945" s="245"/>
      <c r="BO945" s="245"/>
      <c r="BP945" s="245"/>
      <c r="BQ945" s="245"/>
      <c r="BR945" s="245"/>
      <c r="BS945" s="245"/>
      <c r="BT945" s="246"/>
      <c r="BU945" s="245"/>
      <c r="BV945" s="245"/>
      <c r="BW945" s="245"/>
      <c r="BX945" s="245"/>
      <c r="BY945" s="245"/>
      <c r="BZ945" s="282"/>
      <c r="CA945" s="245"/>
      <c r="CB945" s="245"/>
      <c r="CC945" s="245"/>
      <c r="CD945" s="245"/>
      <c r="CE945" s="245"/>
      <c r="CF945" s="245"/>
    </row>
    <row r="946">
      <c r="A946" s="305"/>
      <c r="B946" s="245"/>
      <c r="C946" s="245"/>
      <c r="D946" s="246"/>
      <c r="E946" s="245"/>
      <c r="F946" s="245"/>
      <c r="G946" s="245"/>
      <c r="H946" s="245"/>
      <c r="I946" s="245"/>
      <c r="J946" s="245"/>
      <c r="K946" s="265"/>
      <c r="L946" s="245"/>
      <c r="M946" s="245"/>
      <c r="N946" s="245"/>
      <c r="O946" s="245"/>
      <c r="P946" s="245"/>
      <c r="Q946" s="247"/>
      <c r="R946" s="254"/>
      <c r="S946" s="245"/>
      <c r="T946" s="245"/>
      <c r="U946" s="245"/>
      <c r="V946" s="245"/>
      <c r="W946" s="245"/>
      <c r="X946" s="245"/>
      <c r="Y946" s="249"/>
      <c r="Z946" s="276"/>
      <c r="AA946" s="245"/>
      <c r="AB946" s="276"/>
      <c r="AC946" s="276"/>
      <c r="AD946" s="246"/>
      <c r="AE946" s="278"/>
      <c r="AF946" s="370"/>
      <c r="AG946" s="371"/>
      <c r="AH946" s="276"/>
      <c r="AI946" s="245"/>
      <c r="AJ946" s="287"/>
      <c r="AK946" s="278"/>
      <c r="AL946" s="246"/>
      <c r="AM946" s="245"/>
      <c r="AN946" s="245"/>
      <c r="AO946" s="274"/>
      <c r="AP946" s="245"/>
      <c r="AQ946" s="245"/>
      <c r="AR946" s="246"/>
      <c r="AS946" s="245"/>
      <c r="AT946" s="245"/>
      <c r="AU946" s="245"/>
      <c r="AV946" s="245"/>
      <c r="AW946" s="245"/>
      <c r="AX946" s="246"/>
      <c r="AY946" s="245"/>
      <c r="AZ946" s="245"/>
      <c r="BA946" s="246"/>
      <c r="BB946" s="245"/>
      <c r="BC946" s="245"/>
      <c r="BD946" s="245"/>
      <c r="BE946" s="245"/>
      <c r="BF946" s="245"/>
      <c r="BG946" s="245"/>
      <c r="BH946" s="245"/>
      <c r="BI946" s="245"/>
      <c r="BJ946" s="245"/>
      <c r="BK946" s="245"/>
      <c r="BL946" s="245"/>
      <c r="BM946" s="245"/>
      <c r="BN946" s="245"/>
      <c r="BO946" s="245"/>
      <c r="BP946" s="245"/>
      <c r="BQ946" s="245"/>
      <c r="BR946" s="245"/>
      <c r="BS946" s="245"/>
      <c r="BT946" s="246"/>
      <c r="BU946" s="245"/>
      <c r="BV946" s="245"/>
      <c r="BW946" s="245"/>
      <c r="BX946" s="245"/>
      <c r="BY946" s="245"/>
      <c r="BZ946" s="282"/>
      <c r="CA946" s="245"/>
      <c r="CB946" s="245"/>
      <c r="CC946" s="245"/>
      <c r="CD946" s="245"/>
      <c r="CE946" s="245"/>
      <c r="CF946" s="245"/>
    </row>
    <row r="947">
      <c r="A947" s="305"/>
      <c r="B947" s="245"/>
      <c r="C947" s="245"/>
      <c r="D947" s="246"/>
      <c r="E947" s="245"/>
      <c r="F947" s="245"/>
      <c r="G947" s="245"/>
      <c r="H947" s="245"/>
      <c r="I947" s="245"/>
      <c r="J947" s="245"/>
      <c r="K947" s="265"/>
      <c r="L947" s="245"/>
      <c r="M947" s="245"/>
      <c r="N947" s="245"/>
      <c r="O947" s="245"/>
      <c r="P947" s="245"/>
      <c r="Q947" s="247"/>
      <c r="R947" s="254"/>
      <c r="S947" s="245"/>
      <c r="T947" s="245"/>
      <c r="U947" s="245"/>
      <c r="V947" s="245"/>
      <c r="W947" s="245"/>
      <c r="X947" s="245"/>
      <c r="Y947" s="249"/>
      <c r="Z947" s="276"/>
      <c r="AA947" s="245"/>
      <c r="AB947" s="276"/>
      <c r="AC947" s="276"/>
      <c r="AD947" s="246"/>
      <c r="AE947" s="278"/>
      <c r="AF947" s="370"/>
      <c r="AG947" s="371"/>
      <c r="AH947" s="276"/>
      <c r="AI947" s="245"/>
      <c r="AJ947" s="287"/>
      <c r="AK947" s="278"/>
      <c r="AL947" s="246"/>
      <c r="AM947" s="245"/>
      <c r="AN947" s="245"/>
      <c r="AO947" s="274"/>
      <c r="AP947" s="245"/>
      <c r="AQ947" s="245"/>
      <c r="AR947" s="246"/>
      <c r="AS947" s="245"/>
      <c r="AT947" s="245"/>
      <c r="AU947" s="245"/>
      <c r="AV947" s="245"/>
      <c r="AW947" s="245"/>
      <c r="AX947" s="246"/>
      <c r="AY947" s="245"/>
      <c r="AZ947" s="245"/>
      <c r="BA947" s="246"/>
      <c r="BB947" s="245"/>
      <c r="BC947" s="245"/>
      <c r="BD947" s="245"/>
      <c r="BE947" s="245"/>
      <c r="BF947" s="245"/>
      <c r="BG947" s="245"/>
      <c r="BH947" s="245"/>
      <c r="BI947" s="245"/>
      <c r="BJ947" s="245"/>
      <c r="BK947" s="245"/>
      <c r="BL947" s="245"/>
      <c r="BM947" s="245"/>
      <c r="BN947" s="245"/>
      <c r="BO947" s="245"/>
      <c r="BP947" s="245"/>
      <c r="BQ947" s="245"/>
      <c r="BR947" s="245"/>
      <c r="BS947" s="245"/>
      <c r="BT947" s="246"/>
      <c r="BU947" s="245"/>
      <c r="BV947" s="245"/>
      <c r="BW947" s="245"/>
      <c r="BX947" s="245"/>
      <c r="BY947" s="245"/>
      <c r="BZ947" s="282"/>
      <c r="CA947" s="245"/>
      <c r="CB947" s="245"/>
      <c r="CC947" s="245"/>
      <c r="CD947" s="245"/>
      <c r="CE947" s="245"/>
      <c r="CF947" s="245"/>
    </row>
    <row r="948">
      <c r="A948" s="305"/>
      <c r="B948" s="245"/>
      <c r="C948" s="245"/>
      <c r="D948" s="246"/>
      <c r="E948" s="245"/>
      <c r="F948" s="245"/>
      <c r="G948" s="245"/>
      <c r="H948" s="245"/>
      <c r="I948" s="245"/>
      <c r="J948" s="245"/>
      <c r="K948" s="265"/>
      <c r="L948" s="245"/>
      <c r="M948" s="245"/>
      <c r="N948" s="245"/>
      <c r="O948" s="245"/>
      <c r="P948" s="245"/>
      <c r="Q948" s="247"/>
      <c r="R948" s="254"/>
      <c r="S948" s="245"/>
      <c r="T948" s="245"/>
      <c r="U948" s="245"/>
      <c r="V948" s="245"/>
      <c r="W948" s="245"/>
      <c r="X948" s="245"/>
      <c r="Y948" s="249"/>
      <c r="Z948" s="276"/>
      <c r="AA948" s="245"/>
      <c r="AB948" s="276"/>
      <c r="AC948" s="276"/>
      <c r="AD948" s="246"/>
      <c r="AE948" s="278"/>
      <c r="AF948" s="370"/>
      <c r="AG948" s="371"/>
      <c r="AH948" s="276"/>
      <c r="AI948" s="245"/>
      <c r="AJ948" s="287"/>
      <c r="AK948" s="278"/>
      <c r="AL948" s="246"/>
      <c r="AM948" s="245"/>
      <c r="AN948" s="245"/>
      <c r="AO948" s="274"/>
      <c r="AP948" s="245"/>
      <c r="AQ948" s="245"/>
      <c r="AR948" s="246"/>
      <c r="AS948" s="245"/>
      <c r="AT948" s="245"/>
      <c r="AU948" s="245"/>
      <c r="AV948" s="245"/>
      <c r="AW948" s="245"/>
      <c r="AX948" s="246"/>
      <c r="AY948" s="245"/>
      <c r="AZ948" s="245"/>
      <c r="BA948" s="246"/>
      <c r="BB948" s="245"/>
      <c r="BC948" s="245"/>
      <c r="BD948" s="245"/>
      <c r="BE948" s="245"/>
      <c r="BF948" s="245"/>
      <c r="BG948" s="245"/>
      <c r="BH948" s="245"/>
      <c r="BI948" s="245"/>
      <c r="BJ948" s="245"/>
      <c r="BK948" s="245"/>
      <c r="BL948" s="245"/>
      <c r="BM948" s="245"/>
      <c r="BN948" s="245"/>
      <c r="BO948" s="245"/>
      <c r="BP948" s="245"/>
      <c r="BQ948" s="245"/>
      <c r="BR948" s="245"/>
      <c r="BS948" s="245"/>
      <c r="BT948" s="246"/>
      <c r="BU948" s="245"/>
      <c r="BV948" s="245"/>
      <c r="BW948" s="245"/>
      <c r="BX948" s="245"/>
      <c r="BY948" s="245"/>
      <c r="BZ948" s="282"/>
      <c r="CA948" s="245"/>
      <c r="CB948" s="245"/>
      <c r="CC948" s="245"/>
      <c r="CD948" s="245"/>
      <c r="CE948" s="245"/>
      <c r="CF948" s="245"/>
    </row>
    <row r="949">
      <c r="A949" s="305"/>
      <c r="B949" s="245"/>
      <c r="C949" s="245"/>
      <c r="D949" s="246"/>
      <c r="E949" s="245"/>
      <c r="F949" s="245"/>
      <c r="G949" s="245"/>
      <c r="H949" s="245"/>
      <c r="I949" s="245"/>
      <c r="J949" s="245"/>
      <c r="K949" s="265"/>
      <c r="L949" s="245"/>
      <c r="M949" s="245"/>
      <c r="N949" s="245"/>
      <c r="O949" s="245"/>
      <c r="P949" s="245"/>
      <c r="Q949" s="247"/>
      <c r="R949" s="254"/>
      <c r="S949" s="245"/>
      <c r="T949" s="245"/>
      <c r="U949" s="245"/>
      <c r="V949" s="245"/>
      <c r="W949" s="245"/>
      <c r="X949" s="245"/>
      <c r="Y949" s="249"/>
      <c r="Z949" s="276"/>
      <c r="AA949" s="245"/>
      <c r="AB949" s="276"/>
      <c r="AC949" s="276"/>
      <c r="AD949" s="246"/>
      <c r="AE949" s="278"/>
      <c r="AF949" s="370"/>
      <c r="AG949" s="371"/>
      <c r="AH949" s="276"/>
      <c r="AI949" s="245"/>
      <c r="AJ949" s="287"/>
      <c r="AK949" s="278"/>
      <c r="AL949" s="246"/>
      <c r="AM949" s="245"/>
      <c r="AN949" s="245"/>
      <c r="AO949" s="274"/>
      <c r="AP949" s="245"/>
      <c r="AQ949" s="245"/>
      <c r="AR949" s="246"/>
      <c r="AS949" s="245"/>
      <c r="AT949" s="245"/>
      <c r="AU949" s="245"/>
      <c r="AV949" s="245"/>
      <c r="AW949" s="245"/>
      <c r="AX949" s="246"/>
      <c r="AY949" s="245"/>
      <c r="AZ949" s="245"/>
      <c r="BA949" s="246"/>
      <c r="BB949" s="245"/>
      <c r="BC949" s="245"/>
      <c r="BD949" s="245"/>
      <c r="BE949" s="245"/>
      <c r="BF949" s="245"/>
      <c r="BG949" s="245"/>
      <c r="BH949" s="245"/>
      <c r="BI949" s="245"/>
      <c r="BJ949" s="245"/>
      <c r="BK949" s="245"/>
      <c r="BL949" s="245"/>
      <c r="BM949" s="245"/>
      <c r="BN949" s="245"/>
      <c r="BO949" s="245"/>
      <c r="BP949" s="245"/>
      <c r="BQ949" s="245"/>
      <c r="BR949" s="245"/>
      <c r="BS949" s="245"/>
      <c r="BT949" s="246"/>
      <c r="BU949" s="245"/>
      <c r="BV949" s="245"/>
      <c r="BW949" s="245"/>
      <c r="BX949" s="245"/>
      <c r="BY949" s="245"/>
      <c r="BZ949" s="282"/>
      <c r="CA949" s="245"/>
      <c r="CB949" s="245"/>
      <c r="CC949" s="245"/>
      <c r="CD949" s="245"/>
      <c r="CE949" s="245"/>
      <c r="CF949" s="245"/>
    </row>
    <row r="950">
      <c r="A950" s="305"/>
      <c r="B950" s="245"/>
      <c r="C950" s="245"/>
      <c r="D950" s="246"/>
      <c r="E950" s="245"/>
      <c r="F950" s="245"/>
      <c r="G950" s="245"/>
      <c r="H950" s="245"/>
      <c r="I950" s="245"/>
      <c r="J950" s="245"/>
      <c r="K950" s="265"/>
      <c r="L950" s="245"/>
      <c r="M950" s="245"/>
      <c r="N950" s="245"/>
      <c r="O950" s="245"/>
      <c r="P950" s="245"/>
      <c r="Q950" s="247"/>
      <c r="R950" s="254"/>
      <c r="S950" s="245"/>
      <c r="T950" s="245"/>
      <c r="U950" s="245"/>
      <c r="V950" s="245"/>
      <c r="W950" s="245"/>
      <c r="X950" s="245"/>
      <c r="Y950" s="249"/>
      <c r="Z950" s="276"/>
      <c r="AA950" s="245"/>
      <c r="AB950" s="276"/>
      <c r="AC950" s="276"/>
      <c r="AD950" s="246"/>
      <c r="AE950" s="278"/>
      <c r="AF950" s="370"/>
      <c r="AG950" s="371"/>
      <c r="AH950" s="276"/>
      <c r="AI950" s="245"/>
      <c r="AJ950" s="287"/>
      <c r="AK950" s="278"/>
      <c r="AL950" s="246"/>
      <c r="AM950" s="245"/>
      <c r="AN950" s="245"/>
      <c r="AO950" s="274"/>
      <c r="AP950" s="245"/>
      <c r="AQ950" s="245"/>
      <c r="AR950" s="246"/>
      <c r="AS950" s="245"/>
      <c r="AT950" s="245"/>
      <c r="AU950" s="245"/>
      <c r="AV950" s="245"/>
      <c r="AW950" s="245"/>
      <c r="AX950" s="246"/>
      <c r="AY950" s="245"/>
      <c r="AZ950" s="245"/>
      <c r="BA950" s="246"/>
      <c r="BB950" s="245"/>
      <c r="BC950" s="245"/>
      <c r="BD950" s="245"/>
      <c r="BE950" s="245"/>
      <c r="BF950" s="245"/>
      <c r="BG950" s="245"/>
      <c r="BH950" s="245"/>
      <c r="BI950" s="245"/>
      <c r="BJ950" s="245"/>
      <c r="BK950" s="245"/>
      <c r="BL950" s="245"/>
      <c r="BM950" s="245"/>
      <c r="BN950" s="245"/>
      <c r="BO950" s="245"/>
      <c r="BP950" s="245"/>
      <c r="BQ950" s="245"/>
      <c r="BR950" s="245"/>
      <c r="BS950" s="245"/>
      <c r="BT950" s="246"/>
      <c r="BU950" s="245"/>
      <c r="BV950" s="245"/>
      <c r="BW950" s="245"/>
      <c r="BX950" s="245"/>
      <c r="BY950" s="245"/>
      <c r="BZ950" s="282"/>
      <c r="CA950" s="245"/>
      <c r="CB950" s="245"/>
      <c r="CC950" s="245"/>
      <c r="CD950" s="245"/>
      <c r="CE950" s="245"/>
      <c r="CF950" s="245"/>
    </row>
    <row r="951">
      <c r="A951" s="305"/>
      <c r="B951" s="245"/>
      <c r="C951" s="245"/>
      <c r="D951" s="246"/>
      <c r="E951" s="245"/>
      <c r="F951" s="245"/>
      <c r="G951" s="245"/>
      <c r="H951" s="245"/>
      <c r="I951" s="245"/>
      <c r="J951" s="245"/>
      <c r="K951" s="265"/>
      <c r="L951" s="245"/>
      <c r="M951" s="245"/>
      <c r="N951" s="245"/>
      <c r="O951" s="245"/>
      <c r="P951" s="245"/>
      <c r="Q951" s="247"/>
      <c r="R951" s="254"/>
      <c r="S951" s="245"/>
      <c r="T951" s="245"/>
      <c r="U951" s="245"/>
      <c r="V951" s="245"/>
      <c r="W951" s="245"/>
      <c r="X951" s="245"/>
      <c r="Y951" s="249"/>
      <c r="Z951" s="276"/>
      <c r="AA951" s="245"/>
      <c r="AB951" s="276"/>
      <c r="AC951" s="276"/>
      <c r="AD951" s="246"/>
      <c r="AE951" s="278"/>
      <c r="AF951" s="370"/>
      <c r="AG951" s="371"/>
      <c r="AH951" s="276"/>
      <c r="AI951" s="245"/>
      <c r="AJ951" s="287"/>
      <c r="AK951" s="278"/>
      <c r="AL951" s="246"/>
      <c r="AM951" s="245"/>
      <c r="AN951" s="245"/>
      <c r="AO951" s="274"/>
      <c r="AP951" s="245"/>
      <c r="AQ951" s="245"/>
      <c r="AR951" s="246"/>
      <c r="AS951" s="245"/>
      <c r="AT951" s="245"/>
      <c r="AU951" s="245"/>
      <c r="AV951" s="245"/>
      <c r="AW951" s="245"/>
      <c r="AX951" s="246"/>
      <c r="AY951" s="245"/>
      <c r="AZ951" s="245"/>
      <c r="BA951" s="246"/>
      <c r="BB951" s="245"/>
      <c r="BC951" s="245"/>
      <c r="BD951" s="245"/>
      <c r="BE951" s="245"/>
      <c r="BF951" s="245"/>
      <c r="BG951" s="245"/>
      <c r="BH951" s="245"/>
      <c r="BI951" s="245"/>
      <c r="BJ951" s="245"/>
      <c r="BK951" s="245"/>
      <c r="BL951" s="245"/>
      <c r="BM951" s="245"/>
      <c r="BN951" s="245"/>
      <c r="BO951" s="245"/>
      <c r="BP951" s="245"/>
      <c r="BQ951" s="245"/>
      <c r="BR951" s="245"/>
      <c r="BS951" s="245"/>
      <c r="BT951" s="246"/>
      <c r="BU951" s="245"/>
      <c r="BV951" s="245"/>
      <c r="BW951" s="245"/>
      <c r="BX951" s="245"/>
      <c r="BY951" s="245"/>
      <c r="BZ951" s="282"/>
      <c r="CA951" s="245"/>
      <c r="CB951" s="245"/>
      <c r="CC951" s="245"/>
      <c r="CD951" s="245"/>
      <c r="CE951" s="245"/>
      <c r="CF951" s="245"/>
    </row>
    <row r="952">
      <c r="A952" s="305"/>
      <c r="B952" s="245"/>
      <c r="C952" s="245"/>
      <c r="D952" s="246"/>
      <c r="E952" s="245"/>
      <c r="F952" s="245"/>
      <c r="G952" s="245"/>
      <c r="H952" s="245"/>
      <c r="I952" s="245"/>
      <c r="J952" s="245"/>
      <c r="K952" s="265"/>
      <c r="L952" s="245"/>
      <c r="M952" s="245"/>
      <c r="N952" s="245"/>
      <c r="O952" s="245"/>
      <c r="P952" s="245"/>
      <c r="Q952" s="247"/>
      <c r="R952" s="254"/>
      <c r="S952" s="245"/>
      <c r="T952" s="245"/>
      <c r="U952" s="245"/>
      <c r="V952" s="245"/>
      <c r="W952" s="245"/>
      <c r="X952" s="245"/>
      <c r="Y952" s="249"/>
      <c r="Z952" s="276"/>
      <c r="AA952" s="245"/>
      <c r="AB952" s="276"/>
      <c r="AC952" s="276"/>
      <c r="AD952" s="246"/>
      <c r="AE952" s="278"/>
      <c r="AF952" s="370"/>
      <c r="AG952" s="371"/>
      <c r="AH952" s="276"/>
      <c r="AI952" s="245"/>
      <c r="AJ952" s="287"/>
      <c r="AK952" s="278"/>
      <c r="AL952" s="246"/>
      <c r="AM952" s="245"/>
      <c r="AN952" s="245"/>
      <c r="AO952" s="274"/>
      <c r="AP952" s="245"/>
      <c r="AQ952" s="245"/>
      <c r="AR952" s="246"/>
      <c r="AS952" s="245"/>
      <c r="AT952" s="245"/>
      <c r="AU952" s="245"/>
      <c r="AV952" s="245"/>
      <c r="AW952" s="245"/>
      <c r="AX952" s="246"/>
      <c r="AY952" s="245"/>
      <c r="AZ952" s="245"/>
      <c r="BA952" s="246"/>
      <c r="BB952" s="245"/>
      <c r="BC952" s="245"/>
      <c r="BD952" s="245"/>
      <c r="BE952" s="245"/>
      <c r="BF952" s="245"/>
      <c r="BG952" s="245"/>
      <c r="BH952" s="245"/>
      <c r="BI952" s="245"/>
      <c r="BJ952" s="245"/>
      <c r="BK952" s="245"/>
      <c r="BL952" s="245"/>
      <c r="BM952" s="245"/>
      <c r="BN952" s="245"/>
      <c r="BO952" s="245"/>
      <c r="BP952" s="245"/>
      <c r="BQ952" s="245"/>
      <c r="BR952" s="245"/>
      <c r="BS952" s="245"/>
      <c r="BT952" s="246"/>
      <c r="BU952" s="245"/>
      <c r="BV952" s="245"/>
      <c r="BW952" s="245"/>
      <c r="BX952" s="245"/>
      <c r="BY952" s="245"/>
      <c r="BZ952" s="282"/>
      <c r="CA952" s="245"/>
      <c r="CB952" s="245"/>
      <c r="CC952" s="245"/>
      <c r="CD952" s="245"/>
      <c r="CE952" s="245"/>
      <c r="CF952" s="245"/>
    </row>
    <row r="953">
      <c r="A953" s="305"/>
      <c r="B953" s="245"/>
      <c r="C953" s="245"/>
      <c r="D953" s="246"/>
      <c r="E953" s="245"/>
      <c r="F953" s="245"/>
      <c r="G953" s="245"/>
      <c r="H953" s="245"/>
      <c r="I953" s="245"/>
      <c r="J953" s="245"/>
      <c r="K953" s="265"/>
      <c r="L953" s="245"/>
      <c r="M953" s="245"/>
      <c r="N953" s="245"/>
      <c r="O953" s="245"/>
      <c r="P953" s="245"/>
      <c r="Q953" s="247"/>
      <c r="R953" s="254"/>
      <c r="S953" s="245"/>
      <c r="T953" s="245"/>
      <c r="U953" s="245"/>
      <c r="V953" s="245"/>
      <c r="W953" s="245"/>
      <c r="X953" s="245"/>
      <c r="Y953" s="249"/>
      <c r="Z953" s="276"/>
      <c r="AA953" s="245"/>
      <c r="AB953" s="276"/>
      <c r="AC953" s="276"/>
      <c r="AD953" s="246"/>
      <c r="AE953" s="278"/>
      <c r="AF953" s="370"/>
      <c r="AG953" s="371"/>
      <c r="AH953" s="276"/>
      <c r="AI953" s="245"/>
      <c r="AJ953" s="287"/>
      <c r="AK953" s="278"/>
      <c r="AL953" s="246"/>
      <c r="AM953" s="245"/>
      <c r="AN953" s="245"/>
      <c r="AO953" s="274"/>
      <c r="AP953" s="245"/>
      <c r="AQ953" s="245"/>
      <c r="AR953" s="246"/>
      <c r="AS953" s="245"/>
      <c r="AT953" s="245"/>
      <c r="AU953" s="245"/>
      <c r="AV953" s="245"/>
      <c r="AW953" s="245"/>
      <c r="AX953" s="246"/>
      <c r="AY953" s="245"/>
      <c r="AZ953" s="245"/>
      <c r="BA953" s="246"/>
      <c r="BB953" s="245"/>
      <c r="BC953" s="245"/>
      <c r="BD953" s="245"/>
      <c r="BE953" s="245"/>
      <c r="BF953" s="245"/>
      <c r="BG953" s="245"/>
      <c r="BH953" s="245"/>
      <c r="BI953" s="245"/>
      <c r="BJ953" s="245"/>
      <c r="BK953" s="245"/>
      <c r="BL953" s="245"/>
      <c r="BM953" s="245"/>
      <c r="BN953" s="245"/>
      <c r="BO953" s="245"/>
      <c r="BP953" s="245"/>
      <c r="BQ953" s="245"/>
      <c r="BR953" s="245"/>
      <c r="BS953" s="245"/>
      <c r="BT953" s="246"/>
      <c r="BU953" s="245"/>
      <c r="BV953" s="245"/>
      <c r="BW953" s="245"/>
      <c r="BX953" s="245"/>
      <c r="BY953" s="245"/>
      <c r="BZ953" s="282"/>
      <c r="CA953" s="245"/>
      <c r="CB953" s="245"/>
      <c r="CC953" s="245"/>
      <c r="CD953" s="245"/>
      <c r="CE953" s="245"/>
      <c r="CF953" s="245"/>
    </row>
    <row r="954">
      <c r="A954" s="305"/>
      <c r="B954" s="245"/>
      <c r="C954" s="245"/>
      <c r="D954" s="246"/>
      <c r="E954" s="245"/>
      <c r="F954" s="245"/>
      <c r="G954" s="245"/>
      <c r="H954" s="245"/>
      <c r="I954" s="245"/>
      <c r="J954" s="245"/>
      <c r="K954" s="265"/>
      <c r="L954" s="245"/>
      <c r="M954" s="245"/>
      <c r="N954" s="245"/>
      <c r="O954" s="245"/>
      <c r="P954" s="245"/>
      <c r="Q954" s="247"/>
      <c r="R954" s="254"/>
      <c r="S954" s="245"/>
      <c r="T954" s="245"/>
      <c r="U954" s="245"/>
      <c r="V954" s="245"/>
      <c r="W954" s="245"/>
      <c r="X954" s="245"/>
      <c r="Y954" s="249"/>
      <c r="Z954" s="276"/>
      <c r="AA954" s="245"/>
      <c r="AB954" s="276"/>
      <c r="AC954" s="276"/>
      <c r="AD954" s="246"/>
      <c r="AE954" s="278"/>
      <c r="AF954" s="370"/>
      <c r="AG954" s="371"/>
      <c r="AH954" s="276"/>
      <c r="AI954" s="245"/>
      <c r="AJ954" s="287"/>
      <c r="AK954" s="278"/>
      <c r="AL954" s="246"/>
      <c r="AM954" s="245"/>
      <c r="AN954" s="245"/>
      <c r="AO954" s="274"/>
      <c r="AP954" s="245"/>
      <c r="AQ954" s="245"/>
      <c r="AR954" s="246"/>
      <c r="AS954" s="245"/>
      <c r="AT954" s="245"/>
      <c r="AU954" s="245"/>
      <c r="AV954" s="245"/>
      <c r="AW954" s="245"/>
      <c r="AX954" s="246"/>
      <c r="AY954" s="245"/>
      <c r="AZ954" s="245"/>
      <c r="BA954" s="246"/>
      <c r="BB954" s="245"/>
      <c r="BC954" s="245"/>
      <c r="BD954" s="245"/>
      <c r="BE954" s="245"/>
      <c r="BF954" s="245"/>
      <c r="BG954" s="245"/>
      <c r="BH954" s="245"/>
      <c r="BI954" s="245"/>
      <c r="BJ954" s="245"/>
      <c r="BK954" s="245"/>
      <c r="BL954" s="245"/>
      <c r="BM954" s="245"/>
      <c r="BN954" s="245"/>
      <c r="BO954" s="245"/>
      <c r="BP954" s="245"/>
      <c r="BQ954" s="245"/>
      <c r="BR954" s="245"/>
      <c r="BS954" s="245"/>
      <c r="BT954" s="246"/>
      <c r="BU954" s="245"/>
      <c r="BV954" s="245"/>
      <c r="BW954" s="245"/>
      <c r="BX954" s="245"/>
      <c r="BY954" s="245"/>
      <c r="BZ954" s="282"/>
      <c r="CA954" s="245"/>
      <c r="CB954" s="245"/>
      <c r="CC954" s="245"/>
      <c r="CD954" s="245"/>
      <c r="CE954" s="245"/>
      <c r="CF954" s="245"/>
    </row>
    <row r="955">
      <c r="A955" s="305"/>
      <c r="B955" s="245"/>
      <c r="C955" s="245"/>
      <c r="D955" s="246"/>
      <c r="E955" s="245"/>
      <c r="F955" s="245"/>
      <c r="G955" s="245"/>
      <c r="H955" s="245"/>
      <c r="I955" s="245"/>
      <c r="J955" s="245"/>
      <c r="K955" s="265"/>
      <c r="L955" s="245"/>
      <c r="M955" s="245"/>
      <c r="N955" s="245"/>
      <c r="O955" s="245"/>
      <c r="P955" s="245"/>
      <c r="Q955" s="247"/>
      <c r="R955" s="254"/>
      <c r="S955" s="245"/>
      <c r="T955" s="245"/>
      <c r="U955" s="245"/>
      <c r="V955" s="245"/>
      <c r="W955" s="245"/>
      <c r="X955" s="245"/>
      <c r="Y955" s="249"/>
      <c r="Z955" s="276"/>
      <c r="AA955" s="245"/>
      <c r="AB955" s="276"/>
      <c r="AC955" s="276"/>
      <c r="AD955" s="246"/>
      <c r="AE955" s="278"/>
      <c r="AF955" s="370"/>
      <c r="AG955" s="371"/>
      <c r="AH955" s="276"/>
      <c r="AI955" s="245"/>
      <c r="AJ955" s="287"/>
      <c r="AK955" s="278"/>
      <c r="AL955" s="246"/>
      <c r="AM955" s="245"/>
      <c r="AN955" s="245"/>
      <c r="AO955" s="274"/>
      <c r="AP955" s="245"/>
      <c r="AQ955" s="245"/>
      <c r="AR955" s="246"/>
      <c r="AS955" s="245"/>
      <c r="AT955" s="245"/>
      <c r="AU955" s="245"/>
      <c r="AV955" s="245"/>
      <c r="AW955" s="245"/>
      <c r="AX955" s="246"/>
      <c r="AY955" s="245"/>
      <c r="AZ955" s="245"/>
      <c r="BA955" s="246"/>
      <c r="BB955" s="245"/>
      <c r="BC955" s="245"/>
      <c r="BD955" s="245"/>
      <c r="BE955" s="245"/>
      <c r="BF955" s="245"/>
      <c r="BG955" s="245"/>
      <c r="BH955" s="245"/>
      <c r="BI955" s="245"/>
      <c r="BJ955" s="245"/>
      <c r="BK955" s="245"/>
      <c r="BL955" s="245"/>
      <c r="BM955" s="245"/>
      <c r="BN955" s="245"/>
      <c r="BO955" s="245"/>
      <c r="BP955" s="245"/>
      <c r="BQ955" s="245"/>
      <c r="BR955" s="245"/>
      <c r="BS955" s="245"/>
      <c r="BT955" s="246"/>
      <c r="BU955" s="245"/>
      <c r="BV955" s="245"/>
      <c r="BW955" s="245"/>
      <c r="BX955" s="245"/>
      <c r="BY955" s="245"/>
      <c r="BZ955" s="282"/>
      <c r="CA955" s="245"/>
      <c r="CB955" s="245"/>
      <c r="CC955" s="245"/>
      <c r="CD955" s="245"/>
      <c r="CE955" s="245"/>
      <c r="CF955" s="245"/>
    </row>
    <row r="956">
      <c r="A956" s="305"/>
      <c r="B956" s="245"/>
      <c r="C956" s="245"/>
      <c r="D956" s="246"/>
      <c r="E956" s="245"/>
      <c r="F956" s="245"/>
      <c r="G956" s="245"/>
      <c r="H956" s="245"/>
      <c r="I956" s="245"/>
      <c r="J956" s="245"/>
      <c r="K956" s="265"/>
      <c r="L956" s="245"/>
      <c r="M956" s="245"/>
      <c r="N956" s="245"/>
      <c r="O956" s="245"/>
      <c r="P956" s="245"/>
      <c r="Q956" s="247"/>
      <c r="R956" s="254"/>
      <c r="S956" s="245"/>
      <c r="T956" s="245"/>
      <c r="U956" s="245"/>
      <c r="V956" s="245"/>
      <c r="W956" s="245"/>
      <c r="X956" s="245"/>
      <c r="Y956" s="249"/>
      <c r="Z956" s="276"/>
      <c r="AA956" s="245"/>
      <c r="AB956" s="276"/>
      <c r="AC956" s="276"/>
      <c r="AD956" s="246"/>
      <c r="AE956" s="278"/>
      <c r="AF956" s="370"/>
      <c r="AG956" s="371"/>
      <c r="AH956" s="276"/>
      <c r="AI956" s="245"/>
      <c r="AJ956" s="287"/>
      <c r="AK956" s="278"/>
      <c r="AL956" s="246"/>
      <c r="AM956" s="245"/>
      <c r="AN956" s="245"/>
      <c r="AO956" s="274"/>
      <c r="AP956" s="245"/>
      <c r="AQ956" s="245"/>
      <c r="AR956" s="246"/>
      <c r="AS956" s="245"/>
      <c r="AT956" s="245"/>
      <c r="AU956" s="245"/>
      <c r="AV956" s="245"/>
      <c r="AW956" s="245"/>
      <c r="AX956" s="246"/>
      <c r="AY956" s="245"/>
      <c r="AZ956" s="245"/>
      <c r="BA956" s="246"/>
      <c r="BB956" s="245"/>
      <c r="BC956" s="245"/>
      <c r="BD956" s="245"/>
      <c r="BE956" s="245"/>
      <c r="BF956" s="245"/>
      <c r="BG956" s="245"/>
      <c r="BH956" s="245"/>
      <c r="BI956" s="245"/>
      <c r="BJ956" s="245"/>
      <c r="BK956" s="245"/>
      <c r="BL956" s="245"/>
      <c r="BM956" s="245"/>
      <c r="BN956" s="245"/>
      <c r="BO956" s="245"/>
      <c r="BP956" s="245"/>
      <c r="BQ956" s="245"/>
      <c r="BR956" s="245"/>
      <c r="BS956" s="245"/>
      <c r="BT956" s="246"/>
      <c r="BU956" s="245"/>
      <c r="BV956" s="245"/>
      <c r="BW956" s="245"/>
      <c r="BX956" s="245"/>
      <c r="BY956" s="245"/>
      <c r="BZ956" s="282"/>
      <c r="CA956" s="245"/>
      <c r="CB956" s="245"/>
      <c r="CC956" s="245"/>
      <c r="CD956" s="245"/>
      <c r="CE956" s="245"/>
      <c r="CF956" s="245"/>
    </row>
    <row r="957">
      <c r="A957" s="305"/>
      <c r="B957" s="245"/>
      <c r="C957" s="245"/>
      <c r="D957" s="246"/>
      <c r="E957" s="245"/>
      <c r="F957" s="245"/>
      <c r="G957" s="245"/>
      <c r="H957" s="245"/>
      <c r="I957" s="245"/>
      <c r="J957" s="245"/>
      <c r="K957" s="265"/>
      <c r="L957" s="245"/>
      <c r="M957" s="245"/>
      <c r="N957" s="245"/>
      <c r="O957" s="245"/>
      <c r="P957" s="245"/>
      <c r="Q957" s="247"/>
      <c r="R957" s="254"/>
      <c r="S957" s="245"/>
      <c r="T957" s="245"/>
      <c r="U957" s="245"/>
      <c r="V957" s="245"/>
      <c r="W957" s="245"/>
      <c r="X957" s="245"/>
      <c r="Y957" s="249"/>
      <c r="Z957" s="276"/>
      <c r="AA957" s="245"/>
      <c r="AB957" s="276"/>
      <c r="AC957" s="276"/>
      <c r="AD957" s="246"/>
      <c r="AE957" s="278"/>
      <c r="AF957" s="370"/>
      <c r="AG957" s="371"/>
      <c r="AH957" s="276"/>
      <c r="AI957" s="245"/>
      <c r="AJ957" s="287"/>
      <c r="AK957" s="278"/>
      <c r="AL957" s="246"/>
      <c r="AM957" s="245"/>
      <c r="AN957" s="245"/>
      <c r="AO957" s="274"/>
      <c r="AP957" s="245"/>
      <c r="AQ957" s="245"/>
      <c r="AR957" s="246"/>
      <c r="AS957" s="245"/>
      <c r="AT957" s="245"/>
      <c r="AU957" s="245"/>
      <c r="AV957" s="245"/>
      <c r="AW957" s="245"/>
      <c r="AX957" s="246"/>
      <c r="AY957" s="245"/>
      <c r="AZ957" s="245"/>
      <c r="BA957" s="246"/>
      <c r="BB957" s="245"/>
      <c r="BC957" s="245"/>
      <c r="BD957" s="245"/>
      <c r="BE957" s="245"/>
      <c r="BF957" s="245"/>
      <c r="BG957" s="245"/>
      <c r="BH957" s="245"/>
      <c r="BI957" s="245"/>
      <c r="BJ957" s="245"/>
      <c r="BK957" s="245"/>
      <c r="BL957" s="245"/>
      <c r="BM957" s="245"/>
      <c r="BN957" s="245"/>
      <c r="BO957" s="245"/>
      <c r="BP957" s="245"/>
      <c r="BQ957" s="245"/>
      <c r="BR957" s="245"/>
      <c r="BS957" s="245"/>
      <c r="BT957" s="246"/>
      <c r="BU957" s="245"/>
      <c r="BV957" s="245"/>
      <c r="BW957" s="245"/>
      <c r="BX957" s="245"/>
      <c r="BY957" s="245"/>
      <c r="BZ957" s="282"/>
      <c r="CA957" s="245"/>
      <c r="CB957" s="245"/>
      <c r="CC957" s="245"/>
      <c r="CD957" s="245"/>
      <c r="CE957" s="245"/>
      <c r="CF957" s="245"/>
    </row>
    <row r="958">
      <c r="A958" s="305"/>
      <c r="B958" s="245"/>
      <c r="C958" s="245"/>
      <c r="D958" s="246"/>
      <c r="E958" s="245"/>
      <c r="F958" s="245"/>
      <c r="G958" s="245"/>
      <c r="H958" s="245"/>
      <c r="I958" s="245"/>
      <c r="J958" s="245"/>
      <c r="K958" s="265"/>
      <c r="L958" s="245"/>
      <c r="M958" s="245"/>
      <c r="N958" s="245"/>
      <c r="O958" s="245"/>
      <c r="P958" s="245"/>
      <c r="Q958" s="247"/>
      <c r="R958" s="254"/>
      <c r="S958" s="245"/>
      <c r="T958" s="245"/>
      <c r="U958" s="245"/>
      <c r="V958" s="245"/>
      <c r="W958" s="245"/>
      <c r="X958" s="245"/>
      <c r="Y958" s="249"/>
      <c r="Z958" s="276"/>
      <c r="AA958" s="245"/>
      <c r="AB958" s="276"/>
      <c r="AC958" s="276"/>
      <c r="AD958" s="246"/>
      <c r="AE958" s="278"/>
      <c r="AF958" s="370"/>
      <c r="AG958" s="371"/>
      <c r="AH958" s="276"/>
      <c r="AI958" s="245"/>
      <c r="AJ958" s="287"/>
      <c r="AK958" s="278"/>
      <c r="AL958" s="246"/>
      <c r="AM958" s="245"/>
      <c r="AN958" s="245"/>
      <c r="AO958" s="274"/>
      <c r="AP958" s="245"/>
      <c r="AQ958" s="245"/>
      <c r="AR958" s="246"/>
      <c r="AS958" s="245"/>
      <c r="AT958" s="245"/>
      <c r="AU958" s="245"/>
      <c r="AV958" s="245"/>
      <c r="AW958" s="245"/>
      <c r="AX958" s="246"/>
      <c r="AY958" s="245"/>
      <c r="AZ958" s="245"/>
      <c r="BA958" s="246"/>
      <c r="BB958" s="245"/>
      <c r="BC958" s="245"/>
      <c r="BD958" s="245"/>
      <c r="BE958" s="245"/>
      <c r="BF958" s="245"/>
      <c r="BG958" s="245"/>
      <c r="BH958" s="245"/>
      <c r="BI958" s="245"/>
      <c r="BJ958" s="245"/>
      <c r="BK958" s="245"/>
      <c r="BL958" s="245"/>
      <c r="BM958" s="245"/>
      <c r="BN958" s="245"/>
      <c r="BO958" s="245"/>
      <c r="BP958" s="245"/>
      <c r="BQ958" s="245"/>
      <c r="BR958" s="245"/>
      <c r="BS958" s="245"/>
      <c r="BT958" s="246"/>
      <c r="BU958" s="245"/>
      <c r="BV958" s="245"/>
      <c r="BW958" s="245"/>
      <c r="BX958" s="245"/>
      <c r="BY958" s="245"/>
      <c r="BZ958" s="282"/>
      <c r="CA958" s="245"/>
      <c r="CB958" s="245"/>
      <c r="CC958" s="245"/>
      <c r="CD958" s="245"/>
      <c r="CE958" s="245"/>
      <c r="CF958" s="245"/>
    </row>
    <row r="959">
      <c r="A959" s="305"/>
      <c r="B959" s="245"/>
      <c r="C959" s="245"/>
      <c r="D959" s="246"/>
      <c r="E959" s="245"/>
      <c r="F959" s="245"/>
      <c r="G959" s="245"/>
      <c r="H959" s="245"/>
      <c r="I959" s="245"/>
      <c r="J959" s="245"/>
      <c r="K959" s="265"/>
      <c r="L959" s="245"/>
      <c r="M959" s="245"/>
      <c r="N959" s="245"/>
      <c r="O959" s="245"/>
      <c r="P959" s="245"/>
      <c r="Q959" s="247"/>
      <c r="R959" s="254"/>
      <c r="S959" s="245"/>
      <c r="T959" s="245"/>
      <c r="U959" s="245"/>
      <c r="V959" s="245"/>
      <c r="W959" s="245"/>
      <c r="X959" s="245"/>
      <c r="Y959" s="249"/>
      <c r="Z959" s="276"/>
      <c r="AA959" s="245"/>
      <c r="AB959" s="276"/>
      <c r="AC959" s="276"/>
      <c r="AD959" s="246"/>
      <c r="AE959" s="278"/>
      <c r="AF959" s="370"/>
      <c r="AG959" s="371"/>
      <c r="AH959" s="276"/>
      <c r="AI959" s="245"/>
      <c r="AJ959" s="287"/>
      <c r="AK959" s="278"/>
      <c r="AL959" s="246"/>
      <c r="AM959" s="245"/>
      <c r="AN959" s="245"/>
      <c r="AO959" s="274"/>
      <c r="AP959" s="245"/>
      <c r="AQ959" s="245"/>
      <c r="AR959" s="246"/>
      <c r="AS959" s="245"/>
      <c r="AT959" s="245"/>
      <c r="AU959" s="245"/>
      <c r="AV959" s="245"/>
      <c r="AW959" s="245"/>
      <c r="AX959" s="246"/>
      <c r="AY959" s="245"/>
      <c r="AZ959" s="245"/>
      <c r="BA959" s="246"/>
      <c r="BB959" s="245"/>
      <c r="BC959" s="245"/>
      <c r="BD959" s="245"/>
      <c r="BE959" s="245"/>
      <c r="BF959" s="245"/>
      <c r="BG959" s="245"/>
      <c r="BH959" s="245"/>
      <c r="BI959" s="245"/>
      <c r="BJ959" s="245"/>
      <c r="BK959" s="245"/>
      <c r="BL959" s="245"/>
      <c r="BM959" s="245"/>
      <c r="BN959" s="245"/>
      <c r="BO959" s="245"/>
      <c r="BP959" s="245"/>
      <c r="BQ959" s="245"/>
      <c r="BR959" s="245"/>
      <c r="BS959" s="245"/>
      <c r="BT959" s="246"/>
      <c r="BU959" s="245"/>
      <c r="BV959" s="245"/>
      <c r="BW959" s="245"/>
      <c r="BX959" s="245"/>
      <c r="BY959" s="245"/>
      <c r="BZ959" s="282"/>
      <c r="CA959" s="245"/>
      <c r="CB959" s="245"/>
      <c r="CC959" s="245"/>
      <c r="CD959" s="245"/>
      <c r="CE959" s="245"/>
      <c r="CF959" s="245"/>
    </row>
    <row r="960">
      <c r="A960" s="305"/>
      <c r="B960" s="245"/>
      <c r="C960" s="245"/>
      <c r="D960" s="246"/>
      <c r="E960" s="245"/>
      <c r="F960" s="245"/>
      <c r="G960" s="245"/>
      <c r="H960" s="245"/>
      <c r="I960" s="245"/>
      <c r="J960" s="245"/>
      <c r="K960" s="265"/>
      <c r="L960" s="245"/>
      <c r="M960" s="245"/>
      <c r="N960" s="245"/>
      <c r="O960" s="245"/>
      <c r="P960" s="245"/>
      <c r="Q960" s="247"/>
      <c r="R960" s="254"/>
      <c r="S960" s="245"/>
      <c r="T960" s="245"/>
      <c r="U960" s="245"/>
      <c r="V960" s="245"/>
      <c r="W960" s="245"/>
      <c r="X960" s="245"/>
      <c r="Y960" s="249"/>
      <c r="Z960" s="276"/>
      <c r="AA960" s="245"/>
      <c r="AB960" s="276"/>
      <c r="AC960" s="276"/>
      <c r="AD960" s="246"/>
      <c r="AE960" s="278"/>
      <c r="AF960" s="370"/>
      <c r="AG960" s="371"/>
      <c r="AH960" s="276"/>
      <c r="AI960" s="245"/>
      <c r="AJ960" s="287"/>
      <c r="AK960" s="278"/>
      <c r="AL960" s="246"/>
      <c r="AM960" s="245"/>
      <c r="AN960" s="245"/>
      <c r="AO960" s="274"/>
      <c r="AP960" s="245"/>
      <c r="AQ960" s="245"/>
      <c r="AR960" s="246"/>
      <c r="AS960" s="245"/>
      <c r="AT960" s="245"/>
      <c r="AU960" s="245"/>
      <c r="AV960" s="245"/>
      <c r="AW960" s="245"/>
      <c r="AX960" s="246"/>
      <c r="AY960" s="245"/>
      <c r="AZ960" s="245"/>
      <c r="BA960" s="246"/>
      <c r="BB960" s="245"/>
      <c r="BC960" s="245"/>
      <c r="BD960" s="245"/>
      <c r="BE960" s="245"/>
      <c r="BF960" s="245"/>
      <c r="BG960" s="245"/>
      <c r="BH960" s="245"/>
      <c r="BI960" s="245"/>
      <c r="BJ960" s="245"/>
      <c r="BK960" s="245"/>
      <c r="BL960" s="245"/>
      <c r="BM960" s="245"/>
      <c r="BN960" s="245"/>
      <c r="BO960" s="245"/>
      <c r="BP960" s="245"/>
      <c r="BQ960" s="245"/>
      <c r="BR960" s="245"/>
      <c r="BS960" s="245"/>
      <c r="BT960" s="246"/>
      <c r="BU960" s="245"/>
      <c r="BV960" s="245"/>
      <c r="BW960" s="245"/>
      <c r="BX960" s="245"/>
      <c r="BY960" s="245"/>
      <c r="BZ960" s="282"/>
      <c r="CA960" s="245"/>
      <c r="CB960" s="245"/>
      <c r="CC960" s="245"/>
      <c r="CD960" s="245"/>
      <c r="CE960" s="245"/>
      <c r="CF960" s="245"/>
    </row>
    <row r="961">
      <c r="A961" s="305"/>
      <c r="B961" s="245"/>
      <c r="C961" s="245"/>
      <c r="D961" s="246"/>
      <c r="E961" s="245"/>
      <c r="F961" s="245"/>
      <c r="G961" s="245"/>
      <c r="H961" s="245"/>
      <c r="I961" s="245"/>
      <c r="J961" s="245"/>
      <c r="K961" s="265"/>
      <c r="L961" s="245"/>
      <c r="M961" s="245"/>
      <c r="N961" s="245"/>
      <c r="O961" s="245"/>
      <c r="P961" s="245"/>
      <c r="Q961" s="247"/>
      <c r="R961" s="254"/>
      <c r="S961" s="245"/>
      <c r="T961" s="245"/>
      <c r="U961" s="245"/>
      <c r="V961" s="245"/>
      <c r="W961" s="245"/>
      <c r="X961" s="245"/>
      <c r="Y961" s="249"/>
      <c r="Z961" s="276"/>
      <c r="AA961" s="245"/>
      <c r="AB961" s="276"/>
      <c r="AC961" s="276"/>
      <c r="AD961" s="246"/>
      <c r="AE961" s="278"/>
      <c r="AF961" s="370"/>
      <c r="AG961" s="371"/>
      <c r="AH961" s="276"/>
      <c r="AI961" s="245"/>
      <c r="AJ961" s="287"/>
      <c r="AK961" s="278"/>
      <c r="AL961" s="246"/>
      <c r="AM961" s="245"/>
      <c r="AN961" s="245"/>
      <c r="AO961" s="274"/>
      <c r="AP961" s="245"/>
      <c r="AQ961" s="245"/>
      <c r="AR961" s="246"/>
      <c r="AS961" s="245"/>
      <c r="AT961" s="245"/>
      <c r="AU961" s="245"/>
      <c r="AV961" s="245"/>
      <c r="AW961" s="245"/>
      <c r="AX961" s="246"/>
      <c r="AY961" s="245"/>
      <c r="AZ961" s="245"/>
      <c r="BA961" s="246"/>
      <c r="BB961" s="245"/>
      <c r="BC961" s="245"/>
      <c r="BD961" s="245"/>
      <c r="BE961" s="245"/>
      <c r="BF961" s="245"/>
      <c r="BG961" s="245"/>
      <c r="BH961" s="245"/>
      <c r="BI961" s="245"/>
      <c r="BJ961" s="245"/>
      <c r="BK961" s="245"/>
      <c r="BL961" s="245"/>
      <c r="BM961" s="245"/>
      <c r="BN961" s="245"/>
      <c r="BO961" s="245"/>
      <c r="BP961" s="245"/>
      <c r="BQ961" s="245"/>
      <c r="BR961" s="245"/>
      <c r="BS961" s="245"/>
      <c r="BT961" s="246"/>
      <c r="BU961" s="245"/>
      <c r="BV961" s="245"/>
      <c r="BW961" s="245"/>
      <c r="BX961" s="245"/>
      <c r="BY961" s="245"/>
      <c r="BZ961" s="282"/>
      <c r="CA961" s="245"/>
      <c r="CB961" s="245"/>
      <c r="CC961" s="245"/>
      <c r="CD961" s="245"/>
      <c r="CE961" s="245"/>
      <c r="CF961" s="245"/>
    </row>
    <row r="962">
      <c r="A962" s="305"/>
      <c r="B962" s="245"/>
      <c r="C962" s="245"/>
      <c r="D962" s="246"/>
      <c r="E962" s="245"/>
      <c r="F962" s="245"/>
      <c r="G962" s="245"/>
      <c r="H962" s="245"/>
      <c r="I962" s="245"/>
      <c r="J962" s="245"/>
      <c r="K962" s="265"/>
      <c r="L962" s="245"/>
      <c r="M962" s="245"/>
      <c r="N962" s="245"/>
      <c r="O962" s="245"/>
      <c r="P962" s="245"/>
      <c r="Q962" s="247"/>
      <c r="R962" s="254"/>
      <c r="S962" s="245"/>
      <c r="T962" s="245"/>
      <c r="U962" s="245"/>
      <c r="V962" s="245"/>
      <c r="W962" s="245"/>
      <c r="X962" s="245"/>
      <c r="Y962" s="249"/>
      <c r="Z962" s="276"/>
      <c r="AA962" s="245"/>
      <c r="AB962" s="276"/>
      <c r="AC962" s="276"/>
      <c r="AD962" s="246"/>
      <c r="AE962" s="278"/>
      <c r="AF962" s="370"/>
      <c r="AG962" s="371"/>
      <c r="AH962" s="276"/>
      <c r="AI962" s="245"/>
      <c r="AJ962" s="287"/>
      <c r="AK962" s="278"/>
      <c r="AL962" s="246"/>
      <c r="AM962" s="245"/>
      <c r="AN962" s="245"/>
      <c r="AO962" s="274"/>
      <c r="AP962" s="245"/>
      <c r="AQ962" s="245"/>
      <c r="AR962" s="246"/>
      <c r="AS962" s="245"/>
      <c r="AT962" s="245"/>
      <c r="AU962" s="245"/>
      <c r="AV962" s="245"/>
      <c r="AW962" s="245"/>
      <c r="AX962" s="246"/>
      <c r="AY962" s="245"/>
      <c r="AZ962" s="245"/>
      <c r="BA962" s="246"/>
      <c r="BB962" s="245"/>
      <c r="BC962" s="245"/>
      <c r="BD962" s="245"/>
      <c r="BE962" s="245"/>
      <c r="BF962" s="245"/>
      <c r="BG962" s="245"/>
      <c r="BH962" s="245"/>
      <c r="BI962" s="245"/>
      <c r="BJ962" s="245"/>
      <c r="BK962" s="245"/>
      <c r="BL962" s="245"/>
      <c r="BM962" s="245"/>
      <c r="BN962" s="245"/>
      <c r="BO962" s="245"/>
      <c r="BP962" s="245"/>
      <c r="BQ962" s="245"/>
      <c r="BR962" s="245"/>
      <c r="BS962" s="245"/>
      <c r="BT962" s="246"/>
      <c r="BU962" s="245"/>
      <c r="BV962" s="245"/>
      <c r="BW962" s="245"/>
      <c r="BX962" s="245"/>
      <c r="BY962" s="245"/>
      <c r="BZ962" s="282"/>
      <c r="CA962" s="245"/>
      <c r="CB962" s="245"/>
      <c r="CC962" s="245"/>
      <c r="CD962" s="245"/>
      <c r="CE962" s="245"/>
      <c r="CF962" s="245"/>
    </row>
    <row r="963">
      <c r="A963" s="305"/>
      <c r="B963" s="245"/>
      <c r="C963" s="245"/>
      <c r="D963" s="246"/>
      <c r="E963" s="245"/>
      <c r="F963" s="245"/>
      <c r="G963" s="245"/>
      <c r="H963" s="245"/>
      <c r="I963" s="245"/>
      <c r="J963" s="245"/>
      <c r="K963" s="265"/>
      <c r="L963" s="245"/>
      <c r="M963" s="245"/>
      <c r="N963" s="245"/>
      <c r="O963" s="245"/>
      <c r="P963" s="245"/>
      <c r="Q963" s="247"/>
      <c r="R963" s="254"/>
      <c r="S963" s="245"/>
      <c r="T963" s="245"/>
      <c r="U963" s="245"/>
      <c r="V963" s="245"/>
      <c r="W963" s="245"/>
      <c r="X963" s="245"/>
      <c r="Y963" s="249"/>
      <c r="Z963" s="276"/>
      <c r="AA963" s="245"/>
      <c r="AB963" s="276"/>
      <c r="AC963" s="276"/>
      <c r="AD963" s="246"/>
      <c r="AE963" s="278"/>
      <c r="AF963" s="370"/>
      <c r="AG963" s="371"/>
      <c r="AH963" s="276"/>
      <c r="AI963" s="245"/>
      <c r="AJ963" s="287"/>
      <c r="AK963" s="278"/>
      <c r="AL963" s="246"/>
      <c r="AM963" s="245"/>
      <c r="AN963" s="245"/>
      <c r="AO963" s="274"/>
      <c r="AP963" s="245"/>
      <c r="AQ963" s="245"/>
      <c r="AR963" s="246"/>
      <c r="AS963" s="245"/>
      <c r="AT963" s="245"/>
      <c r="AU963" s="245"/>
      <c r="AV963" s="245"/>
      <c r="AW963" s="245"/>
      <c r="AX963" s="246"/>
      <c r="AY963" s="245"/>
      <c r="AZ963" s="245"/>
      <c r="BA963" s="246"/>
      <c r="BB963" s="245"/>
      <c r="BC963" s="245"/>
      <c r="BD963" s="245"/>
      <c r="BE963" s="245"/>
      <c r="BF963" s="245"/>
      <c r="BG963" s="245"/>
      <c r="BH963" s="245"/>
      <c r="BI963" s="245"/>
      <c r="BJ963" s="245"/>
      <c r="BK963" s="245"/>
      <c r="BL963" s="245"/>
      <c r="BM963" s="245"/>
      <c r="BN963" s="245"/>
      <c r="BO963" s="245"/>
      <c r="BP963" s="245"/>
      <c r="BQ963" s="245"/>
      <c r="BR963" s="245"/>
      <c r="BS963" s="245"/>
      <c r="BT963" s="246"/>
      <c r="BU963" s="245"/>
      <c r="BV963" s="245"/>
      <c r="BW963" s="245"/>
      <c r="BX963" s="245"/>
      <c r="BY963" s="245"/>
      <c r="BZ963" s="282"/>
      <c r="CA963" s="245"/>
      <c r="CB963" s="245"/>
      <c r="CC963" s="245"/>
      <c r="CD963" s="245"/>
      <c r="CE963" s="245"/>
      <c r="CF963" s="245"/>
    </row>
    <row r="964">
      <c r="A964" s="305"/>
      <c r="B964" s="245"/>
      <c r="C964" s="245"/>
      <c r="D964" s="246"/>
      <c r="E964" s="245"/>
      <c r="F964" s="245"/>
      <c r="G964" s="245"/>
      <c r="H964" s="245"/>
      <c r="I964" s="245"/>
      <c r="J964" s="245"/>
      <c r="K964" s="265"/>
      <c r="L964" s="245"/>
      <c r="M964" s="245"/>
      <c r="N964" s="245"/>
      <c r="O964" s="245"/>
      <c r="P964" s="245"/>
      <c r="Q964" s="247"/>
      <c r="R964" s="254"/>
      <c r="S964" s="245"/>
      <c r="T964" s="245"/>
      <c r="U964" s="245"/>
      <c r="V964" s="245"/>
      <c r="W964" s="245"/>
      <c r="X964" s="245"/>
      <c r="Y964" s="249"/>
      <c r="Z964" s="276"/>
      <c r="AA964" s="245"/>
      <c r="AB964" s="276"/>
      <c r="AC964" s="276"/>
      <c r="AD964" s="246"/>
      <c r="AE964" s="278"/>
      <c r="AF964" s="370"/>
      <c r="AG964" s="371"/>
      <c r="AH964" s="276"/>
      <c r="AI964" s="245"/>
      <c r="AJ964" s="287"/>
      <c r="AK964" s="278"/>
      <c r="AL964" s="246"/>
      <c r="AM964" s="245"/>
      <c r="AN964" s="245"/>
      <c r="AO964" s="274"/>
      <c r="AP964" s="245"/>
      <c r="AQ964" s="245"/>
      <c r="AR964" s="246"/>
      <c r="AS964" s="245"/>
      <c r="AT964" s="245"/>
      <c r="AU964" s="245"/>
      <c r="AV964" s="245"/>
      <c r="AW964" s="245"/>
      <c r="AX964" s="246"/>
      <c r="AY964" s="245"/>
      <c r="AZ964" s="245"/>
      <c r="BA964" s="246"/>
      <c r="BB964" s="245"/>
      <c r="BC964" s="245"/>
      <c r="BD964" s="245"/>
      <c r="BE964" s="245"/>
      <c r="BF964" s="245"/>
      <c r="BG964" s="245"/>
      <c r="BH964" s="245"/>
      <c r="BI964" s="245"/>
      <c r="BJ964" s="245"/>
      <c r="BK964" s="245"/>
      <c r="BL964" s="245"/>
      <c r="BM964" s="245"/>
      <c r="BN964" s="245"/>
      <c r="BO964" s="245"/>
      <c r="BP964" s="245"/>
      <c r="BQ964" s="245"/>
      <c r="BR964" s="245"/>
      <c r="BS964" s="245"/>
      <c r="BT964" s="246"/>
      <c r="BU964" s="245"/>
      <c r="BV964" s="245"/>
      <c r="BW964" s="245"/>
      <c r="BX964" s="245"/>
      <c r="BY964" s="245"/>
      <c r="BZ964" s="282"/>
      <c r="CA964" s="245"/>
      <c r="CB964" s="245"/>
      <c r="CC964" s="245"/>
      <c r="CD964" s="245"/>
      <c r="CE964" s="245"/>
      <c r="CF964" s="245"/>
    </row>
    <row r="965">
      <c r="A965" s="305"/>
      <c r="B965" s="245"/>
      <c r="C965" s="245"/>
      <c r="D965" s="246"/>
      <c r="E965" s="245"/>
      <c r="F965" s="245"/>
      <c r="G965" s="245"/>
      <c r="H965" s="245"/>
      <c r="I965" s="245"/>
      <c r="J965" s="245"/>
      <c r="K965" s="265"/>
      <c r="L965" s="245"/>
      <c r="M965" s="245"/>
      <c r="N965" s="245"/>
      <c r="O965" s="245"/>
      <c r="P965" s="245"/>
      <c r="Q965" s="247"/>
      <c r="R965" s="254"/>
      <c r="S965" s="245"/>
      <c r="T965" s="245"/>
      <c r="U965" s="245"/>
      <c r="V965" s="245"/>
      <c r="W965" s="245"/>
      <c r="X965" s="245"/>
      <c r="Y965" s="249"/>
      <c r="Z965" s="276"/>
      <c r="AA965" s="245"/>
      <c r="AB965" s="276"/>
      <c r="AC965" s="276"/>
      <c r="AD965" s="246"/>
      <c r="AE965" s="278"/>
      <c r="AF965" s="370"/>
      <c r="AG965" s="371"/>
      <c r="AH965" s="276"/>
      <c r="AI965" s="245"/>
      <c r="AJ965" s="287"/>
      <c r="AK965" s="278"/>
      <c r="AL965" s="246"/>
      <c r="AM965" s="245"/>
      <c r="AN965" s="245"/>
      <c r="AO965" s="274"/>
      <c r="AP965" s="245"/>
      <c r="AQ965" s="245"/>
      <c r="AR965" s="246"/>
      <c r="AS965" s="245"/>
      <c r="AT965" s="245"/>
      <c r="AU965" s="245"/>
      <c r="AV965" s="245"/>
      <c r="AW965" s="245"/>
      <c r="AX965" s="246"/>
      <c r="AY965" s="245"/>
      <c r="AZ965" s="245"/>
      <c r="BA965" s="246"/>
      <c r="BB965" s="245"/>
      <c r="BC965" s="245"/>
      <c r="BD965" s="245"/>
      <c r="BE965" s="245"/>
      <c r="BF965" s="245"/>
      <c r="BG965" s="245"/>
      <c r="BH965" s="245"/>
      <c r="BI965" s="245"/>
      <c r="BJ965" s="245"/>
      <c r="BK965" s="245"/>
      <c r="BL965" s="245"/>
      <c r="BM965" s="245"/>
      <c r="BN965" s="245"/>
      <c r="BO965" s="245"/>
      <c r="BP965" s="245"/>
      <c r="BQ965" s="245"/>
      <c r="BR965" s="245"/>
      <c r="BS965" s="245"/>
      <c r="BT965" s="246"/>
      <c r="BU965" s="245"/>
      <c r="BV965" s="245"/>
      <c r="BW965" s="245"/>
      <c r="BX965" s="245"/>
      <c r="BY965" s="245"/>
      <c r="BZ965" s="282"/>
      <c r="CA965" s="245"/>
      <c r="CB965" s="245"/>
      <c r="CC965" s="245"/>
      <c r="CD965" s="245"/>
      <c r="CE965" s="245"/>
      <c r="CF965" s="245"/>
    </row>
    <row r="966">
      <c r="A966" s="305"/>
      <c r="B966" s="245"/>
      <c r="C966" s="245"/>
      <c r="D966" s="246"/>
      <c r="E966" s="245"/>
      <c r="F966" s="245"/>
      <c r="G966" s="245"/>
      <c r="H966" s="245"/>
      <c r="I966" s="245"/>
      <c r="J966" s="245"/>
      <c r="K966" s="265"/>
      <c r="L966" s="245"/>
      <c r="M966" s="245"/>
      <c r="N966" s="245"/>
      <c r="O966" s="245"/>
      <c r="P966" s="245"/>
      <c r="Q966" s="247"/>
      <c r="R966" s="254"/>
      <c r="S966" s="245"/>
      <c r="T966" s="245"/>
      <c r="U966" s="245"/>
      <c r="V966" s="245"/>
      <c r="W966" s="245"/>
      <c r="X966" s="245"/>
      <c r="Y966" s="249"/>
      <c r="Z966" s="276"/>
      <c r="AA966" s="245"/>
      <c r="AB966" s="276"/>
      <c r="AC966" s="276"/>
      <c r="AD966" s="246"/>
      <c r="AE966" s="278"/>
      <c r="AF966" s="370"/>
      <c r="AG966" s="371"/>
      <c r="AH966" s="276"/>
      <c r="AI966" s="245"/>
      <c r="AJ966" s="287"/>
      <c r="AK966" s="278"/>
      <c r="AL966" s="246"/>
      <c r="AM966" s="245"/>
      <c r="AN966" s="245"/>
      <c r="AO966" s="274"/>
      <c r="AP966" s="245"/>
      <c r="AQ966" s="245"/>
      <c r="AR966" s="246"/>
      <c r="AS966" s="245"/>
      <c r="AT966" s="245"/>
      <c r="AU966" s="245"/>
      <c r="AV966" s="245"/>
      <c r="AW966" s="245"/>
      <c r="AX966" s="246"/>
      <c r="AY966" s="245"/>
      <c r="AZ966" s="245"/>
      <c r="BA966" s="246"/>
      <c r="BB966" s="245"/>
      <c r="BC966" s="245"/>
      <c r="BD966" s="245"/>
      <c r="BE966" s="245"/>
      <c r="BF966" s="245"/>
      <c r="BG966" s="245"/>
      <c r="BH966" s="245"/>
      <c r="BI966" s="245"/>
      <c r="BJ966" s="245"/>
      <c r="BK966" s="245"/>
      <c r="BL966" s="245"/>
      <c r="BM966" s="245"/>
      <c r="BN966" s="245"/>
      <c r="BO966" s="245"/>
      <c r="BP966" s="245"/>
      <c r="BQ966" s="245"/>
      <c r="BR966" s="245"/>
      <c r="BS966" s="245"/>
      <c r="BT966" s="246"/>
      <c r="BU966" s="245"/>
      <c r="BV966" s="245"/>
      <c r="BW966" s="245"/>
      <c r="BX966" s="245"/>
      <c r="BY966" s="245"/>
      <c r="BZ966" s="282"/>
      <c r="CA966" s="245"/>
      <c r="CB966" s="245"/>
      <c r="CC966" s="245"/>
      <c r="CD966" s="245"/>
      <c r="CE966" s="245"/>
      <c r="CF966" s="245"/>
    </row>
    <row r="967">
      <c r="A967" s="305"/>
      <c r="B967" s="245"/>
      <c r="C967" s="245"/>
      <c r="D967" s="246"/>
      <c r="E967" s="245"/>
      <c r="F967" s="245"/>
      <c r="G967" s="245"/>
      <c r="H967" s="245"/>
      <c r="I967" s="245"/>
      <c r="J967" s="245"/>
      <c r="K967" s="265"/>
      <c r="L967" s="245"/>
      <c r="M967" s="245"/>
      <c r="N967" s="245"/>
      <c r="O967" s="245"/>
      <c r="P967" s="245"/>
      <c r="Q967" s="247"/>
      <c r="R967" s="254"/>
      <c r="S967" s="245"/>
      <c r="T967" s="245"/>
      <c r="U967" s="245"/>
      <c r="V967" s="245"/>
      <c r="W967" s="245"/>
      <c r="X967" s="245"/>
      <c r="Y967" s="249"/>
      <c r="Z967" s="276"/>
      <c r="AA967" s="245"/>
      <c r="AB967" s="276"/>
      <c r="AC967" s="276"/>
      <c r="AD967" s="246"/>
      <c r="AE967" s="278"/>
      <c r="AF967" s="370"/>
      <c r="AG967" s="371"/>
      <c r="AH967" s="276"/>
      <c r="AI967" s="245"/>
      <c r="AJ967" s="287"/>
      <c r="AK967" s="278"/>
      <c r="AL967" s="246"/>
      <c r="AM967" s="245"/>
      <c r="AN967" s="245"/>
      <c r="AO967" s="274"/>
      <c r="AP967" s="245"/>
      <c r="AQ967" s="245"/>
      <c r="AR967" s="246"/>
      <c r="AS967" s="245"/>
      <c r="AT967" s="245"/>
      <c r="AU967" s="245"/>
      <c r="AV967" s="245"/>
      <c r="AW967" s="245"/>
      <c r="AX967" s="246"/>
      <c r="AY967" s="245"/>
      <c r="AZ967" s="245"/>
      <c r="BA967" s="246"/>
      <c r="BB967" s="245"/>
      <c r="BC967" s="245"/>
      <c r="BD967" s="245"/>
      <c r="BE967" s="245"/>
      <c r="BF967" s="245"/>
      <c r="BG967" s="245"/>
      <c r="BH967" s="245"/>
      <c r="BI967" s="245"/>
      <c r="BJ967" s="245"/>
      <c r="BK967" s="245"/>
      <c r="BL967" s="245"/>
      <c r="BM967" s="245"/>
      <c r="BN967" s="245"/>
      <c r="BO967" s="245"/>
      <c r="BP967" s="245"/>
      <c r="BQ967" s="245"/>
      <c r="BR967" s="245"/>
      <c r="BS967" s="245"/>
      <c r="BT967" s="246"/>
      <c r="BU967" s="245"/>
      <c r="BV967" s="245"/>
      <c r="BW967" s="245"/>
      <c r="BX967" s="245"/>
      <c r="BY967" s="245"/>
      <c r="BZ967" s="282"/>
      <c r="CA967" s="245"/>
      <c r="CB967" s="245"/>
      <c r="CC967" s="245"/>
      <c r="CD967" s="245"/>
      <c r="CE967" s="245"/>
      <c r="CF967" s="245"/>
    </row>
    <row r="968">
      <c r="A968" s="305"/>
      <c r="B968" s="245"/>
      <c r="C968" s="245"/>
      <c r="D968" s="246"/>
      <c r="E968" s="245"/>
      <c r="F968" s="245"/>
      <c r="G968" s="245"/>
      <c r="H968" s="245"/>
      <c r="I968" s="245"/>
      <c r="J968" s="245"/>
      <c r="K968" s="265"/>
      <c r="L968" s="245"/>
      <c r="M968" s="245"/>
      <c r="N968" s="245"/>
      <c r="O968" s="245"/>
      <c r="P968" s="245"/>
      <c r="Q968" s="247"/>
      <c r="R968" s="254"/>
      <c r="S968" s="245"/>
      <c r="T968" s="245"/>
      <c r="U968" s="245"/>
      <c r="V968" s="245"/>
      <c r="W968" s="245"/>
      <c r="X968" s="245"/>
      <c r="Y968" s="249"/>
      <c r="Z968" s="276"/>
      <c r="AA968" s="245"/>
      <c r="AB968" s="276"/>
      <c r="AC968" s="276"/>
      <c r="AD968" s="246"/>
      <c r="AE968" s="278"/>
      <c r="AF968" s="370"/>
      <c r="AG968" s="371"/>
      <c r="AH968" s="276"/>
      <c r="AI968" s="245"/>
      <c r="AJ968" s="287"/>
      <c r="AK968" s="278"/>
      <c r="AL968" s="246"/>
      <c r="AM968" s="245"/>
      <c r="AN968" s="245"/>
      <c r="AO968" s="274"/>
      <c r="AP968" s="245"/>
      <c r="AQ968" s="245"/>
      <c r="AR968" s="246"/>
      <c r="AS968" s="245"/>
      <c r="AT968" s="245"/>
      <c r="AU968" s="245"/>
      <c r="AV968" s="245"/>
      <c r="AW968" s="245"/>
      <c r="AX968" s="246"/>
      <c r="AY968" s="245"/>
      <c r="AZ968" s="245"/>
      <c r="BA968" s="246"/>
      <c r="BB968" s="245"/>
      <c r="BC968" s="245"/>
      <c r="BD968" s="245"/>
      <c r="BE968" s="245"/>
      <c r="BF968" s="245"/>
      <c r="BG968" s="245"/>
      <c r="BH968" s="245"/>
      <c r="BI968" s="245"/>
      <c r="BJ968" s="245"/>
      <c r="BK968" s="245"/>
      <c r="BL968" s="245"/>
      <c r="BM968" s="245"/>
      <c r="BN968" s="245"/>
      <c r="BO968" s="245"/>
      <c r="BP968" s="245"/>
      <c r="BQ968" s="245"/>
      <c r="BR968" s="245"/>
      <c r="BS968" s="245"/>
      <c r="BT968" s="246"/>
      <c r="BU968" s="245"/>
      <c r="BV968" s="245"/>
      <c r="BW968" s="245"/>
      <c r="BX968" s="245"/>
      <c r="BY968" s="245"/>
      <c r="BZ968" s="282"/>
      <c r="CA968" s="245"/>
      <c r="CB968" s="245"/>
      <c r="CC968" s="245"/>
      <c r="CD968" s="245"/>
      <c r="CE968" s="245"/>
      <c r="CF968" s="245"/>
    </row>
    <row r="969">
      <c r="A969" s="305"/>
      <c r="B969" s="245"/>
      <c r="C969" s="245"/>
      <c r="D969" s="246"/>
      <c r="E969" s="245"/>
      <c r="F969" s="245"/>
      <c r="G969" s="245"/>
      <c r="H969" s="245"/>
      <c r="I969" s="245"/>
      <c r="J969" s="245"/>
      <c r="K969" s="265"/>
      <c r="L969" s="245"/>
      <c r="M969" s="245"/>
      <c r="N969" s="245"/>
      <c r="O969" s="245"/>
      <c r="P969" s="245"/>
      <c r="Q969" s="247"/>
      <c r="R969" s="254"/>
      <c r="S969" s="245"/>
      <c r="T969" s="245"/>
      <c r="U969" s="245"/>
      <c r="V969" s="245"/>
      <c r="W969" s="245"/>
      <c r="X969" s="245"/>
      <c r="Y969" s="249"/>
      <c r="Z969" s="276"/>
      <c r="AA969" s="245"/>
      <c r="AB969" s="276"/>
      <c r="AC969" s="276"/>
      <c r="AD969" s="246"/>
      <c r="AE969" s="278"/>
      <c r="AF969" s="370"/>
      <c r="AG969" s="371"/>
      <c r="AH969" s="276"/>
      <c r="AI969" s="245"/>
      <c r="AJ969" s="287"/>
      <c r="AK969" s="278"/>
      <c r="AL969" s="246"/>
      <c r="AM969" s="245"/>
      <c r="AN969" s="245"/>
      <c r="AO969" s="274"/>
      <c r="AP969" s="245"/>
      <c r="AQ969" s="245"/>
      <c r="AR969" s="246"/>
      <c r="AS969" s="245"/>
      <c r="AT969" s="245"/>
      <c r="AU969" s="245"/>
      <c r="AV969" s="245"/>
      <c r="AW969" s="245"/>
      <c r="AX969" s="246"/>
      <c r="AY969" s="245"/>
      <c r="AZ969" s="245"/>
      <c r="BA969" s="246"/>
      <c r="BB969" s="245"/>
      <c r="BC969" s="245"/>
      <c r="BD969" s="245"/>
      <c r="BE969" s="245"/>
      <c r="BF969" s="245"/>
      <c r="BG969" s="245"/>
      <c r="BH969" s="245"/>
      <c r="BI969" s="245"/>
      <c r="BJ969" s="245"/>
      <c r="BK969" s="245"/>
      <c r="BL969" s="245"/>
      <c r="BM969" s="245"/>
      <c r="BN969" s="245"/>
      <c r="BO969" s="245"/>
      <c r="BP969" s="245"/>
      <c r="BQ969" s="245"/>
      <c r="BR969" s="245"/>
      <c r="BS969" s="245"/>
      <c r="BT969" s="246"/>
      <c r="BU969" s="245"/>
      <c r="BV969" s="245"/>
      <c r="BW969" s="245"/>
      <c r="BX969" s="245"/>
      <c r="BY969" s="245"/>
      <c r="BZ969" s="282"/>
      <c r="CA969" s="245"/>
      <c r="CB969" s="245"/>
      <c r="CC969" s="245"/>
      <c r="CD969" s="245"/>
      <c r="CE969" s="245"/>
      <c r="CF969" s="245"/>
    </row>
    <row r="970">
      <c r="A970" s="305"/>
      <c r="B970" s="245"/>
      <c r="C970" s="245"/>
      <c r="D970" s="246"/>
      <c r="E970" s="245"/>
      <c r="F970" s="245"/>
      <c r="G970" s="245"/>
      <c r="H970" s="245"/>
      <c r="I970" s="245"/>
      <c r="J970" s="245"/>
      <c r="K970" s="265"/>
      <c r="L970" s="245"/>
      <c r="M970" s="245"/>
      <c r="N970" s="245"/>
      <c r="O970" s="245"/>
      <c r="P970" s="245"/>
      <c r="Q970" s="247"/>
      <c r="R970" s="254"/>
      <c r="S970" s="245"/>
      <c r="T970" s="245"/>
      <c r="U970" s="245"/>
      <c r="V970" s="245"/>
      <c r="W970" s="245"/>
      <c r="X970" s="245"/>
      <c r="Y970" s="249"/>
      <c r="Z970" s="276"/>
      <c r="AA970" s="245"/>
      <c r="AB970" s="276"/>
      <c r="AC970" s="276"/>
      <c r="AD970" s="246"/>
      <c r="AE970" s="278"/>
      <c r="AF970" s="370"/>
      <c r="AG970" s="371"/>
      <c r="AH970" s="276"/>
      <c r="AI970" s="245"/>
      <c r="AJ970" s="287"/>
      <c r="AK970" s="278"/>
      <c r="AL970" s="246"/>
      <c r="AM970" s="245"/>
      <c r="AN970" s="245"/>
      <c r="AO970" s="274"/>
      <c r="AP970" s="245"/>
      <c r="AQ970" s="245"/>
      <c r="AR970" s="246"/>
      <c r="AS970" s="245"/>
      <c r="AT970" s="245"/>
      <c r="AU970" s="245"/>
      <c r="AV970" s="245"/>
      <c r="AW970" s="245"/>
      <c r="AX970" s="246"/>
      <c r="AY970" s="245"/>
      <c r="AZ970" s="245"/>
      <c r="BA970" s="246"/>
      <c r="BB970" s="245"/>
      <c r="BC970" s="245"/>
      <c r="BD970" s="245"/>
      <c r="BE970" s="245"/>
      <c r="BF970" s="245"/>
      <c r="BG970" s="245"/>
      <c r="BH970" s="245"/>
      <c r="BI970" s="245"/>
      <c r="BJ970" s="245"/>
      <c r="BK970" s="245"/>
      <c r="BL970" s="245"/>
      <c r="BM970" s="245"/>
      <c r="BN970" s="245"/>
      <c r="BO970" s="245"/>
      <c r="BP970" s="245"/>
      <c r="BQ970" s="245"/>
      <c r="BR970" s="245"/>
      <c r="BS970" s="245"/>
      <c r="BT970" s="246"/>
      <c r="BU970" s="245"/>
      <c r="BV970" s="245"/>
      <c r="BW970" s="245"/>
      <c r="BX970" s="245"/>
      <c r="BY970" s="245"/>
      <c r="BZ970" s="282"/>
      <c r="CA970" s="245"/>
      <c r="CB970" s="245"/>
      <c r="CC970" s="245"/>
      <c r="CD970" s="245"/>
      <c r="CE970" s="245"/>
      <c r="CF970" s="245"/>
    </row>
    <row r="971">
      <c r="A971" s="305"/>
      <c r="B971" s="245"/>
      <c r="C971" s="245"/>
      <c r="D971" s="246"/>
      <c r="E971" s="245"/>
      <c r="F971" s="245"/>
      <c r="G971" s="245"/>
      <c r="H971" s="245"/>
      <c r="I971" s="245"/>
      <c r="J971" s="245"/>
      <c r="K971" s="265"/>
      <c r="L971" s="245"/>
      <c r="M971" s="245"/>
      <c r="N971" s="245"/>
      <c r="O971" s="245"/>
      <c r="P971" s="245"/>
      <c r="Q971" s="247"/>
      <c r="R971" s="254"/>
      <c r="S971" s="245"/>
      <c r="T971" s="245"/>
      <c r="U971" s="245"/>
      <c r="V971" s="245"/>
      <c r="W971" s="245"/>
      <c r="X971" s="245"/>
      <c r="Y971" s="249"/>
      <c r="Z971" s="276"/>
      <c r="AA971" s="245"/>
      <c r="AB971" s="276"/>
      <c r="AC971" s="276"/>
      <c r="AD971" s="246"/>
      <c r="AE971" s="278"/>
      <c r="AF971" s="370"/>
      <c r="AG971" s="371"/>
      <c r="AH971" s="276"/>
      <c r="AI971" s="245"/>
      <c r="AJ971" s="287"/>
      <c r="AK971" s="278"/>
      <c r="AL971" s="246"/>
      <c r="AM971" s="245"/>
      <c r="AN971" s="245"/>
      <c r="AO971" s="274"/>
      <c r="AP971" s="245"/>
      <c r="AQ971" s="245"/>
      <c r="AR971" s="246"/>
      <c r="AS971" s="245"/>
      <c r="AT971" s="245"/>
      <c r="AU971" s="245"/>
      <c r="AV971" s="245"/>
      <c r="AW971" s="245"/>
      <c r="AX971" s="246"/>
      <c r="AY971" s="245"/>
      <c r="AZ971" s="245"/>
      <c r="BA971" s="246"/>
      <c r="BB971" s="245"/>
      <c r="BC971" s="245"/>
      <c r="BD971" s="245"/>
      <c r="BE971" s="245"/>
      <c r="BF971" s="245"/>
      <c r="BG971" s="245"/>
      <c r="BH971" s="245"/>
      <c r="BI971" s="245"/>
      <c r="BJ971" s="245"/>
      <c r="BK971" s="245"/>
      <c r="BL971" s="245"/>
      <c r="BM971" s="245"/>
      <c r="BN971" s="245"/>
      <c r="BO971" s="245"/>
      <c r="BP971" s="245"/>
      <c r="BQ971" s="245"/>
      <c r="BR971" s="245"/>
      <c r="BS971" s="245"/>
      <c r="BT971" s="246"/>
      <c r="BU971" s="245"/>
      <c r="BV971" s="245"/>
      <c r="BW971" s="245"/>
      <c r="BX971" s="245"/>
      <c r="BY971" s="245"/>
      <c r="BZ971" s="282"/>
      <c r="CA971" s="245"/>
      <c r="CB971" s="245"/>
      <c r="CC971" s="245"/>
      <c r="CD971" s="245"/>
      <c r="CE971" s="245"/>
      <c r="CF971" s="245"/>
    </row>
    <row r="972">
      <c r="A972" s="305"/>
      <c r="B972" s="245"/>
      <c r="C972" s="245"/>
      <c r="D972" s="246"/>
      <c r="E972" s="245"/>
      <c r="F972" s="245"/>
      <c r="G972" s="245"/>
      <c r="H972" s="245"/>
      <c r="I972" s="245"/>
      <c r="J972" s="245"/>
      <c r="K972" s="265"/>
      <c r="L972" s="245"/>
      <c r="M972" s="245"/>
      <c r="N972" s="245"/>
      <c r="O972" s="245"/>
      <c r="P972" s="245"/>
      <c r="Q972" s="247"/>
      <c r="R972" s="254"/>
      <c r="S972" s="245"/>
      <c r="T972" s="245"/>
      <c r="U972" s="245"/>
      <c r="V972" s="245"/>
      <c r="W972" s="245"/>
      <c r="X972" s="245"/>
      <c r="Y972" s="249"/>
      <c r="Z972" s="276"/>
      <c r="AA972" s="245"/>
      <c r="AB972" s="276"/>
      <c r="AC972" s="276"/>
      <c r="AD972" s="246"/>
      <c r="AE972" s="278"/>
      <c r="AF972" s="370"/>
      <c r="AG972" s="371"/>
      <c r="AH972" s="276"/>
      <c r="AI972" s="245"/>
      <c r="AJ972" s="287"/>
      <c r="AK972" s="278"/>
      <c r="AL972" s="246"/>
      <c r="AM972" s="245"/>
      <c r="AN972" s="245"/>
      <c r="AO972" s="274"/>
      <c r="AP972" s="245"/>
      <c r="AQ972" s="245"/>
      <c r="AR972" s="246"/>
      <c r="AS972" s="245"/>
      <c r="AT972" s="245"/>
      <c r="AU972" s="245"/>
      <c r="AV972" s="245"/>
      <c r="AW972" s="245"/>
      <c r="AX972" s="246"/>
      <c r="AY972" s="245"/>
      <c r="AZ972" s="245"/>
      <c r="BA972" s="246"/>
      <c r="BB972" s="245"/>
      <c r="BC972" s="245"/>
      <c r="BD972" s="245"/>
      <c r="BE972" s="245"/>
      <c r="BF972" s="245"/>
      <c r="BG972" s="245"/>
      <c r="BH972" s="245"/>
      <c r="BI972" s="245"/>
      <c r="BJ972" s="245"/>
      <c r="BK972" s="245"/>
      <c r="BL972" s="245"/>
      <c r="BM972" s="245"/>
      <c r="BN972" s="245"/>
      <c r="BO972" s="245"/>
      <c r="BP972" s="245"/>
      <c r="BQ972" s="245"/>
      <c r="BR972" s="245"/>
      <c r="BS972" s="245"/>
      <c r="BT972" s="246"/>
      <c r="BU972" s="245"/>
      <c r="BV972" s="245"/>
      <c r="BW972" s="245"/>
      <c r="BX972" s="245"/>
      <c r="BY972" s="245"/>
      <c r="BZ972" s="282"/>
      <c r="CA972" s="245"/>
      <c r="CB972" s="245"/>
      <c r="CC972" s="245"/>
      <c r="CD972" s="245"/>
      <c r="CE972" s="245"/>
      <c r="CF972" s="245"/>
    </row>
    <row r="973">
      <c r="A973" s="305"/>
      <c r="B973" s="245"/>
      <c r="C973" s="245"/>
      <c r="D973" s="246"/>
      <c r="E973" s="245"/>
      <c r="F973" s="245"/>
      <c r="G973" s="245"/>
      <c r="H973" s="245"/>
      <c r="I973" s="245"/>
      <c r="J973" s="245"/>
      <c r="K973" s="265"/>
      <c r="L973" s="245"/>
      <c r="M973" s="245"/>
      <c r="N973" s="245"/>
      <c r="O973" s="245"/>
      <c r="P973" s="245"/>
      <c r="Q973" s="247"/>
      <c r="R973" s="254"/>
      <c r="S973" s="245"/>
      <c r="T973" s="245"/>
      <c r="U973" s="245"/>
      <c r="V973" s="245"/>
      <c r="W973" s="245"/>
      <c r="X973" s="245"/>
      <c r="Y973" s="249"/>
      <c r="Z973" s="276"/>
      <c r="AA973" s="245"/>
      <c r="AB973" s="276"/>
      <c r="AC973" s="276"/>
      <c r="AD973" s="246"/>
      <c r="AE973" s="278"/>
      <c r="AF973" s="370"/>
      <c r="AG973" s="371"/>
      <c r="AH973" s="276"/>
      <c r="AI973" s="245"/>
      <c r="AJ973" s="287"/>
      <c r="AK973" s="278"/>
      <c r="AL973" s="246"/>
      <c r="AM973" s="245"/>
      <c r="AN973" s="245"/>
      <c r="AO973" s="274"/>
      <c r="AP973" s="245"/>
      <c r="AQ973" s="245"/>
      <c r="AR973" s="246"/>
      <c r="AS973" s="245"/>
      <c r="AT973" s="245"/>
      <c r="AU973" s="245"/>
      <c r="AV973" s="245"/>
      <c r="AW973" s="245"/>
      <c r="AX973" s="246"/>
      <c r="AY973" s="245"/>
      <c r="AZ973" s="245"/>
      <c r="BA973" s="246"/>
      <c r="BB973" s="245"/>
      <c r="BC973" s="245"/>
      <c r="BD973" s="245"/>
      <c r="BE973" s="245"/>
      <c r="BF973" s="245"/>
      <c r="BG973" s="245"/>
      <c r="BH973" s="245"/>
      <c r="BI973" s="245"/>
      <c r="BJ973" s="245"/>
      <c r="BK973" s="245"/>
      <c r="BL973" s="245"/>
      <c r="BM973" s="245"/>
      <c r="BN973" s="245"/>
      <c r="BO973" s="245"/>
      <c r="BP973" s="245"/>
      <c r="BQ973" s="245"/>
      <c r="BR973" s="245"/>
      <c r="BS973" s="245"/>
      <c r="BT973" s="246"/>
      <c r="BU973" s="245"/>
      <c r="BV973" s="245"/>
      <c r="BW973" s="245"/>
      <c r="BX973" s="245"/>
      <c r="BY973" s="245"/>
      <c r="BZ973" s="282"/>
      <c r="CA973" s="245"/>
      <c r="CB973" s="245"/>
      <c r="CC973" s="245"/>
      <c r="CD973" s="245"/>
      <c r="CE973" s="245"/>
      <c r="CF973" s="245"/>
    </row>
    <row r="974">
      <c r="A974" s="305"/>
      <c r="B974" s="245"/>
      <c r="C974" s="245"/>
      <c r="D974" s="246"/>
      <c r="E974" s="245"/>
      <c r="F974" s="245"/>
      <c r="G974" s="245"/>
      <c r="H974" s="245"/>
      <c r="I974" s="245"/>
      <c r="J974" s="245"/>
      <c r="K974" s="265"/>
      <c r="L974" s="245"/>
      <c r="M974" s="245"/>
      <c r="N974" s="245"/>
      <c r="O974" s="245"/>
      <c r="P974" s="245"/>
      <c r="Q974" s="247"/>
      <c r="R974" s="254"/>
      <c r="S974" s="245"/>
      <c r="T974" s="245"/>
      <c r="U974" s="245"/>
      <c r="V974" s="245"/>
      <c r="W974" s="245"/>
      <c r="X974" s="245"/>
      <c r="Y974" s="249"/>
      <c r="Z974" s="276"/>
      <c r="AA974" s="245"/>
      <c r="AB974" s="276"/>
      <c r="AC974" s="276"/>
      <c r="AD974" s="246"/>
      <c r="AE974" s="278"/>
      <c r="AF974" s="370"/>
      <c r="AG974" s="371"/>
      <c r="AH974" s="276"/>
      <c r="AI974" s="245"/>
      <c r="AJ974" s="287"/>
      <c r="AK974" s="278"/>
      <c r="AL974" s="246"/>
      <c r="AM974" s="245"/>
      <c r="AN974" s="245"/>
      <c r="AO974" s="274"/>
      <c r="AP974" s="245"/>
      <c r="AQ974" s="245"/>
      <c r="AR974" s="246"/>
      <c r="AS974" s="245"/>
      <c r="AT974" s="245"/>
      <c r="AU974" s="245"/>
      <c r="AV974" s="245"/>
      <c r="AW974" s="245"/>
      <c r="AX974" s="246"/>
      <c r="AY974" s="245"/>
      <c r="AZ974" s="245"/>
      <c r="BA974" s="246"/>
      <c r="BB974" s="245"/>
      <c r="BC974" s="245"/>
      <c r="BD974" s="245"/>
      <c r="BE974" s="245"/>
      <c r="BF974" s="245"/>
      <c r="BG974" s="245"/>
      <c r="BH974" s="245"/>
      <c r="BI974" s="245"/>
      <c r="BJ974" s="245"/>
      <c r="BK974" s="245"/>
      <c r="BL974" s="245"/>
      <c r="BM974" s="245"/>
      <c r="BN974" s="245"/>
      <c r="BO974" s="245"/>
      <c r="BP974" s="245"/>
      <c r="BQ974" s="245"/>
      <c r="BR974" s="245"/>
      <c r="BS974" s="245"/>
      <c r="BT974" s="246"/>
      <c r="BU974" s="245"/>
      <c r="BV974" s="245"/>
      <c r="BW974" s="245"/>
      <c r="BX974" s="245"/>
      <c r="BY974" s="245"/>
      <c r="BZ974" s="282"/>
      <c r="CA974" s="245"/>
      <c r="CB974" s="245"/>
      <c r="CC974" s="245"/>
      <c r="CD974" s="245"/>
      <c r="CE974" s="245"/>
      <c r="CF974" s="245"/>
    </row>
    <row r="975">
      <c r="A975" s="245"/>
      <c r="B975" s="245"/>
      <c r="C975" s="245"/>
      <c r="D975" s="246"/>
      <c r="E975" s="245"/>
      <c r="F975" s="245"/>
      <c r="G975" s="245"/>
      <c r="H975" s="245"/>
      <c r="I975" s="245"/>
      <c r="J975" s="245"/>
      <c r="K975" s="265"/>
      <c r="L975" s="245"/>
      <c r="M975" s="245"/>
      <c r="N975" s="245"/>
      <c r="O975" s="245"/>
      <c r="P975" s="245"/>
      <c r="Q975" s="247"/>
      <c r="R975" s="254"/>
      <c r="S975" s="245"/>
      <c r="T975" s="245"/>
      <c r="U975" s="245"/>
      <c r="V975" s="245"/>
      <c r="W975" s="245"/>
      <c r="X975" s="245"/>
      <c r="Y975" s="249"/>
      <c r="Z975" s="276"/>
      <c r="AA975" s="245"/>
      <c r="AB975" s="276"/>
      <c r="AC975" s="276"/>
      <c r="AD975" s="246"/>
      <c r="AE975" s="278"/>
      <c r="AF975" s="370"/>
      <c r="AG975" s="371"/>
      <c r="AH975" s="276"/>
      <c r="AI975" s="245"/>
      <c r="AJ975" s="287"/>
      <c r="AK975" s="278"/>
      <c r="AL975" s="246"/>
      <c r="AM975" s="245"/>
      <c r="AN975" s="245"/>
      <c r="AO975" s="274"/>
      <c r="AP975" s="245"/>
      <c r="AQ975" s="245"/>
      <c r="AR975" s="246"/>
      <c r="AS975" s="245"/>
      <c r="AT975" s="245"/>
      <c r="AU975" s="245"/>
      <c r="AV975" s="245"/>
      <c r="AW975" s="245"/>
      <c r="AX975" s="246"/>
      <c r="AY975" s="245"/>
      <c r="AZ975" s="245"/>
      <c r="BA975" s="246"/>
      <c r="BB975" s="245"/>
      <c r="BC975" s="245"/>
      <c r="BD975" s="245"/>
      <c r="BE975" s="245"/>
      <c r="BF975" s="245"/>
      <c r="BG975" s="245"/>
      <c r="BH975" s="245"/>
      <c r="BI975" s="245"/>
      <c r="BJ975" s="245"/>
      <c r="BK975" s="245"/>
      <c r="BL975" s="245"/>
      <c r="BM975" s="245"/>
      <c r="BN975" s="245"/>
      <c r="BO975" s="245"/>
      <c r="BP975" s="245"/>
      <c r="BQ975" s="245"/>
      <c r="BR975" s="245"/>
      <c r="BS975" s="245"/>
      <c r="BT975" s="246"/>
      <c r="BU975" s="245"/>
      <c r="BV975" s="245"/>
      <c r="BW975" s="245"/>
      <c r="BX975" s="245"/>
      <c r="BY975" s="245"/>
      <c r="BZ975" s="282"/>
      <c r="CA975" s="245"/>
      <c r="CB975" s="245"/>
      <c r="CC975" s="245"/>
      <c r="CD975" s="245"/>
      <c r="CE975" s="245"/>
      <c r="CF975" s="245"/>
    </row>
    <row r="976">
      <c r="A976" s="245"/>
      <c r="B976" s="245"/>
      <c r="C976" s="245"/>
      <c r="D976" s="246"/>
      <c r="E976" s="245"/>
      <c r="F976" s="245"/>
      <c r="G976" s="245"/>
      <c r="H976" s="245"/>
      <c r="I976" s="245"/>
      <c r="J976" s="245"/>
      <c r="K976" s="265"/>
      <c r="L976" s="245"/>
      <c r="M976" s="245"/>
      <c r="N976" s="245"/>
      <c r="O976" s="245"/>
      <c r="P976" s="245"/>
      <c r="Q976" s="247"/>
      <c r="R976" s="254"/>
      <c r="S976" s="245"/>
      <c r="T976" s="245"/>
      <c r="U976" s="245"/>
      <c r="V976" s="245"/>
      <c r="W976" s="245"/>
      <c r="X976" s="245"/>
      <c r="Y976" s="249"/>
      <c r="Z976" s="276"/>
      <c r="AA976" s="245"/>
      <c r="AB976" s="276"/>
      <c r="AC976" s="276"/>
      <c r="AD976" s="246"/>
      <c r="AE976" s="278"/>
      <c r="AF976" s="370"/>
      <c r="AG976" s="371"/>
      <c r="AH976" s="276"/>
      <c r="AI976" s="245"/>
      <c r="AJ976" s="287"/>
      <c r="AK976" s="278"/>
      <c r="AL976" s="246"/>
      <c r="AM976" s="245"/>
      <c r="AN976" s="245"/>
      <c r="AO976" s="274"/>
      <c r="AP976" s="245"/>
      <c r="AQ976" s="245"/>
      <c r="AR976" s="246"/>
      <c r="AS976" s="245"/>
      <c r="AT976" s="245"/>
      <c r="AU976" s="245"/>
      <c r="AV976" s="245"/>
      <c r="AW976" s="245"/>
      <c r="AX976" s="246"/>
      <c r="AY976" s="245"/>
      <c r="AZ976" s="245"/>
      <c r="BA976" s="246"/>
      <c r="BB976" s="245"/>
      <c r="BC976" s="245"/>
      <c r="BD976" s="245"/>
      <c r="BE976" s="245"/>
      <c r="BF976" s="245"/>
      <c r="BG976" s="245"/>
      <c r="BH976" s="245"/>
      <c r="BI976" s="245"/>
      <c r="BJ976" s="245"/>
      <c r="BK976" s="245"/>
      <c r="BL976" s="245"/>
      <c r="BM976" s="245"/>
      <c r="BN976" s="245"/>
      <c r="BO976" s="245"/>
      <c r="BP976" s="245"/>
      <c r="BQ976" s="245"/>
      <c r="BR976" s="245"/>
      <c r="BS976" s="245"/>
      <c r="BT976" s="246"/>
      <c r="BU976" s="245"/>
      <c r="BV976" s="245"/>
      <c r="BW976" s="245"/>
      <c r="BX976" s="245"/>
      <c r="BY976" s="245"/>
      <c r="BZ976" s="282"/>
      <c r="CA976" s="245"/>
      <c r="CB976" s="245"/>
      <c r="CC976" s="245"/>
      <c r="CD976" s="245"/>
      <c r="CE976" s="245"/>
      <c r="CF976" s="245"/>
    </row>
    <row r="977">
      <c r="A977" s="245"/>
      <c r="B977" s="245"/>
      <c r="C977" s="245"/>
      <c r="D977" s="246"/>
      <c r="E977" s="245"/>
      <c r="F977" s="245"/>
      <c r="G977" s="245"/>
      <c r="H977" s="245"/>
      <c r="I977" s="245"/>
      <c r="J977" s="245"/>
      <c r="K977" s="265"/>
      <c r="L977" s="245"/>
      <c r="M977" s="245"/>
      <c r="N977" s="245"/>
      <c r="O977" s="245"/>
      <c r="P977" s="245"/>
      <c r="Q977" s="247"/>
      <c r="R977" s="254"/>
      <c r="S977" s="245"/>
      <c r="T977" s="245"/>
      <c r="U977" s="245"/>
      <c r="V977" s="245"/>
      <c r="W977" s="245"/>
      <c r="X977" s="245"/>
      <c r="Y977" s="249"/>
      <c r="Z977" s="276"/>
      <c r="AA977" s="245"/>
      <c r="AB977" s="276"/>
      <c r="AC977" s="276"/>
      <c r="AD977" s="246"/>
      <c r="AE977" s="278"/>
      <c r="AF977" s="370"/>
      <c r="AG977" s="371"/>
      <c r="AH977" s="276"/>
      <c r="AI977" s="245"/>
      <c r="AJ977" s="287"/>
      <c r="AK977" s="278"/>
      <c r="AL977" s="246"/>
      <c r="AM977" s="245"/>
      <c r="AN977" s="245"/>
      <c r="AO977" s="274"/>
      <c r="AP977" s="245"/>
      <c r="AQ977" s="245"/>
      <c r="AR977" s="246"/>
      <c r="AS977" s="245"/>
      <c r="AT977" s="245"/>
      <c r="AU977" s="245"/>
      <c r="AV977" s="245"/>
      <c r="AW977" s="245"/>
      <c r="AX977" s="246"/>
      <c r="AY977" s="245"/>
      <c r="AZ977" s="245"/>
      <c r="BA977" s="246"/>
      <c r="BB977" s="245"/>
      <c r="BC977" s="245"/>
      <c r="BD977" s="245"/>
      <c r="BE977" s="245"/>
      <c r="BF977" s="245"/>
      <c r="BG977" s="245"/>
      <c r="BH977" s="245"/>
      <c r="BI977" s="245"/>
      <c r="BJ977" s="245"/>
      <c r="BK977" s="245"/>
      <c r="BL977" s="245"/>
      <c r="BM977" s="245"/>
      <c r="BN977" s="245"/>
      <c r="BO977" s="245"/>
      <c r="BP977" s="245"/>
      <c r="BQ977" s="245"/>
      <c r="BR977" s="245"/>
      <c r="BS977" s="245"/>
      <c r="BT977" s="246"/>
      <c r="BU977" s="245"/>
      <c r="BV977" s="245"/>
      <c r="BW977" s="245"/>
      <c r="BX977" s="245"/>
      <c r="BY977" s="245"/>
      <c r="BZ977" s="282"/>
      <c r="CA977" s="245"/>
      <c r="CB977" s="245"/>
      <c r="CC977" s="245"/>
      <c r="CD977" s="245"/>
      <c r="CE977" s="245"/>
      <c r="CF977" s="245"/>
    </row>
    <row r="978">
      <c r="A978" s="245"/>
      <c r="B978" s="245"/>
      <c r="C978" s="245"/>
      <c r="D978" s="246"/>
      <c r="E978" s="245"/>
      <c r="F978" s="245"/>
      <c r="G978" s="245"/>
      <c r="H978" s="245"/>
      <c r="I978" s="245"/>
      <c r="J978" s="245"/>
      <c r="K978" s="265"/>
      <c r="L978" s="245"/>
      <c r="M978" s="245"/>
      <c r="N978" s="245"/>
      <c r="O978" s="245"/>
      <c r="P978" s="245"/>
      <c r="Q978" s="247"/>
      <c r="R978" s="254"/>
      <c r="S978" s="245"/>
      <c r="T978" s="245"/>
      <c r="U978" s="245"/>
      <c r="V978" s="245"/>
      <c r="W978" s="245"/>
      <c r="X978" s="245"/>
      <c r="Y978" s="249"/>
      <c r="Z978" s="276"/>
      <c r="AA978" s="245"/>
      <c r="AB978" s="276"/>
      <c r="AC978" s="276"/>
      <c r="AD978" s="246"/>
      <c r="AE978" s="278"/>
      <c r="AF978" s="370"/>
      <c r="AG978" s="371"/>
      <c r="AH978" s="276"/>
      <c r="AI978" s="245"/>
      <c r="AJ978" s="287"/>
      <c r="AK978" s="278"/>
      <c r="AL978" s="246"/>
      <c r="AM978" s="245"/>
      <c r="AN978" s="245"/>
      <c r="AO978" s="274"/>
      <c r="AP978" s="245"/>
      <c r="AQ978" s="245"/>
      <c r="AR978" s="246"/>
      <c r="AS978" s="245"/>
      <c r="AT978" s="245"/>
      <c r="AU978" s="245"/>
      <c r="AV978" s="245"/>
      <c r="AW978" s="245"/>
      <c r="AX978" s="246"/>
      <c r="AY978" s="245"/>
      <c r="AZ978" s="245"/>
      <c r="BA978" s="246"/>
      <c r="BB978" s="245"/>
      <c r="BC978" s="245"/>
      <c r="BD978" s="245"/>
      <c r="BE978" s="245"/>
      <c r="BF978" s="245"/>
      <c r="BG978" s="245"/>
      <c r="BH978" s="245"/>
      <c r="BI978" s="245"/>
      <c r="BJ978" s="245"/>
      <c r="BK978" s="245"/>
      <c r="BL978" s="245"/>
      <c r="BM978" s="245"/>
      <c r="BN978" s="245"/>
      <c r="BO978" s="245"/>
      <c r="BP978" s="245"/>
      <c r="BQ978" s="245"/>
      <c r="BR978" s="245"/>
      <c r="BS978" s="245"/>
      <c r="BT978" s="246"/>
      <c r="BU978" s="245"/>
      <c r="BV978" s="245"/>
      <c r="BW978" s="245"/>
      <c r="BX978" s="245"/>
      <c r="BY978" s="245"/>
      <c r="BZ978" s="282"/>
      <c r="CA978" s="245"/>
      <c r="CB978" s="245"/>
      <c r="CC978" s="245"/>
      <c r="CD978" s="245"/>
      <c r="CE978" s="245"/>
      <c r="CF978" s="245"/>
    </row>
    <row r="979">
      <c r="A979" s="245"/>
      <c r="B979" s="245"/>
      <c r="C979" s="245"/>
      <c r="D979" s="246"/>
      <c r="E979" s="245"/>
      <c r="F979" s="245"/>
      <c r="G979" s="245"/>
      <c r="H979" s="245"/>
      <c r="I979" s="245"/>
      <c r="J979" s="245"/>
      <c r="K979" s="265"/>
      <c r="L979" s="245"/>
      <c r="M979" s="245"/>
      <c r="N979" s="245"/>
      <c r="O979" s="245"/>
      <c r="P979" s="245"/>
      <c r="Q979" s="247"/>
      <c r="R979" s="254"/>
      <c r="S979" s="245"/>
      <c r="T979" s="245"/>
      <c r="U979" s="245"/>
      <c r="V979" s="245"/>
      <c r="W979" s="245"/>
      <c r="X979" s="245"/>
      <c r="Y979" s="249"/>
      <c r="Z979" s="276"/>
      <c r="AA979" s="245"/>
      <c r="AB979" s="276"/>
      <c r="AC979" s="276"/>
      <c r="AD979" s="246"/>
      <c r="AE979" s="278"/>
      <c r="AF979" s="370"/>
      <c r="AG979" s="371"/>
      <c r="AH979" s="276"/>
      <c r="AI979" s="245"/>
      <c r="AJ979" s="287"/>
      <c r="AK979" s="278"/>
      <c r="AL979" s="246"/>
      <c r="AM979" s="245"/>
      <c r="AN979" s="245"/>
      <c r="AO979" s="274"/>
      <c r="AP979" s="245"/>
      <c r="AQ979" s="245"/>
      <c r="AR979" s="246"/>
      <c r="AS979" s="245"/>
      <c r="AT979" s="245"/>
      <c r="AU979" s="245"/>
      <c r="AV979" s="245"/>
      <c r="AW979" s="245"/>
      <c r="AX979" s="246"/>
      <c r="AY979" s="245"/>
      <c r="AZ979" s="245"/>
      <c r="BA979" s="246"/>
      <c r="BB979" s="245"/>
      <c r="BC979" s="245"/>
      <c r="BD979" s="245"/>
      <c r="BE979" s="245"/>
      <c r="BF979" s="245"/>
      <c r="BG979" s="245"/>
      <c r="BH979" s="245"/>
      <c r="BI979" s="245"/>
      <c r="BJ979" s="245"/>
      <c r="BK979" s="245"/>
      <c r="BL979" s="245"/>
      <c r="BM979" s="245"/>
      <c r="BN979" s="245"/>
      <c r="BO979" s="245"/>
      <c r="BP979" s="245"/>
      <c r="BQ979" s="245"/>
      <c r="BR979" s="245"/>
      <c r="BS979" s="245"/>
      <c r="BT979" s="246"/>
      <c r="BU979" s="245"/>
      <c r="BV979" s="245"/>
      <c r="BW979" s="245"/>
      <c r="BX979" s="245"/>
      <c r="BY979" s="245"/>
      <c r="BZ979" s="282"/>
      <c r="CA979" s="245"/>
      <c r="CB979" s="245"/>
      <c r="CC979" s="245"/>
      <c r="CD979" s="245"/>
      <c r="CE979" s="245"/>
      <c r="CF979" s="245"/>
    </row>
    <row r="980">
      <c r="A980" s="245"/>
      <c r="B980" s="245"/>
      <c r="C980" s="245"/>
      <c r="D980" s="246"/>
      <c r="E980" s="245"/>
      <c r="F980" s="245"/>
      <c r="G980" s="245"/>
      <c r="H980" s="245"/>
      <c r="I980" s="245"/>
      <c r="J980" s="245"/>
      <c r="K980" s="265"/>
      <c r="L980" s="245"/>
      <c r="M980" s="245"/>
      <c r="N980" s="245"/>
      <c r="O980" s="245"/>
      <c r="P980" s="245"/>
      <c r="Q980" s="247"/>
      <c r="R980" s="254"/>
      <c r="S980" s="245"/>
      <c r="T980" s="245"/>
      <c r="U980" s="245"/>
      <c r="V980" s="245"/>
      <c r="W980" s="245"/>
      <c r="X980" s="245"/>
      <c r="Y980" s="249"/>
      <c r="Z980" s="276"/>
      <c r="AA980" s="245"/>
      <c r="AB980" s="276"/>
      <c r="AC980" s="276"/>
      <c r="AD980" s="246"/>
      <c r="AE980" s="278"/>
      <c r="AF980" s="370"/>
      <c r="AG980" s="371"/>
      <c r="AH980" s="276"/>
      <c r="AI980" s="245"/>
      <c r="AJ980" s="287"/>
      <c r="AK980" s="278"/>
      <c r="AL980" s="246"/>
      <c r="AM980" s="245"/>
      <c r="AN980" s="245"/>
      <c r="AO980" s="274"/>
      <c r="AP980" s="245"/>
      <c r="AQ980" s="245"/>
      <c r="AR980" s="246"/>
      <c r="AS980" s="245"/>
      <c r="AT980" s="245"/>
      <c r="AU980" s="245"/>
      <c r="AV980" s="245"/>
      <c r="AW980" s="245"/>
      <c r="AX980" s="246"/>
      <c r="AY980" s="245"/>
      <c r="AZ980" s="245"/>
      <c r="BA980" s="246"/>
      <c r="BB980" s="245"/>
      <c r="BC980" s="245"/>
      <c r="BD980" s="245"/>
      <c r="BE980" s="245"/>
      <c r="BF980" s="245"/>
      <c r="BG980" s="245"/>
      <c r="BH980" s="245"/>
      <c r="BI980" s="245"/>
      <c r="BJ980" s="245"/>
      <c r="BK980" s="245"/>
      <c r="BL980" s="245"/>
      <c r="BM980" s="245"/>
      <c r="BN980" s="245"/>
      <c r="BO980" s="245"/>
      <c r="BP980" s="245"/>
      <c r="BQ980" s="245"/>
      <c r="BR980" s="245"/>
      <c r="BS980" s="245"/>
      <c r="BT980" s="246"/>
      <c r="BU980" s="245"/>
      <c r="BV980" s="245"/>
      <c r="BW980" s="245"/>
      <c r="BX980" s="245"/>
      <c r="BY980" s="245"/>
      <c r="BZ980" s="282"/>
      <c r="CA980" s="245"/>
      <c r="CB980" s="245"/>
      <c r="CC980" s="245"/>
      <c r="CD980" s="245"/>
      <c r="CE980" s="245"/>
      <c r="CF980" s="245"/>
    </row>
    <row r="981">
      <c r="A981" s="245"/>
      <c r="B981" s="245"/>
      <c r="C981" s="245"/>
      <c r="D981" s="246"/>
      <c r="E981" s="245"/>
      <c r="F981" s="245"/>
      <c r="G981" s="245"/>
      <c r="H981" s="245"/>
      <c r="I981" s="245"/>
      <c r="J981" s="245"/>
      <c r="K981" s="265"/>
      <c r="L981" s="245"/>
      <c r="M981" s="245"/>
      <c r="N981" s="245"/>
      <c r="O981" s="245"/>
      <c r="P981" s="245"/>
      <c r="Q981" s="247"/>
      <c r="R981" s="254"/>
      <c r="S981" s="245"/>
      <c r="T981" s="245"/>
      <c r="U981" s="245"/>
      <c r="V981" s="245"/>
      <c r="W981" s="245"/>
      <c r="X981" s="245"/>
      <c r="Y981" s="249"/>
      <c r="Z981" s="276"/>
      <c r="AA981" s="245"/>
      <c r="AB981" s="276"/>
      <c r="AC981" s="276"/>
      <c r="AD981" s="246"/>
      <c r="AE981" s="278"/>
      <c r="AF981" s="370"/>
      <c r="AG981" s="371"/>
      <c r="AH981" s="276"/>
      <c r="AI981" s="245"/>
      <c r="AJ981" s="287"/>
      <c r="AK981" s="278"/>
      <c r="AL981" s="246"/>
      <c r="AM981" s="245"/>
      <c r="AN981" s="245"/>
      <c r="AO981" s="274"/>
      <c r="AP981" s="245"/>
      <c r="AQ981" s="245"/>
      <c r="AR981" s="246"/>
      <c r="AS981" s="245"/>
      <c r="AT981" s="245"/>
      <c r="AU981" s="245"/>
      <c r="AV981" s="245"/>
      <c r="AW981" s="245"/>
      <c r="AX981" s="246"/>
      <c r="AY981" s="245"/>
      <c r="AZ981" s="245"/>
      <c r="BA981" s="246"/>
      <c r="BB981" s="245"/>
      <c r="BC981" s="245"/>
      <c r="BD981" s="245"/>
      <c r="BE981" s="245"/>
      <c r="BF981" s="245"/>
      <c r="BG981" s="245"/>
      <c r="BH981" s="245"/>
      <c r="BI981" s="245"/>
      <c r="BJ981" s="245"/>
      <c r="BK981" s="245"/>
      <c r="BL981" s="245"/>
      <c r="BM981" s="245"/>
      <c r="BN981" s="245"/>
      <c r="BO981" s="245"/>
      <c r="BP981" s="245"/>
      <c r="BQ981" s="245"/>
      <c r="BR981" s="245"/>
      <c r="BS981" s="245"/>
      <c r="BT981" s="246"/>
      <c r="BU981" s="245"/>
      <c r="BV981" s="245"/>
      <c r="BW981" s="245"/>
      <c r="BX981" s="245"/>
      <c r="BY981" s="245"/>
      <c r="BZ981" s="282"/>
      <c r="CA981" s="245"/>
      <c r="CB981" s="245"/>
      <c r="CC981" s="245"/>
      <c r="CD981" s="245"/>
      <c r="CE981" s="245"/>
      <c r="CF981" s="245"/>
    </row>
    <row r="982">
      <c r="A982" s="245"/>
      <c r="B982" s="245"/>
      <c r="C982" s="245"/>
      <c r="D982" s="246"/>
      <c r="E982" s="245"/>
      <c r="F982" s="245"/>
      <c r="G982" s="245"/>
      <c r="H982" s="245"/>
      <c r="I982" s="245"/>
      <c r="J982" s="245"/>
      <c r="K982" s="265"/>
      <c r="L982" s="245"/>
      <c r="M982" s="245"/>
      <c r="N982" s="245"/>
      <c r="O982" s="245"/>
      <c r="P982" s="245"/>
      <c r="Q982" s="247"/>
      <c r="R982" s="254"/>
      <c r="S982" s="245"/>
      <c r="T982" s="245"/>
      <c r="U982" s="245"/>
      <c r="V982" s="245"/>
      <c r="W982" s="245"/>
      <c r="X982" s="245"/>
      <c r="Y982" s="249"/>
      <c r="Z982" s="276"/>
      <c r="AA982" s="245"/>
      <c r="AB982" s="276"/>
      <c r="AC982" s="276"/>
      <c r="AD982" s="246"/>
      <c r="AE982" s="278"/>
      <c r="AF982" s="370"/>
      <c r="AG982" s="371"/>
      <c r="AH982" s="276"/>
      <c r="AI982" s="245"/>
      <c r="AJ982" s="287"/>
      <c r="AK982" s="278"/>
      <c r="AL982" s="246"/>
      <c r="AM982" s="245"/>
      <c r="AN982" s="245"/>
      <c r="AO982" s="274"/>
      <c r="AP982" s="245"/>
      <c r="AQ982" s="245"/>
      <c r="AR982" s="246"/>
      <c r="AS982" s="245"/>
      <c r="AT982" s="245"/>
      <c r="AU982" s="245"/>
      <c r="AV982" s="245"/>
      <c r="AW982" s="245"/>
      <c r="AX982" s="246"/>
      <c r="AY982" s="245"/>
      <c r="AZ982" s="245"/>
      <c r="BA982" s="246"/>
      <c r="BB982" s="245"/>
      <c r="BC982" s="245"/>
      <c r="BD982" s="245"/>
      <c r="BE982" s="245"/>
      <c r="BF982" s="245"/>
      <c r="BG982" s="245"/>
      <c r="BH982" s="245"/>
      <c r="BI982" s="245"/>
      <c r="BJ982" s="245"/>
      <c r="BK982" s="245"/>
      <c r="BL982" s="245"/>
      <c r="BM982" s="245"/>
      <c r="BN982" s="245"/>
      <c r="BO982" s="245"/>
      <c r="BP982" s="245"/>
      <c r="BQ982" s="245"/>
      <c r="BR982" s="245"/>
      <c r="BS982" s="245"/>
      <c r="BT982" s="246"/>
      <c r="BU982" s="245"/>
      <c r="BV982" s="245"/>
      <c r="BW982" s="245"/>
      <c r="BX982" s="245"/>
      <c r="BY982" s="245"/>
      <c r="BZ982" s="282"/>
      <c r="CA982" s="245"/>
      <c r="CB982" s="245"/>
      <c r="CC982" s="245"/>
      <c r="CD982" s="245"/>
      <c r="CE982" s="245"/>
      <c r="CF982" s="245"/>
    </row>
    <row r="983">
      <c r="A983" s="245"/>
      <c r="B983" s="245"/>
      <c r="C983" s="245"/>
      <c r="D983" s="246"/>
      <c r="E983" s="245"/>
      <c r="F983" s="245"/>
      <c r="G983" s="245"/>
      <c r="H983" s="245"/>
      <c r="I983" s="245"/>
      <c r="J983" s="245"/>
      <c r="K983" s="265"/>
      <c r="L983" s="245"/>
      <c r="M983" s="245"/>
      <c r="N983" s="245"/>
      <c r="O983" s="245"/>
      <c r="P983" s="245"/>
      <c r="Q983" s="247"/>
      <c r="R983" s="254"/>
      <c r="S983" s="245"/>
      <c r="T983" s="245"/>
      <c r="U983" s="245"/>
      <c r="V983" s="245"/>
      <c r="W983" s="245"/>
      <c r="X983" s="245"/>
      <c r="Y983" s="249"/>
      <c r="Z983" s="276"/>
      <c r="AA983" s="245"/>
      <c r="AB983" s="276"/>
      <c r="AC983" s="276"/>
      <c r="AD983" s="246"/>
      <c r="AE983" s="278"/>
      <c r="AF983" s="370"/>
      <c r="AG983" s="371"/>
      <c r="AH983" s="276"/>
      <c r="AI983" s="245"/>
      <c r="AJ983" s="287"/>
      <c r="AK983" s="278"/>
      <c r="AL983" s="246"/>
      <c r="AM983" s="245"/>
      <c r="AN983" s="245"/>
      <c r="AO983" s="274"/>
      <c r="AP983" s="245"/>
      <c r="AQ983" s="245"/>
      <c r="AR983" s="246"/>
      <c r="AS983" s="245"/>
      <c r="AT983" s="245"/>
      <c r="AU983" s="245"/>
      <c r="AV983" s="245"/>
      <c r="AW983" s="245"/>
      <c r="AX983" s="246"/>
      <c r="AY983" s="245"/>
      <c r="AZ983" s="245"/>
      <c r="BA983" s="246"/>
      <c r="BB983" s="245"/>
      <c r="BC983" s="245"/>
      <c r="BD983" s="245"/>
      <c r="BE983" s="245"/>
      <c r="BF983" s="245"/>
      <c r="BG983" s="245"/>
      <c r="BH983" s="245"/>
      <c r="BI983" s="245"/>
      <c r="BJ983" s="245"/>
      <c r="BK983" s="245"/>
      <c r="BL983" s="245"/>
      <c r="BM983" s="245"/>
      <c r="BN983" s="245"/>
      <c r="BO983" s="245"/>
      <c r="BP983" s="245"/>
      <c r="BQ983" s="245"/>
      <c r="BR983" s="245"/>
      <c r="BS983" s="245"/>
      <c r="BT983" s="246"/>
      <c r="BU983" s="245"/>
      <c r="BV983" s="245"/>
      <c r="BW983" s="245"/>
      <c r="BX983" s="245"/>
      <c r="BY983" s="245"/>
      <c r="BZ983" s="282"/>
      <c r="CA983" s="245"/>
      <c r="CB983" s="245"/>
      <c r="CC983" s="245"/>
      <c r="CD983" s="245"/>
      <c r="CE983" s="245"/>
      <c r="CF983" s="245"/>
    </row>
    <row r="984">
      <c r="A984" s="245"/>
      <c r="B984" s="245"/>
      <c r="C984" s="245"/>
      <c r="D984" s="246"/>
      <c r="E984" s="245"/>
      <c r="F984" s="245"/>
      <c r="G984" s="245"/>
      <c r="H984" s="245"/>
      <c r="I984" s="245"/>
      <c r="J984" s="245"/>
      <c r="K984" s="265"/>
      <c r="L984" s="245"/>
      <c r="M984" s="245"/>
      <c r="N984" s="245"/>
      <c r="O984" s="245"/>
      <c r="P984" s="245"/>
      <c r="Q984" s="247"/>
      <c r="R984" s="254"/>
      <c r="S984" s="245"/>
      <c r="T984" s="245"/>
      <c r="U984" s="245"/>
      <c r="V984" s="245"/>
      <c r="W984" s="245"/>
      <c r="X984" s="245"/>
      <c r="Y984" s="249"/>
      <c r="Z984" s="276"/>
      <c r="AA984" s="245"/>
      <c r="AB984" s="276"/>
      <c r="AC984" s="276"/>
      <c r="AD984" s="246"/>
      <c r="AE984" s="278"/>
      <c r="AF984" s="370"/>
      <c r="AG984" s="371"/>
      <c r="AH984" s="276"/>
      <c r="AI984" s="245"/>
      <c r="AJ984" s="287"/>
      <c r="AK984" s="278"/>
      <c r="AL984" s="246"/>
      <c r="AM984" s="245"/>
      <c r="AN984" s="245"/>
      <c r="AO984" s="274"/>
      <c r="AP984" s="245"/>
      <c r="AQ984" s="245"/>
      <c r="AR984" s="246"/>
      <c r="AS984" s="245"/>
      <c r="AT984" s="245"/>
      <c r="AU984" s="245"/>
      <c r="AV984" s="245"/>
      <c r="AW984" s="245"/>
      <c r="AX984" s="246"/>
      <c r="AY984" s="245"/>
      <c r="AZ984" s="245"/>
      <c r="BA984" s="246"/>
      <c r="BB984" s="245"/>
      <c r="BC984" s="245"/>
      <c r="BD984" s="245"/>
      <c r="BE984" s="245"/>
      <c r="BF984" s="245"/>
      <c r="BG984" s="245"/>
      <c r="BH984" s="245"/>
      <c r="BI984" s="245"/>
      <c r="BJ984" s="245"/>
      <c r="BK984" s="245"/>
      <c r="BL984" s="245"/>
      <c r="BM984" s="245"/>
      <c r="BN984" s="245"/>
      <c r="BO984" s="245"/>
      <c r="BP984" s="245"/>
      <c r="BQ984" s="245"/>
      <c r="BR984" s="245"/>
      <c r="BS984" s="245"/>
      <c r="BT984" s="246"/>
      <c r="BU984" s="245"/>
      <c r="BV984" s="245"/>
      <c r="BW984" s="245"/>
      <c r="BX984" s="245"/>
      <c r="BY984" s="245"/>
      <c r="BZ984" s="282"/>
      <c r="CA984" s="245"/>
      <c r="CB984" s="245"/>
      <c r="CC984" s="245"/>
      <c r="CD984" s="245"/>
      <c r="CE984" s="245"/>
      <c r="CF984" s="245"/>
    </row>
    <row r="985">
      <c r="A985" s="245"/>
      <c r="B985" s="245"/>
      <c r="C985" s="245"/>
      <c r="D985" s="246"/>
      <c r="E985" s="245"/>
      <c r="F985" s="245"/>
      <c r="G985" s="245"/>
      <c r="H985" s="245"/>
      <c r="I985" s="245"/>
      <c r="J985" s="245"/>
      <c r="K985" s="265"/>
      <c r="L985" s="245"/>
      <c r="M985" s="245"/>
      <c r="N985" s="245"/>
      <c r="O985" s="245"/>
      <c r="P985" s="245"/>
      <c r="Q985" s="247"/>
      <c r="R985" s="254"/>
      <c r="S985" s="245"/>
      <c r="T985" s="245"/>
      <c r="U985" s="245"/>
      <c r="V985" s="245"/>
      <c r="W985" s="245"/>
      <c r="X985" s="245"/>
      <c r="Y985" s="249"/>
      <c r="Z985" s="276"/>
      <c r="AA985" s="245"/>
      <c r="AB985" s="276"/>
      <c r="AC985" s="276"/>
      <c r="AD985" s="246"/>
      <c r="AE985" s="278"/>
      <c r="AF985" s="370"/>
      <c r="AG985" s="371"/>
      <c r="AH985" s="276"/>
      <c r="AI985" s="245"/>
      <c r="AJ985" s="287"/>
      <c r="AK985" s="278"/>
      <c r="AL985" s="246"/>
      <c r="AM985" s="245"/>
      <c r="AN985" s="245"/>
      <c r="AO985" s="274"/>
      <c r="AP985" s="245"/>
      <c r="AQ985" s="245"/>
      <c r="AR985" s="246"/>
      <c r="AS985" s="245"/>
      <c r="AT985" s="245"/>
      <c r="AU985" s="245"/>
      <c r="AV985" s="245"/>
      <c r="AW985" s="245"/>
      <c r="AX985" s="246"/>
      <c r="AY985" s="245"/>
      <c r="AZ985" s="245"/>
      <c r="BA985" s="246"/>
      <c r="BB985" s="245"/>
      <c r="BC985" s="245"/>
      <c r="BD985" s="245"/>
      <c r="BE985" s="245"/>
      <c r="BF985" s="245"/>
      <c r="BG985" s="245"/>
      <c r="BH985" s="245"/>
      <c r="BI985" s="245"/>
      <c r="BJ985" s="245"/>
      <c r="BK985" s="245"/>
      <c r="BL985" s="245"/>
      <c r="BM985" s="245"/>
      <c r="BN985" s="245"/>
      <c r="BO985" s="245"/>
      <c r="BP985" s="245"/>
      <c r="BQ985" s="245"/>
      <c r="BR985" s="245"/>
      <c r="BS985" s="245"/>
      <c r="BT985" s="246"/>
      <c r="BU985" s="245"/>
      <c r="BV985" s="245"/>
      <c r="BW985" s="245"/>
      <c r="BX985" s="245"/>
      <c r="BY985" s="245"/>
      <c r="BZ985" s="282"/>
      <c r="CA985" s="245"/>
      <c r="CB985" s="245"/>
      <c r="CC985" s="245"/>
      <c r="CD985" s="245"/>
      <c r="CE985" s="245"/>
      <c r="CF985" s="245"/>
    </row>
    <row r="986">
      <c r="A986" s="245"/>
      <c r="B986" s="245"/>
      <c r="C986" s="245"/>
      <c r="D986" s="246"/>
      <c r="E986" s="245"/>
      <c r="F986" s="245"/>
      <c r="G986" s="245"/>
      <c r="H986" s="245"/>
      <c r="I986" s="245"/>
      <c r="J986" s="245"/>
      <c r="K986" s="265"/>
      <c r="L986" s="245"/>
      <c r="M986" s="245"/>
      <c r="N986" s="245"/>
      <c r="O986" s="245"/>
      <c r="P986" s="245"/>
      <c r="Q986" s="247"/>
      <c r="R986" s="254"/>
      <c r="S986" s="245"/>
      <c r="T986" s="245"/>
      <c r="U986" s="245"/>
      <c r="V986" s="245"/>
      <c r="W986" s="245"/>
      <c r="X986" s="245"/>
      <c r="Y986" s="249"/>
      <c r="Z986" s="276"/>
      <c r="AA986" s="245"/>
      <c r="AB986" s="276"/>
      <c r="AC986" s="276"/>
      <c r="AD986" s="246"/>
      <c r="AE986" s="278"/>
      <c r="AF986" s="370"/>
      <c r="AG986" s="371"/>
      <c r="AH986" s="276"/>
      <c r="AI986" s="245"/>
      <c r="AJ986" s="287"/>
      <c r="AK986" s="278"/>
      <c r="AL986" s="246"/>
      <c r="AM986" s="245"/>
      <c r="AN986" s="245"/>
      <c r="AO986" s="274"/>
      <c r="AP986" s="245"/>
      <c r="AQ986" s="245"/>
      <c r="AR986" s="246"/>
      <c r="AS986" s="245"/>
      <c r="AT986" s="245"/>
      <c r="AU986" s="245"/>
      <c r="AV986" s="245"/>
      <c r="AW986" s="245"/>
      <c r="AX986" s="246"/>
      <c r="AY986" s="245"/>
      <c r="AZ986" s="245"/>
      <c r="BA986" s="246"/>
      <c r="BB986" s="245"/>
      <c r="BC986" s="245"/>
      <c r="BD986" s="245"/>
      <c r="BE986" s="245"/>
      <c r="BF986" s="245"/>
      <c r="BG986" s="245"/>
      <c r="BH986" s="245"/>
      <c r="BI986" s="245"/>
      <c r="BJ986" s="245"/>
      <c r="BK986" s="245"/>
      <c r="BL986" s="245"/>
      <c r="BM986" s="245"/>
      <c r="BN986" s="245"/>
      <c r="BO986" s="245"/>
      <c r="BP986" s="245"/>
      <c r="BQ986" s="245"/>
      <c r="BR986" s="245"/>
      <c r="BS986" s="245"/>
      <c r="BT986" s="246"/>
      <c r="BU986" s="245"/>
      <c r="BV986" s="245"/>
      <c r="BW986" s="245"/>
      <c r="BX986" s="245"/>
      <c r="BY986" s="245"/>
      <c r="BZ986" s="282"/>
      <c r="CA986" s="245"/>
      <c r="CB986" s="245"/>
      <c r="CC986" s="245"/>
      <c r="CD986" s="245"/>
      <c r="CE986" s="245"/>
      <c r="CF986" s="245"/>
    </row>
    <row r="987">
      <c r="A987" s="245"/>
      <c r="B987" s="245"/>
      <c r="C987" s="245"/>
      <c r="D987" s="246"/>
      <c r="E987" s="245"/>
      <c r="F987" s="245"/>
      <c r="G987" s="245"/>
      <c r="H987" s="245"/>
      <c r="I987" s="245"/>
      <c r="J987" s="245"/>
      <c r="K987" s="265"/>
      <c r="L987" s="245"/>
      <c r="M987" s="245"/>
      <c r="N987" s="245"/>
      <c r="O987" s="245"/>
      <c r="P987" s="245"/>
      <c r="Q987" s="247"/>
      <c r="R987" s="254"/>
      <c r="S987" s="245"/>
      <c r="T987" s="245"/>
      <c r="U987" s="245"/>
      <c r="V987" s="245"/>
      <c r="W987" s="245"/>
      <c r="X987" s="245"/>
      <c r="Y987" s="249"/>
      <c r="Z987" s="276"/>
      <c r="AA987" s="245"/>
      <c r="AB987" s="276"/>
      <c r="AC987" s="276"/>
      <c r="AD987" s="246"/>
      <c r="AE987" s="278"/>
      <c r="AF987" s="370"/>
      <c r="AG987" s="371"/>
      <c r="AH987" s="276"/>
      <c r="AI987" s="245"/>
      <c r="AJ987" s="287"/>
      <c r="AK987" s="278"/>
      <c r="AL987" s="246"/>
      <c r="AM987" s="245"/>
      <c r="AN987" s="245"/>
      <c r="AO987" s="274"/>
      <c r="AP987" s="245"/>
      <c r="AQ987" s="245"/>
      <c r="AR987" s="246"/>
      <c r="AS987" s="245"/>
      <c r="AT987" s="245"/>
      <c r="AU987" s="245"/>
      <c r="AV987" s="245"/>
      <c r="AW987" s="245"/>
      <c r="AX987" s="246"/>
      <c r="AY987" s="245"/>
      <c r="AZ987" s="245"/>
      <c r="BA987" s="246"/>
      <c r="BB987" s="245"/>
      <c r="BC987" s="245"/>
      <c r="BD987" s="245"/>
      <c r="BE987" s="245"/>
      <c r="BF987" s="245"/>
      <c r="BG987" s="245"/>
      <c r="BH987" s="245"/>
      <c r="BI987" s="245"/>
      <c r="BJ987" s="245"/>
      <c r="BK987" s="245"/>
      <c r="BL987" s="245"/>
      <c r="BM987" s="245"/>
      <c r="BN987" s="245"/>
      <c r="BO987" s="245"/>
      <c r="BP987" s="245"/>
      <c r="BQ987" s="245"/>
      <c r="BR987" s="245"/>
      <c r="BS987" s="245"/>
      <c r="BT987" s="246"/>
      <c r="BU987" s="245"/>
      <c r="BV987" s="245"/>
      <c r="BW987" s="245"/>
      <c r="BX987" s="245"/>
      <c r="BY987" s="245"/>
      <c r="BZ987" s="282"/>
      <c r="CA987" s="245"/>
      <c r="CB987" s="245"/>
      <c r="CC987" s="245"/>
      <c r="CD987" s="245"/>
      <c r="CE987" s="245"/>
      <c r="CF987" s="245"/>
    </row>
    <row r="988">
      <c r="A988" s="245"/>
      <c r="B988" s="245"/>
      <c r="C988" s="245"/>
      <c r="D988" s="246"/>
      <c r="E988" s="245"/>
      <c r="F988" s="245"/>
      <c r="G988" s="245"/>
      <c r="H988" s="245"/>
      <c r="I988" s="245"/>
      <c r="J988" s="245"/>
      <c r="K988" s="265"/>
      <c r="L988" s="245"/>
      <c r="M988" s="245"/>
      <c r="N988" s="245"/>
      <c r="O988" s="245"/>
      <c r="P988" s="245"/>
      <c r="Q988" s="247"/>
      <c r="R988" s="254"/>
      <c r="S988" s="245"/>
      <c r="T988" s="245"/>
      <c r="U988" s="245"/>
      <c r="V988" s="245"/>
      <c r="W988" s="245"/>
      <c r="X988" s="245"/>
      <c r="Y988" s="249"/>
      <c r="Z988" s="276"/>
      <c r="AA988" s="245"/>
      <c r="AB988" s="276"/>
      <c r="AC988" s="276"/>
      <c r="AD988" s="246"/>
      <c r="AE988" s="278"/>
      <c r="AF988" s="370"/>
      <c r="AG988" s="371"/>
      <c r="AH988" s="276"/>
      <c r="AI988" s="245"/>
      <c r="AJ988" s="287"/>
      <c r="AK988" s="278"/>
      <c r="AL988" s="246"/>
      <c r="AM988" s="245"/>
      <c r="AN988" s="245"/>
      <c r="AO988" s="274"/>
      <c r="AP988" s="245"/>
      <c r="AQ988" s="245"/>
      <c r="AR988" s="246"/>
      <c r="AS988" s="245"/>
      <c r="AT988" s="245"/>
      <c r="AU988" s="245"/>
      <c r="AV988" s="245"/>
      <c r="AW988" s="245"/>
      <c r="AX988" s="246"/>
      <c r="AY988" s="245"/>
      <c r="AZ988" s="245"/>
      <c r="BA988" s="246"/>
      <c r="BB988" s="245"/>
      <c r="BC988" s="245"/>
      <c r="BD988" s="245"/>
      <c r="BE988" s="245"/>
      <c r="BF988" s="245"/>
      <c r="BG988" s="245"/>
      <c r="BH988" s="245"/>
      <c r="BI988" s="245"/>
      <c r="BJ988" s="245"/>
      <c r="BK988" s="245"/>
      <c r="BL988" s="245"/>
      <c r="BM988" s="245"/>
      <c r="BN988" s="245"/>
      <c r="BO988" s="245"/>
      <c r="BP988" s="245"/>
      <c r="BQ988" s="245"/>
      <c r="BR988" s="245"/>
      <c r="BS988" s="245"/>
      <c r="BT988" s="246"/>
      <c r="BU988" s="245"/>
      <c r="BV988" s="245"/>
      <c r="BW988" s="245"/>
      <c r="BX988" s="245"/>
      <c r="BY988" s="245"/>
      <c r="BZ988" s="282"/>
      <c r="CA988" s="245"/>
      <c r="CB988" s="245"/>
      <c r="CC988" s="245"/>
      <c r="CD988" s="245"/>
      <c r="CE988" s="245"/>
      <c r="CF988" s="245"/>
    </row>
    <row r="989">
      <c r="A989" s="245"/>
      <c r="B989" s="245"/>
      <c r="C989" s="245"/>
      <c r="D989" s="246"/>
      <c r="E989" s="245"/>
      <c r="F989" s="245"/>
      <c r="G989" s="245"/>
      <c r="H989" s="245"/>
      <c r="I989" s="245"/>
      <c r="J989" s="245"/>
      <c r="K989" s="265"/>
      <c r="L989" s="245"/>
      <c r="M989" s="245"/>
      <c r="N989" s="245"/>
      <c r="O989" s="245"/>
      <c r="P989" s="245"/>
      <c r="Q989" s="247"/>
      <c r="R989" s="254"/>
      <c r="S989" s="245"/>
      <c r="T989" s="245"/>
      <c r="U989" s="245"/>
      <c r="V989" s="245"/>
      <c r="W989" s="245"/>
      <c r="X989" s="245"/>
      <c r="Y989" s="249"/>
      <c r="Z989" s="276"/>
      <c r="AA989" s="245"/>
      <c r="AB989" s="276"/>
      <c r="AC989" s="276"/>
      <c r="AD989" s="246"/>
      <c r="AE989" s="278"/>
      <c r="AF989" s="370"/>
      <c r="AG989" s="371"/>
      <c r="AH989" s="276"/>
      <c r="AI989" s="245"/>
      <c r="AJ989" s="287"/>
      <c r="AK989" s="278"/>
      <c r="AL989" s="246"/>
      <c r="AM989" s="245"/>
      <c r="AN989" s="245"/>
      <c r="AO989" s="274"/>
      <c r="AP989" s="245"/>
      <c r="AQ989" s="245"/>
      <c r="AR989" s="246"/>
      <c r="AS989" s="245"/>
      <c r="AT989" s="245"/>
      <c r="AU989" s="245"/>
      <c r="AV989" s="245"/>
      <c r="AW989" s="245"/>
      <c r="AX989" s="246"/>
      <c r="AY989" s="245"/>
      <c r="AZ989" s="245"/>
      <c r="BA989" s="246"/>
      <c r="BB989" s="245"/>
      <c r="BC989" s="245"/>
      <c r="BD989" s="245"/>
      <c r="BE989" s="245"/>
      <c r="BF989" s="245"/>
      <c r="BG989" s="245"/>
      <c r="BH989" s="245"/>
      <c r="BI989" s="245"/>
      <c r="BJ989" s="245"/>
      <c r="BK989" s="245"/>
      <c r="BL989" s="245"/>
      <c r="BM989" s="245"/>
      <c r="BN989" s="245"/>
      <c r="BO989" s="245"/>
      <c r="BP989" s="245"/>
      <c r="BQ989" s="245"/>
      <c r="BR989" s="245"/>
      <c r="BS989" s="245"/>
      <c r="BT989" s="246"/>
      <c r="BU989" s="245"/>
      <c r="BV989" s="245"/>
      <c r="BW989" s="245"/>
      <c r="BX989" s="245"/>
      <c r="BY989" s="245"/>
      <c r="BZ989" s="282"/>
      <c r="CA989" s="245"/>
      <c r="CB989" s="245"/>
      <c r="CC989" s="245"/>
      <c r="CD989" s="245"/>
      <c r="CE989" s="245"/>
      <c r="CF989" s="245"/>
    </row>
    <row r="990">
      <c r="A990" s="245"/>
      <c r="B990" s="245"/>
      <c r="C990" s="245"/>
      <c r="D990" s="246"/>
      <c r="E990" s="245"/>
      <c r="F990" s="245"/>
      <c r="G990" s="245"/>
      <c r="H990" s="245"/>
      <c r="I990" s="245"/>
      <c r="J990" s="245"/>
      <c r="K990" s="265"/>
      <c r="L990" s="245"/>
      <c r="M990" s="245"/>
      <c r="N990" s="245"/>
      <c r="O990" s="245"/>
      <c r="P990" s="245"/>
      <c r="Q990" s="247"/>
      <c r="R990" s="254"/>
      <c r="S990" s="245"/>
      <c r="T990" s="245"/>
      <c r="U990" s="245"/>
      <c r="V990" s="245"/>
      <c r="W990" s="245"/>
      <c r="X990" s="245"/>
      <c r="Y990" s="249"/>
      <c r="Z990" s="276"/>
      <c r="AA990" s="245"/>
      <c r="AB990" s="276"/>
      <c r="AC990" s="276"/>
      <c r="AD990" s="246"/>
      <c r="AE990" s="278"/>
      <c r="AF990" s="370"/>
      <c r="AG990" s="371"/>
      <c r="AH990" s="276"/>
      <c r="AI990" s="245"/>
      <c r="AJ990" s="287"/>
      <c r="AK990" s="278"/>
      <c r="AL990" s="246"/>
      <c r="AM990" s="245"/>
      <c r="AN990" s="245"/>
      <c r="AO990" s="274"/>
      <c r="AP990" s="245"/>
      <c r="AQ990" s="245"/>
      <c r="AR990" s="246"/>
      <c r="AS990" s="245"/>
      <c r="AT990" s="245"/>
      <c r="AU990" s="245"/>
      <c r="AV990" s="245"/>
      <c r="AW990" s="245"/>
      <c r="AX990" s="246"/>
      <c r="AY990" s="245"/>
      <c r="AZ990" s="245"/>
      <c r="BA990" s="246"/>
      <c r="BB990" s="245"/>
      <c r="BC990" s="245"/>
      <c r="BD990" s="245"/>
      <c r="BE990" s="245"/>
      <c r="BF990" s="245"/>
      <c r="BG990" s="245"/>
      <c r="BH990" s="245"/>
      <c r="BI990" s="245"/>
      <c r="BJ990" s="245"/>
      <c r="BK990" s="245"/>
      <c r="BL990" s="245"/>
      <c r="BM990" s="245"/>
      <c r="BN990" s="245"/>
      <c r="BO990" s="245"/>
      <c r="BP990" s="245"/>
      <c r="BQ990" s="245"/>
      <c r="BR990" s="245"/>
      <c r="BS990" s="245"/>
      <c r="BT990" s="246"/>
      <c r="BU990" s="245"/>
      <c r="BV990" s="245"/>
      <c r="BW990" s="245"/>
      <c r="BX990" s="245"/>
      <c r="BY990" s="245"/>
      <c r="BZ990" s="282"/>
      <c r="CA990" s="245"/>
      <c r="CB990" s="245"/>
      <c r="CC990" s="245"/>
      <c r="CD990" s="245"/>
      <c r="CE990" s="245"/>
      <c r="CF990" s="245"/>
    </row>
    <row r="991">
      <c r="A991" s="245"/>
      <c r="B991" s="245"/>
      <c r="C991" s="245"/>
      <c r="D991" s="246"/>
      <c r="E991" s="245"/>
      <c r="F991" s="245"/>
      <c r="G991" s="245"/>
      <c r="H991" s="245"/>
      <c r="I991" s="245"/>
      <c r="J991" s="245"/>
      <c r="K991" s="265"/>
      <c r="L991" s="245"/>
      <c r="M991" s="245"/>
      <c r="N991" s="245"/>
      <c r="O991" s="245"/>
      <c r="P991" s="245"/>
      <c r="Q991" s="247"/>
      <c r="R991" s="254"/>
      <c r="S991" s="245"/>
      <c r="T991" s="245"/>
      <c r="U991" s="245"/>
      <c r="V991" s="245"/>
      <c r="W991" s="245"/>
      <c r="X991" s="245"/>
      <c r="Y991" s="249"/>
      <c r="Z991" s="276"/>
      <c r="AA991" s="245"/>
      <c r="AB991" s="276"/>
      <c r="AC991" s="276"/>
      <c r="AD991" s="246"/>
      <c r="AE991" s="278"/>
      <c r="AF991" s="370"/>
      <c r="AG991" s="371"/>
      <c r="AH991" s="276"/>
      <c r="AI991" s="245"/>
      <c r="AJ991" s="287"/>
      <c r="AK991" s="278"/>
      <c r="AL991" s="246"/>
      <c r="AM991" s="245"/>
      <c r="AN991" s="245"/>
      <c r="AO991" s="274"/>
      <c r="AP991" s="245"/>
      <c r="AQ991" s="245"/>
      <c r="AR991" s="246"/>
      <c r="AS991" s="245"/>
      <c r="AT991" s="245"/>
      <c r="AU991" s="245"/>
      <c r="AV991" s="245"/>
      <c r="AW991" s="245"/>
      <c r="AX991" s="246"/>
      <c r="AY991" s="245"/>
      <c r="AZ991" s="245"/>
      <c r="BA991" s="246"/>
      <c r="BB991" s="245"/>
      <c r="BC991" s="245"/>
      <c r="BD991" s="245"/>
      <c r="BE991" s="245"/>
      <c r="BF991" s="245"/>
      <c r="BG991" s="245"/>
      <c r="BH991" s="245"/>
      <c r="BI991" s="245"/>
      <c r="BJ991" s="245"/>
      <c r="BK991" s="245"/>
      <c r="BL991" s="245"/>
      <c r="BM991" s="245"/>
      <c r="BN991" s="245"/>
      <c r="BO991" s="245"/>
      <c r="BP991" s="245"/>
      <c r="BQ991" s="245"/>
      <c r="BR991" s="245"/>
      <c r="BS991" s="245"/>
      <c r="BT991" s="246"/>
      <c r="BU991" s="245"/>
      <c r="BV991" s="245"/>
      <c r="BW991" s="245"/>
      <c r="BX991" s="245"/>
      <c r="BY991" s="245"/>
      <c r="BZ991" s="282"/>
      <c r="CA991" s="245"/>
      <c r="CB991" s="245"/>
      <c r="CC991" s="245"/>
      <c r="CD991" s="245"/>
      <c r="CE991" s="245"/>
      <c r="CF991" s="245"/>
    </row>
    <row r="992">
      <c r="A992" s="245"/>
      <c r="B992" s="245"/>
      <c r="C992" s="245"/>
      <c r="D992" s="246"/>
      <c r="E992" s="245"/>
      <c r="F992" s="245"/>
      <c r="G992" s="245"/>
      <c r="H992" s="245"/>
      <c r="I992" s="245"/>
      <c r="J992" s="245"/>
      <c r="K992" s="265"/>
      <c r="L992" s="245"/>
      <c r="M992" s="245"/>
      <c r="N992" s="245"/>
      <c r="O992" s="245"/>
      <c r="P992" s="245"/>
      <c r="Q992" s="247"/>
      <c r="R992" s="254"/>
      <c r="S992" s="245"/>
      <c r="T992" s="245"/>
      <c r="U992" s="245"/>
      <c r="V992" s="245"/>
      <c r="W992" s="245"/>
      <c r="X992" s="245"/>
      <c r="Y992" s="249"/>
      <c r="Z992" s="276"/>
      <c r="AA992" s="245"/>
      <c r="AB992" s="276"/>
      <c r="AC992" s="276"/>
      <c r="AD992" s="246"/>
      <c r="AE992" s="278"/>
      <c r="AF992" s="370"/>
      <c r="AG992" s="371"/>
      <c r="AH992" s="276"/>
      <c r="AI992" s="245"/>
      <c r="AJ992" s="287"/>
      <c r="AK992" s="278"/>
      <c r="AL992" s="246"/>
      <c r="AM992" s="245"/>
      <c r="AN992" s="245"/>
      <c r="AO992" s="274"/>
      <c r="AP992" s="245"/>
      <c r="AQ992" s="245"/>
      <c r="AR992" s="246"/>
      <c r="AS992" s="245"/>
      <c r="AT992" s="245"/>
      <c r="AU992" s="245"/>
      <c r="AV992" s="245"/>
      <c r="AW992" s="245"/>
      <c r="AX992" s="246"/>
      <c r="AY992" s="245"/>
      <c r="AZ992" s="245"/>
      <c r="BA992" s="246"/>
      <c r="BB992" s="245"/>
      <c r="BC992" s="245"/>
      <c r="BD992" s="245"/>
      <c r="BE992" s="245"/>
      <c r="BF992" s="245"/>
      <c r="BG992" s="245"/>
      <c r="BH992" s="245"/>
      <c r="BI992" s="245"/>
      <c r="BJ992" s="245"/>
      <c r="BK992" s="245"/>
      <c r="BL992" s="245"/>
      <c r="BM992" s="245"/>
      <c r="BN992" s="245"/>
      <c r="BO992" s="245"/>
      <c r="BP992" s="245"/>
      <c r="BQ992" s="245"/>
      <c r="BR992" s="245"/>
      <c r="BS992" s="245"/>
      <c r="BT992" s="246"/>
      <c r="BU992" s="245"/>
      <c r="BV992" s="245"/>
      <c r="BW992" s="245"/>
      <c r="BX992" s="245"/>
      <c r="BY992" s="245"/>
      <c r="BZ992" s="282"/>
      <c r="CA992" s="245"/>
      <c r="CB992" s="245"/>
      <c r="CC992" s="245"/>
      <c r="CD992" s="245"/>
      <c r="CE992" s="245"/>
      <c r="CF992" s="245"/>
    </row>
    <row r="993">
      <c r="A993" s="245"/>
      <c r="B993" s="245"/>
      <c r="C993" s="245"/>
      <c r="D993" s="246"/>
      <c r="E993" s="245"/>
      <c r="F993" s="245"/>
      <c r="G993" s="245"/>
      <c r="H993" s="245"/>
      <c r="I993" s="245"/>
      <c r="J993" s="245"/>
      <c r="K993" s="265"/>
      <c r="L993" s="245"/>
      <c r="M993" s="245"/>
      <c r="N993" s="245"/>
      <c r="O993" s="245"/>
      <c r="P993" s="245"/>
      <c r="Q993" s="247"/>
      <c r="R993" s="254"/>
      <c r="S993" s="245"/>
      <c r="T993" s="245"/>
      <c r="U993" s="245"/>
      <c r="V993" s="245"/>
      <c r="W993" s="245"/>
      <c r="X993" s="245"/>
      <c r="Y993" s="249"/>
      <c r="Z993" s="276"/>
      <c r="AA993" s="245"/>
      <c r="AB993" s="276"/>
      <c r="AC993" s="276"/>
      <c r="AD993" s="246"/>
      <c r="AE993" s="278"/>
      <c r="AF993" s="370"/>
      <c r="AG993" s="371"/>
      <c r="AH993" s="276"/>
      <c r="AI993" s="245"/>
      <c r="AJ993" s="287"/>
      <c r="AK993" s="278"/>
      <c r="AL993" s="246"/>
      <c r="AM993" s="245"/>
      <c r="AN993" s="245"/>
      <c r="AO993" s="274"/>
      <c r="AP993" s="245"/>
      <c r="AQ993" s="245"/>
      <c r="AR993" s="246"/>
      <c r="AS993" s="245"/>
      <c r="AT993" s="245"/>
      <c r="AU993" s="245"/>
      <c r="AV993" s="245"/>
      <c r="AW993" s="245"/>
      <c r="AX993" s="246"/>
      <c r="AY993" s="245"/>
      <c r="AZ993" s="245"/>
      <c r="BA993" s="246"/>
      <c r="BB993" s="245"/>
      <c r="BC993" s="245"/>
      <c r="BD993" s="245"/>
      <c r="BE993" s="245"/>
      <c r="BF993" s="245"/>
      <c r="BG993" s="245"/>
      <c r="BH993" s="245"/>
      <c r="BI993" s="245"/>
      <c r="BJ993" s="245"/>
      <c r="BK993" s="245"/>
      <c r="BL993" s="245"/>
      <c r="BM993" s="245"/>
      <c r="BN993" s="245"/>
      <c r="BO993" s="245"/>
      <c r="BP993" s="245"/>
      <c r="BQ993" s="245"/>
      <c r="BR993" s="245"/>
      <c r="BS993" s="245"/>
      <c r="BT993" s="246"/>
      <c r="BU993" s="245"/>
      <c r="BV993" s="245"/>
      <c r="BW993" s="245"/>
      <c r="BX993" s="245"/>
      <c r="BY993" s="245"/>
      <c r="BZ993" s="282"/>
      <c r="CA993" s="245"/>
      <c r="CB993" s="245"/>
      <c r="CC993" s="245"/>
      <c r="CD993" s="245"/>
      <c r="CE993" s="245"/>
      <c r="CF993" s="245"/>
    </row>
    <row r="994">
      <c r="A994" s="245"/>
      <c r="B994" s="245"/>
      <c r="C994" s="245"/>
      <c r="D994" s="246"/>
      <c r="E994" s="245"/>
      <c r="F994" s="245"/>
      <c r="G994" s="245"/>
      <c r="H994" s="245"/>
      <c r="I994" s="245"/>
      <c r="J994" s="245"/>
      <c r="K994" s="265"/>
      <c r="L994" s="245"/>
      <c r="M994" s="245"/>
      <c r="N994" s="245"/>
      <c r="O994" s="245"/>
      <c r="P994" s="245"/>
      <c r="Q994" s="247"/>
      <c r="R994" s="254"/>
      <c r="S994" s="245"/>
      <c r="T994" s="245"/>
      <c r="U994" s="245"/>
      <c r="V994" s="245"/>
      <c r="W994" s="245"/>
      <c r="X994" s="245"/>
      <c r="Y994" s="249"/>
      <c r="Z994" s="276"/>
      <c r="AA994" s="245"/>
      <c r="AB994" s="276"/>
      <c r="AC994" s="276"/>
      <c r="AD994" s="246"/>
      <c r="AE994" s="278"/>
      <c r="AF994" s="370"/>
      <c r="AG994" s="371"/>
      <c r="AH994" s="276"/>
      <c r="AI994" s="245"/>
      <c r="AJ994" s="287"/>
      <c r="AK994" s="278"/>
      <c r="AL994" s="246"/>
      <c r="AM994" s="245"/>
      <c r="AN994" s="245"/>
      <c r="AO994" s="274"/>
      <c r="AP994" s="245"/>
      <c r="AQ994" s="245"/>
      <c r="AR994" s="246"/>
      <c r="AS994" s="245"/>
      <c r="AT994" s="245"/>
      <c r="AU994" s="245"/>
      <c r="AV994" s="245"/>
      <c r="AW994" s="245"/>
      <c r="AX994" s="246"/>
      <c r="AY994" s="245"/>
      <c r="AZ994" s="245"/>
      <c r="BA994" s="246"/>
      <c r="BB994" s="245"/>
      <c r="BC994" s="245"/>
      <c r="BD994" s="245"/>
      <c r="BE994" s="245"/>
      <c r="BF994" s="245"/>
      <c r="BG994" s="245"/>
      <c r="BH994" s="245"/>
      <c r="BI994" s="245"/>
      <c r="BJ994" s="245"/>
      <c r="BK994" s="245"/>
      <c r="BL994" s="245"/>
      <c r="BM994" s="245"/>
      <c r="BN994" s="245"/>
      <c r="BO994" s="245"/>
      <c r="BP994" s="245"/>
      <c r="BQ994" s="245"/>
      <c r="BR994" s="245"/>
      <c r="BS994" s="245"/>
      <c r="BT994" s="246"/>
      <c r="BU994" s="245"/>
      <c r="BV994" s="245"/>
      <c r="BW994" s="245"/>
      <c r="BX994" s="245"/>
      <c r="BY994" s="245"/>
      <c r="BZ994" s="282"/>
      <c r="CA994" s="245"/>
      <c r="CB994" s="245"/>
      <c r="CC994" s="245"/>
      <c r="CD994" s="245"/>
      <c r="CE994" s="245"/>
      <c r="CF994" s="245"/>
    </row>
    <row r="995">
      <c r="A995" s="245"/>
      <c r="B995" s="245"/>
      <c r="C995" s="245"/>
      <c r="D995" s="246"/>
      <c r="E995" s="245"/>
      <c r="F995" s="245"/>
      <c r="G995" s="245"/>
      <c r="H995" s="245"/>
      <c r="I995" s="245"/>
      <c r="J995" s="245"/>
      <c r="K995" s="265"/>
      <c r="L995" s="245"/>
      <c r="M995" s="245"/>
      <c r="N995" s="245"/>
      <c r="O995" s="245"/>
      <c r="P995" s="245"/>
      <c r="Q995" s="247"/>
      <c r="R995" s="254"/>
      <c r="S995" s="245"/>
      <c r="T995" s="245"/>
      <c r="U995" s="245"/>
      <c r="V995" s="245"/>
      <c r="W995" s="245"/>
      <c r="X995" s="245"/>
      <c r="Y995" s="249"/>
      <c r="Z995" s="276"/>
      <c r="AA995" s="245"/>
      <c r="AB995" s="276"/>
      <c r="AC995" s="276"/>
      <c r="AD995" s="246"/>
      <c r="AE995" s="278"/>
      <c r="AF995" s="370"/>
      <c r="AG995" s="371"/>
      <c r="AH995" s="276"/>
      <c r="AI995" s="245"/>
      <c r="AJ995" s="287"/>
      <c r="AK995" s="278"/>
      <c r="AL995" s="246"/>
      <c r="AM995" s="245"/>
      <c r="AN995" s="245"/>
      <c r="AO995" s="274"/>
      <c r="AP995" s="245"/>
      <c r="AQ995" s="245"/>
      <c r="AR995" s="246"/>
      <c r="AS995" s="245"/>
      <c r="AT995" s="245"/>
      <c r="AU995" s="245"/>
      <c r="AV995" s="245"/>
      <c r="AW995" s="245"/>
      <c r="AX995" s="246"/>
      <c r="AY995" s="245"/>
      <c r="AZ995" s="245"/>
      <c r="BA995" s="246"/>
      <c r="BB995" s="245"/>
      <c r="BC995" s="245"/>
      <c r="BD995" s="245"/>
      <c r="BE995" s="245"/>
      <c r="BF995" s="245"/>
      <c r="BG995" s="245"/>
      <c r="BH995" s="245"/>
      <c r="BI995" s="245"/>
      <c r="BJ995" s="245"/>
      <c r="BK995" s="245"/>
      <c r="BL995" s="245"/>
      <c r="BM995" s="245"/>
      <c r="BN995" s="245"/>
      <c r="BO995" s="245"/>
      <c r="BP995" s="245"/>
      <c r="BQ995" s="245"/>
      <c r="BR995" s="245"/>
      <c r="BS995" s="245"/>
      <c r="BT995" s="246"/>
      <c r="BU995" s="245"/>
      <c r="BV995" s="245"/>
      <c r="BW995" s="245"/>
      <c r="BX995" s="245"/>
      <c r="BY995" s="245"/>
      <c r="BZ995" s="282"/>
      <c r="CA995" s="245"/>
      <c r="CB995" s="245"/>
      <c r="CC995" s="245"/>
      <c r="CD995" s="245"/>
      <c r="CE995" s="245"/>
      <c r="CF995" s="245"/>
    </row>
    <row r="996">
      <c r="A996" s="245"/>
      <c r="B996" s="245"/>
      <c r="C996" s="245"/>
      <c r="D996" s="246"/>
      <c r="E996" s="245"/>
      <c r="F996" s="245"/>
      <c r="G996" s="245"/>
      <c r="H996" s="245"/>
      <c r="I996" s="245"/>
      <c r="J996" s="245"/>
      <c r="K996" s="265"/>
      <c r="L996" s="245"/>
      <c r="M996" s="245"/>
      <c r="N996" s="245"/>
      <c r="O996" s="245"/>
      <c r="P996" s="245"/>
      <c r="Q996" s="247"/>
      <c r="R996" s="254"/>
      <c r="S996" s="245"/>
      <c r="T996" s="245"/>
      <c r="U996" s="245"/>
      <c r="V996" s="245"/>
      <c r="W996" s="245"/>
      <c r="X996" s="245"/>
      <c r="Y996" s="249"/>
      <c r="Z996" s="276"/>
      <c r="AA996" s="245"/>
      <c r="AB996" s="276"/>
      <c r="AC996" s="276"/>
      <c r="AD996" s="246"/>
      <c r="AE996" s="278"/>
      <c r="AF996" s="370"/>
      <c r="AG996" s="371"/>
      <c r="AH996" s="276"/>
      <c r="AI996" s="245"/>
      <c r="AJ996" s="287"/>
      <c r="AK996" s="278"/>
      <c r="AL996" s="246"/>
      <c r="AM996" s="245"/>
      <c r="AN996" s="245"/>
      <c r="AO996" s="274"/>
      <c r="AP996" s="245"/>
      <c r="AQ996" s="245"/>
      <c r="AR996" s="246"/>
      <c r="AS996" s="245"/>
      <c r="AT996" s="245"/>
      <c r="AU996" s="245"/>
      <c r="AV996" s="245"/>
      <c r="AW996" s="245"/>
      <c r="AX996" s="246"/>
      <c r="AY996" s="245"/>
      <c r="AZ996" s="245"/>
      <c r="BA996" s="246"/>
      <c r="BB996" s="245"/>
      <c r="BC996" s="245"/>
      <c r="BD996" s="245"/>
      <c r="BE996" s="245"/>
      <c r="BF996" s="245"/>
      <c r="BG996" s="245"/>
      <c r="BH996" s="245"/>
      <c r="BI996" s="245"/>
      <c r="BJ996" s="245"/>
      <c r="BK996" s="245"/>
      <c r="BL996" s="245"/>
      <c r="BM996" s="245"/>
      <c r="BN996" s="245"/>
      <c r="BO996" s="245"/>
      <c r="BP996" s="245"/>
      <c r="BQ996" s="245"/>
      <c r="BR996" s="245"/>
      <c r="BS996" s="245"/>
      <c r="BT996" s="246"/>
      <c r="BU996" s="245"/>
      <c r="BV996" s="245"/>
      <c r="BW996" s="245"/>
      <c r="BX996" s="245"/>
      <c r="BY996" s="245"/>
      <c r="BZ996" s="282"/>
      <c r="CA996" s="245"/>
      <c r="CB996" s="245"/>
      <c r="CC996" s="245"/>
      <c r="CD996" s="245"/>
      <c r="CE996" s="245"/>
      <c r="CF996" s="245"/>
    </row>
    <row r="997">
      <c r="A997" s="245"/>
      <c r="B997" s="245"/>
      <c r="C997" s="245"/>
      <c r="D997" s="246"/>
      <c r="E997" s="245"/>
      <c r="F997" s="245"/>
      <c r="G997" s="245"/>
      <c r="H997" s="245"/>
      <c r="I997" s="245"/>
      <c r="J997" s="245"/>
      <c r="K997" s="265"/>
      <c r="L997" s="245"/>
      <c r="M997" s="245"/>
      <c r="N997" s="245"/>
      <c r="O997" s="245"/>
      <c r="P997" s="245"/>
      <c r="Q997" s="247"/>
      <c r="R997" s="254"/>
      <c r="S997" s="245"/>
      <c r="T997" s="245"/>
      <c r="U997" s="245"/>
      <c r="V997" s="245"/>
      <c r="W997" s="245"/>
      <c r="X997" s="245"/>
      <c r="Y997" s="249"/>
      <c r="Z997" s="276"/>
      <c r="AA997" s="245"/>
      <c r="AB997" s="276"/>
      <c r="AC997" s="276"/>
      <c r="AD997" s="246"/>
      <c r="AE997" s="278"/>
      <c r="AF997" s="370"/>
      <c r="AG997" s="371"/>
      <c r="AH997" s="276"/>
      <c r="AI997" s="245"/>
      <c r="AJ997" s="287"/>
      <c r="AK997" s="278"/>
      <c r="AL997" s="246"/>
      <c r="AM997" s="245"/>
      <c r="AN997" s="245"/>
      <c r="AO997" s="274"/>
      <c r="AP997" s="245"/>
      <c r="AQ997" s="245"/>
      <c r="AR997" s="246"/>
      <c r="AS997" s="245"/>
      <c r="AT997" s="245"/>
      <c r="AU997" s="245"/>
      <c r="AV997" s="245"/>
      <c r="AW997" s="245"/>
      <c r="AX997" s="246"/>
      <c r="AY997" s="245"/>
      <c r="AZ997" s="245"/>
      <c r="BA997" s="246"/>
      <c r="BB997" s="245"/>
      <c r="BC997" s="245"/>
      <c r="BD997" s="245"/>
      <c r="BE997" s="245"/>
      <c r="BF997" s="245"/>
      <c r="BG997" s="245"/>
      <c r="BH997" s="245"/>
      <c r="BI997" s="245"/>
      <c r="BJ997" s="245"/>
      <c r="BK997" s="245"/>
      <c r="BL997" s="245"/>
      <c r="BM997" s="245"/>
      <c r="BN997" s="245"/>
      <c r="BO997" s="245"/>
      <c r="BP997" s="245"/>
      <c r="BQ997" s="245"/>
      <c r="BR997" s="245"/>
      <c r="BS997" s="245"/>
      <c r="BT997" s="246"/>
      <c r="BU997" s="245"/>
      <c r="BV997" s="245"/>
      <c r="BW997" s="245"/>
      <c r="BX997" s="245"/>
      <c r="BY997" s="245"/>
      <c r="BZ997" s="282"/>
      <c r="CA997" s="245"/>
      <c r="CB997" s="245"/>
      <c r="CC997" s="245"/>
      <c r="CD997" s="245"/>
      <c r="CE997" s="245"/>
      <c r="CF997" s="245"/>
    </row>
    <row r="998">
      <c r="A998" s="245"/>
      <c r="B998" s="245"/>
      <c r="C998" s="245"/>
      <c r="D998" s="246"/>
      <c r="E998" s="245"/>
      <c r="F998" s="245"/>
      <c r="G998" s="245"/>
      <c r="H998" s="245"/>
      <c r="I998" s="245"/>
      <c r="J998" s="245"/>
      <c r="K998" s="265"/>
      <c r="L998" s="245"/>
      <c r="M998" s="245"/>
      <c r="N998" s="245"/>
      <c r="O998" s="245"/>
      <c r="P998" s="245"/>
      <c r="Q998" s="247"/>
      <c r="R998" s="254"/>
      <c r="S998" s="245"/>
      <c r="T998" s="245"/>
      <c r="U998" s="245"/>
      <c r="V998" s="245"/>
      <c r="W998" s="245"/>
      <c r="X998" s="245"/>
      <c r="Y998" s="249"/>
      <c r="Z998" s="276"/>
      <c r="AA998" s="245"/>
      <c r="AB998" s="276"/>
      <c r="AC998" s="276"/>
      <c r="AD998" s="246"/>
      <c r="AE998" s="278"/>
      <c r="AF998" s="370"/>
      <c r="AG998" s="371"/>
      <c r="AH998" s="276"/>
      <c r="AI998" s="245"/>
      <c r="AJ998" s="287"/>
      <c r="AK998" s="278"/>
      <c r="AL998" s="246"/>
      <c r="AM998" s="245"/>
      <c r="AN998" s="245"/>
      <c r="AO998" s="274"/>
      <c r="AP998" s="245"/>
      <c r="AQ998" s="245"/>
      <c r="AR998" s="246"/>
      <c r="AS998" s="245"/>
      <c r="AT998" s="245"/>
      <c r="AU998" s="245"/>
      <c r="AV998" s="245"/>
      <c r="AW998" s="245"/>
      <c r="AX998" s="246"/>
      <c r="AY998" s="245"/>
      <c r="AZ998" s="245"/>
      <c r="BA998" s="246"/>
      <c r="BB998" s="245"/>
      <c r="BC998" s="245"/>
      <c r="BD998" s="245"/>
      <c r="BE998" s="245"/>
      <c r="BF998" s="245"/>
      <c r="BG998" s="245"/>
      <c r="BH998" s="245"/>
      <c r="BI998" s="245"/>
      <c r="BJ998" s="245"/>
      <c r="BK998" s="245"/>
      <c r="BL998" s="245"/>
      <c r="BM998" s="245"/>
      <c r="BN998" s="245"/>
      <c r="BO998" s="245"/>
      <c r="BP998" s="245"/>
      <c r="BQ998" s="245"/>
      <c r="BR998" s="245"/>
      <c r="BS998" s="245"/>
      <c r="BT998" s="246"/>
      <c r="BU998" s="245"/>
      <c r="BV998" s="245"/>
      <c r="BW998" s="245"/>
      <c r="BX998" s="245"/>
      <c r="BY998" s="245"/>
      <c r="BZ998" s="282"/>
      <c r="CA998" s="245"/>
      <c r="CB998" s="245"/>
      <c r="CC998" s="245"/>
      <c r="CD998" s="245"/>
      <c r="CE998" s="245"/>
      <c r="CF998" s="245"/>
    </row>
    <row r="999">
      <c r="A999" s="245"/>
      <c r="B999" s="245"/>
      <c r="C999" s="245"/>
      <c r="D999" s="246"/>
      <c r="E999" s="245"/>
      <c r="F999" s="245"/>
      <c r="G999" s="245"/>
      <c r="H999" s="245"/>
      <c r="I999" s="245"/>
      <c r="J999" s="245"/>
      <c r="K999" s="265"/>
      <c r="L999" s="245"/>
      <c r="M999" s="245"/>
      <c r="N999" s="245"/>
      <c r="O999" s="245"/>
      <c r="P999" s="245"/>
      <c r="Q999" s="247"/>
      <c r="R999" s="254"/>
      <c r="S999" s="245"/>
      <c r="T999" s="245"/>
      <c r="U999" s="245"/>
      <c r="V999" s="245"/>
      <c r="W999" s="245"/>
      <c r="X999" s="245"/>
      <c r="Y999" s="249"/>
      <c r="Z999" s="276"/>
      <c r="AA999" s="245"/>
      <c r="AB999" s="276"/>
      <c r="AC999" s="276"/>
      <c r="AD999" s="246"/>
      <c r="AE999" s="278"/>
      <c r="AF999" s="370"/>
      <c r="AG999" s="371"/>
      <c r="AH999" s="276"/>
      <c r="AI999" s="245"/>
      <c r="AJ999" s="287"/>
      <c r="AK999" s="278"/>
      <c r="AL999" s="246"/>
      <c r="AM999" s="245"/>
      <c r="AN999" s="245"/>
      <c r="AO999" s="274"/>
      <c r="AP999" s="245"/>
      <c r="AQ999" s="245"/>
      <c r="AR999" s="246"/>
      <c r="AS999" s="245"/>
      <c r="AT999" s="245"/>
      <c r="AU999" s="245"/>
      <c r="AV999" s="245"/>
      <c r="AW999" s="245"/>
      <c r="AX999" s="246"/>
      <c r="AY999" s="245"/>
      <c r="AZ999" s="245"/>
      <c r="BA999" s="246"/>
      <c r="BB999" s="245"/>
      <c r="BC999" s="245"/>
      <c r="BD999" s="245"/>
      <c r="BE999" s="245"/>
      <c r="BF999" s="245"/>
      <c r="BG999" s="245"/>
      <c r="BH999" s="245"/>
      <c r="BI999" s="245"/>
      <c r="BJ999" s="245"/>
      <c r="BK999" s="245"/>
      <c r="BL999" s="245"/>
      <c r="BM999" s="245"/>
      <c r="BN999" s="245"/>
      <c r="BO999" s="245"/>
      <c r="BP999" s="245"/>
      <c r="BQ999" s="245"/>
      <c r="BR999" s="245"/>
      <c r="BS999" s="245"/>
      <c r="BT999" s="246"/>
      <c r="BU999" s="245"/>
      <c r="BV999" s="245"/>
      <c r="BW999" s="245"/>
      <c r="BX999" s="245"/>
      <c r="BY999" s="245"/>
      <c r="BZ999" s="282"/>
      <c r="CA999" s="245"/>
      <c r="CB999" s="245"/>
      <c r="CC999" s="245"/>
      <c r="CD999" s="245"/>
      <c r="CE999" s="245"/>
      <c r="CF999" s="245"/>
    </row>
    <row r="1000">
      <c r="A1000" s="245"/>
      <c r="B1000" s="245"/>
      <c r="C1000" s="245"/>
      <c r="D1000" s="246"/>
      <c r="E1000" s="245"/>
      <c r="F1000" s="245"/>
      <c r="G1000" s="245"/>
      <c r="H1000" s="245"/>
      <c r="I1000" s="245"/>
      <c r="J1000" s="245"/>
      <c r="K1000" s="265"/>
      <c r="L1000" s="245"/>
      <c r="M1000" s="245"/>
      <c r="N1000" s="245"/>
      <c r="O1000" s="245"/>
      <c r="P1000" s="245"/>
      <c r="Q1000" s="247"/>
      <c r="R1000" s="254"/>
      <c r="S1000" s="245"/>
      <c r="T1000" s="245"/>
      <c r="U1000" s="245"/>
      <c r="V1000" s="245"/>
      <c r="W1000" s="245"/>
      <c r="X1000" s="245"/>
      <c r="Y1000" s="249"/>
      <c r="Z1000" s="276"/>
      <c r="AA1000" s="245"/>
      <c r="AB1000" s="276"/>
      <c r="AC1000" s="276"/>
      <c r="AD1000" s="246"/>
      <c r="AE1000" s="278"/>
      <c r="AF1000" s="370"/>
      <c r="AG1000" s="371"/>
      <c r="AH1000" s="276"/>
      <c r="AI1000" s="245"/>
      <c r="AJ1000" s="287"/>
      <c r="AK1000" s="278"/>
      <c r="AL1000" s="246"/>
      <c r="AM1000" s="245"/>
      <c r="AN1000" s="245"/>
      <c r="AO1000" s="274"/>
      <c r="AP1000" s="245"/>
      <c r="AQ1000" s="245"/>
      <c r="AR1000" s="246"/>
      <c r="AS1000" s="245"/>
      <c r="AT1000" s="245"/>
      <c r="AU1000" s="245"/>
      <c r="AV1000" s="245"/>
      <c r="AW1000" s="245"/>
      <c r="AX1000" s="246"/>
      <c r="AY1000" s="245"/>
      <c r="AZ1000" s="245"/>
      <c r="BA1000" s="246"/>
      <c r="BB1000" s="245"/>
      <c r="BC1000" s="245"/>
      <c r="BD1000" s="245"/>
      <c r="BE1000" s="245"/>
      <c r="BF1000" s="245"/>
      <c r="BG1000" s="245"/>
      <c r="BH1000" s="245"/>
      <c r="BI1000" s="245"/>
      <c r="BJ1000" s="245"/>
      <c r="BK1000" s="245"/>
      <c r="BL1000" s="245"/>
      <c r="BM1000" s="245"/>
      <c r="BN1000" s="245"/>
      <c r="BO1000" s="245"/>
      <c r="BP1000" s="245"/>
      <c r="BQ1000" s="245"/>
      <c r="BR1000" s="245"/>
      <c r="BS1000" s="245"/>
      <c r="BT1000" s="246"/>
      <c r="BU1000" s="245"/>
      <c r="BV1000" s="245"/>
      <c r="BW1000" s="245"/>
      <c r="BX1000" s="245"/>
      <c r="BY1000" s="245"/>
      <c r="BZ1000" s="282"/>
      <c r="CA1000" s="245"/>
      <c r="CB1000" s="245"/>
      <c r="CC1000" s="245"/>
      <c r="CD1000" s="245"/>
      <c r="CE1000" s="245"/>
      <c r="CF1000" s="245"/>
    </row>
    <row r="1001">
      <c r="A1001" s="245"/>
      <c r="B1001" s="245"/>
      <c r="C1001" s="245"/>
      <c r="D1001" s="246"/>
      <c r="E1001" s="245"/>
      <c r="F1001" s="245"/>
      <c r="G1001" s="245"/>
      <c r="H1001" s="245"/>
      <c r="I1001" s="245"/>
      <c r="J1001" s="245"/>
      <c r="K1001" s="265"/>
      <c r="L1001" s="245"/>
      <c r="M1001" s="245"/>
      <c r="N1001" s="245"/>
      <c r="O1001" s="245"/>
      <c r="P1001" s="245"/>
      <c r="Q1001" s="247"/>
      <c r="R1001" s="254"/>
      <c r="S1001" s="245"/>
      <c r="T1001" s="245"/>
      <c r="U1001" s="245"/>
      <c r="V1001" s="245"/>
      <c r="W1001" s="245"/>
      <c r="X1001" s="245"/>
      <c r="Y1001" s="249"/>
      <c r="Z1001" s="276"/>
      <c r="AA1001" s="245"/>
      <c r="AB1001" s="276"/>
      <c r="AC1001" s="276"/>
      <c r="AD1001" s="246"/>
      <c r="AE1001" s="278"/>
      <c r="AF1001" s="370"/>
      <c r="AG1001" s="371"/>
      <c r="AH1001" s="276"/>
      <c r="AI1001" s="245"/>
      <c r="AJ1001" s="287"/>
      <c r="AK1001" s="278"/>
      <c r="AL1001" s="246"/>
      <c r="AM1001" s="245"/>
      <c r="AN1001" s="245"/>
      <c r="AO1001" s="274"/>
      <c r="AP1001" s="245"/>
      <c r="AQ1001" s="245"/>
      <c r="AR1001" s="246"/>
      <c r="AS1001" s="245"/>
      <c r="AT1001" s="245"/>
      <c r="AU1001" s="245"/>
      <c r="AV1001" s="245"/>
      <c r="AW1001" s="245"/>
      <c r="AX1001" s="246"/>
      <c r="AY1001" s="245"/>
      <c r="AZ1001" s="245"/>
      <c r="BA1001" s="246"/>
      <c r="BB1001" s="245"/>
      <c r="BC1001" s="245"/>
      <c r="BD1001" s="245"/>
      <c r="BE1001" s="245"/>
      <c r="BF1001" s="245"/>
      <c r="BG1001" s="245"/>
      <c r="BH1001" s="245"/>
      <c r="BI1001" s="245"/>
      <c r="BJ1001" s="245"/>
      <c r="BK1001" s="245"/>
      <c r="BL1001" s="245"/>
      <c r="BM1001" s="245"/>
      <c r="BN1001" s="245"/>
      <c r="BO1001" s="245"/>
      <c r="BP1001" s="245"/>
      <c r="BQ1001" s="245"/>
      <c r="BR1001" s="245"/>
      <c r="BS1001" s="245"/>
      <c r="BT1001" s="246"/>
      <c r="BU1001" s="245"/>
      <c r="BV1001" s="245"/>
      <c r="BW1001" s="245"/>
      <c r="BX1001" s="245"/>
      <c r="BY1001" s="245"/>
      <c r="BZ1001" s="282"/>
      <c r="CA1001" s="245"/>
      <c r="CB1001" s="245"/>
      <c r="CC1001" s="245"/>
      <c r="CD1001" s="245"/>
      <c r="CE1001" s="245"/>
      <c r="CF1001" s="245"/>
    </row>
    <row r="1002">
      <c r="A1002" s="245"/>
      <c r="B1002" s="245"/>
      <c r="C1002" s="245"/>
      <c r="D1002" s="245"/>
      <c r="E1002" s="245"/>
      <c r="F1002" s="245"/>
      <c r="G1002" s="245"/>
      <c r="H1002" s="245"/>
      <c r="I1002" s="245"/>
      <c r="J1002" s="245"/>
      <c r="K1002" s="265"/>
      <c r="L1002" s="245"/>
      <c r="M1002" s="245"/>
      <c r="N1002" s="245"/>
      <c r="O1002" s="245"/>
      <c r="P1002" s="245"/>
      <c r="Q1002" s="247"/>
      <c r="R1002" s="254"/>
      <c r="S1002" s="245"/>
      <c r="T1002" s="245"/>
      <c r="U1002" s="245"/>
      <c r="V1002" s="245"/>
      <c r="W1002" s="245"/>
      <c r="X1002" s="245"/>
      <c r="Y1002" s="249"/>
      <c r="Z1002" s="276"/>
      <c r="AA1002" s="245"/>
      <c r="AB1002" s="276"/>
      <c r="AC1002" s="276"/>
      <c r="AD1002" s="245"/>
      <c r="AE1002" s="278"/>
      <c r="AF1002" s="370"/>
      <c r="AG1002" s="371"/>
      <c r="AH1002" s="276"/>
      <c r="AI1002" s="245"/>
      <c r="AJ1002" s="287"/>
      <c r="AK1002" s="278"/>
      <c r="AL1002" s="245"/>
      <c r="AM1002" s="245"/>
      <c r="AN1002" s="245"/>
      <c r="AO1002" s="287"/>
      <c r="AP1002" s="245"/>
      <c r="AQ1002" s="245"/>
      <c r="AR1002" s="245"/>
      <c r="AS1002" s="245"/>
      <c r="AT1002" s="245"/>
      <c r="AU1002" s="245"/>
      <c r="AV1002" s="245"/>
      <c r="AW1002" s="245"/>
      <c r="AX1002" s="245"/>
      <c r="AY1002" s="245"/>
      <c r="AZ1002" s="245"/>
      <c r="BA1002" s="245"/>
      <c r="BB1002" s="245"/>
      <c r="BC1002" s="245"/>
      <c r="BD1002" s="245"/>
      <c r="BE1002" s="245"/>
      <c r="BF1002" s="245"/>
      <c r="BG1002" s="245"/>
      <c r="BH1002" s="245"/>
      <c r="BI1002" s="245"/>
      <c r="BJ1002" s="245"/>
      <c r="BK1002" s="245"/>
      <c r="BL1002" s="245"/>
      <c r="BM1002" s="245"/>
      <c r="BN1002" s="245"/>
      <c r="BO1002" s="245"/>
      <c r="BP1002" s="245"/>
      <c r="BQ1002" s="245"/>
      <c r="BR1002" s="245"/>
      <c r="BS1002" s="245"/>
      <c r="BT1002" s="245"/>
      <c r="BU1002" s="245"/>
      <c r="BV1002" s="245"/>
      <c r="BW1002" s="245"/>
      <c r="BX1002" s="245"/>
      <c r="BY1002" s="245"/>
      <c r="BZ1002" s="282"/>
      <c r="CA1002" s="245"/>
      <c r="CB1002" s="245"/>
      <c r="CC1002" s="245"/>
      <c r="CD1002" s="245"/>
      <c r="CE1002" s="245"/>
      <c r="CF1002" s="245"/>
    </row>
  </sheetData>
  <hyperlinks>
    <hyperlink r:id="rId1" ref="B1"/>
    <hyperlink r:id="rId2" ref="F1"/>
    <hyperlink r:id="rId3" ref="AA1"/>
    <hyperlink r:id="rId4" ref="AF1"/>
    <hyperlink r:id="rId5" ref="AN1"/>
    <hyperlink r:id="rId6" ref="AT1"/>
    <hyperlink r:id="rId7" ref="AZ1"/>
    <hyperlink r:id="rId8" ref="BC1"/>
    <hyperlink r:id="rId9" ref="BV1"/>
    <hyperlink r:id="rId10" ref="CA1"/>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1.0"/>
    <col customWidth="1" min="2" max="2" width="7.38"/>
    <col customWidth="1" min="3" max="3" width="4.75"/>
    <col customWidth="1" min="4" max="4" width="7.63"/>
    <col customWidth="1" min="5" max="5" width="10.5"/>
    <col customWidth="1" hidden="1" min="6" max="6" width="10.75"/>
    <col customWidth="1" min="7" max="7" width="10.75"/>
    <col customWidth="1" hidden="1" min="8" max="9" width="7.0"/>
    <col customWidth="1" min="10" max="10" width="7.0"/>
    <col customWidth="1" min="11" max="11" width="7.63"/>
    <col customWidth="1" min="12" max="12" width="7.0"/>
    <col customWidth="1" min="13" max="13" width="10.88"/>
    <col customWidth="1" min="14" max="15" width="7.0"/>
    <col customWidth="1" min="16" max="16" width="9.5"/>
    <col customWidth="1" hidden="1" min="17" max="17" width="13.13"/>
    <col customWidth="1" min="18" max="18" width="13.13"/>
    <col customWidth="1" hidden="1" min="19" max="19" width="7.0"/>
    <col customWidth="1" min="20" max="22" width="7.0"/>
  </cols>
  <sheetData>
    <row r="1">
      <c r="A1" s="373" t="s">
        <v>383</v>
      </c>
      <c r="B1" s="374" t="s">
        <v>384</v>
      </c>
      <c r="C1" s="375" t="s">
        <v>385</v>
      </c>
      <c r="D1" s="9"/>
      <c r="E1" s="376" t="s">
        <v>386</v>
      </c>
      <c r="F1" s="377" t="s">
        <v>387</v>
      </c>
      <c r="G1" s="378"/>
      <c r="H1" s="378"/>
      <c r="I1" s="378"/>
      <c r="J1" s="378"/>
      <c r="K1" s="378"/>
      <c r="L1" s="9"/>
      <c r="M1" s="379" t="s">
        <v>388</v>
      </c>
      <c r="N1" s="378"/>
      <c r="O1" s="9"/>
      <c r="P1" s="380"/>
      <c r="Q1" s="381" t="s">
        <v>389</v>
      </c>
      <c r="R1" s="378"/>
      <c r="S1" s="378"/>
      <c r="T1" s="378"/>
      <c r="U1" s="378"/>
      <c r="V1" s="9"/>
    </row>
    <row r="2">
      <c r="A2" s="382" t="s">
        <v>145</v>
      </c>
      <c r="B2" s="383" t="s">
        <v>390</v>
      </c>
      <c r="C2" s="384" t="s">
        <v>146</v>
      </c>
      <c r="D2" s="385" t="s">
        <v>391</v>
      </c>
      <c r="E2" s="385" t="s">
        <v>392</v>
      </c>
      <c r="F2" s="386" t="s">
        <v>393</v>
      </c>
      <c r="G2" s="9"/>
      <c r="H2" s="387" t="s">
        <v>394</v>
      </c>
      <c r="I2" s="378"/>
      <c r="J2" s="9"/>
      <c r="K2" s="388" t="s">
        <v>395</v>
      </c>
      <c r="L2" s="389" t="s">
        <v>396</v>
      </c>
      <c r="M2" s="390" t="s">
        <v>393</v>
      </c>
      <c r="N2" s="391" t="s">
        <v>394</v>
      </c>
      <c r="O2" s="392" t="s">
        <v>396</v>
      </c>
      <c r="P2" s="393" t="s">
        <v>397</v>
      </c>
      <c r="Q2" s="394" t="s">
        <v>393</v>
      </c>
      <c r="R2" s="9"/>
      <c r="S2" s="395" t="s">
        <v>394</v>
      </c>
      <c r="T2" s="9"/>
      <c r="U2" s="396" t="s">
        <v>395</v>
      </c>
      <c r="V2" s="397" t="s">
        <v>396</v>
      </c>
    </row>
    <row r="3">
      <c r="A3" s="398" t="s">
        <v>154</v>
      </c>
      <c r="B3" s="399" t="str">
        <f t="shared" ref="B3:B213" si="1">IF(B$2="x 1.0", "", B$2)</f>
        <v/>
      </c>
      <c r="C3" s="400">
        <f>VLOOKUP($A3,MS_Labs_Array,2,FALSE)</f>
        <v>7</v>
      </c>
      <c r="D3" s="401">
        <f>VLOOKUP($A3,MS_Labs_Array,4,FALSE)</f>
        <v>7</v>
      </c>
      <c r="E3" s="402"/>
      <c r="F3" s="403" t="str">
        <f t="shared" ref="F3:F8" si="2">IF(OR($C3=$D3,$C3="Max"),"Max Level",LABDURATION_SINGLE_ADJUSTED(IF(ISNUMBER(SEARCH("Mastery",A3)),"Card Mastery",A3),C3+1)/IF(B3&lt;&gt;"", RIGHT(B3, 3),1))</f>
        <v>Max Level</v>
      </c>
      <c r="G3" s="404" t="str">
        <f t="shared" ref="G3:G213" si="3">IF(ISNUMBER(F3), FORMAT_TIME(F3), F3)</f>
        <v>Max Level</v>
      </c>
      <c r="H3" s="405" t="str">
        <f t="shared" ref="H3:H213" si="4">IF(OR($C3=$D3,$C3="Max"),"Max Level",LABCOST_SINGLE_ADJUSTED(IF(ISNUMBER(SEARCH("Mastery",A3)),"Card Mastery",A3),C3))</f>
        <v>Max Level</v>
      </c>
      <c r="I3" s="405">
        <f t="shared" ref="I3:I213" si="5">IF(OR($C3+1=$D3,$C3="Max"),"Max Level",LABCOST_SINGLE_ADJUSTED(IF(ISNUMBER(SEARCH("Mastery",A3)),"Card Mastery",A3),C3+1))</f>
        <v>0</v>
      </c>
      <c r="J3" s="405" t="str">
        <f t="shared" ref="J3:J213" si="6">IF(ISNUMBER(H3), FORMAT_NUMBER(H3), H3)</f>
        <v>Max Level</v>
      </c>
      <c r="K3" s="406" t="str">
        <f t="shared" ref="K3:K213" si="7">IF(AND(ISNUMBER(I3), ISNUMBER(F3)), FORMAT_NUMBER(ROUND(I3/F3/24, 2))&amp;"/h", )</f>
        <v/>
      </c>
      <c r="L3" s="407" t="str">
        <f t="shared" ref="L3:L162" si="8">IF(OR($C3=$D3,$C3="Max"),"Max Level",TIME_TO_RUSH_GEMS(LABDURATION_SINGLE_ADJUSTED(A3,C3+1), IDS_LAB_GODLBOXED_COUNT()))</f>
        <v>Max Level</v>
      </c>
      <c r="M3" s="408" t="str">
        <f t="shared" ref="M3:M8" si="9">IF($C3+1&gt;=$D3,"Max Level",FORMAT_TIME(LABDURATION_SINGLE_ADJUSTED(A3,C3+2)/IF(AND(B3&lt;&gt;"", $B$1="All"), RIGHT(B3, 3),1)))</f>
        <v>Max Level</v>
      </c>
      <c r="N3" s="405" t="str">
        <f t="shared" ref="N3:N213" si="10">IF(OR(C3+1&gt;=D3,C3="Max"),"Max Level",FORMAT_NUMBER(LABCOST_SINGLE_ADJUSTED(IF(ISNUMBER(SEARCH("Mastery",A3)),"Card Mastery",A3),C3+1)))</f>
        <v>Max Level</v>
      </c>
      <c r="O3" s="407" t="str">
        <f t="shared" ref="O3:O162" si="11">IF($C3+1&gt;=$D3,"Max Level",TIME_TO_RUSH_GEMS(LABDURATION_SINGLE_ADJUSTED(A3,C3+2), IDS_LAB_GODLBOXED_COUNT()))</f>
        <v>Max Level</v>
      </c>
      <c r="P3" s="409">
        <f>VLOOKUP($A3,MS_Labs_Array,3,FALSE)</f>
        <v>7</v>
      </c>
      <c r="Q3" s="408" t="str">
        <f>IFERROR(__xludf.DUMMYFUNCTION("LET(
  Labspeed, IF(A3=""Labs Speed"", 1+'Master Sheet'!$BK$5, LAB_SPEED_TOTAL()),
  Match, MATCH(IF(ISNUMBER(SEARCH(""Mastery"",$A3)),""Card Mastery"",$A3),DVT_Laboratory!B$1:V$1,0)-1,
  Offset, INDEX(DVT_Laboratory!B$3:ZZ$102,,Match+1),
  Desired, IF(P3"&amp;"&lt;&gt;"""", P3,D3),
  IFS(
    Desired &gt; D3, ""Desired lvl too high"",
    AND(Desired = D3, OR(C3 = D3, C3 = ""Max"")), ""Max Level"",
    Desired = C3, ""OK Level"",
    Desired &lt; C3, ""Desired lvl too low"",
    TRUE, TO_PURE_NUMBER(
      SUM(
        XLO"&amp;"OKUP($C3 + 1, SEQUENCE(100, 1, 1, 1), Offset, ""N/F"", 0, 1): 
        XLOOKUP(Desired, SEQUENCE(100, 1, 1, 1), Offset, ""N/F"", 0, 1)
      ) / Labspeed
    ) /
    IF(AND(B3 &lt;&gt; """", $B$1 = ""All""), RIGHT(B3, 3), 1)
  )
)"),"Max Level")</f>
        <v>Max Level</v>
      </c>
      <c r="R3" s="410" t="str">
        <f t="shared" ref="R3:R213" si="12">IF(ISNUMBER(Q3), FORMAT_TIME(Q3), Q3)</f>
        <v>Max Level</v>
      </c>
      <c r="S3" s="405" t="str">
        <f t="array" ref="S3">LET(
  Match, MATCH(IF(ISNUMBER(SEARCH("Mastery",$A3)),"Card Mastery",$A3),DVT_Laboratory!B$1:V$1,0)-1,
  Offset, OFFSET(DVT_Laboratory!C$3,0,Match,100,1),
  Desired, IF(P3&lt;&gt;"", P3,D3),
IF(Desired&gt;D3,"Desired lvl too high",
IF(AND(Desired=D3,OR(C3=D3,C3="Max")),"Max Level",
IF(Desired=C3,"OK Level",
IF(Desired&lt;C3,"Desired lvl too low",
SUM(
XLOOKUP(C3+1,SEQUENCE(100,1,1,1),Offset,"N/F",0,1)
:XLOOKUP(Desired,SEQUENCE(100,1,1,1),Offset,"N/F",0,1))*(1-LAB_COIN_DISCOUNT()))))))</f>
        <v>Max Level</v>
      </c>
      <c r="T3" s="405" t="str">
        <f t="shared" ref="T3:T213" si="13">IF(ISNUMBER(S3), FORMAT_NUMBER(S3), S3)</f>
        <v>Max Level</v>
      </c>
      <c r="U3" s="406" t="str">
        <f t="shared" ref="U3:U213" si="14">IF(ISNUMBER(Q3), FORMAT_NUMBER(ROUND(S3/Q3/24, 2))&amp;"/h", )</f>
        <v/>
      </c>
      <c r="V3" s="411" t="str">
        <f t="array" ref="V3">LET(
  Labspeed, IF(A3 ="Labs Speed", 1+'Master Sheet'!$BK$5, LAB_SPEED_TOTAL()),
  Match, MATCH(IF(ISNUMBER(SEARCH("Mastery",$A3)),"Card Mastery",$A3),DVT_Laboratory!B$1:V$1,0)-1,
  Offset, OFFSET(DVT_Laboratory!B$3,0,Match,100,1),
  Desired, IF(P3&lt;&gt;"", P3,D3),
IF(Desired&gt;D3,"Desired lvl too high",
IF(AND(Desired=D3,OR(C3=D3,C3="Max")),"Max Level",
IF(Desired&lt;=C3,"Desired lvl too low",
SUM(TIME_TO_RUSH_GEMS(
    XLOOKUP(C3+1, SEQUENCE(100,1,1,1), Offset, "N/F", 0, 1):
    XLOOKUP(Desired, SEQUENCE(100,1,1,1), Offset, "N/F", 0, 1)/Labspeed, IDS_LAB_GODLBOXED_COUNT()))))))</f>
        <v>Max Level</v>
      </c>
    </row>
    <row r="4">
      <c r="A4" s="398" t="s">
        <v>169</v>
      </c>
      <c r="B4" s="399" t="str">
        <f t="shared" si="1"/>
        <v/>
      </c>
      <c r="C4" s="400">
        <f>VLOOKUP($A4,MS_Labs_Array,2,FALSE)</f>
        <v>6</v>
      </c>
      <c r="D4" s="401">
        <f>VLOOKUP($A4,MS_Labs_Array,4,FALSE)</f>
        <v>99</v>
      </c>
      <c r="E4" s="412"/>
      <c r="F4" s="403">
        <f t="shared" si="2"/>
        <v>0.02047727587</v>
      </c>
      <c r="G4" s="404" t="str">
        <f t="shared" si="3"/>
        <v>0d  0h 29m</v>
      </c>
      <c r="H4" s="405">
        <f t="shared" si="4"/>
        <v>1687.52</v>
      </c>
      <c r="I4" s="405">
        <f t="shared" si="5"/>
        <v>2523.32</v>
      </c>
      <c r="J4" s="405" t="str">
        <f t="shared" si="6"/>
        <v>1.69 K</v>
      </c>
      <c r="K4" s="406" t="str">
        <f t="shared" si="7"/>
        <v>5.13 K/h</v>
      </c>
      <c r="L4" s="411">
        <f t="shared" si="8"/>
        <v>3</v>
      </c>
      <c r="M4" s="408" t="str">
        <f t="shared" si="9"/>
        <v>0d  0h 40m</v>
      </c>
      <c r="N4" s="405" t="str">
        <f t="shared" si="10"/>
        <v>2.52 K</v>
      </c>
      <c r="O4" s="411">
        <f t="shared" si="11"/>
        <v>3</v>
      </c>
      <c r="P4" s="409" t="str">
        <f>VLOOKUP($A4,MS_Labs_Array,3,FALSE)</f>
        <v/>
      </c>
      <c r="Q4" s="408">
        <f>IFERROR(__xludf.DUMMYFUNCTION("LET(
  Labspeed, IF(A4=""Labs Speed"", 1+'Master Sheet'!$BK$5, LAB_SPEED_TOTAL()),
  Match, MATCH(IF(ISNUMBER(SEARCH(""Mastery"",$A4)),""Card Mastery"",$A4),DVT_Laboratory!B$1:V$1,0)-1,
  Offset, INDEX(DVT_Laboratory!B$3:ZZ$102,,Match+1),
  Desired, IF(P4"&amp;"&lt;&gt;"""", P4,D4),
  IFS(
    Desired &gt; D4, ""Desired lvl too high"",
    AND(Desired = D4, OR(C4 = D4, C4 = ""Max"")), ""Max Level"",
    Desired = C4, ""OK Level"",
    Desired &lt; C4, ""Desired lvl too low"",
    TRUE, TO_PURE_NUMBER(
      SUM(
        XLO"&amp;"OKUP($C4 + 1, SEQUENCE(100, 1, 1, 1), Offset, ""N/F"", 0, 1): 
        XLOOKUP(Desired, SEQUENCE(100, 1, 1, 1), Offset, ""N/F"", 0, 1)
      ) / Labspeed
    ) /
    IF(AND(B4 &lt;&gt; """", $B$1 = ""All""), RIGHT(B4, 3), 1)
  )
)"),367.2811261654395)</f>
        <v>367.2811262</v>
      </c>
      <c r="R4" s="410" t="str">
        <f t="shared" si="12"/>
        <v>367d  6h 44m</v>
      </c>
      <c r="S4" s="405">
        <f t="array" ref="S4">LET(
  Match, MATCH(IF(ISNUMBER(SEARCH("Mastery",$A4)),"Card Mastery",$A4),DVT_Laboratory!B$1:V$1,0)-1,
  Offset, OFFSET(DVT_Laboratory!C$3,0,Match,100,1),
  Desired, IF(P4&lt;&gt;"", P4,D4),
IF(Desired&gt;D4,"Desired lvl too high",
IF(AND(Desired=D4,OR(C4=D4,C4="Max")),"Max Level",
IF(Desired=C4,"OK Level",
IF(Desired&lt;C4,"Desired lvl too low",
SUM(
XLOOKUP(C4+1,SEQUENCE(100,1,1,1),Offset,"N/F",0,1)
:XLOOKUP(Desired,SEQUENCE(100,1,1,1),Offset,"N/F",0,1))*(1-LAB_COIN_DISCOUNT()))))))</f>
        <v>88907747.4</v>
      </c>
      <c r="T4" s="405" t="str">
        <f t="shared" si="13"/>
        <v>88.91 M</v>
      </c>
      <c r="U4" s="406" t="str">
        <f t="shared" si="14"/>
        <v>10.09 K/h</v>
      </c>
      <c r="V4" s="411">
        <f t="array" ref="V4">LET(
  Labspeed, IF(A4 ="Labs Speed", 1+'Master Sheet'!$BK$5, LAB_SPEED_TOTAL()),
  Match, MATCH(IF(ISNUMBER(SEARCH("Mastery",$A4)),"Card Mastery",$A4),DVT_Laboratory!B$1:V$1,0)-1,
  Offset, OFFSET(DVT_Laboratory!B$3,0,Match,100,1),
  Desired, IF(P4&lt;&gt;"", P4,D4),
IF(Desired&gt;D4,"Desired lvl too high",
IF(AND(Desired=D4,OR(C4=D4,C4="Max")),"Max Level",
IF(Desired&lt;=C4,"Desired lvl too low",
SUM(TIME_TO_RUSH_GEMS(
    XLOOKUP(C4+1, SEQUENCE(100,1,1,1), Offset, "N/F", 0, 1):
    XLOOKUP(Desired, SEQUENCE(100,1,1,1), Offset, "N/F", 0, 1)/Labspeed, IDS_LAB_GODLBOXED_COUNT()))))))</f>
        <v>29914</v>
      </c>
    </row>
    <row r="5">
      <c r="A5" s="398" t="s">
        <v>180</v>
      </c>
      <c r="B5" s="399" t="str">
        <f t="shared" si="1"/>
        <v/>
      </c>
      <c r="C5" s="400">
        <f>VLOOKUP($A5,MS_Labs_Array,2,FALSE)</f>
        <v>27</v>
      </c>
      <c r="D5" s="401">
        <f>VLOOKUP($A5,MS_Labs_Array,4,FALSE)</f>
        <v>99</v>
      </c>
      <c r="E5" s="412" t="str">
        <f t="shared" ref="E5:E7" si="15">DVT_LAB_UNLOCK_AT(A5)</f>
        <v>T2 40</v>
      </c>
      <c r="F5" s="403">
        <f t="shared" si="2"/>
        <v>0.5848380601</v>
      </c>
      <c r="G5" s="404" t="str">
        <f t="shared" si="3"/>
        <v>0d 14h  2m</v>
      </c>
      <c r="H5" s="405">
        <f t="shared" si="4"/>
        <v>96833.4</v>
      </c>
      <c r="I5" s="405">
        <f t="shared" si="5"/>
        <v>106974.44</v>
      </c>
      <c r="J5" s="405" t="str">
        <f t="shared" si="6"/>
        <v>96.83 K</v>
      </c>
      <c r="K5" s="406" t="str">
        <f t="shared" si="7"/>
        <v>7.62 K/h</v>
      </c>
      <c r="L5" s="411">
        <f t="shared" si="8"/>
        <v>56</v>
      </c>
      <c r="M5" s="408" t="str">
        <f t="shared" si="9"/>
        <v>0d 15h 17m</v>
      </c>
      <c r="N5" s="405" t="str">
        <f t="shared" si="10"/>
        <v>106.97 K</v>
      </c>
      <c r="O5" s="411">
        <f t="shared" si="11"/>
        <v>61</v>
      </c>
      <c r="P5" s="409" t="str">
        <f>VLOOKUP($A5,MS_Labs_Array,3,FALSE)</f>
        <v/>
      </c>
      <c r="Q5" s="408">
        <f>IFERROR(__xludf.DUMMYFUNCTION("LET(
  Labspeed, IF(A5=""Labs Speed"", 1+'Master Sheet'!$BK$5, LAB_SPEED_TOTAL()),
  Match, MATCH(IF(ISNUMBER(SEARCH(""Mastery"",$A5)),""Card Mastery"",$A5),DVT_Laboratory!B$1:V$1,0)-1,
  Offset, INDEX(DVT_Laboratory!B$3:ZZ$102,,Match+1),
  Desired, IF(P5"&amp;"&lt;&gt;"""", P5,D5),
  IFS(
    Desired &gt; D5, ""Desired lvl too high"",
    AND(Desired = D5, OR(C5 = D5, C5 = ""Max"")), ""Max Level"",
    Desired = C5, ""OK Level"",
    Desired &lt; C5, ""Desired lvl too low"",
    TRUE, TO_PURE_NUMBER(
      SUM(
        XLO"&amp;"OKUP($C5 + 1, SEQUENCE(100, 1, 1, 1), Offset, ""N/F"", 0, 1): 
        XLOOKUP(Desired, SEQUENCE(100, 1, 1, 1), Offset, ""N/F"", 0, 1)
      ) / Labspeed
    ) /
    IF(AND(B5 &lt;&gt; """", $B$1 = ""All""), RIGHT(B5, 3), 1)
  )
)"),362.82590643720823)</f>
        <v>362.8259064</v>
      </c>
      <c r="R5" s="410" t="str">
        <f t="shared" si="12"/>
        <v>362d 19h 49m</v>
      </c>
      <c r="S5" s="405">
        <f t="array" ref="S5">LET(
  Match, MATCH(IF(ISNUMBER(SEARCH("Mastery",$A5)),"Card Mastery",$A5),DVT_Laboratory!B$1:V$1,0)-1,
  Offset, OFFSET(DVT_Laboratory!C$3,0,Match,100,1),
  Desired, IF(P5&lt;&gt;"", P5,D5),
IF(Desired&gt;D5,"Desired lvl too high",
IF(AND(Desired=D5,OR(C5=D5,C5="Max")),"Max Level",
IF(Desired=C5,"OK Level",
IF(Desired&lt;C5,"Desired lvl too low",
SUM(
XLOOKUP(C5+1,SEQUENCE(100,1,1,1),Offset,"N/F",0,1)
:XLOOKUP(Desired,SEQUENCE(100,1,1,1),Offset,"N/F",0,1))*(1-LAB_COIN_DISCOUNT()))))))</f>
        <v>88256253.24</v>
      </c>
      <c r="T5" s="405" t="str">
        <f t="shared" si="13"/>
        <v>88.26 M</v>
      </c>
      <c r="U5" s="406" t="str">
        <f t="shared" si="14"/>
        <v>10.14 K/h</v>
      </c>
      <c r="V5" s="411">
        <f t="array" ref="V5">LET(
  Labspeed, IF(A5 ="Labs Speed", 1+'Master Sheet'!$BK$5, LAB_SPEED_TOTAL()),
  Match, MATCH(IF(ISNUMBER(SEARCH("Mastery",$A5)),"Card Mastery",$A5),DVT_Laboratory!B$1:V$1,0)-1,
  Offset, OFFSET(DVT_Laboratory!B$3,0,Match,100,1),
  Desired, IF(P5&lt;&gt;"", P5,D5),
IF(Desired&gt;D5,"Desired lvl too high",
IF(AND(Desired=D5,OR(C5=D5,C5="Max")),"Max Level",
IF(Desired&lt;=C5,"Desired lvl too low",
SUM(TIME_TO_RUSH_GEMS(
    XLOOKUP(C5+1, SEQUENCE(100,1,1,1), Offset, "N/F", 0, 1):
    XLOOKUP(Desired, SEQUENCE(100,1,1,1), Offset, "N/F", 0, 1)/Labspeed, IDS_LAB_GODLBOXED_COUNT()))))))</f>
        <v>29477</v>
      </c>
    </row>
    <row r="6">
      <c r="A6" s="398" t="s">
        <v>193</v>
      </c>
      <c r="B6" s="399" t="str">
        <f t="shared" si="1"/>
        <v/>
      </c>
      <c r="C6" s="400">
        <f>VLOOKUP($A6,MS_Labs_Array,2,FALSE)</f>
        <v>28</v>
      </c>
      <c r="D6" s="401">
        <f>VLOOKUP($A6,MS_Labs_Array,4,FALSE)</f>
        <v>99</v>
      </c>
      <c r="E6" s="412" t="str">
        <f t="shared" si="15"/>
        <v>T2 50</v>
      </c>
      <c r="F6" s="403">
        <f t="shared" si="2"/>
        <v>0.6369138909</v>
      </c>
      <c r="G6" s="404" t="str">
        <f t="shared" si="3"/>
        <v>0d 15h 17m</v>
      </c>
      <c r="H6" s="405">
        <f t="shared" si="4"/>
        <v>106974.44</v>
      </c>
      <c r="I6" s="405">
        <f t="shared" si="5"/>
        <v>117768.2</v>
      </c>
      <c r="J6" s="405" t="str">
        <f t="shared" si="6"/>
        <v>106.97 K</v>
      </c>
      <c r="K6" s="406" t="str">
        <f t="shared" si="7"/>
        <v>7.7 K/h</v>
      </c>
      <c r="L6" s="411">
        <f t="shared" si="8"/>
        <v>61</v>
      </c>
      <c r="M6" s="408" t="str">
        <f t="shared" si="9"/>
        <v>0d 16h 35m</v>
      </c>
      <c r="N6" s="405" t="str">
        <f t="shared" si="10"/>
        <v>117.77 K</v>
      </c>
      <c r="O6" s="411">
        <f t="shared" si="11"/>
        <v>66</v>
      </c>
      <c r="P6" s="409" t="str">
        <f>VLOOKUP($A6,MS_Labs_Array,3,FALSE)</f>
        <v/>
      </c>
      <c r="Q6" s="408">
        <f>IFERROR(__xludf.DUMMYFUNCTION("LET(
  Labspeed, IF(A6=""Labs Speed"", 1+'Master Sheet'!$BK$5, LAB_SPEED_TOTAL()),
  Match, MATCH(IF(ISNUMBER(SEARCH(""Mastery"",$A6)),""Card Mastery"",$A6),DVT_Laboratory!B$1:V$1,0)-1,
  Offset, INDEX(DVT_Laboratory!B$3:ZZ$102,,Match+1),
  Desired, IF(P6"&amp;"&lt;&gt;"""", P6,D6),
  IFS(
    Desired &gt; D6, ""Desired lvl too high"",
    AND(Desired = D6, OR(C6 = D6, C6 = ""Max"")), ""Max Level"",
    Desired = C6, ""OK Level"",
    Desired &lt; C6, ""Desired lvl too low"",
    TRUE, TO_PURE_NUMBER(
      SUM(
        XLO"&amp;"OKUP($C6 + 1, SEQUENCE(100, 1, 1, 1), Offset, ""N/F"", 0, 1): 
        XLOOKUP(Desired, SEQUENCE(100, 1, 1, 1), Offset, ""N/F"", 0, 1)
      ) / Labspeed
    ) /
    IF(AND(B6 &lt;&gt; """", $B$1 = ""All""), RIGHT(B6, 3), 1)
  )
)"),362.24106837715476)</f>
        <v>362.2410684</v>
      </c>
      <c r="R6" s="410" t="str">
        <f t="shared" si="12"/>
        <v>362d  5h 47m</v>
      </c>
      <c r="S6" s="405">
        <f t="array" ref="S6">LET(
  Match, MATCH(IF(ISNUMBER(SEARCH("Mastery",$A6)),"Card Mastery",$A6),DVT_Laboratory!B$1:V$1,0)-1,
  Offset, OFFSET(DVT_Laboratory!C$3,0,Match,100,1),
  Desired, IF(P6&lt;&gt;"", P6,D6),
IF(Desired&gt;D6,"Desired lvl too high",
IF(AND(Desired=D6,OR(C6=D6,C6="Max")),"Max Level",
IF(Desired=C6,"OK Level",
IF(Desired&lt;C6,"Desired lvl too low",
SUM(
XLOOKUP(C6+1,SEQUENCE(100,1,1,1),Offset,"N/F",0,1)
:XLOOKUP(Desired,SEQUENCE(100,1,1,1),Offset,"N/F",0,1))*(1-LAB_COIN_DISCOUNT()))))))</f>
        <v>88159419.84</v>
      </c>
      <c r="T6" s="405" t="str">
        <f t="shared" si="13"/>
        <v>88.16 M</v>
      </c>
      <c r="U6" s="406" t="str">
        <f t="shared" si="14"/>
        <v>10.14 K/h</v>
      </c>
      <c r="V6" s="411">
        <f t="array" ref="V6">LET(
  Labspeed, IF(A6 ="Labs Speed", 1+'Master Sheet'!$BK$5, LAB_SPEED_TOTAL()),
  Match, MATCH(IF(ISNUMBER(SEARCH("Mastery",$A6)),"Card Mastery",$A6),DVT_Laboratory!B$1:V$1,0)-1,
  Offset, OFFSET(DVT_Laboratory!B$3,0,Match,100,1),
  Desired, IF(P6&lt;&gt;"", P6,D6),
IF(Desired&gt;D6,"Desired lvl too high",
IF(AND(Desired=D6,OR(C6=D6,C6="Max")),"Max Level",
IF(Desired&lt;=C6,"Desired lvl too low",
SUM(TIME_TO_RUSH_GEMS(
    XLOOKUP(C6+1, SEQUENCE(100,1,1,1), Offset, "N/F", 0, 1):
    XLOOKUP(Desired, SEQUENCE(100,1,1,1), Offset, "N/F", 0, 1)/Labspeed, IDS_LAB_GODLBOXED_COUNT()))))))</f>
        <v>29421</v>
      </c>
    </row>
    <row r="7">
      <c r="A7" s="398" t="s">
        <v>215</v>
      </c>
      <c r="B7" s="399" t="str">
        <f t="shared" si="1"/>
        <v/>
      </c>
      <c r="C7" s="400">
        <f>VLOOKUP($A7,MS_Labs_Array,2,FALSE)</f>
        <v>41</v>
      </c>
      <c r="D7" s="401">
        <f>VLOOKUP($A7,MS_Labs_Array,4,FALSE)</f>
        <v>99</v>
      </c>
      <c r="E7" s="412" t="str">
        <f t="shared" si="15"/>
        <v>T2 60</v>
      </c>
      <c r="F7" s="403">
        <f t="shared" si="2"/>
        <v>1.565275907</v>
      </c>
      <c r="G7" s="404" t="str">
        <f t="shared" si="3"/>
        <v>1d 13h 34m</v>
      </c>
      <c r="H7" s="405">
        <f t="shared" si="4"/>
        <v>304430.2</v>
      </c>
      <c r="I7" s="405">
        <f t="shared" si="5"/>
        <v>325245.6</v>
      </c>
      <c r="J7" s="405" t="str">
        <f t="shared" si="6"/>
        <v>304.43 K</v>
      </c>
      <c r="K7" s="406" t="str">
        <f t="shared" si="7"/>
        <v>8.66 K/h</v>
      </c>
      <c r="L7" s="411">
        <f t="shared" si="8"/>
        <v>141</v>
      </c>
      <c r="M7" s="408" t="str">
        <f t="shared" si="9"/>
        <v>1d 15h 46m</v>
      </c>
      <c r="N7" s="405" t="str">
        <f t="shared" si="10"/>
        <v>325.25 K</v>
      </c>
      <c r="O7" s="411">
        <f t="shared" si="11"/>
        <v>149</v>
      </c>
      <c r="P7" s="409" t="str">
        <f>VLOOKUP($A7,MS_Labs_Array,3,FALSE)</f>
        <v/>
      </c>
      <c r="Q7" s="408">
        <f>IFERROR(__xludf.DUMMYFUNCTION("LET(
  Labspeed, IF(A7=""Labs Speed"", 1+'Master Sheet'!$BK$5, LAB_SPEED_TOTAL()),
  Match, MATCH(IF(ISNUMBER(SEARCH(""Mastery"",$A7)),""Card Mastery"",$A7),DVT_Laboratory!B$1:V$1,0)-1,
  Offset, INDEX(DVT_Laboratory!B$3:ZZ$102,,Match+1),
  Desired, IF(P7"&amp;"&lt;&gt;"""", P7,D7),
  IFS(
    Desired &gt; D7, ""Desired lvl too high"",
    AND(Desired = D7, OR(C7 = D7, C7 = ""Max"")), ""Max Level"",
    Desired = C7, ""OK Level"",
    Desired &lt; C7, ""Desired lvl too low"",
    TRUE, TO_PURE_NUMBER(
      SUM(
        XLO"&amp;"OKUP($C7 + 1, SEQUENCE(100, 1, 1, 1), Offset, ""N/F"", 0, 1): 
        XLOOKUP(Desired, SEQUENCE(100, 1, 1, 1), Offset, ""N/F"", 0, 1)
      ) / Labspeed
    ) /
    IF(AND(B7 &lt;&gt; """", $B$1 = ""All""), RIGHT(B7, 3), 1)
  )
)"),348.9094791428354)</f>
        <v>348.9094791</v>
      </c>
      <c r="R7" s="410" t="str">
        <f t="shared" si="12"/>
        <v>348d 21h 49m</v>
      </c>
      <c r="S7" s="405">
        <f t="array" ref="S7">LET(
  Match, MATCH(IF(ISNUMBER(SEARCH("Mastery",$A7)),"Card Mastery",$A7),DVT_Laboratory!B$1:V$1,0)-1,
  Offset, OFFSET(DVT_Laboratory!C$3,0,Match,100,1),
  Desired, IF(P7&lt;&gt;"", P7,D7),
IF(Desired&gt;D7,"Desired lvl too high",
IF(AND(Desired=D7,OR(C7=D7,C7="Max")),"Max Level",
IF(Desired=C7,"OK Level",
IF(Desired&lt;C7,"Desired lvl too low",
SUM(
XLOOKUP(C7+1,SEQUENCE(100,1,1,1),Offset,"N/F",0,1)
:XLOOKUP(Desired,SEQUENCE(100,1,1,1),Offset,"N/F",0,1))*(1-LAB_COIN_DISCOUNT()))))))</f>
        <v>85722879.76</v>
      </c>
      <c r="T7" s="405" t="str">
        <f t="shared" si="13"/>
        <v>85.72 M</v>
      </c>
      <c r="U7" s="406" t="str">
        <f t="shared" si="14"/>
        <v>10.24 K/h</v>
      </c>
      <c r="V7" s="411">
        <f t="array" ref="V7">LET(
  Labspeed, IF(A7 ="Labs Speed", 1+'Master Sheet'!$BK$5, LAB_SPEED_TOTAL()),
  Match, MATCH(IF(ISNUMBER(SEARCH("Mastery",$A7)),"Card Mastery",$A7),DVT_Laboratory!B$1:V$1,0)-1,
  Offset, OFFSET(DVT_Laboratory!B$3,0,Match,100,1),
  Desired, IF(P7&lt;&gt;"", P7,D7),
IF(Desired&gt;D7,"Desired lvl too high",
IF(AND(Desired=D7,OR(C7=D7,C7="Max")),"Max Level",
IF(Desired&lt;=C7,"Desired lvl too low",
SUM(TIME_TO_RUSH_GEMS(
    XLOOKUP(C7+1, SEQUENCE(100,1,1,1), Offset, "N/F", 0, 1):
    XLOOKUP(Desired, SEQUENCE(100,1,1,1), Offset, "N/F", 0, 1)/Labspeed, IDS_LAB_GODLBOXED_COUNT()))))))</f>
        <v>28173</v>
      </c>
    </row>
    <row r="8">
      <c r="A8" s="398" t="s">
        <v>227</v>
      </c>
      <c r="B8" s="399" t="str">
        <f t="shared" si="1"/>
        <v/>
      </c>
      <c r="C8" s="413">
        <f>VLOOKUP($A8,MS_Labs_Array,2,FALSE)</f>
        <v>68</v>
      </c>
      <c r="D8" s="401">
        <f>VLOOKUP($A8,MS_Labs_Array,4,FALSE)</f>
        <v>99</v>
      </c>
      <c r="E8" s="412"/>
      <c r="F8" s="403">
        <f t="shared" si="2"/>
        <v>9.797493864</v>
      </c>
      <c r="G8" s="404" t="str">
        <f t="shared" si="3"/>
        <v>9d 19h  8m</v>
      </c>
      <c r="H8" s="405">
        <f t="shared" si="4"/>
        <v>3948160</v>
      </c>
      <c r="I8" s="405">
        <f t="shared" si="5"/>
        <v>4115320</v>
      </c>
      <c r="J8" s="405" t="str">
        <f t="shared" si="6"/>
        <v>3.95 M</v>
      </c>
      <c r="K8" s="406" t="str">
        <f t="shared" si="7"/>
        <v>17.5 K/h</v>
      </c>
      <c r="L8" s="411">
        <f t="shared" si="8"/>
        <v>762</v>
      </c>
      <c r="M8" s="408" t="str">
        <f t="shared" si="9"/>
        <v>10d  4h  0m</v>
      </c>
      <c r="N8" s="405" t="str">
        <f t="shared" si="10"/>
        <v>4.12 M</v>
      </c>
      <c r="O8" s="411">
        <f t="shared" si="11"/>
        <v>786</v>
      </c>
      <c r="P8" s="414" t="str">
        <f>VLOOKUP($A8,MS_Labs_Array,3,FALSE)</f>
        <v/>
      </c>
      <c r="Q8" s="408">
        <f>IFERROR(__xludf.DUMMYFUNCTION("LET(
  Labspeed, IF(A8=""Labs Speed"", 1+'Master Sheet'!$BK$5, LAB_SPEED_TOTAL()),
  Match, MATCH(IF(ISNUMBER(SEARCH(""Mastery"",$A8)),""Card Mastery"",$A8),DVT_Laboratory!B$1:V$1,0)-1,
  Offset, INDEX(DVT_Laboratory!B$3:ZZ$102,,Match+1),
  Desired, IF(P8"&amp;"&lt;&gt;"""", P8,D8),
  IFS(
    Desired &gt; D8, ""Desired lvl too high"",
    AND(Desired = D8, OR(C8 = D8, C8 = ""Max"")), ""Max Level"",
    Desired = C8, ""OK Level"",
    Desired &lt; C8, ""Desired lvl too low"",
    TRUE, TO_PURE_NUMBER(
      SUM(
        XLO"&amp;"OKUP($C8 + 1, SEQUENCE(100, 1, 1, 1), Offset, ""N/F"", 0, 1): 
        XLOOKUP(Desired, SEQUENCE(100, 1, 1, 1), Offset, ""N/F"", 0, 1)
      ) / Labspeed
    ) /
    IF(AND(B8 &lt;&gt; """", $B$1 = ""All""), RIGHT(B8, 3), 1)
  )
)"),515.0207879655757)</f>
        <v>515.020788</v>
      </c>
      <c r="R8" s="410" t="str">
        <f t="shared" si="12"/>
        <v>515d  0h 29m</v>
      </c>
      <c r="S8" s="405">
        <f t="array" ref="S8">LET(
  Match, MATCH(IF(ISNUMBER(SEARCH("Mastery",$A8)),"Card Mastery",$A8),DVT_Laboratory!B$1:V$1,0)-1,
  Offset, OFFSET(DVT_Laboratory!C$3,0,Match,100,1),
  Desired, IF(P8&lt;&gt;"", P8,D8),
IF(Desired&gt;D8,"Desired lvl too high",
IF(AND(Desired=D8,OR(C8=D8,C8="Max")),"Max Level",
IF(Desired=C8,"OK Level",
IF(Desired&lt;C8,"Desired lvl too low",
SUM(
XLOOKUP(C8+1,SEQUENCE(100,1,1,1),Offset,"N/F",0,1)
:XLOOKUP(Desired,SEQUENCE(100,1,1,1),Offset,"N/F",0,1))*(1-LAB_COIN_DISCOUNT()))))))</f>
        <v>219863160</v>
      </c>
      <c r="T8" s="405" t="str">
        <f t="shared" si="13"/>
        <v>219.86 M</v>
      </c>
      <c r="U8" s="406" t="str">
        <f t="shared" si="14"/>
        <v>17.79 K/h</v>
      </c>
      <c r="V8" s="411">
        <f t="array" ref="V8">LET(
  Labspeed, IF(A8 ="Labs Speed", 1+'Master Sheet'!$BK$5, LAB_SPEED_TOTAL()),
  Match, MATCH(IF(ISNUMBER(SEARCH("Mastery",$A8)),"Card Mastery",$A8),DVT_Laboratory!B$1:V$1,0)-1,
  Offset, OFFSET(DVT_Laboratory!B$3,0,Match,100,1),
  Desired, IF(P8&lt;&gt;"", P8,D8),
IF(Desired&gt;D8,"Desired lvl too high",
IF(AND(Desired=D8,OR(C8=D8,C8="Max")),"Max Level",
IF(Desired&lt;=C8,"Desired lvl too low",
SUM(TIME_TO_RUSH_GEMS(
    XLOOKUP(C8+1, SEQUENCE(100,1,1,1), Offset, "N/F", 0, 1):
    XLOOKUP(Desired, SEQUENCE(100,1,1,1), Offset, "N/F", 0, 1)/Labspeed, IDS_LAB_GODLBOXED_COUNT()))))))</f>
        <v>37248</v>
      </c>
    </row>
    <row r="9">
      <c r="A9" s="415" t="s">
        <v>238</v>
      </c>
      <c r="B9" s="399" t="str">
        <f t="shared" si="1"/>
        <v/>
      </c>
      <c r="C9" s="413">
        <f>VLOOKUP($A9,MS_Labs_Array,2,FALSE)</f>
        <v>91</v>
      </c>
      <c r="D9" s="401">
        <f>VLOOKUP($A9,MS_Labs_Array,4,FALSE)</f>
        <v>99</v>
      </c>
      <c r="E9" s="412" t="str">
        <f t="shared" ref="E9:E19" si="16">DVT_LAB_UNLOCK_AT(A9)</f>
        <v>T1 150</v>
      </c>
      <c r="F9" s="403">
        <f>IF(OR($C9=$D9,$C9="Max"),"Max Level",DVT_LAB_DURATION(IF(ISNUMBER(SEARCH("Mastery",A9)),"Card Mastery",A9),C9+1) / (1+'Master Sheet'!$BK$5) /IF(B9&lt;&gt;"", RIGHT(B9, 3),1))</f>
        <v>20.51871764</v>
      </c>
      <c r="G9" s="404" t="str">
        <f t="shared" si="3"/>
        <v>20d 12h 26m</v>
      </c>
      <c r="H9" s="405">
        <f t="shared" si="4"/>
        <v>12242480</v>
      </c>
      <c r="I9" s="405">
        <f t="shared" si="5"/>
        <v>12664360</v>
      </c>
      <c r="J9" s="405" t="str">
        <f t="shared" si="6"/>
        <v>12.24 M</v>
      </c>
      <c r="K9" s="406" t="str">
        <f t="shared" si="7"/>
        <v>25.72 K/h</v>
      </c>
      <c r="L9" s="411">
        <f t="shared" si="8"/>
        <v>600</v>
      </c>
      <c r="M9" s="408" t="str">
        <f>IF($C9+1&gt;=$D9,"Max Level",FORMAT_TIME(DVT_LAB_DURATION(IF(ISNUMBER(SEARCH("Mastery",A9)),"Card Mastery",A9),C9+2) / (1+'Master Sheet'!$BK$5) / IF(AND(B9&lt;&gt;"", $B$1="All"), RIGHT(B9, 3),1)))</f>
        <v>20d 22h 44m</v>
      </c>
      <c r="N9" s="405" t="str">
        <f t="shared" si="10"/>
        <v>12.66 M</v>
      </c>
      <c r="O9" s="411">
        <f t="shared" si="11"/>
        <v>610</v>
      </c>
      <c r="P9" s="414" t="str">
        <f>VLOOKUP($A9,MS_Labs_Array,3,FALSE)</f>
        <v/>
      </c>
      <c r="Q9" s="408">
        <f>IFERROR(__xludf.DUMMYFUNCTION("LET(
  Labspeed, IF(A9=""Labs Speed"", 1+'Master Sheet'!$BK$5, LAB_SPEED_TOTAL()),
  Match, MATCH(IF(ISNUMBER(SEARCH(""Mastery"",$A9)),""Card Mastery"",$A9),DVT_Laboratory!B$1:V$1,0)-1,
  Offset, INDEX(DVT_Laboratory!B$3:ZZ$102,,Match+1),
  Desired, IF(P9"&amp;"&lt;&gt;"""", P9,D9),
  IFS(
    Desired &gt; D9, ""Desired lvl too high"",
    AND(Desired = D9, OR(C9 = D9, C9 = ""Max"")), ""Max Level"",
    Desired = C9, ""OK Level"",
    Desired &lt; C9, ""Desired lvl too low"",
    TRUE, TO_PURE_NUMBER(
      SUM(
        XLO"&amp;"OKUP($C9 + 1, SEQUENCE(100, 1, 1, 1), Offset, ""N/F"", 0, 1): 
        XLOOKUP(Desired, SEQUENCE(100, 1, 1, 1), Offset, ""N/F"", 0, 1)
      ) / Labspeed
    ) /
    IF(AND(B9 &lt;&gt; """", $B$1 = ""All""), RIGHT(B9, 3), 1)
  )
)"),176.3669852648347)</f>
        <v>176.3669853</v>
      </c>
      <c r="R9" s="410" t="str">
        <f t="shared" si="12"/>
        <v>176d  8h 48m</v>
      </c>
      <c r="S9" s="405">
        <f t="array" ref="S9">LET(
  Match, MATCH(IF(ISNUMBER(SEARCH("Mastery",$A9)),"Card Mastery",$A9),DVT_Laboratory!B$1:V$1,0)-1,
  Offset, OFFSET(DVT_Laboratory!C$3,0,Match,100,1),
  Desired, IF(P9&lt;&gt;"", P9,D9),
IF(Desired&gt;D9,"Desired lvl too high",
IF(AND(Desired=D9,OR(C9=D9,C9="Max")),"Max Level",
IF(Desired=C9,"OK Level",
IF(Desired&lt;C9,"Desired lvl too low",
SUM(
XLOOKUP(C9+1,SEQUENCE(100,1,1,1),Offset,"N/F",0,1)
:XLOOKUP(Desired,SEQUENCE(100,1,1,1),Offset,"N/F",0,1))*(1-LAB_COIN_DISCOUNT()))))))</f>
        <v>110333560</v>
      </c>
      <c r="T9" s="405" t="str">
        <f t="shared" si="13"/>
        <v>110.33 M</v>
      </c>
      <c r="U9" s="406" t="str">
        <f t="shared" si="14"/>
        <v>26.07 K/h</v>
      </c>
      <c r="V9" s="411">
        <f t="array" ref="V9">LET(
  Labspeed, IF(A9 ="Labs Speed", 1+'Master Sheet'!$BK$5, LAB_SPEED_TOTAL()),
  Match, MATCH(IF(ISNUMBER(SEARCH("Mastery",$A9)),"Card Mastery",$A9),DVT_Laboratory!B$1:V$1,0)-1,
  Offset, OFFSET(DVT_Laboratory!B$3,0,Match,100,1),
  Desired, IF(P9&lt;&gt;"", P9,D9),
IF(Desired&gt;D9,"Desired lvl too high",
IF(AND(Desired=D9,OR(C9=D9,C9="Max")),"Max Level",
IF(Desired&lt;=C9,"Desired lvl too low",
SUM(TIME_TO_RUSH_GEMS(
    XLOOKUP(C9+1, SEQUENCE(100,1,1,1), Offset, "N/F", 0, 1):
    XLOOKUP(Desired, SEQUENCE(100,1,1,1), Offset, "N/F", 0, 1)/Labspeed, IDS_LAB_GODLBOXED_COUNT()))))))</f>
        <v>12414</v>
      </c>
    </row>
    <row r="10">
      <c r="A10" s="398" t="s">
        <v>249</v>
      </c>
      <c r="B10" s="399" t="str">
        <f t="shared" si="1"/>
        <v/>
      </c>
      <c r="C10" s="413">
        <f>VLOOKUP($A10,MS_Labs_Array,2,FALSE)</f>
        <v>4</v>
      </c>
      <c r="D10" s="401">
        <f>VLOOKUP($A10,MS_Labs_Array,4,FALSE)</f>
        <v>4</v>
      </c>
      <c r="E10" s="412" t="str">
        <f t="shared" si="16"/>
        <v>T2 20</v>
      </c>
      <c r="F10" s="403" t="str">
        <f t="shared" ref="F10:F213" si="17">IF(OR($C10=$D10,$C10="Max"),"Max Level",LABDURATION_SINGLE_ADJUSTED(IF(ISNUMBER(SEARCH("Mastery",A10)),"Card Mastery",A10),C10+1)/IF(B10&lt;&gt;"", RIGHT(B10, 3),1))</f>
        <v>Max Level</v>
      </c>
      <c r="G10" s="404" t="str">
        <f t="shared" si="3"/>
        <v>Max Level</v>
      </c>
      <c r="H10" s="405" t="str">
        <f t="shared" si="4"/>
        <v>Max Level</v>
      </c>
      <c r="I10" s="405">
        <f t="shared" si="5"/>
        <v>0</v>
      </c>
      <c r="J10" s="405" t="str">
        <f t="shared" si="6"/>
        <v>Max Level</v>
      </c>
      <c r="K10" s="406" t="str">
        <f t="shared" si="7"/>
        <v/>
      </c>
      <c r="L10" s="411" t="str">
        <f t="shared" si="8"/>
        <v>Max Level</v>
      </c>
      <c r="M10" s="408" t="str">
        <f t="shared" ref="M10:M162" si="18">IF($C10+1&gt;=$D10,"Max Level",FORMAT_TIME(LABDURATION_SINGLE_ADJUSTED(A10,C10+2)/IF(AND(B10&lt;&gt;"", $B$1="All"), RIGHT(B10, 3),1)))</f>
        <v>Max Level</v>
      </c>
      <c r="N10" s="405" t="str">
        <f t="shared" si="10"/>
        <v>Max Level</v>
      </c>
      <c r="O10" s="411" t="str">
        <f t="shared" si="11"/>
        <v>Max Level</v>
      </c>
      <c r="P10" s="414" t="str">
        <f>VLOOKUP($A10,MS_Labs_Array,3,FALSE)</f>
        <v/>
      </c>
      <c r="Q10" s="408" t="str">
        <f>IFERROR(__xludf.DUMMYFUNCTION("LET(
  Labspeed, IF(A10=""Labs Speed"", 1+'Master Sheet'!$BK$5, LAB_SPEED_TOTAL()),
  Match, MATCH(IF(ISNUMBER(SEARCH(""Mastery"",$A10)),""Card Mastery"",$A10),DVT_Laboratory!B$1:V$1,0)-1,
  Offset, INDEX(DVT_Laboratory!B$3:ZZ$102,,Match+1),
  Desired, IF"&amp;"(P10&lt;&gt;"""", P10,D10),
  IFS(
    Desired &gt; D10, ""Desired lvl too high"",
    AND(Desired = D10, OR(C10 = D10, C10 = ""Max"")), ""Max Level"",
    Desired = C10, ""OK Level"",
    Desired &lt; C10, ""Desired lvl too low"",
    TRUE, TO_PURE_NUMBER(
      SUM"&amp;"(
        XLOOKUP($C10 + 1, SEQUENCE(100, 1, 1, 1), Offset, ""N/F"", 0, 1): 
        XLOOKUP(Desired, SEQUENCE(100, 1, 1, 1), Offset, ""N/F"", 0, 1)
      ) / Labspeed
    ) /
    IF(AND(B10 &lt;&gt; """", $B$1 = ""All""), RIGHT(B10, 3), 1)
  )
)"),"Max Level")</f>
        <v>Max Level</v>
      </c>
      <c r="R10" s="410" t="str">
        <f t="shared" si="12"/>
        <v>Max Level</v>
      </c>
      <c r="S10" s="405" t="str">
        <f t="array" ref="S10">LET(
  Match, MATCH(IF(ISNUMBER(SEARCH("Mastery",$A10)),"Card Mastery",$A10),DVT_Laboratory!B$1:V$1,0)-1,
  Offset, OFFSET(DVT_Laboratory!C$3,0,Match,100,1),
  Desired, IF(P10&lt;&gt;"", P10,D10),
IF(Desired&gt;D10,"Desired lvl too high",
IF(AND(Desired=D10,OR(C10=D10,C10="Max")),"Max Level",
IF(Desired=C10,"OK Level",
IF(Desired&lt;C10,"Desired lvl too low",
SUM(
XLOOKUP(C10+1,SEQUENCE(100,1,1,1),Offset,"N/F",0,1)
:XLOOKUP(Desired,SEQUENCE(100,1,1,1),Offset,"N/F",0,1))*(1-LAB_COIN_DISCOUNT()))))))</f>
        <v>Max Level</v>
      </c>
      <c r="T10" s="405" t="str">
        <f t="shared" si="13"/>
        <v>Max Level</v>
      </c>
      <c r="U10" s="406" t="str">
        <f t="shared" si="14"/>
        <v/>
      </c>
      <c r="V10" s="411" t="str">
        <f t="array" ref="V10">LET(
  Labspeed, IF(A10 ="Labs Speed", 1+'Master Sheet'!$BK$5, LAB_SPEED_TOTAL()),
  Match, MATCH(IF(ISNUMBER(SEARCH("Mastery",$A10)),"Card Mastery",$A10),DVT_Laboratory!B$1:V$1,0)-1,
  Offset, OFFSET(DVT_Laboratory!B$3,0,Match,100,1),
  Desired, IF(P10&lt;&gt;"", P10,D10),
IF(Desired&gt;D10,"Desired lvl too high",
IF(AND(Desired=D10,OR(C10=D10,C10="Max")),"Max Level",
IF(Desired&lt;=C10,"Desired lvl too low",
SUM(TIME_TO_RUSH_GEMS(
    XLOOKUP(C10+1, SEQUENCE(100,1,1,1), Offset, "N/F", 0, 1):
    XLOOKUP(Desired, SEQUENCE(100,1,1,1), Offset, "N/F", 0, 1)/Labspeed, IDS_LAB_GODLBOXED_COUNT()))))))</f>
        <v>Max Level</v>
      </c>
    </row>
    <row r="11">
      <c r="A11" s="398" t="s">
        <v>260</v>
      </c>
      <c r="B11" s="399" t="str">
        <f t="shared" si="1"/>
        <v/>
      </c>
      <c r="C11" s="413">
        <f>VLOOKUP($A11,MS_Labs_Array,2,FALSE)</f>
        <v>1</v>
      </c>
      <c r="D11" s="401">
        <f>VLOOKUP($A11,MS_Labs_Array,4,FALSE)</f>
        <v>1</v>
      </c>
      <c r="E11" s="412" t="str">
        <f t="shared" si="16"/>
        <v>T1 250</v>
      </c>
      <c r="F11" s="403" t="str">
        <f t="shared" si="17"/>
        <v>Max Level</v>
      </c>
      <c r="G11" s="404" t="str">
        <f t="shared" si="3"/>
        <v>Max Level</v>
      </c>
      <c r="H11" s="405" t="str">
        <f t="shared" si="4"/>
        <v>Max Level</v>
      </c>
      <c r="I11" s="405">
        <f t="shared" si="5"/>
        <v>0</v>
      </c>
      <c r="J11" s="405" t="str">
        <f t="shared" si="6"/>
        <v>Max Level</v>
      </c>
      <c r="K11" s="406" t="str">
        <f t="shared" si="7"/>
        <v/>
      </c>
      <c r="L11" s="411" t="str">
        <f t="shared" si="8"/>
        <v>Max Level</v>
      </c>
      <c r="M11" s="408" t="str">
        <f t="shared" si="18"/>
        <v>Max Level</v>
      </c>
      <c r="N11" s="405" t="str">
        <f t="shared" si="10"/>
        <v>Max Level</v>
      </c>
      <c r="O11" s="411" t="str">
        <f t="shared" si="11"/>
        <v>Max Level</v>
      </c>
      <c r="P11" s="414" t="str">
        <f>VLOOKUP($A11,MS_Labs_Array,3,FALSE)</f>
        <v/>
      </c>
      <c r="Q11" s="408" t="str">
        <f>IFERROR(__xludf.DUMMYFUNCTION("LET(
  Labspeed, IF(A11=""Labs Speed"", 1+'Master Sheet'!$BK$5, LAB_SPEED_TOTAL()),
  Match, MATCH(IF(ISNUMBER(SEARCH(""Mastery"",$A11)),""Card Mastery"",$A11),DVT_Laboratory!B$1:V$1,0)-1,
  Offset, INDEX(DVT_Laboratory!B$3:ZZ$102,,Match+1),
  Desired, IF"&amp;"(P11&lt;&gt;"""", P11,D11),
  IFS(
    Desired &gt; D11, ""Desired lvl too high"",
    AND(Desired = D11, OR(C11 = D11, C11 = ""Max"")), ""Max Level"",
    Desired = C11, ""OK Level"",
    Desired &lt; C11, ""Desired lvl too low"",
    TRUE, TO_PURE_NUMBER(
      SUM"&amp;"(
        XLOOKUP($C11 + 1, SEQUENCE(100, 1, 1, 1), Offset, ""N/F"", 0, 1): 
        XLOOKUP(Desired, SEQUENCE(100, 1, 1, 1), Offset, ""N/F"", 0, 1)
      ) / Labspeed
    ) /
    IF(AND(B11 &lt;&gt; """", $B$1 = ""All""), RIGHT(B11, 3), 1)
  )
)"),"Max Level")</f>
        <v>Max Level</v>
      </c>
      <c r="R11" s="410" t="str">
        <f t="shared" si="12"/>
        <v>Max Level</v>
      </c>
      <c r="S11" s="405" t="str">
        <f t="array" ref="S11">LET(
  Match, MATCH(IF(ISNUMBER(SEARCH("Mastery",$A11)),"Card Mastery",$A11),DVT_Laboratory!B$1:V$1,0)-1,
  Offset, OFFSET(DVT_Laboratory!C$3,0,Match,100,1),
  Desired, IF(P11&lt;&gt;"", P11,D11),
IF(Desired&gt;D11,"Desired lvl too high",
IF(AND(Desired=D11,OR(C11=D11,C11="Max")),"Max Level",
IF(Desired=C11,"OK Level",
IF(Desired&lt;C11,"Desired lvl too low",
SUM(
XLOOKUP(C11+1,SEQUENCE(100,1,1,1),Offset,"N/F",0,1)
:XLOOKUP(Desired,SEQUENCE(100,1,1,1),Offset,"N/F",0,1))*(1-LAB_COIN_DISCOUNT()))))))</f>
        <v>Max Level</v>
      </c>
      <c r="T11" s="405" t="str">
        <f t="shared" si="13"/>
        <v>Max Level</v>
      </c>
      <c r="U11" s="406" t="str">
        <f t="shared" si="14"/>
        <v/>
      </c>
      <c r="V11" s="411" t="str">
        <f t="array" ref="V11">LET(
  Labspeed, IF(A11 ="Labs Speed", 1+'Master Sheet'!$BK$5, LAB_SPEED_TOTAL()),
  Match, MATCH(IF(ISNUMBER(SEARCH("Mastery",$A11)),"Card Mastery",$A11),DVT_Laboratory!B$1:V$1,0)-1,
  Offset, OFFSET(DVT_Laboratory!B$3,0,Match,100,1),
  Desired, IF(P11&lt;&gt;"", P11,D11),
IF(Desired&gt;D11,"Desired lvl too high",
IF(AND(Desired=D11,OR(C11=D11,C11="Max")),"Max Level",
IF(Desired&lt;=C11,"Desired lvl too low",
SUM(TIME_TO_RUSH_GEMS(
    XLOOKUP(C11+1, SEQUENCE(100,1,1,1), Offset, "N/F", 0, 1):
    XLOOKUP(Desired, SEQUENCE(100,1,1,1), Offset, "N/F", 0, 1)/Labspeed, IDS_LAB_GODLBOXED_COUNT()))))))</f>
        <v>Max Level</v>
      </c>
    </row>
    <row r="12">
      <c r="A12" s="398" t="s">
        <v>270</v>
      </c>
      <c r="B12" s="399" t="str">
        <f t="shared" si="1"/>
        <v/>
      </c>
      <c r="C12" s="413">
        <f>VLOOKUP($A12,MS_Labs_Array,2,FALSE)</f>
        <v>2</v>
      </c>
      <c r="D12" s="401">
        <f>VLOOKUP($A12,MS_Labs_Array,4,FALSE)</f>
        <v>2</v>
      </c>
      <c r="E12" s="412" t="str">
        <f t="shared" si="16"/>
        <v>T4 150</v>
      </c>
      <c r="F12" s="403" t="str">
        <f t="shared" si="17"/>
        <v>Max Level</v>
      </c>
      <c r="G12" s="404" t="str">
        <f t="shared" si="3"/>
        <v>Max Level</v>
      </c>
      <c r="H12" s="405" t="str">
        <f t="shared" si="4"/>
        <v>Max Level</v>
      </c>
      <c r="I12" s="405">
        <f t="shared" si="5"/>
        <v>0</v>
      </c>
      <c r="J12" s="405" t="str">
        <f t="shared" si="6"/>
        <v>Max Level</v>
      </c>
      <c r="K12" s="406" t="str">
        <f t="shared" si="7"/>
        <v/>
      </c>
      <c r="L12" s="411" t="str">
        <f t="shared" si="8"/>
        <v>Max Level</v>
      </c>
      <c r="M12" s="408" t="str">
        <f t="shared" si="18"/>
        <v>Max Level</v>
      </c>
      <c r="N12" s="405" t="str">
        <f t="shared" si="10"/>
        <v>Max Level</v>
      </c>
      <c r="O12" s="411" t="str">
        <f t="shared" si="11"/>
        <v>Max Level</v>
      </c>
      <c r="P12" s="414" t="str">
        <f>VLOOKUP($A12,MS_Labs_Array,3,FALSE)</f>
        <v/>
      </c>
      <c r="Q12" s="408" t="str">
        <f>IFERROR(__xludf.DUMMYFUNCTION("LET(
  Labspeed, IF(A12=""Labs Speed"", 1+'Master Sheet'!$BK$5, LAB_SPEED_TOTAL()),
  Match, MATCH(IF(ISNUMBER(SEARCH(""Mastery"",$A12)),""Card Mastery"",$A12),DVT_Laboratory!B$1:V$1,0)-1,
  Offset, INDEX(DVT_Laboratory!B$3:ZZ$102,,Match+1),
  Desired, IF"&amp;"(P12&lt;&gt;"""", P12,D12),
  IFS(
    Desired &gt; D12, ""Desired lvl too high"",
    AND(Desired = D12, OR(C12 = D12, C12 = ""Max"")), ""Max Level"",
    Desired = C12, ""OK Level"",
    Desired &lt; C12, ""Desired lvl too low"",
    TRUE, TO_PURE_NUMBER(
      SUM"&amp;"(
        XLOOKUP($C12 + 1, SEQUENCE(100, 1, 1, 1), Offset, ""N/F"", 0, 1): 
        XLOOKUP(Desired, SEQUENCE(100, 1, 1, 1), Offset, ""N/F"", 0, 1)
      ) / Labspeed
    ) /
    IF(AND(B12 &lt;&gt; """", $B$1 = ""All""), RIGHT(B12, 3), 1)
  )
)"),"Max Level")</f>
        <v>Max Level</v>
      </c>
      <c r="R12" s="410" t="str">
        <f t="shared" si="12"/>
        <v>Max Level</v>
      </c>
      <c r="S12" s="405" t="str">
        <f t="array" ref="S12">LET(
  Match, MATCH(IF(ISNUMBER(SEARCH("Mastery",$A12)),"Card Mastery",$A12),DVT_Laboratory!B$1:V$1,0)-1,
  Offset, OFFSET(DVT_Laboratory!C$3,0,Match,100,1),
  Desired, IF(P12&lt;&gt;"", P12,D12),
IF(Desired&gt;D12,"Desired lvl too high",
IF(AND(Desired=D12,OR(C12=D12,C12="Max")),"Max Level",
IF(Desired=C12,"OK Level",
IF(Desired&lt;C12,"Desired lvl too low",
SUM(
XLOOKUP(C12+1,SEQUENCE(100,1,1,1),Offset,"N/F",0,1)
:XLOOKUP(Desired,SEQUENCE(100,1,1,1),Offset,"N/F",0,1))*(1-LAB_COIN_DISCOUNT()))))))</f>
        <v>Max Level</v>
      </c>
      <c r="T12" s="405" t="str">
        <f t="shared" si="13"/>
        <v>Max Level</v>
      </c>
      <c r="U12" s="406" t="str">
        <f t="shared" si="14"/>
        <v/>
      </c>
      <c r="V12" s="411" t="str">
        <f t="array" ref="V12">LET(
  Labspeed, IF(A12 ="Labs Speed", 1+'Master Sheet'!$BK$5, LAB_SPEED_TOTAL()),
  Match, MATCH(IF(ISNUMBER(SEARCH("Mastery",$A12)),"Card Mastery",$A12),DVT_Laboratory!B$1:V$1,0)-1,
  Offset, OFFSET(DVT_Laboratory!B$3,0,Match,100,1),
  Desired, IF(P12&lt;&gt;"", P12,D12),
IF(Desired&gt;D12,"Desired lvl too high",
IF(AND(Desired=D12,OR(C12=D12,C12="Max")),"Max Level",
IF(Desired&lt;=C12,"Desired lvl too low",
SUM(TIME_TO_RUSH_GEMS(
    XLOOKUP(C12+1, SEQUENCE(100,1,1,1), Offset, "N/F", 0, 1):
    XLOOKUP(Desired, SEQUENCE(100,1,1,1), Offset, "N/F", 0, 1)/Labspeed, IDS_LAB_GODLBOXED_COUNT()))))))</f>
        <v>Max Level</v>
      </c>
    </row>
    <row r="13">
      <c r="A13" s="398" t="s">
        <v>278</v>
      </c>
      <c r="B13" s="399" t="str">
        <f t="shared" si="1"/>
        <v/>
      </c>
      <c r="C13" s="413">
        <f>VLOOKUP($A13,MS_Labs_Array,2,FALSE)</f>
        <v>1</v>
      </c>
      <c r="D13" s="401">
        <f>VLOOKUP($A13,MS_Labs_Array,4,FALSE)</f>
        <v>1</v>
      </c>
      <c r="E13" s="412" t="str">
        <f t="shared" si="16"/>
        <v>T1 400</v>
      </c>
      <c r="F13" s="403" t="str">
        <f t="shared" si="17"/>
        <v>Max Level</v>
      </c>
      <c r="G13" s="404" t="str">
        <f t="shared" si="3"/>
        <v>Max Level</v>
      </c>
      <c r="H13" s="405" t="str">
        <f t="shared" si="4"/>
        <v>Max Level</v>
      </c>
      <c r="I13" s="405">
        <f t="shared" si="5"/>
        <v>0</v>
      </c>
      <c r="J13" s="405" t="str">
        <f t="shared" si="6"/>
        <v>Max Level</v>
      </c>
      <c r="K13" s="406" t="str">
        <f t="shared" si="7"/>
        <v/>
      </c>
      <c r="L13" s="411" t="str">
        <f t="shared" si="8"/>
        <v>Max Level</v>
      </c>
      <c r="M13" s="408" t="str">
        <f t="shared" si="18"/>
        <v>Max Level</v>
      </c>
      <c r="N13" s="405" t="str">
        <f t="shared" si="10"/>
        <v>Max Level</v>
      </c>
      <c r="O13" s="411" t="str">
        <f t="shared" si="11"/>
        <v>Max Level</v>
      </c>
      <c r="P13" s="414" t="str">
        <f>VLOOKUP($A13,MS_Labs_Array,3,FALSE)</f>
        <v/>
      </c>
      <c r="Q13" s="408" t="str">
        <f>IFERROR(__xludf.DUMMYFUNCTION("LET(
  Labspeed, IF(A13=""Labs Speed"", 1+'Master Sheet'!$BK$5, LAB_SPEED_TOTAL()),
  Match, MATCH(IF(ISNUMBER(SEARCH(""Mastery"",$A13)),""Card Mastery"",$A13),DVT_Laboratory!B$1:V$1,0)-1,
  Offset, INDEX(DVT_Laboratory!B$3:ZZ$102,,Match+1),
  Desired, IF"&amp;"(P13&lt;&gt;"""", P13,D13),
  IFS(
    Desired &gt; D13, ""Desired lvl too high"",
    AND(Desired = D13, OR(C13 = D13, C13 = ""Max"")), ""Max Level"",
    Desired = C13, ""OK Level"",
    Desired &lt; C13, ""Desired lvl too low"",
    TRUE, TO_PURE_NUMBER(
      SUM"&amp;"(
        XLOOKUP($C13 + 1, SEQUENCE(100, 1, 1, 1), Offset, ""N/F"", 0, 1): 
        XLOOKUP(Desired, SEQUENCE(100, 1, 1, 1), Offset, ""N/F"", 0, 1)
      ) / Labspeed
    ) /
    IF(AND(B13 &lt;&gt; """", $B$1 = ""All""), RIGHT(B13, 3), 1)
  )
)"),"Max Level")</f>
        <v>Max Level</v>
      </c>
      <c r="R13" s="410" t="str">
        <f t="shared" si="12"/>
        <v>Max Level</v>
      </c>
      <c r="S13" s="405" t="str">
        <f t="array" ref="S13">LET(
  Match, MATCH(IF(ISNUMBER(SEARCH("Mastery",$A13)),"Card Mastery",$A13),DVT_Laboratory!B$1:V$1,0)-1,
  Offset, OFFSET(DVT_Laboratory!C$3,0,Match,100,1),
  Desired, IF(P13&lt;&gt;"", P13,D13),
IF(Desired&gt;D13,"Desired lvl too high",
IF(AND(Desired=D13,OR(C13=D13,C13="Max")),"Max Level",
IF(Desired=C13,"OK Level",
IF(Desired&lt;C13,"Desired lvl too low",
SUM(
XLOOKUP(C13+1,SEQUENCE(100,1,1,1),Offset,"N/F",0,1)
:XLOOKUP(Desired,SEQUENCE(100,1,1,1),Offset,"N/F",0,1))*(1-LAB_COIN_DISCOUNT()))))))</f>
        <v>Max Level</v>
      </c>
      <c r="T13" s="405" t="str">
        <f t="shared" si="13"/>
        <v>Max Level</v>
      </c>
      <c r="U13" s="406" t="str">
        <f t="shared" si="14"/>
        <v/>
      </c>
      <c r="V13" s="411" t="str">
        <f t="array" ref="V13">LET(
  Labspeed, IF(A13 ="Labs Speed", 1+'Master Sheet'!$BK$5, LAB_SPEED_TOTAL()),
  Match, MATCH(IF(ISNUMBER(SEARCH("Mastery",$A13)),"Card Mastery",$A13),DVT_Laboratory!B$1:V$1,0)-1,
  Offset, OFFSET(DVT_Laboratory!B$3,0,Match,100,1),
  Desired, IF(P13&lt;&gt;"", P13,D13),
IF(Desired&gt;D13,"Desired lvl too high",
IF(AND(Desired=D13,OR(C13=D13,C13="Max")),"Max Level",
IF(Desired&lt;=C13,"Desired lvl too low",
SUM(TIME_TO_RUSH_GEMS(
    XLOOKUP(C13+1, SEQUENCE(100,1,1,1), Offset, "N/F", 0, 1):
    XLOOKUP(Desired, SEQUENCE(100,1,1,1), Offset, "N/F", 0, 1)/Labspeed, IDS_LAB_GODLBOXED_COUNT()))))))</f>
        <v>Max Level</v>
      </c>
    </row>
    <row r="14">
      <c r="A14" s="398" t="s">
        <v>286</v>
      </c>
      <c r="B14" s="399" t="str">
        <f t="shared" si="1"/>
        <v/>
      </c>
      <c r="C14" s="413">
        <f>VLOOKUP($A14,MS_Labs_Array,2,FALSE)</f>
        <v>1</v>
      </c>
      <c r="D14" s="401">
        <f>VLOOKUP($A14,MS_Labs_Array,4,FALSE)</f>
        <v>1</v>
      </c>
      <c r="E14" s="412" t="str">
        <f t="shared" si="16"/>
        <v>T4 30</v>
      </c>
      <c r="F14" s="403" t="str">
        <f t="shared" si="17"/>
        <v>Max Level</v>
      </c>
      <c r="G14" s="404" t="str">
        <f t="shared" si="3"/>
        <v>Max Level</v>
      </c>
      <c r="H14" s="405" t="str">
        <f t="shared" si="4"/>
        <v>Max Level</v>
      </c>
      <c r="I14" s="405">
        <f t="shared" si="5"/>
        <v>0</v>
      </c>
      <c r="J14" s="405" t="str">
        <f t="shared" si="6"/>
        <v>Max Level</v>
      </c>
      <c r="K14" s="406" t="str">
        <f t="shared" si="7"/>
        <v/>
      </c>
      <c r="L14" s="411" t="str">
        <f t="shared" si="8"/>
        <v>Max Level</v>
      </c>
      <c r="M14" s="408" t="str">
        <f t="shared" si="18"/>
        <v>Max Level</v>
      </c>
      <c r="N14" s="405" t="str">
        <f t="shared" si="10"/>
        <v>Max Level</v>
      </c>
      <c r="O14" s="411" t="str">
        <f t="shared" si="11"/>
        <v>Max Level</v>
      </c>
      <c r="P14" s="414" t="str">
        <f>VLOOKUP($A14,MS_Labs_Array,3,FALSE)</f>
        <v/>
      </c>
      <c r="Q14" s="408" t="str">
        <f>IFERROR(__xludf.DUMMYFUNCTION("LET(
  Labspeed, IF(A14=""Labs Speed"", 1+'Master Sheet'!$BK$5, LAB_SPEED_TOTAL()),
  Match, MATCH(IF(ISNUMBER(SEARCH(""Mastery"",$A14)),""Card Mastery"",$A14),DVT_Laboratory!B$1:V$1,0)-1,
  Offset, INDEX(DVT_Laboratory!B$3:ZZ$102,,Match+1),
  Desired, IF"&amp;"(P14&lt;&gt;"""", P14,D14),
  IFS(
    Desired &gt; D14, ""Desired lvl too high"",
    AND(Desired = D14, OR(C14 = D14, C14 = ""Max"")), ""Max Level"",
    Desired = C14, ""OK Level"",
    Desired &lt; C14, ""Desired lvl too low"",
    TRUE, TO_PURE_NUMBER(
      SUM"&amp;"(
        XLOOKUP($C14 + 1, SEQUENCE(100, 1, 1, 1), Offset, ""N/F"", 0, 1): 
        XLOOKUP(Desired, SEQUENCE(100, 1, 1, 1), Offset, ""N/F"", 0, 1)
      ) / Labspeed
    ) /
    IF(AND(B14 &lt;&gt; """", $B$1 = ""All""), RIGHT(B14, 3), 1)
  )
)"),"Max Level")</f>
        <v>Max Level</v>
      </c>
      <c r="R14" s="410" t="str">
        <f t="shared" si="12"/>
        <v>Max Level</v>
      </c>
      <c r="S14" s="405" t="str">
        <f t="array" ref="S14">LET(
  Match, MATCH(IF(ISNUMBER(SEARCH("Mastery",$A14)),"Card Mastery",$A14),DVT_Laboratory!B$1:V$1,0)-1,
  Offset, OFFSET(DVT_Laboratory!C$3,0,Match,100,1),
  Desired, IF(P14&lt;&gt;"", P14,D14),
IF(Desired&gt;D14,"Desired lvl too high",
IF(AND(Desired=D14,OR(C14=D14,C14="Max")),"Max Level",
IF(Desired=C14,"OK Level",
IF(Desired&lt;C14,"Desired lvl too low",
SUM(
XLOOKUP(C14+1,SEQUENCE(100,1,1,1),Offset,"N/F",0,1)
:XLOOKUP(Desired,SEQUENCE(100,1,1,1),Offset,"N/F",0,1))*(1-LAB_COIN_DISCOUNT()))))))</f>
        <v>Max Level</v>
      </c>
      <c r="T14" s="405" t="str">
        <f t="shared" si="13"/>
        <v>Max Level</v>
      </c>
      <c r="U14" s="406" t="str">
        <f t="shared" si="14"/>
        <v/>
      </c>
      <c r="V14" s="411" t="str">
        <f t="array" ref="V14">LET(
  Labspeed, IF(A14 ="Labs Speed", 1+'Master Sheet'!$BK$5, LAB_SPEED_TOTAL()),
  Match, MATCH(IF(ISNUMBER(SEARCH("Mastery",$A14)),"Card Mastery",$A14),DVT_Laboratory!B$1:V$1,0)-1,
  Offset, OFFSET(DVT_Laboratory!B$3,0,Match,100,1),
  Desired, IF(P14&lt;&gt;"", P14,D14),
IF(Desired&gt;D14,"Desired lvl too high",
IF(AND(Desired=D14,OR(C14=D14,C14="Max")),"Max Level",
IF(Desired&lt;=C14,"Desired lvl too low",
SUM(TIME_TO_RUSH_GEMS(
    XLOOKUP(C14+1, SEQUENCE(100,1,1,1), Offset, "N/F", 0, 1):
    XLOOKUP(Desired, SEQUENCE(100,1,1,1), Offset, "N/F", 0, 1)/Labspeed, IDS_LAB_GODLBOXED_COUNT()))))))</f>
        <v>Max Level</v>
      </c>
    </row>
    <row r="15">
      <c r="A15" s="415" t="s">
        <v>294</v>
      </c>
      <c r="B15" s="399" t="str">
        <f t="shared" si="1"/>
        <v/>
      </c>
      <c r="C15" s="413">
        <f>VLOOKUP($A15,MS_Labs_Array,2,FALSE)</f>
        <v>1</v>
      </c>
      <c r="D15" s="412">
        <f>VLOOKUP($A15,MS_Labs_Array,4,FALSE)</f>
        <v>1</v>
      </c>
      <c r="E15" s="412" t="str">
        <f t="shared" si="16"/>
        <v>T4 30</v>
      </c>
      <c r="F15" s="403" t="str">
        <f t="shared" si="17"/>
        <v>Max Level</v>
      </c>
      <c r="G15" s="404" t="str">
        <f t="shared" si="3"/>
        <v>Max Level</v>
      </c>
      <c r="H15" s="405" t="str">
        <f t="shared" si="4"/>
        <v>Max Level</v>
      </c>
      <c r="I15" s="405">
        <f t="shared" si="5"/>
        <v>0</v>
      </c>
      <c r="J15" s="405" t="str">
        <f t="shared" si="6"/>
        <v>Max Level</v>
      </c>
      <c r="K15" s="406" t="str">
        <f t="shared" si="7"/>
        <v/>
      </c>
      <c r="L15" s="411" t="str">
        <f t="shared" si="8"/>
        <v>Max Level</v>
      </c>
      <c r="M15" s="408" t="str">
        <f t="shared" si="18"/>
        <v>Max Level</v>
      </c>
      <c r="N15" s="405" t="str">
        <f t="shared" si="10"/>
        <v>Max Level</v>
      </c>
      <c r="O15" s="411" t="str">
        <f t="shared" si="11"/>
        <v>Max Level</v>
      </c>
      <c r="P15" s="414" t="str">
        <f>VLOOKUP($A15,MS_Labs_Array,3,FALSE)</f>
        <v/>
      </c>
      <c r="Q15" s="408" t="str">
        <f>IFERROR(__xludf.DUMMYFUNCTION("LET(
  Labspeed, IF(A15=""Labs Speed"", 1+'Master Sheet'!$BK$5, LAB_SPEED_TOTAL()),
  Match, MATCH(IF(ISNUMBER(SEARCH(""Mastery"",$A15)),""Card Mastery"",$A15),DVT_Laboratory!B$1:V$1,0)-1,
  Offset, INDEX(DVT_Laboratory!B$3:ZZ$102,,Match+1),
  Desired, IF"&amp;"(P15&lt;&gt;"""", P15,D15),
  IFS(
    Desired &gt; D15, ""Desired lvl too high"",
    AND(Desired = D15, OR(C15 = D15, C15 = ""Max"")), ""Max Level"",
    Desired = C15, ""OK Level"",
    Desired &lt; C15, ""Desired lvl too low"",
    TRUE, TO_PURE_NUMBER(
      SUM"&amp;"(
        XLOOKUP($C15 + 1, SEQUENCE(100, 1, 1, 1), Offset, ""N/F"", 0, 1): 
        XLOOKUP(Desired, SEQUENCE(100, 1, 1, 1), Offset, ""N/F"", 0, 1)
      ) / Labspeed
    ) /
    IF(AND(B15 &lt;&gt; """", $B$1 = ""All""), RIGHT(B15, 3), 1)
  )
)"),"Max Level")</f>
        <v>Max Level</v>
      </c>
      <c r="R15" s="410" t="str">
        <f t="shared" si="12"/>
        <v>Max Level</v>
      </c>
      <c r="S15" s="405" t="str">
        <f t="array" ref="S15">LET(
  Match, MATCH(IF(ISNUMBER(SEARCH("Mastery",$A15)),"Card Mastery",$A15),DVT_Laboratory!B$1:V$1,0)-1,
  Offset, OFFSET(DVT_Laboratory!C$3,0,Match,100,1),
  Desired, IF(P15&lt;&gt;"", P15,D15),
IF(Desired&gt;D15,"Desired lvl too high",
IF(AND(Desired=D15,OR(C15=D15,C15="Max")),"Max Level",
IF(Desired=C15,"OK Level",
IF(Desired&lt;C15,"Desired lvl too low",
SUM(
XLOOKUP(C15+1,SEQUENCE(100,1,1,1),Offset,"N/F",0,1)
:XLOOKUP(Desired,SEQUENCE(100,1,1,1),Offset,"N/F",0,1))*(1-LAB_COIN_DISCOUNT()))))))</f>
        <v>Max Level</v>
      </c>
      <c r="T15" s="405" t="str">
        <f t="shared" si="13"/>
        <v>Max Level</v>
      </c>
      <c r="U15" s="406" t="str">
        <f t="shared" si="14"/>
        <v/>
      </c>
      <c r="V15" s="411" t="str">
        <f t="array" ref="V15">LET(
  Labspeed, IF(A15 ="Labs Speed", 1+'Master Sheet'!$BK$5, LAB_SPEED_TOTAL()),
  Match, MATCH(IF(ISNUMBER(SEARCH("Mastery",$A15)),"Card Mastery",$A15),DVT_Laboratory!B$1:V$1,0)-1,
  Offset, OFFSET(DVT_Laboratory!B$3,0,Match,100,1),
  Desired, IF(P15&lt;&gt;"", P15,D15),
IF(Desired&gt;D15,"Desired lvl too high",
IF(AND(Desired=D15,OR(C15=D15,C15="Max")),"Max Level",
IF(Desired&lt;=C15,"Desired lvl too low",
SUM(TIME_TO_RUSH_GEMS(
    XLOOKUP(C15+1, SEQUENCE(100,1,1,1), Offset, "N/F", 0, 1):
    XLOOKUP(Desired, SEQUENCE(100,1,1,1), Offset, "N/F", 0, 1)/Labspeed, IDS_LAB_GODLBOXED_COUNT()))))))</f>
        <v>Max Level</v>
      </c>
    </row>
    <row r="16">
      <c r="A16" s="415" t="s">
        <v>301</v>
      </c>
      <c r="B16" s="399" t="str">
        <f t="shared" si="1"/>
        <v/>
      </c>
      <c r="C16" s="413">
        <f>VLOOKUP($A16,MS_Labs_Array,2,FALSE)</f>
        <v>1</v>
      </c>
      <c r="D16" s="412">
        <f>VLOOKUP($A16,MS_Labs_Array,4,FALSE)</f>
        <v>1</v>
      </c>
      <c r="E16" s="412" t="str">
        <f t="shared" si="16"/>
        <v>T12 60</v>
      </c>
      <c r="F16" s="403" t="str">
        <f t="shared" si="17"/>
        <v>Max Level</v>
      </c>
      <c r="G16" s="404" t="str">
        <f t="shared" si="3"/>
        <v>Max Level</v>
      </c>
      <c r="H16" s="405" t="str">
        <f t="shared" si="4"/>
        <v>Max Level</v>
      </c>
      <c r="I16" s="405">
        <f t="shared" si="5"/>
        <v>0</v>
      </c>
      <c r="J16" s="405" t="str">
        <f t="shared" si="6"/>
        <v>Max Level</v>
      </c>
      <c r="K16" s="406" t="str">
        <f t="shared" si="7"/>
        <v/>
      </c>
      <c r="L16" s="411" t="str">
        <f t="shared" si="8"/>
        <v>Max Level</v>
      </c>
      <c r="M16" s="408" t="str">
        <f t="shared" si="18"/>
        <v>Max Level</v>
      </c>
      <c r="N16" s="405" t="str">
        <f t="shared" si="10"/>
        <v>Max Level</v>
      </c>
      <c r="O16" s="411" t="str">
        <f t="shared" si="11"/>
        <v>Max Level</v>
      </c>
      <c r="P16" s="414" t="str">
        <f>VLOOKUP($A16,MS_Labs_Array,3,FALSE)</f>
        <v/>
      </c>
      <c r="Q16" s="408" t="str">
        <f>IFERROR(__xludf.DUMMYFUNCTION("LET(
  Labspeed, IF(A16=""Labs Speed"", 1+'Master Sheet'!$BK$5, LAB_SPEED_TOTAL()),
  Match, MATCH(IF(ISNUMBER(SEARCH(""Mastery"",$A16)),""Card Mastery"",$A16),DVT_Laboratory!B$1:V$1,0)-1,
  Offset, INDEX(DVT_Laboratory!B$3:ZZ$102,,Match+1),
  Desired, IF"&amp;"(P16&lt;&gt;"""", P16,D16),
  IFS(
    Desired &gt; D16, ""Desired lvl too high"",
    AND(Desired = D16, OR(C16 = D16, C16 = ""Max"")), ""Max Level"",
    Desired = C16, ""OK Level"",
    Desired &lt; C16, ""Desired lvl too low"",
    TRUE, TO_PURE_NUMBER(
      SUM"&amp;"(
        XLOOKUP($C16 + 1, SEQUENCE(100, 1, 1, 1), Offset, ""N/F"", 0, 1): 
        XLOOKUP(Desired, SEQUENCE(100, 1, 1, 1), Offset, ""N/F"", 0, 1)
      ) / Labspeed
    ) /
    IF(AND(B16 &lt;&gt; """", $B$1 = ""All""), RIGHT(B16, 3), 1)
  )
)"),"Max Level")</f>
        <v>Max Level</v>
      </c>
      <c r="R16" s="410" t="str">
        <f t="shared" si="12"/>
        <v>Max Level</v>
      </c>
      <c r="S16" s="405" t="str">
        <f t="array" ref="S16">LET(
  Match, MATCH(IF(ISNUMBER(SEARCH("Mastery",$A16)),"Card Mastery",$A16),DVT_Laboratory!B$1:V$1,0)-1,
  Offset, OFFSET(DVT_Laboratory!C$3,0,Match,100,1),
  Desired, IF(P16&lt;&gt;"", P16,D16),
IF(Desired&gt;D16,"Desired lvl too high",
IF(AND(Desired=D16,OR(C16=D16,C16="Max")),"Max Level",
IF(Desired=C16,"OK Level",
IF(Desired&lt;C16,"Desired lvl too low",
SUM(
XLOOKUP(C16+1,SEQUENCE(100,1,1,1),Offset,"N/F",0,1)
:XLOOKUP(Desired,SEQUENCE(100,1,1,1),Offset,"N/F",0,1))*(1-LAB_COIN_DISCOUNT()))))))</f>
        <v>Max Level</v>
      </c>
      <c r="T16" s="405" t="str">
        <f t="shared" si="13"/>
        <v>Max Level</v>
      </c>
      <c r="U16" s="406" t="str">
        <f t="shared" si="14"/>
        <v/>
      </c>
      <c r="V16" s="411" t="str">
        <f t="array" ref="V16">LET(
  Labspeed, IF(A16 ="Labs Speed", 1+'Master Sheet'!$BK$5, LAB_SPEED_TOTAL()),
  Match, MATCH(IF(ISNUMBER(SEARCH("Mastery",$A16)),"Card Mastery",$A16),DVT_Laboratory!B$1:V$1,0)-1,
  Offset, OFFSET(DVT_Laboratory!B$3,0,Match,100,1),
  Desired, IF(P16&lt;&gt;"", P16,D16),
IF(Desired&gt;D16,"Desired lvl too high",
IF(AND(Desired=D16,OR(C16=D16,C16="Max")),"Max Level",
IF(Desired&lt;=C16,"Desired lvl too low",
SUM(TIME_TO_RUSH_GEMS(
    XLOOKUP(C16+1, SEQUENCE(100,1,1,1), Offset, "N/F", 0, 1):
    XLOOKUP(Desired, SEQUENCE(100,1,1,1), Offset, "N/F", 0, 1)/Labspeed, IDS_LAB_GODLBOXED_COUNT()))))))</f>
        <v>Max Level</v>
      </c>
    </row>
    <row r="17">
      <c r="A17" s="416" t="s">
        <v>308</v>
      </c>
      <c r="B17" s="399" t="str">
        <f t="shared" si="1"/>
        <v/>
      </c>
      <c r="C17" s="413">
        <f>VLOOKUP($A17,MS_Labs_Array,2,FALSE)</f>
        <v>0</v>
      </c>
      <c r="D17" s="412">
        <f>VLOOKUP($A17,MS_Labs_Array,4,FALSE)</f>
        <v>100</v>
      </c>
      <c r="E17" s="412" t="str">
        <f t="shared" si="16"/>
        <v>T21 60</v>
      </c>
      <c r="F17" s="403">
        <f t="shared" si="17"/>
        <v>0.2745014136</v>
      </c>
      <c r="G17" s="404" t="str">
        <f t="shared" si="3"/>
        <v>0d  6h 35m</v>
      </c>
      <c r="H17" s="417">
        <f t="shared" si="4"/>
        <v>796000000</v>
      </c>
      <c r="I17" s="417">
        <f t="shared" si="5"/>
        <v>1034800000</v>
      </c>
      <c r="J17" s="405" t="str">
        <f t="shared" si="6"/>
        <v>796 M</v>
      </c>
      <c r="K17" s="406" t="str">
        <f t="shared" si="7"/>
        <v>157.07 M/h</v>
      </c>
      <c r="L17" s="411">
        <f t="shared" si="8"/>
        <v>27</v>
      </c>
      <c r="M17" s="408" t="str">
        <f t="shared" si="18"/>
        <v>0d 13h 10m</v>
      </c>
      <c r="N17" s="405" t="str">
        <f t="shared" si="10"/>
        <v>1.03 B</v>
      </c>
      <c r="O17" s="411">
        <f t="shared" si="11"/>
        <v>53</v>
      </c>
      <c r="P17" s="414" t="str">
        <f>VLOOKUP($A17,MS_Labs_Array,3,FALSE)</f>
        <v/>
      </c>
      <c r="Q17" s="408">
        <f>IFERROR(__xludf.DUMMYFUNCTION("LET(
  Labspeed, IF(A17=""Labs Speed"", 1+'Master Sheet'!$BK$5, LAB_SPEED_TOTAL()),
  Match, MATCH(IF(ISNUMBER(SEARCH(""Mastery"",$A17)),""Card Mastery"",$A17),DVT_Laboratory!B$1:V$1,0)-1,
  Offset, INDEX(DVT_Laboratory!B$3:ZZ$102,,Match+1),
  Desired, IF"&amp;"(P17&lt;&gt;"""", P17,D17),
  IFS(
    Desired &gt; D17, ""Desired lvl too high"",
    AND(Desired = D17, OR(C17 = D17, C17 = ""Max"")), ""Max Level"",
    Desired = C17, ""OK Level"",
    Desired &lt; C17, ""Desired lvl too low"",
    TRUE, TO_PURE_NUMBER(
      SUM"&amp;"(
        XLOOKUP($C17 + 1, SEQUENCE(100, 1, 1, 1), Offset, ""N/F"", 0, 1): 
        XLOOKUP(Desired, SEQUENCE(100, 1, 1, 1), Offset, ""N/F"", 0, 1)
      ) / Labspeed
    ) /
    IF(AND(B17 &lt;&gt; """", $B$1 = ""All""), RIGHT(B17, 3), 1)
  )
)"),1386.33999762746)</f>
        <v>1386.339998</v>
      </c>
      <c r="R17" s="410" t="str">
        <f t="shared" si="12"/>
        <v>1386d  8h  9m</v>
      </c>
      <c r="S17" s="417">
        <f t="array" ref="S17">LET(
  Match, MATCH(IF(ISNUMBER(SEARCH("Mastery",$A17)),"Card Mastery",$A17),DVT_Laboratory!B$1:V$1,0)-1,
  Offset, OFFSET(DVT_Laboratory!C$3,0,Match,100,1),
  Desired, IF(P17&lt;&gt;"", P17,D17),
IF(Desired&gt;D17,"Desired lvl too high",
IF(AND(Desired=D17,OR(C17=D17,C17="Max")),"Max Level",
IF(Desired=C17,"OK Level",
IF(Desired&lt;C17,"Desired lvl too low",
SUM(
XLOOKUP(C17+1,SEQUENCE(100,1,1,1),Offset,"N/F",0,1)
:XLOOKUP(Desired,SEQUENCE(100,1,1,1),Offset,"N/F",0,1))*(1-LAB_COIN_DISCOUNT()))))))</f>
        <v>6.5785E+20</v>
      </c>
      <c r="T17" s="405" t="str">
        <f t="shared" si="13"/>
        <v>657.85 Q</v>
      </c>
      <c r="U17" s="406" t="str">
        <f t="shared" si="14"/>
        <v>19.77 q/h</v>
      </c>
      <c r="V17" s="411">
        <f t="array" ref="V17">LET(
  Labspeed, IF(A17 ="Labs Speed", 1+'Master Sheet'!$BK$5, LAB_SPEED_TOTAL()),
  Match, MATCH(IF(ISNUMBER(SEARCH("Mastery",$A17)),"Card Mastery",$A17),DVT_Laboratory!B$1:V$1,0)-1,
  Offset, OFFSET(DVT_Laboratory!B$3,0,Match,100,1),
  Desired, IF(P17&lt;&gt;"", P17,D17),
IF(Desired&gt;D17,"Desired lvl too high",
IF(AND(Desired=D17,OR(C17=D17,C17="Max")),"Max Level",
IF(Desired&lt;=C17,"Desired lvl too low",
SUM(TIME_TO_RUSH_GEMS(
    XLOOKUP(C17+1, SEQUENCE(100,1,1,1), Offset, "N/F", 0, 1):
    XLOOKUP(Desired, SEQUENCE(100,1,1,1), Offset, "N/F", 0, 1)/Labspeed, IDS_LAB_GODLBOXED_COUNT()))))))</f>
        <v>100986</v>
      </c>
    </row>
    <row r="18">
      <c r="A18" s="418" t="s">
        <v>315</v>
      </c>
      <c r="B18" s="399" t="str">
        <f t="shared" si="1"/>
        <v/>
      </c>
      <c r="C18" s="413">
        <f>VLOOKUP($A18,MS_Labs_Array,2,FALSE)</f>
        <v>0</v>
      </c>
      <c r="D18" s="412">
        <f>VLOOKUP($A18,MS_Labs_Array,4,FALSE)</f>
        <v>100</v>
      </c>
      <c r="E18" s="412" t="str">
        <f t="shared" si="16"/>
        <v>T21 60</v>
      </c>
      <c r="F18" s="403">
        <f t="shared" si="17"/>
        <v>0.2745014136</v>
      </c>
      <c r="G18" s="404" t="str">
        <f t="shared" si="3"/>
        <v>0d  6h 35m</v>
      </c>
      <c r="H18" s="417">
        <f t="shared" si="4"/>
        <v>796000000</v>
      </c>
      <c r="I18" s="417">
        <f t="shared" si="5"/>
        <v>1034800000</v>
      </c>
      <c r="J18" s="405" t="str">
        <f t="shared" si="6"/>
        <v>796 M</v>
      </c>
      <c r="K18" s="406" t="str">
        <f t="shared" si="7"/>
        <v>157.07 M/h</v>
      </c>
      <c r="L18" s="411">
        <f t="shared" si="8"/>
        <v>27</v>
      </c>
      <c r="M18" s="408" t="str">
        <f t="shared" si="18"/>
        <v>0d 13h 10m</v>
      </c>
      <c r="N18" s="405" t="str">
        <f t="shared" si="10"/>
        <v>1.03 B</v>
      </c>
      <c r="O18" s="411">
        <f t="shared" si="11"/>
        <v>53</v>
      </c>
      <c r="P18" s="414" t="str">
        <f>VLOOKUP($A18,MS_Labs_Array,3,FALSE)</f>
        <v/>
      </c>
      <c r="Q18" s="408">
        <f>IFERROR(__xludf.DUMMYFUNCTION("LET(
  Labspeed, IF(A18=""Labs Speed"", 1+'Master Sheet'!$BK$5, LAB_SPEED_TOTAL()),
  Match, MATCH(IF(ISNUMBER(SEARCH(""Mastery"",$A18)),""Card Mastery"",$A18),DVT_Laboratory!B$1:V$1,0)-1,
  Offset, INDEX(DVT_Laboratory!B$3:ZZ$102,,Match+1),
  Desired, IF"&amp;"(P18&lt;&gt;"""", P18,D18),
  IFS(
    Desired &gt; D18, ""Desired lvl too high"",
    AND(Desired = D18, OR(C18 = D18, C18 = ""Max"")), ""Max Level"",
    Desired = C18, ""OK Level"",
    Desired &lt; C18, ""Desired lvl too low"",
    TRUE, TO_PURE_NUMBER(
      SUM"&amp;"(
        XLOOKUP($C18 + 1, SEQUENCE(100, 1, 1, 1), Offset, ""N/F"", 0, 1): 
        XLOOKUP(Desired, SEQUENCE(100, 1, 1, 1), Offset, ""N/F"", 0, 1)
      ) / Labspeed
    ) /
    IF(AND(B18 &lt;&gt; """", $B$1 = ""All""), RIGHT(B18, 3), 1)
  )
)"),1386.33999762746)</f>
        <v>1386.339998</v>
      </c>
      <c r="R18" s="410" t="str">
        <f t="shared" si="12"/>
        <v>1386d  8h  9m</v>
      </c>
      <c r="S18" s="417">
        <f t="array" ref="S18">LET(
  Match, MATCH(IF(ISNUMBER(SEARCH("Mastery",$A18)),"Card Mastery",$A18),DVT_Laboratory!B$1:V$1,0)-1,
  Offset, OFFSET(DVT_Laboratory!C$3,0,Match,100,1),
  Desired, IF(P18&lt;&gt;"", P18,D18),
IF(Desired&gt;D18,"Desired lvl too high",
IF(AND(Desired=D18,OR(C18=D18,C18="Max")),"Max Level",
IF(Desired=C18,"OK Level",
IF(Desired&lt;C18,"Desired lvl too low",
SUM(
XLOOKUP(C18+1,SEQUENCE(100,1,1,1),Offset,"N/F",0,1)
:XLOOKUP(Desired,SEQUENCE(100,1,1,1),Offset,"N/F",0,1))*(1-LAB_COIN_DISCOUNT()))))))</f>
        <v>6.5785E+20</v>
      </c>
      <c r="T18" s="405" t="str">
        <f t="shared" si="13"/>
        <v>657.85 Q</v>
      </c>
      <c r="U18" s="406" t="str">
        <f t="shared" si="14"/>
        <v>19.77 q/h</v>
      </c>
      <c r="V18" s="411">
        <f t="array" ref="V18">LET(
  Labspeed, IF(A18 ="Labs Speed", 1+'Master Sheet'!$BK$5, LAB_SPEED_TOTAL()),
  Match, MATCH(IF(ISNUMBER(SEARCH("Mastery",$A18)),"Card Mastery",$A18),DVT_Laboratory!B$1:V$1,0)-1,
  Offset, OFFSET(DVT_Laboratory!B$3,0,Match,100,1),
  Desired, IF(P18&lt;&gt;"", P18,D18),
IF(Desired&gt;D18,"Desired lvl too high",
IF(AND(Desired=D18,OR(C18=D18,C18="Max")),"Max Level",
IF(Desired&lt;=C18,"Desired lvl too low",
SUM(TIME_TO_RUSH_GEMS(
    XLOOKUP(C18+1, SEQUENCE(100,1,1,1), Offset, "N/F", 0, 1):
    XLOOKUP(Desired, SEQUENCE(100,1,1,1), Offset, "N/F", 0, 1)/Labspeed, IDS_LAB_GODLBOXED_COUNT()))))))</f>
        <v>100986</v>
      </c>
    </row>
    <row r="19">
      <c r="A19" s="418" t="s">
        <v>322</v>
      </c>
      <c r="B19" s="399" t="str">
        <f t="shared" si="1"/>
        <v/>
      </c>
      <c r="C19" s="413">
        <f>VLOOKUP($A19,MS_Labs_Array,2,FALSE)</f>
        <v>0</v>
      </c>
      <c r="D19" s="412">
        <f>VLOOKUP($A19,MS_Labs_Array,4,FALSE)</f>
        <v>100</v>
      </c>
      <c r="E19" s="412" t="str">
        <f t="shared" si="16"/>
        <v>T21 60</v>
      </c>
      <c r="F19" s="403">
        <f t="shared" si="17"/>
        <v>0.2745014136</v>
      </c>
      <c r="G19" s="404" t="str">
        <f t="shared" si="3"/>
        <v>0d  6h 35m</v>
      </c>
      <c r="H19" s="417">
        <f t="shared" si="4"/>
        <v>796000000</v>
      </c>
      <c r="I19" s="417">
        <f t="shared" si="5"/>
        <v>1034800000</v>
      </c>
      <c r="J19" s="405" t="str">
        <f t="shared" si="6"/>
        <v>796 M</v>
      </c>
      <c r="K19" s="406" t="str">
        <f t="shared" si="7"/>
        <v>157.07 M/h</v>
      </c>
      <c r="L19" s="411">
        <f t="shared" si="8"/>
        <v>27</v>
      </c>
      <c r="M19" s="408" t="str">
        <f t="shared" si="18"/>
        <v>0d 13h 10m</v>
      </c>
      <c r="N19" s="405" t="str">
        <f t="shared" si="10"/>
        <v>1.03 B</v>
      </c>
      <c r="O19" s="411">
        <f t="shared" si="11"/>
        <v>53</v>
      </c>
      <c r="P19" s="414" t="str">
        <f>VLOOKUP($A19,MS_Labs_Array,3,FALSE)</f>
        <v/>
      </c>
      <c r="Q19" s="408">
        <f>IFERROR(__xludf.DUMMYFUNCTION("LET(
  Labspeed, IF(A19=""Labs Speed"", 1+'Master Sheet'!$BK$5, LAB_SPEED_TOTAL()),
  Match, MATCH(IF(ISNUMBER(SEARCH(""Mastery"",$A19)),""Card Mastery"",$A19),DVT_Laboratory!B$1:V$1,0)-1,
  Offset, INDEX(DVT_Laboratory!B$3:ZZ$102,,Match+1),
  Desired, IF"&amp;"(P19&lt;&gt;"""", P19,D19),
  IFS(
    Desired &gt; D19, ""Desired lvl too high"",
    AND(Desired = D19, OR(C19 = D19, C19 = ""Max"")), ""Max Level"",
    Desired = C19, ""OK Level"",
    Desired &lt; C19, ""Desired lvl too low"",
    TRUE, TO_PURE_NUMBER(
      SUM"&amp;"(
        XLOOKUP($C19 + 1, SEQUENCE(100, 1, 1, 1), Offset, ""N/F"", 0, 1): 
        XLOOKUP(Desired, SEQUENCE(100, 1, 1, 1), Offset, ""N/F"", 0, 1)
      ) / Labspeed
    ) /
    IF(AND(B19 &lt;&gt; """", $B$1 = ""All""), RIGHT(B19, 3), 1)
  )
)"),1386.33999762746)</f>
        <v>1386.339998</v>
      </c>
      <c r="R19" s="410" t="str">
        <f t="shared" si="12"/>
        <v>1386d  8h  9m</v>
      </c>
      <c r="S19" s="417">
        <f t="array" ref="S19">LET(
  Match, MATCH(IF(ISNUMBER(SEARCH("Mastery",$A19)),"Card Mastery",$A19),DVT_Laboratory!B$1:V$1,0)-1,
  Offset, OFFSET(DVT_Laboratory!C$3,0,Match,100,1),
  Desired, IF(P19&lt;&gt;"", P19,D19),
IF(Desired&gt;D19,"Desired lvl too high",
IF(AND(Desired=D19,OR(C19=D19,C19="Max")),"Max Level",
IF(Desired=C19,"OK Level",
IF(Desired&lt;C19,"Desired lvl too low",
SUM(
XLOOKUP(C19+1,SEQUENCE(100,1,1,1),Offset,"N/F",0,1)
:XLOOKUP(Desired,SEQUENCE(100,1,1,1),Offset,"N/F",0,1))*(1-LAB_COIN_DISCOUNT()))))))</f>
        <v>6.5785E+20</v>
      </c>
      <c r="T19" s="405" t="str">
        <f t="shared" si="13"/>
        <v>657.85 Q</v>
      </c>
      <c r="U19" s="406" t="str">
        <f t="shared" si="14"/>
        <v>19.77 q/h</v>
      </c>
      <c r="V19" s="411">
        <f t="array" ref="V19">LET(
  Labspeed, IF(A19 ="Labs Speed", 1+'Master Sheet'!$BK$5, LAB_SPEED_TOTAL()),
  Match, MATCH(IF(ISNUMBER(SEARCH("Mastery",$A19)),"Card Mastery",$A19),DVT_Laboratory!B$1:V$1,0)-1,
  Offset, OFFSET(DVT_Laboratory!B$3,0,Match,100,1),
  Desired, IF(P19&lt;&gt;"", P19,D19),
IF(Desired&gt;D19,"Desired lvl too high",
IF(AND(Desired=D19,OR(C19=D19,C19="Max")),"Max Level",
IF(Desired&lt;=C19,"Desired lvl too low",
SUM(TIME_TO_RUSH_GEMS(
    XLOOKUP(C19+1, SEQUENCE(100,1,1,1), Offset, "N/F", 0, 1):
    XLOOKUP(Desired, SEQUENCE(100,1,1,1), Offset, "N/F", 0, 1)/Labspeed, IDS_LAB_GODLBOXED_COUNT()))))))</f>
        <v>100986</v>
      </c>
    </row>
    <row r="20">
      <c r="A20" s="419" t="s">
        <v>155</v>
      </c>
      <c r="B20" s="420" t="str">
        <f t="shared" si="1"/>
        <v/>
      </c>
      <c r="C20" s="421">
        <f>VLOOKUP($A20,MS_Labs_Array,2,FALSE)</f>
        <v>69</v>
      </c>
      <c r="D20" s="422">
        <f>VLOOKUP($A20,MS_Labs_Array,4,FALSE)</f>
        <v>100</v>
      </c>
      <c r="E20" s="423"/>
      <c r="F20" s="424">
        <f t="shared" si="17"/>
        <v>5.394173438</v>
      </c>
      <c r="G20" s="425" t="str">
        <f t="shared" si="3"/>
        <v>5d  9h 27m</v>
      </c>
      <c r="H20" s="426">
        <f t="shared" si="4"/>
        <v>1273600</v>
      </c>
      <c r="I20" s="426">
        <f t="shared" si="5"/>
        <v>1321360</v>
      </c>
      <c r="J20" s="426" t="str">
        <f t="shared" si="6"/>
        <v>1.27 M</v>
      </c>
      <c r="K20" s="427" t="str">
        <f t="shared" si="7"/>
        <v>10.21 K/h</v>
      </c>
      <c r="L20" s="428">
        <f t="shared" si="8"/>
        <v>452</v>
      </c>
      <c r="M20" s="429" t="str">
        <f t="shared" si="18"/>
        <v>5d 13h 58m</v>
      </c>
      <c r="N20" s="426" t="str">
        <f t="shared" si="10"/>
        <v>1.32 M</v>
      </c>
      <c r="O20" s="428">
        <f t="shared" si="11"/>
        <v>467</v>
      </c>
      <c r="P20" s="430" t="str">
        <f>VLOOKUP($A20,MS_Labs_Array,3,FALSE)</f>
        <v/>
      </c>
      <c r="Q20" s="429">
        <f>IFERROR(__xludf.DUMMYFUNCTION("LET(
  Labspeed, IF(A20=""Labs Speed"", 1+'Master Sheet'!$BK$5, LAB_SPEED_TOTAL()),
  Match, MATCH(IF(ISNUMBER(SEARCH(""Mastery"",$A20)),""Card Mastery"",$A20),DVT_Laboratory!B$1:V$1,0)-1,
  Offset, INDEX(DVT_Laboratory!B$3:ZZ$102,,Match+1),
  Desired, IF"&amp;"(P20&lt;&gt;"""", P20,D20),
  IFS(
    Desired &gt; D20, ""Desired lvl too high"",
    AND(Desired = D20, OR(C20 = D20, C20 = ""Max"")), ""Max Level"",
    Desired = C20, ""OK Level"",
    Desired &lt; C20, ""Desired lvl too low"",
    TRUE, TO_PURE_NUMBER(
      SUM"&amp;"(
        XLOOKUP($C20 + 1, SEQUENCE(100, 1, 1, 1), Offset, ""N/F"", 0, 1): 
        XLOOKUP(Desired, SEQUENCE(100, 1, 1, 1), Offset, ""N/F"", 0, 1)
      ) / Labspeed
    ) /
    IF(AND(B20 &lt;&gt; """", $B$1 = ""All""), RIGHT(B20, 3), 1)
  )
)"),272.4342679444486)</f>
        <v>272.4342679</v>
      </c>
      <c r="R20" s="425" t="str">
        <f t="shared" si="12"/>
        <v>272d 10h 25m</v>
      </c>
      <c r="S20" s="426">
        <f t="array" ref="S20">LET(
  Match, MATCH(IF(ISNUMBER(SEARCH("Mastery",$A20)),"Card Mastery",$A20),DVT_Laboratory!B$1:V$1,0)-1,
  Offset, OFFSET(DVT_Laboratory!C$3,0,Match,100,1),
  Desired, IF(P20&lt;&gt;"", P20,D20),
IF(Desired&gt;D20,"Desired lvl too high",
IF(AND(Desired=D20,OR(C20=D20,C20="Max")),"Max Level",
IF(Desired=C20,"OK Level",
IF(Desired&lt;C20,"Desired lvl too low",
SUM(
XLOOKUP(C20+1,SEQUENCE(100,1,1,1),Offset,"N/F",0,1)
:XLOOKUP(Desired,SEQUENCE(100,1,1,1),Offset,"N/F",0,1))*(1-LAB_COIN_DISCOUNT()))))))</f>
        <v>69554480</v>
      </c>
      <c r="T20" s="426" t="str">
        <f t="shared" si="13"/>
        <v>69.55 M</v>
      </c>
      <c r="U20" s="427" t="str">
        <f t="shared" si="14"/>
        <v>10.64 K/h</v>
      </c>
      <c r="V20" s="428">
        <f t="array" ref="V20">LET(
  Labspeed, IF(A20 ="Labs Speed", 1+'Master Sheet'!$BK$5, LAB_SPEED_TOTAL()),
  Match, MATCH(IF(ISNUMBER(SEARCH("Mastery",$A20)),"Card Mastery",$A20),DVT_Laboratory!B$1:V$1,0)-1,
  Offset, OFFSET(DVT_Laboratory!B$3,0,Match,100,1),
  Desired, IF(P20&lt;&gt;"", P20,D20),
IF(Desired&gt;D20,"Desired lvl too high",
IF(AND(Desired=D20,OR(C20=D20,C20="Max")),"Max Level",
IF(Desired&lt;=C20,"Desired lvl too low",
SUM(TIME_TO_RUSH_GEMS(
    XLOOKUP(C20+1, SEQUENCE(100,1,1,1), Offset, "N/F", 0, 1):
    XLOOKUP(Desired, SEQUENCE(100,1,1,1), Offset, "N/F", 0, 1)/Labspeed, IDS_LAB_GODLBOXED_COUNT()))))))</f>
        <v>21493</v>
      </c>
    </row>
    <row r="21">
      <c r="A21" s="419" t="s">
        <v>170</v>
      </c>
      <c r="B21" s="420" t="str">
        <f t="shared" si="1"/>
        <v/>
      </c>
      <c r="C21" s="431">
        <f>VLOOKUP($A21,MS_Labs_Array,2,FALSE)</f>
        <v>75</v>
      </c>
      <c r="D21" s="422">
        <f>VLOOKUP($A21,MS_Labs_Array,4,FALSE)</f>
        <v>99</v>
      </c>
      <c r="E21" s="423"/>
      <c r="F21" s="424">
        <f t="shared" si="17"/>
        <v>6.580972798</v>
      </c>
      <c r="G21" s="425" t="str">
        <f t="shared" si="3"/>
        <v>6d 13h 56m</v>
      </c>
      <c r="H21" s="426">
        <f t="shared" si="4"/>
        <v>1599960</v>
      </c>
      <c r="I21" s="426">
        <f t="shared" si="5"/>
        <v>1655680</v>
      </c>
      <c r="J21" s="426" t="str">
        <f t="shared" si="6"/>
        <v>1.6 M</v>
      </c>
      <c r="K21" s="427" t="str">
        <f t="shared" si="7"/>
        <v>10.48 K/h</v>
      </c>
      <c r="L21" s="428">
        <f t="shared" si="8"/>
        <v>548</v>
      </c>
      <c r="M21" s="429" t="str">
        <f t="shared" si="18"/>
        <v>6d 19h  1m</v>
      </c>
      <c r="N21" s="426" t="str">
        <f t="shared" si="10"/>
        <v>1.66 M</v>
      </c>
      <c r="O21" s="428">
        <f t="shared" si="11"/>
        <v>565</v>
      </c>
      <c r="P21" s="432" t="str">
        <f>VLOOKUP($A21,MS_Labs_Array,3,FALSE)</f>
        <v/>
      </c>
      <c r="Q21" s="429">
        <f>IFERROR(__xludf.DUMMYFUNCTION("LET(
  Labspeed, IF(A21=""Labs Speed"", 1+'Master Sheet'!$BK$5, LAB_SPEED_TOTAL()),
  Match, MATCH(IF(ISNUMBER(SEARCH(""Mastery"",$A21)),""Card Mastery"",$A21),DVT_Laboratory!B$1:V$1,0)-1,
  Offset, INDEX(DVT_Laboratory!B$3:ZZ$102,,Match+1),
  Desired, IF"&amp;"(P21&lt;&gt;"""", P21,D21),
  IFS(
    Desired &gt; D21, ""Desired lvl too high"",
    AND(Desired = D21, OR(C21 = D21, C21 = ""Max"")), ""Max Level"",
    Desired = C21, ""OK Level"",
    Desired &lt; C21, ""Desired lvl too low"",
    TRUE, TO_PURE_NUMBER(
      SUM"&amp;"(
        XLOOKUP($C21 + 1, SEQUENCE(100, 1, 1, 1), Offset, ""N/F"", 0, 1): 
        XLOOKUP(Desired, SEQUENCE(100, 1, 1, 1), Offset, ""N/F"", 0, 1)
      ) / Labspeed
    ) /
    IF(AND(B21 &lt;&gt; """", $B$1 = ""All""), RIGHT(B21, 3), 1)
  )
)"),224.39669708601303)</f>
        <v>224.3966971</v>
      </c>
      <c r="R21" s="425" t="str">
        <f t="shared" si="12"/>
        <v>224d  9h 31m</v>
      </c>
      <c r="S21" s="426">
        <f t="array" ref="S21">LET(
  Match, MATCH(IF(ISNUMBER(SEARCH("Mastery",$A21)),"Card Mastery",$A21),DVT_Laboratory!B$1:V$1,0)-1,
  Offset, OFFSET(DVT_Laboratory!C$3,0,Match,100,1),
  Desired, IF(P21&lt;&gt;"", P21,D21),
IF(Desired&gt;D21,"Desired lvl too high",
IF(AND(Desired=D21,OR(C21=D21,C21="Max")),"Max Level",
IF(Desired=C21,"OK Level",
IF(Desired&lt;C21,"Desired lvl too low",
SUM(
XLOOKUP(C21+1,SEQUENCE(100,1,1,1),Offset,"N/F",0,1)
:XLOOKUP(Desired,SEQUENCE(100,1,1,1),Offset,"N/F",0,1))*(1-LAB_COIN_DISCOUNT()))))))</f>
        <v>57686120</v>
      </c>
      <c r="T21" s="426" t="str">
        <f t="shared" si="13"/>
        <v>57.69 M</v>
      </c>
      <c r="U21" s="427" t="str">
        <f t="shared" si="14"/>
        <v>10.71 K/h</v>
      </c>
      <c r="V21" s="428">
        <f t="array" ref="V21">LET(
  Labspeed, IF(A21 ="Labs Speed", 1+'Master Sheet'!$BK$5, LAB_SPEED_TOTAL()),
  Match, MATCH(IF(ISNUMBER(SEARCH("Mastery",$A21)),"Card Mastery",$A21),DVT_Laboratory!B$1:V$1,0)-1,
  Offset, OFFSET(DVT_Laboratory!B$3,0,Match,100,1),
  Desired, IF(P21&lt;&gt;"", P21,D21),
IF(Desired&gt;D21,"Desired lvl too high",
IF(AND(Desired=D21,OR(C21=D21,C21="Max")),"Max Level",
IF(Desired&lt;=C21,"Desired lvl too low",
SUM(TIME_TO_RUSH_GEMS(
    XLOOKUP(C21+1, SEQUENCE(100,1,1,1), Offset, "N/F", 0, 1):
    XLOOKUP(Desired, SEQUENCE(100,1,1,1), Offset, "N/F", 0, 1)/Labspeed, IDS_LAB_GODLBOXED_COUNT()))))))</f>
        <v>17593</v>
      </c>
    </row>
    <row r="22">
      <c r="A22" s="419" t="s">
        <v>181</v>
      </c>
      <c r="B22" s="420" t="str">
        <f t="shared" si="1"/>
        <v/>
      </c>
      <c r="C22" s="421">
        <f>VLOOKUP($A22,MS_Labs_Array,2,FALSE)</f>
        <v>83</v>
      </c>
      <c r="D22" s="422">
        <f>VLOOKUP($A22,MS_Labs_Array,4,FALSE)</f>
        <v>99</v>
      </c>
      <c r="E22" s="423"/>
      <c r="F22" s="424">
        <f t="shared" si="17"/>
        <v>8.382266962</v>
      </c>
      <c r="G22" s="425" t="str">
        <f t="shared" si="3"/>
        <v>8d  9h 10m</v>
      </c>
      <c r="H22" s="426">
        <f t="shared" si="4"/>
        <v>2109400</v>
      </c>
      <c r="I22" s="426">
        <f t="shared" si="5"/>
        <v>2181040</v>
      </c>
      <c r="J22" s="426" t="str">
        <f t="shared" si="6"/>
        <v>2.11 M</v>
      </c>
      <c r="K22" s="427" t="str">
        <f t="shared" si="7"/>
        <v>10.84 K/h</v>
      </c>
      <c r="L22" s="428">
        <f t="shared" si="8"/>
        <v>671</v>
      </c>
      <c r="M22" s="429" t="str">
        <f t="shared" si="18"/>
        <v>8d 15h  0m</v>
      </c>
      <c r="N22" s="426" t="str">
        <f t="shared" si="10"/>
        <v>2.18 M</v>
      </c>
      <c r="O22" s="428">
        <f t="shared" si="11"/>
        <v>687</v>
      </c>
      <c r="P22" s="430" t="str">
        <f>VLOOKUP($A22,MS_Labs_Array,3,FALSE)</f>
        <v/>
      </c>
      <c r="Q22" s="429">
        <f>IFERROR(__xludf.DUMMYFUNCTION("LET(
  Labspeed, IF(A22=""Labs Speed"", 1+'Master Sheet'!$BK$5, LAB_SPEED_TOTAL()),
  Match, MATCH(IF(ISNUMBER(SEARCH(""Mastery"",$A22)),""Card Mastery"",$A22),DVT_Laboratory!B$1:V$1,0)-1,
  Offset, INDEX(DVT_Laboratory!B$3:ZZ$102,,Match+1),
  Desired, IF"&amp;"(P22&lt;&gt;"""", P22,D22),
  IFS(
    Desired &gt; D22, ""Desired lvl too high"",
    AND(Desired = D22, OR(C22 = D22, C22 = ""Max"")), ""Max Level"",
    Desired = C22, ""OK Level"",
    Desired &lt; C22, ""Desired lvl too low"",
    TRUE, TO_PURE_NUMBER(
      SUM"&amp;"(
        XLOOKUP($C22 + 1, SEQUENCE(100, 1, 1, 1), Offset, ""N/F"", 0, 1): 
        XLOOKUP(Desired, SEQUENCE(100, 1, 1, 1), Offset, ""N/F"", 0, 1)
      ) / Labspeed
    ) /
    IF(AND(B22 &lt;&gt; """", $B$1 = ""All""), RIGHT(B22, 3), 1)
  )
)"),165.61120431802198)</f>
        <v>165.6112043</v>
      </c>
      <c r="R22" s="425" t="str">
        <f t="shared" si="12"/>
        <v>165d 14h 40m</v>
      </c>
      <c r="S22" s="426">
        <f t="array" ref="S22">LET(
  Match, MATCH(IF(ISNUMBER(SEARCH("Mastery",$A22)),"Card Mastery",$A22),DVT_Laboratory!B$1:V$1,0)-1,
  Offset, OFFSET(DVT_Laboratory!C$3,0,Match,100,1),
  Desired, IF(P22&lt;&gt;"", P22,D22),
IF(Desired&gt;D22,"Desired lvl too high",
IF(AND(Desired=D22,OR(C22=D22,C22="Max")),"Max Level",
IF(Desired=C22,"OK Level",
IF(Desired&lt;C22,"Desired lvl too low",
SUM(
XLOOKUP(C22+1,SEQUENCE(100,1,1,1),Offset,"N/F",0,1)
:XLOOKUP(Desired,SEQUENCE(100,1,1,1),Offset,"N/F",0,1))*(1-LAB_COIN_DISCOUNT()))))))</f>
        <v>43151160</v>
      </c>
      <c r="T22" s="426" t="str">
        <f t="shared" si="13"/>
        <v>43.15 M</v>
      </c>
      <c r="U22" s="427" t="str">
        <f t="shared" si="14"/>
        <v>10.86 K/h</v>
      </c>
      <c r="V22" s="428">
        <f t="array" ref="V22">LET(
  Labspeed, IF(A22 ="Labs Speed", 1+'Master Sheet'!$BK$5, LAB_SPEED_TOTAL()),
  Match, MATCH(IF(ISNUMBER(SEARCH("Mastery",$A22)),"Card Mastery",$A22),DVT_Laboratory!B$1:V$1,0)-1,
  Offset, OFFSET(DVT_Laboratory!B$3,0,Match,100,1),
  Desired, IF(P22&lt;&gt;"", P22,D22),
IF(Desired&gt;D22,"Desired lvl too high",
IF(AND(Desired=D22,OR(C22=D22,C22="Max")),"Max Level",
IF(Desired&lt;=C22,"Desired lvl too low",
SUM(TIME_TO_RUSH_GEMS(
    XLOOKUP(C22+1, SEQUENCE(100,1,1,1), Offset, "N/F", 0, 1):
    XLOOKUP(Desired, SEQUENCE(100,1,1,1), Offset, "N/F", 0, 1)/Labspeed, IDS_LAB_GODLBOXED_COUNT()))))))</f>
        <v>12768</v>
      </c>
    </row>
    <row r="23">
      <c r="A23" s="419" t="s">
        <v>195</v>
      </c>
      <c r="B23" s="420" t="str">
        <f t="shared" si="1"/>
        <v/>
      </c>
      <c r="C23" s="421">
        <f>VLOOKUP($A23,MS_Labs_Array,2,FALSE)</f>
        <v>33</v>
      </c>
      <c r="D23" s="422">
        <f>VLOOKUP($A23,MS_Labs_Array,4,FALSE)</f>
        <v>80</v>
      </c>
      <c r="E23" s="433" t="str">
        <f t="shared" ref="E23:E28" si="19">DVT_LAB_UNLOCK_AT(A23)</f>
        <v>T2 30</v>
      </c>
      <c r="F23" s="424">
        <f t="shared" si="17"/>
        <v>0.9373649559</v>
      </c>
      <c r="G23" s="425" t="str">
        <f t="shared" si="3"/>
        <v>0d 22h 29m</v>
      </c>
      <c r="H23" s="426">
        <f t="shared" si="4"/>
        <v>167820.68</v>
      </c>
      <c r="I23" s="426">
        <f t="shared" si="5"/>
        <v>182140.72</v>
      </c>
      <c r="J23" s="426" t="str">
        <f t="shared" si="6"/>
        <v>167.82 K</v>
      </c>
      <c r="K23" s="427" t="str">
        <f t="shared" si="7"/>
        <v>8.1 K/h</v>
      </c>
      <c r="L23" s="428">
        <f t="shared" si="8"/>
        <v>89</v>
      </c>
      <c r="M23" s="429" t="str">
        <f t="shared" si="18"/>
        <v>1d  0h  8m</v>
      </c>
      <c r="N23" s="426" t="str">
        <f t="shared" si="10"/>
        <v>182.14 K</v>
      </c>
      <c r="O23" s="428">
        <f t="shared" si="11"/>
        <v>96</v>
      </c>
      <c r="P23" s="430" t="str">
        <f>VLOOKUP($A23,MS_Labs_Array,3,FALSE)</f>
        <v/>
      </c>
      <c r="Q23" s="429">
        <f>IFERROR(__xludf.DUMMYFUNCTION("LET(
  Labspeed, IF(A23=""Labs Speed"", 1+'Master Sheet'!$BK$5, LAB_SPEED_TOTAL()),
  Match, MATCH(IF(ISNUMBER(SEARCH(""Mastery"",$A23)),""Card Mastery"",$A23),DVT_Laboratory!B$1:V$1,0)-1,
  Offset, INDEX(DVT_Laboratory!B$3:ZZ$102,,Match+1),
  Desired, IF"&amp;"(P23&lt;&gt;"""", P23,D23),
  IFS(
    Desired &gt; D23, ""Desired lvl too high"",
    AND(Desired = D23, OR(C23 = D23, C23 = ""Max"")), ""Max Level"",
    Desired = C23, ""OK Level"",
    Desired &lt; C23, ""Desired lvl too low"",
    TRUE, TO_PURE_NUMBER(
      SUM"&amp;"(
        XLOOKUP($C23 + 1, SEQUENCE(100, 1, 1, 1), Offset, ""N/F"", 0, 1): 
        XLOOKUP(Desired, SEQUENCE(100, 1, 1, 1), Offset, ""N/F"", 0, 1)
      ) / Labspeed
    ) /
    IF(AND(B23 &lt;&gt; """", $B$1 = ""All""), RIGHT(B23, 3), 1)
  )
)"),169.14371093430043)</f>
        <v>169.1437109</v>
      </c>
      <c r="R23" s="425" t="str">
        <f t="shared" si="12"/>
        <v>169d  3h 26m</v>
      </c>
      <c r="S23" s="426">
        <f t="array" ref="S23">LET(
  Match, MATCH(IF(ISNUMBER(SEARCH("Mastery",$A23)),"Card Mastery",$A23),DVT_Laboratory!B$1:V$1,0)-1,
  Offset, OFFSET(DVT_Laboratory!C$3,0,Match,100,1),
  Desired, IF(P23&lt;&gt;"", P23,D23),
IF(Desired&gt;D23,"Desired lvl too high",
IF(AND(Desired=D23,OR(C23=D23,C23="Max")),"Max Level",
IF(Desired=C23,"OK Level",
IF(Desired&lt;C23,"Desired lvl too low",
SUM(
XLOOKUP(C23+1,SEQUENCE(100,1,1,1),Offset,"N/F",0,1)
:XLOOKUP(Desired,SEQUENCE(100,1,1,1),Offset,"N/F",0,1))*(1-LAB_COIN_DISCOUNT()))))))</f>
        <v>38428452.2</v>
      </c>
      <c r="T23" s="426" t="str">
        <f t="shared" si="13"/>
        <v>38.43 M</v>
      </c>
      <c r="U23" s="427" t="str">
        <f t="shared" si="14"/>
        <v>9.47 K/h</v>
      </c>
      <c r="V23" s="428">
        <f t="array" ref="V23">LET(
  Labspeed, IF(A23 ="Labs Speed", 1+'Master Sheet'!$BK$5, LAB_SPEED_TOTAL()),
  Match, MATCH(IF(ISNUMBER(SEARCH("Mastery",$A23)),"Card Mastery",$A23),DVT_Laboratory!B$1:V$1,0)-1,
  Offset, OFFSET(DVT_Laboratory!B$3,0,Match,100,1),
  Desired, IF(P23&lt;&gt;"", P23,D23),
IF(Desired&gt;D23,"Desired lvl too high",
IF(AND(Desired=D23,OR(C23=D23,C23="Max")),"Max Level",
IF(Desired&lt;=C23,"Desired lvl too low",
SUM(TIME_TO_RUSH_GEMS(
    XLOOKUP(C23+1, SEQUENCE(100,1,1,1), Offset, "N/F", 0, 1):
    XLOOKUP(Desired, SEQUENCE(100,1,1,1), Offset, "N/F", 0, 1)/Labspeed, IDS_LAB_GODLBOXED_COUNT()))))))</f>
        <v>14372</v>
      </c>
    </row>
    <row r="24">
      <c r="A24" s="419" t="s">
        <v>216</v>
      </c>
      <c r="B24" s="420" t="str">
        <f t="shared" si="1"/>
        <v/>
      </c>
      <c r="C24" s="421">
        <f>VLOOKUP($A24,MS_Labs_Array,2,FALSE)</f>
        <v>16</v>
      </c>
      <c r="D24" s="422">
        <f>VLOOKUP($A24,MS_Labs_Array,4,FALSE)</f>
        <v>99</v>
      </c>
      <c r="E24" s="433" t="str">
        <f t="shared" si="19"/>
        <v>T3 30</v>
      </c>
      <c r="F24" s="424">
        <f t="shared" si="17"/>
        <v>0.1738803167</v>
      </c>
      <c r="G24" s="425" t="str">
        <f t="shared" si="3"/>
        <v>0d  4h 10m</v>
      </c>
      <c r="H24" s="426">
        <f t="shared" si="4"/>
        <v>23195.44</v>
      </c>
      <c r="I24" s="426">
        <f t="shared" si="5"/>
        <v>27358.52</v>
      </c>
      <c r="J24" s="426" t="str">
        <f t="shared" si="6"/>
        <v>23.2 K</v>
      </c>
      <c r="K24" s="427" t="str">
        <f t="shared" si="7"/>
        <v>6.56 K/h</v>
      </c>
      <c r="L24" s="428">
        <f t="shared" si="8"/>
        <v>17</v>
      </c>
      <c r="M24" s="429" t="str">
        <f t="shared" si="18"/>
        <v>0d  4h 47m</v>
      </c>
      <c r="N24" s="426" t="str">
        <f t="shared" si="10"/>
        <v>27.36 K</v>
      </c>
      <c r="O24" s="428">
        <f t="shared" si="11"/>
        <v>20</v>
      </c>
      <c r="P24" s="430" t="str">
        <f>VLOOKUP($A24,MS_Labs_Array,3,FALSE)</f>
        <v/>
      </c>
      <c r="Q24" s="429">
        <f>IFERROR(__xludf.DUMMYFUNCTION("LET(
  Labspeed, IF(A24=""Labs Speed"", 1+'Master Sheet'!$BK$5, LAB_SPEED_TOTAL()),
  Match, MATCH(IF(ISNUMBER(SEARCH(""Mastery"",$A24)),""Card Mastery"",$A24),DVT_Laboratory!B$1:V$1,0)-1,
  Offset, INDEX(DVT_Laboratory!B$3:ZZ$102,,Match+1),
  Desired, IF"&amp;"(P24&lt;&gt;"""", P24,D24),
  IFS(
    Desired &gt; D24, ""Desired lvl too high"",
    AND(Desired = D24, OR(C24 = D24, C24 = ""Max"")), ""Max Level"",
    Desired = C24, ""OK Level"",
    Desired &lt; C24, ""Desired lvl too low"",
    TRUE, TO_PURE_NUMBER(
      SUM"&amp;"(
        XLOOKUP($C24 + 1, SEQUENCE(100, 1, 1, 1), Offset, ""N/F"", 0, 1): 
        XLOOKUP(Desired, SEQUENCE(100, 1, 1, 1), Offset, ""N/F"", 0, 1)
      ) / Labspeed
    ) /
    IF(AND(B24 &lt;&gt; """", $B$1 = ""All""), RIGHT(B24, 3), 1)
  )
)"),366.53600046321014)</f>
        <v>366.5360005</v>
      </c>
      <c r="R24" s="425" t="str">
        <f t="shared" si="12"/>
        <v>366d 12h 51m</v>
      </c>
      <c r="S24" s="426">
        <f t="array" ref="S24">LET(
  Match, MATCH(IF(ISNUMBER(SEARCH("Mastery",$A24)),"Card Mastery",$A24),DVT_Laboratory!B$1:V$1,0)-1,
  Offset, OFFSET(DVT_Laboratory!C$3,0,Match,100,1),
  Desired, IF(P24&lt;&gt;"", P24,D24),
IF(Desired&gt;D24,"Desired lvl too high",
IF(AND(Desired=D24,OR(C24=D24,C24="Max")),"Max Level",
IF(Desired=C24,"OK Level",
IF(Desired&lt;C24,"Desired lvl too low",
SUM(
XLOOKUP(C24+1,SEQUENCE(100,1,1,1),Offset,"N/F",0,1)
:XLOOKUP(Desired,SEQUENCE(100,1,1,1),Offset,"N/F",0,1))*(1-LAB_COIN_DISCOUNT()))))))</f>
        <v>88821039.12</v>
      </c>
      <c r="T24" s="426" t="str">
        <f t="shared" si="13"/>
        <v>88.82 M</v>
      </c>
      <c r="U24" s="427" t="str">
        <f t="shared" si="14"/>
        <v>10.1 K/h</v>
      </c>
      <c r="V24" s="428">
        <f t="array" ref="V24">LET(
  Labspeed, IF(A24 ="Labs Speed", 1+'Master Sheet'!$BK$5, LAB_SPEED_TOTAL()),
  Match, MATCH(IF(ISNUMBER(SEARCH("Mastery",$A24)),"Card Mastery",$A24),DVT_Laboratory!B$1:V$1,0)-1,
  Offset, OFFSET(DVT_Laboratory!B$3,0,Match,100,1),
  Desired, IF(P24&lt;&gt;"", P24,D24),
IF(Desired&gt;D24,"Desired lvl too high",
IF(AND(Desired=D24,OR(C24=D24,C24="Max")),"Max Level",
IF(Desired&lt;=C24,"Desired lvl too low",
SUM(TIME_TO_RUSH_GEMS(
    XLOOKUP(C24+1, SEQUENCE(100,1,1,1), Offset, "N/F", 0, 1):
    XLOOKUP(Desired, SEQUENCE(100,1,1,1), Offset, "N/F", 0, 1)/Labspeed, IDS_LAB_GODLBOXED_COUNT()))))))</f>
        <v>29836</v>
      </c>
    </row>
    <row r="25">
      <c r="A25" s="419" t="s">
        <v>228</v>
      </c>
      <c r="B25" s="420" t="str">
        <f t="shared" si="1"/>
        <v/>
      </c>
      <c r="C25" s="421">
        <f>VLOOKUP($A25,MS_Labs_Array,2,FALSE)</f>
        <v>9</v>
      </c>
      <c r="D25" s="422">
        <f>VLOOKUP($A25,MS_Labs_Array,4,FALSE)</f>
        <v>50</v>
      </c>
      <c r="E25" s="433" t="str">
        <f t="shared" si="19"/>
        <v>T5 200</v>
      </c>
      <c r="F25" s="424">
        <f t="shared" si="17"/>
        <v>3.715036817</v>
      </c>
      <c r="G25" s="425" t="str">
        <f t="shared" si="3"/>
        <v>3d 17h  9m</v>
      </c>
      <c r="H25" s="426">
        <f t="shared" si="4"/>
        <v>25901840</v>
      </c>
      <c r="I25" s="426">
        <f t="shared" si="5"/>
        <v>41646720</v>
      </c>
      <c r="J25" s="426" t="str">
        <f t="shared" si="6"/>
        <v>25.9 M</v>
      </c>
      <c r="K25" s="427" t="str">
        <f t="shared" si="7"/>
        <v>467.1 K/h</v>
      </c>
      <c r="L25" s="428">
        <f t="shared" si="8"/>
        <v>315</v>
      </c>
      <c r="M25" s="429" t="str">
        <f t="shared" si="18"/>
        <v>5d  0h 42m</v>
      </c>
      <c r="N25" s="426" t="str">
        <f t="shared" si="10"/>
        <v>41.65 M</v>
      </c>
      <c r="O25" s="428">
        <f t="shared" si="11"/>
        <v>422</v>
      </c>
      <c r="P25" s="430" t="str">
        <f>VLOOKUP($A25,MS_Labs_Array,3,FALSE)</f>
        <v/>
      </c>
      <c r="Q25" s="429">
        <f>IFERROR(__xludf.DUMMYFUNCTION("LET(
  Labspeed, IF(A25=""Labs Speed"", 1+'Master Sheet'!$BK$5, LAB_SPEED_TOTAL()),
  Match, MATCH(IF(ISNUMBER(SEARCH(""Mastery"",$A25)),""Card Mastery"",$A25),DVT_Laboratory!B$1:V$1,0)-1,
  Offset, INDEX(DVT_Laboratory!B$3:ZZ$102,,Match+1),
  Desired, IF"&amp;"(P25&lt;&gt;"""", P25,D25),
  IFS(
    Desired &gt; D25, ""Desired lvl too high"",
    AND(Desired = D25, OR(C25 = D25, C25 = ""Max"")), ""Max Level"",
    Desired = C25, ""OK Level"",
    Desired &lt; C25, ""Desired lvl too low"",
    TRUE, TO_PURE_NUMBER(
      SUM"&amp;"(
        XLOOKUP($C25 + 1, SEQUENCE(100, 1, 1, 1), Offset, ""N/F"", 0, 1): 
        XLOOKUP(Desired, SEQUENCE(100, 1, 1, 1), Offset, ""N/F"", 0, 1)
      ) / Labspeed
    ) /
    IF(AND(B25 &lt;&gt; """", $B$1 = ""All""), RIGHT(B25, 3), 1)
  )
)"),25861.23397476634)</f>
        <v>25861.23397</v>
      </c>
      <c r="R25" s="425" t="str">
        <f t="shared" si="12"/>
        <v>25861d  5h 36m</v>
      </c>
      <c r="S25" s="426">
        <f t="array" ref="S25">LET(
  Match, MATCH(IF(ISNUMBER(SEARCH("Mastery",$A25)),"Card Mastery",$A25),DVT_Laboratory!B$1:V$1,0)-1,
  Offset, OFFSET(DVT_Laboratory!C$3,0,Match,100,1),
  Desired, IF(P25&lt;&gt;"", P25,D25),
IF(Desired&gt;D25,"Desired lvl too high",
IF(AND(Desired=D25,OR(C25=D25,C25="Max")),"Max Level",
IF(Desired=C25,"OK Level",
IF(Desired&lt;C25,"Desired lvl too low",
SUM(
XLOOKUP(C25+1,SEQUENCE(100,1,1,1),Offset,"N/F",0,1)
:XLOOKUP(Desired,SEQUENCE(100,1,1,1),Offset,"N/F",0,1))*(1-LAB_COIN_DISCOUNT()))))))</f>
        <v>637051599680</v>
      </c>
      <c r="T25" s="426" t="str">
        <f t="shared" si="13"/>
        <v>637.05 B</v>
      </c>
      <c r="U25" s="427" t="str">
        <f t="shared" si="14"/>
        <v>1.03 M/h</v>
      </c>
      <c r="V25" s="428">
        <f t="array" ref="V25">LET(
  Labspeed, IF(A25 ="Labs Speed", 1+'Master Sheet'!$BK$5, LAB_SPEED_TOTAL()),
  Match, MATCH(IF(ISNUMBER(SEARCH("Mastery",$A25)),"Card Mastery",$A25),DVT_Laboratory!B$1:V$1,0)-1,
  Offset, OFFSET(DVT_Laboratory!B$3,0,Match,100,1),
  Desired, IF(P25&lt;&gt;"", P25,D25),
IF(Desired&gt;D25,"Desired lvl too high",
IF(AND(Desired=D25,OR(C25=D25,C25="Max")),"Max Level",
IF(Desired&lt;=C25,"Desired lvl too low",
SUM(TIME_TO_RUSH_GEMS(
    XLOOKUP(C25+1, SEQUENCE(100,1,1,1), Offset, "N/F", 0, 1):
    XLOOKUP(Desired, SEQUENCE(100,1,1,1), Offset, "N/F", 0, 1)/Labspeed, IDS_LAB_GODLBOXED_COUNT()))))))</f>
        <v>375856</v>
      </c>
    </row>
    <row r="26">
      <c r="A26" s="419" t="s">
        <v>239</v>
      </c>
      <c r="B26" s="420" t="str">
        <f t="shared" si="1"/>
        <v/>
      </c>
      <c r="C26" s="421">
        <f>VLOOKUP($A26,MS_Labs_Array,2,FALSE)</f>
        <v>13</v>
      </c>
      <c r="D26" s="422">
        <f>VLOOKUP($A26,MS_Labs_Array,4,FALSE)</f>
        <v>40</v>
      </c>
      <c r="E26" s="433" t="str">
        <f t="shared" si="19"/>
        <v>T5 200</v>
      </c>
      <c r="F26" s="424">
        <f t="shared" si="17"/>
        <v>8.088700498</v>
      </c>
      <c r="G26" s="425" t="str">
        <f t="shared" si="3"/>
        <v>8d  2h  7m</v>
      </c>
      <c r="H26" s="426">
        <f t="shared" si="4"/>
        <v>139140800</v>
      </c>
      <c r="I26" s="426">
        <f t="shared" si="5"/>
        <v>196349320</v>
      </c>
      <c r="J26" s="426" t="str">
        <f t="shared" si="6"/>
        <v>139.14 M</v>
      </c>
      <c r="K26" s="427" t="str">
        <f t="shared" si="7"/>
        <v>1.01 M/h</v>
      </c>
      <c r="L26" s="428">
        <f t="shared" si="8"/>
        <v>652</v>
      </c>
      <c r="M26" s="429" t="str">
        <f t="shared" si="18"/>
        <v>10d  6h 22m</v>
      </c>
      <c r="N26" s="426" t="str">
        <f t="shared" si="10"/>
        <v>196.35 M</v>
      </c>
      <c r="O26" s="428">
        <f t="shared" si="11"/>
        <v>792</v>
      </c>
      <c r="P26" s="430" t="str">
        <f>VLOOKUP($A26,MS_Labs_Array,3,FALSE)</f>
        <v/>
      </c>
      <c r="Q26" s="429">
        <f>IFERROR(__xludf.DUMMYFUNCTION("LET(
  Labspeed, IF(A26=""Labs Speed"", 1+'Master Sheet'!$BK$5, LAB_SPEED_TOTAL()),
  Match, MATCH(IF(ISNUMBER(SEARCH(""Mastery"",$A26)),""Card Mastery"",$A26),DVT_Laboratory!B$1:V$1,0)-1,
  Offset, INDEX(DVT_Laboratory!B$3:ZZ$102,,Match+1),
  Desired, IF"&amp;"(P26&lt;&gt;"""", P26,D26),
  IFS(
    Desired &gt; D26, ""Desired lvl too high"",
    AND(Desired = D26, OR(C26 = D26, C26 = ""Max"")), ""Max Level"",
    Desired = C26, ""OK Level"",
    Desired &lt; C26, ""Desired lvl too low"",
    TRUE, TO_PURE_NUMBER(
      SUM"&amp;"(
        XLOOKUP($C26 + 1, SEQUENCE(100, 1, 1, 1), Offset, ""N/F"", 0, 1): 
        XLOOKUP(Desired, SEQUENCE(100, 1, 1, 1), Offset, ""N/F"", 0, 1)
      ) / Labspeed
    ) /
    IF(AND(B26 &lt;&gt; """", $B$1 = ""All""), RIGHT(B26, 3), 1)
  )
)"),4057.3330184069528)</f>
        <v>4057.333018</v>
      </c>
      <c r="R26" s="425" t="str">
        <f t="shared" si="12"/>
        <v>4057d  7h 59m</v>
      </c>
      <c r="S26" s="426">
        <f t="array" ref="S26">LET(
  Match, MATCH(IF(ISNUMBER(SEARCH("Mastery",$A26)),"Card Mastery",$A26),DVT_Laboratory!B$1:V$1,0)-1,
  Offset, OFFSET(DVT_Laboratory!C$3,0,Match,100,1),
  Desired, IF(P26&lt;&gt;"", P26,D26),
IF(Desired&gt;D26,"Desired lvl too high",
IF(AND(Desired=D26,OR(C26=D26,C26="Max")),"Max Level",
IF(Desired=C26,"OK Level",
IF(Desired&lt;C26,"Desired lvl too low",
SUM(
XLOOKUP(C26+1,SEQUENCE(100,1,1,1),Offset,"N/F",0,1)
:XLOOKUP(Desired,SEQUENCE(100,1,1,1),Offset,"N/F",0,1))*(1-LAB_COIN_DISCOUNT()))))))</f>
        <v>175796369160</v>
      </c>
      <c r="T26" s="426" t="str">
        <f t="shared" si="13"/>
        <v>175.8 B</v>
      </c>
      <c r="U26" s="427" t="str">
        <f t="shared" si="14"/>
        <v>1.81 M/h</v>
      </c>
      <c r="V26" s="428">
        <f t="array" ref="V26">LET(
  Labspeed, IF(A26 ="Labs Speed", 1+'Master Sheet'!$BK$5, LAB_SPEED_TOTAL()),
  Match, MATCH(IF(ISNUMBER(SEARCH("Mastery",$A26)),"Card Mastery",$A26),DVT_Laboratory!B$1:V$1,0)-1,
  Offset, OFFSET(DVT_Laboratory!B$3,0,Match,100,1),
  Desired, IF(P26&lt;&gt;"", P26,D26),
IF(Desired&gt;D26,"Desired lvl too high",
IF(AND(Desired=D26,OR(C26=D26,C26="Max")),"Max Level",
IF(Desired&lt;=C26,"Desired lvl too low",
SUM(TIME_TO_RUSH_GEMS(
    XLOOKUP(C26+1, SEQUENCE(100,1,1,1), Offset, "N/F", 0, 1):
    XLOOKUP(Desired, SEQUENCE(100,1,1,1), Offset, "N/F", 0, 1)/Labspeed, IDS_LAB_GODLBOXED_COUNT()))))))</f>
        <v>170330</v>
      </c>
    </row>
    <row r="27">
      <c r="A27" s="419" t="s">
        <v>250</v>
      </c>
      <c r="B27" s="420" t="str">
        <f t="shared" si="1"/>
        <v/>
      </c>
      <c r="C27" s="421">
        <f>VLOOKUP($A27,MS_Labs_Array,2,FALSE)</f>
        <v>0</v>
      </c>
      <c r="D27" s="422">
        <f>VLOOKUP($A27,MS_Labs_Array,4,FALSE)</f>
        <v>30</v>
      </c>
      <c r="E27" s="433" t="str">
        <f t="shared" si="19"/>
        <v>T13 10</v>
      </c>
      <c r="F27" s="424">
        <f t="shared" si="17"/>
        <v>0.8824646732</v>
      </c>
      <c r="G27" s="425" t="str">
        <f t="shared" si="3"/>
        <v>0d 21h 10m</v>
      </c>
      <c r="H27" s="426">
        <f t="shared" si="4"/>
        <v>159200000000</v>
      </c>
      <c r="I27" s="426">
        <f t="shared" si="5"/>
        <v>191040000000</v>
      </c>
      <c r="J27" s="426" t="str">
        <f t="shared" si="6"/>
        <v>159.2 B</v>
      </c>
      <c r="K27" s="427" t="str">
        <f t="shared" si="7"/>
        <v>9.02 B/h</v>
      </c>
      <c r="L27" s="428">
        <f t="shared" si="8"/>
        <v>84</v>
      </c>
      <c r="M27" s="429" t="str">
        <f t="shared" si="18"/>
        <v>1d  0h 43m</v>
      </c>
      <c r="N27" s="426" t="str">
        <f t="shared" si="10"/>
        <v>191.04 B</v>
      </c>
      <c r="O27" s="428">
        <f t="shared" si="11"/>
        <v>98</v>
      </c>
      <c r="P27" s="430" t="str">
        <f>VLOOKUP($A27,MS_Labs_Array,3,FALSE)</f>
        <v/>
      </c>
      <c r="Q27" s="429">
        <f>IFERROR(__xludf.DUMMYFUNCTION("LET(
  Labspeed, IF(A27=""Labs Speed"", 1+'Master Sheet'!$BK$5, LAB_SPEED_TOTAL()),
  Match, MATCH(IF(ISNUMBER(SEARCH(""Mastery"",$A27)),""Card Mastery"",$A27),DVT_Laboratory!B$1:V$1,0)-1,
  Offset, INDEX(DVT_Laboratory!B$3:ZZ$102,,Match+1),
  Desired, IF"&amp;"(P27&lt;&gt;"""", P27,D27),
  IFS(
    Desired &gt; D27, ""Desired lvl too high"",
    AND(Desired = D27, OR(C27 = D27, C27 = ""Max"")), ""Max Level"",
    Desired = C27, ""OK Level"",
    Desired &lt; C27, ""Desired lvl too low"",
    TRUE, TO_PURE_NUMBER(
      SUM"&amp;"(
        XLOOKUP($C27 + 1, SEQUENCE(100, 1, 1, 1), Offset, ""N/F"", 0, 1): 
        XLOOKUP(Desired, SEQUENCE(100, 1, 1, 1), Offset, ""N/F"", 0, 1)
      ) / Labspeed
    ) /
    IF(AND(B27 &lt;&gt; """", $B$1 = ""All""), RIGHT(B27, 3), 1)
  )
)"),93.71813665262914)</f>
        <v>93.71813665</v>
      </c>
      <c r="R27" s="425" t="str">
        <f t="shared" si="12"/>
        <v>93d 17h 14m</v>
      </c>
      <c r="S27" s="426">
        <f t="array" ref="S27">LET(
  Match, MATCH(IF(ISNUMBER(SEARCH("Mastery",$A27)),"Card Mastery",$A27),DVT_Laboratory!B$1:V$1,0)-1,
  Offset, OFFSET(DVT_Laboratory!C$3,0,Match,100,1),
  Desired, IF(P27&lt;&gt;"", P27,D27),
IF(Desired&gt;D27,"Desired lvl too high",
IF(AND(Desired=D27,OR(C27=D27,C27="Max")),"Max Level",
IF(Desired=C27,"OK Level",
IF(Desired&lt;C27,"Desired lvl too low",
SUM(
XLOOKUP(C27+1,SEQUENCE(100,1,1,1),Offset,"N/F",0,1)
:XLOOKUP(Desired,SEQUENCE(100,1,1,1),Offset,"N/F",0,1))*(1-LAB_COIN_DISCOUNT()))))))</f>
        <v>19559160760000</v>
      </c>
      <c r="T27" s="426" t="str">
        <f t="shared" si="13"/>
        <v>19.56 T</v>
      </c>
      <c r="U27" s="427" t="str">
        <f t="shared" si="14"/>
        <v>8.7 B/h</v>
      </c>
      <c r="V27" s="428">
        <f t="array" ref="V27">LET(
  Labspeed, IF(A27 ="Labs Speed", 1+'Master Sheet'!$BK$5, LAB_SPEED_TOTAL()),
  Match, MATCH(IF(ISNUMBER(SEARCH("Mastery",$A27)),"Card Mastery",$A27),DVT_Laboratory!B$1:V$1,0)-1,
  Offset, OFFSET(DVT_Laboratory!B$3,0,Match,100,1),
  Desired, IF(P27&lt;&gt;"", P27,D27),
IF(Desired&gt;D27,"Desired lvl too high",
IF(AND(Desired=D27,OR(C27=D27,C27="Max")),"Max Level",
IF(Desired&lt;=C27,"Desired lvl too low",
SUM(TIME_TO_RUSH_GEMS(
    XLOOKUP(C27+1, SEQUENCE(100,1,1,1), Offset, "N/F", 0, 1):
    XLOOKUP(Desired, SEQUENCE(100,1,1,1), Offset, "N/F", 0, 1)/Labspeed, IDS_LAB_GODLBOXED_COUNT()))))))</f>
        <v>8024</v>
      </c>
    </row>
    <row r="28">
      <c r="A28" s="419" t="s">
        <v>261</v>
      </c>
      <c r="B28" s="420" t="str">
        <f t="shared" si="1"/>
        <v/>
      </c>
      <c r="C28" s="421">
        <f>VLOOKUP($A28,MS_Labs_Array,2,FALSE)</f>
        <v>1</v>
      </c>
      <c r="D28" s="422">
        <f>VLOOKUP($A28,MS_Labs_Array,4,FALSE)</f>
        <v>1</v>
      </c>
      <c r="E28" s="433" t="str">
        <f t="shared" si="19"/>
        <v>T7 10</v>
      </c>
      <c r="F28" s="424" t="str">
        <f t="shared" si="17"/>
        <v>Max Level</v>
      </c>
      <c r="G28" s="425" t="str">
        <f t="shared" si="3"/>
        <v>Max Level</v>
      </c>
      <c r="H28" s="426" t="str">
        <f t="shared" si="4"/>
        <v>Max Level</v>
      </c>
      <c r="I28" s="434">
        <f t="shared" si="5"/>
        <v>0</v>
      </c>
      <c r="J28" s="426" t="str">
        <f t="shared" si="6"/>
        <v>Max Level</v>
      </c>
      <c r="K28" s="427" t="str">
        <f t="shared" si="7"/>
        <v/>
      </c>
      <c r="L28" s="428" t="str">
        <f t="shared" si="8"/>
        <v>Max Level</v>
      </c>
      <c r="M28" s="429" t="str">
        <f t="shared" si="18"/>
        <v>Max Level</v>
      </c>
      <c r="N28" s="426" t="str">
        <f t="shared" si="10"/>
        <v>Max Level</v>
      </c>
      <c r="O28" s="428" t="str">
        <f t="shared" si="11"/>
        <v>Max Level</v>
      </c>
      <c r="P28" s="430" t="str">
        <f>VLOOKUP($A28,MS_Labs_Array,3,FALSE)</f>
        <v/>
      </c>
      <c r="Q28" s="429" t="str">
        <f>IFERROR(__xludf.DUMMYFUNCTION("LET(
  Labspeed, IF(A28=""Labs Speed"", 1+'Master Sheet'!$BK$5, LAB_SPEED_TOTAL()),
  Match, MATCH(IF(ISNUMBER(SEARCH(""Mastery"",$A28)),""Card Mastery"",$A28),DVT_Laboratory!B$1:V$1,0)-1,
  Offset, INDEX(DVT_Laboratory!B$3:ZZ$102,,Match+1),
  Desired, IF"&amp;"(P28&lt;&gt;"""", P28,D28),
  IFS(
    Desired &gt; D28, ""Desired lvl too high"",
    AND(Desired = D28, OR(C28 = D28, C28 = ""Max"")), ""Max Level"",
    Desired = C28, ""OK Level"",
    Desired &lt; C28, ""Desired lvl too low"",
    TRUE, TO_PURE_NUMBER(
      SUM"&amp;"(
        XLOOKUP($C28 + 1, SEQUENCE(100, 1, 1, 1), Offset, ""N/F"", 0, 1): 
        XLOOKUP(Desired, SEQUENCE(100, 1, 1, 1), Offset, ""N/F"", 0, 1)
      ) / Labspeed
    ) /
    IF(AND(B28 &lt;&gt; """", $B$1 = ""All""), RIGHT(B28, 3), 1)
  )
)"),"Max Level")</f>
        <v>Max Level</v>
      </c>
      <c r="R28" s="425" t="str">
        <f t="shared" si="12"/>
        <v>Max Level</v>
      </c>
      <c r="S28" s="426" t="str">
        <f t="array" ref="S28">LET(
  Match, MATCH(IF(ISNUMBER(SEARCH("Mastery",$A28)),"Card Mastery",$A28),DVT_Laboratory!B$1:V$1,0)-1,
  Offset, OFFSET(DVT_Laboratory!C$3,0,Match,100,1),
  Desired, IF(P28&lt;&gt;"", P28,D28),
IF(Desired&gt;D28,"Desired lvl too high",
IF(AND(Desired=D28,OR(C28=D28,C28="Max")),"Max Level",
IF(Desired=C28,"OK Level",
IF(Desired&lt;C28,"Desired lvl too low",
SUM(
XLOOKUP(C28+1,SEQUENCE(100,1,1,1),Offset,"N/F",0,1)
:XLOOKUP(Desired,SEQUENCE(100,1,1,1),Offset,"N/F",0,1))*(1-LAB_COIN_DISCOUNT()))))))</f>
        <v>Max Level</v>
      </c>
      <c r="T28" s="426" t="str">
        <f t="shared" si="13"/>
        <v>Max Level</v>
      </c>
      <c r="U28" s="427" t="str">
        <f t="shared" si="14"/>
        <v/>
      </c>
      <c r="V28" s="428" t="str">
        <f t="array" ref="V28">LET(
  Labspeed, IF(A28 ="Labs Speed", 1+'Master Sheet'!$BK$5, LAB_SPEED_TOTAL()),
  Match, MATCH(IF(ISNUMBER(SEARCH("Mastery",$A28)),"Card Mastery",$A28),DVT_Laboratory!B$1:V$1,0)-1,
  Offset, OFFSET(DVT_Laboratory!B$3,0,Match,100,1),
  Desired, IF(P28&lt;&gt;"", P28,D28),
IF(Desired&gt;D28,"Desired lvl too high",
IF(AND(Desired=D28,OR(C28=D28,C28="Max")),"Max Level",
IF(Desired&lt;=C28,"Desired lvl too low",
SUM(TIME_TO_RUSH_GEMS(
    XLOOKUP(C28+1, SEQUENCE(100,1,1,1), Offset, "N/F", 0, 1):
    XLOOKUP(Desired, SEQUENCE(100,1,1,1), Offset, "N/F", 0, 1)/Labspeed, IDS_LAB_GODLBOXED_COUNT()))))))</f>
        <v>Max Level</v>
      </c>
    </row>
    <row r="29">
      <c r="A29" s="435" t="s">
        <v>156</v>
      </c>
      <c r="B29" s="436" t="str">
        <f t="shared" si="1"/>
        <v/>
      </c>
      <c r="C29" s="437">
        <f>VLOOKUP($A29,MS_Labs_Array,2,FALSE)</f>
        <v>68</v>
      </c>
      <c r="D29" s="438">
        <f>VLOOKUP($A29,MS_Labs_Array,4,FALSE)</f>
        <v>100</v>
      </c>
      <c r="E29" s="438"/>
      <c r="F29" s="439">
        <f t="shared" si="17"/>
        <v>5.209701427</v>
      </c>
      <c r="G29" s="440" t="str">
        <f t="shared" si="3"/>
        <v>5d  5h  1m</v>
      </c>
      <c r="H29" s="441">
        <f t="shared" si="4"/>
        <v>1217880</v>
      </c>
      <c r="I29" s="441">
        <f t="shared" si="5"/>
        <v>1273600</v>
      </c>
      <c r="J29" s="441" t="str">
        <f t="shared" si="6"/>
        <v>1.22 M</v>
      </c>
      <c r="K29" s="442" t="str">
        <f t="shared" si="7"/>
        <v>10.19 K/h</v>
      </c>
      <c r="L29" s="443">
        <f t="shared" si="8"/>
        <v>437</v>
      </c>
      <c r="M29" s="444" t="str">
        <f t="shared" si="18"/>
        <v>5d  9h 27m</v>
      </c>
      <c r="N29" s="441" t="str">
        <f t="shared" si="10"/>
        <v>1.27 M</v>
      </c>
      <c r="O29" s="443">
        <f t="shared" si="11"/>
        <v>452</v>
      </c>
      <c r="P29" s="445" t="str">
        <f>VLOOKUP($A29,MS_Labs_Array,3,FALSE)</f>
        <v/>
      </c>
      <c r="Q29" s="444">
        <f>IFERROR(__xludf.DUMMYFUNCTION("LET(
  Labspeed, IF(A29=""Labs Speed"", 1+'Master Sheet'!$BK$5, LAB_SPEED_TOTAL()),
  Match, MATCH(IF(ISNUMBER(SEARCH(""Mastery"",$A29)),""Card Mastery"",$A29),DVT_Laboratory!B$1:V$1,0)-1,
  Offset, INDEX(DVT_Laboratory!B$3:ZZ$102,,Match+1),
  Desired, IF"&amp;"(P29&lt;&gt;"""", P29,D29),
  IFS(
    Desired &gt; D29, ""Desired lvl too high"",
    AND(Desired = D29, OR(C29 = D29, C29 = ""Max"")), ""Max Level"",
    Desired = C29, ""OK Level"",
    Desired &lt; C29, ""Desired lvl too low"",
    TRUE, TO_PURE_NUMBER(
      SUM"&amp;"(
        XLOOKUP($C29 + 1, SEQUENCE(100, 1, 1, 1), Offset, ""N/F"", 0, 1): 
        XLOOKUP(Desired, SEQUENCE(100, 1, 1, 1), Offset, ""N/F"", 0, 1)
      ) / Labspeed
    ) /
    IF(AND(B29 &lt;&gt; """", $B$1 = ""All""), RIGHT(B29, 3), 1)
  )
)"),277.64396937164423)</f>
        <v>277.6439694</v>
      </c>
      <c r="R29" s="440" t="str">
        <f t="shared" si="12"/>
        <v>277d 15h 27m</v>
      </c>
      <c r="S29" s="441">
        <f t="array" ref="S29">LET(
  Match, MATCH(IF(ISNUMBER(SEARCH("Mastery",$A29)),"Card Mastery",$A29),DVT_Laboratory!B$1:V$1,0)-1,
  Offset, OFFSET(DVT_Laboratory!C$3,0,Match,100,1),
  Desired, IF(P29&lt;&gt;"", P29,D29),
IF(Desired&gt;D29,"Desired lvl too high",
IF(AND(Desired=D29,OR(C29=D29,C29="Max")),"Max Level",
IF(Desired=C29,"OK Level",
IF(Desired&lt;C29,"Desired lvl too low",
SUM(
XLOOKUP(C29+1,SEQUENCE(100,1,1,1),Offset,"N/F",0,1)
:XLOOKUP(Desired,SEQUENCE(100,1,1,1),Offset,"N/F",0,1))*(1-LAB_COIN_DISCOUNT()))))))</f>
        <v>70772360</v>
      </c>
      <c r="T29" s="441" t="str">
        <f t="shared" si="13"/>
        <v>70.77 M</v>
      </c>
      <c r="U29" s="442" t="str">
        <f t="shared" si="14"/>
        <v>10.62 K/h</v>
      </c>
      <c r="V29" s="443">
        <f t="array" ref="V29">LET(
  Labspeed, IF(A29 ="Labs Speed", 1+'Master Sheet'!$BK$5, LAB_SPEED_TOTAL()),
  Match, MATCH(IF(ISNUMBER(SEARCH("Mastery",$A29)),"Card Mastery",$A29),DVT_Laboratory!B$1:V$1,0)-1,
  Offset, OFFSET(DVT_Laboratory!B$3,0,Match,100,1),
  Desired, IF(P29&lt;&gt;"", P29,D29),
IF(Desired&gt;D29,"Desired lvl too high",
IF(AND(Desired=D29,OR(C29=D29,C29="Max")),"Max Level",
IF(Desired&lt;=C29,"Desired lvl too low",
SUM(TIME_TO_RUSH_GEMS(
    XLOOKUP(C29+1, SEQUENCE(100,1,1,1), Offset, "N/F", 0, 1):
    XLOOKUP(Desired, SEQUENCE(100,1,1,1), Offset, "N/F", 0, 1)/Labspeed, IDS_LAB_GODLBOXED_COUNT()))))))</f>
        <v>21930</v>
      </c>
    </row>
    <row r="30">
      <c r="A30" s="435" t="s">
        <v>171</v>
      </c>
      <c r="B30" s="436" t="str">
        <f t="shared" si="1"/>
        <v/>
      </c>
      <c r="C30" s="437">
        <f>VLOOKUP($A30,MS_Labs_Array,2,FALSE)</f>
        <v>68</v>
      </c>
      <c r="D30" s="438">
        <f>VLOOKUP($A30,MS_Labs_Array,4,FALSE)</f>
        <v>100</v>
      </c>
      <c r="E30" s="438"/>
      <c r="F30" s="439">
        <f t="shared" si="17"/>
        <v>5.209701427</v>
      </c>
      <c r="G30" s="440" t="str">
        <f t="shared" si="3"/>
        <v>5d  5h  1m</v>
      </c>
      <c r="H30" s="441">
        <f t="shared" si="4"/>
        <v>1217880</v>
      </c>
      <c r="I30" s="441">
        <f t="shared" si="5"/>
        <v>1273600</v>
      </c>
      <c r="J30" s="441" t="str">
        <f t="shared" si="6"/>
        <v>1.22 M</v>
      </c>
      <c r="K30" s="442" t="str">
        <f t="shared" si="7"/>
        <v>10.19 K/h</v>
      </c>
      <c r="L30" s="443">
        <f t="shared" si="8"/>
        <v>437</v>
      </c>
      <c r="M30" s="444" t="str">
        <f t="shared" si="18"/>
        <v>5d  9h 27m</v>
      </c>
      <c r="N30" s="441" t="str">
        <f t="shared" si="10"/>
        <v>1.27 M</v>
      </c>
      <c r="O30" s="443">
        <f t="shared" si="11"/>
        <v>452</v>
      </c>
      <c r="P30" s="445" t="str">
        <f>VLOOKUP($A30,MS_Labs_Array,3,FALSE)</f>
        <v/>
      </c>
      <c r="Q30" s="444">
        <f>IFERROR(__xludf.DUMMYFUNCTION("LET(
  Labspeed, IF(A30=""Labs Speed"", 1+'Master Sheet'!$BK$5, LAB_SPEED_TOTAL()),
  Match, MATCH(IF(ISNUMBER(SEARCH(""Mastery"",$A30)),""Card Mastery"",$A30),DVT_Laboratory!B$1:V$1,0)-1,
  Offset, INDEX(DVT_Laboratory!B$3:ZZ$102,,Match+1),
  Desired, IF"&amp;"(P30&lt;&gt;"""", P30,D30),
  IFS(
    Desired &gt; D30, ""Desired lvl too high"",
    AND(Desired = D30, OR(C30 = D30, C30 = ""Max"")), ""Max Level"",
    Desired = C30, ""OK Level"",
    Desired &lt; C30, ""Desired lvl too low"",
    TRUE, TO_PURE_NUMBER(
      SUM"&amp;"(
        XLOOKUP($C30 + 1, SEQUENCE(100, 1, 1, 1), Offset, ""N/F"", 0, 1): 
        XLOOKUP(Desired, SEQUENCE(100, 1, 1, 1), Offset, ""N/F"", 0, 1)
      ) / Labspeed
    ) /
    IF(AND(B30 &lt;&gt; """", $B$1 = ""All""), RIGHT(B30, 3), 1)
  )
)"),277.64396937164423)</f>
        <v>277.6439694</v>
      </c>
      <c r="R30" s="440" t="str">
        <f t="shared" si="12"/>
        <v>277d 15h 27m</v>
      </c>
      <c r="S30" s="441">
        <f t="array" ref="S30">LET(
  Match, MATCH(IF(ISNUMBER(SEARCH("Mastery",$A30)),"Card Mastery",$A30),DVT_Laboratory!B$1:V$1,0)-1,
  Offset, OFFSET(DVT_Laboratory!C$3,0,Match,100,1),
  Desired, IF(P30&lt;&gt;"", P30,D30),
IF(Desired&gt;D30,"Desired lvl too high",
IF(AND(Desired=D30,OR(C30=D30,C30="Max")),"Max Level",
IF(Desired=C30,"OK Level",
IF(Desired&lt;C30,"Desired lvl too low",
SUM(
XLOOKUP(C30+1,SEQUENCE(100,1,1,1),Offset,"N/F",0,1)
:XLOOKUP(Desired,SEQUENCE(100,1,1,1),Offset,"N/F",0,1))*(1-LAB_COIN_DISCOUNT()))))))</f>
        <v>70772360</v>
      </c>
      <c r="T30" s="441" t="str">
        <f t="shared" si="13"/>
        <v>70.77 M</v>
      </c>
      <c r="U30" s="442" t="str">
        <f t="shared" si="14"/>
        <v>10.62 K/h</v>
      </c>
      <c r="V30" s="443">
        <f t="array" ref="V30">LET(
  Labspeed, IF(A30 ="Labs Speed", 1+'Master Sheet'!$BK$5, LAB_SPEED_TOTAL()),
  Match, MATCH(IF(ISNUMBER(SEARCH("Mastery",$A30)),"Card Mastery",$A30),DVT_Laboratory!B$1:V$1,0)-1,
  Offset, OFFSET(DVT_Laboratory!B$3,0,Match,100,1),
  Desired, IF(P30&lt;&gt;"", P30,D30),
IF(Desired&gt;D30,"Desired lvl too high",
IF(AND(Desired=D30,OR(C30=D30,C30="Max")),"Max Level",
IF(Desired&lt;=C30,"Desired lvl too low",
SUM(TIME_TO_RUSH_GEMS(
    XLOOKUP(C30+1, SEQUENCE(100,1,1,1), Offset, "N/F", 0, 1):
    XLOOKUP(Desired, SEQUENCE(100,1,1,1), Offset, "N/F", 0, 1)/Labspeed, IDS_LAB_GODLBOXED_COUNT()))))))</f>
        <v>21930</v>
      </c>
    </row>
    <row r="31">
      <c r="A31" s="435" t="s">
        <v>182</v>
      </c>
      <c r="B31" s="436" t="str">
        <f t="shared" si="1"/>
        <v/>
      </c>
      <c r="C31" s="437">
        <f>VLOOKUP($A31,MS_Labs_Array,2,FALSE)</f>
        <v>14</v>
      </c>
      <c r="D31" s="438">
        <f>VLOOKUP($A31,MS_Labs_Array,4,FALSE)</f>
        <v>100</v>
      </c>
      <c r="E31" s="438"/>
      <c r="F31" s="439">
        <f t="shared" si="17"/>
        <v>0.1283360307</v>
      </c>
      <c r="G31" s="440" t="str">
        <f t="shared" si="3"/>
        <v>0d  3h  4m</v>
      </c>
      <c r="H31" s="441">
        <f t="shared" si="4"/>
        <v>16134.92</v>
      </c>
      <c r="I31" s="441">
        <f t="shared" si="5"/>
        <v>19454.24</v>
      </c>
      <c r="J31" s="441" t="str">
        <f t="shared" si="6"/>
        <v>16.13 K</v>
      </c>
      <c r="K31" s="442" t="str">
        <f t="shared" si="7"/>
        <v>6.32 K/h</v>
      </c>
      <c r="L31" s="443">
        <f t="shared" si="8"/>
        <v>13</v>
      </c>
      <c r="M31" s="444" t="str">
        <f t="shared" si="18"/>
        <v>0d  3h 36m</v>
      </c>
      <c r="N31" s="441" t="str">
        <f t="shared" si="10"/>
        <v>19.45 K</v>
      </c>
      <c r="O31" s="443">
        <f t="shared" si="11"/>
        <v>15</v>
      </c>
      <c r="P31" s="445">
        <f>VLOOKUP($A31,MS_Labs_Array,3,FALSE)</f>
        <v>14</v>
      </c>
      <c r="Q31" s="444" t="str">
        <f>IFERROR(__xludf.DUMMYFUNCTION("LET(
  Labspeed, IF(A31=""Labs Speed"", 1+'Master Sheet'!$BK$5, LAB_SPEED_TOTAL()),
  Match, MATCH(IF(ISNUMBER(SEARCH(""Mastery"",$A31)),""Card Mastery"",$A31),DVT_Laboratory!B$1:V$1,0)-1,
  Offset, INDEX(DVT_Laboratory!B$3:ZZ$102,,Match+1),
  Desired, IF"&amp;"(P31&lt;&gt;"""", P31,D31),
  IFS(
    Desired &gt; D31, ""Desired lvl too high"",
    AND(Desired = D31, OR(C31 = D31, C31 = ""Max"")), ""Max Level"",
    Desired = C31, ""OK Level"",
    Desired &lt; C31, ""Desired lvl too low"",
    TRUE, TO_PURE_NUMBER(
      SUM"&amp;"(
        XLOOKUP($C31 + 1, SEQUENCE(100, 1, 1, 1), Offset, ""N/F"", 0, 1): 
        XLOOKUP(Desired, SEQUENCE(100, 1, 1, 1), Offset, ""N/F"", 0, 1)
      ) / Labspeed
    ) /
    IF(AND(B31 &lt;&gt; """", $B$1 = ""All""), RIGHT(B31, 3), 1)
  )
)"),"OK Level")</f>
        <v>OK Level</v>
      </c>
      <c r="R31" s="440" t="str">
        <f t="shared" si="12"/>
        <v>OK Level</v>
      </c>
      <c r="S31" s="441" t="str">
        <f t="array" ref="S31">LET(
  Match, MATCH(IF(ISNUMBER(SEARCH("Mastery",$A31)),"Card Mastery",$A31),DVT_Laboratory!B$1:V$1,0)-1,
  Offset, OFFSET(DVT_Laboratory!C$3,0,Match,100,1),
  Desired, IF(P31&lt;&gt;"", P31,D31),
IF(Desired&gt;D31,"Desired lvl too high",
IF(AND(Desired=D31,OR(C31=D31,C31="Max")),"Max Level",
IF(Desired=C31,"OK Level",
IF(Desired&lt;C31,"Desired lvl too low",
SUM(
XLOOKUP(C31+1,SEQUENCE(100,1,1,1),Offset,"N/F",0,1)
:XLOOKUP(Desired,SEQUENCE(100,1,1,1),Offset,"N/F",0,1))*(1-LAB_COIN_DISCOUNT()))))))</f>
        <v>OK Level</v>
      </c>
      <c r="T31" s="441" t="str">
        <f t="shared" si="13"/>
        <v>OK Level</v>
      </c>
      <c r="U31" s="442" t="str">
        <f t="shared" si="14"/>
        <v/>
      </c>
      <c r="V31" s="443" t="str">
        <f t="array" ref="V31">LET(
  Labspeed, IF(A31 ="Labs Speed", 1+'Master Sheet'!$BK$5, LAB_SPEED_TOTAL()),
  Match, MATCH(IF(ISNUMBER(SEARCH("Mastery",$A31)),"Card Mastery",$A31),DVT_Laboratory!B$1:V$1,0)-1,
  Offset, OFFSET(DVT_Laboratory!B$3,0,Match,100,1),
  Desired, IF(P31&lt;&gt;"", P31,D31),
IF(Desired&gt;D31,"Desired lvl too high",
IF(AND(Desired=D31,OR(C31=D31,C31="Max")),"Max Level",
IF(Desired&lt;=C31,"Desired lvl too low",
SUM(TIME_TO_RUSH_GEMS(
    XLOOKUP(C31+1, SEQUENCE(100,1,1,1), Offset, "N/F", 0, 1):
    XLOOKUP(Desired, SEQUENCE(100,1,1,1), Offset, "N/F", 0, 1)/Labspeed, IDS_LAB_GODLBOXED_COUNT()))))))</f>
        <v>Desired lvl too low</v>
      </c>
    </row>
    <row r="32">
      <c r="A32" s="435" t="s">
        <v>197</v>
      </c>
      <c r="B32" s="436" t="str">
        <f t="shared" si="1"/>
        <v/>
      </c>
      <c r="C32" s="437">
        <f>VLOOKUP($A32,MS_Labs_Array,2,FALSE)</f>
        <v>28</v>
      </c>
      <c r="D32" s="438">
        <f>VLOOKUP($A32,MS_Labs_Array,4,FALSE)</f>
        <v>50</v>
      </c>
      <c r="E32" s="438" t="str">
        <f t="shared" ref="E32:E44" si="20">DVT_LAB_UNLOCK_AT(A32)</f>
        <v>T5 30</v>
      </c>
      <c r="F32" s="439">
        <f t="shared" si="17"/>
        <v>12.54286106</v>
      </c>
      <c r="G32" s="440" t="str">
        <f t="shared" si="3"/>
        <v>12d 13h  1m</v>
      </c>
      <c r="H32" s="441">
        <f t="shared" si="4"/>
        <v>489301200</v>
      </c>
      <c r="I32" s="441">
        <f t="shared" si="5"/>
        <v>563034680</v>
      </c>
      <c r="J32" s="441" t="str">
        <f t="shared" si="6"/>
        <v>489.3 M</v>
      </c>
      <c r="K32" s="442" t="str">
        <f t="shared" si="7"/>
        <v>1.87 M/h</v>
      </c>
      <c r="L32" s="443">
        <f t="shared" si="8"/>
        <v>939</v>
      </c>
      <c r="M32" s="444" t="str">
        <f t="shared" si="18"/>
        <v>14d  1h 26m</v>
      </c>
      <c r="N32" s="441" t="str">
        <f t="shared" si="10"/>
        <v>563.03 M</v>
      </c>
      <c r="O32" s="443">
        <f t="shared" si="11"/>
        <v>1037</v>
      </c>
      <c r="P32" s="445">
        <f>VLOOKUP($A32,MS_Labs_Array,3,FALSE)</f>
        <v>28</v>
      </c>
      <c r="Q32" s="444" t="str">
        <f>IFERROR(__xludf.DUMMYFUNCTION("LET(
  Labspeed, IF(A32=""Labs Speed"", 1+'Master Sheet'!$BK$5, LAB_SPEED_TOTAL()),
  Match, MATCH(IF(ISNUMBER(SEARCH(""Mastery"",$A32)),""Card Mastery"",$A32),DVT_Laboratory!B$1:V$1,0)-1,
  Offset, INDEX(DVT_Laboratory!B$3:ZZ$102,,Match+1),
  Desired, IF"&amp;"(P32&lt;&gt;"""", P32,D32),
  IFS(
    Desired &gt; D32, ""Desired lvl too high"",
    AND(Desired = D32, OR(C32 = D32, C32 = ""Max"")), ""Max Level"",
    Desired = C32, ""OK Level"",
    Desired &lt; C32, ""Desired lvl too low"",
    TRUE, TO_PURE_NUMBER(
      SUM"&amp;"(
        XLOOKUP($C32 + 1, SEQUENCE(100, 1, 1, 1), Offset, ""N/F"", 0, 1): 
        XLOOKUP(Desired, SEQUENCE(100, 1, 1, 1), Offset, ""N/F"", 0, 1)
      ) / Labspeed
    ) /
    IF(AND(B32 &lt;&gt; """", $B$1 = ""All""), RIGHT(B32, 3), 1)
  )
)"),"OK Level")</f>
        <v>OK Level</v>
      </c>
      <c r="R32" s="440" t="str">
        <f t="shared" si="12"/>
        <v>OK Level</v>
      </c>
      <c r="S32" s="441" t="str">
        <f t="array" ref="S32">LET(
  Match, MATCH(IF(ISNUMBER(SEARCH("Mastery",$A32)),"Card Mastery",$A32),DVT_Laboratory!B$1:V$1,0)-1,
  Offset, OFFSET(DVT_Laboratory!C$3,0,Match,100,1),
  Desired, IF(P32&lt;&gt;"", P32,D32),
IF(Desired&gt;D32,"Desired lvl too high",
IF(AND(Desired=D32,OR(C32=D32,C32="Max")),"Max Level",
IF(Desired=C32,"OK Level",
IF(Desired&lt;C32,"Desired lvl too low",
SUM(
XLOOKUP(C32+1,SEQUENCE(100,1,1,1),Offset,"N/F",0,1)
:XLOOKUP(Desired,SEQUENCE(100,1,1,1),Offset,"N/F",0,1))*(1-LAB_COIN_DISCOUNT()))))))</f>
        <v>OK Level</v>
      </c>
      <c r="T32" s="441" t="str">
        <f t="shared" si="13"/>
        <v>OK Level</v>
      </c>
      <c r="U32" s="442" t="str">
        <f t="shared" si="14"/>
        <v/>
      </c>
      <c r="V32" s="443" t="str">
        <f t="array" ref="V32">LET(
  Labspeed, IF(A32 ="Labs Speed", 1+'Master Sheet'!$BK$5, LAB_SPEED_TOTAL()),
  Match, MATCH(IF(ISNUMBER(SEARCH("Mastery",$A32)),"Card Mastery",$A32),DVT_Laboratory!B$1:V$1,0)-1,
  Offset, OFFSET(DVT_Laboratory!B$3,0,Match,100,1),
  Desired, IF(P32&lt;&gt;"", P32,D32),
IF(Desired&gt;D32,"Desired lvl too high",
IF(AND(Desired=D32,OR(C32=D32,C32="Max")),"Max Level",
IF(Desired&lt;=C32,"Desired lvl too low",
SUM(TIME_TO_RUSH_GEMS(
    XLOOKUP(C32+1, SEQUENCE(100,1,1,1), Offset, "N/F", 0, 1):
    XLOOKUP(Desired, SEQUENCE(100,1,1,1), Offset, "N/F", 0, 1)/Labspeed, IDS_LAB_GODLBOXED_COUNT()))))))</f>
        <v>Desired lvl too low</v>
      </c>
    </row>
    <row r="33">
      <c r="A33" s="435" t="s">
        <v>217</v>
      </c>
      <c r="B33" s="436" t="str">
        <f t="shared" si="1"/>
        <v/>
      </c>
      <c r="C33" s="437">
        <f>VLOOKUP($A33,MS_Labs_Array,2,FALSE)</f>
        <v>20</v>
      </c>
      <c r="D33" s="438">
        <f>VLOOKUP($A33,MS_Labs_Array,4,FALSE)</f>
        <v>20</v>
      </c>
      <c r="E33" s="438" t="str">
        <f t="shared" si="20"/>
        <v>T3 80</v>
      </c>
      <c r="F33" s="439" t="str">
        <f t="shared" si="17"/>
        <v>Max Level</v>
      </c>
      <c r="G33" s="440" t="str">
        <f t="shared" si="3"/>
        <v>Max Level</v>
      </c>
      <c r="H33" s="441" t="str">
        <f t="shared" si="4"/>
        <v>Max Level</v>
      </c>
      <c r="I33" s="441">
        <f t="shared" si="5"/>
        <v>0</v>
      </c>
      <c r="J33" s="441" t="str">
        <f t="shared" si="6"/>
        <v>Max Level</v>
      </c>
      <c r="K33" s="442" t="str">
        <f t="shared" si="7"/>
        <v/>
      </c>
      <c r="L33" s="443" t="str">
        <f t="shared" si="8"/>
        <v>Max Level</v>
      </c>
      <c r="M33" s="444" t="str">
        <f t="shared" si="18"/>
        <v>Max Level</v>
      </c>
      <c r="N33" s="441" t="str">
        <f t="shared" si="10"/>
        <v>Max Level</v>
      </c>
      <c r="O33" s="443" t="str">
        <f t="shared" si="11"/>
        <v>Max Level</v>
      </c>
      <c r="P33" s="445" t="str">
        <f>VLOOKUP($A33,MS_Labs_Array,3,FALSE)</f>
        <v/>
      </c>
      <c r="Q33" s="444" t="str">
        <f>IFERROR(__xludf.DUMMYFUNCTION("LET(
  Labspeed, IF(A33=""Labs Speed"", 1+'Master Sheet'!$BK$5, LAB_SPEED_TOTAL()),
  Match, MATCH(IF(ISNUMBER(SEARCH(""Mastery"",$A33)),""Card Mastery"",$A33),DVT_Laboratory!B$1:V$1,0)-1,
  Offset, INDEX(DVT_Laboratory!B$3:ZZ$102,,Match+1),
  Desired, IF"&amp;"(P33&lt;&gt;"""", P33,D33),
  IFS(
    Desired &gt; D33, ""Desired lvl too high"",
    AND(Desired = D33, OR(C33 = D33, C33 = ""Max"")), ""Max Level"",
    Desired = C33, ""OK Level"",
    Desired &lt; C33, ""Desired lvl too low"",
    TRUE, TO_PURE_NUMBER(
      SUM"&amp;"(
        XLOOKUP($C33 + 1, SEQUENCE(100, 1, 1, 1), Offset, ""N/F"", 0, 1): 
        XLOOKUP(Desired, SEQUENCE(100, 1, 1, 1), Offset, ""N/F"", 0, 1)
      ) / Labspeed
    ) /
    IF(AND(B33 &lt;&gt; """", $B$1 = ""All""), RIGHT(B33, 3), 1)
  )
)"),"Max Level")</f>
        <v>Max Level</v>
      </c>
      <c r="R33" s="440" t="str">
        <f t="shared" si="12"/>
        <v>Max Level</v>
      </c>
      <c r="S33" s="441" t="str">
        <f t="array" ref="S33">LET(
  Match, MATCH(IF(ISNUMBER(SEARCH("Mastery",$A33)),"Card Mastery",$A33),DVT_Laboratory!B$1:V$1,0)-1,
  Offset, OFFSET(DVT_Laboratory!C$3,0,Match,100,1),
  Desired, IF(P33&lt;&gt;"", P33,D33),
IF(Desired&gt;D33,"Desired lvl too high",
IF(AND(Desired=D33,OR(C33=D33,C33="Max")),"Max Level",
IF(Desired=C33,"OK Level",
IF(Desired&lt;C33,"Desired lvl too low",
SUM(
XLOOKUP(C33+1,SEQUENCE(100,1,1,1),Offset,"N/F",0,1)
:XLOOKUP(Desired,SEQUENCE(100,1,1,1),Offset,"N/F",0,1))*(1-LAB_COIN_DISCOUNT()))))))</f>
        <v>Max Level</v>
      </c>
      <c r="T33" s="441" t="str">
        <f t="shared" si="13"/>
        <v>Max Level</v>
      </c>
      <c r="U33" s="442" t="str">
        <f t="shared" si="14"/>
        <v/>
      </c>
      <c r="V33" s="443" t="str">
        <f t="array" ref="V33">LET(
  Labspeed, IF(A33 ="Labs Speed", 1+'Master Sheet'!$BK$5, LAB_SPEED_TOTAL()),
  Match, MATCH(IF(ISNUMBER(SEARCH("Mastery",$A33)),"Card Mastery",$A33),DVT_Laboratory!B$1:V$1,0)-1,
  Offset, OFFSET(DVT_Laboratory!B$3,0,Match,100,1),
  Desired, IF(P33&lt;&gt;"", P33,D33),
IF(Desired&gt;D33,"Desired lvl too high",
IF(AND(Desired=D33,OR(C33=D33,C33="Max")),"Max Level",
IF(Desired&lt;=C33,"Desired lvl too low",
SUM(TIME_TO_RUSH_GEMS(
    XLOOKUP(C33+1, SEQUENCE(100,1,1,1), Offset, "N/F", 0, 1):
    XLOOKUP(Desired, SEQUENCE(100,1,1,1), Offset, "N/F", 0, 1)/Labspeed, IDS_LAB_GODLBOXED_COUNT()))))))</f>
        <v>Max Level</v>
      </c>
    </row>
    <row r="34">
      <c r="A34" s="435" t="s">
        <v>229</v>
      </c>
      <c r="B34" s="436" t="str">
        <f t="shared" si="1"/>
        <v/>
      </c>
      <c r="C34" s="437">
        <f>VLOOKUP($A34,MS_Labs_Array,2,FALSE)</f>
        <v>0</v>
      </c>
      <c r="D34" s="438">
        <f>VLOOKUP($A34,MS_Labs_Array,4,FALSE)</f>
        <v>20</v>
      </c>
      <c r="E34" s="438" t="str">
        <f t="shared" si="20"/>
        <v>T6 30</v>
      </c>
      <c r="F34" s="439">
        <f t="shared" si="17"/>
        <v>0.01747629579</v>
      </c>
      <c r="G34" s="440" t="str">
        <f t="shared" si="3"/>
        <v>0d  0h 25m</v>
      </c>
      <c r="H34" s="441">
        <f t="shared" si="4"/>
        <v>19900</v>
      </c>
      <c r="I34" s="441">
        <f t="shared" si="5"/>
        <v>31840</v>
      </c>
      <c r="J34" s="441" t="str">
        <f t="shared" si="6"/>
        <v>19.9 K</v>
      </c>
      <c r="K34" s="442" t="str">
        <f t="shared" si="7"/>
        <v>75.91 K/h</v>
      </c>
      <c r="L34" s="443">
        <f t="shared" si="8"/>
        <v>2</v>
      </c>
      <c r="M34" s="444" t="str">
        <f t="shared" si="18"/>
        <v>0d  1h 16m</v>
      </c>
      <c r="N34" s="441" t="str">
        <f t="shared" si="10"/>
        <v>31.84 K</v>
      </c>
      <c r="O34" s="443">
        <f t="shared" si="11"/>
        <v>6</v>
      </c>
      <c r="P34" s="445" t="str">
        <f>VLOOKUP($A34,MS_Labs_Array,3,FALSE)</f>
        <v/>
      </c>
      <c r="Q34" s="444">
        <f>IFERROR(__xludf.DUMMYFUNCTION("LET(
  Labspeed, IF(A34=""Labs Speed"", 1+'Master Sheet'!$BK$5, LAB_SPEED_TOTAL()),
  Match, MATCH(IF(ISNUMBER(SEARCH(""Mastery"",$A34)),""Card Mastery"",$A34),DVT_Laboratory!B$1:V$1,0)-1,
  Offset, INDEX(DVT_Laboratory!B$3:ZZ$102,,Match+1),
  Desired, IF"&amp;"(P34&lt;&gt;"""", P34,D34),
  IFS(
    Desired &gt; D34, ""Desired lvl too high"",
    AND(Desired = D34, OR(C34 = D34, C34 = ""Max"")), ""Max Level"",
    Desired = C34, ""OK Level"",
    Desired &lt; C34, ""Desired lvl too low"",
    TRUE, TO_PURE_NUMBER(
      SUM"&amp;"(
        XLOOKUP($C34 + 1, SEQUENCE(100, 1, 1, 1), Offset, ""N/F"", 0, 1): 
        XLOOKUP(Desired, SEQUENCE(100, 1, 1, 1), Offset, ""N/F"", 0, 1)
      ) / Labspeed
    ) /
    IF(AND(B34 &lt;&gt; """", $B$1 = ""All""), RIGHT(B34, 3), 1)
  )
)"),36.23047950718964)</f>
        <v>36.23047951</v>
      </c>
      <c r="R34" s="440" t="str">
        <f t="shared" si="12"/>
        <v>36d  5h 31m</v>
      </c>
      <c r="S34" s="441">
        <f t="array" ref="S34">LET(
  Match, MATCH(IF(ISNUMBER(SEARCH("Mastery",$A34)),"Card Mastery",$A34),DVT_Laboratory!B$1:V$1,0)-1,
  Offset, OFFSET(DVT_Laboratory!C$3,0,Match,100,1),
  Desired, IF(P34&lt;&gt;"", P34,D34),
IF(Desired&gt;D34,"Desired lvl too high",
IF(AND(Desired=D34,OR(C34=D34,C34="Max")),"Max Level",
IF(Desired=C34,"OK Level",
IF(Desired&lt;C34,"Desired lvl too low",
SUM(
XLOOKUP(C34+1,SEQUENCE(100,1,1,1),Offset,"N/F",0,1)
:XLOOKUP(Desired,SEQUENCE(100,1,1,1),Offset,"N/F",0,1))*(1-LAB_COIN_DISCOUNT()))))))</f>
        <v>10297308316</v>
      </c>
      <c r="T34" s="441" t="str">
        <f t="shared" si="13"/>
        <v>10.3 B</v>
      </c>
      <c r="U34" s="442" t="str">
        <f t="shared" si="14"/>
        <v>11.84 M/h</v>
      </c>
      <c r="V34" s="443">
        <f t="array" ref="V34">LET(
  Labspeed, IF(A34 ="Labs Speed", 1+'Master Sheet'!$BK$5, LAB_SPEED_TOTAL()),
  Match, MATCH(IF(ISNUMBER(SEARCH("Mastery",$A34)),"Card Mastery",$A34),DVT_Laboratory!B$1:V$1,0)-1,
  Offset, OFFSET(DVT_Laboratory!B$3,0,Match,100,1),
  Desired, IF(P34&lt;&gt;"", P34,D34),
IF(Desired&gt;D34,"Desired lvl too high",
IF(AND(Desired=D34,OR(C34=D34,C34="Max")),"Max Level",
IF(Desired&lt;=C34,"Desired lvl too low",
SUM(TIME_TO_RUSH_GEMS(
    XLOOKUP(C34+1, SEQUENCE(100,1,1,1), Offset, "N/F", 0, 1):
    XLOOKUP(Desired, SEQUENCE(100,1,1,1), Offset, "N/F", 0, 1)/Labspeed, IDS_LAB_GODLBOXED_COUNT()))))))</f>
        <v>3126</v>
      </c>
    </row>
    <row r="35">
      <c r="A35" s="435" t="s">
        <v>240</v>
      </c>
      <c r="B35" s="436" t="str">
        <f t="shared" si="1"/>
        <v/>
      </c>
      <c r="C35" s="437">
        <f>VLOOKUP($A35,MS_Labs_Array,2,FALSE)</f>
        <v>13</v>
      </c>
      <c r="D35" s="438">
        <f>VLOOKUP($A35,MS_Labs_Array,4,FALSE)</f>
        <v>35</v>
      </c>
      <c r="E35" s="438" t="str">
        <f t="shared" si="20"/>
        <v>T6 30</v>
      </c>
      <c r="F35" s="439">
        <f t="shared" si="17"/>
        <v>2.107923717</v>
      </c>
      <c r="G35" s="440" t="str">
        <f t="shared" si="3"/>
        <v>2d  2h 35m</v>
      </c>
      <c r="H35" s="441">
        <f t="shared" si="4"/>
        <v>490829520</v>
      </c>
      <c r="I35" s="441">
        <f t="shared" si="5"/>
        <v>675015960</v>
      </c>
      <c r="J35" s="441" t="str">
        <f t="shared" si="6"/>
        <v>490.83 M</v>
      </c>
      <c r="K35" s="442" t="str">
        <f t="shared" si="7"/>
        <v>13.34 M/h</v>
      </c>
      <c r="L35" s="443">
        <f t="shared" si="8"/>
        <v>185</v>
      </c>
      <c r="M35" s="444" t="str">
        <f t="shared" si="18"/>
        <v>2d 15h  2m</v>
      </c>
      <c r="N35" s="441" t="str">
        <f t="shared" si="10"/>
        <v>675.02 M</v>
      </c>
      <c r="O35" s="443">
        <f t="shared" si="11"/>
        <v>227</v>
      </c>
      <c r="P35" s="445" t="str">
        <f>VLOOKUP($A35,MS_Labs_Array,3,FALSE)</f>
        <v/>
      </c>
      <c r="Q35" s="444">
        <f>IFERROR(__xludf.DUMMYFUNCTION("LET(
  Labspeed, IF(A35=""Labs Speed"", 1+'Master Sheet'!$BK$5, LAB_SPEED_TOTAL()),
  Match, MATCH(IF(ISNUMBER(SEARCH(""Mastery"",$A35)),""Card Mastery"",$A35),DVT_Laboratory!B$1:V$1,0)-1,
  Offset, INDEX(DVT_Laboratory!B$3:ZZ$102,,Match+1),
  Desired, IF"&amp;"(P35&lt;&gt;"""", P35,D35),
  IFS(
    Desired &gt; D35, ""Desired lvl too high"",
    AND(Desired = D35, OR(C35 = D35, C35 = ""Max"")), ""Max Level"",
    Desired = C35, ""OK Level"",
    Desired &lt; C35, ""Desired lvl too low"",
    TRUE, TO_PURE_NUMBER(
      SUM"&amp;"(
        XLOOKUP($C35 + 1, SEQUENCE(100, 1, 1, 1), Offset, ""N/F"", 0, 1): 
        XLOOKUP(Desired, SEQUENCE(100, 1, 1, 1), Offset, ""N/F"", 0, 1)
      ) / Labspeed
    ) /
    IF(AND(B35 &lt;&gt; """", $B$1 = ""All""), RIGHT(B35, 3), 1)
  )
)"),395.3281095096468)</f>
        <v>395.3281095</v>
      </c>
      <c r="R35" s="440" t="str">
        <f t="shared" si="12"/>
        <v>395d  7h 52m</v>
      </c>
      <c r="S35" s="441">
        <f t="array" ref="S35">LET(
  Match, MATCH(IF(ISNUMBER(SEARCH("Mastery",$A35)),"Card Mastery",$A35),DVT_Laboratory!B$1:V$1,0)-1,
  Offset, OFFSET(DVT_Laboratory!C$3,0,Match,100,1),
  Desired, IF(P35&lt;&gt;"", P35,D35),
IF(Desired&gt;D35,"Desired lvl too high",
IF(AND(Desired=D35,OR(C35=D35,C35="Max")),"Max Level",
IF(Desired=C35,"OK Level",
IF(Desired&lt;C35,"Desired lvl too low",
SUM(
XLOOKUP(C35+1,SEQUENCE(100,1,1,1),Offset,"N/F",0,1)
:XLOOKUP(Desired,SEQUENCE(100,1,1,1),Offset,"N/F",0,1))*(1-LAB_COIN_DISCOUNT()))))))</f>
        <v>211206365480</v>
      </c>
      <c r="T35" s="441" t="str">
        <f t="shared" si="13"/>
        <v>211.21 B</v>
      </c>
      <c r="U35" s="442" t="str">
        <f t="shared" si="14"/>
        <v>22.26 M/h</v>
      </c>
      <c r="V35" s="443">
        <f t="array" ref="V35">LET(
  Labspeed, IF(A35 ="Labs Speed", 1+'Master Sheet'!$BK$5, LAB_SPEED_TOTAL()),
  Match, MATCH(IF(ISNUMBER(SEARCH("Mastery",$A35)),"Card Mastery",$A35),DVT_Laboratory!B$1:V$1,0)-1,
  Offset, OFFSET(DVT_Laboratory!B$3,0,Match,100,1),
  Desired, IF(P35&lt;&gt;"", P35,D35),
IF(Desired&gt;D35,"Desired lvl too high",
IF(AND(Desired=D35,OR(C35=D35,C35="Max")),"Max Level",
IF(Desired&lt;=C35,"Desired lvl too low",
SUM(TIME_TO_RUSH_GEMS(
    XLOOKUP(C35+1, SEQUENCE(100,1,1,1), Offset, "N/F", 0, 1):
    XLOOKUP(Desired, SEQUENCE(100,1,1,1), Offset, "N/F", 0, 1)/Labspeed, IDS_LAB_GODLBOXED_COUNT()))))))</f>
        <v>27000</v>
      </c>
    </row>
    <row r="36">
      <c r="A36" s="435" t="s">
        <v>251</v>
      </c>
      <c r="B36" s="436" t="str">
        <f t="shared" si="1"/>
        <v/>
      </c>
      <c r="C36" s="437">
        <f>VLOOKUP($A36,MS_Labs_Array,2,FALSE)</f>
        <v>10</v>
      </c>
      <c r="D36" s="438">
        <f>VLOOKUP($A36,MS_Labs_Array,4,FALSE)</f>
        <v>20</v>
      </c>
      <c r="E36" s="438" t="str">
        <f t="shared" si="20"/>
        <v>T3 50</v>
      </c>
      <c r="F36" s="439">
        <f t="shared" si="17"/>
        <v>1.361209261</v>
      </c>
      <c r="G36" s="440" t="str">
        <f t="shared" si="3"/>
        <v>1d  8h 40m</v>
      </c>
      <c r="H36" s="441">
        <f t="shared" si="4"/>
        <v>158977120</v>
      </c>
      <c r="I36" s="441">
        <f t="shared" si="5"/>
        <v>239436800</v>
      </c>
      <c r="J36" s="441" t="str">
        <f t="shared" si="6"/>
        <v>158.98 M</v>
      </c>
      <c r="K36" s="442" t="str">
        <f t="shared" si="7"/>
        <v>7.33 M/h</v>
      </c>
      <c r="L36" s="443">
        <f t="shared" si="8"/>
        <v>125</v>
      </c>
      <c r="M36" s="444" t="str">
        <f t="shared" si="18"/>
        <v>1d 18h 50m</v>
      </c>
      <c r="N36" s="441" t="str">
        <f t="shared" si="10"/>
        <v>239.44 M</v>
      </c>
      <c r="O36" s="443">
        <f t="shared" si="11"/>
        <v>159</v>
      </c>
      <c r="P36" s="445" t="str">
        <f>VLOOKUP($A36,MS_Labs_Array,3,FALSE)</f>
        <v/>
      </c>
      <c r="Q36" s="444">
        <f>IFERROR(__xludf.DUMMYFUNCTION("LET(
  Labspeed, IF(A36=""Labs Speed"", 1+'Master Sheet'!$BK$5, LAB_SPEED_TOTAL()),
  Match, MATCH(IF(ISNUMBER(SEARCH(""Mastery"",$A36)),""Card Mastery"",$A36),DVT_Laboratory!B$1:V$1,0)-1,
  Offset, INDEX(DVT_Laboratory!B$3:ZZ$102,,Match+1),
  Desired, IF"&amp;"(P36&lt;&gt;"""", P36,D36),
  IFS(
    Desired &gt; D36, ""Desired lvl too high"",
    AND(Desired = D36, OR(C36 = D36, C36 = ""Max"")), ""Max Level"",
    Desired = C36, ""OK Level"",
    Desired &lt; C36, ""Desired lvl too low"",
    TRUE, TO_PURE_NUMBER(
      SUM"&amp;"(
        XLOOKUP($C36 + 1, SEQUENCE(100, 1, 1, 1), Offset, ""N/F"", 0, 1): 
        XLOOKUP(Desired, SEQUENCE(100, 1, 1, 1), Offset, ""N/F"", 0, 1)
      ) / Labspeed
    ) /
    IF(AND(B36 &lt;&gt; """", $B$1 = ""All""), RIGHT(B36, 3), 1)
  )
)"),48.791169916198506)</f>
        <v>48.79116992</v>
      </c>
      <c r="R36" s="440" t="str">
        <f t="shared" si="12"/>
        <v>48d 18h 59m</v>
      </c>
      <c r="S36" s="441">
        <f t="array" ref="S36">LET(
  Match, MATCH(IF(ISNUMBER(SEARCH("Mastery",$A36)),"Card Mastery",$A36),DVT_Laboratory!B$1:V$1,0)-1,
  Offset, OFFSET(DVT_Laboratory!C$3,0,Match,100,1),
  Desired, IF(P36&lt;&gt;"", P36,D36),
IF(Desired&gt;D36,"Desired lvl too high",
IF(AND(Desired=D36,OR(C36=D36,C36="Max")),"Max Level",
IF(Desired=C36,"OK Level",
IF(Desired&lt;C36,"Desired lvl too low",
SUM(
XLOOKUP(C36+1,SEQUENCE(100,1,1,1),Offset,"N/F",0,1)
:XLOOKUP(Desired,SEQUENCE(100,1,1,1),Offset,"N/F",0,1))*(1-LAB_COIN_DISCOUNT()))))))</f>
        <v>10071485520</v>
      </c>
      <c r="T36" s="441" t="str">
        <f t="shared" si="13"/>
        <v>10.07 B</v>
      </c>
      <c r="U36" s="442" t="str">
        <f t="shared" si="14"/>
        <v>8.6 M/h</v>
      </c>
      <c r="V36" s="443">
        <f t="array" ref="V36">LET(
  Labspeed, IF(A36 ="Labs Speed", 1+'Master Sheet'!$BK$5, LAB_SPEED_TOTAL()),
  Match, MATCH(IF(ISNUMBER(SEARCH("Mastery",$A36)),"Card Mastery",$A36),DVT_Laboratory!B$1:V$1,0)-1,
  Offset, OFFSET(DVT_Laboratory!B$3,0,Match,100,1),
  Desired, IF(P36&lt;&gt;"", P36,D36),
IF(Desired&gt;D36,"Desired lvl too high",
IF(AND(Desired=D36,OR(C36=D36,C36="Max")),"Max Level",
IF(Desired&lt;=C36,"Desired lvl too low",
SUM(TIME_TO_RUSH_GEMS(
    XLOOKUP(C36+1, SEQUENCE(100,1,1,1), Offset, "N/F", 0, 1):
    XLOOKUP(Desired, SEQUENCE(100,1,1,1), Offset, "N/F", 0, 1)/Labspeed, IDS_LAB_GODLBOXED_COUNT()))))))</f>
        <v>4013</v>
      </c>
    </row>
    <row r="37">
      <c r="A37" s="435" t="s">
        <v>262</v>
      </c>
      <c r="B37" s="436" t="str">
        <f t="shared" si="1"/>
        <v/>
      </c>
      <c r="C37" s="437">
        <f>VLOOKUP($A37,MS_Labs_Array,2,FALSE)</f>
        <v>10</v>
      </c>
      <c r="D37" s="438">
        <f>VLOOKUP($A37,MS_Labs_Array,4,FALSE)</f>
        <v>10</v>
      </c>
      <c r="E37" s="438" t="str">
        <f t="shared" si="20"/>
        <v>T6 750</v>
      </c>
      <c r="F37" s="439" t="str">
        <f t="shared" si="17"/>
        <v>Max Level</v>
      </c>
      <c r="G37" s="440" t="str">
        <f t="shared" si="3"/>
        <v>Max Level</v>
      </c>
      <c r="H37" s="441" t="str">
        <f t="shared" si="4"/>
        <v>Max Level</v>
      </c>
      <c r="I37" s="441">
        <f t="shared" si="5"/>
        <v>0</v>
      </c>
      <c r="J37" s="441" t="str">
        <f t="shared" si="6"/>
        <v>Max Level</v>
      </c>
      <c r="K37" s="442" t="str">
        <f t="shared" si="7"/>
        <v/>
      </c>
      <c r="L37" s="443" t="str">
        <f t="shared" si="8"/>
        <v>Max Level</v>
      </c>
      <c r="M37" s="444" t="str">
        <f t="shared" si="18"/>
        <v>Max Level</v>
      </c>
      <c r="N37" s="441" t="str">
        <f t="shared" si="10"/>
        <v>Max Level</v>
      </c>
      <c r="O37" s="443" t="str">
        <f t="shared" si="11"/>
        <v>Max Level</v>
      </c>
      <c r="P37" s="445" t="str">
        <f>VLOOKUP($A37,MS_Labs_Array,3,FALSE)</f>
        <v/>
      </c>
      <c r="Q37" s="444" t="str">
        <f>IFERROR(__xludf.DUMMYFUNCTION("LET(
  Labspeed, IF(A37=""Labs Speed"", 1+'Master Sheet'!$BK$5, LAB_SPEED_TOTAL()),
  Match, MATCH(IF(ISNUMBER(SEARCH(""Mastery"",$A37)),""Card Mastery"",$A37),DVT_Laboratory!B$1:V$1,0)-1,
  Offset, INDEX(DVT_Laboratory!B$3:ZZ$102,,Match+1),
  Desired, IF"&amp;"(P37&lt;&gt;"""", P37,D37),
  IFS(
    Desired &gt; D37, ""Desired lvl too high"",
    AND(Desired = D37, OR(C37 = D37, C37 = ""Max"")), ""Max Level"",
    Desired = C37, ""OK Level"",
    Desired &lt; C37, ""Desired lvl too low"",
    TRUE, TO_PURE_NUMBER(
      SUM"&amp;"(
        XLOOKUP($C37 + 1, SEQUENCE(100, 1, 1, 1), Offset, ""N/F"", 0, 1): 
        XLOOKUP(Desired, SEQUENCE(100, 1, 1, 1), Offset, ""N/F"", 0, 1)
      ) / Labspeed
    ) /
    IF(AND(B37 &lt;&gt; """", $B$1 = ""All""), RIGHT(B37, 3), 1)
  )
)"),"Max Level")</f>
        <v>Max Level</v>
      </c>
      <c r="R37" s="440" t="str">
        <f t="shared" si="12"/>
        <v>Max Level</v>
      </c>
      <c r="S37" s="441" t="str">
        <f t="array" ref="S37">LET(
  Match, MATCH(IF(ISNUMBER(SEARCH("Mastery",$A37)),"Card Mastery",$A37),DVT_Laboratory!B$1:V$1,0)-1,
  Offset, OFFSET(DVT_Laboratory!C$3,0,Match,100,1),
  Desired, IF(P37&lt;&gt;"", P37,D37),
IF(Desired&gt;D37,"Desired lvl too high",
IF(AND(Desired=D37,OR(C37=D37,C37="Max")),"Max Level",
IF(Desired=C37,"OK Level",
IF(Desired&lt;C37,"Desired lvl too low",
SUM(
XLOOKUP(C37+1,SEQUENCE(100,1,1,1),Offset,"N/F",0,1)
:XLOOKUP(Desired,SEQUENCE(100,1,1,1),Offset,"N/F",0,1))*(1-LAB_COIN_DISCOUNT()))))))</f>
        <v>Max Level</v>
      </c>
      <c r="T37" s="441" t="str">
        <f t="shared" si="13"/>
        <v>Max Level</v>
      </c>
      <c r="U37" s="442" t="str">
        <f t="shared" si="14"/>
        <v/>
      </c>
      <c r="V37" s="443" t="str">
        <f t="array" ref="V37">LET(
  Labspeed, IF(A37 ="Labs Speed", 1+'Master Sheet'!$BK$5, LAB_SPEED_TOTAL()),
  Match, MATCH(IF(ISNUMBER(SEARCH("Mastery",$A37)),"Card Mastery",$A37),DVT_Laboratory!B$1:V$1,0)-1,
  Offset, OFFSET(DVT_Laboratory!B$3,0,Match,100,1),
  Desired, IF(P37&lt;&gt;"", P37,D37),
IF(Desired&gt;D37,"Desired lvl too high",
IF(AND(Desired=D37,OR(C37=D37,C37="Max")),"Max Level",
IF(Desired&lt;=C37,"Desired lvl too low",
SUM(TIME_TO_RUSH_GEMS(
    XLOOKUP(C37+1, SEQUENCE(100,1,1,1), Offset, "N/F", 0, 1):
    XLOOKUP(Desired, SEQUENCE(100,1,1,1), Offset, "N/F", 0, 1)/Labspeed, IDS_LAB_GODLBOXED_COUNT()))))))</f>
        <v>Max Level</v>
      </c>
    </row>
    <row r="38">
      <c r="A38" s="435" t="s">
        <v>271</v>
      </c>
      <c r="B38" s="436" t="str">
        <f t="shared" si="1"/>
        <v/>
      </c>
      <c r="C38" s="437">
        <f>VLOOKUP($A38,MS_Labs_Array,2,FALSE)</f>
        <v>50</v>
      </c>
      <c r="D38" s="438">
        <f>VLOOKUP($A38,MS_Labs_Array,4,FALSE)</f>
        <v>50</v>
      </c>
      <c r="E38" s="438" t="str">
        <f t="shared" si="20"/>
        <v>T8 10</v>
      </c>
      <c r="F38" s="439" t="str">
        <f t="shared" si="17"/>
        <v>Max Level</v>
      </c>
      <c r="G38" s="440" t="str">
        <f t="shared" si="3"/>
        <v>Max Level</v>
      </c>
      <c r="H38" s="441" t="str">
        <f t="shared" si="4"/>
        <v>Max Level</v>
      </c>
      <c r="I38" s="441">
        <f t="shared" si="5"/>
        <v>0</v>
      </c>
      <c r="J38" s="441" t="str">
        <f t="shared" si="6"/>
        <v>Max Level</v>
      </c>
      <c r="K38" s="442" t="str">
        <f t="shared" si="7"/>
        <v/>
      </c>
      <c r="L38" s="443" t="str">
        <f t="shared" si="8"/>
        <v>Max Level</v>
      </c>
      <c r="M38" s="444" t="str">
        <f t="shared" si="18"/>
        <v>Max Level</v>
      </c>
      <c r="N38" s="441" t="str">
        <f t="shared" si="10"/>
        <v>Max Level</v>
      </c>
      <c r="O38" s="443" t="str">
        <f t="shared" si="11"/>
        <v>Max Level</v>
      </c>
      <c r="P38" s="445" t="str">
        <f>VLOOKUP($A38,MS_Labs_Array,3,FALSE)</f>
        <v/>
      </c>
      <c r="Q38" s="444" t="str">
        <f>IFERROR(__xludf.DUMMYFUNCTION("LET(
  Labspeed, IF(A38=""Labs Speed"", 1+'Master Sheet'!$BK$5, LAB_SPEED_TOTAL()),
  Match, MATCH(IF(ISNUMBER(SEARCH(""Mastery"",$A38)),""Card Mastery"",$A38),DVT_Laboratory!B$1:V$1,0)-1,
  Offset, INDEX(DVT_Laboratory!B$3:ZZ$102,,Match+1),
  Desired, IF"&amp;"(P38&lt;&gt;"""", P38,D38),
  IFS(
    Desired &gt; D38, ""Desired lvl too high"",
    AND(Desired = D38, OR(C38 = D38, C38 = ""Max"")), ""Max Level"",
    Desired = C38, ""OK Level"",
    Desired &lt; C38, ""Desired lvl too low"",
    TRUE, TO_PURE_NUMBER(
      SUM"&amp;"(
        XLOOKUP($C38 + 1, SEQUENCE(100, 1, 1, 1), Offset, ""N/F"", 0, 1): 
        XLOOKUP(Desired, SEQUENCE(100, 1, 1, 1), Offset, ""N/F"", 0, 1)
      ) / Labspeed
    ) /
    IF(AND(B38 &lt;&gt; """", $B$1 = ""All""), RIGHT(B38, 3), 1)
  )
)"),"Max Level")</f>
        <v>Max Level</v>
      </c>
      <c r="R38" s="440" t="str">
        <f t="shared" si="12"/>
        <v>Max Level</v>
      </c>
      <c r="S38" s="441" t="str">
        <f t="array" ref="S38">LET(
  Match, MATCH(IF(ISNUMBER(SEARCH("Mastery",$A38)),"Card Mastery",$A38),DVT_Laboratory!B$1:V$1,0)-1,
  Offset, OFFSET(DVT_Laboratory!C$3,0,Match,100,1),
  Desired, IF(P38&lt;&gt;"", P38,D38),
IF(Desired&gt;D38,"Desired lvl too high",
IF(AND(Desired=D38,OR(C38=D38,C38="Max")),"Max Level",
IF(Desired=C38,"OK Level",
IF(Desired&lt;C38,"Desired lvl too low",
SUM(
XLOOKUP(C38+1,SEQUENCE(100,1,1,1),Offset,"N/F",0,1)
:XLOOKUP(Desired,SEQUENCE(100,1,1,1),Offset,"N/F",0,1))*(1-LAB_COIN_DISCOUNT()))))))</f>
        <v>Max Level</v>
      </c>
      <c r="T38" s="441" t="str">
        <f t="shared" si="13"/>
        <v>Max Level</v>
      </c>
      <c r="U38" s="442" t="str">
        <f t="shared" si="14"/>
        <v/>
      </c>
      <c r="V38" s="443" t="str">
        <f t="array" ref="V38">LET(
  Labspeed, IF(A38 ="Labs Speed", 1+'Master Sheet'!$BK$5, LAB_SPEED_TOTAL()),
  Match, MATCH(IF(ISNUMBER(SEARCH("Mastery",$A38)),"Card Mastery",$A38),DVT_Laboratory!B$1:V$1,0)-1,
  Offset, OFFSET(DVT_Laboratory!B$3,0,Match,100,1),
  Desired, IF(P38&lt;&gt;"", P38,D38),
IF(Desired&gt;D38,"Desired lvl too high",
IF(AND(Desired=D38,OR(C38=D38,C38="Max")),"Max Level",
IF(Desired&lt;=C38,"Desired lvl too low",
SUM(TIME_TO_RUSH_GEMS(
    XLOOKUP(C38+1, SEQUENCE(100,1,1,1), Offset, "N/F", 0, 1):
    XLOOKUP(Desired, SEQUENCE(100,1,1,1), Offset, "N/F", 0, 1)/Labspeed, IDS_LAB_GODLBOXED_COUNT()))))))</f>
        <v>Max Level</v>
      </c>
    </row>
    <row r="39">
      <c r="A39" s="435" t="s">
        <v>279</v>
      </c>
      <c r="B39" s="436" t="str">
        <f t="shared" si="1"/>
        <v/>
      </c>
      <c r="C39" s="437">
        <f>VLOOKUP($A39,MS_Labs_Array,2,FALSE)</f>
        <v>9</v>
      </c>
      <c r="D39" s="438">
        <f>VLOOKUP($A39,MS_Labs_Array,4,FALSE)</f>
        <v>20</v>
      </c>
      <c r="E39" s="438" t="str">
        <f t="shared" si="20"/>
        <v>T8 10</v>
      </c>
      <c r="F39" s="439">
        <f t="shared" si="17"/>
        <v>1.767224213</v>
      </c>
      <c r="G39" s="440" t="str">
        <f t="shared" si="3"/>
        <v>1d 18h 24m</v>
      </c>
      <c r="H39" s="441">
        <f t="shared" si="4"/>
        <v>5293400000</v>
      </c>
      <c r="I39" s="441">
        <f t="shared" si="5"/>
        <v>6169000000</v>
      </c>
      <c r="J39" s="441" t="str">
        <f t="shared" si="6"/>
        <v>5.29 B</v>
      </c>
      <c r="K39" s="442" t="str">
        <f t="shared" si="7"/>
        <v>145.45 M/h</v>
      </c>
      <c r="L39" s="443">
        <f t="shared" si="8"/>
        <v>157</v>
      </c>
      <c r="M39" s="444" t="str">
        <f t="shared" si="18"/>
        <v>2d  3h 27m</v>
      </c>
      <c r="N39" s="441" t="str">
        <f t="shared" si="10"/>
        <v>6.17 B</v>
      </c>
      <c r="O39" s="443">
        <f t="shared" si="11"/>
        <v>188</v>
      </c>
      <c r="P39" s="445" t="str">
        <f>VLOOKUP($A39,MS_Labs_Array,3,FALSE)</f>
        <v/>
      </c>
      <c r="Q39" s="444">
        <f>IFERROR(__xludf.DUMMYFUNCTION("LET(
  Labspeed, IF(A39=""Labs Speed"", 1+'Master Sheet'!$BK$5, LAB_SPEED_TOTAL()),
  Match, MATCH(IF(ISNUMBER(SEARCH(""Mastery"",$A39)),""Card Mastery"",$A39),DVT_Laboratory!B$1:V$1,0)-1,
  Offset, INDEX(DVT_Laboratory!B$3:ZZ$102,,Match+1),
  Desired, IF"&amp;"(P39&lt;&gt;"""", P39,D39),
  IFS(
    Desired &gt; D39, ""Desired lvl too high"",
    AND(Desired = D39, OR(C39 = D39, C39 = ""Max"")), ""Max Level"",
    Desired = C39, ""OK Level"",
    Desired &lt; C39, ""Desired lvl too low"",
    TRUE, TO_PURE_NUMBER(
      SUM"&amp;"(
        XLOOKUP($C39 + 1, SEQUENCE(100, 1, 1, 1), Offset, ""N/F"", 0, 1): 
        XLOOKUP(Desired, SEQUENCE(100, 1, 1, 1), Offset, ""N/F"", 0, 1)
      ) / Labspeed
    ) /
    IF(AND(B39 &lt;&gt; """", $B$1 = ""All""), RIGHT(B39, 3), 1)
  )
)"),57.308480981553494)</f>
        <v>57.30848098</v>
      </c>
      <c r="R39" s="440" t="str">
        <f t="shared" si="12"/>
        <v>57d  7h 24m</v>
      </c>
      <c r="S39" s="441">
        <f t="array" ref="S39">LET(
  Match, MATCH(IF(ISNUMBER(SEARCH("Mastery",$A39)),"Card Mastery",$A39),DVT_Laboratory!B$1:V$1,0)-1,
  Offset, OFFSET(DVT_Laboratory!C$3,0,Match,100,1),
  Desired, IF(P39&lt;&gt;"", P39,D39),
IF(Desired&gt;D39,"Desired lvl too high",
IF(AND(Desired=D39,OR(C39=D39,C39="Max")),"Max Level",
IF(Desired=C39,"OK Level",
IF(Desired&lt;C39,"Desired lvl too low",
SUM(
XLOOKUP(C39+1,SEQUENCE(100,1,1,1),Offset,"N/F",0,1)
:XLOOKUP(Desired,SEQUENCE(100,1,1,1),Offset,"N/F",0,1))*(1-LAB_COIN_DISCOUNT()))))))</f>
        <v>130750960000</v>
      </c>
      <c r="T39" s="441" t="str">
        <f t="shared" si="13"/>
        <v>130.75 B</v>
      </c>
      <c r="U39" s="442" t="str">
        <f t="shared" si="14"/>
        <v>95.06 M/h</v>
      </c>
      <c r="V39" s="443">
        <f t="array" ref="V39">LET(
  Labspeed, IF(A39 ="Labs Speed", 1+'Master Sheet'!$BK$5, LAB_SPEED_TOTAL()),
  Match, MATCH(IF(ISNUMBER(SEARCH("Mastery",$A39)),"Card Mastery",$A39),DVT_Laboratory!B$1:V$1,0)-1,
  Offset, OFFSET(DVT_Laboratory!B$3,0,Match,100,1),
  Desired, IF(P39&lt;&gt;"", P39,D39),
IF(Desired&gt;D39,"Desired lvl too high",
IF(AND(Desired=D39,OR(C39=D39,C39="Max")),"Max Level",
IF(Desired&lt;=C39,"Desired lvl too low",
SUM(TIME_TO_RUSH_GEMS(
    XLOOKUP(C39+1, SEQUENCE(100,1,1,1), Offset, "N/F", 0, 1):
    XLOOKUP(Desired, SEQUENCE(100,1,1,1), Offset, "N/F", 0, 1)/Labspeed, IDS_LAB_GODLBOXED_COUNT()))))))</f>
        <v>4697</v>
      </c>
    </row>
    <row r="40">
      <c r="A40" s="435" t="s">
        <v>287</v>
      </c>
      <c r="B40" s="436" t="str">
        <f t="shared" si="1"/>
        <v/>
      </c>
      <c r="C40" s="437">
        <f>VLOOKUP($A40,MS_Labs_Array,2,FALSE)</f>
        <v>21</v>
      </c>
      <c r="D40" s="438">
        <f>VLOOKUP($A40,MS_Labs_Array,4,FALSE)</f>
        <v>30</v>
      </c>
      <c r="E40" s="438" t="str">
        <f t="shared" si="20"/>
        <v>T10 70</v>
      </c>
      <c r="F40" s="439">
        <f t="shared" si="17"/>
        <v>23.22416415</v>
      </c>
      <c r="G40" s="440" t="str">
        <f t="shared" si="3"/>
        <v>23d  5h 22m</v>
      </c>
      <c r="H40" s="441">
        <f t="shared" si="4"/>
        <v>126556040000</v>
      </c>
      <c r="I40" s="441">
        <f t="shared" si="5"/>
        <v>132199680000</v>
      </c>
      <c r="J40" s="441" t="str">
        <f t="shared" si="6"/>
        <v>126.56 B</v>
      </c>
      <c r="K40" s="442" t="str">
        <f t="shared" si="7"/>
        <v>237.18 M/h</v>
      </c>
      <c r="L40" s="443">
        <f t="shared" si="8"/>
        <v>1628</v>
      </c>
      <c r="M40" s="444" t="str">
        <f t="shared" si="18"/>
        <v>26d 16h 59m</v>
      </c>
      <c r="N40" s="441" t="str">
        <f t="shared" si="10"/>
        <v>132.2 B</v>
      </c>
      <c r="O40" s="443">
        <f t="shared" si="11"/>
        <v>1852</v>
      </c>
      <c r="P40" s="445" t="str">
        <f>VLOOKUP($A40,MS_Labs_Array,3,FALSE)</f>
        <v/>
      </c>
      <c r="Q40" s="444">
        <f>IFERROR(__xludf.DUMMYFUNCTION("LET(
  Labspeed, IF(A40=""Labs Speed"", 1+'Master Sheet'!$BK$5, LAB_SPEED_TOTAL()),
  Match, MATCH(IF(ISNUMBER(SEARCH(""Mastery"",$A40)),""Card Mastery"",$A40),DVT_Laboratory!B$1:V$1,0)-1,
  Offset, INDEX(DVT_Laboratory!B$3:ZZ$102,,Match+1),
  Desired, IF"&amp;"(P40&lt;&gt;"""", P40,D40),
  IFS(
    Desired &gt; D40, ""Desired lvl too high"",
    AND(Desired = D40, OR(C40 = D40, C40 = ""Max"")), ""Max Level"",
    Desired = C40, ""OK Level"",
    Desired &lt; C40, ""Desired lvl too low"",
    TRUE, TO_PURE_NUMBER(
      SUM"&amp;"(
        XLOOKUP($C40 + 1, SEQUENCE(100, 1, 1, 1), Offset, ""N/F"", 0, 1): 
        XLOOKUP(Desired, SEQUENCE(100, 1, 1, 1), Offset, ""N/F"", 0, 1)
      ) / Labspeed
    ) /
    IF(AND(B40 &lt;&gt; """", $B$1 = ""All""), RIGHT(B40, 3), 1)
  )
)"),389.8371015051504)</f>
        <v>389.8371015</v>
      </c>
      <c r="R40" s="440" t="str">
        <f t="shared" si="12"/>
        <v>389d 20h  5m</v>
      </c>
      <c r="S40" s="441">
        <f t="array" ref="S40">LET(
  Match, MATCH(IF(ISNUMBER(SEARCH("Mastery",$A40)),"Card Mastery",$A40),DVT_Laboratory!B$1:V$1,0)-1,
  Offset, OFFSET(DVT_Laboratory!C$3,0,Match,100,1),
  Desired, IF(P40&lt;&gt;"", P40,D40),
IF(Desired&gt;D40,"Desired lvl too high",
IF(AND(Desired=D40,OR(C40=D40,C40="Max")),"Max Level",
IF(Desired=C40,"OK Level",
IF(Desired&lt;C40,"Desired lvl too low",
SUM(
XLOOKUP(C40+1,SEQUENCE(100,1,1,1),Offset,"N/F",0,1)
:XLOOKUP(Desired,SEQUENCE(100,1,1,1),Offset,"N/F",0,1))*(1-LAB_COIN_DISCOUNT()))))))</f>
        <v>1347436960000</v>
      </c>
      <c r="T40" s="441" t="str">
        <f t="shared" si="13"/>
        <v>1.35 T</v>
      </c>
      <c r="U40" s="442" t="str">
        <f t="shared" si="14"/>
        <v>144.02 M/h</v>
      </c>
      <c r="V40" s="443">
        <f t="array" ref="V40">LET(
  Labspeed, IF(A40 ="Labs Speed", 1+'Master Sheet'!$BK$5, LAB_SPEED_TOTAL()),
  Match, MATCH(IF(ISNUMBER(SEARCH("Mastery",$A40)),"Card Mastery",$A40),DVT_Laboratory!B$1:V$1,0)-1,
  Offset, OFFSET(DVT_Laboratory!B$3,0,Match,100,1),
  Desired, IF(P40&lt;&gt;"", P40,D40),
IF(Desired&gt;D40,"Desired lvl too high",
IF(AND(Desired=D40,OR(C40=D40,C40="Max")),"Max Level",
IF(Desired&lt;=C40,"Desired lvl too low",
SUM(TIME_TO_RUSH_GEMS(
    XLOOKUP(C40+1, SEQUENCE(100,1,1,1), Offset, "N/F", 0, 1):
    XLOOKUP(Desired, SEQUENCE(100,1,1,1), Offset, "N/F", 0, 1)/Labspeed, IDS_LAB_GODLBOXED_COUNT()))))))</f>
        <v>23532</v>
      </c>
    </row>
    <row r="41">
      <c r="A41" s="435" t="s">
        <v>295</v>
      </c>
      <c r="B41" s="436" t="str">
        <f t="shared" si="1"/>
        <v/>
      </c>
      <c r="C41" s="437">
        <f>VLOOKUP($A41,MS_Labs_Array,2,FALSE)</f>
        <v>15</v>
      </c>
      <c r="D41" s="438">
        <f>VLOOKUP($A41,MS_Labs_Array,4,FALSE)</f>
        <v>20</v>
      </c>
      <c r="E41" s="438" t="str">
        <f t="shared" si="20"/>
        <v>T10 70</v>
      </c>
      <c r="F41" s="439">
        <f t="shared" si="17"/>
        <v>25.11184829</v>
      </c>
      <c r="G41" s="440" t="str">
        <f t="shared" si="3"/>
        <v>25d  2h 41m</v>
      </c>
      <c r="H41" s="441">
        <f t="shared" si="4"/>
        <v>129819640000</v>
      </c>
      <c r="I41" s="441">
        <f t="shared" si="5"/>
        <v>137469200000</v>
      </c>
      <c r="J41" s="441" t="str">
        <f t="shared" si="6"/>
        <v>129.82 B</v>
      </c>
      <c r="K41" s="442" t="str">
        <f t="shared" si="7"/>
        <v>228.09 M/h</v>
      </c>
      <c r="L41" s="443">
        <f t="shared" si="8"/>
        <v>1749</v>
      </c>
      <c r="M41" s="444" t="str">
        <f t="shared" si="18"/>
        <v>32d 17h  8m</v>
      </c>
      <c r="N41" s="441" t="str">
        <f t="shared" si="10"/>
        <v>137.47 B</v>
      </c>
      <c r="O41" s="443">
        <f t="shared" si="11"/>
        <v>2182</v>
      </c>
      <c r="P41" s="445" t="str">
        <f>VLOOKUP($A41,MS_Labs_Array,3,FALSE)</f>
        <v/>
      </c>
      <c r="Q41" s="444">
        <f>IFERROR(__xludf.DUMMYFUNCTION("LET(
  Labspeed, IF(A41=""Labs Speed"", 1+'Master Sheet'!$BK$5, LAB_SPEED_TOTAL()),
  Match, MATCH(IF(ISNUMBER(SEARCH(""Mastery"",$A41)),""Card Mastery"",$A41),DVT_Laboratory!B$1:V$1,0)-1,
  Offset, INDEX(DVT_Laboratory!B$3:ZZ$102,,Match+1),
  Desired, IF"&amp;"(P41&lt;&gt;"""", P41,D41),
  IFS(
    Desired &gt; D41, ""Desired lvl too high"",
    AND(Desired = D41, OR(C41 = D41, C41 = ""Max"")), ""Max Level"",
    Desired = C41, ""OK Level"",
    Desired &lt; C41, ""Desired lvl too low"",
    TRUE, TO_PURE_NUMBER(
      SUM"&amp;"(
        XLOOKUP($C41 + 1, SEQUENCE(100, 1, 1, 1), Offset, ""N/F"", 0, 1): 
        XLOOKUP(Desired, SEQUENCE(100, 1, 1, 1), Offset, ""N/F"", 0, 1)
      ) / Labspeed
    ) /
    IF(AND(B41 &lt;&gt; """", $B$1 = ""All""), RIGHT(B41, 3), 1)
  )
)"),220.09735179395057)</f>
        <v>220.0973518</v>
      </c>
      <c r="R41" s="440" t="str">
        <f t="shared" si="12"/>
        <v>220d  2h 20m</v>
      </c>
      <c r="S41" s="441">
        <f t="array" ref="S41">LET(
  Match, MATCH(IF(ISNUMBER(SEARCH("Mastery",$A41)),"Card Mastery",$A41),DVT_Laboratory!B$1:V$1,0)-1,
  Offset, OFFSET(DVT_Laboratory!C$3,0,Match,100,1),
  Desired, IF(P41&lt;&gt;"", P41,D41),
IF(Desired&gt;D41,"Desired lvl too high",
IF(AND(Desired=D41,OR(C41=D41,C41="Max")),"Max Level",
IF(Desired=C41,"OK Level",
IF(Desired&lt;C41,"Desired lvl too low",
SUM(
XLOOKUP(C41+1,SEQUENCE(100,1,1,1),Offset,"N/F",0,1)
:XLOOKUP(Desired,SEQUENCE(100,1,1,1),Offset,"N/F",0,1))*(1-LAB_COIN_DISCOUNT()))))))</f>
        <v>726270400000</v>
      </c>
      <c r="T41" s="441" t="str">
        <f t="shared" si="13"/>
        <v>726.27 B</v>
      </c>
      <c r="U41" s="442" t="str">
        <f t="shared" si="14"/>
        <v>137.49 M/h</v>
      </c>
      <c r="V41" s="443">
        <f t="array" ref="V41">LET(
  Labspeed, IF(A41 ="Labs Speed", 1+'Master Sheet'!$BK$5, LAB_SPEED_TOTAL()),
  Match, MATCH(IF(ISNUMBER(SEARCH("Mastery",$A41)),"Card Mastery",$A41),DVT_Laboratory!B$1:V$1,0)-1,
  Offset, OFFSET(DVT_Laboratory!B$3,0,Match,100,1),
  Desired, IF(P41&lt;&gt;"", P41,D41),
IF(Desired&gt;D41,"Desired lvl too high",
IF(AND(Desired=D41,OR(C41=D41,C41="Max")),"Max Level",
IF(Desired&lt;=C41,"Desired lvl too low",
SUM(TIME_TO_RUSH_GEMS(
    XLOOKUP(C41+1, SEQUENCE(100,1,1,1), Offset, "N/F", 0, 1):
    XLOOKUP(Desired, SEQUENCE(100,1,1,1), Offset, "N/F", 0, 1)/Labspeed, IDS_LAB_GODLBOXED_COUNT()))))))</f>
        <v>13241</v>
      </c>
    </row>
    <row r="42">
      <c r="A42" s="435" t="s">
        <v>302</v>
      </c>
      <c r="B42" s="436" t="str">
        <f t="shared" si="1"/>
        <v/>
      </c>
      <c r="C42" s="437">
        <f>VLOOKUP($A42,MS_Labs_Array,2,FALSE)</f>
        <v>0</v>
      </c>
      <c r="D42" s="438">
        <f>VLOOKUP($A42,MS_Labs_Array,4,FALSE)</f>
        <v>10</v>
      </c>
      <c r="E42" s="438" t="str">
        <f t="shared" si="20"/>
        <v>T12 10</v>
      </c>
      <c r="F42" s="439">
        <f t="shared" si="17"/>
        <v>0.8824646732</v>
      </c>
      <c r="G42" s="440" t="str">
        <f t="shared" si="3"/>
        <v>0d 21h 10m</v>
      </c>
      <c r="H42" s="441">
        <f t="shared" si="4"/>
        <v>238800000000</v>
      </c>
      <c r="I42" s="441">
        <f t="shared" si="5"/>
        <v>279396000000</v>
      </c>
      <c r="J42" s="441" t="str">
        <f t="shared" si="6"/>
        <v>238.8 B</v>
      </c>
      <c r="K42" s="442" t="str">
        <f t="shared" si="7"/>
        <v>13.19 B/h</v>
      </c>
      <c r="L42" s="443">
        <f t="shared" si="8"/>
        <v>84</v>
      </c>
      <c r="M42" s="444" t="str">
        <f t="shared" si="18"/>
        <v>1d  0h 43m</v>
      </c>
      <c r="N42" s="441" t="str">
        <f t="shared" si="10"/>
        <v>279.4 B</v>
      </c>
      <c r="O42" s="443">
        <f t="shared" si="11"/>
        <v>98</v>
      </c>
      <c r="P42" s="445" t="str">
        <f>VLOOKUP($A42,MS_Labs_Array,3,FALSE)</f>
        <v/>
      </c>
      <c r="Q42" s="444">
        <f>IFERROR(__xludf.DUMMYFUNCTION("LET(
  Labspeed, IF(A42=""Labs Speed"", 1+'Master Sheet'!$BK$5, LAB_SPEED_TOTAL()),
  Match, MATCH(IF(ISNUMBER(SEARCH(""Mastery"",$A42)),""Card Mastery"",$A42),DVT_Laboratory!B$1:V$1,0)-1,
  Offset, INDEX(DVT_Laboratory!B$3:ZZ$102,,Match+1),
  Desired, IF"&amp;"(P42&lt;&gt;"""", P42,D42),
  IFS(
    Desired &gt; D42, ""Desired lvl too high"",
    AND(Desired = D42, OR(C42 = D42, C42 = ""Max"")), ""Max Level"",
    Desired = C42, ""OK Level"",
    Desired &lt; C42, ""Desired lvl too low"",
    TRUE, TO_PURE_NUMBER(
      SUM"&amp;"(
        XLOOKUP($C42 + 1, SEQUENCE(100, 1, 1, 1), Offset, ""N/F"", 0, 1): 
        XLOOKUP(Desired, SEQUENCE(100, 1, 1, 1), Offset, ""N/F"", 0, 1)
      ) / Labspeed
    ) /
    IF(AND(B42 &lt;&gt; """", $B$1 = ""All""), RIGHT(B42, 3), 1)
  )
)"),21.291071060383953)</f>
        <v>21.29107106</v>
      </c>
      <c r="R42" s="440" t="str">
        <f t="shared" si="12"/>
        <v>21d  6h 59m</v>
      </c>
      <c r="S42" s="441">
        <f t="array" ref="S42">LET(
  Match, MATCH(IF(ISNUMBER(SEARCH("Mastery",$A42)),"Card Mastery",$A42),DVT_Laboratory!B$1:V$1,0)-1,
  Offset, OFFSET(DVT_Laboratory!C$3,0,Match,100,1),
  Desired, IF(P42&lt;&gt;"", P42,D42),
IF(Desired&gt;D42,"Desired lvl too high",
IF(AND(Desired=D42,OR(C42=D42,C42="Max")),"Max Level",
IF(Desired=C42,"OK Level",
IF(Desired&lt;C42,"Desired lvl too low",
SUM(
XLOOKUP(C42+1,SEQUENCE(100,1,1,1),Offset,"N/F",0,1)
:XLOOKUP(Desired,SEQUENCE(100,1,1,1),Offset,"N/F",0,1))*(1-LAB_COIN_DISCOUNT()))))))</f>
        <v>4285441120000</v>
      </c>
      <c r="T42" s="441" t="str">
        <f t="shared" si="13"/>
        <v>4.29 T</v>
      </c>
      <c r="U42" s="442" t="str">
        <f t="shared" si="14"/>
        <v>8.39 B/h</v>
      </c>
      <c r="V42" s="443">
        <f t="array" ref="V42">LET(
  Labspeed, IF(A42 ="Labs Speed", 1+'Master Sheet'!$BK$5, LAB_SPEED_TOTAL()),
  Match, MATCH(IF(ISNUMBER(SEARCH("Mastery",$A42)),"Card Mastery",$A42),DVT_Laboratory!B$1:V$1,0)-1,
  Offset, OFFSET(DVT_Laboratory!B$3,0,Match,100,1),
  Desired, IF(P42&lt;&gt;"", P42,D42),
IF(Desired&gt;D42,"Desired lvl too high",
IF(AND(Desired=D42,OR(C42=D42,C42="Max")),"Max Level",
IF(Desired&lt;=C42,"Desired lvl too low",
SUM(TIME_TO_RUSH_GEMS(
    XLOOKUP(C42+1, SEQUENCE(100,1,1,1), Offset, "N/F", 0, 1):
    XLOOKUP(Desired, SEQUENCE(100,1,1,1), Offset, "N/F", 0, 1)/Labspeed, IDS_LAB_GODLBOXED_COUNT()))))))</f>
        <v>1866</v>
      </c>
    </row>
    <row r="43">
      <c r="A43" s="435" t="s">
        <v>309</v>
      </c>
      <c r="B43" s="436" t="str">
        <f t="shared" si="1"/>
        <v/>
      </c>
      <c r="C43" s="437">
        <f>VLOOKUP($A43,MS_Labs_Array,2,FALSE)</f>
        <v>47</v>
      </c>
      <c r="D43" s="438">
        <f>VLOOKUP($A43,MS_Labs_Array,4,FALSE)</f>
        <v>60</v>
      </c>
      <c r="E43" s="438" t="str">
        <f t="shared" si="20"/>
        <v>T14 40</v>
      </c>
      <c r="F43" s="439">
        <f t="shared" si="17"/>
        <v>8.569310401</v>
      </c>
      <c r="G43" s="440" t="str">
        <f t="shared" si="3"/>
        <v>8d 13h 39m</v>
      </c>
      <c r="H43" s="441">
        <f t="shared" si="4"/>
        <v>4370040000000</v>
      </c>
      <c r="I43" s="441">
        <f t="shared" si="5"/>
        <v>4640680000000</v>
      </c>
      <c r="J43" s="441" t="str">
        <f t="shared" si="6"/>
        <v>4.37 T</v>
      </c>
      <c r="K43" s="442" t="str">
        <f t="shared" si="7"/>
        <v>22.56 B/h</v>
      </c>
      <c r="L43" s="443">
        <f t="shared" si="8"/>
        <v>683</v>
      </c>
      <c r="M43" s="444" t="str">
        <f t="shared" si="18"/>
        <v>8d 23h 45m</v>
      </c>
      <c r="N43" s="441" t="str">
        <f t="shared" si="10"/>
        <v>4.64 T</v>
      </c>
      <c r="O43" s="443">
        <f t="shared" si="11"/>
        <v>710</v>
      </c>
      <c r="P43" s="445" t="str">
        <f>VLOOKUP($A43,MS_Labs_Array,3,FALSE)</f>
        <v/>
      </c>
      <c r="Q43" s="444">
        <f>IFERROR(__xludf.DUMMYFUNCTION("LET(
  Labspeed, IF(A43=""Labs Speed"", 1+'Master Sheet'!$BK$5, LAB_SPEED_TOTAL()),
  Match, MATCH(IF(ISNUMBER(SEARCH(""Mastery"",$A43)),""Card Mastery"",$A43),DVT_Laboratory!B$1:V$1,0)-1,
  Offset, INDEX(DVT_Laboratory!B$3:ZZ$102,,Match+1),
  Desired, IF"&amp;"(P43&lt;&gt;"""", P43,D43),
  IFS(
    Desired &gt; D43, ""Desired lvl too high"",
    AND(Desired = D43, OR(C43 = D43, C43 = ""Max"")), ""Max Level"",
    Desired = C43, ""OK Level"",
    Desired &lt; C43, ""Desired lvl too low"",
    TRUE, TO_PURE_NUMBER(
      SUM"&amp;"(
        XLOOKUP($C43 + 1, SEQUENCE(100, 1, 1, 1), Offset, ""N/F"", 0, 1): 
        XLOOKUP(Desired, SEQUENCE(100, 1, 1, 1), Offset, ""N/F"", 0, 1)
      ) / Labspeed
    ) /
    IF(AND(B43 &lt;&gt; """", $B$1 = ""All""), RIGHT(B43, 3), 1)
  )
)"),148.40832723722477)</f>
        <v>148.4083272</v>
      </c>
      <c r="R43" s="440" t="str">
        <f t="shared" si="12"/>
        <v>148d  9h 47m</v>
      </c>
      <c r="S43" s="441">
        <f t="array" ref="S43">LET(
  Match, MATCH(IF(ISNUMBER(SEARCH("Mastery",$A43)),"Card Mastery",$A43),DVT_Laboratory!B$1:V$1,0)-1,
  Offset, OFFSET(DVT_Laboratory!C$3,0,Match,100,1),
  Desired, IF(P43&lt;&gt;"", P43,D43),
IF(Desired&gt;D43,"Desired lvl too high",
IF(AND(Desired=D43,OR(C43=D43,C43="Max")),"Max Level",
IF(Desired=C43,"OK Level",
IF(Desired&lt;C43,"Desired lvl too low",
SUM(
XLOOKUP(C43+1,SEQUENCE(100,1,1,1),Offset,"N/F",0,1)
:XLOOKUP(Desired,SEQUENCE(100,1,1,1),Offset,"N/F",0,1))*(1-LAB_COIN_DISCOUNT()))))))</f>
        <v>81279560000000</v>
      </c>
      <c r="T43" s="441" t="str">
        <f t="shared" si="13"/>
        <v>81.28 T</v>
      </c>
      <c r="U43" s="442" t="str">
        <f t="shared" si="14"/>
        <v>22.82 B/h</v>
      </c>
      <c r="V43" s="443">
        <f t="array" ref="V43">LET(
  Labspeed, IF(A43 ="Labs Speed", 1+'Master Sheet'!$BK$5, LAB_SPEED_TOTAL()),
  Match, MATCH(IF(ISNUMBER(SEARCH("Mastery",$A43)),"Card Mastery",$A43),DVT_Laboratory!B$1:V$1,0)-1,
  Offset, OFFSET(DVT_Laboratory!B$3,0,Match,100,1),
  Desired, IF(P43&lt;&gt;"", P43,D43),
IF(Desired&gt;D43,"Desired lvl too high",
IF(AND(Desired=D43,OR(C43=D43,C43="Max")),"Max Level",
IF(Desired&lt;=C43,"Desired lvl too low",
SUM(TIME_TO_RUSH_GEMS(
    XLOOKUP(C43+1, SEQUENCE(100,1,1,1), Offset, "N/F", 0, 1):
    XLOOKUP(Desired, SEQUENCE(100,1,1,1), Offset, "N/F", 0, 1)/Labspeed, IDS_LAB_GODLBOXED_COUNT()))))))</f>
        <v>11265</v>
      </c>
    </row>
    <row r="44">
      <c r="A44" s="435" t="s">
        <v>316</v>
      </c>
      <c r="B44" s="436" t="str">
        <f t="shared" si="1"/>
        <v/>
      </c>
      <c r="C44" s="437">
        <f>VLOOKUP($A44,MS_Labs_Array,2,FALSE)</f>
        <v>10</v>
      </c>
      <c r="D44" s="438">
        <f>VLOOKUP($A44,MS_Labs_Array,4,FALSE)</f>
        <v>10</v>
      </c>
      <c r="E44" s="438" t="str">
        <f t="shared" si="20"/>
        <v>T2 1000</v>
      </c>
      <c r="F44" s="439" t="str">
        <f t="shared" si="17"/>
        <v>Max Level</v>
      </c>
      <c r="G44" s="440" t="str">
        <f t="shared" si="3"/>
        <v>Max Level</v>
      </c>
      <c r="H44" s="441" t="str">
        <f t="shared" si="4"/>
        <v>Max Level</v>
      </c>
      <c r="I44" s="441">
        <f t="shared" si="5"/>
        <v>0</v>
      </c>
      <c r="J44" s="441" t="str">
        <f t="shared" si="6"/>
        <v>Max Level</v>
      </c>
      <c r="K44" s="442" t="str">
        <f t="shared" si="7"/>
        <v/>
      </c>
      <c r="L44" s="443" t="str">
        <f t="shared" si="8"/>
        <v>Max Level</v>
      </c>
      <c r="M44" s="444" t="str">
        <f t="shared" si="18"/>
        <v>Max Level</v>
      </c>
      <c r="N44" s="441" t="str">
        <f t="shared" si="10"/>
        <v>Max Level</v>
      </c>
      <c r="O44" s="443" t="str">
        <f t="shared" si="11"/>
        <v>Max Level</v>
      </c>
      <c r="P44" s="445" t="str">
        <f>VLOOKUP($A44,MS_Labs_Array,3,FALSE)</f>
        <v/>
      </c>
      <c r="Q44" s="444" t="str">
        <f>IFERROR(__xludf.DUMMYFUNCTION("LET(
  Labspeed, IF(A44=""Labs Speed"", 1+'Master Sheet'!$BK$5, LAB_SPEED_TOTAL()),
  Match, MATCH(IF(ISNUMBER(SEARCH(""Mastery"",$A44)),""Card Mastery"",$A44),DVT_Laboratory!B$1:V$1,0)-1,
  Offset, INDEX(DVT_Laboratory!B$3:ZZ$102,,Match+1),
  Desired, IF"&amp;"(P44&lt;&gt;"""", P44,D44),
  IFS(
    Desired &gt; D44, ""Desired lvl too high"",
    AND(Desired = D44, OR(C44 = D44, C44 = ""Max"")), ""Max Level"",
    Desired = C44, ""OK Level"",
    Desired &lt; C44, ""Desired lvl too low"",
    TRUE, TO_PURE_NUMBER(
      SUM"&amp;"(
        XLOOKUP($C44 + 1, SEQUENCE(100, 1, 1, 1), Offset, ""N/F"", 0, 1): 
        XLOOKUP(Desired, SEQUENCE(100, 1, 1, 1), Offset, ""N/F"", 0, 1)
      ) / Labspeed
    ) /
    IF(AND(B44 &lt;&gt; """", $B$1 = ""All""), RIGHT(B44, 3), 1)
  )
)"),"Max Level")</f>
        <v>Max Level</v>
      </c>
      <c r="R44" s="440" t="str">
        <f t="shared" si="12"/>
        <v>Max Level</v>
      </c>
      <c r="S44" s="441" t="str">
        <f t="array" ref="S44">LET(
  Match, MATCH(IF(ISNUMBER(SEARCH("Mastery",$A44)),"Card Mastery",$A44),DVT_Laboratory!B$1:V$1,0)-1,
  Offset, OFFSET(DVT_Laboratory!C$3,0,Match,100,1),
  Desired, IF(P44&lt;&gt;"", P44,D44),
IF(Desired&gt;D44,"Desired lvl too high",
IF(AND(Desired=D44,OR(C44=D44,C44="Max")),"Max Level",
IF(Desired=C44,"OK Level",
IF(Desired&lt;C44,"Desired lvl too low",
SUM(
XLOOKUP(C44+1,SEQUENCE(100,1,1,1),Offset,"N/F",0,1)
:XLOOKUP(Desired,SEQUENCE(100,1,1,1),Offset,"N/F",0,1))*(1-LAB_COIN_DISCOUNT()))))))</f>
        <v>Max Level</v>
      </c>
      <c r="T44" s="441" t="str">
        <f t="shared" si="13"/>
        <v>Max Level</v>
      </c>
      <c r="U44" s="442" t="str">
        <f t="shared" si="14"/>
        <v/>
      </c>
      <c r="V44" s="443" t="str">
        <f t="array" ref="V44">LET(
  Labspeed, IF(A44 ="Labs Speed", 1+'Master Sheet'!$BK$5, LAB_SPEED_TOTAL()),
  Match, MATCH(IF(ISNUMBER(SEARCH("Mastery",$A44)),"Card Mastery",$A44),DVT_Laboratory!B$1:V$1,0)-1,
  Offset, OFFSET(DVT_Laboratory!B$3,0,Match,100,1),
  Desired, IF(P44&lt;&gt;"", P44,D44),
IF(Desired&gt;D44,"Desired lvl too high",
IF(AND(Desired=D44,OR(C44=D44,C44="Max")),"Max Level",
IF(Desired&lt;=C44,"Desired lvl too low",
SUM(TIME_TO_RUSH_GEMS(
    XLOOKUP(C44+1, SEQUENCE(100,1,1,1), Offset, "N/F", 0, 1):
    XLOOKUP(Desired, SEQUENCE(100,1,1,1), Offset, "N/F", 0, 1)/Labspeed, IDS_LAB_GODLBOXED_COUNT()))))))</f>
        <v>Max Level</v>
      </c>
    </row>
    <row r="45">
      <c r="A45" s="446" t="s">
        <v>157</v>
      </c>
      <c r="B45" s="447" t="str">
        <f t="shared" si="1"/>
        <v/>
      </c>
      <c r="C45" s="448">
        <f>VLOOKUP($A45,MS_Labs_Array,2,FALSE)</f>
        <v>33</v>
      </c>
      <c r="D45" s="449">
        <f>VLOOKUP($A45,MS_Labs_Array,4,FALSE)</f>
        <v>99</v>
      </c>
      <c r="E45" s="450"/>
      <c r="F45" s="451">
        <f t="shared" si="17"/>
        <v>0.9373649559</v>
      </c>
      <c r="G45" s="452" t="str">
        <f t="shared" si="3"/>
        <v>0d 22h 29m</v>
      </c>
      <c r="H45" s="453">
        <f t="shared" si="4"/>
        <v>167828.64</v>
      </c>
      <c r="I45" s="453">
        <f t="shared" si="5"/>
        <v>182148.68</v>
      </c>
      <c r="J45" s="453" t="str">
        <f t="shared" si="6"/>
        <v>167.83 K</v>
      </c>
      <c r="K45" s="454" t="str">
        <f t="shared" si="7"/>
        <v>8.1 K/h</v>
      </c>
      <c r="L45" s="455">
        <f t="shared" si="8"/>
        <v>89</v>
      </c>
      <c r="M45" s="456" t="str">
        <f t="shared" si="18"/>
        <v>1d  0h  8m</v>
      </c>
      <c r="N45" s="453" t="str">
        <f t="shared" si="10"/>
        <v>182.15 K</v>
      </c>
      <c r="O45" s="455">
        <f t="shared" si="11"/>
        <v>96</v>
      </c>
      <c r="P45" s="457" t="str">
        <f>VLOOKUP($A45,MS_Labs_Array,3,FALSE)</f>
        <v/>
      </c>
      <c r="Q45" s="456">
        <f>IFERROR(__xludf.DUMMYFUNCTION("LET(
  Labspeed, IF(A45=""Labs Speed"", 1+'Master Sheet'!$BK$5, LAB_SPEED_TOTAL()),
  Match, MATCH(IF(ISNUMBER(SEARCH(""Mastery"",$A45)),""Card Mastery"",$A45),DVT_Laboratory!B$1:V$1,0)-1,
  Offset, INDEX(DVT_Laboratory!B$3:ZZ$102,,Match+1),
  Desired, IF"&amp;"(P45&lt;&gt;"""", P45,D45),
  IFS(
    Desired &gt; D45, ""Desired lvl too high"",
    AND(Desired = D45, OR(C45 = D45, C45 = ""Max"")), ""Max Level"",
    Desired = C45, ""OK Level"",
    Desired &lt; C45, ""Desired lvl too low"",
    TRUE, TO_PURE_NUMBER(
      SUM"&amp;"(
        XLOOKUP($C45 + 1, SEQUENCE(100, 1, 1, 1), Offset, ""N/F"", 0, 1): 
        XLOOKUP(Desired, SEQUENCE(100, 1, 1, 1), Offset, ""N/F"", 0, 1)
      ) / Labspeed
    ) /
    IF(AND(B45 &lt;&gt; """", $B$1 = ""All""), RIGHT(B45, 3), 1)
  )
)"),358.48401783923794)</f>
        <v>358.4840178</v>
      </c>
      <c r="R45" s="452" t="str">
        <f t="shared" si="12"/>
        <v>358d 11h 36m</v>
      </c>
      <c r="S45" s="453">
        <f t="array" ref="S45">LET(
  Match, MATCH(IF(ISNUMBER(SEARCH("Mastery",$A45)),"Card Mastery",$A45),DVT_Laboratory!B$1:V$1,0)-1,
  Offset, OFFSET(DVT_Laboratory!C$3,0,Match,100,1),
  Desired, IF(P45&lt;&gt;"", P45,D45),
IF(Desired&gt;D45,"Desired lvl too high",
IF(AND(Desired=D45,OR(C45=D45,C45="Max")),"Max Level",
IF(Desired=C45,"OK Level",
IF(Desired&lt;C45,"Desired lvl too low",
SUM(
XLOOKUP(C45+1,SEQUENCE(100,1,1,1),Offset,"N/F",0,1)
:XLOOKUP(Desired,SEQUENCE(100,1,1,1),Offset,"N/F",0,1))*(1-LAB_COIN_DISCOUNT()))))))</f>
        <v>87510003.24</v>
      </c>
      <c r="T45" s="453" t="str">
        <f t="shared" si="13"/>
        <v>87.51 M</v>
      </c>
      <c r="U45" s="454" t="str">
        <f t="shared" si="14"/>
        <v>10.17 K/h</v>
      </c>
      <c r="V45" s="455">
        <f t="array" ref="V45">LET(
  Labspeed, IF(A45 ="Labs Speed", 1+'Master Sheet'!$BK$5, LAB_SPEED_TOTAL()),
  Match, MATCH(IF(ISNUMBER(SEARCH("Mastery",$A45)),"Card Mastery",$A45),DVT_Laboratory!B$1:V$1,0)-1,
  Offset, OFFSET(DVT_Laboratory!B$3,0,Match,100,1),
  Desired, IF(P45&lt;&gt;"", P45,D45),
IF(Desired&gt;D45,"Desired lvl too high",
IF(AND(Desired=D45,OR(C45=D45,C45="Max")),"Max Level",
IF(Desired&lt;=C45,"Desired lvl too low",
SUM(TIME_TO_RUSH_GEMS(
    XLOOKUP(C45+1, SEQUENCE(100,1,1,1), Offset, "N/F", 0, 1):
    XLOOKUP(Desired, SEQUENCE(100,1,1,1), Offset, "N/F", 0, 1)/Labspeed, IDS_LAB_GODLBOXED_COUNT()))))))</f>
        <v>29062</v>
      </c>
    </row>
    <row r="46">
      <c r="A46" s="446" t="s">
        <v>172</v>
      </c>
      <c r="B46" s="447" t="str">
        <f t="shared" si="1"/>
        <v/>
      </c>
      <c r="C46" s="448">
        <f>VLOOKUP($A46,MS_Labs_Array,2,FALSE)</f>
        <v>8</v>
      </c>
      <c r="D46" s="449">
        <f>VLOOKUP($A46,MS_Labs_Array,4,FALSE)</f>
        <v>99</v>
      </c>
      <c r="E46" s="450"/>
      <c r="F46" s="451">
        <f t="shared" si="17"/>
        <v>0.0372474587</v>
      </c>
      <c r="G46" s="452" t="str">
        <f t="shared" si="3"/>
        <v>0d  0h 53m</v>
      </c>
      <c r="H46" s="453">
        <f t="shared" si="4"/>
        <v>3597.92</v>
      </c>
      <c r="I46" s="453">
        <f t="shared" si="5"/>
        <v>4919.28</v>
      </c>
      <c r="J46" s="453" t="str">
        <f t="shared" si="6"/>
        <v>3.6 K</v>
      </c>
      <c r="K46" s="454" t="str">
        <f t="shared" si="7"/>
        <v>5.5 K/h</v>
      </c>
      <c r="L46" s="455">
        <f t="shared" si="8"/>
        <v>4</v>
      </c>
      <c r="M46" s="456" t="str">
        <f t="shared" si="18"/>
        <v>0d  1h  9m</v>
      </c>
      <c r="N46" s="453" t="str">
        <f t="shared" si="10"/>
        <v>4.92 K</v>
      </c>
      <c r="O46" s="455">
        <f t="shared" si="11"/>
        <v>5</v>
      </c>
      <c r="P46" s="457" t="str">
        <f>VLOOKUP($A46,MS_Labs_Array,3,FALSE)</f>
        <v/>
      </c>
      <c r="Q46" s="456">
        <f>IFERROR(__xludf.DUMMYFUNCTION("LET(
  Labspeed, IF(A46=""Labs Speed"", 1+'Master Sheet'!$BK$5, LAB_SPEED_TOTAL()),
  Match, MATCH(IF(ISNUMBER(SEARCH(""Mastery"",$A46)),""Card Mastery"",$A46),DVT_Laboratory!B$1:V$1,0)-1,
  Offset, INDEX(DVT_Laboratory!B$3:ZZ$102,,Match+1),
  Desired, IF"&amp;"(P46&lt;&gt;"""", P46,D46),
  IFS(
    Desired &gt; D46, ""Desired lvl too high"",
    AND(Desired = D46, OR(C46 = D46, C46 = ""Max"")), ""Max Level"",
    Desired = C46, ""OK Level"",
    Desired &lt; C46, ""Desired lvl too low"",
    TRUE, TO_PURE_NUMBER(
      SUM"&amp;"(
        XLOOKUP($C46 + 1, SEQUENCE(100, 1, 1, 1), Offset, ""N/F"", 0, 1): 
        XLOOKUP(Desired, SEQUENCE(100, 1, 1, 1), Offset, ""N/F"", 0, 1)
      ) / Labspeed
    ) /
    IF(AND(B46 &lt;&gt; """", $B$1 = ""All""), RIGHT(B46, 3), 1)
  )
)"),367.23416965352453)</f>
        <v>367.2341697</v>
      </c>
      <c r="R46" s="452" t="str">
        <f t="shared" si="12"/>
        <v>367d  5h 37m</v>
      </c>
      <c r="S46" s="453">
        <f t="array" ref="S46">LET(
  Match, MATCH(IF(ISNUMBER(SEARCH("Mastery",$A46)),"Card Mastery",$A46),DVT_Laboratory!B$1:V$1,0)-1,
  Offset, OFFSET(DVT_Laboratory!C$3,0,Match,100,1),
  Desired, IF(P46&lt;&gt;"", P46,D46),
IF(Desired&gt;D46,"Desired lvl too high",
IF(AND(Desired=D46,OR(C46=D46,C46="Max")),"Max Level",
IF(Desired=C46,"OK Level",
IF(Desired&lt;C46,"Desired lvl too low",
SUM(
XLOOKUP(C46+1,SEQUENCE(100,1,1,1),Offset,"N/F",0,1)
:XLOOKUP(Desired,SEQUENCE(100,1,1,1),Offset,"N/F",0,1))*(1-LAB_COIN_DISCOUNT()))))))</f>
        <v>88903926.6</v>
      </c>
      <c r="T46" s="453" t="str">
        <f t="shared" si="13"/>
        <v>88.9 M</v>
      </c>
      <c r="U46" s="454" t="str">
        <f t="shared" si="14"/>
        <v>10.09 K/h</v>
      </c>
      <c r="V46" s="455">
        <f t="array" ref="V46">LET(
  Labspeed, IF(A46 ="Labs Speed", 1+'Master Sheet'!$BK$5, LAB_SPEED_TOTAL()),
  Match, MATCH(IF(ISNUMBER(SEARCH("Mastery",$A46)),"Card Mastery",$A46),DVT_Laboratory!B$1:V$1,0)-1,
  Offset, OFFSET(DVT_Laboratory!B$3,0,Match,100,1),
  Desired, IF(P46&lt;&gt;"", P46,D46),
IF(Desired&gt;D46,"Desired lvl too high",
IF(AND(Desired=D46,OR(C46=D46,C46="Max")),"Max Level",
IF(Desired&lt;=C46,"Desired lvl too low",
SUM(TIME_TO_RUSH_GEMS(
    XLOOKUP(C46+1, SEQUENCE(100,1,1,1), Offset, "N/F", 0, 1):
    XLOOKUP(Desired, SEQUENCE(100,1,1,1), Offset, "N/F", 0, 1)/Labspeed, IDS_LAB_GODLBOXED_COUNT()))))))</f>
        <v>29908</v>
      </c>
    </row>
    <row r="47">
      <c r="A47" s="446" t="s">
        <v>183</v>
      </c>
      <c r="B47" s="447" t="str">
        <f t="shared" si="1"/>
        <v/>
      </c>
      <c r="C47" s="448">
        <f>VLOOKUP($A47,MS_Labs_Array,2,FALSE)</f>
        <v>87</v>
      </c>
      <c r="D47" s="449">
        <f>VLOOKUP($A47,MS_Labs_Array,4,FALSE)</f>
        <v>99</v>
      </c>
      <c r="E47" s="450"/>
      <c r="F47" s="451">
        <f t="shared" si="17"/>
        <v>9.379474991</v>
      </c>
      <c r="G47" s="452" t="str">
        <f t="shared" si="3"/>
        <v>9d  9h  6m</v>
      </c>
      <c r="H47" s="453">
        <f t="shared" si="4"/>
        <v>2403920</v>
      </c>
      <c r="I47" s="453">
        <f t="shared" si="5"/>
        <v>2483520</v>
      </c>
      <c r="J47" s="453" t="str">
        <f t="shared" si="6"/>
        <v>2.4 M</v>
      </c>
      <c r="K47" s="454" t="str">
        <f t="shared" si="7"/>
        <v>11.03 K/h</v>
      </c>
      <c r="L47" s="455">
        <f t="shared" si="8"/>
        <v>735</v>
      </c>
      <c r="M47" s="456" t="str">
        <f t="shared" si="18"/>
        <v>9d 15h 20m</v>
      </c>
      <c r="N47" s="453" t="str">
        <f t="shared" si="10"/>
        <v>2.48 M</v>
      </c>
      <c r="O47" s="455">
        <f t="shared" si="11"/>
        <v>752</v>
      </c>
      <c r="P47" s="457" t="str">
        <f>VLOOKUP($A47,MS_Labs_Array,3,FALSE)</f>
        <v/>
      </c>
      <c r="Q47" s="456">
        <f>IFERROR(__xludf.DUMMYFUNCTION("LET(
  Labspeed, IF(A47=""Labs Speed"", 1+'Master Sheet'!$BK$5, LAB_SPEED_TOTAL()),
  Match, MATCH(IF(ISNUMBER(SEARCH(""Mastery"",$A47)),""Card Mastery"",$A47),DVT_Laboratory!B$1:V$1,0)-1,
  Offset, INDEX(DVT_Laboratory!B$3:ZZ$102,,Match+1),
  Desired, IF"&amp;"(P47&lt;&gt;"""", P47,D47),
  IFS(
    Desired &gt; D47, ""Desired lvl too high"",
    AND(Desired = D47, OR(C47 = D47, C47 = ""Max"")), ""Max Level"",
    Desired = C47, ""OK Level"",
    Desired &lt; C47, ""Desired lvl too low"",
    TRUE, TO_PURE_NUMBER(
      SUM"&amp;"(
        XLOOKUP($C47 + 1, SEQUENCE(100, 1, 1, 1), Offset, ""N/F"", 0, 1): 
        XLOOKUP(Desired, SEQUENCE(100, 1, 1, 1), Offset, ""N/F"", 0, 1)
      ) / Labspeed
    ) /
    IF(AND(B47 &lt;&gt; """", $B$1 = ""All""), RIGHT(B47, 3), 1)
  )
)"),130.60706649606976)</f>
        <v>130.6070665</v>
      </c>
      <c r="R47" s="452" t="str">
        <f t="shared" si="12"/>
        <v>130d 14h 34m</v>
      </c>
      <c r="S47" s="453">
        <f t="array" ref="S47">LET(
  Match, MATCH(IF(ISNUMBER(SEARCH("Mastery",$A47)),"Card Mastery",$A47),DVT_Laboratory!B$1:V$1,0)-1,
  Offset, OFFSET(DVT_Laboratory!C$3,0,Match,100,1),
  Desired, IF(P47&lt;&gt;"", P47,D47),
IF(Desired&gt;D47,"Desired lvl too high",
IF(AND(Desired=D47,OR(C47=D47,C47="Max")),"Max Level",
IF(Desired=C47,"OK Level",
IF(Desired&lt;C47,"Desired lvl too low",
SUM(
XLOOKUP(C47+1,SEQUENCE(100,1,1,1),Offset,"N/F",0,1)
:XLOOKUP(Desired,SEQUENCE(100,1,1,1),Offset,"N/F",0,1))*(1-LAB_COIN_DISCOUNT()))))))</f>
        <v>34275760</v>
      </c>
      <c r="T47" s="453" t="str">
        <f t="shared" si="13"/>
        <v>34.28 M</v>
      </c>
      <c r="U47" s="454" t="str">
        <f t="shared" si="14"/>
        <v>10.93 K/h</v>
      </c>
      <c r="V47" s="455">
        <f t="array" ref="V47">LET(
  Labspeed, IF(A47 ="Labs Speed", 1+'Master Sheet'!$BK$5, LAB_SPEED_TOTAL()),
  Match, MATCH(IF(ISNUMBER(SEARCH("Mastery",$A47)),"Card Mastery",$A47),DVT_Laboratory!B$1:V$1,0)-1,
  Offset, OFFSET(DVT_Laboratory!B$3,0,Match,100,1),
  Desired, IF(P47&lt;&gt;"", P47,D47),
IF(Desired&gt;D47,"Desired lvl too high",
IF(AND(Desired=D47,OR(C47=D47,C47="Max")),"Max Level",
IF(Desired&lt;=C47,"Desired lvl too low",
SUM(TIME_TO_RUSH_GEMS(
    XLOOKUP(C47+1, SEQUENCE(100,1,1,1), Offset, "N/F", 0, 1):
    XLOOKUP(Desired, SEQUENCE(100,1,1,1), Offset, "N/F", 0, 1)/Labspeed, IDS_LAB_GODLBOXED_COUNT()))))))</f>
        <v>9988</v>
      </c>
    </row>
    <row r="48">
      <c r="A48" s="446" t="s">
        <v>199</v>
      </c>
      <c r="B48" s="447" t="str">
        <f t="shared" si="1"/>
        <v/>
      </c>
      <c r="C48" s="448">
        <f>VLOOKUP($A48,MS_Labs_Array,2,FALSE)</f>
        <v>6</v>
      </c>
      <c r="D48" s="449">
        <f>VLOOKUP($A48,MS_Labs_Array,4,FALSE)</f>
        <v>99</v>
      </c>
      <c r="E48" s="450"/>
      <c r="F48" s="451">
        <f t="shared" si="17"/>
        <v>0.02047727587</v>
      </c>
      <c r="G48" s="452" t="str">
        <f t="shared" si="3"/>
        <v>0d  0h 29m</v>
      </c>
      <c r="H48" s="453">
        <f t="shared" si="4"/>
        <v>1695.48</v>
      </c>
      <c r="I48" s="453">
        <f t="shared" si="5"/>
        <v>2531.28</v>
      </c>
      <c r="J48" s="453" t="str">
        <f t="shared" si="6"/>
        <v>1.7 K</v>
      </c>
      <c r="K48" s="454" t="str">
        <f t="shared" si="7"/>
        <v>5.15 K/h</v>
      </c>
      <c r="L48" s="455">
        <f t="shared" si="8"/>
        <v>3</v>
      </c>
      <c r="M48" s="456" t="str">
        <f t="shared" si="18"/>
        <v>0d  0h 40m</v>
      </c>
      <c r="N48" s="453" t="str">
        <f t="shared" si="10"/>
        <v>2.53 K</v>
      </c>
      <c r="O48" s="455">
        <f t="shared" si="11"/>
        <v>3</v>
      </c>
      <c r="P48" s="457" t="str">
        <f>VLOOKUP($A48,MS_Labs_Array,3,FALSE)</f>
        <v/>
      </c>
      <c r="Q48" s="456">
        <f>IFERROR(__xludf.DUMMYFUNCTION("LET(
  Labspeed, IF(A48=""Labs Speed"", 1+'Master Sheet'!$BK$5, LAB_SPEED_TOTAL()),
  Match, MATCH(IF(ISNUMBER(SEARCH(""Mastery"",$A48)),""Card Mastery"",$A48),DVT_Laboratory!B$1:V$1,0)-1,
  Offset, INDEX(DVT_Laboratory!B$3:ZZ$102,,Match+1),
  Desired, IF"&amp;"(P48&lt;&gt;"""", P48,D48),
  IFS(
    Desired &gt; D48, ""Desired lvl too high"",
    AND(Desired = D48, OR(C48 = D48, C48 = ""Max"")), ""Max Level"",
    Desired = C48, ""OK Level"",
    Desired &lt; C48, ""Desired lvl too low"",
    TRUE, TO_PURE_NUMBER(
      SUM"&amp;"(
        XLOOKUP($C48 + 1, SEQUENCE(100, 1, 1, 1), Offset, ""N/F"", 0, 1): 
        XLOOKUP(Desired, SEQUENCE(100, 1, 1, 1), Offset, ""N/F"", 0, 1)
      ) / Labspeed
    ) /
    IF(AND(B48 &lt;&gt; """", $B$1 = ""All""), RIGHT(B48, 3), 1)
  )
)"),367.28271491960203)</f>
        <v>367.2827149</v>
      </c>
      <c r="R48" s="452" t="str">
        <f t="shared" si="12"/>
        <v>367d  6h 47m</v>
      </c>
      <c r="S48" s="453">
        <f t="array" ref="S48">LET(
  Match, MATCH(IF(ISNUMBER(SEARCH("Mastery",$A48)),"Card Mastery",$A48),DVT_Laboratory!B$1:V$1,0)-1,
  Offset, OFFSET(DVT_Laboratory!C$3,0,Match,100,1),
  Desired, IF(P48&lt;&gt;"", P48,D48),
IF(Desired&gt;D48,"Desired lvl too high",
IF(AND(Desired=D48,OR(C48=D48,C48="Max")),"Max Level",
IF(Desired=C48,"OK Level",
IF(Desired&lt;C48,"Desired lvl too low",
SUM(
XLOOKUP(C48+1,SEQUENCE(100,1,1,1),Offset,"N/F",0,1)
:XLOOKUP(Desired,SEQUENCE(100,1,1,1),Offset,"N/F",0,1))*(1-LAB_COIN_DISCOUNT()))))))</f>
        <v>88908153.36</v>
      </c>
      <c r="T48" s="453" t="str">
        <f t="shared" si="13"/>
        <v>88.91 M</v>
      </c>
      <c r="U48" s="454" t="str">
        <f t="shared" si="14"/>
        <v>10.09 K/h</v>
      </c>
      <c r="V48" s="455">
        <f t="array" ref="V48">LET(
  Labspeed, IF(A48 ="Labs Speed", 1+'Master Sheet'!$BK$5, LAB_SPEED_TOTAL()),
  Match, MATCH(IF(ISNUMBER(SEARCH("Mastery",$A48)),"Card Mastery",$A48),DVT_Laboratory!B$1:V$1,0)-1,
  Offset, OFFSET(DVT_Laboratory!B$3,0,Match,100,1),
  Desired, IF(P48&lt;&gt;"", P48,D48),
IF(Desired&gt;D48,"Desired lvl too high",
IF(AND(Desired=D48,OR(C48=D48,C48="Max")),"Max Level",
IF(Desired&lt;=C48,"Desired lvl too low",
SUM(TIME_TO_RUSH_GEMS(
    XLOOKUP(C48+1, SEQUENCE(100,1,1,1), Offset, "N/F", 0, 1):
    XLOOKUP(Desired, SEQUENCE(100,1,1,1), Offset, "N/F", 0, 1)/Labspeed, IDS_LAB_GODLBOXED_COUNT()))))))</f>
        <v>29914</v>
      </c>
    </row>
    <row r="49">
      <c r="A49" s="446" t="s">
        <v>218</v>
      </c>
      <c r="B49" s="447" t="str">
        <f t="shared" si="1"/>
        <v/>
      </c>
      <c r="C49" s="448">
        <f>VLOOKUP($A49,MS_Labs_Array,2,FALSE)</f>
        <v>11</v>
      </c>
      <c r="D49" s="449">
        <f>VLOOKUP($A49,MS_Labs_Array,4,FALSE)</f>
        <v>99</v>
      </c>
      <c r="E49" s="450" t="str">
        <f t="shared" ref="E49:E94" si="21">DVT_LAB_UNLOCK_AT(A49)</f>
        <v>T2 80</v>
      </c>
      <c r="F49" s="451">
        <f t="shared" si="17"/>
        <v>0.1212749011</v>
      </c>
      <c r="G49" s="452" t="str">
        <f t="shared" si="3"/>
        <v>0d  2h 54m</v>
      </c>
      <c r="H49" s="453">
        <f t="shared" si="4"/>
        <v>17806.52</v>
      </c>
      <c r="I49" s="453">
        <f t="shared" si="5"/>
        <v>23251.16</v>
      </c>
      <c r="J49" s="453" t="str">
        <f t="shared" si="6"/>
        <v>17.81 K</v>
      </c>
      <c r="K49" s="454" t="str">
        <f t="shared" si="7"/>
        <v>7.99 K/h</v>
      </c>
      <c r="L49" s="455">
        <f t="shared" si="8"/>
        <v>12</v>
      </c>
      <c r="M49" s="456" t="str">
        <f t="shared" si="18"/>
        <v>0d  3h 35m</v>
      </c>
      <c r="N49" s="453" t="str">
        <f t="shared" si="10"/>
        <v>23.25 K</v>
      </c>
      <c r="O49" s="455">
        <f t="shared" si="11"/>
        <v>15</v>
      </c>
      <c r="P49" s="457" t="str">
        <f>VLOOKUP($A49,MS_Labs_Array,3,FALSE)</f>
        <v/>
      </c>
      <c r="Q49" s="456">
        <f>IFERROR(__xludf.DUMMYFUNCTION("LET(
  Labspeed, IF(A49=""Labs Speed"", 1+'Master Sheet'!$BK$5, LAB_SPEED_TOTAL()),
  Match, MATCH(IF(ISNUMBER(SEARCH(""Mastery"",$A49)),""Card Mastery"",$A49),DVT_Laboratory!B$1:V$1,0)-1,
  Offset, INDEX(DVT_Laboratory!B$3:ZZ$102,,Match+1),
  Desired, IF"&amp;"(P49&lt;&gt;"""", P49,D49),
  IFS(
    Desired &gt; D49, ""Desired lvl too high"",
    AND(Desired = D49, OR(C49 = D49, C49 = ""Max"")), ""Max Level"",
    Desired = C49, ""OK Level"",
    Desired &lt; C49, ""Desired lvl too low"",
    TRUE, TO_PURE_NUMBER(
      SUM"&amp;"(
        XLOOKUP($C49 + 1, SEQUENCE(100, 1, 1, 1), Offset, ""N/F"", 0, 1): 
        XLOOKUP(Desired, SEQUENCE(100, 1, 1, 1), Offset, ""N/F"", 0, 1)
      ) / Labspeed
    ) /
    IF(AND(B49 &lt;&gt; """", $B$1 = ""All""), RIGHT(B49, 3), 1)
  )
)"),865.4229899082335)</f>
        <v>865.4229899</v>
      </c>
      <c r="R49" s="452" t="str">
        <f t="shared" si="12"/>
        <v>865d 10h  9m</v>
      </c>
      <c r="S49" s="453">
        <f t="array" ref="S49">LET(
  Match, MATCH(IF(ISNUMBER(SEARCH("Mastery",$A49)),"Card Mastery",$A49),DVT_Laboratory!B$1:V$1,0)-1,
  Offset, OFFSET(DVT_Laboratory!C$3,0,Match,100,1),
  Desired, IF(P49&lt;&gt;"", P49,D49),
IF(Desired&gt;D49,"Desired lvl too high",
IF(AND(Desired=D49,OR(C49=D49,C49="Max")),"Max Level",
IF(Desired=C49,"OK Level",
IF(Desired&lt;C49,"Desired lvl too low",
SUM(
XLOOKUP(C49+1,SEQUENCE(100,1,1,1),Offset,"N/F",0,1)
:XLOOKUP(Desired,SEQUENCE(100,1,1,1),Offset,"N/F",0,1))*(1-LAB_COIN_DISCOUNT()))))))</f>
        <v>376044807.6</v>
      </c>
      <c r="T49" s="453" t="str">
        <f t="shared" si="13"/>
        <v>376.04 M</v>
      </c>
      <c r="U49" s="454" t="str">
        <f t="shared" si="14"/>
        <v>18.11 K/h</v>
      </c>
      <c r="V49" s="455">
        <f t="array" ref="V49">LET(
  Labspeed, IF(A49 ="Labs Speed", 1+'Master Sheet'!$BK$5, LAB_SPEED_TOTAL()),
  Match, MATCH(IF(ISNUMBER(SEARCH("Mastery",$A49)),"Card Mastery",$A49),DVT_Laboratory!B$1:V$1,0)-1,
  Offset, OFFSET(DVT_Laboratory!B$3,0,Match,100,1),
  Desired, IF(P49&lt;&gt;"", P49,D49),
IF(Desired&gt;D49,"Desired lvl too high",
IF(AND(Desired=D49,OR(C49=D49,C49="Max")),"Max Level",
IF(Desired&lt;=C49,"Desired lvl too low",
SUM(TIME_TO_RUSH_GEMS(
    XLOOKUP(C49+1, SEQUENCE(100,1,1,1), Offset, "N/F", 0, 1):
    XLOOKUP(Desired, SEQUENCE(100,1,1,1), Offset, "N/F", 0, 1)/Labspeed, IDS_LAB_GODLBOXED_COUNT()))))))</f>
        <v>63748</v>
      </c>
    </row>
    <row r="50">
      <c r="A50" s="446" t="s">
        <v>230</v>
      </c>
      <c r="B50" s="447" t="str">
        <f t="shared" si="1"/>
        <v/>
      </c>
      <c r="C50" s="448">
        <f>VLOOKUP($A50,MS_Labs_Array,2,FALSE)</f>
        <v>8</v>
      </c>
      <c r="D50" s="449">
        <f>VLOOKUP($A50,MS_Labs_Array,4,FALSE)</f>
        <v>15</v>
      </c>
      <c r="E50" s="450" t="str">
        <f t="shared" si="21"/>
        <v>T2 80</v>
      </c>
      <c r="F50" s="451">
        <f t="shared" si="17"/>
        <v>0.9867928632</v>
      </c>
      <c r="G50" s="452" t="str">
        <f t="shared" si="3"/>
        <v>0d 23h 40m</v>
      </c>
      <c r="H50" s="453">
        <f t="shared" si="4"/>
        <v>73184.24</v>
      </c>
      <c r="I50" s="453">
        <f t="shared" si="5"/>
        <v>108948.52</v>
      </c>
      <c r="J50" s="453" t="str">
        <f t="shared" si="6"/>
        <v>73.18 K</v>
      </c>
      <c r="K50" s="454" t="str">
        <f t="shared" si="7"/>
        <v>4.6 K/h</v>
      </c>
      <c r="L50" s="455">
        <f t="shared" si="8"/>
        <v>94</v>
      </c>
      <c r="M50" s="456" t="str">
        <f t="shared" si="18"/>
        <v>1d 11h 45m</v>
      </c>
      <c r="N50" s="453" t="str">
        <f t="shared" si="10"/>
        <v>108.95 K</v>
      </c>
      <c r="O50" s="455">
        <f t="shared" si="11"/>
        <v>135</v>
      </c>
      <c r="P50" s="457" t="str">
        <f>VLOOKUP($A50,MS_Labs_Array,3,FALSE)</f>
        <v/>
      </c>
      <c r="Q50" s="456">
        <f>IFERROR(__xludf.DUMMYFUNCTION("LET(
  Labspeed, IF(A50=""Labs Speed"", 1+'Master Sheet'!$BK$5, LAB_SPEED_TOTAL()),
  Match, MATCH(IF(ISNUMBER(SEARCH(""Mastery"",$A50)),""Card Mastery"",$A50),DVT_Laboratory!B$1:V$1,0)-1,
  Offset, INDEX(DVT_Laboratory!B$3:ZZ$102,,Match+1),
  Desired, IF"&amp;"(P50&lt;&gt;"""", P50,D50),
  IFS(
    Desired &gt; D50, ""Desired lvl too high"",
    AND(Desired = D50, OR(C50 = D50, C50 = ""Max"")), ""Max Level"",
    Desired = C50, ""OK Level"",
    Desired &lt; C50, ""Desired lvl too low"",
    TRUE, TO_PURE_NUMBER(
      SUM"&amp;"(
        XLOOKUP($C50 + 1, SEQUENCE(100, 1, 1, 1), Offset, ""N/F"", 0, 1): 
        XLOOKUP(Desired, SEQUENCE(100, 1, 1, 1), Offset, ""N/F"", 0, 1)
      ) / Labspeed
    ) /
    IF(AND(B50 &lt;&gt; """", $B$1 = ""All""), RIGHT(B50, 3), 1)
  )
)"),24.41915147817687)</f>
        <v>24.41915148</v>
      </c>
      <c r="R50" s="452" t="str">
        <f t="shared" si="12"/>
        <v>24d 10h  3m</v>
      </c>
      <c r="S50" s="453">
        <f t="array" ref="S50">LET(
  Match, MATCH(IF(ISNUMBER(SEARCH("Mastery",$A50)),"Card Mastery",$A50),DVT_Laboratory!B$1:V$1,0)-1,
  Offset, OFFSET(DVT_Laboratory!C$3,0,Match,100,1),
  Desired, IF(P50&lt;&gt;"", P50,D50),
IF(Desired&gt;D50,"Desired lvl too high",
IF(AND(Desired=D50,OR(C50=D50,C50="Max")),"Max Level",
IF(Desired=C50,"OK Level",
IF(Desired&lt;C50,"Desired lvl too low",
SUM(
XLOOKUP(C50+1,SEQUENCE(100,1,1,1),Offset,"N/F",0,1)
:XLOOKUP(Desired,SEQUENCE(100,1,1,1),Offset,"N/F",0,1))*(1-LAB_COIN_DISCOUNT()))))))</f>
        <v>1728227.44</v>
      </c>
      <c r="T50" s="453" t="str">
        <f t="shared" si="13"/>
        <v>1.73 M</v>
      </c>
      <c r="U50" s="454" t="str">
        <f t="shared" si="14"/>
        <v>2.95 K/h</v>
      </c>
      <c r="V50" s="455">
        <f t="array" ref="V50">LET(
  Labspeed, IF(A50 ="Labs Speed", 1+'Master Sheet'!$BK$5, LAB_SPEED_TOTAL()),
  Match, MATCH(IF(ISNUMBER(SEARCH("Mastery",$A50)),"Card Mastery",$A50),DVT_Laboratory!B$1:V$1,0)-1,
  Offset, OFFSET(DVT_Laboratory!B$3,0,Match,100,1),
  Desired, IF(P50&lt;&gt;"", P50,D50),
IF(Desired&gt;D50,"Desired lvl too high",
IF(AND(Desired=D50,OR(C50=D50,C50="Max")),"Max Level",
IF(Desired&lt;=C50,"Desired lvl too low",
SUM(TIME_TO_RUSH_GEMS(
    XLOOKUP(C50+1, SEQUENCE(100,1,1,1), Offset, "N/F", 0, 1):
    XLOOKUP(Desired, SEQUENCE(100,1,1,1), Offset, "N/F", 0, 1)/Labspeed, IDS_LAB_GODLBOXED_COUNT()))))))</f>
        <v>2077</v>
      </c>
    </row>
    <row r="51">
      <c r="A51" s="446" t="s">
        <v>241</v>
      </c>
      <c r="B51" s="447" t="str">
        <f t="shared" si="1"/>
        <v/>
      </c>
      <c r="C51" s="448">
        <f>VLOOKUP($A51,MS_Labs_Array,2,FALSE)</f>
        <v>1</v>
      </c>
      <c r="D51" s="449">
        <f>VLOOKUP($A51,MS_Labs_Array,4,FALSE)</f>
        <v>1</v>
      </c>
      <c r="E51" s="450" t="str">
        <f t="shared" si="21"/>
        <v>T3 200</v>
      </c>
      <c r="F51" s="451" t="str">
        <f t="shared" si="17"/>
        <v>Max Level</v>
      </c>
      <c r="G51" s="452" t="str">
        <f t="shared" si="3"/>
        <v>Max Level</v>
      </c>
      <c r="H51" s="453" t="str">
        <f t="shared" si="4"/>
        <v>Max Level</v>
      </c>
      <c r="I51" s="453">
        <f t="shared" si="5"/>
        <v>0</v>
      </c>
      <c r="J51" s="453" t="str">
        <f t="shared" si="6"/>
        <v>Max Level</v>
      </c>
      <c r="K51" s="454" t="str">
        <f t="shared" si="7"/>
        <v/>
      </c>
      <c r="L51" s="455" t="str">
        <f t="shared" si="8"/>
        <v>Max Level</v>
      </c>
      <c r="M51" s="456" t="str">
        <f t="shared" si="18"/>
        <v>Max Level</v>
      </c>
      <c r="N51" s="453" t="str">
        <f t="shared" si="10"/>
        <v>Max Level</v>
      </c>
      <c r="O51" s="455" t="str">
        <f t="shared" si="11"/>
        <v>Max Level</v>
      </c>
      <c r="P51" s="457" t="str">
        <f>VLOOKUP($A51,MS_Labs_Array,3,FALSE)</f>
        <v/>
      </c>
      <c r="Q51" s="456" t="str">
        <f>IFERROR(__xludf.DUMMYFUNCTION("LET(
  Labspeed, IF(A51=""Labs Speed"", 1+'Master Sheet'!$BK$5, LAB_SPEED_TOTAL()),
  Match, MATCH(IF(ISNUMBER(SEARCH(""Mastery"",$A51)),""Card Mastery"",$A51),DVT_Laboratory!B$1:V$1,0)-1,
  Offset, INDEX(DVT_Laboratory!B$3:ZZ$102,,Match+1),
  Desired, IF"&amp;"(P51&lt;&gt;"""", P51,D51),
  IFS(
    Desired &gt; D51, ""Desired lvl too high"",
    AND(Desired = D51, OR(C51 = D51, C51 = ""Max"")), ""Max Level"",
    Desired = C51, ""OK Level"",
    Desired &lt; C51, ""Desired lvl too low"",
    TRUE, TO_PURE_NUMBER(
      SUM"&amp;"(
        XLOOKUP($C51 + 1, SEQUENCE(100, 1, 1, 1), Offset, ""N/F"", 0, 1): 
        XLOOKUP(Desired, SEQUENCE(100, 1, 1, 1), Offset, ""N/F"", 0, 1)
      ) / Labspeed
    ) /
    IF(AND(B51 &lt;&gt; """", $B$1 = ""All""), RIGHT(B51, 3), 1)
  )
)"),"Max Level")</f>
        <v>Max Level</v>
      </c>
      <c r="R51" s="452" t="str">
        <f t="shared" si="12"/>
        <v>Max Level</v>
      </c>
      <c r="S51" s="453" t="str">
        <f t="array" ref="S51">LET(
  Match, MATCH(IF(ISNUMBER(SEARCH("Mastery",$A51)),"Card Mastery",$A51),DVT_Laboratory!B$1:V$1,0)-1,
  Offset, OFFSET(DVT_Laboratory!C$3,0,Match,100,1),
  Desired, IF(P51&lt;&gt;"", P51,D51),
IF(Desired&gt;D51,"Desired lvl too high",
IF(AND(Desired=D51,OR(C51=D51,C51="Max")),"Max Level",
IF(Desired=C51,"OK Level",
IF(Desired&lt;C51,"Desired lvl too low",
SUM(
XLOOKUP(C51+1,SEQUENCE(100,1,1,1),Offset,"N/F",0,1)
:XLOOKUP(Desired,SEQUENCE(100,1,1,1),Offset,"N/F",0,1))*(1-LAB_COIN_DISCOUNT()))))))</f>
        <v>Max Level</v>
      </c>
      <c r="T51" s="453" t="str">
        <f t="shared" si="13"/>
        <v>Max Level</v>
      </c>
      <c r="U51" s="454" t="str">
        <f t="shared" si="14"/>
        <v/>
      </c>
      <c r="V51" s="455" t="str">
        <f t="array" ref="V51">LET(
  Labspeed, IF(A51 ="Labs Speed", 1+'Master Sheet'!$BK$5, LAB_SPEED_TOTAL()),
  Match, MATCH(IF(ISNUMBER(SEARCH("Mastery",$A51)),"Card Mastery",$A51),DVT_Laboratory!B$1:V$1,0)-1,
  Offset, OFFSET(DVT_Laboratory!B$3,0,Match,100,1),
  Desired, IF(P51&lt;&gt;"", P51,D51),
IF(Desired&gt;D51,"Desired lvl too high",
IF(AND(Desired=D51,OR(C51=D51,C51="Max")),"Max Level",
IF(Desired&lt;=C51,"Desired lvl too low",
SUM(TIME_TO_RUSH_GEMS(
    XLOOKUP(C51+1, SEQUENCE(100,1,1,1), Offset, "N/F", 0, 1):
    XLOOKUP(Desired, SEQUENCE(100,1,1,1), Offset, "N/F", 0, 1)/Labspeed, IDS_LAB_GODLBOXED_COUNT()))))))</f>
        <v>Max Level</v>
      </c>
    </row>
    <row r="52">
      <c r="A52" s="446" t="s">
        <v>252</v>
      </c>
      <c r="B52" s="447" t="str">
        <f t="shared" si="1"/>
        <v/>
      </c>
      <c r="C52" s="448">
        <f>VLOOKUP($A52,MS_Labs_Array,2,FALSE)</f>
        <v>0</v>
      </c>
      <c r="D52" s="449">
        <f>VLOOKUP($A52,MS_Labs_Array,4,FALSE)</f>
        <v>20</v>
      </c>
      <c r="E52" s="450" t="str">
        <f t="shared" si="21"/>
        <v>T6 150</v>
      </c>
      <c r="F52" s="451">
        <f t="shared" si="17"/>
        <v>0.5883686249</v>
      </c>
      <c r="G52" s="452" t="str">
        <f t="shared" si="3"/>
        <v>0d 14h  7m</v>
      </c>
      <c r="H52" s="453">
        <f t="shared" si="4"/>
        <v>15920000000</v>
      </c>
      <c r="I52" s="453">
        <f t="shared" si="5"/>
        <v>19907960000</v>
      </c>
      <c r="J52" s="453" t="str">
        <f t="shared" si="6"/>
        <v>15.92 B</v>
      </c>
      <c r="K52" s="454" t="str">
        <f t="shared" si="7"/>
        <v>1.41 B/h</v>
      </c>
      <c r="L52" s="455">
        <f t="shared" si="8"/>
        <v>56</v>
      </c>
      <c r="M52" s="456" t="str">
        <f t="shared" si="18"/>
        <v>0d 16h 14m</v>
      </c>
      <c r="N52" s="453" t="str">
        <f t="shared" si="10"/>
        <v>19.91 B</v>
      </c>
      <c r="O52" s="455">
        <f t="shared" si="11"/>
        <v>65</v>
      </c>
      <c r="P52" s="457" t="str">
        <f>VLOOKUP($A52,MS_Labs_Array,3,FALSE)</f>
        <v/>
      </c>
      <c r="Q52" s="456">
        <f>IFERROR(__xludf.DUMMYFUNCTION("LET(
  Labspeed, IF(A52=""Labs Speed"", 1+'Master Sheet'!$BK$5, LAB_SPEED_TOTAL()),
  Match, MATCH(IF(ISNUMBER(SEARCH(""Mastery"",$A52)),""Card Mastery"",$A52),DVT_Laboratory!B$1:V$1,0)-1,
  Offset, INDEX(DVT_Laboratory!B$3:ZZ$102,,Match+1),
  Desired, IF"&amp;"(P52&lt;&gt;"""", P52,D52),
  IFS(
    Desired &gt; D52, ""Desired lvl too high"",
    AND(Desired = D52, OR(C52 = D52, C52 = ""Max"")), ""Max Level"",
    Desired = C52, ""OK Level"",
    Desired &lt; C52, ""Desired lvl too low"",
    TRUE, TO_PURE_NUMBER(
      SUM"&amp;"(
        XLOOKUP($C52 + 1, SEQUENCE(100, 1, 1, 1), Offset, ""N/F"", 0, 1): 
        XLOOKUP(Desired, SEQUENCE(100, 1, 1, 1), Offset, ""N/F"", 0, 1)
      ) / Labspeed
    ) /
    IF(AND(B52 &lt;&gt; """", $B$1 = ""All""), RIGHT(B52, 3), 1)
  )
)"),66.94074441252812)</f>
        <v>66.94074441</v>
      </c>
      <c r="R52" s="452" t="str">
        <f t="shared" si="12"/>
        <v>66d 22h 34m</v>
      </c>
      <c r="S52" s="453">
        <f t="array" ref="S52">LET(
  Match, MATCH(IF(ISNUMBER(SEARCH("Mastery",$A52)),"Card Mastery",$A52),DVT_Laboratory!B$1:V$1,0)-1,
  Offset, OFFSET(DVT_Laboratory!C$3,0,Match,100,1),
  Desired, IF(P52&lt;&gt;"", P52,D52),
IF(Desired&gt;D52,"Desired lvl too high",
IF(AND(Desired=D52,OR(C52=D52,C52="Max")),"Max Level",
IF(Desired=C52,"OK Level",
IF(Desired&lt;C52,"Desired lvl too low",
SUM(
XLOOKUP(C52+1,SEQUENCE(100,1,1,1),Offset,"N/F",0,1)
:XLOOKUP(Desired,SEQUENCE(100,1,1,1),Offset,"N/F",0,1))*(1-LAB_COIN_DISCOUNT()))))))</f>
        <v>2362679240000</v>
      </c>
      <c r="T52" s="453" t="str">
        <f t="shared" si="13"/>
        <v>2.36 T</v>
      </c>
      <c r="U52" s="454" t="str">
        <f t="shared" si="14"/>
        <v>1.47 B/h</v>
      </c>
      <c r="V52" s="455">
        <f t="array" ref="V52">LET(
  Labspeed, IF(A52 ="Labs Speed", 1+'Master Sheet'!$BK$5, LAB_SPEED_TOTAL()),
  Match, MATCH(IF(ISNUMBER(SEARCH("Mastery",$A52)),"Card Mastery",$A52),DVT_Laboratory!B$1:V$1,0)-1,
  Offset, OFFSET(DVT_Laboratory!B$3,0,Match,100,1),
  Desired, IF(P52&lt;&gt;"", P52,D52),
IF(Desired&gt;D52,"Desired lvl too high",
IF(AND(Desired=D52,OR(C52=D52,C52="Max")),"Max Level",
IF(Desired&lt;=C52,"Desired lvl too low",
SUM(TIME_TO_RUSH_GEMS(
    XLOOKUP(C52+1, SEQUENCE(100,1,1,1), Offset, "N/F", 0, 1):
    XLOOKUP(Desired, SEQUENCE(100,1,1,1), Offset, "N/F", 0, 1)/Labspeed, IDS_LAB_GODLBOXED_COUNT()))))))</f>
        <v>5594</v>
      </c>
    </row>
    <row r="53">
      <c r="A53" s="446" t="s">
        <v>263</v>
      </c>
      <c r="B53" s="447" t="str">
        <f t="shared" si="1"/>
        <v/>
      </c>
      <c r="C53" s="448">
        <f>VLOOKUP($A53,MS_Labs_Array,2,FALSE)</f>
        <v>0</v>
      </c>
      <c r="D53" s="449">
        <f>VLOOKUP($A53,MS_Labs_Array,4,FALSE)</f>
        <v>20</v>
      </c>
      <c r="E53" s="450" t="str">
        <f t="shared" si="21"/>
        <v>T6 150</v>
      </c>
      <c r="F53" s="451">
        <f t="shared" si="17"/>
        <v>0.5883686249</v>
      </c>
      <c r="G53" s="452" t="str">
        <f t="shared" si="3"/>
        <v>0d 14h  7m</v>
      </c>
      <c r="H53" s="453">
        <f t="shared" si="4"/>
        <v>15920000000</v>
      </c>
      <c r="I53" s="453">
        <f t="shared" si="5"/>
        <v>19907960000</v>
      </c>
      <c r="J53" s="453" t="str">
        <f t="shared" si="6"/>
        <v>15.92 B</v>
      </c>
      <c r="K53" s="454" t="str">
        <f t="shared" si="7"/>
        <v>1.41 B/h</v>
      </c>
      <c r="L53" s="455">
        <f t="shared" si="8"/>
        <v>56</v>
      </c>
      <c r="M53" s="456" t="str">
        <f t="shared" si="18"/>
        <v>0d 16h 14m</v>
      </c>
      <c r="N53" s="453" t="str">
        <f t="shared" si="10"/>
        <v>19.91 B</v>
      </c>
      <c r="O53" s="455">
        <f t="shared" si="11"/>
        <v>65</v>
      </c>
      <c r="P53" s="457" t="str">
        <f>VLOOKUP($A53,MS_Labs_Array,3,FALSE)</f>
        <v/>
      </c>
      <c r="Q53" s="456">
        <f>IFERROR(__xludf.DUMMYFUNCTION("LET(
  Labspeed, IF(A53=""Labs Speed"", 1+'Master Sheet'!$BK$5, LAB_SPEED_TOTAL()),
  Match, MATCH(IF(ISNUMBER(SEARCH(""Mastery"",$A53)),""Card Mastery"",$A53),DVT_Laboratory!B$1:V$1,0)-1,
  Offset, INDEX(DVT_Laboratory!B$3:ZZ$102,,Match+1),
  Desired, IF"&amp;"(P53&lt;&gt;"""", P53,D53),
  IFS(
    Desired &gt; D53, ""Desired lvl too high"",
    AND(Desired = D53, OR(C53 = D53, C53 = ""Max"")), ""Max Level"",
    Desired = C53, ""OK Level"",
    Desired &lt; C53, ""Desired lvl too low"",
    TRUE, TO_PURE_NUMBER(
      SUM"&amp;"(
        XLOOKUP($C53 + 1, SEQUENCE(100, 1, 1, 1), Offset, ""N/F"", 0, 1): 
        XLOOKUP(Desired, SEQUENCE(100, 1, 1, 1), Offset, ""N/F"", 0, 1)
      ) / Labspeed
    ) /
    IF(AND(B53 &lt;&gt; """", $B$1 = ""All""), RIGHT(B53, 3), 1)
  )
)"),66.94074441252812)</f>
        <v>66.94074441</v>
      </c>
      <c r="R53" s="452" t="str">
        <f t="shared" si="12"/>
        <v>66d 22h 34m</v>
      </c>
      <c r="S53" s="453">
        <f t="array" ref="S53">LET(
  Match, MATCH(IF(ISNUMBER(SEARCH("Mastery",$A53)),"Card Mastery",$A53),DVT_Laboratory!B$1:V$1,0)-1,
  Offset, OFFSET(DVT_Laboratory!C$3,0,Match,100,1),
  Desired, IF(P53&lt;&gt;"", P53,D53),
IF(Desired&gt;D53,"Desired lvl too high",
IF(AND(Desired=D53,OR(C53=D53,C53="Max")),"Max Level",
IF(Desired=C53,"OK Level",
IF(Desired&lt;C53,"Desired lvl too low",
SUM(
XLOOKUP(C53+1,SEQUENCE(100,1,1,1),Offset,"N/F",0,1)
:XLOOKUP(Desired,SEQUENCE(100,1,1,1),Offset,"N/F",0,1))*(1-LAB_COIN_DISCOUNT()))))))</f>
        <v>2358492280000</v>
      </c>
      <c r="T53" s="453" t="str">
        <f t="shared" si="13"/>
        <v>2.36 T</v>
      </c>
      <c r="U53" s="454" t="str">
        <f t="shared" si="14"/>
        <v>1.47 B/h</v>
      </c>
      <c r="V53" s="455">
        <f t="array" ref="V53">LET(
  Labspeed, IF(A53 ="Labs Speed", 1+'Master Sheet'!$BK$5, LAB_SPEED_TOTAL()),
  Match, MATCH(IF(ISNUMBER(SEARCH("Mastery",$A53)),"Card Mastery",$A53),DVT_Laboratory!B$1:V$1,0)-1,
  Offset, OFFSET(DVT_Laboratory!B$3,0,Match,100,1),
  Desired, IF(P53&lt;&gt;"", P53,D53),
IF(Desired&gt;D53,"Desired lvl too high",
IF(AND(Desired=D53,OR(C53=D53,C53="Max")),"Max Level",
IF(Desired&lt;=C53,"Desired lvl too low",
SUM(TIME_TO_RUSH_GEMS(
    XLOOKUP(C53+1, SEQUENCE(100,1,1,1), Offset, "N/F", 0, 1):
    XLOOKUP(Desired, SEQUENCE(100,1,1,1), Offset, "N/F", 0, 1)/Labspeed, IDS_LAB_GODLBOXED_COUNT()))))))</f>
        <v>5594</v>
      </c>
    </row>
    <row r="54">
      <c r="A54" s="446" t="s">
        <v>272</v>
      </c>
      <c r="B54" s="447" t="str">
        <f t="shared" si="1"/>
        <v/>
      </c>
      <c r="C54" s="448">
        <f>VLOOKUP($A54,MS_Labs_Array,2,FALSE)</f>
        <v>20</v>
      </c>
      <c r="D54" s="449">
        <f>VLOOKUP($A54,MS_Labs_Array,4,FALSE)</f>
        <v>20</v>
      </c>
      <c r="E54" s="450" t="str">
        <f t="shared" si="21"/>
        <v>T6 150</v>
      </c>
      <c r="F54" s="451" t="str">
        <f t="shared" si="17"/>
        <v>Max Level</v>
      </c>
      <c r="G54" s="452" t="str">
        <f t="shared" si="3"/>
        <v>Max Level</v>
      </c>
      <c r="H54" s="453" t="str">
        <f t="shared" si="4"/>
        <v>Max Level</v>
      </c>
      <c r="I54" s="453">
        <f t="shared" si="5"/>
        <v>0</v>
      </c>
      <c r="J54" s="453" t="str">
        <f t="shared" si="6"/>
        <v>Max Level</v>
      </c>
      <c r="K54" s="454" t="str">
        <f t="shared" si="7"/>
        <v/>
      </c>
      <c r="L54" s="455" t="str">
        <f t="shared" si="8"/>
        <v>Max Level</v>
      </c>
      <c r="M54" s="456" t="str">
        <f t="shared" si="18"/>
        <v>Max Level</v>
      </c>
      <c r="N54" s="453" t="str">
        <f t="shared" si="10"/>
        <v>Max Level</v>
      </c>
      <c r="O54" s="455" t="str">
        <f t="shared" si="11"/>
        <v>Max Level</v>
      </c>
      <c r="P54" s="457" t="str">
        <f>VLOOKUP($A54,MS_Labs_Array,3,FALSE)</f>
        <v/>
      </c>
      <c r="Q54" s="456" t="str">
        <f>IFERROR(__xludf.DUMMYFUNCTION("LET(
  Labspeed, IF(A54=""Labs Speed"", 1+'Master Sheet'!$BK$5, LAB_SPEED_TOTAL()),
  Match, MATCH(IF(ISNUMBER(SEARCH(""Mastery"",$A54)),""Card Mastery"",$A54),DVT_Laboratory!B$1:V$1,0)-1,
  Offset, INDEX(DVT_Laboratory!B$3:ZZ$102,,Match+1),
  Desired, IF"&amp;"(P54&lt;&gt;"""", P54,D54),
  IFS(
    Desired &gt; D54, ""Desired lvl too high"",
    AND(Desired = D54, OR(C54 = D54, C54 = ""Max"")), ""Max Level"",
    Desired = C54, ""OK Level"",
    Desired &lt; C54, ""Desired lvl too low"",
    TRUE, TO_PURE_NUMBER(
      SUM"&amp;"(
        XLOOKUP($C54 + 1, SEQUENCE(100, 1, 1, 1), Offset, ""N/F"", 0, 1): 
        XLOOKUP(Desired, SEQUENCE(100, 1, 1, 1), Offset, ""N/F"", 0, 1)
      ) / Labspeed
    ) /
    IF(AND(B54 &lt;&gt; """", $B$1 = ""All""), RIGHT(B54, 3), 1)
  )
)"),"Max Level")</f>
        <v>Max Level</v>
      </c>
      <c r="R54" s="452" t="str">
        <f t="shared" si="12"/>
        <v>Max Level</v>
      </c>
      <c r="S54" s="453" t="str">
        <f t="array" ref="S54">LET(
  Match, MATCH(IF(ISNUMBER(SEARCH("Mastery",$A54)),"Card Mastery",$A54),DVT_Laboratory!B$1:V$1,0)-1,
  Offset, OFFSET(DVT_Laboratory!C$3,0,Match,100,1),
  Desired, IF(P54&lt;&gt;"", P54,D54),
IF(Desired&gt;D54,"Desired lvl too high",
IF(AND(Desired=D54,OR(C54=D54,C54="Max")),"Max Level",
IF(Desired=C54,"OK Level",
IF(Desired&lt;C54,"Desired lvl too low",
SUM(
XLOOKUP(C54+1,SEQUENCE(100,1,1,1),Offset,"N/F",0,1)
:XLOOKUP(Desired,SEQUENCE(100,1,1,1),Offset,"N/F",0,1))*(1-LAB_COIN_DISCOUNT()))))))</f>
        <v>Max Level</v>
      </c>
      <c r="T54" s="453" t="str">
        <f t="shared" si="13"/>
        <v>Max Level</v>
      </c>
      <c r="U54" s="454" t="str">
        <f t="shared" si="14"/>
        <v/>
      </c>
      <c r="V54" s="455" t="str">
        <f t="array" ref="V54">LET(
  Labspeed, IF(A54 ="Labs Speed", 1+'Master Sheet'!$BK$5, LAB_SPEED_TOTAL()),
  Match, MATCH(IF(ISNUMBER(SEARCH("Mastery",$A54)),"Card Mastery",$A54),DVT_Laboratory!B$1:V$1,0)-1,
  Offset, OFFSET(DVT_Laboratory!B$3,0,Match,100,1),
  Desired, IF(P54&lt;&gt;"", P54,D54),
IF(Desired&gt;D54,"Desired lvl too high",
IF(AND(Desired=D54,OR(C54=D54,C54="Max")),"Max Level",
IF(Desired&lt;=C54,"Desired lvl too low",
SUM(TIME_TO_RUSH_GEMS(
    XLOOKUP(C54+1, SEQUENCE(100,1,1,1), Offset, "N/F", 0, 1):
    XLOOKUP(Desired, SEQUENCE(100,1,1,1), Offset, "N/F", 0, 1)/Labspeed, IDS_LAB_GODLBOXED_COUNT()))))))</f>
        <v>Max Level</v>
      </c>
    </row>
    <row r="55">
      <c r="A55" s="446" t="s">
        <v>280</v>
      </c>
      <c r="B55" s="447" t="str">
        <f t="shared" si="1"/>
        <v/>
      </c>
      <c r="C55" s="448">
        <f>VLOOKUP($A55,MS_Labs_Array,2,FALSE)</f>
        <v>20</v>
      </c>
      <c r="D55" s="449">
        <f>VLOOKUP($A55,MS_Labs_Array,4,FALSE)</f>
        <v>20</v>
      </c>
      <c r="E55" s="450" t="str">
        <f t="shared" si="21"/>
        <v>T11 200</v>
      </c>
      <c r="F55" s="451" t="str">
        <f t="shared" si="17"/>
        <v>Max Level</v>
      </c>
      <c r="G55" s="452" t="str">
        <f t="shared" si="3"/>
        <v>Max Level</v>
      </c>
      <c r="H55" s="453" t="str">
        <f t="shared" si="4"/>
        <v>Max Level</v>
      </c>
      <c r="I55" s="453">
        <f t="shared" si="5"/>
        <v>0</v>
      </c>
      <c r="J55" s="453" t="str">
        <f t="shared" si="6"/>
        <v>Max Level</v>
      </c>
      <c r="K55" s="454" t="str">
        <f t="shared" si="7"/>
        <v/>
      </c>
      <c r="L55" s="455" t="str">
        <f t="shared" si="8"/>
        <v>Max Level</v>
      </c>
      <c r="M55" s="456" t="str">
        <f t="shared" si="18"/>
        <v>Max Level</v>
      </c>
      <c r="N55" s="453" t="str">
        <f t="shared" si="10"/>
        <v>Max Level</v>
      </c>
      <c r="O55" s="455" t="str">
        <f t="shared" si="11"/>
        <v>Max Level</v>
      </c>
      <c r="P55" s="457" t="str">
        <f>VLOOKUP($A55,MS_Labs_Array,3,FALSE)</f>
        <v/>
      </c>
      <c r="Q55" s="456" t="str">
        <f>IFERROR(__xludf.DUMMYFUNCTION("LET(
  Labspeed, IF(A55=""Labs Speed"", 1+'Master Sheet'!$BK$5, LAB_SPEED_TOTAL()),
  Match, MATCH(IF(ISNUMBER(SEARCH(""Mastery"",$A55)),""Card Mastery"",$A55),DVT_Laboratory!B$1:V$1,0)-1,
  Offset, INDEX(DVT_Laboratory!B$3:ZZ$102,,Match+1),
  Desired, IF"&amp;"(P55&lt;&gt;"""", P55,D55),
  IFS(
    Desired &gt; D55, ""Desired lvl too high"",
    AND(Desired = D55, OR(C55 = D55, C55 = ""Max"")), ""Max Level"",
    Desired = C55, ""OK Level"",
    Desired &lt; C55, ""Desired lvl too low"",
    TRUE, TO_PURE_NUMBER(
      SUM"&amp;"(
        XLOOKUP($C55 + 1, SEQUENCE(100, 1, 1, 1), Offset, ""N/F"", 0, 1): 
        XLOOKUP(Desired, SEQUENCE(100, 1, 1, 1), Offset, ""N/F"", 0, 1)
      ) / Labspeed
    ) /
    IF(AND(B55 &lt;&gt; """", $B$1 = ""All""), RIGHT(B55, 3), 1)
  )
)"),"Max Level")</f>
        <v>Max Level</v>
      </c>
      <c r="R55" s="452" t="str">
        <f t="shared" si="12"/>
        <v>Max Level</v>
      </c>
      <c r="S55" s="453" t="str">
        <f t="array" ref="S55">LET(
  Match, MATCH(IF(ISNUMBER(SEARCH("Mastery",$A55)),"Card Mastery",$A55),DVT_Laboratory!B$1:V$1,0)-1,
  Offset, OFFSET(DVT_Laboratory!C$3,0,Match,100,1),
  Desired, IF(P55&lt;&gt;"", P55,D55),
IF(Desired&gt;D55,"Desired lvl too high",
IF(AND(Desired=D55,OR(C55=D55,C55="Max")),"Max Level",
IF(Desired=C55,"OK Level",
IF(Desired&lt;C55,"Desired lvl too low",
SUM(
XLOOKUP(C55+1,SEQUENCE(100,1,1,1),Offset,"N/F",0,1)
:XLOOKUP(Desired,SEQUENCE(100,1,1,1),Offset,"N/F",0,1))*(1-LAB_COIN_DISCOUNT()))))))</f>
        <v>Max Level</v>
      </c>
      <c r="T55" s="453" t="str">
        <f t="shared" si="13"/>
        <v>Max Level</v>
      </c>
      <c r="U55" s="454" t="str">
        <f t="shared" si="14"/>
        <v/>
      </c>
      <c r="V55" s="455" t="str">
        <f t="array" ref="V55">LET(
  Labspeed, IF(A55 ="Labs Speed", 1+'Master Sheet'!$BK$5, LAB_SPEED_TOTAL()),
  Match, MATCH(IF(ISNUMBER(SEARCH("Mastery",$A55)),"Card Mastery",$A55),DVT_Laboratory!B$1:V$1,0)-1,
  Offset, OFFSET(DVT_Laboratory!B$3,0,Match,100,1),
  Desired, IF(P55&lt;&gt;"", P55,D55),
IF(Desired&gt;D55,"Desired lvl too high",
IF(AND(Desired=D55,OR(C55=D55,C55="Max")),"Max Level",
IF(Desired&lt;=C55,"Desired lvl too low",
SUM(TIME_TO_RUSH_GEMS(
    XLOOKUP(C55+1, SEQUENCE(100,1,1,1), Offset, "N/F", 0, 1):
    XLOOKUP(Desired, SEQUENCE(100,1,1,1), Offset, "N/F", 0, 1)/Labspeed, IDS_LAB_GODLBOXED_COUNT()))))))</f>
        <v>Max Level</v>
      </c>
    </row>
    <row r="56">
      <c r="A56" s="446" t="s">
        <v>288</v>
      </c>
      <c r="B56" s="447" t="str">
        <f t="shared" si="1"/>
        <v/>
      </c>
      <c r="C56" s="448">
        <f>VLOOKUP($A56,MS_Labs_Array,2,FALSE)</f>
        <v>20</v>
      </c>
      <c r="D56" s="449">
        <f>VLOOKUP($A56,MS_Labs_Array,4,FALSE)</f>
        <v>20</v>
      </c>
      <c r="E56" s="450" t="str">
        <f t="shared" si="21"/>
        <v>T11 200</v>
      </c>
      <c r="F56" s="451" t="str">
        <f t="shared" si="17"/>
        <v>Max Level</v>
      </c>
      <c r="G56" s="452" t="str">
        <f t="shared" si="3"/>
        <v>Max Level</v>
      </c>
      <c r="H56" s="453" t="str">
        <f t="shared" si="4"/>
        <v>Max Level</v>
      </c>
      <c r="I56" s="453">
        <f t="shared" si="5"/>
        <v>0</v>
      </c>
      <c r="J56" s="453" t="str">
        <f t="shared" si="6"/>
        <v>Max Level</v>
      </c>
      <c r="K56" s="454" t="str">
        <f t="shared" si="7"/>
        <v/>
      </c>
      <c r="L56" s="455" t="str">
        <f t="shared" si="8"/>
        <v>Max Level</v>
      </c>
      <c r="M56" s="456" t="str">
        <f t="shared" si="18"/>
        <v>Max Level</v>
      </c>
      <c r="N56" s="453" t="str">
        <f t="shared" si="10"/>
        <v>Max Level</v>
      </c>
      <c r="O56" s="455" t="str">
        <f t="shared" si="11"/>
        <v>Max Level</v>
      </c>
      <c r="P56" s="457" t="str">
        <f>VLOOKUP($A56,MS_Labs_Array,3,FALSE)</f>
        <v/>
      </c>
      <c r="Q56" s="456" t="str">
        <f>IFERROR(__xludf.DUMMYFUNCTION("LET(
  Labspeed, IF(A56=""Labs Speed"", 1+'Master Sheet'!$BK$5, LAB_SPEED_TOTAL()),
  Match, MATCH(IF(ISNUMBER(SEARCH(""Mastery"",$A56)),""Card Mastery"",$A56),DVT_Laboratory!B$1:V$1,0)-1,
  Offset, INDEX(DVT_Laboratory!B$3:ZZ$102,,Match+1),
  Desired, IF"&amp;"(P56&lt;&gt;"""", P56,D56),
  IFS(
    Desired &gt; D56, ""Desired lvl too high"",
    AND(Desired = D56, OR(C56 = D56, C56 = ""Max"")), ""Max Level"",
    Desired = C56, ""OK Level"",
    Desired &lt; C56, ""Desired lvl too low"",
    TRUE, TO_PURE_NUMBER(
      SUM"&amp;"(
        XLOOKUP($C56 + 1, SEQUENCE(100, 1, 1, 1), Offset, ""N/F"", 0, 1): 
        XLOOKUP(Desired, SEQUENCE(100, 1, 1, 1), Offset, ""N/F"", 0, 1)
      ) / Labspeed
    ) /
    IF(AND(B56 &lt;&gt; """", $B$1 = ""All""), RIGHT(B56, 3), 1)
  )
)"),"Max Level")</f>
        <v>Max Level</v>
      </c>
      <c r="R56" s="452" t="str">
        <f t="shared" si="12"/>
        <v>Max Level</v>
      </c>
      <c r="S56" s="453" t="str">
        <f t="array" ref="S56">LET(
  Match, MATCH(IF(ISNUMBER(SEARCH("Mastery",$A56)),"Card Mastery",$A56),DVT_Laboratory!B$1:V$1,0)-1,
  Offset, OFFSET(DVT_Laboratory!C$3,0,Match,100,1),
  Desired, IF(P56&lt;&gt;"", P56,D56),
IF(Desired&gt;D56,"Desired lvl too high",
IF(AND(Desired=D56,OR(C56=D56,C56="Max")),"Max Level",
IF(Desired=C56,"OK Level",
IF(Desired&lt;C56,"Desired lvl too low",
SUM(
XLOOKUP(C56+1,SEQUENCE(100,1,1,1),Offset,"N/F",0,1)
:XLOOKUP(Desired,SEQUENCE(100,1,1,1),Offset,"N/F",0,1))*(1-LAB_COIN_DISCOUNT()))))))</f>
        <v>Max Level</v>
      </c>
      <c r="T56" s="453" t="str">
        <f t="shared" si="13"/>
        <v>Max Level</v>
      </c>
      <c r="U56" s="454" t="str">
        <f t="shared" si="14"/>
        <v/>
      </c>
      <c r="V56" s="455" t="str">
        <f t="array" ref="V56">LET(
  Labspeed, IF(A56 ="Labs Speed", 1+'Master Sheet'!$BK$5, LAB_SPEED_TOTAL()),
  Match, MATCH(IF(ISNUMBER(SEARCH("Mastery",$A56)),"Card Mastery",$A56),DVT_Laboratory!B$1:V$1,0)-1,
  Offset, OFFSET(DVT_Laboratory!B$3,0,Match,100,1),
  Desired, IF(P56&lt;&gt;"", P56,D56),
IF(Desired&gt;D56,"Desired lvl too high",
IF(AND(Desired=D56,OR(C56=D56,C56="Max")),"Max Level",
IF(Desired&lt;=C56,"Desired lvl too low",
SUM(TIME_TO_RUSH_GEMS(
    XLOOKUP(C56+1, SEQUENCE(100,1,1,1), Offset, "N/F", 0, 1):
    XLOOKUP(Desired, SEQUENCE(100,1,1,1), Offset, "N/F", 0, 1)/Labspeed, IDS_LAB_GODLBOXED_COUNT()))))))</f>
        <v>Max Level</v>
      </c>
    </row>
    <row r="57">
      <c r="A57" s="458" t="s">
        <v>281</v>
      </c>
      <c r="B57" s="459" t="str">
        <f t="shared" si="1"/>
        <v/>
      </c>
      <c r="C57" s="460">
        <f>VLOOKUP($A57,MS_Labs_Array,2,FALSE)</f>
        <v>22</v>
      </c>
      <c r="D57" s="461">
        <f>VLOOKUP($A57,MS_Labs_Array,4,FALSE)</f>
        <v>25</v>
      </c>
      <c r="E57" s="462" t="str">
        <f t="shared" si="21"/>
        <v>T4 200</v>
      </c>
      <c r="F57" s="463">
        <f t="shared" si="17"/>
        <v>12.6512494</v>
      </c>
      <c r="G57" s="464" t="str">
        <f t="shared" si="3"/>
        <v>12d 15h 37m</v>
      </c>
      <c r="H57" s="465">
        <f t="shared" si="4"/>
        <v>13914080000</v>
      </c>
      <c r="I57" s="465">
        <f t="shared" si="5"/>
        <v>17106040000</v>
      </c>
      <c r="J57" s="465" t="str">
        <f t="shared" si="6"/>
        <v>13.91 B</v>
      </c>
      <c r="K57" s="466" t="str">
        <f t="shared" si="7"/>
        <v>56.34 M/h</v>
      </c>
      <c r="L57" s="467">
        <f t="shared" si="8"/>
        <v>946</v>
      </c>
      <c r="M57" s="468" t="str">
        <f t="shared" si="18"/>
        <v>14d 11h 18m</v>
      </c>
      <c r="N57" s="465" t="str">
        <f t="shared" si="10"/>
        <v>17.11 B</v>
      </c>
      <c r="O57" s="467">
        <f t="shared" si="11"/>
        <v>1063</v>
      </c>
      <c r="P57" s="469" t="str">
        <f>VLOOKUP($A57,MS_Labs_Array,3,FALSE)</f>
        <v/>
      </c>
      <c r="Q57" s="468">
        <f>IFERROR(__xludf.DUMMYFUNCTION("LET(
  Labspeed, IF(A57=""Labs Speed"", 1+'Master Sheet'!$BK$5, LAB_SPEED_TOTAL()),
  Match, MATCH(IF(ISNUMBER(SEARCH(""Mastery"",$A57)),""Card Mastery"",$A57),DVT_Laboratory!B$1:V$1,0)-1,
  Offset, INDEX(DVT_Laboratory!B$3:ZZ$102,,Match+1),
  Desired, IF"&amp;"(P57&lt;&gt;"""", P57,D57),
  IFS(
    Desired &gt; D57, ""Desired lvl too high"",
    AND(Desired = D57, OR(C57 = D57, C57 = ""Max"")), ""Max Level"",
    Desired = C57, ""OK Level"",
    Desired &lt; C57, ""Desired lvl too low"",
    TRUE, TO_PURE_NUMBER(
      SUM"&amp;"(
        XLOOKUP($C57 + 1, SEQUENCE(100, 1, 1, 1), Offset, ""N/F"", 0, 1): 
        XLOOKUP(Desired, SEQUENCE(100, 1, 1, 1), Offset, ""N/F"", 0, 1)
      ) / Labspeed
    ) /
    IF(AND(B57 &lt;&gt; """", $B$1 = ""All""), RIGHT(B57, 3), 1)
  )
)"),43.611831346331456)</f>
        <v>43.61183135</v>
      </c>
      <c r="R57" s="464" t="str">
        <f t="shared" si="12"/>
        <v>43d 14h 41m</v>
      </c>
      <c r="S57" s="465">
        <f t="array" ref="S57">LET(
  Match, MATCH(IF(ISNUMBER(SEARCH("Mastery",$A57)),"Card Mastery",$A57),DVT_Laboratory!B$1:V$1,0)-1,
  Offset, OFFSET(DVT_Laboratory!C$3,0,Match,100,1),
  Desired, IF(P57&lt;&gt;"", P57,D57),
IF(Desired&gt;D57,"Desired lvl too high",
IF(AND(Desired=D57,OR(C57=D57,C57="Max")),"Max Level",
IF(Desired=C57,"OK Level",
IF(Desired&lt;C57,"Desired lvl too low",
SUM(
XLOOKUP(C57+1,SEQUENCE(100,1,1,1),Offset,"N/F",0,1)
:XLOOKUP(Desired,SEQUENCE(100,1,1,1),Offset,"N/F",0,1))*(1-LAB_COIN_DISCOUNT()))))))</f>
        <v>51867360000</v>
      </c>
      <c r="T57" s="465" t="str">
        <f t="shared" si="13"/>
        <v>51.87 B</v>
      </c>
      <c r="U57" s="466" t="str">
        <f t="shared" si="14"/>
        <v>49.55 M/h</v>
      </c>
      <c r="V57" s="467">
        <f t="array" ref="V57">LET(
  Labspeed, IF(A57 ="Labs Speed", 1+'Master Sheet'!$BK$5, LAB_SPEED_TOTAL()),
  Match, MATCH(IF(ISNUMBER(SEARCH("Mastery",$A57)),"Card Mastery",$A57),DVT_Laboratory!B$1:V$1,0)-1,
  Offset, OFFSET(DVT_Laboratory!B$3,0,Match,100,1),
  Desired, IF(P57&lt;&gt;"", P57,D57),
IF(Desired&gt;D57,"Desired lvl too high",
IF(AND(Desired=D57,OR(C57=D57,C57="Max")),"Max Level",
IF(Desired&lt;=C57,"Desired lvl too low",
SUM(TIME_TO_RUSH_GEMS(
    XLOOKUP(C57+1, SEQUENCE(100,1,1,1), Offset, "N/F", 0, 1):
    XLOOKUP(Desired, SEQUENCE(100,1,1,1), Offset, "N/F", 0, 1)/Labspeed, IDS_LAB_GODLBOXED_COUNT()))))))</f>
        <v>3203</v>
      </c>
    </row>
    <row r="58">
      <c r="A58" s="458" t="s">
        <v>289</v>
      </c>
      <c r="B58" s="459" t="str">
        <f t="shared" si="1"/>
        <v/>
      </c>
      <c r="C58" s="470">
        <f>VLOOKUP($A58,MS_Labs_Array,2,FALSE)</f>
        <v>19</v>
      </c>
      <c r="D58" s="461">
        <f>VLOOKUP($A58,MS_Labs_Array,4,FALSE)</f>
        <v>20</v>
      </c>
      <c r="E58" s="462" t="str">
        <f t="shared" si="21"/>
        <v>T4 200</v>
      </c>
      <c r="F58" s="463">
        <f t="shared" si="17"/>
        <v>8.25799108</v>
      </c>
      <c r="G58" s="464" t="str">
        <f t="shared" si="3"/>
        <v>8d  6h 11m</v>
      </c>
      <c r="H58" s="465">
        <f t="shared" si="4"/>
        <v>7036640000</v>
      </c>
      <c r="I58" s="465" t="str">
        <f t="shared" si="5"/>
        <v>Max Level</v>
      </c>
      <c r="J58" s="465" t="str">
        <f t="shared" si="6"/>
        <v>7.04 B</v>
      </c>
      <c r="K58" s="466" t="str">
        <f t="shared" si="7"/>
        <v/>
      </c>
      <c r="L58" s="467">
        <f t="shared" si="8"/>
        <v>663</v>
      </c>
      <c r="M58" s="468" t="str">
        <f t="shared" si="18"/>
        <v>Max Level</v>
      </c>
      <c r="N58" s="465" t="str">
        <f t="shared" si="10"/>
        <v>Max Level</v>
      </c>
      <c r="O58" s="467" t="str">
        <f t="shared" si="11"/>
        <v>Max Level</v>
      </c>
      <c r="P58" s="471" t="str">
        <f>VLOOKUP($A58,MS_Labs_Array,3,FALSE)</f>
        <v/>
      </c>
      <c r="Q58" s="468">
        <f>IFERROR(__xludf.DUMMYFUNCTION("LET(
  Labspeed, IF(A58=""Labs Speed"", 1+'Master Sheet'!$BK$5, LAB_SPEED_TOTAL()),
  Match, MATCH(IF(ISNUMBER(SEARCH(""Mastery"",$A58)),""Card Mastery"",$A58),DVT_Laboratory!B$1:V$1,0)-1,
  Offset, INDEX(DVT_Laboratory!B$3:ZZ$102,,Match+1),
  Desired, IF"&amp;"(P58&lt;&gt;"""", P58,D58),
  IFS(
    Desired &gt; D58, ""Desired lvl too high"",
    AND(Desired = D58, OR(C58 = D58, C58 = ""Max"")), ""Max Level"",
    Desired = C58, ""OK Level"",
    Desired &lt; C58, ""Desired lvl too low"",
    TRUE, TO_PURE_NUMBER(
      SUM"&amp;"(
        XLOOKUP($C58 + 1, SEQUENCE(100, 1, 1, 1), Offset, ""N/F"", 0, 1): 
        XLOOKUP(Desired, SEQUENCE(100, 1, 1, 1), Offset, ""N/F"", 0, 1)
      ) / Labspeed
    ) /
    IF(AND(B58 &lt;&gt; """", $B$1 = ""All""), RIGHT(B58, 3), 1)
  )
)"),8.257991080381075)</f>
        <v>8.25799108</v>
      </c>
      <c r="R58" s="464" t="str">
        <f t="shared" si="12"/>
        <v>8d  6h 11m</v>
      </c>
      <c r="S58" s="465">
        <f t="array" ref="S58">LET(
  Match, MATCH(IF(ISNUMBER(SEARCH("Mastery",$A58)),"Card Mastery",$A58),DVT_Laboratory!B$1:V$1,0)-1,
  Offset, OFFSET(DVT_Laboratory!C$3,0,Match,100,1),
  Desired, IF(P58&lt;&gt;"", P58,D58),
IF(Desired&gt;D58,"Desired lvl too high",
IF(AND(Desired=D58,OR(C58=D58,C58="Max")),"Max Level",
IF(Desired=C58,"OK Level",
IF(Desired&lt;C58,"Desired lvl too low",
SUM(
XLOOKUP(C58+1,SEQUENCE(100,1,1,1),Offset,"N/F",0,1)
:XLOOKUP(Desired,SEQUENCE(100,1,1,1),Offset,"N/F",0,1))*(1-LAB_COIN_DISCOUNT()))))))</f>
        <v>7036640000</v>
      </c>
      <c r="T58" s="465" t="str">
        <f t="shared" si="13"/>
        <v>7.04 B</v>
      </c>
      <c r="U58" s="466" t="str">
        <f t="shared" si="14"/>
        <v>35.5 M/h</v>
      </c>
      <c r="V58" s="467">
        <f t="array" ref="V58">LET(
  Labspeed, IF(A58 ="Labs Speed", 1+'Master Sheet'!$BK$5, LAB_SPEED_TOTAL()),
  Match, MATCH(IF(ISNUMBER(SEARCH("Mastery",$A58)),"Card Mastery",$A58),DVT_Laboratory!B$1:V$1,0)-1,
  Offset, OFFSET(DVT_Laboratory!B$3,0,Match,100,1),
  Desired, IF(P58&lt;&gt;"", P58,D58),
IF(Desired&gt;D58,"Desired lvl too high",
IF(AND(Desired=D58,OR(C58=D58,C58="Max")),"Max Level",
IF(Desired&lt;=C58,"Desired lvl too low",
SUM(TIME_TO_RUSH_GEMS(
    XLOOKUP(C58+1, SEQUENCE(100,1,1,1), Offset, "N/F", 0, 1):
    XLOOKUP(Desired, SEQUENCE(100,1,1,1), Offset, "N/F", 0, 1)/Labspeed, IDS_LAB_GODLBOXED_COUNT()))))))</f>
        <v>663</v>
      </c>
    </row>
    <row r="59">
      <c r="A59" s="458" t="s">
        <v>317</v>
      </c>
      <c r="B59" s="459" t="str">
        <f t="shared" si="1"/>
        <v/>
      </c>
      <c r="C59" s="470">
        <f>VLOOKUP($A59,MS_Labs_Array,2,FALSE)</f>
        <v>30</v>
      </c>
      <c r="D59" s="462">
        <f>VLOOKUP($A59,MS_Labs_Array,4,FALSE)</f>
        <v>30</v>
      </c>
      <c r="E59" s="462" t="str">
        <f t="shared" si="21"/>
        <v>T3 250</v>
      </c>
      <c r="F59" s="463" t="str">
        <f t="shared" si="17"/>
        <v>Max Level</v>
      </c>
      <c r="G59" s="464" t="str">
        <f t="shared" si="3"/>
        <v>Max Level</v>
      </c>
      <c r="H59" s="465" t="str">
        <f t="shared" si="4"/>
        <v>Max Level</v>
      </c>
      <c r="I59" s="465">
        <f t="shared" si="5"/>
        <v>0</v>
      </c>
      <c r="J59" s="465" t="str">
        <f t="shared" si="6"/>
        <v>Max Level</v>
      </c>
      <c r="K59" s="466" t="str">
        <f t="shared" si="7"/>
        <v/>
      </c>
      <c r="L59" s="467" t="str">
        <f t="shared" si="8"/>
        <v>Max Level</v>
      </c>
      <c r="M59" s="468" t="str">
        <f t="shared" si="18"/>
        <v>Max Level</v>
      </c>
      <c r="N59" s="465" t="str">
        <f t="shared" si="10"/>
        <v>Max Level</v>
      </c>
      <c r="O59" s="467" t="str">
        <f t="shared" si="11"/>
        <v>Max Level</v>
      </c>
      <c r="P59" s="471" t="str">
        <f>VLOOKUP($A59,MS_Labs_Array,3,FALSE)</f>
        <v/>
      </c>
      <c r="Q59" s="468" t="str">
        <f>IFERROR(__xludf.DUMMYFUNCTION("LET(
  Labspeed, IF(A59=""Labs Speed"", 1+'Master Sheet'!$BK$5, LAB_SPEED_TOTAL()),
  Match, MATCH(IF(ISNUMBER(SEARCH(""Mastery"",$A59)),""Card Mastery"",$A59),DVT_Laboratory!B$1:V$1,0)-1,
  Offset, INDEX(DVT_Laboratory!B$3:ZZ$102,,Match+1),
  Desired, IF"&amp;"(P59&lt;&gt;"""", P59,D59),
  IFS(
    Desired &gt; D59, ""Desired lvl too high"",
    AND(Desired = D59, OR(C59 = D59, C59 = ""Max"")), ""Max Level"",
    Desired = C59, ""OK Level"",
    Desired &lt; C59, ""Desired lvl too low"",
    TRUE, TO_PURE_NUMBER(
      SUM"&amp;"(
        XLOOKUP($C59 + 1, SEQUENCE(100, 1, 1, 1), Offset, ""N/F"", 0, 1): 
        XLOOKUP(Desired, SEQUENCE(100, 1, 1, 1), Offset, ""N/F"", 0, 1)
      ) / Labspeed
    ) /
    IF(AND(B59 &lt;&gt; """", $B$1 = ""All""), RIGHT(B59, 3), 1)
  )
)"),"Max Level")</f>
        <v>Max Level</v>
      </c>
      <c r="R59" s="464" t="str">
        <f t="shared" si="12"/>
        <v>Max Level</v>
      </c>
      <c r="S59" s="465" t="str">
        <f t="array" ref="S59">LET(
  Match, MATCH(IF(ISNUMBER(SEARCH("Mastery",$A59)),"Card Mastery",$A59),DVT_Laboratory!B$1:V$1,0)-1,
  Offset, OFFSET(DVT_Laboratory!C$3,0,Match,100,1),
  Desired, IF(P59&lt;&gt;"", P59,D59),
IF(Desired&gt;D59,"Desired lvl too high",
IF(AND(Desired=D59,OR(C59=D59,C59="Max")),"Max Level",
IF(Desired=C59,"OK Level",
IF(Desired&lt;C59,"Desired lvl too low",
SUM(
XLOOKUP(C59+1,SEQUENCE(100,1,1,1),Offset,"N/F",0,1)
:XLOOKUP(Desired,SEQUENCE(100,1,1,1),Offset,"N/F",0,1))*(1-LAB_COIN_DISCOUNT()))))))</f>
        <v>Max Level</v>
      </c>
      <c r="T59" s="465" t="str">
        <f t="shared" si="13"/>
        <v>Max Level</v>
      </c>
      <c r="U59" s="466" t="str">
        <f t="shared" si="14"/>
        <v/>
      </c>
      <c r="V59" s="467" t="str">
        <f t="array" ref="V59">LET(
  Labspeed, IF(A59 ="Labs Speed", 1+'Master Sheet'!$BK$5, LAB_SPEED_TOTAL()),
  Match, MATCH(IF(ISNUMBER(SEARCH("Mastery",$A59)),"Card Mastery",$A59),DVT_Laboratory!B$1:V$1,0)-1,
  Offset, OFFSET(DVT_Laboratory!B$3,0,Match,100,1),
  Desired, IF(P59&lt;&gt;"", P59,D59),
IF(Desired&gt;D59,"Desired lvl too high",
IF(AND(Desired=D59,OR(C59=D59,C59="Max")),"Max Level",
IF(Desired&lt;=C59,"Desired lvl too low",
SUM(TIME_TO_RUSH_GEMS(
    XLOOKUP(C59+1, SEQUENCE(100,1,1,1), Offset, "N/F", 0, 1):
    XLOOKUP(Desired, SEQUENCE(100,1,1,1), Offset, "N/F", 0, 1)/Labspeed, IDS_LAB_GODLBOXED_COUNT()))))))</f>
        <v>Max Level</v>
      </c>
    </row>
    <row r="60">
      <c r="A60" s="458" t="s">
        <v>323</v>
      </c>
      <c r="B60" s="459" t="str">
        <f t="shared" si="1"/>
        <v/>
      </c>
      <c r="C60" s="470">
        <f>VLOOKUP($A60,MS_Labs_Array,2,FALSE)</f>
        <v>20</v>
      </c>
      <c r="D60" s="462">
        <f>VLOOKUP($A60,MS_Labs_Array,4,FALSE)</f>
        <v>20</v>
      </c>
      <c r="E60" s="462" t="str">
        <f t="shared" si="21"/>
        <v>T3 250</v>
      </c>
      <c r="F60" s="463" t="str">
        <f t="shared" si="17"/>
        <v>Max Level</v>
      </c>
      <c r="G60" s="464" t="str">
        <f t="shared" si="3"/>
        <v>Max Level</v>
      </c>
      <c r="H60" s="465" t="str">
        <f t="shared" si="4"/>
        <v>Max Level</v>
      </c>
      <c r="I60" s="465">
        <f t="shared" si="5"/>
        <v>0</v>
      </c>
      <c r="J60" s="465" t="str">
        <f t="shared" si="6"/>
        <v>Max Level</v>
      </c>
      <c r="K60" s="466" t="str">
        <f t="shared" si="7"/>
        <v/>
      </c>
      <c r="L60" s="467" t="str">
        <f t="shared" si="8"/>
        <v>Max Level</v>
      </c>
      <c r="M60" s="468" t="str">
        <f t="shared" si="18"/>
        <v>Max Level</v>
      </c>
      <c r="N60" s="465" t="str">
        <f t="shared" si="10"/>
        <v>Max Level</v>
      </c>
      <c r="O60" s="467" t="str">
        <f t="shared" si="11"/>
        <v>Max Level</v>
      </c>
      <c r="P60" s="471" t="str">
        <f>VLOOKUP($A60,MS_Labs_Array,3,FALSE)</f>
        <v/>
      </c>
      <c r="Q60" s="468" t="str">
        <f>IFERROR(__xludf.DUMMYFUNCTION("LET(
  Labspeed, IF(A60=""Labs Speed"", 1+'Master Sheet'!$BK$5, LAB_SPEED_TOTAL()),
  Match, MATCH(IF(ISNUMBER(SEARCH(""Mastery"",$A60)),""Card Mastery"",$A60),DVT_Laboratory!B$1:V$1,0)-1,
  Offset, INDEX(DVT_Laboratory!B$3:ZZ$102,,Match+1),
  Desired, IF"&amp;"(P60&lt;&gt;"""", P60,D60),
  IFS(
    Desired &gt; D60, ""Desired lvl too high"",
    AND(Desired = D60, OR(C60 = D60, C60 = ""Max"")), ""Max Level"",
    Desired = C60, ""OK Level"",
    Desired &lt; C60, ""Desired lvl too low"",
    TRUE, TO_PURE_NUMBER(
      SUM"&amp;"(
        XLOOKUP($C60 + 1, SEQUENCE(100, 1, 1, 1), Offset, ""N/F"", 0, 1): 
        XLOOKUP(Desired, SEQUENCE(100, 1, 1, 1), Offset, ""N/F"", 0, 1)
      ) / Labspeed
    ) /
    IF(AND(B60 &lt;&gt; """", $B$1 = ""All""), RIGHT(B60, 3), 1)
  )
)"),"Max Level")</f>
        <v>Max Level</v>
      </c>
      <c r="R60" s="464" t="str">
        <f t="shared" si="12"/>
        <v>Max Level</v>
      </c>
      <c r="S60" s="465" t="str">
        <f t="array" ref="S60">LET(
  Match, MATCH(IF(ISNUMBER(SEARCH("Mastery",$A60)),"Card Mastery",$A60),DVT_Laboratory!B$1:V$1,0)-1,
  Offset, OFFSET(DVT_Laboratory!C$3,0,Match,100,1),
  Desired, IF(P60&lt;&gt;"", P60,D60),
IF(Desired&gt;D60,"Desired lvl too high",
IF(AND(Desired=D60,OR(C60=D60,C60="Max")),"Max Level",
IF(Desired=C60,"OK Level",
IF(Desired&lt;C60,"Desired lvl too low",
SUM(
XLOOKUP(C60+1,SEQUENCE(100,1,1,1),Offset,"N/F",0,1)
:XLOOKUP(Desired,SEQUENCE(100,1,1,1),Offset,"N/F",0,1))*(1-LAB_COIN_DISCOUNT()))))))</f>
        <v>Max Level</v>
      </c>
      <c r="T60" s="465" t="str">
        <f t="shared" si="13"/>
        <v>Max Level</v>
      </c>
      <c r="U60" s="466" t="str">
        <f t="shared" si="14"/>
        <v/>
      </c>
      <c r="V60" s="467" t="str">
        <f t="array" ref="V60">LET(
  Labspeed, IF(A60 ="Labs Speed", 1+'Master Sheet'!$BK$5, LAB_SPEED_TOTAL()),
  Match, MATCH(IF(ISNUMBER(SEARCH("Mastery",$A60)),"Card Mastery",$A60),DVT_Laboratory!B$1:V$1,0)-1,
  Offset, OFFSET(DVT_Laboratory!B$3,0,Match,100,1),
  Desired, IF(P60&lt;&gt;"", P60,D60),
IF(Desired&gt;D60,"Desired lvl too high",
IF(AND(Desired=D60,OR(C60=D60,C60="Max")),"Max Level",
IF(Desired&lt;=C60,"Desired lvl too low",
SUM(TIME_TO_RUSH_GEMS(
    XLOOKUP(C60+1, SEQUENCE(100,1,1,1), Offset, "N/F", 0, 1):
    XLOOKUP(Desired, SEQUENCE(100,1,1,1), Offset, "N/F", 0, 1)/Labspeed, IDS_LAB_GODLBOXED_COUNT()))))))</f>
        <v>Max Level</v>
      </c>
    </row>
    <row r="61">
      <c r="A61" s="458" t="s">
        <v>352</v>
      </c>
      <c r="B61" s="459" t="str">
        <f t="shared" si="1"/>
        <v/>
      </c>
      <c r="C61" s="470">
        <f>VLOOKUP($A61,MS_Labs_Array,2,FALSE)</f>
        <v>10</v>
      </c>
      <c r="D61" s="461">
        <f>VLOOKUP($A61,MS_Labs_Array,4,FALSE)</f>
        <v>10</v>
      </c>
      <c r="E61" s="462" t="str">
        <f t="shared" si="21"/>
        <v>T5 150</v>
      </c>
      <c r="F61" s="463" t="str">
        <f t="shared" si="17"/>
        <v>Max Level</v>
      </c>
      <c r="G61" s="464" t="str">
        <f t="shared" si="3"/>
        <v>Max Level</v>
      </c>
      <c r="H61" s="465" t="str">
        <f t="shared" si="4"/>
        <v>Max Level</v>
      </c>
      <c r="I61" s="465">
        <f t="shared" si="5"/>
        <v>0</v>
      </c>
      <c r="J61" s="465" t="str">
        <f t="shared" si="6"/>
        <v>Max Level</v>
      </c>
      <c r="K61" s="466" t="str">
        <f t="shared" si="7"/>
        <v/>
      </c>
      <c r="L61" s="467" t="str">
        <f t="shared" si="8"/>
        <v>Max Level</v>
      </c>
      <c r="M61" s="468" t="str">
        <f t="shared" si="18"/>
        <v>Max Level</v>
      </c>
      <c r="N61" s="465" t="str">
        <f t="shared" si="10"/>
        <v>Max Level</v>
      </c>
      <c r="O61" s="467" t="str">
        <f t="shared" si="11"/>
        <v>Max Level</v>
      </c>
      <c r="P61" s="471" t="str">
        <f>VLOOKUP($A61,MS_Labs_Array,3,FALSE)</f>
        <v/>
      </c>
      <c r="Q61" s="468" t="str">
        <f>IFERROR(__xludf.DUMMYFUNCTION("LET(
  Labspeed, IF(A61=""Labs Speed"", 1+'Master Sheet'!$BK$5, LAB_SPEED_TOTAL()),
  Match, MATCH(IF(ISNUMBER(SEARCH(""Mastery"",$A61)),""Card Mastery"",$A61),DVT_Laboratory!B$1:V$1,0)-1,
  Offset, INDEX(DVT_Laboratory!B$3:ZZ$102,,Match+1),
  Desired, IF"&amp;"(P61&lt;&gt;"""", P61,D61),
  IFS(
    Desired &gt; D61, ""Desired lvl too high"",
    AND(Desired = D61, OR(C61 = D61, C61 = ""Max"")), ""Max Level"",
    Desired = C61, ""OK Level"",
    Desired &lt; C61, ""Desired lvl too low"",
    TRUE, TO_PURE_NUMBER(
      SUM"&amp;"(
        XLOOKUP($C61 + 1, SEQUENCE(100, 1, 1, 1), Offset, ""N/F"", 0, 1): 
        XLOOKUP(Desired, SEQUENCE(100, 1, 1, 1), Offset, ""N/F"", 0, 1)
      ) / Labspeed
    ) /
    IF(AND(B61 &lt;&gt; """", $B$1 = ""All""), RIGHT(B61, 3), 1)
  )
)"),"Max Level")</f>
        <v>Max Level</v>
      </c>
      <c r="R61" s="464" t="str">
        <f t="shared" si="12"/>
        <v>Max Level</v>
      </c>
      <c r="S61" s="465" t="str">
        <f t="array" ref="S61">LET(
  Match, MATCH(IF(ISNUMBER(SEARCH("Mastery",$A61)),"Card Mastery",$A61),DVT_Laboratory!B$1:V$1,0)-1,
  Offset, OFFSET(DVT_Laboratory!C$3,0,Match,100,1),
  Desired, IF(P61&lt;&gt;"", P61,D61),
IF(Desired&gt;D61,"Desired lvl too high",
IF(AND(Desired=D61,OR(C61=D61,C61="Max")),"Max Level",
IF(Desired=C61,"OK Level",
IF(Desired&lt;C61,"Desired lvl too low",
SUM(
XLOOKUP(C61+1,SEQUENCE(100,1,1,1),Offset,"N/F",0,1)
:XLOOKUP(Desired,SEQUENCE(100,1,1,1),Offset,"N/F",0,1))*(1-LAB_COIN_DISCOUNT()))))))</f>
        <v>Max Level</v>
      </c>
      <c r="T61" s="465" t="str">
        <f t="shared" si="13"/>
        <v>Max Level</v>
      </c>
      <c r="U61" s="466" t="str">
        <f t="shared" si="14"/>
        <v/>
      </c>
      <c r="V61" s="467" t="str">
        <f t="array" ref="V61">LET(
  Labspeed, IF(A61 ="Labs Speed", 1+'Master Sheet'!$BK$5, LAB_SPEED_TOTAL()),
  Match, MATCH(IF(ISNUMBER(SEARCH("Mastery",$A61)),"Card Mastery",$A61),DVT_Laboratory!B$1:V$1,0)-1,
  Offset, OFFSET(DVT_Laboratory!B$3,0,Match,100,1),
  Desired, IF(P61&lt;&gt;"", P61,D61),
IF(Desired&gt;D61,"Desired lvl too high",
IF(AND(Desired=D61,OR(C61=D61,C61="Max")),"Max Level",
IF(Desired&lt;=C61,"Desired lvl too low",
SUM(TIME_TO_RUSH_GEMS(
    XLOOKUP(C61+1, SEQUENCE(100,1,1,1), Offset, "N/F", 0, 1):
    XLOOKUP(Desired, SEQUENCE(100,1,1,1), Offset, "N/F", 0, 1)/Labspeed, IDS_LAB_GODLBOXED_COUNT()))))))</f>
        <v>Max Level</v>
      </c>
    </row>
    <row r="62">
      <c r="A62" s="458" t="s">
        <v>354</v>
      </c>
      <c r="B62" s="459" t="str">
        <f t="shared" si="1"/>
        <v/>
      </c>
      <c r="C62" s="470">
        <f>VLOOKUP($A62,MS_Labs_Array,2,FALSE)</f>
        <v>1</v>
      </c>
      <c r="D62" s="461">
        <f>VLOOKUP($A62,MS_Labs_Array,4,FALSE)</f>
        <v>1</v>
      </c>
      <c r="E62" s="462" t="str">
        <f t="shared" si="21"/>
        <v>T5 500</v>
      </c>
      <c r="F62" s="463" t="str">
        <f t="shared" si="17"/>
        <v>Max Level</v>
      </c>
      <c r="G62" s="464" t="str">
        <f t="shared" si="3"/>
        <v>Max Level</v>
      </c>
      <c r="H62" s="465" t="str">
        <f t="shared" si="4"/>
        <v>Max Level</v>
      </c>
      <c r="I62" s="465">
        <f t="shared" si="5"/>
        <v>0</v>
      </c>
      <c r="J62" s="465" t="str">
        <f t="shared" si="6"/>
        <v>Max Level</v>
      </c>
      <c r="K62" s="466" t="str">
        <f t="shared" si="7"/>
        <v/>
      </c>
      <c r="L62" s="467" t="str">
        <f t="shared" si="8"/>
        <v>Max Level</v>
      </c>
      <c r="M62" s="468" t="str">
        <f t="shared" si="18"/>
        <v>Max Level</v>
      </c>
      <c r="N62" s="465" t="str">
        <f t="shared" si="10"/>
        <v>Max Level</v>
      </c>
      <c r="O62" s="467" t="str">
        <f t="shared" si="11"/>
        <v>Max Level</v>
      </c>
      <c r="P62" s="471" t="str">
        <f>VLOOKUP($A62,MS_Labs_Array,3,FALSE)</f>
        <v/>
      </c>
      <c r="Q62" s="468" t="str">
        <f>IFERROR(__xludf.DUMMYFUNCTION("LET(
  Labspeed, IF(A62=""Labs Speed"", 1+'Master Sheet'!$BK$5, LAB_SPEED_TOTAL()),
  Match, MATCH(IF(ISNUMBER(SEARCH(""Mastery"",$A62)),""Card Mastery"",$A62),DVT_Laboratory!B$1:V$1,0)-1,
  Offset, INDEX(DVT_Laboratory!B$3:ZZ$102,,Match+1),
  Desired, IF"&amp;"(P62&lt;&gt;"""", P62,D62),
  IFS(
    Desired &gt; D62, ""Desired lvl too high"",
    AND(Desired = D62, OR(C62 = D62, C62 = ""Max"")), ""Max Level"",
    Desired = C62, ""OK Level"",
    Desired &lt; C62, ""Desired lvl too low"",
    TRUE, TO_PURE_NUMBER(
      SUM"&amp;"(
        XLOOKUP($C62 + 1, SEQUENCE(100, 1, 1, 1), Offset, ""N/F"", 0, 1): 
        XLOOKUP(Desired, SEQUENCE(100, 1, 1, 1), Offset, ""N/F"", 0, 1)
      ) / Labspeed
    ) /
    IF(AND(B62 &lt;&gt; """", $B$1 = ""All""), RIGHT(B62, 3), 1)
  )
)"),"Max Level")</f>
        <v>Max Level</v>
      </c>
      <c r="R62" s="464" t="str">
        <f t="shared" si="12"/>
        <v>Max Level</v>
      </c>
      <c r="S62" s="465" t="str">
        <f t="array" ref="S62">LET(
  Match, MATCH(IF(ISNUMBER(SEARCH("Mastery",$A62)),"Card Mastery",$A62),DVT_Laboratory!B$1:V$1,0)-1,
  Offset, OFFSET(DVT_Laboratory!C$3,0,Match,100,1),
  Desired, IF(P62&lt;&gt;"", P62,D62),
IF(Desired&gt;D62,"Desired lvl too high",
IF(AND(Desired=D62,OR(C62=D62,C62="Max")),"Max Level",
IF(Desired=C62,"OK Level",
IF(Desired&lt;C62,"Desired lvl too low",
SUM(
XLOOKUP(C62+1,SEQUENCE(100,1,1,1),Offset,"N/F",0,1)
:XLOOKUP(Desired,SEQUENCE(100,1,1,1),Offset,"N/F",0,1))*(1-LAB_COIN_DISCOUNT()))))))</f>
        <v>Max Level</v>
      </c>
      <c r="T62" s="465" t="str">
        <f t="shared" si="13"/>
        <v>Max Level</v>
      </c>
      <c r="U62" s="466" t="str">
        <f t="shared" si="14"/>
        <v/>
      </c>
      <c r="V62" s="467" t="str">
        <f t="array" ref="V62">LET(
  Labspeed, IF(A62 ="Labs Speed", 1+'Master Sheet'!$BK$5, LAB_SPEED_TOTAL()),
  Match, MATCH(IF(ISNUMBER(SEARCH("Mastery",$A62)),"Card Mastery",$A62),DVT_Laboratory!B$1:V$1,0)-1,
  Offset, OFFSET(DVT_Laboratory!B$3,0,Match,100,1),
  Desired, IF(P62&lt;&gt;"", P62,D62),
IF(Desired&gt;D62,"Desired lvl too high",
IF(AND(Desired=D62,OR(C62=D62,C62="Max")),"Max Level",
IF(Desired&lt;=C62,"Desired lvl too low",
SUM(TIME_TO_RUSH_GEMS(
    XLOOKUP(C62+1, SEQUENCE(100,1,1,1), Offset, "N/F", 0, 1):
    XLOOKUP(Desired, SEQUENCE(100,1,1,1), Offset, "N/F", 0, 1)/Labspeed, IDS_LAB_GODLBOXED_COUNT()))))))</f>
        <v>Max Level</v>
      </c>
    </row>
    <row r="63">
      <c r="A63" s="458" t="s">
        <v>356</v>
      </c>
      <c r="B63" s="459" t="str">
        <f t="shared" si="1"/>
        <v/>
      </c>
      <c r="C63" s="460">
        <f>VLOOKUP($A63,MS_Labs_Array,2,FALSE)</f>
        <v>20</v>
      </c>
      <c r="D63" s="461">
        <f>VLOOKUP($A63,MS_Labs_Array,4,FALSE)</f>
        <v>20</v>
      </c>
      <c r="E63" s="462" t="str">
        <f t="shared" si="21"/>
        <v>T5 150</v>
      </c>
      <c r="F63" s="463" t="str">
        <f t="shared" si="17"/>
        <v>Max Level</v>
      </c>
      <c r="G63" s="464" t="str">
        <f t="shared" si="3"/>
        <v>Max Level</v>
      </c>
      <c r="H63" s="465" t="str">
        <f t="shared" si="4"/>
        <v>Max Level</v>
      </c>
      <c r="I63" s="465">
        <f t="shared" si="5"/>
        <v>0</v>
      </c>
      <c r="J63" s="465" t="str">
        <f t="shared" si="6"/>
        <v>Max Level</v>
      </c>
      <c r="K63" s="466" t="str">
        <f t="shared" si="7"/>
        <v/>
      </c>
      <c r="L63" s="467" t="str">
        <f t="shared" si="8"/>
        <v>Max Level</v>
      </c>
      <c r="M63" s="468" t="str">
        <f t="shared" si="18"/>
        <v>Max Level</v>
      </c>
      <c r="N63" s="465" t="str">
        <f t="shared" si="10"/>
        <v>Max Level</v>
      </c>
      <c r="O63" s="467" t="str">
        <f t="shared" si="11"/>
        <v>Max Level</v>
      </c>
      <c r="P63" s="469" t="str">
        <f>VLOOKUP($A63,MS_Labs_Array,3,FALSE)</f>
        <v/>
      </c>
      <c r="Q63" s="468" t="str">
        <f>IFERROR(__xludf.DUMMYFUNCTION("LET(
  Labspeed, IF(A63=""Labs Speed"", 1+'Master Sheet'!$BK$5, LAB_SPEED_TOTAL()),
  Match, MATCH(IF(ISNUMBER(SEARCH(""Mastery"",$A63)),""Card Mastery"",$A63),DVT_Laboratory!B$1:V$1,0)-1,
  Offset, INDEX(DVT_Laboratory!B$3:ZZ$102,,Match+1),
  Desired, IF"&amp;"(P63&lt;&gt;"""", P63,D63),
  IFS(
    Desired &gt; D63, ""Desired lvl too high"",
    AND(Desired = D63, OR(C63 = D63, C63 = ""Max"")), ""Max Level"",
    Desired = C63, ""OK Level"",
    Desired &lt; C63, ""Desired lvl too low"",
    TRUE, TO_PURE_NUMBER(
      SUM"&amp;"(
        XLOOKUP($C63 + 1, SEQUENCE(100, 1, 1, 1), Offset, ""N/F"", 0, 1): 
        XLOOKUP(Desired, SEQUENCE(100, 1, 1, 1), Offset, ""N/F"", 0, 1)
      ) / Labspeed
    ) /
    IF(AND(B63 &lt;&gt; """", $B$1 = ""All""), RIGHT(B63, 3), 1)
  )
)"),"Max Level")</f>
        <v>Max Level</v>
      </c>
      <c r="R63" s="464" t="str">
        <f t="shared" si="12"/>
        <v>Max Level</v>
      </c>
      <c r="S63" s="465" t="str">
        <f t="array" ref="S63">LET(
  Match, MATCH(IF(ISNUMBER(SEARCH("Mastery",$A63)),"Card Mastery",$A63),DVT_Laboratory!B$1:V$1,0)-1,
  Offset, OFFSET(DVT_Laboratory!C$3,0,Match,100,1),
  Desired, IF(P63&lt;&gt;"", P63,D63),
IF(Desired&gt;D63,"Desired lvl too high",
IF(AND(Desired=D63,OR(C63=D63,C63="Max")),"Max Level",
IF(Desired=C63,"OK Level",
IF(Desired&lt;C63,"Desired lvl too low",
SUM(
XLOOKUP(C63+1,SEQUENCE(100,1,1,1),Offset,"N/F",0,1)
:XLOOKUP(Desired,SEQUENCE(100,1,1,1),Offset,"N/F",0,1))*(1-LAB_COIN_DISCOUNT()))))))</f>
        <v>Max Level</v>
      </c>
      <c r="T63" s="465" t="str">
        <f t="shared" si="13"/>
        <v>Max Level</v>
      </c>
      <c r="U63" s="466" t="str">
        <f t="shared" si="14"/>
        <v/>
      </c>
      <c r="V63" s="467" t="str">
        <f t="array" ref="V63">LET(
  Labspeed, IF(A63 ="Labs Speed", 1+'Master Sheet'!$BK$5, LAB_SPEED_TOTAL()),
  Match, MATCH(IF(ISNUMBER(SEARCH("Mastery",$A63)),"Card Mastery",$A63),DVT_Laboratory!B$1:V$1,0)-1,
  Offset, OFFSET(DVT_Laboratory!B$3,0,Match,100,1),
  Desired, IF(P63&lt;&gt;"", P63,D63),
IF(Desired&gt;D63,"Desired lvl too high",
IF(AND(Desired=D63,OR(C63=D63,C63="Max")),"Max Level",
IF(Desired&lt;=C63,"Desired lvl too low",
SUM(TIME_TO_RUSH_GEMS(
    XLOOKUP(C63+1, SEQUENCE(100,1,1,1), Offset, "N/F", 0, 1):
    XLOOKUP(Desired, SEQUENCE(100,1,1,1), Offset, "N/F", 0, 1)/Labspeed, IDS_LAB_GODLBOXED_COUNT()))))))</f>
        <v>Max Level</v>
      </c>
    </row>
    <row r="64">
      <c r="A64" s="458" t="s">
        <v>201</v>
      </c>
      <c r="B64" s="459" t="str">
        <f t="shared" si="1"/>
        <v/>
      </c>
      <c r="C64" s="470">
        <f>VLOOKUP($A64,MS_Labs_Array,2,FALSE)</f>
        <v>30</v>
      </c>
      <c r="D64" s="461">
        <f>VLOOKUP($A64,MS_Labs_Array,4,FALSE)</f>
        <v>30</v>
      </c>
      <c r="E64" s="462" t="str">
        <f t="shared" si="21"/>
        <v>T7 90</v>
      </c>
      <c r="F64" s="463" t="str">
        <f t="shared" si="17"/>
        <v>Max Level</v>
      </c>
      <c r="G64" s="464" t="str">
        <f t="shared" si="3"/>
        <v>Max Level</v>
      </c>
      <c r="H64" s="465" t="str">
        <f t="shared" si="4"/>
        <v>Max Level</v>
      </c>
      <c r="I64" s="465">
        <f t="shared" si="5"/>
        <v>0</v>
      </c>
      <c r="J64" s="465" t="str">
        <f t="shared" si="6"/>
        <v>Max Level</v>
      </c>
      <c r="K64" s="466" t="str">
        <f t="shared" si="7"/>
        <v/>
      </c>
      <c r="L64" s="467" t="str">
        <f t="shared" si="8"/>
        <v>Max Level</v>
      </c>
      <c r="M64" s="468" t="str">
        <f t="shared" si="18"/>
        <v>Max Level</v>
      </c>
      <c r="N64" s="465" t="str">
        <f t="shared" si="10"/>
        <v>Max Level</v>
      </c>
      <c r="O64" s="467" t="str">
        <f t="shared" si="11"/>
        <v>Max Level</v>
      </c>
      <c r="P64" s="471" t="str">
        <f>VLOOKUP($A64,MS_Labs_Array,3,FALSE)</f>
        <v/>
      </c>
      <c r="Q64" s="468" t="str">
        <f>IFERROR(__xludf.DUMMYFUNCTION("LET(
  Labspeed, IF(A64=""Labs Speed"", 1+'Master Sheet'!$BK$5, LAB_SPEED_TOTAL()),
  Match, MATCH(IF(ISNUMBER(SEARCH(""Mastery"",$A64)),""Card Mastery"",$A64),DVT_Laboratory!B$1:V$1,0)-1,
  Offset, INDEX(DVT_Laboratory!B$3:ZZ$102,,Match+1),
  Desired, IF"&amp;"(P64&lt;&gt;"""", P64,D64),
  IFS(
    Desired &gt; D64, ""Desired lvl too high"",
    AND(Desired = D64, OR(C64 = D64, C64 = ""Max"")), ""Max Level"",
    Desired = C64, ""OK Level"",
    Desired &lt; C64, ""Desired lvl too low"",
    TRUE, TO_PURE_NUMBER(
      SUM"&amp;"(
        XLOOKUP($C64 + 1, SEQUENCE(100, 1, 1, 1), Offset, ""N/F"", 0, 1): 
        XLOOKUP(Desired, SEQUENCE(100, 1, 1, 1), Offset, ""N/F"", 0, 1)
      ) / Labspeed
    ) /
    IF(AND(B64 &lt;&gt; """", $B$1 = ""All""), RIGHT(B64, 3), 1)
  )
)"),"Max Level")</f>
        <v>Max Level</v>
      </c>
      <c r="R64" s="464" t="str">
        <f t="shared" si="12"/>
        <v>Max Level</v>
      </c>
      <c r="S64" s="465" t="str">
        <f t="array" ref="S64">LET(
  Match, MATCH(IF(ISNUMBER(SEARCH("Mastery",$A64)),"Card Mastery",$A64),DVT_Laboratory!B$1:V$1,0)-1,
  Offset, OFFSET(DVT_Laboratory!C$3,0,Match,100,1),
  Desired, IF(P64&lt;&gt;"", P64,D64),
IF(Desired&gt;D64,"Desired lvl too high",
IF(AND(Desired=D64,OR(C64=D64,C64="Max")),"Max Level",
IF(Desired=C64,"OK Level",
IF(Desired&lt;C64,"Desired lvl too low",
SUM(
XLOOKUP(C64+1,SEQUENCE(100,1,1,1),Offset,"N/F",0,1)
:XLOOKUP(Desired,SEQUENCE(100,1,1,1),Offset,"N/F",0,1))*(1-LAB_COIN_DISCOUNT()))))))</f>
        <v>Max Level</v>
      </c>
      <c r="T64" s="465" t="str">
        <f t="shared" si="13"/>
        <v>Max Level</v>
      </c>
      <c r="U64" s="466" t="str">
        <f t="shared" si="14"/>
        <v/>
      </c>
      <c r="V64" s="467" t="str">
        <f t="array" ref="V64">LET(
  Labspeed, IF(A64 ="Labs Speed", 1+'Master Sheet'!$BK$5, LAB_SPEED_TOTAL()),
  Match, MATCH(IF(ISNUMBER(SEARCH("Mastery",$A64)),"Card Mastery",$A64),DVT_Laboratory!B$1:V$1,0)-1,
  Offset, OFFSET(DVT_Laboratory!B$3,0,Match,100,1),
  Desired, IF(P64&lt;&gt;"", P64,D64),
IF(Desired&gt;D64,"Desired lvl too high",
IF(AND(Desired=D64,OR(C64=D64,C64="Max")),"Max Level",
IF(Desired&lt;=C64,"Desired lvl too low",
SUM(TIME_TO_RUSH_GEMS(
    XLOOKUP(C64+1, SEQUENCE(100,1,1,1), Offset, "N/F", 0, 1):
    XLOOKUP(Desired, SEQUENCE(100,1,1,1), Offset, "N/F", 0, 1)/Labspeed, IDS_LAB_GODLBOXED_COUNT()))))))</f>
        <v>Max Level</v>
      </c>
    </row>
    <row r="65">
      <c r="A65" s="458" t="s">
        <v>219</v>
      </c>
      <c r="B65" s="459" t="str">
        <f t="shared" si="1"/>
        <v/>
      </c>
      <c r="C65" s="470">
        <f>VLOOKUP($A65,MS_Labs_Array,2,FALSE)</f>
        <v>1</v>
      </c>
      <c r="D65" s="461">
        <f>VLOOKUP($A65,MS_Labs_Array,4,FALSE)</f>
        <v>1</v>
      </c>
      <c r="E65" s="462" t="str">
        <f t="shared" si="21"/>
        <v>T7 90</v>
      </c>
      <c r="F65" s="463" t="str">
        <f t="shared" si="17"/>
        <v>Max Level</v>
      </c>
      <c r="G65" s="464" t="str">
        <f t="shared" si="3"/>
        <v>Max Level</v>
      </c>
      <c r="H65" s="465" t="str">
        <f t="shared" si="4"/>
        <v>Max Level</v>
      </c>
      <c r="I65" s="465">
        <f t="shared" si="5"/>
        <v>0</v>
      </c>
      <c r="J65" s="465" t="str">
        <f t="shared" si="6"/>
        <v>Max Level</v>
      </c>
      <c r="K65" s="466" t="str">
        <f t="shared" si="7"/>
        <v/>
      </c>
      <c r="L65" s="467" t="str">
        <f t="shared" si="8"/>
        <v>Max Level</v>
      </c>
      <c r="M65" s="468" t="str">
        <f t="shared" si="18"/>
        <v>Max Level</v>
      </c>
      <c r="N65" s="465" t="str">
        <f t="shared" si="10"/>
        <v>Max Level</v>
      </c>
      <c r="O65" s="467" t="str">
        <f t="shared" si="11"/>
        <v>Max Level</v>
      </c>
      <c r="P65" s="471" t="str">
        <f>VLOOKUP($A65,MS_Labs_Array,3,FALSE)</f>
        <v/>
      </c>
      <c r="Q65" s="468" t="str">
        <f>IFERROR(__xludf.DUMMYFUNCTION("LET(
  Labspeed, IF(A65=""Labs Speed"", 1+'Master Sheet'!$BK$5, LAB_SPEED_TOTAL()),
  Match, MATCH(IF(ISNUMBER(SEARCH(""Mastery"",$A65)),""Card Mastery"",$A65),DVT_Laboratory!B$1:V$1,0)-1,
  Offset, INDEX(DVT_Laboratory!B$3:ZZ$102,,Match+1),
  Desired, IF"&amp;"(P65&lt;&gt;"""", P65,D65),
  IFS(
    Desired &gt; D65, ""Desired lvl too high"",
    AND(Desired = D65, OR(C65 = D65, C65 = ""Max"")), ""Max Level"",
    Desired = C65, ""OK Level"",
    Desired &lt; C65, ""Desired lvl too low"",
    TRUE, TO_PURE_NUMBER(
      SUM"&amp;"(
        XLOOKUP($C65 + 1, SEQUENCE(100, 1, 1, 1), Offset, ""N/F"", 0, 1): 
        XLOOKUP(Desired, SEQUENCE(100, 1, 1, 1), Offset, ""N/F"", 0, 1)
      ) / Labspeed
    ) /
    IF(AND(B65 &lt;&gt; """", $B$1 = ""All""), RIGHT(B65, 3), 1)
  )
)"),"Max Level")</f>
        <v>Max Level</v>
      </c>
      <c r="R65" s="464" t="str">
        <f t="shared" si="12"/>
        <v>Max Level</v>
      </c>
      <c r="S65" s="465" t="str">
        <f t="array" ref="S65">LET(
  Match, MATCH(IF(ISNUMBER(SEARCH("Mastery",$A65)),"Card Mastery",$A65),DVT_Laboratory!B$1:V$1,0)-1,
  Offset, OFFSET(DVT_Laboratory!C$3,0,Match,100,1),
  Desired, IF(P65&lt;&gt;"", P65,D65),
IF(Desired&gt;D65,"Desired lvl too high",
IF(AND(Desired=D65,OR(C65=D65,C65="Max")),"Max Level",
IF(Desired=C65,"OK Level",
IF(Desired&lt;C65,"Desired lvl too low",
SUM(
XLOOKUP(C65+1,SEQUENCE(100,1,1,1),Offset,"N/F",0,1)
:XLOOKUP(Desired,SEQUENCE(100,1,1,1),Offset,"N/F",0,1))*(1-LAB_COIN_DISCOUNT()))))))</f>
        <v>Max Level</v>
      </c>
      <c r="T65" s="465" t="str">
        <f t="shared" si="13"/>
        <v>Max Level</v>
      </c>
      <c r="U65" s="466" t="str">
        <f t="shared" si="14"/>
        <v/>
      </c>
      <c r="V65" s="467" t="str">
        <f t="array" ref="V65">LET(
  Labspeed, IF(A65 ="Labs Speed", 1+'Master Sheet'!$BK$5, LAB_SPEED_TOTAL()),
  Match, MATCH(IF(ISNUMBER(SEARCH("Mastery",$A65)),"Card Mastery",$A65),DVT_Laboratory!B$1:V$1,0)-1,
  Offset, OFFSET(DVT_Laboratory!B$3,0,Match,100,1),
  Desired, IF(P65&lt;&gt;"", P65,D65),
IF(Desired&gt;D65,"Desired lvl too high",
IF(AND(Desired=D65,OR(C65=D65,C65="Max")),"Max Level",
IF(Desired&lt;=C65,"Desired lvl too low",
SUM(TIME_TO_RUSH_GEMS(
    XLOOKUP(C65+1, SEQUENCE(100,1,1,1), Offset, "N/F", 0, 1):
    XLOOKUP(Desired, SEQUENCE(100,1,1,1), Offset, "N/F", 0, 1)/Labspeed, IDS_LAB_GODLBOXED_COUNT()))))))</f>
        <v>Max Level</v>
      </c>
    </row>
    <row r="66">
      <c r="A66" s="458" t="s">
        <v>231</v>
      </c>
      <c r="B66" s="459" t="str">
        <f t="shared" si="1"/>
        <v/>
      </c>
      <c r="C66" s="470">
        <f>VLOOKUP($A66,MS_Labs_Array,2,FALSE)</f>
        <v>20</v>
      </c>
      <c r="D66" s="461">
        <f>VLOOKUP($A66,MS_Labs_Array,4,FALSE)</f>
        <v>30</v>
      </c>
      <c r="E66" s="462" t="str">
        <f t="shared" si="21"/>
        <v>T7 90</v>
      </c>
      <c r="F66" s="463">
        <f t="shared" si="17"/>
        <v>8.286059071</v>
      </c>
      <c r="G66" s="464" t="str">
        <f t="shared" si="3"/>
        <v>8d  6h 51m</v>
      </c>
      <c r="H66" s="465">
        <f t="shared" si="4"/>
        <v>3128280000</v>
      </c>
      <c r="I66" s="465">
        <f t="shared" si="5"/>
        <v>3860600000</v>
      </c>
      <c r="J66" s="465" t="str">
        <f t="shared" si="6"/>
        <v>3.13 B</v>
      </c>
      <c r="K66" s="466" t="str">
        <f t="shared" si="7"/>
        <v>19.41 M/h</v>
      </c>
      <c r="L66" s="467">
        <f t="shared" si="8"/>
        <v>665</v>
      </c>
      <c r="M66" s="468" t="str">
        <f t="shared" si="18"/>
        <v>9d 16h 38m</v>
      </c>
      <c r="N66" s="465" t="str">
        <f t="shared" si="10"/>
        <v>3.86 B</v>
      </c>
      <c r="O66" s="467">
        <f t="shared" si="11"/>
        <v>756</v>
      </c>
      <c r="P66" s="471" t="str">
        <f>VLOOKUP($A66,MS_Labs_Array,3,FALSE)</f>
        <v/>
      </c>
      <c r="Q66" s="468">
        <f>IFERROR(__xludf.DUMMYFUNCTION("LET(
  Labspeed, IF(A66=""Labs Speed"", 1+'Master Sheet'!$BK$5, LAB_SPEED_TOTAL()),
  Match, MATCH(IF(ISNUMBER(SEARCH(""Mastery"",$A66)),""Card Mastery"",$A66),DVT_Laboratory!B$1:V$1,0)-1,
  Offset, INDEX(DVT_Laboratory!B$3:ZZ$102,,Match+1),
  Desired, IF"&amp;"(P66&lt;&gt;"""", P66,D66),
  IFS(
    Desired &gt; D66, ""Desired lvl too high"",
    AND(Desired = D66, OR(C66 = D66, C66 = ""Max"")), ""Max Level"",
    Desired = C66, ""OK Level"",
    Desired &lt; C66, ""Desired lvl too low"",
    TRUE, TO_PURE_NUMBER(
      SUM"&amp;"(
        XLOOKUP($C66 + 1, SEQUENCE(100, 1, 1, 1), Offset, ""N/F"", 0, 1): 
        XLOOKUP(Desired, SEQUENCE(100, 1, 1, 1), Offset, ""N/F"", 0, 1)
      ) / Labspeed
    ) /
    IF(AND(B66 &lt;&gt; """", $B$1 = ""All""), RIGHT(B66, 3), 1)
  )
)"),169.7094839444035)</f>
        <v>169.7094839</v>
      </c>
      <c r="R66" s="464" t="str">
        <f t="shared" si="12"/>
        <v>169d 17h  1m</v>
      </c>
      <c r="S66" s="465">
        <f t="array" ref="S66">LET(
  Match, MATCH(IF(ISNUMBER(SEARCH("Mastery",$A66)),"Card Mastery",$A66),DVT_Laboratory!B$1:V$1,0)-1,
  Offset, OFFSET(DVT_Laboratory!C$3,0,Match,100,1),
  Desired, IF(P66&lt;&gt;"", P66,D66),
IF(Desired&gt;D66,"Desired lvl too high",
IF(AND(Desired=D66,OR(C66=D66,C66="Max")),"Max Level",
IF(Desired=C66,"OK Level",
IF(Desired&lt;C66,"Desired lvl too low",
SUM(
XLOOKUP(C66+1,SEQUENCE(100,1,1,1),Offset,"N/F",0,1)
:XLOOKUP(Desired,SEQUENCE(100,1,1,1),Offset,"N/F",0,1))*(1-LAB_COIN_DISCOUNT()))))))</f>
        <v>82226800000</v>
      </c>
      <c r="T66" s="465" t="str">
        <f t="shared" si="13"/>
        <v>82.23 B</v>
      </c>
      <c r="U66" s="466" t="str">
        <f t="shared" si="14"/>
        <v>20.19 M/h</v>
      </c>
      <c r="V66" s="467">
        <f t="array" ref="V66">LET(
  Labspeed, IF(A66 ="Labs Speed", 1+'Master Sheet'!$BK$5, LAB_SPEED_TOTAL()),
  Match, MATCH(IF(ISNUMBER(SEARCH("Mastery",$A66)),"Card Mastery",$A66),DVT_Laboratory!B$1:V$1,0)-1,
  Offset, OFFSET(DVT_Laboratory!B$3,0,Match,100,1),
  Desired, IF(P66&lt;&gt;"", P66,D66),
IF(Desired&gt;D66,"Desired lvl too high",
IF(AND(Desired=D66,OR(C66=D66,C66="Max")),"Max Level",
IF(Desired&lt;=C66,"Desired lvl too low",
SUM(TIME_TO_RUSH_GEMS(
    XLOOKUP(C66+1, SEQUENCE(100,1,1,1), Offset, "N/F", 0, 1):
    XLOOKUP(Desired, SEQUENCE(100,1,1,1), Offset, "N/F", 0, 1)/Labspeed, IDS_LAB_GODLBOXED_COUNT()))))))</f>
        <v>12246</v>
      </c>
    </row>
    <row r="67">
      <c r="A67" s="458" t="s">
        <v>338</v>
      </c>
      <c r="B67" s="459" t="str">
        <f t="shared" si="1"/>
        <v/>
      </c>
      <c r="C67" s="470">
        <f>VLOOKUP($A67,MS_Labs_Array,2,FALSE)</f>
        <v>17</v>
      </c>
      <c r="D67" s="461">
        <f>VLOOKUP($A67,MS_Labs_Array,4,FALSE)</f>
        <v>20</v>
      </c>
      <c r="E67" s="462" t="str">
        <f t="shared" si="21"/>
        <v>T7 90</v>
      </c>
      <c r="F67" s="463">
        <f t="shared" si="17"/>
        <v>5.884039305</v>
      </c>
      <c r="G67" s="464" t="str">
        <f t="shared" si="3"/>
        <v>5d 21h 13m</v>
      </c>
      <c r="H67" s="465">
        <f t="shared" si="4"/>
        <v>4194920000</v>
      </c>
      <c r="I67" s="465">
        <f t="shared" si="5"/>
        <v>5476480000</v>
      </c>
      <c r="J67" s="465" t="str">
        <f t="shared" si="6"/>
        <v>4.19 B</v>
      </c>
      <c r="K67" s="466" t="str">
        <f t="shared" si="7"/>
        <v>38.78 M/h</v>
      </c>
      <c r="L67" s="467">
        <f t="shared" si="8"/>
        <v>491</v>
      </c>
      <c r="M67" s="468" t="str">
        <f t="shared" si="18"/>
        <v>6d 21h 30m</v>
      </c>
      <c r="N67" s="465" t="str">
        <f t="shared" si="10"/>
        <v>5.48 B</v>
      </c>
      <c r="O67" s="467">
        <f t="shared" si="11"/>
        <v>573</v>
      </c>
      <c r="P67" s="471" t="str">
        <f>VLOOKUP($A67,MS_Labs_Array,3,FALSE)</f>
        <v/>
      </c>
      <c r="Q67" s="468">
        <f>IFERROR(__xludf.DUMMYFUNCTION("LET(
  Labspeed, IF(A67=""Labs Speed"", 1+'Master Sheet'!$BK$5, LAB_SPEED_TOTAL()),
  Match, MATCH(IF(ISNUMBER(SEARCH(""Mastery"",$A67)),""Card Mastery"",$A67),DVT_Laboratory!B$1:V$1,0)-1,
  Offset, INDEX(DVT_Laboratory!B$3:ZZ$102,,Match+1),
  Desired, IF"&amp;"(P67&lt;&gt;"""", P67,D67),
  IFS(
    Desired &gt; D67, ""Desired lvl too high"",
    AND(Desired = D67, OR(C67 = D67, C67 = ""Max"")), ""Max Level"",
    Desired = C67, ""OK Level"",
    Desired &lt; C67, ""Desired lvl too low"",
    TRUE, TO_PURE_NUMBER(
      SUM"&amp;"(
        XLOOKUP($C67 + 1, SEQUENCE(100, 1, 1, 1), Offset, ""N/F"", 0, 1): 
        XLOOKUP(Desired, SEQUENCE(100, 1, 1, 1), Offset, ""N/F"", 0, 1)
      ) / Labspeed
    ) /
    IF(AND(B67 &lt;&gt; """", $B$1 = ""All""), RIGHT(B67, 3), 1)
  )
)"),20.826448731962344)</f>
        <v>20.82644873</v>
      </c>
      <c r="R67" s="464" t="str">
        <f t="shared" si="12"/>
        <v>20d 19h 50m</v>
      </c>
      <c r="S67" s="465">
        <f t="array" ref="S67">LET(
  Match, MATCH(IF(ISNUMBER(SEARCH("Mastery",$A67)),"Card Mastery",$A67),DVT_Laboratory!B$1:V$1,0)-1,
  Offset, OFFSET(DVT_Laboratory!C$3,0,Match,100,1),
  Desired, IF(P67&lt;&gt;"", P67,D67),
IF(Desired&gt;D67,"Desired lvl too high",
IF(AND(Desired=D67,OR(C67=D67,C67="Max")),"Max Level",
IF(Desired=C67,"OK Level",
IF(Desired&lt;C67,"Desired lvl too low",
SUM(
XLOOKUP(C67+1,SEQUENCE(100,1,1,1),Offset,"N/F",0,1)
:XLOOKUP(Desired,SEQUENCE(100,1,1,1),Offset,"N/F",0,1))*(1-LAB_COIN_DISCOUNT()))))))</f>
        <v>16708040000</v>
      </c>
      <c r="T67" s="465" t="str">
        <f t="shared" si="13"/>
        <v>16.71 B</v>
      </c>
      <c r="U67" s="466" t="str">
        <f t="shared" si="14"/>
        <v>33.43 M/h</v>
      </c>
      <c r="V67" s="467">
        <f t="array" ref="V67">LET(
  Labspeed, IF(A67 ="Labs Speed", 1+'Master Sheet'!$BK$5, LAB_SPEED_TOTAL()),
  Match, MATCH(IF(ISNUMBER(SEARCH("Mastery",$A67)),"Card Mastery",$A67),DVT_Laboratory!B$1:V$1,0)-1,
  Offset, OFFSET(DVT_Laboratory!B$3,0,Match,100,1),
  Desired, IF(P67&lt;&gt;"", P67,D67),
IF(Desired&gt;D67,"Desired lvl too high",
IF(AND(Desired=D67,OR(C67=D67,C67="Max")),"Max Level",
IF(Desired&lt;=C67,"Desired lvl too low",
SUM(TIME_TO_RUSH_GEMS(
    XLOOKUP(C67+1, SEQUENCE(100,1,1,1), Offset, "N/F", 0, 1):
    XLOOKUP(Desired, SEQUENCE(100,1,1,1), Offset, "N/F", 0, 1)/Labspeed, IDS_LAB_GODLBOXED_COUNT()))))))</f>
        <v>1713</v>
      </c>
    </row>
    <row r="68">
      <c r="A68" s="458" t="s">
        <v>358</v>
      </c>
      <c r="B68" s="459" t="str">
        <f t="shared" si="1"/>
        <v/>
      </c>
      <c r="C68" s="460">
        <f>VLOOKUP($A68,MS_Labs_Array,2,FALSE)</f>
        <v>20</v>
      </c>
      <c r="D68" s="461">
        <f>VLOOKUP($A68,MS_Labs_Array,4,FALSE)</f>
        <v>20</v>
      </c>
      <c r="E68" s="462" t="str">
        <f t="shared" si="21"/>
        <v>T7 80</v>
      </c>
      <c r="F68" s="463" t="str">
        <f t="shared" si="17"/>
        <v>Max Level</v>
      </c>
      <c r="G68" s="464" t="str">
        <f t="shared" si="3"/>
        <v>Max Level</v>
      </c>
      <c r="H68" s="465" t="str">
        <f t="shared" si="4"/>
        <v>Max Level</v>
      </c>
      <c r="I68" s="465">
        <f t="shared" si="5"/>
        <v>0</v>
      </c>
      <c r="J68" s="465" t="str">
        <f t="shared" si="6"/>
        <v>Max Level</v>
      </c>
      <c r="K68" s="466" t="str">
        <f t="shared" si="7"/>
        <v/>
      </c>
      <c r="L68" s="467" t="str">
        <f t="shared" si="8"/>
        <v>Max Level</v>
      </c>
      <c r="M68" s="468" t="str">
        <f t="shared" si="18"/>
        <v>Max Level</v>
      </c>
      <c r="N68" s="465" t="str">
        <f t="shared" si="10"/>
        <v>Max Level</v>
      </c>
      <c r="O68" s="467" t="str">
        <f t="shared" si="11"/>
        <v>Max Level</v>
      </c>
      <c r="P68" s="469" t="str">
        <f>VLOOKUP($A68,MS_Labs_Array,3,FALSE)</f>
        <v/>
      </c>
      <c r="Q68" s="468" t="str">
        <f>IFERROR(__xludf.DUMMYFUNCTION("LET(
  Labspeed, IF(A68=""Labs Speed"", 1+'Master Sheet'!$BK$5, LAB_SPEED_TOTAL()),
  Match, MATCH(IF(ISNUMBER(SEARCH(""Mastery"",$A68)),""Card Mastery"",$A68),DVT_Laboratory!B$1:V$1,0)-1,
  Offset, INDEX(DVT_Laboratory!B$3:ZZ$102,,Match+1),
  Desired, IF"&amp;"(P68&lt;&gt;"""", P68,D68),
  IFS(
    Desired &gt; D68, ""Desired lvl too high"",
    AND(Desired = D68, OR(C68 = D68, C68 = ""Max"")), ""Max Level"",
    Desired = C68, ""OK Level"",
    Desired &lt; C68, ""Desired lvl too low"",
    TRUE, TO_PURE_NUMBER(
      SUM"&amp;"(
        XLOOKUP($C68 + 1, SEQUENCE(100, 1, 1, 1), Offset, ""N/F"", 0, 1): 
        XLOOKUP(Desired, SEQUENCE(100, 1, 1, 1), Offset, ""N/F"", 0, 1)
      ) / Labspeed
    ) /
    IF(AND(B68 &lt;&gt; """", $B$1 = ""All""), RIGHT(B68, 3), 1)
  )
)"),"Max Level")</f>
        <v>Max Level</v>
      </c>
      <c r="R68" s="464" t="str">
        <f t="shared" si="12"/>
        <v>Max Level</v>
      </c>
      <c r="S68" s="465" t="str">
        <f t="array" ref="S68">LET(
  Match, MATCH(IF(ISNUMBER(SEARCH("Mastery",$A68)),"Card Mastery",$A68),DVT_Laboratory!B$1:V$1,0)-1,
  Offset, OFFSET(DVT_Laboratory!C$3,0,Match,100,1),
  Desired, IF(P68&lt;&gt;"", P68,D68),
IF(Desired&gt;D68,"Desired lvl too high",
IF(AND(Desired=D68,OR(C68=D68,C68="Max")),"Max Level",
IF(Desired=C68,"OK Level",
IF(Desired&lt;C68,"Desired lvl too low",
SUM(
XLOOKUP(C68+1,SEQUENCE(100,1,1,1),Offset,"N/F",0,1)
:XLOOKUP(Desired,SEQUENCE(100,1,1,1),Offset,"N/F",0,1))*(1-LAB_COIN_DISCOUNT()))))))</f>
        <v>Max Level</v>
      </c>
      <c r="T68" s="465" t="str">
        <f t="shared" si="13"/>
        <v>Max Level</v>
      </c>
      <c r="U68" s="466" t="str">
        <f t="shared" si="14"/>
        <v/>
      </c>
      <c r="V68" s="467" t="str">
        <f t="array" ref="V68">LET(
  Labspeed, IF(A68 ="Labs Speed", 1+'Master Sheet'!$BK$5, LAB_SPEED_TOTAL()),
  Match, MATCH(IF(ISNUMBER(SEARCH("Mastery",$A68)),"Card Mastery",$A68),DVT_Laboratory!B$1:V$1,0)-1,
  Offset, OFFSET(DVT_Laboratory!B$3,0,Match,100,1),
  Desired, IF(P68&lt;&gt;"", P68,D68),
IF(Desired&gt;D68,"Desired lvl too high",
IF(AND(Desired=D68,OR(C68=D68,C68="Max")),"Max Level",
IF(Desired&lt;=C68,"Desired lvl too low",
SUM(TIME_TO_RUSH_GEMS(
    XLOOKUP(C68+1, SEQUENCE(100,1,1,1), Offset, "N/F", 0, 1):
    XLOOKUP(Desired, SEQUENCE(100,1,1,1), Offset, "N/F", 0, 1)/Labspeed, IDS_LAB_GODLBOXED_COUNT()))))))</f>
        <v>Max Level</v>
      </c>
    </row>
    <row r="69">
      <c r="A69" s="458" t="s">
        <v>360</v>
      </c>
      <c r="B69" s="459" t="str">
        <f t="shared" si="1"/>
        <v/>
      </c>
      <c r="C69" s="460">
        <f>VLOOKUP($A69,MS_Labs_Array,2,FALSE)</f>
        <v>1</v>
      </c>
      <c r="D69" s="461">
        <f>VLOOKUP($A69,MS_Labs_Array,4,FALSE)</f>
        <v>18</v>
      </c>
      <c r="E69" s="462" t="str">
        <f t="shared" si="21"/>
        <v>T3 400</v>
      </c>
      <c r="F69" s="463">
        <f t="shared" si="17"/>
        <v>1.782941111</v>
      </c>
      <c r="G69" s="464" t="str">
        <f t="shared" si="3"/>
        <v>1d 18h 47m</v>
      </c>
      <c r="H69" s="465">
        <f t="shared" si="4"/>
        <v>159449557.1</v>
      </c>
      <c r="I69" s="465">
        <f t="shared" si="5"/>
        <v>159879827</v>
      </c>
      <c r="J69" s="465" t="str">
        <f t="shared" si="6"/>
        <v>159.45 M</v>
      </c>
      <c r="K69" s="466" t="str">
        <f t="shared" si="7"/>
        <v>3.74 M/h</v>
      </c>
      <c r="L69" s="467">
        <f t="shared" si="8"/>
        <v>159</v>
      </c>
      <c r="M69" s="468" t="str">
        <f t="shared" si="18"/>
        <v>1d 20h 57m</v>
      </c>
      <c r="N69" s="465" t="str">
        <f t="shared" si="10"/>
        <v>159.88 M</v>
      </c>
      <c r="O69" s="467">
        <f t="shared" si="11"/>
        <v>166</v>
      </c>
      <c r="P69" s="469" t="str">
        <f>VLOOKUP($A69,MS_Labs_Array,3,FALSE)</f>
        <v/>
      </c>
      <c r="Q69" s="468">
        <f>IFERROR(__xludf.DUMMYFUNCTION("LET(
  Labspeed, IF(A69=""Labs Speed"", 1+'Master Sheet'!$BK$5, LAB_SPEED_TOTAL()),
  Match, MATCH(IF(ISNUMBER(SEARCH(""Mastery"",$A69)),""Card Mastery"",$A69),DVT_Laboratory!B$1:V$1,0)-1,
  Offset, INDEX(DVT_Laboratory!B$3:ZZ$102,,Match+1),
  Desired, IF"&amp;"(P69&lt;&gt;"""", P69,D69),
  IFS(
    Desired &gt; D69, ""Desired lvl too high"",
    AND(Desired = D69, OR(C69 = D69, C69 = ""Max"")), ""Max Level"",
    Desired = C69, ""OK Level"",
    Desired &lt; C69, ""Desired lvl too low"",
    TRUE, TO_PURE_NUMBER(
      SUM"&amp;"(
        XLOOKUP($C69 + 1, SEQUENCE(100, 1, 1, 1), Offset, ""N/F"", 0, 1): 
        XLOOKUP(Desired, SEQUENCE(100, 1, 1, 1), Offset, ""N/F"", 0, 1)
      ) / Labspeed
    ) /
    IF(AND(B69 &lt;&gt; """", $B$1 = ""All""), RIGHT(B69, 3), 1)
  )
)"),60.22859347947047)</f>
        <v>60.22859348</v>
      </c>
      <c r="R69" s="464" t="str">
        <f t="shared" si="12"/>
        <v>60d  5h 29m</v>
      </c>
      <c r="S69" s="465">
        <f t="array" ref="S69">LET(
  Match, MATCH(IF(ISNUMBER(SEARCH("Mastery",$A69)),"Card Mastery",$A69),DVT_Laboratory!B$1:V$1,0)-1,
  Offset, OFFSET(DVT_Laboratory!C$3,0,Match,100,1),
  Desired, IF(P69&lt;&gt;"", P69,D69),
IF(Desired&gt;D69,"Desired lvl too high",
IF(AND(Desired=D69,OR(C69=D69,C69="Max")),"Max Level",
IF(Desired=C69,"OK Level",
IF(Desired&lt;C69,"Desired lvl too low",
SUM(
XLOOKUP(C69+1,SEQUENCE(100,1,1,1),Offset,"N/F",0,1)
:XLOOKUP(Desired,SEQUENCE(100,1,1,1),Offset,"N/F",0,1))*(1-LAB_COIN_DISCOUNT()))))))</f>
        <v>17538496043</v>
      </c>
      <c r="T69" s="465" t="str">
        <f t="shared" si="13"/>
        <v>17.54 B</v>
      </c>
      <c r="U69" s="466" t="str">
        <f t="shared" si="14"/>
        <v>12.13 M/h</v>
      </c>
      <c r="V69" s="467">
        <f t="array" ref="V69">LET(
  Labspeed, IF(A69 ="Labs Speed", 1+'Master Sheet'!$BK$5, LAB_SPEED_TOTAL()),
  Match, MATCH(IF(ISNUMBER(SEARCH("Mastery",$A69)),"Card Mastery",$A69),DVT_Laboratory!B$1:V$1,0)-1,
  Offset, OFFSET(DVT_Laboratory!B$3,0,Match,100,1),
  Desired, IF(P69&lt;&gt;"", P69,D69),
IF(Desired&gt;D69,"Desired lvl too high",
IF(AND(Desired=D69,OR(C69=D69,C69="Max")),"Max Level",
IF(Desired&lt;=C69,"Desired lvl too low",
SUM(TIME_TO_RUSH_GEMS(
    XLOOKUP(C69+1, SEQUENCE(100,1,1,1), Offset, "N/F", 0, 1):
    XLOOKUP(Desired, SEQUENCE(100,1,1,1), Offset, "N/F", 0, 1)/Labspeed, IDS_LAB_GODLBOXED_COUNT()))))))</f>
        <v>5119</v>
      </c>
    </row>
    <row r="70">
      <c r="A70" s="458" t="s">
        <v>242</v>
      </c>
      <c r="B70" s="459" t="str">
        <f t="shared" si="1"/>
        <v/>
      </c>
      <c r="C70" s="470">
        <f>VLOOKUP($A70,MS_Labs_Array,2,FALSE)</f>
        <v>0</v>
      </c>
      <c r="D70" s="462">
        <f>VLOOKUP($A70,MS_Labs_Array,4,FALSE)</f>
        <v>30</v>
      </c>
      <c r="E70" s="462" t="str">
        <f t="shared" si="21"/>
        <v>T7 50</v>
      </c>
      <c r="F70" s="463">
        <f t="shared" si="17"/>
        <v>0.2116573601</v>
      </c>
      <c r="G70" s="464" t="str">
        <f t="shared" si="3"/>
        <v>0d  5h  4m</v>
      </c>
      <c r="H70" s="465">
        <f t="shared" si="4"/>
        <v>199000</v>
      </c>
      <c r="I70" s="465">
        <f t="shared" si="5"/>
        <v>226860</v>
      </c>
      <c r="J70" s="465" t="str">
        <f t="shared" si="6"/>
        <v>199 K</v>
      </c>
      <c r="K70" s="466" t="str">
        <f t="shared" si="7"/>
        <v>44.66 K/h</v>
      </c>
      <c r="L70" s="467">
        <f t="shared" si="8"/>
        <v>21</v>
      </c>
      <c r="M70" s="468" t="str">
        <f t="shared" si="18"/>
        <v>0d  5h 56m</v>
      </c>
      <c r="N70" s="465" t="str">
        <f t="shared" si="10"/>
        <v>226.86 K</v>
      </c>
      <c r="O70" s="467">
        <f t="shared" si="11"/>
        <v>24</v>
      </c>
      <c r="P70" s="471" t="str">
        <f>VLOOKUP($A70,MS_Labs_Array,3,FALSE)</f>
        <v/>
      </c>
      <c r="Q70" s="468">
        <f>IFERROR(__xludf.DUMMYFUNCTION("LET(
  Labspeed, IF(A70=""Labs Speed"", 1+'Master Sheet'!$BK$5, LAB_SPEED_TOTAL()),
  Match, MATCH(IF(ISNUMBER(SEARCH(""Mastery"",$A70)),""Card Mastery"",$A70),DVT_Laboratory!B$1:V$1,0)-1,
  Offset, INDEX(DVT_Laboratory!B$3:ZZ$102,,Match+1),
  Desired, IF"&amp;"(P70&lt;&gt;"""", P70,D70),
  IFS(
    Desired &gt; D70, ""Desired lvl too high"",
    AND(Desired = D70, OR(C70 = D70, C70 = ""Max"")), ""Max Level"",
    Desired = C70, ""OK Level"",
    Desired &lt; C70, ""Desired lvl too low"",
    TRUE, TO_PURE_NUMBER(
      SUM"&amp;"(
        XLOOKUP($C70 + 1, SEQUENCE(100, 1, 1, 1), Offset, ""N/F"", 0, 1): 
        XLOOKUP(Desired, SEQUENCE(100, 1, 1, 1), Offset, ""N/F"", 0, 1)
      ) / Labspeed
    ) /
    IF(AND(B70 &lt;&gt; """", $B$1 = ""All""), RIGHT(B70, 3), 1)
  )
)"),209.82358473779198)</f>
        <v>209.8235847</v>
      </c>
      <c r="R70" s="464" t="str">
        <f t="shared" si="12"/>
        <v>209d 19h 45m</v>
      </c>
      <c r="S70" s="465">
        <f t="array" ref="S70">LET(
  Match, MATCH(IF(ISNUMBER(SEARCH("Mastery",$A70)),"Card Mastery",$A70),DVT_Laboratory!B$1:V$1,0)-1,
  Offset, OFFSET(DVT_Laboratory!C$3,0,Match,100,1),
  Desired, IF(P70&lt;&gt;"", P70,D70),
IF(Desired&gt;D70,"Desired lvl too high",
IF(AND(Desired=D70,OR(C70=D70,C70="Max")),"Max Level",
IF(Desired=C70,"OK Level",
IF(Desired&lt;C70,"Desired lvl too low",
SUM(
XLOOKUP(C70+1,SEQUENCE(100,1,1,1),Offset,"N/F",0,1)
:XLOOKUP(Desired,SEQUENCE(100,1,1,1),Offset,"N/F",0,1))*(1-LAB_COIN_DISCOUNT()))))))</f>
        <v>92528450496</v>
      </c>
      <c r="T70" s="465" t="str">
        <f t="shared" si="13"/>
        <v>92.53 B</v>
      </c>
      <c r="U70" s="466" t="str">
        <f t="shared" si="14"/>
        <v>18.37 M/h</v>
      </c>
      <c r="V70" s="467">
        <f t="array" ref="V70">LET(
  Labspeed, IF(A70 ="Labs Speed", 1+'Master Sheet'!$BK$5, LAB_SPEED_TOTAL()),
  Match, MATCH(IF(ISNUMBER(SEARCH("Mastery",$A70)),"Card Mastery",$A70),DVT_Laboratory!B$1:V$1,0)-1,
  Offset, OFFSET(DVT_Laboratory!B$3,0,Match,100,1),
  Desired, IF(P70&lt;&gt;"", P70,D70),
IF(Desired&gt;D70,"Desired lvl too high",
IF(AND(Desired=D70,OR(C70=D70,C70="Max")),"Max Level",
IF(Desired&lt;=C70,"Desired lvl too low",
SUM(TIME_TO_RUSH_GEMS(
    XLOOKUP(C70+1, SEQUENCE(100,1,1,1), Offset, "N/F", 0, 1):
    XLOOKUP(Desired, SEQUENCE(100,1,1,1), Offset, "N/F", 0, 1)/Labspeed, IDS_LAB_GODLBOXED_COUNT()))))))</f>
        <v>15715</v>
      </c>
    </row>
    <row r="71">
      <c r="A71" s="458" t="s">
        <v>253</v>
      </c>
      <c r="B71" s="459" t="str">
        <f t="shared" si="1"/>
        <v/>
      </c>
      <c r="C71" s="470">
        <f>VLOOKUP($A71,MS_Labs_Array,2,FALSE)</f>
        <v>0</v>
      </c>
      <c r="D71" s="461">
        <f>VLOOKUP($A71,MS_Labs_Array,4,FALSE)</f>
        <v>1</v>
      </c>
      <c r="E71" s="462" t="str">
        <f t="shared" si="21"/>
        <v>T7 50</v>
      </c>
      <c r="F71" s="463">
        <f t="shared" si="17"/>
        <v>0.2116573601</v>
      </c>
      <c r="G71" s="464" t="str">
        <f t="shared" si="3"/>
        <v>0d  5h  4m</v>
      </c>
      <c r="H71" s="465">
        <f t="shared" si="4"/>
        <v>557200</v>
      </c>
      <c r="I71" s="465" t="str">
        <f t="shared" si="5"/>
        <v>Max Level</v>
      </c>
      <c r="J71" s="465" t="str">
        <f t="shared" si="6"/>
        <v>557.2 K</v>
      </c>
      <c r="K71" s="466" t="str">
        <f t="shared" si="7"/>
        <v/>
      </c>
      <c r="L71" s="467">
        <f t="shared" si="8"/>
        <v>21</v>
      </c>
      <c r="M71" s="468" t="str">
        <f t="shared" si="18"/>
        <v>Max Level</v>
      </c>
      <c r="N71" s="465" t="str">
        <f t="shared" si="10"/>
        <v>Max Level</v>
      </c>
      <c r="O71" s="467" t="str">
        <f t="shared" si="11"/>
        <v>Max Level</v>
      </c>
      <c r="P71" s="471" t="str">
        <f>VLOOKUP($A71,MS_Labs_Array,3,FALSE)</f>
        <v/>
      </c>
      <c r="Q71" s="468">
        <f>IFERROR(__xludf.DUMMYFUNCTION("LET(
  Labspeed, IF(A71=""Labs Speed"", 1+'Master Sheet'!$BK$5, LAB_SPEED_TOTAL()),
  Match, MATCH(IF(ISNUMBER(SEARCH(""Mastery"",$A71)),""Card Mastery"",$A71),DVT_Laboratory!B$1:V$1,0)-1,
  Offset, INDEX(DVT_Laboratory!B$3:ZZ$102,,Match+1),
  Desired, IF"&amp;"(P71&lt;&gt;"""", P71,D71),
  IFS(
    Desired &gt; D71, ""Desired lvl too high"",
    AND(Desired = D71, OR(C71 = D71, C71 = ""Max"")), ""Max Level"",
    Desired = C71, ""OK Level"",
    Desired &lt; C71, ""Desired lvl too low"",
    TRUE, TO_PURE_NUMBER(
      SUM"&amp;"(
        XLOOKUP($C71 + 1, SEQUENCE(100, 1, 1, 1), Offset, ""N/F"", 0, 1): 
        XLOOKUP(Desired, SEQUENCE(100, 1, 1, 1), Offset, ""N/F"", 0, 1)
      ) / Labspeed
    ) /
    IF(AND(B71 &lt;&gt; """", $B$1 = ""All""), RIGHT(B71, 3), 1)
  )
)"),0.211657360097839)</f>
        <v>0.2116573601</v>
      </c>
      <c r="R71" s="464" t="str">
        <f t="shared" si="12"/>
        <v>0d  5h  4m</v>
      </c>
      <c r="S71" s="465">
        <f t="array" ref="S71">LET(
  Match, MATCH(IF(ISNUMBER(SEARCH("Mastery",$A71)),"Card Mastery",$A71),DVT_Laboratory!B$1:V$1,0)-1,
  Offset, OFFSET(DVT_Laboratory!C$3,0,Match,100,1),
  Desired, IF(P71&lt;&gt;"", P71,D71),
IF(Desired&gt;D71,"Desired lvl too high",
IF(AND(Desired=D71,OR(C71=D71,C71="Max")),"Max Level",
IF(Desired=C71,"OK Level",
IF(Desired&lt;C71,"Desired lvl too low",
SUM(
XLOOKUP(C71+1,SEQUENCE(100,1,1,1),Offset,"N/F",0,1)
:XLOOKUP(Desired,SEQUENCE(100,1,1,1),Offset,"N/F",0,1))*(1-LAB_COIN_DISCOUNT()))))))</f>
        <v>557200</v>
      </c>
      <c r="T71" s="465" t="str">
        <f t="shared" si="13"/>
        <v>557.2 K</v>
      </c>
      <c r="U71" s="466" t="str">
        <f t="shared" si="14"/>
        <v>109.69 K/h</v>
      </c>
      <c r="V71" s="467">
        <f t="array" ref="V71">LET(
  Labspeed, IF(A71 ="Labs Speed", 1+'Master Sheet'!$BK$5, LAB_SPEED_TOTAL()),
  Match, MATCH(IF(ISNUMBER(SEARCH("Mastery",$A71)),"Card Mastery",$A71),DVT_Laboratory!B$1:V$1,0)-1,
  Offset, OFFSET(DVT_Laboratory!B$3,0,Match,100,1),
  Desired, IF(P71&lt;&gt;"", P71,D71),
IF(Desired&gt;D71,"Desired lvl too high",
IF(AND(Desired=D71,OR(C71=D71,C71="Max")),"Max Level",
IF(Desired&lt;=C71,"Desired lvl too low",
SUM(TIME_TO_RUSH_GEMS(
    XLOOKUP(C71+1, SEQUENCE(100,1,1,1), Offset, "N/F", 0, 1):
    XLOOKUP(Desired, SEQUENCE(100,1,1,1), Offset, "N/F", 0, 1)/Labspeed, IDS_LAB_GODLBOXED_COUNT()))))))</f>
        <v>21</v>
      </c>
    </row>
    <row r="72">
      <c r="A72" s="458" t="s">
        <v>264</v>
      </c>
      <c r="B72" s="459" t="str">
        <f t="shared" si="1"/>
        <v/>
      </c>
      <c r="C72" s="470">
        <f>VLOOKUP($A72,MS_Labs_Array,2,FALSE)</f>
        <v>0</v>
      </c>
      <c r="D72" s="462">
        <f>VLOOKUP($A72,MS_Labs_Array,4,FALSE)</f>
        <v>30</v>
      </c>
      <c r="E72" s="462" t="str">
        <f t="shared" si="21"/>
        <v>T7 50</v>
      </c>
      <c r="F72" s="463">
        <f t="shared" si="17"/>
        <v>0.2116573601</v>
      </c>
      <c r="G72" s="464" t="str">
        <f t="shared" si="3"/>
        <v>0d  5h  4m</v>
      </c>
      <c r="H72" s="465">
        <f t="shared" si="4"/>
        <v>199000</v>
      </c>
      <c r="I72" s="465">
        <f t="shared" si="5"/>
        <v>226860</v>
      </c>
      <c r="J72" s="465" t="str">
        <f t="shared" si="6"/>
        <v>199 K</v>
      </c>
      <c r="K72" s="466" t="str">
        <f t="shared" si="7"/>
        <v>44.66 K/h</v>
      </c>
      <c r="L72" s="467">
        <f t="shared" si="8"/>
        <v>21</v>
      </c>
      <c r="M72" s="468" t="str">
        <f t="shared" si="18"/>
        <v>0d  5h 56m</v>
      </c>
      <c r="N72" s="465" t="str">
        <f t="shared" si="10"/>
        <v>226.86 K</v>
      </c>
      <c r="O72" s="467">
        <f t="shared" si="11"/>
        <v>24</v>
      </c>
      <c r="P72" s="471" t="str">
        <f>VLOOKUP($A72,MS_Labs_Array,3,FALSE)</f>
        <v/>
      </c>
      <c r="Q72" s="468">
        <f>IFERROR(__xludf.DUMMYFUNCTION("LET(
  Labspeed, IF(A72=""Labs Speed"", 1+'Master Sheet'!$BK$5, LAB_SPEED_TOTAL()),
  Match, MATCH(IF(ISNUMBER(SEARCH(""Mastery"",$A72)),""Card Mastery"",$A72),DVT_Laboratory!B$1:V$1,0)-1,
  Offset, INDEX(DVT_Laboratory!B$3:ZZ$102,,Match+1),
  Desired, IF"&amp;"(P72&lt;&gt;"""", P72,D72),
  IFS(
    Desired &gt; D72, ""Desired lvl too high"",
    AND(Desired = D72, OR(C72 = D72, C72 = ""Max"")), ""Max Level"",
    Desired = C72, ""OK Level"",
    Desired &lt; C72, ""Desired lvl too low"",
    TRUE, TO_PURE_NUMBER(
      SUM"&amp;"(
        XLOOKUP($C72 + 1, SEQUENCE(100, 1, 1, 1), Offset, ""N/F"", 0, 1): 
        XLOOKUP(Desired, SEQUENCE(100, 1, 1, 1), Offset, ""N/F"", 0, 1)
      ) / Labspeed
    ) /
    IF(AND(B72 &lt;&gt; """", $B$1 = ""All""), RIGHT(B72, 3), 1)
  )
)"),209.82358473779198)</f>
        <v>209.8235847</v>
      </c>
      <c r="R72" s="464" t="str">
        <f t="shared" si="12"/>
        <v>209d 19h 45m</v>
      </c>
      <c r="S72" s="465">
        <f t="array" ref="S72">LET(
  Match, MATCH(IF(ISNUMBER(SEARCH("Mastery",$A72)),"Card Mastery",$A72),DVT_Laboratory!B$1:V$1,0)-1,
  Offset, OFFSET(DVT_Laboratory!C$3,0,Match,100,1),
  Desired, IF(P72&lt;&gt;"", P72,D72),
IF(Desired&gt;D72,"Desired lvl too high",
IF(AND(Desired=D72,OR(C72=D72,C72="Max")),"Max Level",
IF(Desired=C72,"OK Level",
IF(Desired&lt;C72,"Desired lvl too low",
SUM(
XLOOKUP(C72+1,SEQUENCE(100,1,1,1),Offset,"N/F",0,1)
:XLOOKUP(Desired,SEQUENCE(100,1,1,1),Offset,"N/F",0,1))*(1-LAB_COIN_DISCOUNT()))))))</f>
        <v>92528450496</v>
      </c>
      <c r="T72" s="465" t="str">
        <f t="shared" si="13"/>
        <v>92.53 B</v>
      </c>
      <c r="U72" s="466" t="str">
        <f t="shared" si="14"/>
        <v>18.37 M/h</v>
      </c>
      <c r="V72" s="467">
        <f t="array" ref="V72">LET(
  Labspeed, IF(A72 ="Labs Speed", 1+'Master Sheet'!$BK$5, LAB_SPEED_TOTAL()),
  Match, MATCH(IF(ISNUMBER(SEARCH("Mastery",$A72)),"Card Mastery",$A72),DVT_Laboratory!B$1:V$1,0)-1,
  Offset, OFFSET(DVT_Laboratory!B$3,0,Match,100,1),
  Desired, IF(P72&lt;&gt;"", P72,D72),
IF(Desired&gt;D72,"Desired lvl too high",
IF(AND(Desired=D72,OR(C72=D72,C72="Max")),"Max Level",
IF(Desired&lt;=C72,"Desired lvl too low",
SUM(TIME_TO_RUSH_GEMS(
    XLOOKUP(C72+1, SEQUENCE(100,1,1,1), Offset, "N/F", 0, 1):
    XLOOKUP(Desired, SEQUENCE(100,1,1,1), Offset, "N/F", 0, 1)/Labspeed, IDS_LAB_GODLBOXED_COUNT()))))))</f>
        <v>15715</v>
      </c>
    </row>
    <row r="73">
      <c r="A73" s="458" t="s">
        <v>273</v>
      </c>
      <c r="B73" s="459" t="str">
        <f t="shared" si="1"/>
        <v/>
      </c>
      <c r="C73" s="470">
        <f>VLOOKUP($A73,MS_Labs_Array,2,FALSE)</f>
        <v>0</v>
      </c>
      <c r="D73" s="462">
        <f>VLOOKUP($A73,MS_Labs_Array,4,FALSE)</f>
        <v>30</v>
      </c>
      <c r="E73" s="462" t="str">
        <f t="shared" si="21"/>
        <v>T7 50</v>
      </c>
      <c r="F73" s="463">
        <f t="shared" si="17"/>
        <v>0.2116573601</v>
      </c>
      <c r="G73" s="464" t="str">
        <f t="shared" si="3"/>
        <v>0d  5h  4m</v>
      </c>
      <c r="H73" s="465">
        <f t="shared" si="4"/>
        <v>199000</v>
      </c>
      <c r="I73" s="465">
        <f t="shared" si="5"/>
        <v>226860</v>
      </c>
      <c r="J73" s="465" t="str">
        <f t="shared" si="6"/>
        <v>199 K</v>
      </c>
      <c r="K73" s="466" t="str">
        <f t="shared" si="7"/>
        <v>44.66 K/h</v>
      </c>
      <c r="L73" s="467">
        <f t="shared" si="8"/>
        <v>21</v>
      </c>
      <c r="M73" s="468" t="str">
        <f t="shared" si="18"/>
        <v>0d  5h 56m</v>
      </c>
      <c r="N73" s="465" t="str">
        <f t="shared" si="10"/>
        <v>226.86 K</v>
      </c>
      <c r="O73" s="467">
        <f t="shared" si="11"/>
        <v>24</v>
      </c>
      <c r="P73" s="471" t="str">
        <f>VLOOKUP($A73,MS_Labs_Array,3,FALSE)</f>
        <v/>
      </c>
      <c r="Q73" s="468">
        <f>IFERROR(__xludf.DUMMYFUNCTION("LET(
  Labspeed, IF(A73=""Labs Speed"", 1+'Master Sheet'!$BK$5, LAB_SPEED_TOTAL()),
  Match, MATCH(IF(ISNUMBER(SEARCH(""Mastery"",$A73)),""Card Mastery"",$A73),DVT_Laboratory!B$1:V$1,0)-1,
  Offset, INDEX(DVT_Laboratory!B$3:ZZ$102,,Match+1),
  Desired, IF"&amp;"(P73&lt;&gt;"""", P73,D73),
  IFS(
    Desired &gt; D73, ""Desired lvl too high"",
    AND(Desired = D73, OR(C73 = D73, C73 = ""Max"")), ""Max Level"",
    Desired = C73, ""OK Level"",
    Desired &lt; C73, ""Desired lvl too low"",
    TRUE, TO_PURE_NUMBER(
      SUM"&amp;"(
        XLOOKUP($C73 + 1, SEQUENCE(100, 1, 1, 1), Offset, ""N/F"", 0, 1): 
        XLOOKUP(Desired, SEQUENCE(100, 1, 1, 1), Offset, ""N/F"", 0, 1)
      ) / Labspeed
    ) /
    IF(AND(B73 &lt;&gt; """", $B$1 = ""All""), RIGHT(B73, 3), 1)
  )
)"),209.82358473779198)</f>
        <v>209.8235847</v>
      </c>
      <c r="R73" s="464" t="str">
        <f t="shared" si="12"/>
        <v>209d 19h 45m</v>
      </c>
      <c r="S73" s="465">
        <f t="array" ref="S73">LET(
  Match, MATCH(IF(ISNUMBER(SEARCH("Mastery",$A73)),"Card Mastery",$A73),DVT_Laboratory!B$1:V$1,0)-1,
  Offset, OFFSET(DVT_Laboratory!C$3,0,Match,100,1),
  Desired, IF(P73&lt;&gt;"", P73,D73),
IF(Desired&gt;D73,"Desired lvl too high",
IF(AND(Desired=D73,OR(C73=D73,C73="Max")),"Max Level",
IF(Desired=C73,"OK Level",
IF(Desired&lt;C73,"Desired lvl too low",
SUM(
XLOOKUP(C73+1,SEQUENCE(100,1,1,1),Offset,"N/F",0,1)
:XLOOKUP(Desired,SEQUENCE(100,1,1,1),Offset,"N/F",0,1))*(1-LAB_COIN_DISCOUNT()))))))</f>
        <v>92528450496</v>
      </c>
      <c r="T73" s="465" t="str">
        <f t="shared" si="13"/>
        <v>92.53 B</v>
      </c>
      <c r="U73" s="466" t="str">
        <f t="shared" si="14"/>
        <v>18.37 M/h</v>
      </c>
      <c r="V73" s="467">
        <f t="array" ref="V73">LET(
  Labspeed, IF(A73 ="Labs Speed", 1+'Master Sheet'!$BK$5, LAB_SPEED_TOTAL()),
  Match, MATCH(IF(ISNUMBER(SEARCH("Mastery",$A73)),"Card Mastery",$A73),DVT_Laboratory!B$1:V$1,0)-1,
  Offset, OFFSET(DVT_Laboratory!B$3,0,Match,100,1),
  Desired, IF(P73&lt;&gt;"", P73,D73),
IF(Desired&gt;D73,"Desired lvl too high",
IF(AND(Desired=D73,OR(C73=D73,C73="Max")),"Max Level",
IF(Desired&lt;=C73,"Desired lvl too low",
SUM(TIME_TO_RUSH_GEMS(
    XLOOKUP(C73+1, SEQUENCE(100,1,1,1), Offset, "N/F", 0, 1):
    XLOOKUP(Desired, SEQUENCE(100,1,1,1), Offset, "N/F", 0, 1)/Labspeed, IDS_LAB_GODLBOXED_COUNT()))))))</f>
        <v>15715</v>
      </c>
    </row>
    <row r="74">
      <c r="A74" s="458" t="s">
        <v>328</v>
      </c>
      <c r="B74" s="459" t="str">
        <f t="shared" si="1"/>
        <v/>
      </c>
      <c r="C74" s="470">
        <f>VLOOKUP($A74,MS_Labs_Array,2,FALSE)</f>
        <v>0</v>
      </c>
      <c r="D74" s="461">
        <f>VLOOKUP($A74,MS_Labs_Array,4,FALSE)</f>
        <v>20</v>
      </c>
      <c r="E74" s="462" t="str">
        <f t="shared" si="21"/>
        <v>T7 40</v>
      </c>
      <c r="F74" s="463">
        <f t="shared" si="17"/>
        <v>0.2118338883</v>
      </c>
      <c r="G74" s="464" t="str">
        <f t="shared" si="3"/>
        <v>0d  5h  5m</v>
      </c>
      <c r="H74" s="465">
        <f t="shared" si="4"/>
        <v>199000</v>
      </c>
      <c r="I74" s="465">
        <f t="shared" si="5"/>
        <v>445760</v>
      </c>
      <c r="J74" s="465" t="str">
        <f t="shared" si="6"/>
        <v>199 K</v>
      </c>
      <c r="K74" s="466" t="str">
        <f t="shared" si="7"/>
        <v>87.68 K/h</v>
      </c>
      <c r="L74" s="467">
        <f t="shared" si="8"/>
        <v>21</v>
      </c>
      <c r="M74" s="468" t="str">
        <f t="shared" si="18"/>
        <v>0d  7h 12m</v>
      </c>
      <c r="N74" s="465" t="str">
        <f t="shared" si="10"/>
        <v>445.76 K</v>
      </c>
      <c r="O74" s="467">
        <f t="shared" si="11"/>
        <v>29</v>
      </c>
      <c r="P74" s="471" t="str">
        <f>VLOOKUP($A74,MS_Labs_Array,3,FALSE)</f>
        <v/>
      </c>
      <c r="Q74" s="468">
        <f>IFERROR(__xludf.DUMMYFUNCTION("LET(
  Labspeed, IF(A74=""Labs Speed"", 1+'Master Sheet'!$BK$5, LAB_SPEED_TOTAL()),
  Match, MATCH(IF(ISNUMBER(SEARCH(""Mastery"",$A74)),""Card Mastery"",$A74),DVT_Laboratory!B$1:V$1,0)-1,
  Offset, INDEX(DVT_Laboratory!B$3:ZZ$102,,Match+1),
  Desired, IF"&amp;"(P74&lt;&gt;"""", P74,D74),
  IFS(
    Desired &gt; D74, ""Desired lvl too high"",
    AND(Desired = D74, OR(C74 = D74, C74 = ""Max"")), ""Max Level"",
    Desired = C74, ""OK Level"",
    Desired &lt; C74, ""Desired lvl too low"",
    TRUE, TO_PURE_NUMBER(
      SUM"&amp;"(
        XLOOKUP($C74 + 1, SEQUENCE(100, 1, 1, 1), Offset, ""N/F"", 0, 1): 
        XLOOKUP(Desired, SEQUENCE(100, 1, 1, 1), Offset, ""N/F"", 0, 1)
      ) / Labspeed
    ) /
    IF(AND(B74 &lt;&gt; """", $B$1 = ""All""), RIGHT(B74, 3), 1)
  )
)"),50.17638701768953)</f>
        <v>50.17638702</v>
      </c>
      <c r="R74" s="464" t="str">
        <f t="shared" si="12"/>
        <v>50d  4h 14m</v>
      </c>
      <c r="S74" s="465">
        <f t="array" ref="S74">LET(
  Match, MATCH(IF(ISNUMBER(SEARCH("Mastery",$A74)),"Card Mastery",$A74),DVT_Laboratory!B$1:V$1,0)-1,
  Offset, OFFSET(DVT_Laboratory!C$3,0,Match,100,1),
  Desired, IF(P74&lt;&gt;"", P74,D74),
IF(Desired&gt;D74,"Desired lvl too high",
IF(AND(Desired=D74,OR(C74=D74,C74="Max")),"Max Level",
IF(Desired=C74,"OK Level",
IF(Desired&lt;C74,"Desired lvl too low",
SUM(
XLOOKUP(C74+1,SEQUENCE(100,1,1,1),Offset,"N/F",0,1)
:XLOOKUP(Desired,SEQUENCE(100,1,1,1),Offset,"N/F",0,1))*(1-LAB_COIN_DISCOUNT()))))))</f>
        <v>27366312840</v>
      </c>
      <c r="T74" s="465" t="str">
        <f t="shared" si="13"/>
        <v>27.37 B</v>
      </c>
      <c r="U74" s="466" t="str">
        <f t="shared" si="14"/>
        <v>22.73 M/h</v>
      </c>
      <c r="V74" s="467">
        <f t="array" ref="V74">LET(
  Labspeed, IF(A74 ="Labs Speed", 1+'Master Sheet'!$BK$5, LAB_SPEED_TOTAL()),
  Match, MATCH(IF(ISNUMBER(SEARCH("Mastery",$A74)),"Card Mastery",$A74),DVT_Laboratory!B$1:V$1,0)-1,
  Offset, OFFSET(DVT_Laboratory!B$3,0,Match,100,1),
  Desired, IF(P74&lt;&gt;"", P74,D74),
IF(Desired&gt;D74,"Desired lvl too high",
IF(AND(Desired=D74,OR(C74=D74,C74="Max")),"Max Level",
IF(Desired&lt;=C74,"Desired lvl too low",
SUM(TIME_TO_RUSH_GEMS(
    XLOOKUP(C74+1, SEQUENCE(100,1,1,1), Offset, "N/F", 0, 1):
    XLOOKUP(Desired, SEQUENCE(100,1,1,1), Offset, "N/F", 0, 1)/Labspeed, IDS_LAB_GODLBOXED_COUNT()))))))</f>
        <v>4290</v>
      </c>
    </row>
    <row r="75">
      <c r="A75" s="458" t="s">
        <v>333</v>
      </c>
      <c r="B75" s="459" t="str">
        <f t="shared" si="1"/>
        <v/>
      </c>
      <c r="C75" s="470">
        <f>VLOOKUP($A75,MS_Labs_Array,2,FALSE)</f>
        <v>0</v>
      </c>
      <c r="D75" s="461">
        <f>VLOOKUP($A75,MS_Labs_Array,4,FALSE)</f>
        <v>20</v>
      </c>
      <c r="E75" s="462" t="str">
        <f t="shared" si="21"/>
        <v>T7 40</v>
      </c>
      <c r="F75" s="463">
        <f t="shared" si="17"/>
        <v>0.2118338883</v>
      </c>
      <c r="G75" s="464" t="str">
        <f t="shared" si="3"/>
        <v>0d  5h  5m</v>
      </c>
      <c r="H75" s="465">
        <f t="shared" si="4"/>
        <v>199000</v>
      </c>
      <c r="I75" s="465">
        <f t="shared" si="5"/>
        <v>445760</v>
      </c>
      <c r="J75" s="465" t="str">
        <f t="shared" si="6"/>
        <v>199 K</v>
      </c>
      <c r="K75" s="466" t="str">
        <f t="shared" si="7"/>
        <v>87.68 K/h</v>
      </c>
      <c r="L75" s="467">
        <f t="shared" si="8"/>
        <v>21</v>
      </c>
      <c r="M75" s="468" t="str">
        <f t="shared" si="18"/>
        <v>0d  7h 12m</v>
      </c>
      <c r="N75" s="465" t="str">
        <f t="shared" si="10"/>
        <v>445.76 K</v>
      </c>
      <c r="O75" s="467">
        <f t="shared" si="11"/>
        <v>29</v>
      </c>
      <c r="P75" s="471" t="str">
        <f>VLOOKUP($A75,MS_Labs_Array,3,FALSE)</f>
        <v/>
      </c>
      <c r="Q75" s="468">
        <f>IFERROR(__xludf.DUMMYFUNCTION("LET(
  Labspeed, IF(A75=""Labs Speed"", 1+'Master Sheet'!$BK$5, LAB_SPEED_TOTAL()),
  Match, MATCH(IF(ISNUMBER(SEARCH(""Mastery"",$A75)),""Card Mastery"",$A75),DVT_Laboratory!B$1:V$1,0)-1,
  Offset, INDEX(DVT_Laboratory!B$3:ZZ$102,,Match+1),
  Desired, IF"&amp;"(P75&lt;&gt;"""", P75,D75),
  IFS(
    Desired &gt; D75, ""Desired lvl too high"",
    AND(Desired = D75, OR(C75 = D75, C75 = ""Max"")), ""Max Level"",
    Desired = C75, ""OK Level"",
    Desired &lt; C75, ""Desired lvl too low"",
    TRUE, TO_PURE_NUMBER(
      SUM"&amp;"(
        XLOOKUP($C75 + 1, SEQUENCE(100, 1, 1, 1), Offset, ""N/F"", 0, 1): 
        XLOOKUP(Desired, SEQUENCE(100, 1, 1, 1), Offset, ""N/F"", 0, 1)
      ) / Labspeed
    ) /
    IF(AND(B75 &lt;&gt; """", $B$1 = ""All""), RIGHT(B75, 3), 1)
  )
)"),50.17638701768953)</f>
        <v>50.17638702</v>
      </c>
      <c r="R75" s="464" t="str">
        <f t="shared" si="12"/>
        <v>50d  4h 14m</v>
      </c>
      <c r="S75" s="465">
        <f t="array" ref="S75">LET(
  Match, MATCH(IF(ISNUMBER(SEARCH("Mastery",$A75)),"Card Mastery",$A75),DVT_Laboratory!B$1:V$1,0)-1,
  Offset, OFFSET(DVT_Laboratory!C$3,0,Match,100,1),
  Desired, IF(P75&lt;&gt;"", P75,D75),
IF(Desired&gt;D75,"Desired lvl too high",
IF(AND(Desired=D75,OR(C75=D75,C75="Max")),"Max Level",
IF(Desired=C75,"OK Level",
IF(Desired&lt;C75,"Desired lvl too low",
SUM(
XLOOKUP(C75+1,SEQUENCE(100,1,1,1),Offset,"N/F",0,1)
:XLOOKUP(Desired,SEQUENCE(100,1,1,1),Offset,"N/F",0,1))*(1-LAB_COIN_DISCOUNT()))))))</f>
        <v>27366312840</v>
      </c>
      <c r="T75" s="465" t="str">
        <f t="shared" si="13"/>
        <v>27.37 B</v>
      </c>
      <c r="U75" s="466" t="str">
        <f t="shared" si="14"/>
        <v>22.73 M/h</v>
      </c>
      <c r="V75" s="467">
        <f t="array" ref="V75">LET(
  Labspeed, IF(A75 ="Labs Speed", 1+'Master Sheet'!$BK$5, LAB_SPEED_TOTAL()),
  Match, MATCH(IF(ISNUMBER(SEARCH("Mastery",$A75)),"Card Mastery",$A75),DVT_Laboratory!B$1:V$1,0)-1,
  Offset, OFFSET(DVT_Laboratory!B$3,0,Match,100,1),
  Desired, IF(P75&lt;&gt;"", P75,D75),
IF(Desired&gt;D75,"Desired lvl too high",
IF(AND(Desired=D75,OR(C75=D75,C75="Max")),"Max Level",
IF(Desired&lt;=C75,"Desired lvl too low",
SUM(TIME_TO_RUSH_GEMS(
    XLOOKUP(C75+1, SEQUENCE(100,1,1,1), Offset, "N/F", 0, 1):
    XLOOKUP(Desired, SEQUENCE(100,1,1,1), Offset, "N/F", 0, 1)/Labspeed, IDS_LAB_GODLBOXED_COUNT()))))))</f>
        <v>4290</v>
      </c>
    </row>
    <row r="76">
      <c r="A76" s="458" t="s">
        <v>350</v>
      </c>
      <c r="B76" s="459" t="str">
        <f t="shared" si="1"/>
        <v/>
      </c>
      <c r="C76" s="470">
        <f>VLOOKUP($A76,MS_Labs_Array,2,FALSE)</f>
        <v>0</v>
      </c>
      <c r="D76" s="461">
        <f>VLOOKUP($A76,MS_Labs_Array,4,FALSE)</f>
        <v>1</v>
      </c>
      <c r="E76" s="462" t="str">
        <f t="shared" si="21"/>
        <v>T7 40</v>
      </c>
      <c r="F76" s="463">
        <f t="shared" si="17"/>
        <v>3.530388277</v>
      </c>
      <c r="G76" s="464" t="str">
        <f t="shared" si="3"/>
        <v>3d 12h 43m</v>
      </c>
      <c r="H76" s="465">
        <f t="shared" si="4"/>
        <v>199000000</v>
      </c>
      <c r="I76" s="465" t="str">
        <f t="shared" si="5"/>
        <v>Max Level</v>
      </c>
      <c r="J76" s="465" t="str">
        <f t="shared" si="6"/>
        <v>199 M</v>
      </c>
      <c r="K76" s="466" t="str">
        <f t="shared" si="7"/>
        <v/>
      </c>
      <c r="L76" s="467">
        <f t="shared" si="8"/>
        <v>300</v>
      </c>
      <c r="M76" s="468" t="str">
        <f t="shared" si="18"/>
        <v>Max Level</v>
      </c>
      <c r="N76" s="465" t="str">
        <f t="shared" si="10"/>
        <v>Max Level</v>
      </c>
      <c r="O76" s="467" t="str">
        <f t="shared" si="11"/>
        <v>Max Level</v>
      </c>
      <c r="P76" s="471" t="str">
        <f>VLOOKUP($A76,MS_Labs_Array,3,FALSE)</f>
        <v/>
      </c>
      <c r="Q76" s="468">
        <f>IFERROR(__xludf.DUMMYFUNCTION("LET(
  Labspeed, IF(A76=""Labs Speed"", 1+'Master Sheet'!$BK$5, LAB_SPEED_TOTAL()),
  Match, MATCH(IF(ISNUMBER(SEARCH(""Mastery"",$A76)),""Card Mastery"",$A76),DVT_Laboratory!B$1:V$1,0)-1,
  Offset, INDEX(DVT_Laboratory!B$3:ZZ$102,,Match+1),
  Desired, IF"&amp;"(P76&lt;&gt;"""", P76,D76),
  IFS(
    Desired &gt; D76, ""Desired lvl too high"",
    AND(Desired = D76, OR(C76 = D76, C76 = ""Max"")), ""Max Level"",
    Desired = C76, ""OK Level"",
    Desired &lt; C76, ""Desired lvl too low"",
    TRUE, TO_PURE_NUMBER(
      SUM"&amp;"(
        XLOOKUP($C76 + 1, SEQUENCE(100, 1, 1, 1), Offset, ""N/F"", 0, 1): 
        XLOOKUP(Desired, SEQUENCE(100, 1, 1, 1), Offset, ""N/F"", 0, 1)
      ) / Labspeed
    ) /
    IF(AND(B76 &lt;&gt; """", $B$1 = ""All""), RIGHT(B76, 3), 1)
  )
)"),3.530388277395064)</f>
        <v>3.530388277</v>
      </c>
      <c r="R76" s="464" t="str">
        <f t="shared" si="12"/>
        <v>3d 12h 43m</v>
      </c>
      <c r="S76" s="465">
        <f t="array" ref="S76">LET(
  Match, MATCH(IF(ISNUMBER(SEARCH("Mastery",$A76)),"Card Mastery",$A76),DVT_Laboratory!B$1:V$1,0)-1,
  Offset, OFFSET(DVT_Laboratory!C$3,0,Match,100,1),
  Desired, IF(P76&lt;&gt;"", P76,D76),
IF(Desired&gt;D76,"Desired lvl too high",
IF(AND(Desired=D76,OR(C76=D76,C76="Max")),"Max Level",
IF(Desired=C76,"OK Level",
IF(Desired&lt;C76,"Desired lvl too low",
SUM(
XLOOKUP(C76+1,SEQUENCE(100,1,1,1),Offset,"N/F",0,1)
:XLOOKUP(Desired,SEQUENCE(100,1,1,1),Offset,"N/F",0,1))*(1-LAB_COIN_DISCOUNT()))))))</f>
        <v>199000000</v>
      </c>
      <c r="T76" s="465" t="str">
        <f t="shared" si="13"/>
        <v>199 M</v>
      </c>
      <c r="U76" s="466" t="str">
        <f t="shared" si="14"/>
        <v>2.35 M/h</v>
      </c>
      <c r="V76" s="467">
        <f t="array" ref="V76">LET(
  Labspeed, IF(A76 ="Labs Speed", 1+'Master Sheet'!$BK$5, LAB_SPEED_TOTAL()),
  Match, MATCH(IF(ISNUMBER(SEARCH("Mastery",$A76)),"Card Mastery",$A76),DVT_Laboratory!B$1:V$1,0)-1,
  Offset, OFFSET(DVT_Laboratory!B$3,0,Match,100,1),
  Desired, IF(P76&lt;&gt;"", P76,D76),
IF(Desired&gt;D76,"Desired lvl too high",
IF(AND(Desired=D76,OR(C76=D76,C76="Max")),"Max Level",
IF(Desired&lt;=C76,"Desired lvl too low",
SUM(TIME_TO_RUSH_GEMS(
    XLOOKUP(C76+1, SEQUENCE(100,1,1,1), Offset, "N/F", 0, 1):
    XLOOKUP(Desired, SEQUENCE(100,1,1,1), Offset, "N/F", 0, 1)/Labspeed, IDS_LAB_GODLBOXED_COUNT()))))))</f>
        <v>300</v>
      </c>
    </row>
    <row r="77">
      <c r="A77" s="458" t="s">
        <v>296</v>
      </c>
      <c r="B77" s="459" t="str">
        <f t="shared" si="1"/>
        <v/>
      </c>
      <c r="C77" s="470">
        <f>VLOOKUP($A77,MS_Labs_Array,2,FALSE)</f>
        <v>1</v>
      </c>
      <c r="D77" s="461">
        <f>VLOOKUP($A77,MS_Labs_Array,4,FALSE)</f>
        <v>1</v>
      </c>
      <c r="E77" s="462" t="str">
        <f t="shared" si="21"/>
        <v>T7 60</v>
      </c>
      <c r="F77" s="463" t="str">
        <f t="shared" si="17"/>
        <v>Max Level</v>
      </c>
      <c r="G77" s="464" t="str">
        <f t="shared" si="3"/>
        <v>Max Level</v>
      </c>
      <c r="H77" s="465" t="str">
        <f t="shared" si="4"/>
        <v>Max Level</v>
      </c>
      <c r="I77" s="465">
        <f t="shared" si="5"/>
        <v>0</v>
      </c>
      <c r="J77" s="465" t="str">
        <f t="shared" si="6"/>
        <v>Max Level</v>
      </c>
      <c r="K77" s="466" t="str">
        <f t="shared" si="7"/>
        <v/>
      </c>
      <c r="L77" s="467" t="str">
        <f t="shared" si="8"/>
        <v>Max Level</v>
      </c>
      <c r="M77" s="468" t="str">
        <f t="shared" si="18"/>
        <v>Max Level</v>
      </c>
      <c r="N77" s="465" t="str">
        <f t="shared" si="10"/>
        <v>Max Level</v>
      </c>
      <c r="O77" s="467" t="str">
        <f t="shared" si="11"/>
        <v>Max Level</v>
      </c>
      <c r="P77" s="471" t="str">
        <f>VLOOKUP($A77,MS_Labs_Array,3,FALSE)</f>
        <v/>
      </c>
      <c r="Q77" s="468" t="str">
        <f>IFERROR(__xludf.DUMMYFUNCTION("LET(
  Labspeed, IF(A77=""Labs Speed"", 1+'Master Sheet'!$BK$5, LAB_SPEED_TOTAL()),
  Match, MATCH(IF(ISNUMBER(SEARCH(""Mastery"",$A77)),""Card Mastery"",$A77),DVT_Laboratory!B$1:V$1,0)-1,
  Offset, INDEX(DVT_Laboratory!B$3:ZZ$102,,Match+1),
  Desired, IF"&amp;"(P77&lt;&gt;"""", P77,D77),
  IFS(
    Desired &gt; D77, ""Desired lvl too high"",
    AND(Desired = D77, OR(C77 = D77, C77 = ""Max"")), ""Max Level"",
    Desired = C77, ""OK Level"",
    Desired &lt; C77, ""Desired lvl too low"",
    TRUE, TO_PURE_NUMBER(
      SUM"&amp;"(
        XLOOKUP($C77 + 1, SEQUENCE(100, 1, 1, 1), Offset, ""N/F"", 0, 1): 
        XLOOKUP(Desired, SEQUENCE(100, 1, 1, 1), Offset, ""N/F"", 0, 1)
      ) / Labspeed
    ) /
    IF(AND(B77 &lt;&gt; """", $B$1 = ""All""), RIGHT(B77, 3), 1)
  )
)"),"Max Level")</f>
        <v>Max Level</v>
      </c>
      <c r="R77" s="464" t="str">
        <f t="shared" si="12"/>
        <v>Max Level</v>
      </c>
      <c r="S77" s="465" t="str">
        <f t="array" ref="S77">LET(
  Match, MATCH(IF(ISNUMBER(SEARCH("Mastery",$A77)),"Card Mastery",$A77),DVT_Laboratory!B$1:V$1,0)-1,
  Offset, OFFSET(DVT_Laboratory!C$3,0,Match,100,1),
  Desired, IF(P77&lt;&gt;"", P77,D77),
IF(Desired&gt;D77,"Desired lvl too high",
IF(AND(Desired=D77,OR(C77=D77,C77="Max")),"Max Level",
IF(Desired=C77,"OK Level",
IF(Desired&lt;C77,"Desired lvl too low",
SUM(
XLOOKUP(C77+1,SEQUENCE(100,1,1,1),Offset,"N/F",0,1)
:XLOOKUP(Desired,SEQUENCE(100,1,1,1),Offset,"N/F",0,1))*(1-LAB_COIN_DISCOUNT()))))))</f>
        <v>Max Level</v>
      </c>
      <c r="T77" s="465" t="str">
        <f t="shared" si="13"/>
        <v>Max Level</v>
      </c>
      <c r="U77" s="466" t="str">
        <f t="shared" si="14"/>
        <v/>
      </c>
      <c r="V77" s="467" t="str">
        <f t="array" ref="V77">LET(
  Labspeed, IF(A77 ="Labs Speed", 1+'Master Sheet'!$BK$5, LAB_SPEED_TOTAL()),
  Match, MATCH(IF(ISNUMBER(SEARCH("Mastery",$A77)),"Card Mastery",$A77),DVT_Laboratory!B$1:V$1,0)-1,
  Offset, OFFSET(DVT_Laboratory!B$3,0,Match,100,1),
  Desired, IF(P77&lt;&gt;"", P77,D77),
IF(Desired&gt;D77,"Desired lvl too high",
IF(AND(Desired=D77,OR(C77=D77,C77="Max")),"Max Level",
IF(Desired&lt;=C77,"Desired lvl too low",
SUM(TIME_TO_RUSH_GEMS(
    XLOOKUP(C77+1, SEQUENCE(100,1,1,1), Offset, "N/F", 0, 1):
    XLOOKUP(Desired, SEQUENCE(100,1,1,1), Offset, "N/F", 0, 1)/Labspeed, IDS_LAB_GODLBOXED_COUNT()))))))</f>
        <v>Max Level</v>
      </c>
    </row>
    <row r="78">
      <c r="A78" s="458" t="s">
        <v>303</v>
      </c>
      <c r="B78" s="459" t="str">
        <f t="shared" si="1"/>
        <v/>
      </c>
      <c r="C78" s="470">
        <f>VLOOKUP($A78,MS_Labs_Array,2,FALSE)</f>
        <v>14</v>
      </c>
      <c r="D78" s="461">
        <f>VLOOKUP($A78,MS_Labs_Array,4,FALSE)</f>
        <v>30</v>
      </c>
      <c r="E78" s="462" t="str">
        <f t="shared" si="21"/>
        <v>T7 60</v>
      </c>
      <c r="F78" s="463">
        <f t="shared" si="17"/>
        <v>3.561986832</v>
      </c>
      <c r="G78" s="464" t="str">
        <f t="shared" si="3"/>
        <v>3d 13h 29m</v>
      </c>
      <c r="H78" s="465">
        <f t="shared" si="4"/>
        <v>1703440000</v>
      </c>
      <c r="I78" s="465">
        <f t="shared" si="5"/>
        <v>2348200000</v>
      </c>
      <c r="J78" s="465" t="str">
        <f t="shared" si="6"/>
        <v>1.7 B</v>
      </c>
      <c r="K78" s="466" t="str">
        <f t="shared" si="7"/>
        <v>27.47 M/h</v>
      </c>
      <c r="L78" s="467">
        <f t="shared" si="8"/>
        <v>303</v>
      </c>
      <c r="M78" s="468" t="str">
        <f t="shared" si="18"/>
        <v>4d  5h 27m</v>
      </c>
      <c r="N78" s="465" t="str">
        <f t="shared" si="10"/>
        <v>2.35 B</v>
      </c>
      <c r="O78" s="467">
        <f t="shared" si="11"/>
        <v>357</v>
      </c>
      <c r="P78" s="471" t="str">
        <f>VLOOKUP($A78,MS_Labs_Array,3,FALSE)</f>
        <v/>
      </c>
      <c r="Q78" s="468">
        <f>IFERROR(__xludf.DUMMYFUNCTION("LET(
  Labspeed, IF(A78=""Labs Speed"", 1+'Master Sheet'!$BK$5, LAB_SPEED_TOTAL()),
  Match, MATCH(IF(ISNUMBER(SEARCH(""Mastery"",$A78)),""Card Mastery"",$A78),DVT_Laboratory!B$1:V$1,0)-1,
  Offset, INDEX(DVT_Laboratory!B$3:ZZ$102,,Match+1),
  Desired, IF"&amp;"(P78&lt;&gt;"""", P78,D78),
  IFS(
    Desired &gt; D78, ""Desired lvl too high"",
    AND(Desired = D78, OR(C78 = D78, C78 = ""Max"")), ""Max Level"",
    Desired = C78, ""OK Level"",
    Desired &lt; C78, ""Desired lvl too low"",
    TRUE, TO_PURE_NUMBER(
      SUM"&amp;"(
        XLOOKUP($C78 + 1, SEQUENCE(100, 1, 1, 1), Offset, ""N/F"", 0, 1): 
        XLOOKUP(Desired, SEQUENCE(100, 1, 1, 1), Offset, ""N/F"", 0, 1)
      ) / Labspeed
    ) /
    IF(AND(B78 &lt;&gt; """", $B$1 = ""All""), RIGHT(B78, 3), 1)
  )
)"),216.29864059132723)</f>
        <v>216.2986406</v>
      </c>
      <c r="R78" s="464" t="str">
        <f t="shared" si="12"/>
        <v>216d  7h 10m</v>
      </c>
      <c r="S78" s="465">
        <f t="array" ref="S78">LET(
  Match, MATCH(IF(ISNUMBER(SEARCH("Mastery",$A78)),"Card Mastery",$A78),DVT_Laboratory!B$1:V$1,0)-1,
  Offset, OFFSET(DVT_Laboratory!C$3,0,Match,100,1),
  Desired, IF(P78&lt;&gt;"", P78,D78),
IF(Desired&gt;D78,"Desired lvl too high",
IF(AND(Desired=D78,OR(C78=D78,C78="Max")),"Max Level",
IF(Desired=C78,"OK Level",
IF(Desired&lt;C78,"Desired lvl too low",
SUM(
XLOOKUP(C78+1,SEQUENCE(100,1,1,1),Offset,"N/F",0,1)
:XLOOKUP(Desired,SEQUENCE(100,1,1,1),Offset,"N/F",0,1))*(1-LAB_COIN_DISCOUNT()))))))</f>
        <v>280351200000</v>
      </c>
      <c r="T78" s="465" t="str">
        <f t="shared" si="13"/>
        <v>280.35 B</v>
      </c>
      <c r="U78" s="466" t="str">
        <f t="shared" si="14"/>
        <v>54.01 M/h</v>
      </c>
      <c r="V78" s="467">
        <f t="array" ref="V78">LET(
  Labspeed, IF(A78 ="Labs Speed", 1+'Master Sheet'!$BK$5, LAB_SPEED_TOTAL()),
  Match, MATCH(IF(ISNUMBER(SEARCH("Mastery",$A78)),"Card Mastery",$A78),DVT_Laboratory!B$1:V$1,0)-1,
  Offset, OFFSET(DVT_Laboratory!B$3,0,Match,100,1),
  Desired, IF(P78&lt;&gt;"", P78,D78),
IF(Desired&gt;D78,"Desired lvl too high",
IF(AND(Desired=D78,OR(C78=D78,C78="Max")),"Max Level",
IF(Desired&lt;=C78,"Desired lvl too low",
SUM(TIME_TO_RUSH_GEMS(
    XLOOKUP(C78+1, SEQUENCE(100,1,1,1), Offset, "N/F", 0, 1):
    XLOOKUP(Desired, SEQUENCE(100,1,1,1), Offset, "N/F", 0, 1)/Labspeed, IDS_LAB_GODLBOXED_COUNT()))))))</f>
        <v>15877</v>
      </c>
    </row>
    <row r="79">
      <c r="A79" s="458" t="s">
        <v>310</v>
      </c>
      <c r="B79" s="459" t="str">
        <f t="shared" si="1"/>
        <v/>
      </c>
      <c r="C79" s="470">
        <f>VLOOKUP($A79,MS_Labs_Array,2,FALSE)</f>
        <v>14</v>
      </c>
      <c r="D79" s="461">
        <f>VLOOKUP($A79,MS_Labs_Array,4,FALSE)</f>
        <v>14</v>
      </c>
      <c r="E79" s="462" t="str">
        <f t="shared" si="21"/>
        <v>T7 60</v>
      </c>
      <c r="F79" s="463" t="str">
        <f t="shared" si="17"/>
        <v>Max Level</v>
      </c>
      <c r="G79" s="464" t="str">
        <f t="shared" si="3"/>
        <v>Max Level</v>
      </c>
      <c r="H79" s="465" t="str">
        <f t="shared" si="4"/>
        <v>Max Level</v>
      </c>
      <c r="I79" s="465">
        <f t="shared" si="5"/>
        <v>0</v>
      </c>
      <c r="J79" s="465" t="str">
        <f t="shared" si="6"/>
        <v>Max Level</v>
      </c>
      <c r="K79" s="466" t="str">
        <f t="shared" si="7"/>
        <v/>
      </c>
      <c r="L79" s="467" t="str">
        <f t="shared" si="8"/>
        <v>Max Level</v>
      </c>
      <c r="M79" s="468" t="str">
        <f t="shared" si="18"/>
        <v>Max Level</v>
      </c>
      <c r="N79" s="465" t="str">
        <f t="shared" si="10"/>
        <v>Max Level</v>
      </c>
      <c r="O79" s="467" t="str">
        <f t="shared" si="11"/>
        <v>Max Level</v>
      </c>
      <c r="P79" s="471" t="str">
        <f>VLOOKUP($A79,MS_Labs_Array,3,FALSE)</f>
        <v/>
      </c>
      <c r="Q79" s="468" t="str">
        <f>IFERROR(__xludf.DUMMYFUNCTION("LET(
  Labspeed, IF(A79=""Labs Speed"", 1+'Master Sheet'!$BK$5, LAB_SPEED_TOTAL()),
  Match, MATCH(IF(ISNUMBER(SEARCH(""Mastery"",$A79)),""Card Mastery"",$A79),DVT_Laboratory!B$1:V$1,0)-1,
  Offset, INDEX(DVT_Laboratory!B$3:ZZ$102,,Match+1),
  Desired, IF"&amp;"(P79&lt;&gt;"""", P79,D79),
  IFS(
    Desired &gt; D79, ""Desired lvl too high"",
    AND(Desired = D79, OR(C79 = D79, C79 = ""Max"")), ""Max Level"",
    Desired = C79, ""OK Level"",
    Desired &lt; C79, ""Desired lvl too low"",
    TRUE, TO_PURE_NUMBER(
      SUM"&amp;"(
        XLOOKUP($C79 + 1, SEQUENCE(100, 1, 1, 1), Offset, ""N/F"", 0, 1): 
        XLOOKUP(Desired, SEQUENCE(100, 1, 1, 1), Offset, ""N/F"", 0, 1)
      ) / Labspeed
    ) /
    IF(AND(B79 &lt;&gt; """", $B$1 = ""All""), RIGHT(B79, 3), 1)
  )
)"),"Max Level")</f>
        <v>Max Level</v>
      </c>
      <c r="R79" s="464" t="str">
        <f t="shared" si="12"/>
        <v>Max Level</v>
      </c>
      <c r="S79" s="465" t="str">
        <f t="array" ref="S79">LET(
  Match, MATCH(IF(ISNUMBER(SEARCH("Mastery",$A79)),"Card Mastery",$A79),DVT_Laboratory!B$1:V$1,0)-1,
  Offset, OFFSET(DVT_Laboratory!C$3,0,Match,100,1),
  Desired, IF(P79&lt;&gt;"", P79,D79),
IF(Desired&gt;D79,"Desired lvl too high",
IF(AND(Desired=D79,OR(C79=D79,C79="Max")),"Max Level",
IF(Desired=C79,"OK Level",
IF(Desired&lt;C79,"Desired lvl too low",
SUM(
XLOOKUP(C79+1,SEQUENCE(100,1,1,1),Offset,"N/F",0,1)
:XLOOKUP(Desired,SEQUENCE(100,1,1,1),Offset,"N/F",0,1))*(1-LAB_COIN_DISCOUNT()))))))</f>
        <v>Max Level</v>
      </c>
      <c r="T79" s="465" t="str">
        <f t="shared" si="13"/>
        <v>Max Level</v>
      </c>
      <c r="U79" s="466" t="str">
        <f t="shared" si="14"/>
        <v/>
      </c>
      <c r="V79" s="467" t="str">
        <f t="array" ref="V79">LET(
  Labspeed, IF(A79 ="Labs Speed", 1+'Master Sheet'!$BK$5, LAB_SPEED_TOTAL()),
  Match, MATCH(IF(ISNUMBER(SEARCH("Mastery",$A79)),"Card Mastery",$A79),DVT_Laboratory!B$1:V$1,0)-1,
  Offset, OFFSET(DVT_Laboratory!B$3,0,Match,100,1),
  Desired, IF(P79&lt;&gt;"", P79,D79),
IF(Desired&gt;D79,"Desired lvl too high",
IF(AND(Desired=D79,OR(C79=D79,C79="Max")),"Max Level",
IF(Desired&lt;=C79,"Desired lvl too low",
SUM(TIME_TO_RUSH_GEMS(
    XLOOKUP(C79+1, SEQUENCE(100,1,1,1), Offset, "N/F", 0, 1):
    XLOOKUP(Desired, SEQUENCE(100,1,1,1), Offset, "N/F", 0, 1)/Labspeed, IDS_LAB_GODLBOXED_COUNT()))))))</f>
        <v>Max Level</v>
      </c>
    </row>
    <row r="80">
      <c r="A80" s="458" t="s">
        <v>158</v>
      </c>
      <c r="B80" s="459" t="str">
        <f t="shared" si="1"/>
        <v/>
      </c>
      <c r="C80" s="470">
        <f>VLOOKUP($A80,MS_Labs_Array,2,FALSE)</f>
        <v>0</v>
      </c>
      <c r="D80" s="461">
        <f>VLOOKUP($A80,MS_Labs_Array,4,FALSE)</f>
        <v>20</v>
      </c>
      <c r="E80" s="462" t="str">
        <f t="shared" si="21"/>
        <v>T7 30</v>
      </c>
      <c r="F80" s="463">
        <f t="shared" si="17"/>
        <v>0.2116573601</v>
      </c>
      <c r="G80" s="464" t="str">
        <f t="shared" si="3"/>
        <v>0d  5h  4m</v>
      </c>
      <c r="H80" s="465">
        <f t="shared" si="4"/>
        <v>199000</v>
      </c>
      <c r="I80" s="465">
        <f t="shared" si="5"/>
        <v>226860</v>
      </c>
      <c r="J80" s="465" t="str">
        <f t="shared" si="6"/>
        <v>199 K</v>
      </c>
      <c r="K80" s="466" t="str">
        <f t="shared" si="7"/>
        <v>44.66 K/h</v>
      </c>
      <c r="L80" s="467">
        <f t="shared" si="8"/>
        <v>21</v>
      </c>
      <c r="M80" s="468" t="str">
        <f t="shared" si="18"/>
        <v>0d  5h 56m</v>
      </c>
      <c r="N80" s="465" t="str">
        <f t="shared" si="10"/>
        <v>226.86 K</v>
      </c>
      <c r="O80" s="467">
        <f t="shared" si="11"/>
        <v>24</v>
      </c>
      <c r="P80" s="471" t="str">
        <f>VLOOKUP($A80,MS_Labs_Array,3,FALSE)</f>
        <v/>
      </c>
      <c r="Q80" s="468">
        <f>IFERROR(__xludf.DUMMYFUNCTION("LET(
  Labspeed, IF(A80=""Labs Speed"", 1+'Master Sheet'!$BK$5, LAB_SPEED_TOTAL()),
  Match, MATCH(IF(ISNUMBER(SEARCH(""Mastery"",$A80)),""Card Mastery"",$A80),DVT_Laboratory!B$1:V$1,0)-1,
  Offset, INDEX(DVT_Laboratory!B$3:ZZ$102,,Match+1),
  Desired, IF"&amp;"(P80&lt;&gt;"""", P80,D80),
  IFS(
    Desired &gt; D80, ""Desired lvl too high"",
    AND(Desired = D80, OR(C80 = D80, C80 = ""Max"")), ""Max Level"",
    Desired = C80, ""OK Level"",
    Desired &lt; C80, ""Desired lvl too low"",
    TRUE, TO_PURE_NUMBER(
      SUM"&amp;"(
        XLOOKUP($C80 + 1, SEQUENCE(100, 1, 1, 1), Offset, ""N/F"", 0, 1): 
        XLOOKUP(Desired, SEQUENCE(100, 1, 1, 1), Offset, ""N/F"", 0, 1)
      ) / Labspeed
    ) /
    IF(AND(B80 &lt;&gt; """", $B$1 = ""All""), RIGHT(B80, 3), 1)
  )
)"),40.114100793388516)</f>
        <v>40.11410079</v>
      </c>
      <c r="R80" s="464" t="str">
        <f t="shared" si="12"/>
        <v>40d  2h 44m</v>
      </c>
      <c r="S80" s="465">
        <f t="array" ref="S80">LET(
  Match, MATCH(IF(ISNUMBER(SEARCH("Mastery",$A80)),"Card Mastery",$A80),DVT_Laboratory!B$1:V$1,0)-1,
  Offset, OFFSET(DVT_Laboratory!C$3,0,Match,100,1),
  Desired, IF(P80&lt;&gt;"", P80,D80),
IF(Desired&gt;D80,"Desired lvl too high",
IF(AND(Desired=D80,OR(C80=D80,C80="Max")),"Max Level",
IF(Desired=C80,"OK Level",
IF(Desired&lt;C80,"Desired lvl too low",
SUM(
XLOOKUP(C80+1,SEQUENCE(100,1,1,1),Offset,"N/F",0,1)
:XLOOKUP(Desired,SEQUENCE(100,1,1,1),Offset,"N/F",0,1))*(1-LAB_COIN_DISCOUNT()))))))</f>
        <v>10301650496</v>
      </c>
      <c r="T80" s="465" t="str">
        <f t="shared" si="13"/>
        <v>10.3 B</v>
      </c>
      <c r="U80" s="466" t="str">
        <f t="shared" si="14"/>
        <v>10.7 M/h</v>
      </c>
      <c r="V80" s="467">
        <f t="array" ref="V80">LET(
  Labspeed, IF(A80 ="Labs Speed", 1+'Master Sheet'!$BK$5, LAB_SPEED_TOTAL()),
  Match, MATCH(IF(ISNUMBER(SEARCH("Mastery",$A80)),"Card Mastery",$A80),DVT_Laboratory!B$1:V$1,0)-1,
  Offset, OFFSET(DVT_Laboratory!B$3,0,Match,100,1),
  Desired, IF(P80&lt;&gt;"", P80,D80),
IF(Desired&gt;D80,"Desired lvl too high",
IF(AND(Desired=D80,OR(C80=D80,C80="Max")),"Max Level",
IF(Desired&lt;=C80,"Desired lvl too low",
SUM(TIME_TO_RUSH_GEMS(
    XLOOKUP(C80+1, SEQUENCE(100,1,1,1), Offset, "N/F", 0, 1):
    XLOOKUP(Desired, SEQUENCE(100,1,1,1), Offset, "N/F", 0, 1)/Labspeed, IDS_LAB_GODLBOXED_COUNT()))))))</f>
        <v>3469</v>
      </c>
    </row>
    <row r="81">
      <c r="A81" s="458" t="s">
        <v>343</v>
      </c>
      <c r="B81" s="459" t="str">
        <f t="shared" si="1"/>
        <v/>
      </c>
      <c r="C81" s="470">
        <f>VLOOKUP($A81,MS_Labs_Array,2,FALSE)</f>
        <v>0</v>
      </c>
      <c r="D81" s="461">
        <f>VLOOKUP($A81,MS_Labs_Array,4,FALSE)</f>
        <v>25</v>
      </c>
      <c r="E81" s="462" t="str">
        <f t="shared" si="21"/>
        <v>T7 30</v>
      </c>
      <c r="F81" s="463">
        <f t="shared" si="17"/>
        <v>0.2116573601</v>
      </c>
      <c r="G81" s="464" t="str">
        <f t="shared" si="3"/>
        <v>0d  5h  4m</v>
      </c>
      <c r="H81" s="465">
        <f t="shared" si="4"/>
        <v>398000</v>
      </c>
      <c r="I81" s="465">
        <f t="shared" si="5"/>
        <v>684560</v>
      </c>
      <c r="J81" s="465" t="str">
        <f t="shared" si="6"/>
        <v>398 K</v>
      </c>
      <c r="K81" s="466" t="str">
        <f t="shared" si="7"/>
        <v>134.76 K/h</v>
      </c>
      <c r="L81" s="467">
        <f t="shared" si="8"/>
        <v>21</v>
      </c>
      <c r="M81" s="468" t="str">
        <f t="shared" si="18"/>
        <v>0d  7h 12m</v>
      </c>
      <c r="N81" s="465" t="str">
        <f t="shared" si="10"/>
        <v>684.56 K</v>
      </c>
      <c r="O81" s="467">
        <f t="shared" si="11"/>
        <v>29</v>
      </c>
      <c r="P81" s="471" t="str">
        <f>VLOOKUP($A81,MS_Labs_Array,3,FALSE)</f>
        <v/>
      </c>
      <c r="Q81" s="468">
        <f>IFERROR(__xludf.DUMMYFUNCTION("LET(
  Labspeed, IF(A81=""Labs Speed"", 1+'Master Sheet'!$BK$5, LAB_SPEED_TOTAL()),
  Match, MATCH(IF(ISNUMBER(SEARCH(""Mastery"",$A81)),""Card Mastery"",$A81),DVT_Laboratory!B$1:V$1,0)-1,
  Offset, INDEX(DVT_Laboratory!B$3:ZZ$102,,Match+1),
  Desired, IF"&amp;"(P81&lt;&gt;"""", P81,D81),
  IFS(
    Desired &gt; D81, ""Desired lvl too high"",
    AND(Desired = D81, OR(C81 = D81, C81 = ""Max"")), ""Max Level"",
    Desired = C81, ""OK Level"",
    Desired &lt; C81, ""Desired lvl too low"",
    TRUE, TO_PURE_NUMBER(
      SUM"&amp;"(
        XLOOKUP($C81 + 1, SEQUENCE(100, 1, 1, 1), Offset, ""N/F"", 0, 1): 
        XLOOKUP(Desired, SEQUENCE(100, 1, 1, 1), Offset, ""N/F"", 0, 1)
      ) / Labspeed
    ) /
    IF(AND(B81 &lt;&gt; """", $B$1 = ""All""), RIGHT(B81, 3), 1)
  )
)"),113.30341532717036)</f>
        <v>113.3034153</v>
      </c>
      <c r="R81" s="464" t="str">
        <f t="shared" si="12"/>
        <v>113d  7h 16m</v>
      </c>
      <c r="S81" s="465">
        <f t="array" ref="S81">LET(
  Match, MATCH(IF(ISNUMBER(SEARCH("Mastery",$A81)),"Card Mastery",$A81),DVT_Laboratory!B$1:V$1,0)-1,
  Offset, OFFSET(DVT_Laboratory!C$3,0,Match,100,1),
  Desired, IF(P81&lt;&gt;"", P81,D81),
IF(Desired&gt;D81,"Desired lvl too high",
IF(AND(Desired=D81,OR(C81=D81,C81="Max")),"Max Level",
IF(Desired=C81,"OK Level",
IF(Desired&lt;C81,"Desired lvl too low",
SUM(
XLOOKUP(C81+1,SEQUENCE(100,1,1,1),Offset,"N/F",0,1)
:XLOOKUP(Desired,SEQUENCE(100,1,1,1),Offset,"N/F",0,1))*(1-LAB_COIN_DISCOUNT()))))))</f>
        <v>99377487640</v>
      </c>
      <c r="T81" s="465" t="str">
        <f t="shared" si="13"/>
        <v>99.38 B</v>
      </c>
      <c r="U81" s="466" t="str">
        <f t="shared" si="14"/>
        <v>36.55 M/h</v>
      </c>
      <c r="V81" s="467">
        <f t="array" ref="V81">LET(
  Labspeed, IF(A81 ="Labs Speed", 1+'Master Sheet'!$BK$5, LAB_SPEED_TOTAL()),
  Match, MATCH(IF(ISNUMBER(SEARCH("Mastery",$A81)),"Card Mastery",$A81),DVT_Laboratory!B$1:V$1,0)-1,
  Offset, OFFSET(DVT_Laboratory!B$3,0,Match,100,1),
  Desired, IF(P81&lt;&gt;"", P81,D81),
IF(Desired&gt;D81,"Desired lvl too high",
IF(AND(Desired=D81,OR(C81=D81,C81="Max")),"Max Level",
IF(Desired&lt;=C81,"Desired lvl too low",
SUM(TIME_TO_RUSH_GEMS(
    XLOOKUP(C81+1, SEQUENCE(100,1,1,1), Offset, "N/F", 0, 1):
    XLOOKUP(Desired, SEQUENCE(100,1,1,1), Offset, "N/F", 0, 1)/Labspeed, IDS_LAB_GODLBOXED_COUNT()))))))</f>
        <v>9013</v>
      </c>
    </row>
    <row r="82">
      <c r="A82" s="458" t="s">
        <v>348</v>
      </c>
      <c r="B82" s="459" t="str">
        <f t="shared" si="1"/>
        <v/>
      </c>
      <c r="C82" s="470">
        <f>VLOOKUP($A82,MS_Labs_Array,2,FALSE)</f>
        <v>0</v>
      </c>
      <c r="D82" s="461">
        <f>VLOOKUP($A82,MS_Labs_Array,4,FALSE)</f>
        <v>6</v>
      </c>
      <c r="E82" s="462" t="str">
        <f t="shared" si="21"/>
        <v>T8 50</v>
      </c>
      <c r="F82" s="463">
        <f t="shared" si="17"/>
        <v>0.2118338883</v>
      </c>
      <c r="G82" s="464" t="str">
        <f t="shared" si="3"/>
        <v>0d  5h  5m</v>
      </c>
      <c r="H82" s="465">
        <f t="shared" si="4"/>
        <v>597000</v>
      </c>
      <c r="I82" s="465">
        <f t="shared" si="5"/>
        <v>1321360</v>
      </c>
      <c r="J82" s="465" t="str">
        <f t="shared" si="6"/>
        <v>597 K</v>
      </c>
      <c r="K82" s="466" t="str">
        <f t="shared" si="7"/>
        <v>259.9 K/h</v>
      </c>
      <c r="L82" s="467">
        <f t="shared" si="8"/>
        <v>21</v>
      </c>
      <c r="M82" s="468" t="str">
        <f t="shared" si="18"/>
        <v>0d 10h 44m</v>
      </c>
      <c r="N82" s="465" t="str">
        <f t="shared" si="10"/>
        <v>1.32 M</v>
      </c>
      <c r="O82" s="467">
        <f t="shared" si="11"/>
        <v>43</v>
      </c>
      <c r="P82" s="471" t="str">
        <f>VLOOKUP($A82,MS_Labs_Array,3,FALSE)</f>
        <v/>
      </c>
      <c r="Q82" s="468">
        <f>IFERROR(__xludf.DUMMYFUNCTION("LET(
  Labspeed, IF(A82=""Labs Speed"", 1+'Master Sheet'!$BK$5, LAB_SPEED_TOTAL()),
  Match, MATCH(IF(ISNUMBER(SEARCH(""Mastery"",$A82)),""Card Mastery"",$A82),DVT_Laboratory!B$1:V$1,0)-1,
  Offset, INDEX(DVT_Laboratory!B$3:ZZ$102,,Match+1),
  Desired, IF"&amp;"(P82&lt;&gt;"""", P82,D82),
  IFS(
    Desired &gt; D82, ""Desired lvl too high"",
    AND(Desired = D82, OR(C82 = D82, C82 = ""Max"")), ""Max Level"",
    Desired = C82, ""OK Level"",
    Desired &lt; C82, ""Desired lvl too low"",
    TRUE, TO_PURE_NUMBER(
      SUM"&amp;"(
        XLOOKUP($C82 + 1, SEQUENCE(100, 1, 1, 1), Offset, ""N/F"", 0, 1): 
        XLOOKUP(Desired, SEQUENCE(100, 1, 1, 1), Offset, ""N/F"", 0, 1)
      ) / Labspeed
    ) /
    IF(AND(B82 &lt;&gt; """", $B$1 = ""All""), RIGHT(B82, 3), 1)
  )
)"),5.035291525797129)</f>
        <v>5.035291526</v>
      </c>
      <c r="R82" s="464" t="str">
        <f t="shared" si="12"/>
        <v>5d  0h 50m</v>
      </c>
      <c r="S82" s="465">
        <f t="array" ref="S82">LET(
  Match, MATCH(IF(ISNUMBER(SEARCH("Mastery",$A82)),"Card Mastery",$A82),DVT_Laboratory!B$1:V$1,0)-1,
  Offset, OFFSET(DVT_Laboratory!C$3,0,Match,100,1),
  Desired, IF(P82&lt;&gt;"", P82,D82),
IF(Desired&gt;D82,"Desired lvl too high",
IF(AND(Desired=D82,OR(C82=D82,C82="Max")),"Max Level",
IF(Desired=C82,"OK Level",
IF(Desired&lt;C82,"Desired lvl too low",
SUM(
XLOOKUP(C82+1,SEQUENCE(100,1,1,1),Offset,"N/F",0,1)
:XLOOKUP(Desired,SEQUENCE(100,1,1,1),Offset,"N/F",0,1))*(1-LAB_COIN_DISCOUNT()))))))</f>
        <v>46964000</v>
      </c>
      <c r="T82" s="465" t="str">
        <f t="shared" si="13"/>
        <v>46.96 M</v>
      </c>
      <c r="U82" s="466" t="str">
        <f t="shared" si="14"/>
        <v>388.62 K/h</v>
      </c>
      <c r="V82" s="467">
        <f t="array" ref="V82">LET(
  Labspeed, IF(A82 ="Labs Speed", 1+'Master Sheet'!$BK$5, LAB_SPEED_TOTAL()),
  Match, MATCH(IF(ISNUMBER(SEARCH("Mastery",$A82)),"Card Mastery",$A82),DVT_Laboratory!B$1:V$1,0)-1,
  Offset, OFFSET(DVT_Laboratory!B$3,0,Match,100,1),
  Desired, IF(P82&lt;&gt;"", P82,D82),
IF(Desired&gt;D82,"Desired lvl too high",
IF(AND(Desired=D82,OR(C82=D82,C82="Max")),"Max Level",
IF(Desired&lt;=C82,"Desired lvl too low",
SUM(TIME_TO_RUSH_GEMS(
    XLOOKUP(C82+1, SEQUENCE(100,1,1,1), Offset, "N/F", 0, 1):
    XLOOKUP(Desired, SEQUENCE(100,1,1,1), Offset, "N/F", 0, 1)/Labspeed, IDS_LAB_GODLBOXED_COUNT()))))))</f>
        <v>471</v>
      </c>
    </row>
    <row r="83">
      <c r="A83" s="458" t="s">
        <v>184</v>
      </c>
      <c r="B83" s="459" t="str">
        <f t="shared" si="1"/>
        <v/>
      </c>
      <c r="C83" s="470">
        <f>VLOOKUP($A83,MS_Labs_Array,2,FALSE)</f>
        <v>0</v>
      </c>
      <c r="D83" s="461">
        <f>VLOOKUP($A83,MS_Labs_Array,4,FALSE)</f>
        <v>20</v>
      </c>
      <c r="E83" s="462" t="str">
        <f t="shared" si="21"/>
        <v>T7 30</v>
      </c>
      <c r="F83" s="463">
        <f t="shared" si="17"/>
        <v>0.4118403846</v>
      </c>
      <c r="G83" s="464" t="str">
        <f t="shared" si="3"/>
        <v>0d  9h 53m</v>
      </c>
      <c r="H83" s="465">
        <f t="shared" si="4"/>
        <v>636800</v>
      </c>
      <c r="I83" s="465">
        <f t="shared" si="5"/>
        <v>664660</v>
      </c>
      <c r="J83" s="465" t="str">
        <f t="shared" si="6"/>
        <v>636.8 K</v>
      </c>
      <c r="K83" s="466" t="str">
        <f t="shared" si="7"/>
        <v>67.24 K/h</v>
      </c>
      <c r="L83" s="467">
        <f t="shared" si="8"/>
        <v>40</v>
      </c>
      <c r="M83" s="468" t="str">
        <f t="shared" si="18"/>
        <v>0d 10h 44m</v>
      </c>
      <c r="N83" s="465" t="str">
        <f t="shared" si="10"/>
        <v>664.66 K</v>
      </c>
      <c r="O83" s="467">
        <f t="shared" si="11"/>
        <v>43</v>
      </c>
      <c r="P83" s="471" t="str">
        <f>VLOOKUP($A83,MS_Labs_Array,3,FALSE)</f>
        <v/>
      </c>
      <c r="Q83" s="468">
        <f>IFERROR(__xludf.DUMMYFUNCTION("LET(
  Labspeed, IF(A83=""Labs Speed"", 1+'Master Sheet'!$BK$5, LAB_SPEED_TOTAL()),
  Match, MATCH(IF(ISNUMBER(SEARCH(""Mastery"",$A83)),""Card Mastery"",$A83),DVT_Laboratory!B$1:V$1,0)-1,
  Offset, INDEX(DVT_Laboratory!B$3:ZZ$102,,Match+1),
  Desired, IF"&amp;"(P83&lt;&gt;"""", P83,D83),
  IFS(
    Desired &gt; D83, ""Desired lvl too high"",
    AND(Desired = D83, OR(C83 = D83, C83 = ""Max"")), ""Max Level"",
    Desired = C83, ""OK Level"",
    Desired &lt; C83, ""Desired lvl too low"",
    TRUE, TO_PURE_NUMBER(
      SUM"&amp;"(
        XLOOKUP($C83 + 1, SEQUENCE(100, 1, 1, 1), Offset, ""N/F"", 0, 1): 
        XLOOKUP(Desired, SEQUENCE(100, 1, 1, 1), Offset, ""N/F"", 0, 1)
      ) / Labspeed
    ) /
    IF(AND(B83 &lt;&gt; """", $B$1 = ""All""), RIGHT(B83, 3), 1)
  )
)"),44.11528988761505)</f>
        <v>44.11528989</v>
      </c>
      <c r="R83" s="464" t="str">
        <f t="shared" si="12"/>
        <v>44d  2h 46m</v>
      </c>
      <c r="S83" s="465">
        <f t="array" ref="S83">LET(
  Match, MATCH(IF(ISNUMBER(SEARCH("Mastery",$A83)),"Card Mastery",$A83),DVT_Laboratory!B$1:V$1,0)-1,
  Offset, OFFSET(DVT_Laboratory!C$3,0,Match,100,1),
  Desired, IF(P83&lt;&gt;"", P83,D83),
IF(Desired&gt;D83,"Desired lvl too high",
IF(AND(Desired=D83,OR(C83=D83,C83="Max")),"Max Level",
IF(Desired=C83,"OK Level",
IF(Desired&lt;C83,"Desired lvl too low",
SUM(
XLOOKUP(C83+1,SEQUENCE(100,1,1,1),Offset,"N/F",0,1)
:XLOOKUP(Desired,SEQUENCE(100,1,1,1),Offset,"N/F",0,1))*(1-LAB_COIN_DISCOUNT()))))))</f>
        <v>10316179900</v>
      </c>
      <c r="T83" s="465" t="str">
        <f t="shared" si="13"/>
        <v>10.32 B</v>
      </c>
      <c r="U83" s="466" t="str">
        <f t="shared" si="14"/>
        <v>9.74 M/h</v>
      </c>
      <c r="V83" s="467">
        <f t="array" ref="V83">LET(
  Labspeed, IF(A83 ="Labs Speed", 1+'Master Sheet'!$BK$5, LAB_SPEED_TOTAL()),
  Match, MATCH(IF(ISNUMBER(SEARCH("Mastery",$A83)),"Card Mastery",$A83),DVT_Laboratory!B$1:V$1,0)-1,
  Offset, OFFSET(DVT_Laboratory!B$3,0,Match,100,1),
  Desired, IF(P83&lt;&gt;"", P83,D83),
IF(Desired&gt;D83,"Desired lvl too high",
IF(AND(Desired=D83,OR(C83=D83,C83="Max")),"Max Level",
IF(Desired&lt;=C83,"Desired lvl too low",
SUM(TIME_TO_RUSH_GEMS(
    XLOOKUP(C83+1, SEQUENCE(100,1,1,1), Offset, "N/F", 0, 1):
    XLOOKUP(Desired, SEQUENCE(100,1,1,1), Offset, "N/F", 0, 1)/Labspeed, IDS_LAB_GODLBOXED_COUNT()))))))</f>
        <v>3815</v>
      </c>
    </row>
    <row r="84">
      <c r="A84" s="458" t="s">
        <v>173</v>
      </c>
      <c r="B84" s="459" t="str">
        <f t="shared" si="1"/>
        <v/>
      </c>
      <c r="C84" s="470">
        <f>VLOOKUP($A84,MS_Labs_Array,2,FALSE)</f>
        <v>0</v>
      </c>
      <c r="D84" s="461">
        <f>VLOOKUP($A84,MS_Labs_Array,4,FALSE)</f>
        <v>1</v>
      </c>
      <c r="E84" s="462" t="str">
        <f t="shared" si="21"/>
        <v>T7 30</v>
      </c>
      <c r="F84" s="463">
        <f t="shared" si="17"/>
        <v>0.2370774267</v>
      </c>
      <c r="G84" s="464" t="str">
        <f t="shared" si="3"/>
        <v>0d  5h 41m</v>
      </c>
      <c r="H84" s="465">
        <f t="shared" si="4"/>
        <v>716400</v>
      </c>
      <c r="I84" s="465" t="str">
        <f t="shared" si="5"/>
        <v>Max Level</v>
      </c>
      <c r="J84" s="465" t="str">
        <f t="shared" si="6"/>
        <v>716.4 K</v>
      </c>
      <c r="K84" s="466" t="str">
        <f t="shared" si="7"/>
        <v/>
      </c>
      <c r="L84" s="467">
        <f t="shared" si="8"/>
        <v>23</v>
      </c>
      <c r="M84" s="468" t="str">
        <f t="shared" si="18"/>
        <v>Max Level</v>
      </c>
      <c r="N84" s="465" t="str">
        <f t="shared" si="10"/>
        <v>Max Level</v>
      </c>
      <c r="O84" s="467" t="str">
        <f t="shared" si="11"/>
        <v>Max Level</v>
      </c>
      <c r="P84" s="471" t="str">
        <f>VLOOKUP($A84,MS_Labs_Array,3,FALSE)</f>
        <v/>
      </c>
      <c r="Q84" s="468">
        <f>IFERROR(__xludf.DUMMYFUNCTION("LET(
  Labspeed, IF(A84=""Labs Speed"", 1+'Master Sheet'!$BK$5, LAB_SPEED_TOTAL()),
  Match, MATCH(IF(ISNUMBER(SEARCH(""Mastery"",$A84)),""Card Mastery"",$A84),DVT_Laboratory!B$1:V$1,0)-1,
  Offset, INDEX(DVT_Laboratory!B$3:ZZ$102,,Match+1),
  Desired, IF"&amp;"(P84&lt;&gt;"""", P84,D84),
  IFS(
    Desired &gt; D84, ""Desired lvl too high"",
    AND(Desired = D84, OR(C84 = D84, C84 = ""Max"")), ""Max Level"",
    Desired = C84, ""OK Level"",
    Desired &lt; C84, ""Desired lvl too low"",
    TRUE, TO_PURE_NUMBER(
      SUM"&amp;"(
        XLOOKUP($C84 + 1, SEQUENCE(100, 1, 1, 1), Offset, ""N/F"", 0, 1): 
        XLOOKUP(Desired, SEQUENCE(100, 1, 1, 1), Offset, ""N/F"", 0, 1)
      ) / Labspeed
    ) /
    IF(AND(B84 &lt;&gt; """", $B$1 = ""All""), RIGHT(B84, 3), 1)
  )
)"),0.23707742669841347)</f>
        <v>0.2370774267</v>
      </c>
      <c r="R84" s="464" t="str">
        <f t="shared" si="12"/>
        <v>0d  5h 41m</v>
      </c>
      <c r="S84" s="465">
        <f t="array" ref="S84">LET(
  Match, MATCH(IF(ISNUMBER(SEARCH("Mastery",$A84)),"Card Mastery",$A84),DVT_Laboratory!B$1:V$1,0)-1,
  Offset, OFFSET(DVT_Laboratory!C$3,0,Match,100,1),
  Desired, IF(P84&lt;&gt;"", P84,D84),
IF(Desired&gt;D84,"Desired lvl too high",
IF(AND(Desired=D84,OR(C84=D84,C84="Max")),"Max Level",
IF(Desired=C84,"OK Level",
IF(Desired&lt;C84,"Desired lvl too low",
SUM(
XLOOKUP(C84+1,SEQUENCE(100,1,1,1),Offset,"N/F",0,1)
:XLOOKUP(Desired,SEQUENCE(100,1,1,1),Offset,"N/F",0,1))*(1-LAB_COIN_DISCOUNT()))))))</f>
        <v>716400</v>
      </c>
      <c r="T84" s="465" t="str">
        <f t="shared" si="13"/>
        <v>716.4 K</v>
      </c>
      <c r="U84" s="466" t="str">
        <f t="shared" si="14"/>
        <v>125.91 K/h</v>
      </c>
      <c r="V84" s="467">
        <f t="array" ref="V84">LET(
  Labspeed, IF(A84 ="Labs Speed", 1+'Master Sheet'!$BK$5, LAB_SPEED_TOTAL()),
  Match, MATCH(IF(ISNUMBER(SEARCH("Mastery",$A84)),"Card Mastery",$A84),DVT_Laboratory!B$1:V$1,0)-1,
  Offset, OFFSET(DVT_Laboratory!B$3,0,Match,100,1),
  Desired, IF(P84&lt;&gt;"", P84,D84),
IF(Desired&gt;D84,"Desired lvl too high",
IF(AND(Desired=D84,OR(C84=D84,C84="Max")),"Max Level",
IF(Desired&lt;=C84,"Desired lvl too low",
SUM(TIME_TO_RUSH_GEMS(
    XLOOKUP(C84+1, SEQUENCE(100,1,1,1), Offset, "N/F", 0, 1):
    XLOOKUP(Desired, SEQUENCE(100,1,1,1), Offset, "N/F", 0, 1)/Labspeed, IDS_LAB_GODLBOXED_COUNT()))))))</f>
        <v>23</v>
      </c>
    </row>
    <row r="85">
      <c r="A85" s="458" t="s">
        <v>346</v>
      </c>
      <c r="B85" s="459" t="str">
        <f t="shared" si="1"/>
        <v/>
      </c>
      <c r="C85" s="470">
        <f>VLOOKUP($A85,MS_Labs_Array,2,FALSE)</f>
        <v>0</v>
      </c>
      <c r="D85" s="461">
        <f>VLOOKUP($A85,MS_Labs_Array,4,FALSE)</f>
        <v>1</v>
      </c>
      <c r="E85" s="462" t="str">
        <f t="shared" si="21"/>
        <v>T8 50</v>
      </c>
      <c r="F85" s="463">
        <f t="shared" si="17"/>
        <v>1.694494578</v>
      </c>
      <c r="G85" s="464" t="str">
        <f t="shared" si="3"/>
        <v>1d 16h 40m</v>
      </c>
      <c r="H85" s="465">
        <f t="shared" si="4"/>
        <v>1194000</v>
      </c>
      <c r="I85" s="465" t="str">
        <f t="shared" si="5"/>
        <v>Max Level</v>
      </c>
      <c r="J85" s="465" t="str">
        <f t="shared" si="6"/>
        <v>1.19 M</v>
      </c>
      <c r="K85" s="466" t="str">
        <f t="shared" si="7"/>
        <v/>
      </c>
      <c r="L85" s="467">
        <f t="shared" si="8"/>
        <v>152</v>
      </c>
      <c r="M85" s="468" t="str">
        <f t="shared" si="18"/>
        <v>Max Level</v>
      </c>
      <c r="N85" s="465" t="str">
        <f t="shared" si="10"/>
        <v>Max Level</v>
      </c>
      <c r="O85" s="467" t="str">
        <f t="shared" si="11"/>
        <v>Max Level</v>
      </c>
      <c r="P85" s="471" t="str">
        <f>VLOOKUP($A85,MS_Labs_Array,3,FALSE)</f>
        <v/>
      </c>
      <c r="Q85" s="468">
        <f>IFERROR(__xludf.DUMMYFUNCTION("LET(
  Labspeed, IF(A85=""Labs Speed"", 1+'Master Sheet'!$BK$5, LAB_SPEED_TOTAL()),
  Match, MATCH(IF(ISNUMBER(SEARCH(""Mastery"",$A85)),""Card Mastery"",$A85),DVT_Laboratory!B$1:V$1,0)-1,
  Offset, INDEX(DVT_Laboratory!B$3:ZZ$102,,Match+1),
  Desired, IF"&amp;"(P85&lt;&gt;"""", P85,D85),
  IFS(
    Desired &gt; D85, ""Desired lvl too high"",
    AND(Desired = D85, OR(C85 = D85, C85 = ""Max"")), ""Max Level"",
    Desired = C85, ""OK Level"",
    Desired &lt; C85, ""Desired lvl too low"",
    TRUE, TO_PURE_NUMBER(
      SUM"&amp;"(
        XLOOKUP($C85 + 1, SEQUENCE(100, 1, 1, 1), Offset, ""N/F"", 0, 1): 
        XLOOKUP(Desired, SEQUENCE(100, 1, 1, 1), Offset, ""N/F"", 0, 1)
      ) / Labspeed
    ) /
    IF(AND(B85 &lt;&gt; """", $B$1 = ""All""), RIGHT(B85, 3), 1)
  )
)"),1.6944945784646843)</f>
        <v>1.694494578</v>
      </c>
      <c r="R85" s="464" t="str">
        <f t="shared" si="12"/>
        <v>1d 16h 40m</v>
      </c>
      <c r="S85" s="465">
        <f t="array" ref="S85">LET(
  Match, MATCH(IF(ISNUMBER(SEARCH("Mastery",$A85)),"Card Mastery",$A85),DVT_Laboratory!B$1:V$1,0)-1,
  Offset, OFFSET(DVT_Laboratory!C$3,0,Match,100,1),
  Desired, IF(P85&lt;&gt;"", P85,D85),
IF(Desired&gt;D85,"Desired lvl too high",
IF(AND(Desired=D85,OR(C85=D85,C85="Max")),"Max Level",
IF(Desired=C85,"OK Level",
IF(Desired&lt;C85,"Desired lvl too low",
SUM(
XLOOKUP(C85+1,SEQUENCE(100,1,1,1),Offset,"N/F",0,1)
:XLOOKUP(Desired,SEQUENCE(100,1,1,1),Offset,"N/F",0,1))*(1-LAB_COIN_DISCOUNT()))))))</f>
        <v>1194000</v>
      </c>
      <c r="T85" s="465" t="str">
        <f t="shared" si="13"/>
        <v>1.19 M</v>
      </c>
      <c r="U85" s="466" t="str">
        <f t="shared" si="14"/>
        <v>29.36 K/h</v>
      </c>
      <c r="V85" s="467">
        <f t="array" ref="V85">LET(
  Labspeed, IF(A85 ="Labs Speed", 1+'Master Sheet'!$BK$5, LAB_SPEED_TOTAL()),
  Match, MATCH(IF(ISNUMBER(SEARCH("Mastery",$A85)),"Card Mastery",$A85),DVT_Laboratory!B$1:V$1,0)-1,
  Offset, OFFSET(DVT_Laboratory!B$3,0,Match,100,1),
  Desired, IF(P85&lt;&gt;"", P85,D85),
IF(Desired&gt;D85,"Desired lvl too high",
IF(AND(Desired=D85,OR(C85=D85,C85="Max")),"Max Level",
IF(Desired&lt;=C85,"Desired lvl too low",
SUM(TIME_TO_RUSH_GEMS(
    XLOOKUP(C85+1, SEQUENCE(100,1,1,1), Offset, "N/F", 0, 1):
    XLOOKUP(Desired, SEQUENCE(100,1,1,1), Offset, "N/F", 0, 1)/Labspeed, IDS_LAB_GODLBOXED_COUNT()))))))</f>
        <v>152</v>
      </c>
    </row>
    <row r="86">
      <c r="A86" s="472" t="s">
        <v>362</v>
      </c>
      <c r="B86" s="459" t="str">
        <f t="shared" si="1"/>
        <v/>
      </c>
      <c r="C86" s="470">
        <f>VLOOKUP($A86,MS_Labs_Array,2,FALSE)</f>
        <v>1</v>
      </c>
      <c r="D86" s="461">
        <f>VLOOKUP($A86,MS_Labs_Array,4,FALSE)</f>
        <v>1</v>
      </c>
      <c r="E86" s="462" t="str">
        <f t="shared" si="21"/>
        <v>T14 20</v>
      </c>
      <c r="F86" s="463" t="str">
        <f t="shared" si="17"/>
        <v>Max Level</v>
      </c>
      <c r="G86" s="464" t="str">
        <f t="shared" si="3"/>
        <v>Max Level</v>
      </c>
      <c r="H86" s="465" t="str">
        <f t="shared" si="4"/>
        <v>Max Level</v>
      </c>
      <c r="I86" s="465">
        <f t="shared" si="5"/>
        <v>0</v>
      </c>
      <c r="J86" s="465" t="str">
        <f t="shared" si="6"/>
        <v>Max Level</v>
      </c>
      <c r="K86" s="466" t="str">
        <f t="shared" si="7"/>
        <v/>
      </c>
      <c r="L86" s="467" t="str">
        <f t="shared" si="8"/>
        <v>Max Level</v>
      </c>
      <c r="M86" s="468" t="str">
        <f t="shared" si="18"/>
        <v>Max Level</v>
      </c>
      <c r="N86" s="465" t="str">
        <f t="shared" si="10"/>
        <v>Max Level</v>
      </c>
      <c r="O86" s="467" t="str">
        <f t="shared" si="11"/>
        <v>Max Level</v>
      </c>
      <c r="P86" s="471" t="str">
        <f>VLOOKUP($A86,MS_Labs_Array,3,FALSE)</f>
        <v/>
      </c>
      <c r="Q86" s="468" t="str">
        <f>IFERROR(__xludf.DUMMYFUNCTION("LET(
  Labspeed, IF(A86=""Labs Speed"", 1+'Master Sheet'!$BK$5, LAB_SPEED_TOTAL()),
  Match, MATCH(IF(ISNUMBER(SEARCH(""Mastery"",$A86)),""Card Mastery"",$A86),DVT_Laboratory!B$1:V$1,0)-1,
  Offset, INDEX(DVT_Laboratory!B$3:ZZ$102,,Match+1),
  Desired, IF"&amp;"(P86&lt;&gt;"""", P86,D86),
  IFS(
    Desired &gt; D86, ""Desired lvl too high"",
    AND(Desired = D86, OR(C86 = D86, C86 = ""Max"")), ""Max Level"",
    Desired = C86, ""OK Level"",
    Desired &lt; C86, ""Desired lvl too low"",
    TRUE, TO_PURE_NUMBER(
      SUM"&amp;"(
        XLOOKUP($C86 + 1, SEQUENCE(100, 1, 1, 1), Offset, ""N/F"", 0, 1): 
        XLOOKUP(Desired, SEQUENCE(100, 1, 1, 1), Offset, ""N/F"", 0, 1)
      ) / Labspeed
    ) /
    IF(AND(B86 &lt;&gt; """", $B$1 = ""All""), RIGHT(B86, 3), 1)
  )
)"),"Max Level")</f>
        <v>Max Level</v>
      </c>
      <c r="R86" s="464" t="str">
        <f t="shared" si="12"/>
        <v>Max Level</v>
      </c>
      <c r="S86" s="465" t="str">
        <f t="array" ref="S86">LET(
  Match, MATCH(IF(ISNUMBER(SEARCH("Mastery",$A86)),"Card Mastery",$A86),DVT_Laboratory!B$1:V$1,0)-1,
  Offset, OFFSET(DVT_Laboratory!C$3,0,Match,100,1),
  Desired, IF(P86&lt;&gt;"", P86,D86),
IF(Desired&gt;D86,"Desired lvl too high",
IF(AND(Desired=D86,OR(C86=D86,C86="Max")),"Max Level",
IF(Desired=C86,"OK Level",
IF(Desired&lt;C86,"Desired lvl too low",
SUM(
XLOOKUP(C86+1,SEQUENCE(100,1,1,1),Offset,"N/F",0,1)
:XLOOKUP(Desired,SEQUENCE(100,1,1,1),Offset,"N/F",0,1))*(1-LAB_COIN_DISCOUNT()))))))</f>
        <v>Max Level</v>
      </c>
      <c r="T86" s="465" t="str">
        <f t="shared" si="13"/>
        <v>Max Level</v>
      </c>
      <c r="U86" s="466" t="str">
        <f t="shared" si="14"/>
        <v/>
      </c>
      <c r="V86" s="467" t="str">
        <f t="array" ref="V86">LET(
  Labspeed, IF(A86 ="Labs Speed", 1+'Master Sheet'!$BK$5, LAB_SPEED_TOTAL()),
  Match, MATCH(IF(ISNUMBER(SEARCH("Mastery",$A86)),"Card Mastery",$A86),DVT_Laboratory!B$1:V$1,0)-1,
  Offset, OFFSET(DVT_Laboratory!B$3,0,Match,100,1),
  Desired, IF(P86&lt;&gt;"", P86,D86),
IF(Desired&gt;D86,"Desired lvl too high",
IF(AND(Desired=D86,OR(C86=D86,C86="Max")),"Max Level",
IF(Desired&lt;=C86,"Desired lvl too low",
SUM(TIME_TO_RUSH_GEMS(
    XLOOKUP(C86+1, SEQUENCE(100,1,1,1), Offset, "N/F", 0, 1):
    XLOOKUP(Desired, SEQUENCE(100,1,1,1), Offset, "N/F", 0, 1)/Labspeed, IDS_LAB_GODLBOXED_COUNT()))))))</f>
        <v>Max Level</v>
      </c>
    </row>
    <row r="87">
      <c r="A87" s="472" t="s">
        <v>364</v>
      </c>
      <c r="B87" s="459" t="str">
        <f t="shared" si="1"/>
        <v/>
      </c>
      <c r="C87" s="470">
        <f>VLOOKUP($A87,MS_Labs_Array,2,FALSE)</f>
        <v>0</v>
      </c>
      <c r="D87" s="462">
        <f>VLOOKUP($A87,MS_Labs_Array,4,FALSE)</f>
        <v>7</v>
      </c>
      <c r="E87" s="462" t="str">
        <f t="shared" si="21"/>
        <v>T14 60</v>
      </c>
      <c r="F87" s="463">
        <f t="shared" si="17"/>
        <v>1.323961802</v>
      </c>
      <c r="G87" s="464" t="str">
        <f t="shared" si="3"/>
        <v>1d  7h 46m</v>
      </c>
      <c r="H87" s="465">
        <f t="shared" si="4"/>
        <v>437800000000</v>
      </c>
      <c r="I87" s="465">
        <f t="shared" si="5"/>
        <v>835800000000</v>
      </c>
      <c r="J87" s="465" t="str">
        <f t="shared" si="6"/>
        <v>437.8 B</v>
      </c>
      <c r="K87" s="466" t="str">
        <f t="shared" si="7"/>
        <v>26.3 B/h</v>
      </c>
      <c r="L87" s="467">
        <f t="shared" si="8"/>
        <v>122</v>
      </c>
      <c r="M87" s="468" t="str">
        <f t="shared" si="18"/>
        <v>1d 16h 15m</v>
      </c>
      <c r="N87" s="465" t="str">
        <f t="shared" si="10"/>
        <v>835.8 B</v>
      </c>
      <c r="O87" s="467">
        <f t="shared" si="11"/>
        <v>150</v>
      </c>
      <c r="P87" s="471" t="str">
        <f>VLOOKUP($A87,MS_Labs_Array,3,FALSE)</f>
        <v/>
      </c>
      <c r="Q87" s="468">
        <f>IFERROR(__xludf.DUMMYFUNCTION("LET(
  Labspeed, IF(A87=""Labs Speed"", 1+'Master Sheet'!$BK$5, LAB_SPEED_TOTAL()),
  Match, MATCH(IF(ISNUMBER(SEARCH(""Mastery"",$A87)),""Card Mastery"",$A87),DVT_Laboratory!B$1:V$1,0)-1,
  Offset, INDEX(DVT_Laboratory!B$3:ZZ$102,,Match+1),
  Desired, IF"&amp;"(P87&lt;&gt;"""", P87,D87),
  IFS(
    Desired &gt; D87, ""Desired lvl too high"",
    AND(Desired = D87, OR(C87 = D87, C87 = ""Max"")), ""Max Level"",
    Desired = C87, ""OK Level"",
    Desired &lt; C87, ""Desired lvl too low"",
    TRUE, TO_PURE_NUMBER(
      SUM"&amp;"(
        XLOOKUP($C87 + 1, SEQUENCE(100, 1, 1, 1), Offset, ""N/F"", 0, 1): 
        XLOOKUP(Desired, SEQUENCE(100, 1, 1, 1), Offset, ""N/F"", 0, 1)
      ) / Labspeed
    ) /
    IF(AND(B87 &lt;&gt; """", $B$1 = ""All""), RIGHT(B87, 3), 1)
  )
)"),30.515745495234675)</f>
        <v>30.5157455</v>
      </c>
      <c r="R87" s="464" t="str">
        <f t="shared" si="12"/>
        <v>30d 12h 22m</v>
      </c>
      <c r="S87" s="465">
        <f t="array" ref="S87">LET(
  Match, MATCH(IF(ISNUMBER(SEARCH("Mastery",$A87)),"Card Mastery",$A87),DVT_Laboratory!B$1:V$1,0)-1,
  Offset, OFFSET(DVT_Laboratory!C$3,0,Match,100,1),
  Desired, IF(P87&lt;&gt;"", P87,D87),
IF(Desired&gt;D87,"Desired lvl too high",
IF(AND(Desired=D87,OR(C87=D87,C87="Max")),"Max Level",
IF(Desired=C87,"OK Level",
IF(Desired&lt;C87,"Desired lvl too low",
SUM(
XLOOKUP(C87+1,SEQUENCE(100,1,1,1),Offset,"N/F",0,1)
:XLOOKUP(Desired,SEQUENCE(100,1,1,1),Offset,"N/F",0,1))*(1-LAB_COIN_DISCOUNT()))))))</f>
        <v>11486280000000</v>
      </c>
      <c r="T87" s="465" t="str">
        <f t="shared" si="13"/>
        <v>11.49 T</v>
      </c>
      <c r="U87" s="466" t="str">
        <f t="shared" si="14"/>
        <v>15.68 B/h</v>
      </c>
      <c r="V87" s="467">
        <f t="array" ref="V87">LET(
  Labspeed, IF(A87 ="Labs Speed", 1+'Master Sheet'!$BK$5, LAB_SPEED_TOTAL()),
  Match, MATCH(IF(ISNUMBER(SEARCH("Mastery",$A87)),"Card Mastery",$A87),DVT_Laboratory!B$1:V$1,0)-1,
  Offset, OFFSET(DVT_Laboratory!B$3,0,Match,100,1),
  Desired, IF(P87&lt;&gt;"", P87,D87),
IF(Desired&gt;D87,"Desired lvl too high",
IF(AND(Desired=D87,OR(C87=D87,C87="Max")),"Max Level",
IF(Desired&lt;=C87,"Desired lvl too low",
SUM(TIME_TO_RUSH_GEMS(
    XLOOKUP(C87+1, SEQUENCE(100,1,1,1), Offset, "N/F", 0, 1):
    XLOOKUP(Desired, SEQUENCE(100,1,1,1), Offset, "N/F", 0, 1)/Labspeed, IDS_LAB_GODLBOXED_COUNT()))))))</f>
        <v>2474</v>
      </c>
    </row>
    <row r="88">
      <c r="A88" s="472" t="s">
        <v>366</v>
      </c>
      <c r="B88" s="459" t="str">
        <f t="shared" si="1"/>
        <v/>
      </c>
      <c r="C88" s="470">
        <f>VLOOKUP($A88,MS_Labs_Array,2,FALSE)</f>
        <v>0</v>
      </c>
      <c r="D88" s="462">
        <f>VLOOKUP($A88,MS_Labs_Array,4,FALSE)</f>
        <v>30</v>
      </c>
      <c r="E88" s="462" t="str">
        <f t="shared" si="21"/>
        <v>T16 60</v>
      </c>
      <c r="F88" s="463">
        <f t="shared" si="17"/>
        <v>2.118338883</v>
      </c>
      <c r="G88" s="464" t="str">
        <f t="shared" si="3"/>
        <v>2d  2h 50m</v>
      </c>
      <c r="H88" s="465">
        <f t="shared" si="4"/>
        <v>79600000000</v>
      </c>
      <c r="I88" s="465">
        <f t="shared" si="5"/>
        <v>119400000000</v>
      </c>
      <c r="J88" s="465" t="str">
        <f t="shared" si="6"/>
        <v>79.6 B</v>
      </c>
      <c r="K88" s="466" t="str">
        <f t="shared" si="7"/>
        <v>2.35 B/h</v>
      </c>
      <c r="L88" s="467">
        <f t="shared" si="8"/>
        <v>186</v>
      </c>
      <c r="M88" s="468" t="str">
        <f t="shared" si="18"/>
        <v>2d  8h 56m</v>
      </c>
      <c r="N88" s="465" t="str">
        <f t="shared" si="10"/>
        <v>119.4 B</v>
      </c>
      <c r="O88" s="467">
        <f t="shared" si="11"/>
        <v>207</v>
      </c>
      <c r="P88" s="471" t="str">
        <f>VLOOKUP($A88,MS_Labs_Array,3,FALSE)</f>
        <v/>
      </c>
      <c r="Q88" s="468">
        <f>IFERROR(__xludf.DUMMYFUNCTION("LET(
  Labspeed, IF(A88=""Labs Speed"", 1+'Master Sheet'!$BK$5, LAB_SPEED_TOTAL()),
  Match, MATCH(IF(ISNUMBER(SEARCH(""Mastery"",$A88)),""Card Mastery"",$A88),DVT_Laboratory!B$1:V$1,0)-1,
  Offset, INDEX(DVT_Laboratory!B$3:ZZ$102,,Match+1),
  Desired, IF"&amp;"(P88&lt;&gt;"""", P88,D88),
  IFS(
    Desired &gt; D88, ""Desired lvl too high"",
    AND(Desired = D88, OR(C88 = D88, C88 = ""Max"")), ""Max Level"",
    Desired = C88, ""OK Level"",
    Desired &lt; C88, ""Desired lvl too low"",
    TRUE, TO_PURE_NUMBER(
      SUM"&amp;"(
        XLOOKUP($C88 + 1, SEQUENCE(100, 1, 1, 1), Offset, ""N/F"", 0, 1): 
        XLOOKUP(Desired, SEQUENCE(100, 1, 1, 1), Offset, ""N/F"", 0, 1)
      ) / Labspeed
    ) /
    IF(AND(B88 &lt;&gt; """", $B$1 = ""All""), RIGHT(B88, 3), 1)
  )
)"),511.22438928289995)</f>
        <v>511.2243893</v>
      </c>
      <c r="R88" s="464" t="str">
        <f t="shared" si="12"/>
        <v>511d  5h 23m</v>
      </c>
      <c r="S88" s="465">
        <f t="array" ref="S88">LET(
  Match, MATCH(IF(ISNUMBER(SEARCH("Mastery",$A88)),"Card Mastery",$A88),DVT_Laboratory!B$1:V$1,0)-1,
  Offset, OFFSET(DVT_Laboratory!C$3,0,Match,100,1),
  Desired, IF(P88&lt;&gt;"", P88,D88),
IF(Desired&gt;D88,"Desired lvl too high",
IF(AND(Desired=D88,OR(C88=D88,C88="Max")),"Max Level",
IF(Desired=C88,"OK Level",
IF(Desired&lt;C88,"Desired lvl too low",
SUM(
XLOOKUP(C88+1,SEQUENCE(100,1,1,1),Offset,"N/F",0,1)
:XLOOKUP(Desired,SEQUENCE(100,1,1,1),Offset,"N/F",0,1))*(1-LAB_COIN_DISCOUNT()))))))</f>
        <v>3.05221E+16</v>
      </c>
      <c r="T88" s="465" t="str">
        <f t="shared" si="13"/>
        <v>30.52 q</v>
      </c>
      <c r="U88" s="466" t="str">
        <f t="shared" si="14"/>
        <v>2.49 T/h</v>
      </c>
      <c r="V88" s="467">
        <f t="array" ref="V88">LET(
  Labspeed, IF(A88 ="Labs Speed", 1+'Master Sheet'!$BK$5, LAB_SPEED_TOTAL()),
  Match, MATCH(IF(ISNUMBER(SEARCH("Mastery",$A88)),"Card Mastery",$A88),DVT_Laboratory!B$1:V$1,0)-1,
  Offset, OFFSET(DVT_Laboratory!B$3,0,Match,100,1),
  Desired, IF(P88&lt;&gt;"", P88,D88),
IF(Desired&gt;D88,"Desired lvl too high",
IF(AND(Desired=D88,OR(C88=D88,C88="Max")),"Max Level",
IF(Desired&lt;=C88,"Desired lvl too low",
SUM(TIME_TO_RUSH_GEMS(
    XLOOKUP(C88+1, SEQUENCE(100,1,1,1), Offset, "N/F", 0, 1):
    XLOOKUP(Desired, SEQUENCE(100,1,1,1), Offset, "N/F", 0, 1)/Labspeed, IDS_LAB_GODLBOXED_COUNT()))))))</f>
        <v>34597</v>
      </c>
    </row>
    <row r="89">
      <c r="A89" s="472" t="s">
        <v>368</v>
      </c>
      <c r="B89" s="459" t="str">
        <f t="shared" si="1"/>
        <v/>
      </c>
      <c r="C89" s="470">
        <f>VLOOKUP($A89,MS_Labs_Array,2,FALSE)</f>
        <v>0</v>
      </c>
      <c r="D89" s="462">
        <f>VLOOKUP($A89,MS_Labs_Array,4,FALSE)</f>
        <v>6</v>
      </c>
      <c r="E89" s="462" t="str">
        <f t="shared" si="21"/>
        <v>T16 60</v>
      </c>
      <c r="F89" s="463">
        <f t="shared" si="17"/>
        <v>2.118335941</v>
      </c>
      <c r="G89" s="464" t="str">
        <f t="shared" si="3"/>
        <v>2d  2h 50m</v>
      </c>
      <c r="H89" s="465">
        <f t="shared" si="4"/>
        <v>79600000000</v>
      </c>
      <c r="I89" s="465">
        <f t="shared" si="5"/>
        <v>119400000000</v>
      </c>
      <c r="J89" s="465" t="str">
        <f t="shared" si="6"/>
        <v>79.6 B</v>
      </c>
      <c r="K89" s="466" t="str">
        <f t="shared" si="7"/>
        <v>2.35 B/h</v>
      </c>
      <c r="L89" s="467">
        <f t="shared" si="8"/>
        <v>186</v>
      </c>
      <c r="M89" s="468" t="str">
        <f t="shared" si="18"/>
        <v>2d  8h 56m</v>
      </c>
      <c r="N89" s="465" t="str">
        <f t="shared" si="10"/>
        <v>119.4 B</v>
      </c>
      <c r="O89" s="467">
        <f t="shared" si="11"/>
        <v>207</v>
      </c>
      <c r="P89" s="471" t="str">
        <f>VLOOKUP($A89,MS_Labs_Array,3,FALSE)</f>
        <v/>
      </c>
      <c r="Q89" s="468">
        <f>IFERROR(__xludf.DUMMYFUNCTION("LET(
  Labspeed, IF(A89=""Labs Speed"", 1+'Master Sheet'!$BK$5, LAB_SPEED_TOTAL()),
  Match, MATCH(IF(ISNUMBER(SEARCH(""Mastery"",$A89)),""Card Mastery"",$A89),DVT_Laboratory!B$1:V$1,0)-1,
  Offset, INDEX(DVT_Laboratory!B$3:ZZ$102,,Match+1),
  Desired, IF"&amp;"(P89&lt;&gt;"""", P89,D89),
  IFS(
    Desired &gt; D89, ""Desired lvl too high"",
    AND(Desired = D89, OR(C89 = D89, C89 = ""Max"")), ""Max Level"",
    Desired = C89, ""OK Level"",
    Desired &lt; C89, ""Desired lvl too low"",
    TRUE, TO_PURE_NUMBER(
      SUM"&amp;"(
        XLOOKUP($C89 + 1, SEQUENCE(100, 1, 1, 1), Offset, ""N/F"", 0, 1): 
        XLOOKUP(Desired, SEQUENCE(100, 1, 1, 1), Offset, ""N/F"", 0, 1)
      ) / Labspeed
    ) /
    IF(AND(B89 &lt;&gt; """", $B$1 = ""All""), RIGHT(B89, 3), 1)
  )
)"),17.19070840076712)</f>
        <v>17.1907084</v>
      </c>
      <c r="R89" s="464" t="str">
        <f t="shared" si="12"/>
        <v>17d  4h 34m</v>
      </c>
      <c r="S89" s="465">
        <f t="array" ref="S89">LET(
  Match, MATCH(IF(ISNUMBER(SEARCH("Mastery",$A89)),"Card Mastery",$A89),DVT_Laboratory!B$1:V$1,0)-1,
  Offset, OFFSET(DVT_Laboratory!C$3,0,Match,100,1),
  Desired, IF(P89&lt;&gt;"", P89,D89),
IF(Desired&gt;D89,"Desired lvl too high",
IF(AND(Desired=D89,OR(C89=D89,C89="Max")),"Max Level",
IF(Desired=C89,"OK Level",
IF(Desired&lt;C89,"Desired lvl too low",
SUM(
XLOOKUP(C89+1,SEQUENCE(100,1,1,1),Offset,"N/F",0,1)
:XLOOKUP(Desired,SEQUENCE(100,1,1,1),Offset,"N/F",0,1))*(1-LAB_COIN_DISCOUNT()))))))</f>
        <v>1654191480000</v>
      </c>
      <c r="T89" s="465" t="str">
        <f t="shared" si="13"/>
        <v>1.65 T</v>
      </c>
      <c r="U89" s="466" t="str">
        <f t="shared" si="14"/>
        <v>4.01 B/h</v>
      </c>
      <c r="V89" s="467">
        <f t="array" ref="V89">LET(
  Labspeed, IF(A89 ="Labs Speed", 1+'Master Sheet'!$BK$5, LAB_SPEED_TOTAL()),
  Match, MATCH(IF(ISNUMBER(SEARCH("Mastery",$A89)),"Card Mastery",$A89),DVT_Laboratory!B$1:V$1,0)-1,
  Offset, OFFSET(DVT_Laboratory!B$3,0,Match,100,1),
  Desired, IF(P89&lt;&gt;"", P89,D89),
IF(Desired&gt;D89,"Desired lvl too high",
IF(AND(Desired=D89,OR(C89=D89,C89="Max")),"Max Level",
IF(Desired&lt;=C89,"Desired lvl too low",
SUM(TIME_TO_RUSH_GEMS(
    XLOOKUP(C89+1, SEQUENCE(100,1,1,1), Offset, "N/F", 0, 1):
    XLOOKUP(Desired, SEQUENCE(100,1,1,1), Offset, "N/F", 0, 1)/Labspeed, IDS_LAB_GODLBOXED_COUNT()))))))</f>
        <v>1481</v>
      </c>
    </row>
    <row r="90">
      <c r="A90" s="472" t="s">
        <v>370</v>
      </c>
      <c r="B90" s="459" t="str">
        <f t="shared" si="1"/>
        <v/>
      </c>
      <c r="C90" s="470">
        <f>VLOOKUP($A90,MS_Labs_Array,2,FALSE)</f>
        <v>12</v>
      </c>
      <c r="D90" s="462">
        <f>VLOOKUP($A90,MS_Labs_Array,4,FALSE)</f>
        <v>30</v>
      </c>
      <c r="E90" s="462" t="str">
        <f t="shared" si="21"/>
        <v>T16 60</v>
      </c>
      <c r="F90" s="463">
        <f t="shared" si="17"/>
        <v>8.252995331</v>
      </c>
      <c r="G90" s="464" t="str">
        <f t="shared" si="3"/>
        <v>8d  6h  4m</v>
      </c>
      <c r="H90" s="465">
        <f t="shared" si="4"/>
        <v>10324120000000</v>
      </c>
      <c r="I90" s="465">
        <f t="shared" si="5"/>
        <v>15490160000000</v>
      </c>
      <c r="J90" s="465" t="str">
        <f t="shared" si="6"/>
        <v>10.32 T</v>
      </c>
      <c r="K90" s="466" t="str">
        <f t="shared" si="7"/>
        <v>78.2 B/h</v>
      </c>
      <c r="L90" s="467">
        <f t="shared" si="8"/>
        <v>663</v>
      </c>
      <c r="M90" s="468" t="str">
        <f t="shared" si="18"/>
        <v>9d  5h 50m</v>
      </c>
      <c r="N90" s="465" t="str">
        <f t="shared" si="10"/>
        <v>15.49 T</v>
      </c>
      <c r="O90" s="467">
        <f t="shared" si="11"/>
        <v>727</v>
      </c>
      <c r="P90" s="471" t="str">
        <f>VLOOKUP($A90,MS_Labs_Array,3,FALSE)</f>
        <v/>
      </c>
      <c r="Q90" s="468">
        <f>IFERROR(__xludf.DUMMYFUNCTION("LET(
  Labspeed, IF(A90=""Labs Speed"", 1+'Master Sheet'!$BK$5, LAB_SPEED_TOTAL()),
  Match, MATCH(IF(ISNUMBER(SEARCH(""Mastery"",$A90)),""Card Mastery"",$A90),DVT_Laboratory!B$1:V$1,0)-1,
  Offset, INDEX(DVT_Laboratory!B$3:ZZ$102,,Match+1),
  Desired, IF"&amp;"(P90&lt;&gt;"""", P90,D90),
  IFS(
    Desired &gt; D90, ""Desired lvl too high"",
    AND(Desired = D90, OR(C90 = D90, C90 = ""Max"")), ""Max Level"",
    Desired = C90, ""OK Level"",
    Desired &lt; C90, ""Desired lvl too low"",
    TRUE, TO_PURE_NUMBER(
      SUM"&amp;"(
        XLOOKUP($C90 + 1, SEQUENCE(100, 1, 1, 1), Offset, ""N/F"", 0, 1): 
        XLOOKUP(Desired, SEQUENCE(100, 1, 1, 1), Offset, ""N/F"", 0, 1)
      ) / Labspeed
    ) /
    IF(AND(B90 &lt;&gt; """", $B$1 = ""All""), RIGHT(B90, 3), 1)
  )
)"),460.10225221790085)</f>
        <v>460.1022522</v>
      </c>
      <c r="R90" s="464" t="str">
        <f t="shared" si="12"/>
        <v>460d  2h 27m</v>
      </c>
      <c r="S90" s="465">
        <f t="array" ref="S90">LET(
  Match, MATCH(IF(ISNUMBER(SEARCH("Mastery",$A90)),"Card Mastery",$A90),DVT_Laboratory!B$1:V$1,0)-1,
  Offset, OFFSET(DVT_Laboratory!C$3,0,Match,100,1),
  Desired, IF(P90&lt;&gt;"", P90,D90),
IF(Desired&gt;D90,"Desired lvl too high",
IF(AND(Desired=D90,OR(C90=D90,C90="Max")),"Max Level",
IF(Desired=C90,"OK Level",
IF(Desired&lt;C90,"Desired lvl too low",
SUM(
XLOOKUP(C90+1,SEQUENCE(100,1,1,1),Offset,"N/F",0,1)
:XLOOKUP(Desired,SEQUENCE(100,1,1,1),Offset,"N/F",0,1))*(1-LAB_COIN_DISCOUNT()))))))</f>
        <v>3.05016E+16</v>
      </c>
      <c r="T90" s="465" t="str">
        <f t="shared" si="13"/>
        <v>30.5 q</v>
      </c>
      <c r="U90" s="466" t="str">
        <f t="shared" si="14"/>
        <v>2.76 T/h</v>
      </c>
      <c r="V90" s="467">
        <f t="array" ref="V90">LET(
  Labspeed, IF(A90 ="Labs Speed", 1+'Master Sheet'!$BK$5, LAB_SPEED_TOTAL()),
  Match, MATCH(IF(ISNUMBER(SEARCH("Mastery",$A90)),"Card Mastery",$A90),DVT_Laboratory!B$1:V$1,0)-1,
  Offset, OFFSET(DVT_Laboratory!B$3,0,Match,100,1),
  Desired, IF(P90&lt;&gt;"", P90,D90),
IF(Desired&gt;D90,"Desired lvl too high",
IF(AND(Desired=D90,OR(C90=D90,C90="Max")),"Max Level",
IF(Desired&lt;=C90,"Desired lvl too low",
SUM(TIME_TO_RUSH_GEMS(
    XLOOKUP(C90+1, SEQUENCE(100,1,1,1), Offset, "N/F", 0, 1):
    XLOOKUP(Desired, SEQUENCE(100,1,1,1), Offset, "N/F", 0, 1)/Labspeed, IDS_LAB_GODLBOXED_COUNT()))))))</f>
        <v>30284</v>
      </c>
    </row>
    <row r="91">
      <c r="A91" s="472" t="s">
        <v>372</v>
      </c>
      <c r="B91" s="459" t="str">
        <f t="shared" si="1"/>
        <v/>
      </c>
      <c r="C91" s="470">
        <f>VLOOKUP($A91,MS_Labs_Array,2,FALSE)</f>
        <v>9</v>
      </c>
      <c r="D91" s="462">
        <f>VLOOKUP($A91,MS_Labs_Array,4,FALSE)</f>
        <v>30</v>
      </c>
      <c r="E91" s="462" t="str">
        <f t="shared" si="21"/>
        <v>T16 60</v>
      </c>
      <c r="F91" s="463">
        <f t="shared" si="17"/>
        <v>5.874318483</v>
      </c>
      <c r="G91" s="464" t="str">
        <f t="shared" si="3"/>
        <v>5d 20h 59m</v>
      </c>
      <c r="H91" s="465">
        <f t="shared" si="4"/>
        <v>3056640000000</v>
      </c>
      <c r="I91" s="465">
        <f t="shared" si="5"/>
        <v>4592920000000</v>
      </c>
      <c r="J91" s="465" t="str">
        <f t="shared" si="6"/>
        <v>3.06 T</v>
      </c>
      <c r="K91" s="466" t="str">
        <f t="shared" si="7"/>
        <v>32.58 B/h</v>
      </c>
      <c r="L91" s="467">
        <f t="shared" si="8"/>
        <v>491</v>
      </c>
      <c r="M91" s="468" t="str">
        <f t="shared" si="18"/>
        <v>6d 13h 54m</v>
      </c>
      <c r="N91" s="465" t="str">
        <f t="shared" si="10"/>
        <v>4.59 T</v>
      </c>
      <c r="O91" s="467">
        <f t="shared" si="11"/>
        <v>548</v>
      </c>
      <c r="P91" s="471" t="str">
        <f>VLOOKUP($A91,MS_Labs_Array,3,FALSE)</f>
        <v/>
      </c>
      <c r="Q91" s="468">
        <f>IFERROR(__xludf.DUMMYFUNCTION("LET(
  Labspeed, IF(A91=""Labs Speed"", 1+'Master Sheet'!$BK$5, LAB_SPEED_TOTAL()),
  Match, MATCH(IF(ISNUMBER(SEARCH(""Mastery"",$A91)),""Card Mastery"",$A91),DVT_Laboratory!B$1:V$1,0)-1,
  Offset, INDEX(DVT_Laboratory!B$3:ZZ$102,,Match+1),
  Desired, IF"&amp;"(P91&lt;&gt;"""", P91,D91),
  IFS(
    Desired &gt; D91, ""Desired lvl too high"",
    AND(Desired = D91, OR(C91 = D91, C91 = ""Max"")), ""Max Level"",
    Desired = C91, ""OK Level"",
    Desired &lt; C91, ""Desired lvl too low"",
    TRUE, TO_PURE_NUMBER(
      SUM"&amp;"(
        XLOOKUP($C91 + 1, SEQUENCE(100, 1, 1, 1), Offset, ""N/F"", 0, 1): 
        XLOOKUP(Desired, SEQUENCE(100, 1, 1, 1), Offset, ""N/F"", 0, 1)
      ) / Labspeed
    ) /
    IF(AND(B91 &lt;&gt; """", $B$1 = ""All""), RIGHT(B91, 3), 1)
  )
)"),479.92455536066836)</f>
        <v>479.9245554</v>
      </c>
      <c r="R91" s="464" t="str">
        <f t="shared" si="12"/>
        <v>479d 22h 11m</v>
      </c>
      <c r="S91" s="465">
        <f t="array" ref="S91">LET(
  Match, MATCH(IF(ISNUMBER(SEARCH("Mastery",$A91)),"Card Mastery",$A91),DVT_Laboratory!B$1:V$1,0)-1,
  Offset, OFFSET(DVT_Laboratory!C$3,0,Match,100,1),
  Desired, IF(P91&lt;&gt;"", P91,D91),
IF(Desired&gt;D91,"Desired lvl too high",
IF(AND(Desired=D91,OR(C91=D91,C91="Max")),"Max Level",
IF(Desired=C91,"OK Level",
IF(Desired&lt;C91,"Desired lvl too low",
SUM(
XLOOKUP(C91+1,SEQUENCE(100,1,1,1),Offset,"N/F",0,1)
:XLOOKUP(Desired,SEQUENCE(100,1,1,1),Offset,"N/F",0,1))*(1-LAB_COIN_DISCOUNT()))))))</f>
        <v>3.05161E+16</v>
      </c>
      <c r="T91" s="465" t="str">
        <f t="shared" si="13"/>
        <v>30.52 q</v>
      </c>
      <c r="U91" s="466" t="str">
        <f t="shared" si="14"/>
        <v>2.65 T/h</v>
      </c>
      <c r="V91" s="467">
        <f t="array" ref="V91">LET(
  Labspeed, IF(A91 ="Labs Speed", 1+'Master Sheet'!$BK$5, LAB_SPEED_TOTAL()),
  Match, MATCH(IF(ISNUMBER(SEARCH("Mastery",$A91)),"Card Mastery",$A91),DVT_Laboratory!B$1:V$1,0)-1,
  Offset, OFFSET(DVT_Laboratory!B$3,0,Match,100,1),
  Desired, IF(P91&lt;&gt;"", P91,D91),
IF(Desired&gt;D91,"Desired lvl too high",
IF(AND(Desired=D91,OR(C91=D91,C91="Max")),"Max Level",
IF(Desired&lt;=C91,"Desired lvl too low",
SUM(TIME_TO_RUSH_GEMS(
    XLOOKUP(C91+1, SEQUENCE(100,1,1,1), Offset, "N/F", 0, 1):
    XLOOKUP(Desired, SEQUENCE(100,1,1,1), Offset, "N/F", 0, 1)/Labspeed, IDS_LAB_GODLBOXED_COUNT()))))))</f>
        <v>31929</v>
      </c>
    </row>
    <row r="92">
      <c r="A92" s="458" t="s">
        <v>374</v>
      </c>
      <c r="B92" s="459" t="str">
        <f t="shared" si="1"/>
        <v/>
      </c>
      <c r="C92" s="470">
        <f>VLOOKUP($A92,MS_Labs_Array,2,FALSE)</f>
        <v>20</v>
      </c>
      <c r="D92" s="461">
        <f>VLOOKUP($A92,MS_Labs_Array,4,FALSE)</f>
        <v>20</v>
      </c>
      <c r="E92" s="462" t="str">
        <f t="shared" si="21"/>
        <v>T3 250</v>
      </c>
      <c r="F92" s="463" t="str">
        <f t="shared" si="17"/>
        <v>Max Level</v>
      </c>
      <c r="G92" s="464" t="str">
        <f t="shared" si="3"/>
        <v>Max Level</v>
      </c>
      <c r="H92" s="465" t="str">
        <f t="shared" si="4"/>
        <v>Max Level</v>
      </c>
      <c r="I92" s="465">
        <f t="shared" si="5"/>
        <v>0</v>
      </c>
      <c r="J92" s="465" t="str">
        <f t="shared" si="6"/>
        <v>Max Level</v>
      </c>
      <c r="K92" s="466" t="str">
        <f t="shared" si="7"/>
        <v/>
      </c>
      <c r="L92" s="467" t="str">
        <f t="shared" si="8"/>
        <v>Max Level</v>
      </c>
      <c r="M92" s="468" t="str">
        <f t="shared" si="18"/>
        <v>Max Level</v>
      </c>
      <c r="N92" s="465" t="str">
        <f t="shared" si="10"/>
        <v>Max Level</v>
      </c>
      <c r="O92" s="467" t="str">
        <f t="shared" si="11"/>
        <v>Max Level</v>
      </c>
      <c r="P92" s="471" t="str">
        <f>VLOOKUP($A92,MS_Labs_Array,3,FALSE)</f>
        <v/>
      </c>
      <c r="Q92" s="468" t="str">
        <f>IFERROR(__xludf.DUMMYFUNCTION("LET(
  Labspeed, IF(A92=""Labs Speed"", 1+'Master Sheet'!$BK$5, LAB_SPEED_TOTAL()),
  Match, MATCH(IF(ISNUMBER(SEARCH(""Mastery"",$A92)),""Card Mastery"",$A92),DVT_Laboratory!B$1:V$1,0)-1,
  Offset, INDEX(DVT_Laboratory!B$3:ZZ$102,,Match+1),
  Desired, IF"&amp;"(P92&lt;&gt;"""", P92,D92),
  IFS(
    Desired &gt; D92, ""Desired lvl too high"",
    AND(Desired = D92, OR(C92 = D92, C92 = ""Max"")), ""Max Level"",
    Desired = C92, ""OK Level"",
    Desired &lt; C92, ""Desired lvl too low"",
    TRUE, TO_PURE_NUMBER(
      SUM"&amp;"(
        XLOOKUP($C92 + 1, SEQUENCE(100, 1, 1, 1), Offset, ""N/F"", 0, 1): 
        XLOOKUP(Desired, SEQUENCE(100, 1, 1, 1), Offset, ""N/F"", 0, 1)
      ) / Labspeed
    ) /
    IF(AND(B92 &lt;&gt; """", $B$1 = ""All""), RIGHT(B92, 3), 1)
  )
)"),"Max Level")</f>
        <v>Max Level</v>
      </c>
      <c r="R92" s="464" t="str">
        <f t="shared" si="12"/>
        <v>Max Level</v>
      </c>
      <c r="S92" s="465" t="str">
        <f t="array" ref="S92">LET(
  Match, MATCH(IF(ISNUMBER(SEARCH("Mastery",$A92)),"Card Mastery",$A92),DVT_Laboratory!B$1:V$1,0)-1,
  Offset, OFFSET(DVT_Laboratory!C$3,0,Match,100,1),
  Desired, IF(P92&lt;&gt;"", P92,D92),
IF(Desired&gt;D92,"Desired lvl too high",
IF(AND(Desired=D92,OR(C92=D92,C92="Max")),"Max Level",
IF(Desired=C92,"OK Level",
IF(Desired&lt;C92,"Desired lvl too low",
SUM(
XLOOKUP(C92+1,SEQUENCE(100,1,1,1),Offset,"N/F",0,1)
:XLOOKUP(Desired,SEQUENCE(100,1,1,1),Offset,"N/F",0,1))*(1-LAB_COIN_DISCOUNT()))))))</f>
        <v>Max Level</v>
      </c>
      <c r="T92" s="465" t="str">
        <f t="shared" si="13"/>
        <v>Max Level</v>
      </c>
      <c r="U92" s="466" t="str">
        <f t="shared" si="14"/>
        <v/>
      </c>
      <c r="V92" s="467" t="str">
        <f t="array" ref="V92">LET(
  Labspeed, IF(A92 ="Labs Speed", 1+'Master Sheet'!$BK$5, LAB_SPEED_TOTAL()),
  Match, MATCH(IF(ISNUMBER(SEARCH("Mastery",$A92)),"Card Mastery",$A92),DVT_Laboratory!B$1:V$1,0)-1,
  Offset, OFFSET(DVT_Laboratory!B$3,0,Match,100,1),
  Desired, IF(P92&lt;&gt;"", P92,D92),
IF(Desired&gt;D92,"Desired lvl too high",
IF(AND(Desired=D92,OR(C92=D92,C92="Max")),"Max Level",
IF(Desired&lt;=C92,"Desired lvl too low",
SUM(TIME_TO_RUSH_GEMS(
    XLOOKUP(C92+1, SEQUENCE(100,1,1,1), Offset, "N/F", 0, 1):
    XLOOKUP(Desired, SEQUENCE(100,1,1,1), Offset, "N/F", 0, 1)/Labspeed, IDS_LAB_GODLBOXED_COUNT()))))))</f>
        <v>Max Level</v>
      </c>
    </row>
    <row r="93">
      <c r="A93" s="458" t="s">
        <v>376</v>
      </c>
      <c r="B93" s="459" t="str">
        <f t="shared" si="1"/>
        <v/>
      </c>
      <c r="C93" s="470">
        <f>VLOOKUP($A93,MS_Labs_Array,2,FALSE)</f>
        <v>2</v>
      </c>
      <c r="D93" s="461">
        <f>VLOOKUP($A93,MS_Labs_Array,4,FALSE)</f>
        <v>30</v>
      </c>
      <c r="E93" s="462" t="str">
        <f t="shared" si="21"/>
        <v>T3 250</v>
      </c>
      <c r="F93" s="463">
        <f t="shared" si="17"/>
        <v>2.657279601</v>
      </c>
      <c r="G93" s="464" t="str">
        <f t="shared" si="3"/>
        <v>2d 15h 46m</v>
      </c>
      <c r="H93" s="465">
        <f t="shared" si="4"/>
        <v>179100000000</v>
      </c>
      <c r="I93" s="465">
        <f t="shared" si="5"/>
        <v>268650000000</v>
      </c>
      <c r="J93" s="465" t="str">
        <f t="shared" si="6"/>
        <v>179.1 B</v>
      </c>
      <c r="K93" s="466" t="str">
        <f t="shared" si="7"/>
        <v>4.21 B/h</v>
      </c>
      <c r="L93" s="467">
        <f t="shared" si="8"/>
        <v>230</v>
      </c>
      <c r="M93" s="468" t="str">
        <f t="shared" si="18"/>
        <v>2d 23h 25m</v>
      </c>
      <c r="N93" s="465" t="str">
        <f t="shared" si="10"/>
        <v>268.65 B</v>
      </c>
      <c r="O93" s="467">
        <f t="shared" si="11"/>
        <v>256</v>
      </c>
      <c r="P93" s="471" t="str">
        <f>VLOOKUP($A93,MS_Labs_Array,3,FALSE)</f>
        <v/>
      </c>
      <c r="Q93" s="468">
        <f>IFERROR(__xludf.DUMMYFUNCTION("LET(
  Labspeed, IF(A93=""Labs Speed"", 1+'Master Sheet'!$BK$5, LAB_SPEED_TOTAL()),
  Match, MATCH(IF(ISNUMBER(SEARCH(""Mastery"",$A93)),""Card Mastery"",$A93),DVT_Laboratory!B$1:V$1,0)-1,
  Offset, INDEX(DVT_Laboratory!B$3:ZZ$102,,Match+1),
  Desired, IF"&amp;"(P93&lt;&gt;"""", P93,D93),
  IFS(
    Desired &gt; D93, ""Desired lvl too high"",
    AND(Desired = D93, OR(C93 = D93, C93 = ""Max"")), ""Max Level"",
    Desired = C93, ""OK Level"",
    Desired &lt; C93, ""Desired lvl too low"",
    TRUE, TO_PURE_NUMBER(
      SUM"&amp;"(
        XLOOKUP($C93 + 1, SEQUENCE(100, 1, 1, 1), Offset, ""N/F"", 0, 1): 
        XLOOKUP(Desired, SEQUENCE(100, 1, 1, 1), Offset, ""N/F"", 0, 1)
      ) / Labspeed
    ) /
    IF(AND(B93 &lt;&gt; """", $B$1 = ""All""), RIGHT(B93, 3), 1)
  )
)"),506.82887434766934)</f>
        <v>506.8288743</v>
      </c>
      <c r="R93" s="464" t="str">
        <f t="shared" si="12"/>
        <v>506d 19h 53m</v>
      </c>
      <c r="S93" s="465">
        <f t="array" ref="S93">LET(
  Match, MATCH(IF(ISNUMBER(SEARCH("Mastery",$A93)),"Card Mastery",$A93),DVT_Laboratory!B$1:V$1,0)-1,
  Offset, OFFSET(DVT_Laboratory!C$3,0,Match,100,1),
  Desired, IF(P93&lt;&gt;"", P93,D93),
IF(Desired&gt;D93,"Desired lvl too high",
IF(AND(Desired=D93,OR(C93=D93,C93="Max")),"Max Level",
IF(Desired=C93,"OK Level",
IF(Desired&lt;C93,"Desired lvl too low",
SUM(
XLOOKUP(C93+1,SEQUENCE(100,1,1,1),Offset,"N/F",0,1)
:XLOOKUP(Desired,SEQUENCE(100,1,1,1),Offset,"N/F",0,1))*(1-LAB_COIN_DISCOUNT()))))))</f>
        <v>3.05219E+16</v>
      </c>
      <c r="T93" s="465" t="str">
        <f t="shared" si="13"/>
        <v>30.52 q</v>
      </c>
      <c r="U93" s="466" t="str">
        <f t="shared" si="14"/>
        <v>2.51 T/h</v>
      </c>
      <c r="V93" s="467">
        <f t="array" ref="V93">LET(
  Labspeed, IF(A93 ="Labs Speed", 1+'Master Sheet'!$BK$5, LAB_SPEED_TOTAL()),
  Match, MATCH(IF(ISNUMBER(SEARCH("Mastery",$A93)),"Card Mastery",$A93),DVT_Laboratory!B$1:V$1,0)-1,
  Offset, OFFSET(DVT_Laboratory!B$3,0,Match,100,1),
  Desired, IF(P93&lt;&gt;"", P93,D93),
IF(Desired&gt;D93,"Desired lvl too high",
IF(AND(Desired=D93,OR(C93=D93,C93="Max")),"Max Level",
IF(Desired&lt;=C93,"Desired lvl too low",
SUM(TIME_TO_RUSH_GEMS(
    XLOOKUP(C93+1, SEQUENCE(100,1,1,1), Offset, "N/F", 0, 1):
    XLOOKUP(Desired, SEQUENCE(100,1,1,1), Offset, "N/F", 0, 1)/Labspeed, IDS_LAB_GODLBOXED_COUNT()))))))</f>
        <v>34206</v>
      </c>
    </row>
    <row r="94">
      <c r="A94" s="458" t="s">
        <v>378</v>
      </c>
      <c r="B94" s="459" t="str">
        <f t="shared" si="1"/>
        <v/>
      </c>
      <c r="C94" s="470">
        <f>VLOOKUP($A94,MS_Labs_Array,2,FALSE)</f>
        <v>0</v>
      </c>
      <c r="D94" s="461">
        <f>VLOOKUP($A94,MS_Labs_Array,4,FALSE)</f>
        <v>10</v>
      </c>
      <c r="E94" s="462" t="str">
        <f t="shared" si="21"/>
        <v>T3 250</v>
      </c>
      <c r="F94" s="463">
        <f t="shared" si="17"/>
        <v>2.118338883</v>
      </c>
      <c r="G94" s="464" t="str">
        <f t="shared" si="3"/>
        <v>2d  2h 50m</v>
      </c>
      <c r="H94" s="465">
        <f t="shared" si="4"/>
        <v>79600000000</v>
      </c>
      <c r="I94" s="465">
        <f t="shared" si="5"/>
        <v>179100000000</v>
      </c>
      <c r="J94" s="465" t="str">
        <f t="shared" si="6"/>
        <v>79.6 B</v>
      </c>
      <c r="K94" s="466" t="str">
        <f t="shared" si="7"/>
        <v>3.52 B/h</v>
      </c>
      <c r="L94" s="467">
        <f t="shared" si="8"/>
        <v>186</v>
      </c>
      <c r="M94" s="468" t="str">
        <f t="shared" si="18"/>
        <v>2d 15h 46m</v>
      </c>
      <c r="N94" s="465" t="str">
        <f t="shared" si="10"/>
        <v>179.1 B</v>
      </c>
      <c r="O94" s="467">
        <f t="shared" si="11"/>
        <v>230</v>
      </c>
      <c r="P94" s="471" t="str">
        <f>VLOOKUP($A94,MS_Labs_Array,3,FALSE)</f>
        <v/>
      </c>
      <c r="Q94" s="468">
        <f>IFERROR(__xludf.DUMMYFUNCTION("LET(
  Labspeed, IF(A94=""Labs Speed"", 1+'Master Sheet'!$BK$5, LAB_SPEED_TOTAL()),
  Match, MATCH(IF(ISNUMBER(SEARCH(""Mastery"",$A94)),""Card Mastery"",$A94),DVT_Laboratory!B$1:V$1,0)-1,
  Offset, INDEX(DVT_Laboratory!B$3:ZZ$102,,Match+1),
  Desired, IF"&amp;"(P94&lt;&gt;"""", P94,D94),
  IFS(
    Desired &gt; D94, ""Desired lvl too high"",
    AND(Desired = D94, OR(C94 = D94, C94 = ""Max"")), ""Max Level"",
    Desired = C94, ""OK Level"",
    Desired &lt; C94, ""Desired lvl too low"",
    TRUE, TO_PURE_NUMBER(
      SUM"&amp;"(
        XLOOKUP($C94 + 1, SEQUENCE(100, 1, 1, 1), Offset, ""N/F"", 0, 1): 
        XLOOKUP(Desired, SEQUENCE(100, 1, 1, 1), Offset, ""N/F"", 0, 1)
      ) / Labspeed
    ) /
    IF(AND(B94 &lt;&gt; """", $B$1 = ""All""), RIGHT(B94, 3), 1)
  )
)"),72.00659886099272)</f>
        <v>72.00659886</v>
      </c>
      <c r="R94" s="464" t="str">
        <f t="shared" si="12"/>
        <v>72d  0h  9m</v>
      </c>
      <c r="S94" s="465">
        <f t="array" ref="S94">LET(
  Match, MATCH(IF(ISNUMBER(SEARCH("Mastery",$A94)),"Card Mastery",$A94),DVT_Laboratory!B$1:V$1,0)-1,
  Offset, OFFSET(DVT_Laboratory!C$3,0,Match,100,1),
  Desired, IF(P94&lt;&gt;"", P94,D94),
IF(Desired&gt;D94,"Desired lvl too high",
IF(AND(Desired=D94,OR(C94=D94,C94="Max")),"Max Level",
IF(Desired=C94,"OK Level",
IF(Desired&lt;C94,"Desired lvl too low",
SUM(
XLOOKUP(C94+1,SEQUENCE(100,1,1,1),Offset,"N/F",0,1)
:XLOOKUP(Desired,SEQUENCE(100,1,1,1),Offset,"N/F",0,1))*(1-LAB_COIN_DISCOUNT()))))))</f>
        <v>211681275000000</v>
      </c>
      <c r="T94" s="465" t="str">
        <f t="shared" si="13"/>
        <v>211.68 T</v>
      </c>
      <c r="U94" s="466" t="str">
        <f t="shared" si="14"/>
        <v>122.49 B/h</v>
      </c>
      <c r="V94" s="467">
        <f t="array" ref="V94">LET(
  Labspeed, IF(A94 ="Labs Speed", 1+'Master Sheet'!$BK$5, LAB_SPEED_TOTAL()),
  Match, MATCH(IF(ISNUMBER(SEARCH("Mastery",$A94)),"Card Mastery",$A94),DVT_Laboratory!B$1:V$1,0)-1,
  Offset, OFFSET(DVT_Laboratory!B$3,0,Match,100,1),
  Desired, IF(P94&lt;&gt;"", P94,D94),
IF(Desired&gt;D94,"Desired lvl too high",
IF(AND(Desired=D94,OR(C94=D94,C94="Max")),"Max Level",
IF(Desired&lt;=C94,"Desired lvl too low",
SUM(TIME_TO_RUSH_GEMS(
    XLOOKUP(C94+1, SEQUENCE(100,1,1,1), Offset, "N/F", 0, 1):
    XLOOKUP(Desired, SEQUENCE(100,1,1,1), Offset, "N/F", 0, 1)/Labspeed, IDS_LAB_GODLBOXED_COUNT()))))))</f>
        <v>5652</v>
      </c>
    </row>
    <row r="95">
      <c r="A95" s="473" t="s">
        <v>380</v>
      </c>
      <c r="B95" s="474" t="str">
        <f t="shared" si="1"/>
        <v/>
      </c>
      <c r="C95" s="470">
        <f>VLOOKUP($A95,MS_Labs_Array,2,FALSE)</f>
        <v>0</v>
      </c>
      <c r="D95" s="461">
        <f>VLOOKUP($A95,MS_Labs_Array,4,FALSE)</f>
        <v>10</v>
      </c>
      <c r="E95" s="462" t="s">
        <v>398</v>
      </c>
      <c r="F95" s="463">
        <f t="shared" si="17"/>
        <v>4.236677767</v>
      </c>
      <c r="G95" s="464" t="str">
        <f t="shared" si="3"/>
        <v>4d  5h 40m</v>
      </c>
      <c r="H95" s="465">
        <f t="shared" si="4"/>
        <v>796000000000000</v>
      </c>
      <c r="I95" s="465">
        <f t="shared" si="5"/>
        <v>1.6716E+15</v>
      </c>
      <c r="J95" s="465" t="str">
        <f t="shared" si="6"/>
        <v>796 T</v>
      </c>
      <c r="K95" s="466" t="str">
        <f t="shared" si="7"/>
        <v>16.44 T/h</v>
      </c>
      <c r="L95" s="467">
        <f t="shared" si="8"/>
        <v>358</v>
      </c>
      <c r="M95" s="468" t="str">
        <f t="shared" si="18"/>
        <v>8d 11h 21m</v>
      </c>
      <c r="N95" s="465" t="str">
        <f t="shared" si="10"/>
        <v>1.67 q</v>
      </c>
      <c r="O95" s="467">
        <f t="shared" si="11"/>
        <v>677</v>
      </c>
      <c r="P95" s="471" t="str">
        <f>VLOOKUP($A95,MS_Labs_Array,3,FALSE)</f>
        <v/>
      </c>
      <c r="Q95" s="468">
        <f>IFERROR(__xludf.DUMMYFUNCTION("LET(
  Labspeed, IF(A95=""Labs Speed"", 1+'Master Sheet'!$BK$5, LAB_SPEED_TOTAL()),
  Match, MATCH(IF(ISNUMBER(SEARCH(""Mastery"",$A95)),""Card Mastery"",$A95),DVT_Laboratory!B$1:V$1,0)-1,
  Offset, INDEX(DVT_Laboratory!B$3:ZZ$102,,Match+1),
  Desired, IF"&amp;"(P95&lt;&gt;"""", P95,D95),
  IFS(
    Desired &gt; D95, ""Desired lvl too high"",
    AND(Desired = D95, OR(C95 = D95, C95 = ""Max"")), ""Max Level"",
    Desired = C95, ""OK Level"",
    Desired &lt; C95, ""Desired lvl too low"",
    TRUE, TO_PURE_NUMBER(
      SUM"&amp;"(
        XLOOKUP($C95 + 1, SEQUENCE(100, 1, 1, 1), Offset, ""N/F"", 0, 1): 
        XLOOKUP(Desired, SEQUENCE(100, 1, 1, 1), Offset, ""N/F"", 0, 1)
      ) / Labspeed
    ) /
    IF(AND(B95 &lt;&gt; """", $B$1 = ""All""), RIGHT(B95, 3), 1)
  )
)"),233.01727717193282)</f>
        <v>233.0172772</v>
      </c>
      <c r="R95" s="464" t="str">
        <f t="shared" si="12"/>
        <v>233d  0h 24m</v>
      </c>
      <c r="S95" s="465">
        <f t="array" ref="S95">LET(
  Match, MATCH(IF(ISNUMBER(SEARCH("Mastery",$A95)),"Card Mastery",$A95),DVT_Laboratory!B$1:V$1,0)-1,
  Offset, OFFSET(DVT_Laboratory!C$3,0,Match,100,1),
  Desired, IF(P95&lt;&gt;"", P95,D95),
IF(Desired&gt;D95,"Desired lvl too high",
IF(AND(Desired=D95,OR(C95=D95,C95="Max")),"Max Level",
IF(Desired=C95,"OK Level",
IF(Desired&lt;C95,"Desired lvl too low",
SUM(
XLOOKUP(C95+1,SEQUENCE(100,1,1,1),Offset,"N/F",0,1)
:XLOOKUP(Desired,SEQUENCE(100,1,1,1),Offset,"N/F",0,1))*(1-LAB_COIN_DISCOUNT()))))))</f>
        <v>9.9301E+17</v>
      </c>
      <c r="T95" s="465" t="str">
        <f t="shared" si="13"/>
        <v>993.01 q</v>
      </c>
      <c r="U95" s="466" t="str">
        <f t="shared" si="14"/>
        <v>177.56 T/h</v>
      </c>
      <c r="V95" s="467">
        <f t="array" ref="V95">LET(
  Labspeed, IF(A95 ="Labs Speed", 1+'Master Sheet'!$BK$5, LAB_SPEED_TOTAL()),
  Match, MATCH(IF(ISNUMBER(SEARCH("Mastery",$A95)),"Card Mastery",$A95),DVT_Laboratory!B$1:V$1,0)-1,
  Offset, OFFSET(DVT_Laboratory!B$3,0,Match,100,1),
  Desired, IF(P95&lt;&gt;"", P95,D95),
IF(Desired&gt;D95,"Desired lvl too high",
IF(AND(Desired=D95,OR(C95=D95,C95="Max")),"Max Level",
IF(Desired&lt;=C95,"Desired lvl too low",
SUM(TIME_TO_RUSH_GEMS(
    XLOOKUP(C95+1, SEQUENCE(100,1,1,1), Offset, "N/F", 0, 1):
    XLOOKUP(Desired, SEQUENCE(100,1,1,1), Offset, "N/F", 0, 1)/Labspeed, IDS_LAB_GODLBOXED_COUNT()))))))</f>
        <v>15760</v>
      </c>
    </row>
    <row r="96">
      <c r="A96" s="475" t="s">
        <v>159</v>
      </c>
      <c r="B96" s="476" t="str">
        <f t="shared" si="1"/>
        <v/>
      </c>
      <c r="C96" s="477">
        <f>VLOOKUP($A96,MS_Labs_Array,2,FALSE)</f>
        <v>4</v>
      </c>
      <c r="D96" s="478">
        <f>VLOOKUP($A96,MS_Labs_Array,4,FALSE)</f>
        <v>4</v>
      </c>
      <c r="E96" s="479" t="str">
        <f t="shared" ref="E96:E213" si="22">DVT_LAB_UNLOCK_AT(A96)</f>
        <v>T3 150</v>
      </c>
      <c r="F96" s="480" t="str">
        <f t="shared" si="17"/>
        <v>Max Level</v>
      </c>
      <c r="G96" s="481" t="str">
        <f t="shared" si="3"/>
        <v>Max Level</v>
      </c>
      <c r="H96" s="482" t="str">
        <f t="shared" si="4"/>
        <v>Max Level</v>
      </c>
      <c r="I96" s="482">
        <f t="shared" si="5"/>
        <v>0</v>
      </c>
      <c r="J96" s="482" t="str">
        <f t="shared" si="6"/>
        <v>Max Level</v>
      </c>
      <c r="K96" s="483" t="str">
        <f t="shared" si="7"/>
        <v/>
      </c>
      <c r="L96" s="484" t="str">
        <f t="shared" si="8"/>
        <v>Max Level</v>
      </c>
      <c r="M96" s="485" t="str">
        <f t="shared" si="18"/>
        <v>Max Level</v>
      </c>
      <c r="N96" s="482" t="str">
        <f t="shared" si="10"/>
        <v>Max Level</v>
      </c>
      <c r="O96" s="484" t="str">
        <f t="shared" si="11"/>
        <v>Max Level</v>
      </c>
      <c r="P96" s="486" t="str">
        <f>VLOOKUP($A96,MS_Labs_Array,3,FALSE)</f>
        <v/>
      </c>
      <c r="Q96" s="485" t="str">
        <f>IFERROR(__xludf.DUMMYFUNCTION("LET(
  Labspeed, IF(A96=""Labs Speed"", 1+'Master Sheet'!$BK$5, LAB_SPEED_TOTAL()),
  Match, MATCH(IF(ISNUMBER(SEARCH(""Mastery"",$A96)),""Card Mastery"",$A96),DVT_Laboratory!B$1:V$1,0)-1,
  Offset, INDEX(DVT_Laboratory!B$3:ZZ$102,,Match+1),
  Desired, IF"&amp;"(P96&lt;&gt;"""", P96,D96),
  IFS(
    Desired &gt; D96, ""Desired lvl too high"",
    AND(Desired = D96, OR(C96 = D96, C96 = ""Max"")), ""Max Level"",
    Desired = C96, ""OK Level"",
    Desired &lt; C96, ""Desired lvl too low"",
    TRUE, TO_PURE_NUMBER(
      SUM"&amp;"(
        XLOOKUP($C96 + 1, SEQUENCE(100, 1, 1, 1), Offset, ""N/F"", 0, 1): 
        XLOOKUP(Desired, SEQUENCE(100, 1, 1, 1), Offset, ""N/F"", 0, 1)
      ) / Labspeed
    ) /
    IF(AND(B96 &lt;&gt; """", $B$1 = ""All""), RIGHT(B96, 3), 1)
  )
)"),"Max Level")</f>
        <v>Max Level</v>
      </c>
      <c r="R96" s="481" t="str">
        <f t="shared" si="12"/>
        <v>Max Level</v>
      </c>
      <c r="S96" s="482" t="str">
        <f t="array" ref="S96">LET(
  Match, MATCH(IF(ISNUMBER(SEARCH("Mastery",$A96)),"Card Mastery",$A96),DVT_Laboratory!B$1:V$1,0)-1,
  Offset, OFFSET(DVT_Laboratory!C$3,0,Match,100,1),
  Desired, IF(P96&lt;&gt;"", P96,D96),
IF(Desired&gt;D96,"Desired lvl too high",
IF(AND(Desired=D96,OR(C96=D96,C96="Max")),"Max Level",
IF(Desired=C96,"OK Level",
IF(Desired&lt;C96,"Desired lvl too low",
SUM(
XLOOKUP(C96+1,SEQUENCE(100,1,1,1),Offset,"N/F",0,1)
:XLOOKUP(Desired,SEQUENCE(100,1,1,1),Offset,"N/F",0,1))*(1-LAB_COIN_DISCOUNT()))))))</f>
        <v>Max Level</v>
      </c>
      <c r="T96" s="482" t="str">
        <f t="shared" si="13"/>
        <v>Max Level</v>
      </c>
      <c r="U96" s="483" t="str">
        <f t="shared" si="14"/>
        <v/>
      </c>
      <c r="V96" s="484" t="str">
        <f t="array" ref="V96">LET(
  Labspeed, IF(A96 ="Labs Speed", 1+'Master Sheet'!$BK$5, LAB_SPEED_TOTAL()),
  Match, MATCH(IF(ISNUMBER(SEARCH("Mastery",$A96)),"Card Mastery",$A96),DVT_Laboratory!B$1:V$1,0)-1,
  Offset, OFFSET(DVT_Laboratory!B$3,0,Match,100,1),
  Desired, IF(P96&lt;&gt;"", P96,D96),
IF(Desired&gt;D96,"Desired lvl too high",
IF(AND(Desired=D96,OR(C96=D96,C96="Max")),"Max Level",
IF(Desired&lt;=C96,"Desired lvl too low",
SUM(TIME_TO_RUSH_GEMS(
    XLOOKUP(C96+1, SEQUENCE(100,1,1,1), Offset, "N/F", 0, 1):
    XLOOKUP(Desired, SEQUENCE(100,1,1,1), Offset, "N/F", 0, 1)/Labspeed, IDS_LAB_GODLBOXED_COUNT()))))))</f>
        <v>Max Level</v>
      </c>
    </row>
    <row r="97">
      <c r="A97" s="475" t="s">
        <v>174</v>
      </c>
      <c r="B97" s="476" t="str">
        <f t="shared" si="1"/>
        <v/>
      </c>
      <c r="C97" s="477">
        <f>VLOOKUP($A97,MS_Labs_Array,2,FALSE)</f>
        <v>6</v>
      </c>
      <c r="D97" s="478">
        <f>VLOOKUP($A97,MS_Labs_Array,4,FALSE)</f>
        <v>30</v>
      </c>
      <c r="E97" s="479" t="str">
        <f t="shared" si="22"/>
        <v>T3 300</v>
      </c>
      <c r="F97" s="480">
        <f t="shared" si="17"/>
        <v>0.6490943395</v>
      </c>
      <c r="G97" s="481" t="str">
        <f t="shared" si="3"/>
        <v>0d 15h 34m</v>
      </c>
      <c r="H97" s="482">
        <f t="shared" si="4"/>
        <v>65319760</v>
      </c>
      <c r="I97" s="482">
        <f t="shared" si="5"/>
        <v>137445320</v>
      </c>
      <c r="J97" s="482" t="str">
        <f t="shared" si="6"/>
        <v>65.32 M</v>
      </c>
      <c r="K97" s="483" t="str">
        <f t="shared" si="7"/>
        <v>8.82 M/h</v>
      </c>
      <c r="L97" s="484">
        <f t="shared" si="8"/>
        <v>62</v>
      </c>
      <c r="M97" s="485" t="str">
        <f t="shared" si="18"/>
        <v>0d 19h 33m</v>
      </c>
      <c r="N97" s="482" t="str">
        <f t="shared" si="10"/>
        <v>137.45 M</v>
      </c>
      <c r="O97" s="484">
        <f t="shared" si="11"/>
        <v>78</v>
      </c>
      <c r="P97" s="486" t="str">
        <f>VLOOKUP($A97,MS_Labs_Array,3,FALSE)</f>
        <v/>
      </c>
      <c r="Q97" s="485">
        <f>IFERROR(__xludf.DUMMYFUNCTION("LET(
  Labspeed, IF(A97=""Labs Speed"", 1+'Master Sheet'!$BK$5, LAB_SPEED_TOTAL()),
  Match, MATCH(IF(ISNUMBER(SEARCH(""Mastery"",$A97)),""Card Mastery"",$A97),DVT_Laboratory!B$1:V$1,0)-1,
  Offset, INDEX(DVT_Laboratory!B$3:ZZ$102,,Match+1),
  Desired, IF"&amp;"(P97&lt;&gt;"""", P97,D97),
  IFS(
    Desired &gt; D97, ""Desired lvl too high"",
    AND(Desired = D97, OR(C97 = D97, C97 = ""Max"")), ""Max Level"",
    Desired = C97, ""OK Level"",
    Desired &lt; C97, ""Desired lvl too low"",
    TRUE, TO_PURE_NUMBER(
      SUM"&amp;"(
        XLOOKUP($C97 + 1, SEQUENCE(100, 1, 1, 1), Offset, ""N/F"", 0, 1): 
        XLOOKUP(Desired, SEQUENCE(100, 1, 1, 1), Offset, ""N/F"", 0, 1)
      ) / Labspeed
    ) /
    IF(AND(B97 &lt;&gt; """", $B$1 = ""All""), RIGHT(B97, 3), 1)
  )
)"),225.34006400207878)</f>
        <v>225.340064</v>
      </c>
      <c r="R97" s="481" t="str">
        <f t="shared" si="12"/>
        <v>225d  8h  9m</v>
      </c>
      <c r="S97" s="482">
        <f t="array" ref="S97">LET(
  Match, MATCH(IF(ISNUMBER(SEARCH("Mastery",$A97)),"Card Mastery",$A97),DVT_Laboratory!B$1:V$1,0)-1,
  Offset, OFFSET(DVT_Laboratory!C$3,0,Match,100,1),
  Desired, IF(P97&lt;&gt;"", P97,D97),
IF(Desired&gt;D97,"Desired lvl too high",
IF(AND(Desired=D97,OR(C97=D97,C97="Max")),"Max Level",
IF(Desired=C97,"OK Level",
IF(Desired&lt;C97,"Desired lvl too low",
SUM(
XLOOKUP(C97+1,SEQUENCE(100,1,1,1),Offset,"N/F",0,1)
:XLOOKUP(Desired,SEQUENCE(100,1,1,1),Offset,"N/F",0,1))*(1-LAB_COIN_DISCOUNT()))))))</f>
        <v>873222348000</v>
      </c>
      <c r="T97" s="482" t="str">
        <f t="shared" si="13"/>
        <v>873.22 B</v>
      </c>
      <c r="U97" s="483" t="str">
        <f t="shared" si="14"/>
        <v>161.46 M/h</v>
      </c>
      <c r="V97" s="484">
        <f t="array" ref="V97">LET(
  Labspeed, IF(A97 ="Labs Speed", 1+'Master Sheet'!$BK$5, LAB_SPEED_TOTAL()),
  Match, MATCH(IF(ISNUMBER(SEARCH("Mastery",$A97)),"Card Mastery",$A97),DVT_Laboratory!B$1:V$1,0)-1,
  Offset, OFFSET(DVT_Laboratory!B$3,0,Match,100,1),
  Desired, IF(P97&lt;&gt;"", P97,D97),
IF(Desired&gt;D97,"Desired lvl too high",
IF(AND(Desired=D97,OR(C97=D97,C97="Max")),"Max Level",
IF(Desired&lt;=C97,"Desired lvl too low",
SUM(TIME_TO_RUSH_GEMS(
    XLOOKUP(C97+1, SEQUENCE(100,1,1,1), Offset, "N/F", 0, 1):
    XLOOKUP(Desired, SEQUENCE(100,1,1,1), Offset, "N/F", 0, 1)/Labspeed, IDS_LAB_GODLBOXED_COUNT()))))))</f>
        <v>16753</v>
      </c>
    </row>
    <row r="98">
      <c r="A98" s="475" t="s">
        <v>185</v>
      </c>
      <c r="B98" s="476" t="str">
        <f t="shared" si="1"/>
        <v/>
      </c>
      <c r="C98" s="477">
        <f>VLOOKUP($A98,MS_Labs_Array,2,FALSE)</f>
        <v>1</v>
      </c>
      <c r="D98" s="478">
        <f>VLOOKUP($A98,MS_Labs_Array,4,FALSE)</f>
        <v>1</v>
      </c>
      <c r="E98" s="479" t="str">
        <f t="shared" si="22"/>
        <v>T6 50</v>
      </c>
      <c r="F98" s="480" t="str">
        <f t="shared" si="17"/>
        <v>Max Level</v>
      </c>
      <c r="G98" s="481" t="str">
        <f t="shared" si="3"/>
        <v>Max Level</v>
      </c>
      <c r="H98" s="482" t="str">
        <f t="shared" si="4"/>
        <v>Max Level</v>
      </c>
      <c r="I98" s="482">
        <f t="shared" si="5"/>
        <v>0</v>
      </c>
      <c r="J98" s="482" t="str">
        <f t="shared" si="6"/>
        <v>Max Level</v>
      </c>
      <c r="K98" s="483" t="str">
        <f t="shared" si="7"/>
        <v/>
      </c>
      <c r="L98" s="484" t="str">
        <f t="shared" si="8"/>
        <v>Max Level</v>
      </c>
      <c r="M98" s="485" t="str">
        <f t="shared" si="18"/>
        <v>Max Level</v>
      </c>
      <c r="N98" s="482" t="str">
        <f t="shared" si="10"/>
        <v>Max Level</v>
      </c>
      <c r="O98" s="484" t="str">
        <f t="shared" si="11"/>
        <v>Max Level</v>
      </c>
      <c r="P98" s="486" t="str">
        <f>VLOOKUP($A98,MS_Labs_Array,3,FALSE)</f>
        <v/>
      </c>
      <c r="Q98" s="485" t="str">
        <f>IFERROR(__xludf.DUMMYFUNCTION("LET(
  Labspeed, IF(A98=""Labs Speed"", 1+'Master Sheet'!$BK$5, LAB_SPEED_TOTAL()),
  Match, MATCH(IF(ISNUMBER(SEARCH(""Mastery"",$A98)),""Card Mastery"",$A98),DVT_Laboratory!B$1:V$1,0)-1,
  Offset, INDEX(DVT_Laboratory!B$3:ZZ$102,,Match+1),
  Desired, IF"&amp;"(P98&lt;&gt;"""", P98,D98),
  IFS(
    Desired &gt; D98, ""Desired lvl too high"",
    AND(Desired = D98, OR(C98 = D98, C98 = ""Max"")), ""Max Level"",
    Desired = C98, ""OK Level"",
    Desired &lt; C98, ""Desired lvl too low"",
    TRUE, TO_PURE_NUMBER(
      SUM"&amp;"(
        XLOOKUP($C98 + 1, SEQUENCE(100, 1, 1, 1), Offset, ""N/F"", 0, 1): 
        XLOOKUP(Desired, SEQUENCE(100, 1, 1, 1), Offset, ""N/F"", 0, 1)
      ) / Labspeed
    ) /
    IF(AND(B98 &lt;&gt; """", $B$1 = ""All""), RIGHT(B98, 3), 1)
  )
)"),"Max Level")</f>
        <v>Max Level</v>
      </c>
      <c r="R98" s="481" t="str">
        <f t="shared" si="12"/>
        <v>Max Level</v>
      </c>
      <c r="S98" s="482" t="str">
        <f t="array" ref="S98">LET(
  Match, MATCH(IF(ISNUMBER(SEARCH("Mastery",$A98)),"Card Mastery",$A98),DVT_Laboratory!B$1:V$1,0)-1,
  Offset, OFFSET(DVT_Laboratory!C$3,0,Match,100,1),
  Desired, IF(P98&lt;&gt;"", P98,D98),
IF(Desired&gt;D98,"Desired lvl too high",
IF(AND(Desired=D98,OR(C98=D98,C98="Max")),"Max Level",
IF(Desired=C98,"OK Level",
IF(Desired&lt;C98,"Desired lvl too low",
SUM(
XLOOKUP(C98+1,SEQUENCE(100,1,1,1),Offset,"N/F",0,1)
:XLOOKUP(Desired,SEQUENCE(100,1,1,1),Offset,"N/F",0,1))*(1-LAB_COIN_DISCOUNT()))))))</f>
        <v>Max Level</v>
      </c>
      <c r="T98" s="482" t="str">
        <f t="shared" si="13"/>
        <v>Max Level</v>
      </c>
      <c r="U98" s="483" t="str">
        <f t="shared" si="14"/>
        <v/>
      </c>
      <c r="V98" s="484" t="str">
        <f t="array" ref="V98">LET(
  Labspeed, IF(A98 ="Labs Speed", 1+'Master Sheet'!$BK$5, LAB_SPEED_TOTAL()),
  Match, MATCH(IF(ISNUMBER(SEARCH("Mastery",$A98)),"Card Mastery",$A98),DVT_Laboratory!B$1:V$1,0)-1,
  Offset, OFFSET(DVT_Laboratory!B$3,0,Match,100,1),
  Desired, IF(P98&lt;&gt;"", P98,D98),
IF(Desired&gt;D98,"Desired lvl too high",
IF(AND(Desired=D98,OR(C98=D98,C98="Max")),"Max Level",
IF(Desired&lt;=C98,"Desired lvl too low",
SUM(TIME_TO_RUSH_GEMS(
    XLOOKUP(C98+1, SEQUENCE(100,1,1,1), Offset, "N/F", 0, 1):
    XLOOKUP(Desired, SEQUENCE(100,1,1,1), Offset, "N/F", 0, 1)/Labspeed, IDS_LAB_GODLBOXED_COUNT()))))))</f>
        <v>Max Level</v>
      </c>
    </row>
    <row r="99">
      <c r="A99" s="475" t="s">
        <v>203</v>
      </c>
      <c r="B99" s="476" t="str">
        <f t="shared" si="1"/>
        <v/>
      </c>
      <c r="C99" s="477">
        <f>VLOOKUP($A99,MS_Labs_Array,2,FALSE)</f>
        <v>2</v>
      </c>
      <c r="D99" s="478">
        <f>VLOOKUP($A99,MS_Labs_Array,4,FALSE)</f>
        <v>2</v>
      </c>
      <c r="E99" s="479" t="str">
        <f t="shared" si="22"/>
        <v>T6 80</v>
      </c>
      <c r="F99" s="480" t="str">
        <f t="shared" si="17"/>
        <v>Max Level</v>
      </c>
      <c r="G99" s="481" t="str">
        <f t="shared" si="3"/>
        <v>Max Level</v>
      </c>
      <c r="H99" s="482" t="str">
        <f t="shared" si="4"/>
        <v>Max Level</v>
      </c>
      <c r="I99" s="482">
        <f t="shared" si="5"/>
        <v>0</v>
      </c>
      <c r="J99" s="482" t="str">
        <f t="shared" si="6"/>
        <v>Max Level</v>
      </c>
      <c r="K99" s="483" t="str">
        <f t="shared" si="7"/>
        <v/>
      </c>
      <c r="L99" s="484" t="str">
        <f t="shared" si="8"/>
        <v>Max Level</v>
      </c>
      <c r="M99" s="485" t="str">
        <f t="shared" si="18"/>
        <v>Max Level</v>
      </c>
      <c r="N99" s="482" t="str">
        <f t="shared" si="10"/>
        <v>Max Level</v>
      </c>
      <c r="O99" s="484" t="str">
        <f t="shared" si="11"/>
        <v>Max Level</v>
      </c>
      <c r="P99" s="486" t="str">
        <f>VLOOKUP($A99,MS_Labs_Array,3,FALSE)</f>
        <v/>
      </c>
      <c r="Q99" s="485" t="str">
        <f>IFERROR(__xludf.DUMMYFUNCTION("LET(
  Labspeed, IF(A99=""Labs Speed"", 1+'Master Sheet'!$BK$5, LAB_SPEED_TOTAL()),
  Match, MATCH(IF(ISNUMBER(SEARCH(""Mastery"",$A99)),""Card Mastery"",$A99),DVT_Laboratory!B$1:V$1,0)-1,
  Offset, INDEX(DVT_Laboratory!B$3:ZZ$102,,Match+1),
  Desired, IF"&amp;"(P99&lt;&gt;"""", P99,D99),
  IFS(
    Desired &gt; D99, ""Desired lvl too high"",
    AND(Desired = D99, OR(C99 = D99, C99 = ""Max"")), ""Max Level"",
    Desired = C99, ""OK Level"",
    Desired &lt; C99, ""Desired lvl too low"",
    TRUE, TO_PURE_NUMBER(
      SUM"&amp;"(
        XLOOKUP($C99 + 1, SEQUENCE(100, 1, 1, 1), Offset, ""N/F"", 0, 1): 
        XLOOKUP(Desired, SEQUENCE(100, 1, 1, 1), Offset, ""N/F"", 0, 1)
      ) / Labspeed
    ) /
    IF(AND(B99 &lt;&gt; """", $B$1 = ""All""), RIGHT(B99, 3), 1)
  )
)"),"Max Level")</f>
        <v>Max Level</v>
      </c>
      <c r="R99" s="481" t="str">
        <f t="shared" si="12"/>
        <v>Max Level</v>
      </c>
      <c r="S99" s="482" t="str">
        <f t="array" ref="S99">LET(
  Match, MATCH(IF(ISNUMBER(SEARCH("Mastery",$A99)),"Card Mastery",$A99),DVT_Laboratory!B$1:V$1,0)-1,
  Offset, OFFSET(DVT_Laboratory!C$3,0,Match,100,1),
  Desired, IF(P99&lt;&gt;"", P99,D99),
IF(Desired&gt;D99,"Desired lvl too high",
IF(AND(Desired=D99,OR(C99=D99,C99="Max")),"Max Level",
IF(Desired=C99,"OK Level",
IF(Desired&lt;C99,"Desired lvl too low",
SUM(
XLOOKUP(C99+1,SEQUENCE(100,1,1,1),Offset,"N/F",0,1)
:XLOOKUP(Desired,SEQUENCE(100,1,1,1),Offset,"N/F",0,1))*(1-LAB_COIN_DISCOUNT()))))))</f>
        <v>Max Level</v>
      </c>
      <c r="T99" s="482" t="str">
        <f t="shared" si="13"/>
        <v>Max Level</v>
      </c>
      <c r="U99" s="483" t="str">
        <f t="shared" si="14"/>
        <v/>
      </c>
      <c r="V99" s="484" t="str">
        <f t="array" ref="V99">LET(
  Labspeed, IF(A99 ="Labs Speed", 1+'Master Sheet'!$BK$5, LAB_SPEED_TOTAL()),
  Match, MATCH(IF(ISNUMBER(SEARCH("Mastery",$A99)),"Card Mastery",$A99),DVT_Laboratory!B$1:V$1,0)-1,
  Offset, OFFSET(DVT_Laboratory!B$3,0,Match,100,1),
  Desired, IF(P99&lt;&gt;"", P99,D99),
IF(Desired&gt;D99,"Desired lvl too high",
IF(AND(Desired=D99,OR(C99=D99,C99="Max")),"Max Level",
IF(Desired&lt;=C99,"Desired lvl too low",
SUM(TIME_TO_RUSH_GEMS(
    XLOOKUP(C99+1, SEQUENCE(100,1,1,1), Offset, "N/F", 0, 1):
    XLOOKUP(Desired, SEQUENCE(100,1,1,1), Offset, "N/F", 0, 1)/Labspeed, IDS_LAB_GODLBOXED_COUNT()))))))</f>
        <v>Max Level</v>
      </c>
    </row>
    <row r="100">
      <c r="A100" s="475" t="s">
        <v>220</v>
      </c>
      <c r="B100" s="476" t="str">
        <f t="shared" si="1"/>
        <v/>
      </c>
      <c r="C100" s="477">
        <f>VLOOKUP($A100,MS_Labs_Array,2,FALSE)</f>
        <v>2</v>
      </c>
      <c r="D100" s="478">
        <f>VLOOKUP($A100,MS_Labs_Array,4,FALSE)</f>
        <v>2</v>
      </c>
      <c r="E100" s="479" t="str">
        <f t="shared" si="22"/>
        <v>T4 300</v>
      </c>
      <c r="F100" s="480" t="str">
        <f t="shared" si="17"/>
        <v>Max Level</v>
      </c>
      <c r="G100" s="481" t="str">
        <f t="shared" si="3"/>
        <v>Max Level</v>
      </c>
      <c r="H100" s="482" t="str">
        <f t="shared" si="4"/>
        <v>Max Level</v>
      </c>
      <c r="I100" s="482">
        <f t="shared" si="5"/>
        <v>0</v>
      </c>
      <c r="J100" s="482" t="str">
        <f t="shared" si="6"/>
        <v>Max Level</v>
      </c>
      <c r="K100" s="483" t="str">
        <f t="shared" si="7"/>
        <v/>
      </c>
      <c r="L100" s="484" t="str">
        <f t="shared" si="8"/>
        <v>Max Level</v>
      </c>
      <c r="M100" s="485" t="str">
        <f t="shared" si="18"/>
        <v>Max Level</v>
      </c>
      <c r="N100" s="482" t="str">
        <f t="shared" si="10"/>
        <v>Max Level</v>
      </c>
      <c r="O100" s="484" t="str">
        <f t="shared" si="11"/>
        <v>Max Level</v>
      </c>
      <c r="P100" s="486" t="str">
        <f>VLOOKUP($A100,MS_Labs_Array,3,FALSE)</f>
        <v/>
      </c>
      <c r="Q100" s="485" t="str">
        <f>IFERROR(__xludf.DUMMYFUNCTION("LET(
  Labspeed, IF(A100=""Labs Speed"", 1+'Master Sheet'!$BK$5, LAB_SPEED_TOTAL()),
  Match, MATCH(IF(ISNUMBER(SEARCH(""Mastery"",$A100)),""Card Mastery"",$A100),DVT_Laboratory!B$1:V$1,0)-1,
  Offset, INDEX(DVT_Laboratory!B$3:ZZ$102,,Match+1),
  Desired,"&amp;" IF(P100&lt;&gt;"""", P100,D100),
  IFS(
    Desired &gt; D100, ""Desired lvl too high"",
    AND(Desired = D100, OR(C100 = D100, C100 = ""Max"")), ""Max Level"",
    Desired = C100, ""OK Level"",
    Desired &lt; C100, ""Desired lvl too low"",
    TRUE, TO_PURE_NUMB"&amp;"ER(
      SUM(
        XLOOKUP($C100 + 1, SEQUENCE(100, 1, 1, 1), Offset, ""N/F"", 0, 1): 
        XLOOKUP(Desired, SEQUENCE(100, 1, 1, 1), Offset, ""N/F"", 0, 1)
      ) / Labspeed
    ) /
    IF(AND(B100 &lt;&gt; """", $B$1 = ""All""), RIGHT(B100, 3), 1)
  )
"&amp;")"),"Max Level")</f>
        <v>Max Level</v>
      </c>
      <c r="R100" s="481" t="str">
        <f t="shared" si="12"/>
        <v>Max Level</v>
      </c>
      <c r="S100" s="482" t="str">
        <f t="array" ref="S100">LET(
  Match, MATCH(IF(ISNUMBER(SEARCH("Mastery",$A100)),"Card Mastery",$A100),DVT_Laboratory!B$1:V$1,0)-1,
  Offset, OFFSET(DVT_Laboratory!C$3,0,Match,100,1),
  Desired, IF(P100&lt;&gt;"", P100,D100),
IF(Desired&gt;D100,"Desired lvl too high",
IF(AND(Desired=D100,OR(C100=D100,C100="Max")),"Max Level",
IF(Desired=C100,"OK Level",
IF(Desired&lt;C100,"Desired lvl too low",
SUM(
XLOOKUP(C100+1,SEQUENCE(100,1,1,1),Offset,"N/F",0,1)
:XLOOKUP(Desired,SEQUENCE(100,1,1,1),Offset,"N/F",0,1))*(1-LAB_COIN_DISCOUNT()))))))</f>
        <v>Max Level</v>
      </c>
      <c r="T100" s="482" t="str">
        <f t="shared" si="13"/>
        <v>Max Level</v>
      </c>
      <c r="U100" s="483" t="str">
        <f t="shared" si="14"/>
        <v/>
      </c>
      <c r="V100" s="484" t="str">
        <f t="array" ref="V100">LET(
  Labspeed, IF(A100 ="Labs Speed", 1+'Master Sheet'!$BK$5, LAB_SPEED_TOTAL()),
  Match, MATCH(IF(ISNUMBER(SEARCH("Mastery",$A100)),"Card Mastery",$A100),DVT_Laboratory!B$1:V$1,0)-1,
  Offset, OFFSET(DVT_Laboratory!B$3,0,Match,100,1),
  Desired, IF(P100&lt;&gt;"", P100,D100),
IF(Desired&gt;D100,"Desired lvl too high",
IF(AND(Desired=D100,OR(C100=D100,C100="Max")),"Max Level",
IF(Desired&lt;=C100,"Desired lvl too low",
SUM(TIME_TO_RUSH_GEMS(
    XLOOKUP(C100+1, SEQUENCE(100,1,1,1), Offset, "N/F", 0, 1):
    XLOOKUP(Desired, SEQUENCE(100,1,1,1), Offset, "N/F", 0, 1)/Labspeed, IDS_LAB_GODLBOXED_COUNT()))))))</f>
        <v>Max Level</v>
      </c>
    </row>
    <row r="101">
      <c r="A101" s="475" t="s">
        <v>232</v>
      </c>
      <c r="B101" s="476" t="str">
        <f t="shared" si="1"/>
        <v/>
      </c>
      <c r="C101" s="477">
        <f>VLOOKUP($A101,MS_Labs_Array,2,FALSE)</f>
        <v>0</v>
      </c>
      <c r="D101" s="478">
        <f>VLOOKUP($A101,MS_Labs_Array,4,FALSE)</f>
        <v>30</v>
      </c>
      <c r="E101" s="479" t="str">
        <f t="shared" si="22"/>
        <v>T8 300</v>
      </c>
      <c r="F101" s="480">
        <f t="shared" si="17"/>
        <v>0.05278194384</v>
      </c>
      <c r="G101" s="481" t="str">
        <f t="shared" si="3"/>
        <v>0d  1h 16m</v>
      </c>
      <c r="H101" s="482">
        <f t="shared" si="4"/>
        <v>1592000000</v>
      </c>
      <c r="I101" s="482">
        <f t="shared" si="5"/>
        <v>2395960000</v>
      </c>
      <c r="J101" s="482" t="str">
        <f t="shared" si="6"/>
        <v>1.59 B</v>
      </c>
      <c r="K101" s="483" t="str">
        <f t="shared" si="7"/>
        <v>1.89 B/h</v>
      </c>
      <c r="L101" s="484">
        <f t="shared" si="8"/>
        <v>6</v>
      </c>
      <c r="M101" s="485" t="str">
        <f t="shared" si="18"/>
        <v>0d  3h 23m</v>
      </c>
      <c r="N101" s="482" t="str">
        <f t="shared" si="10"/>
        <v>2.4 B</v>
      </c>
      <c r="O101" s="484">
        <f t="shared" si="11"/>
        <v>14</v>
      </c>
      <c r="P101" s="486" t="str">
        <f>VLOOKUP($A101,MS_Labs_Array,3,FALSE)</f>
        <v/>
      </c>
      <c r="Q101" s="485">
        <f>IFERROR(__xludf.DUMMYFUNCTION("LET(
  Labspeed, IF(A101=""Labs Speed"", 1+'Master Sheet'!$BK$5, LAB_SPEED_TOTAL()),
  Match, MATCH(IF(ISNUMBER(SEARCH(""Mastery"",$A101)),""Card Mastery"",$A101),DVT_Laboratory!B$1:V$1,0)-1,
  Offset, INDEX(DVT_Laboratory!B$3:ZZ$102,,Match+1),
  Desired,"&amp;" IF(P101&lt;&gt;"""", P101,D101),
  IFS(
    Desired &gt; D101, ""Desired lvl too high"",
    AND(Desired = D101, OR(C101 = D101, C101 = ""Max"")), ""Max Level"",
    Desired = C101, ""OK Level"",
    Desired &lt; C101, ""Desired lvl too low"",
    TRUE, TO_PURE_NUMB"&amp;"ER(
      SUM(
        XLOOKUP($C101 + 1, SEQUENCE(100, 1, 1, 1), Offset, ""N/F"", 0, 1): 
        XLOOKUP(Desired, SEQUENCE(100, 1, 1, 1), Offset, ""N/F"", 0, 1)
      ) / Labspeed
    ) /
    IF(AND(B101 &lt;&gt; """", $B$1 = ""All""), RIGHT(B101, 3), 1)
  )
"&amp;")"),228.0942576069549)</f>
        <v>228.0942576</v>
      </c>
      <c r="R101" s="481" t="str">
        <f t="shared" si="12"/>
        <v>228d  2h 15m</v>
      </c>
      <c r="S101" s="482">
        <f t="array" ref="S101">LET(
  Match, MATCH(IF(ISNUMBER(SEARCH("Mastery",$A101)),"Card Mastery",$A101),DVT_Laboratory!B$1:V$1,0)-1,
  Offset, OFFSET(DVT_Laboratory!C$3,0,Match,100,1),
  Desired, IF(P101&lt;&gt;"", P101,D101),
IF(Desired&gt;D101,"Desired lvl too high",
IF(AND(Desired=D101,OR(C101=D101,C101="Max")),"Max Level",
IF(Desired=C101,"OK Level",
IF(Desired&lt;C101,"Desired lvl too low",
SUM(
XLOOKUP(C101+1,SEQUENCE(100,1,1,1),Offset,"N/F",0,1)
:XLOOKUP(Desired,SEQUENCE(100,1,1,1),Offset,"N/F",0,1))*(1-LAB_COIN_DISCOUNT()))))))</f>
        <v>9543490760000</v>
      </c>
      <c r="T101" s="482" t="str">
        <f t="shared" si="13"/>
        <v>9.54 T</v>
      </c>
      <c r="U101" s="483" t="str">
        <f t="shared" si="14"/>
        <v>1.74 B/h</v>
      </c>
      <c r="V101" s="484">
        <f t="array" ref="V101">LET(
  Labspeed, IF(A101 ="Labs Speed", 1+'Master Sheet'!$BK$5, LAB_SPEED_TOTAL()),
  Match, MATCH(IF(ISNUMBER(SEARCH("Mastery",$A101)),"Card Mastery",$A101),DVT_Laboratory!B$1:V$1,0)-1,
  Offset, OFFSET(DVT_Laboratory!B$3,0,Match,100,1),
  Desired, IF(P101&lt;&gt;"", P101,D101),
IF(Desired&gt;D101,"Desired lvl too high",
IF(AND(Desired=D101,OR(C101=D101,C101="Max")),"Max Level",
IF(Desired&lt;=C101,"Desired lvl too low",
SUM(TIME_TO_RUSH_GEMS(
    XLOOKUP(C101+1, SEQUENCE(100,1,1,1), Offset, "N/F", 0, 1):
    XLOOKUP(Desired, SEQUENCE(100,1,1,1), Offset, "N/F", 0, 1)/Labspeed, IDS_LAB_GODLBOXED_COUNT()))))))</f>
        <v>16999</v>
      </c>
    </row>
    <row r="102">
      <c r="A102" s="487" t="s">
        <v>243</v>
      </c>
      <c r="B102" s="476" t="str">
        <f t="shared" si="1"/>
        <v/>
      </c>
      <c r="C102" s="477">
        <f>VLOOKUP($A102,MS_Labs_Array,2,FALSE)</f>
        <v>7</v>
      </c>
      <c r="D102" s="479">
        <f>VLOOKUP($A102,MS_Labs_Array,4,FALSE)</f>
        <v>7</v>
      </c>
      <c r="E102" s="479" t="str">
        <f t="shared" si="22"/>
        <v>T14 60</v>
      </c>
      <c r="F102" s="480" t="str">
        <f t="shared" si="17"/>
        <v>Max Level</v>
      </c>
      <c r="G102" s="481" t="str">
        <f t="shared" si="3"/>
        <v>Max Level</v>
      </c>
      <c r="H102" s="482" t="str">
        <f t="shared" si="4"/>
        <v>Max Level</v>
      </c>
      <c r="I102" s="482">
        <f t="shared" si="5"/>
        <v>0</v>
      </c>
      <c r="J102" s="482" t="str">
        <f t="shared" si="6"/>
        <v>Max Level</v>
      </c>
      <c r="K102" s="483" t="str">
        <f t="shared" si="7"/>
        <v/>
      </c>
      <c r="L102" s="484" t="str">
        <f t="shared" si="8"/>
        <v>Max Level</v>
      </c>
      <c r="M102" s="485" t="str">
        <f t="shared" si="18"/>
        <v>Max Level</v>
      </c>
      <c r="N102" s="482" t="str">
        <f t="shared" si="10"/>
        <v>Max Level</v>
      </c>
      <c r="O102" s="484" t="str">
        <f t="shared" si="11"/>
        <v>Max Level</v>
      </c>
      <c r="P102" s="486" t="str">
        <f>VLOOKUP($A102,MS_Labs_Array,3,FALSE)</f>
        <v/>
      </c>
      <c r="Q102" s="485" t="str">
        <f>IFERROR(__xludf.DUMMYFUNCTION("LET(
  Labspeed, IF(A102=""Labs Speed"", 1+'Master Sheet'!$BK$5, LAB_SPEED_TOTAL()),
  Match, MATCH(IF(ISNUMBER(SEARCH(""Mastery"",$A102)),""Card Mastery"",$A102),DVT_Laboratory!B$1:V$1,0)-1,
  Offset, INDEX(DVT_Laboratory!B$3:ZZ$102,,Match+1),
  Desired,"&amp;" IF(P102&lt;&gt;"""", P102,D102),
  IFS(
    Desired &gt; D102, ""Desired lvl too high"",
    AND(Desired = D102, OR(C102 = D102, C102 = ""Max"")), ""Max Level"",
    Desired = C102, ""OK Level"",
    Desired &lt; C102, ""Desired lvl too low"",
    TRUE, TO_PURE_NUMB"&amp;"ER(
      SUM(
        XLOOKUP($C102 + 1, SEQUENCE(100, 1, 1, 1), Offset, ""N/F"", 0, 1): 
        XLOOKUP(Desired, SEQUENCE(100, 1, 1, 1), Offset, ""N/F"", 0, 1)
      ) / Labspeed
    ) /
    IF(AND(B102 &lt;&gt; """", $B$1 = ""All""), RIGHT(B102, 3), 1)
  )
"&amp;")"),"Max Level")</f>
        <v>Max Level</v>
      </c>
      <c r="R102" s="481" t="str">
        <f t="shared" si="12"/>
        <v>Max Level</v>
      </c>
      <c r="S102" s="482" t="str">
        <f t="array" ref="S102">LET(
  Match, MATCH(IF(ISNUMBER(SEARCH("Mastery",$A102)),"Card Mastery",$A102),DVT_Laboratory!B$1:V$1,0)-1,
  Offset, OFFSET(DVT_Laboratory!C$3,0,Match,100,1),
  Desired, IF(P102&lt;&gt;"", P102,D102),
IF(Desired&gt;D102,"Desired lvl too high",
IF(AND(Desired=D102,OR(C102=D102,C102="Max")),"Max Level",
IF(Desired=C102,"OK Level",
IF(Desired&lt;C102,"Desired lvl too low",
SUM(
XLOOKUP(C102+1,SEQUENCE(100,1,1,1),Offset,"N/F",0,1)
:XLOOKUP(Desired,SEQUENCE(100,1,1,1),Offset,"N/F",0,1))*(1-LAB_COIN_DISCOUNT()))))))</f>
        <v>Max Level</v>
      </c>
      <c r="T102" s="482" t="str">
        <f t="shared" si="13"/>
        <v>Max Level</v>
      </c>
      <c r="U102" s="483" t="str">
        <f t="shared" si="14"/>
        <v/>
      </c>
      <c r="V102" s="484" t="str">
        <f t="array" ref="V102">LET(
  Labspeed, IF(A102 ="Labs Speed", 1+'Master Sheet'!$BK$5, LAB_SPEED_TOTAL()),
  Match, MATCH(IF(ISNUMBER(SEARCH("Mastery",$A102)),"Card Mastery",$A102),DVT_Laboratory!B$1:V$1,0)-1,
  Offset, OFFSET(DVT_Laboratory!B$3,0,Match,100,1),
  Desired, IF(P102&lt;&gt;"", P102,D102),
IF(Desired&gt;D102,"Desired lvl too high",
IF(AND(Desired=D102,OR(C102=D102,C102="Max")),"Max Level",
IF(Desired&lt;=C102,"Desired lvl too low",
SUM(TIME_TO_RUSH_GEMS(
    XLOOKUP(C102+1, SEQUENCE(100,1,1,1), Offset, "N/F", 0, 1):
    XLOOKUP(Desired, SEQUENCE(100,1,1,1), Offset, "N/F", 0, 1)/Labspeed, IDS_LAB_GODLBOXED_COUNT()))))))</f>
        <v>Max Level</v>
      </c>
    </row>
    <row r="103">
      <c r="A103" s="488" t="s">
        <v>254</v>
      </c>
      <c r="B103" s="476" t="str">
        <f t="shared" si="1"/>
        <v/>
      </c>
      <c r="C103" s="477">
        <f>VLOOKUP($A103,MS_Labs_Array,2,FALSE)</f>
        <v>4</v>
      </c>
      <c r="D103" s="479">
        <f>VLOOKUP($A103,MS_Labs_Array,4,FALSE)</f>
        <v>7</v>
      </c>
      <c r="E103" s="479" t="str">
        <f t="shared" si="22"/>
        <v>T14 60</v>
      </c>
      <c r="F103" s="480">
        <f t="shared" si="17"/>
        <v>3.5797544</v>
      </c>
      <c r="G103" s="481" t="str">
        <f t="shared" si="3"/>
        <v>3d 13h 54m</v>
      </c>
      <c r="H103" s="482">
        <f t="shared" si="4"/>
        <v>2037760000000</v>
      </c>
      <c r="I103" s="482">
        <f t="shared" si="5"/>
        <v>2443720000000</v>
      </c>
      <c r="J103" s="482" t="str">
        <f t="shared" si="6"/>
        <v>2.04 T</v>
      </c>
      <c r="K103" s="483" t="str">
        <f t="shared" si="7"/>
        <v>28.44 B/h</v>
      </c>
      <c r="L103" s="484">
        <f t="shared" si="8"/>
        <v>304</v>
      </c>
      <c r="M103" s="485" t="str">
        <f t="shared" si="18"/>
        <v>6d  7h 22m</v>
      </c>
      <c r="N103" s="482" t="str">
        <f t="shared" si="10"/>
        <v>2.44 T</v>
      </c>
      <c r="O103" s="484">
        <f t="shared" si="11"/>
        <v>526</v>
      </c>
      <c r="P103" s="486" t="str">
        <f>VLOOKUP($A103,MS_Labs_Array,3,FALSE)</f>
        <v/>
      </c>
      <c r="Q103" s="485">
        <f>IFERROR(__xludf.DUMMYFUNCTION("LET(
  Labspeed, IF(A103=""Labs Speed"", 1+'Master Sheet'!$BK$5, LAB_SPEED_TOTAL()),
  Match, MATCH(IF(ISNUMBER(SEARCH(""Mastery"",$A103)),""Card Mastery"",$A103),DVT_Laboratory!B$1:V$1,0)-1,
  Offset, INDEX(DVT_Laboratory!B$3:ZZ$102,,Match+1),
  Desired,"&amp;" IF(P103&lt;&gt;"""", P103,D103),
  IFS(
    Desired &gt; D103, ""Desired lvl too high"",
    AND(Desired = D103, OR(C103 = D103, C103 = ""Max"")), ""Max Level"",
    Desired = C103, ""OK Level"",
    Desired &lt; C103, ""Desired lvl too low"",
    TRUE, TO_PURE_NUMB"&amp;"ER(
      SUM(
        XLOOKUP($C103 + 1, SEQUENCE(100, 1, 1, 1), Offset, ""N/F"", 0, 1): 
        XLOOKUP(Desired, SEQUENCE(100, 1, 1, 1), Offset, ""N/F"", 0, 1)
      ) / Labspeed
    ) /
    IF(AND(B103 &lt;&gt; """", $B$1 = ""All""), RIGHT(B103, 3), 1)
  )
"&amp;")"),22.93804129442745)</f>
        <v>22.93804129</v>
      </c>
      <c r="R103" s="481" t="str">
        <f t="shared" si="12"/>
        <v>22d 22h 30m</v>
      </c>
      <c r="S103" s="482">
        <f t="array" ref="S103">LET(
  Match, MATCH(IF(ISNUMBER(SEARCH("Mastery",$A103)),"Card Mastery",$A103),DVT_Laboratory!B$1:V$1,0)-1,
  Offset, OFFSET(DVT_Laboratory!C$3,0,Match,100,1),
  Desired, IF(P103&lt;&gt;"", P103,D103),
IF(Desired&gt;D103,"Desired lvl too high",
IF(AND(Desired=D103,OR(C103=D103,C103="Max")),"Max Level",
IF(Desired=C103,"OK Level",
IF(Desired&lt;C103,"Desired lvl too low",
SUM(
XLOOKUP(C103+1,SEQUENCE(100,1,1,1),Offset,"N/F",0,1)
:XLOOKUP(Desired,SEQUENCE(100,1,1,1),Offset,"N/F",0,1))*(1-LAB_COIN_DISCOUNT()))))))</f>
        <v>7347080000000</v>
      </c>
      <c r="T103" s="482" t="str">
        <f t="shared" si="13"/>
        <v>7.35 T</v>
      </c>
      <c r="U103" s="483" t="str">
        <f t="shared" si="14"/>
        <v>13.35 B/h</v>
      </c>
      <c r="V103" s="484">
        <f t="array" ref="V103">LET(
  Labspeed, IF(A103 ="Labs Speed", 1+'Master Sheet'!$BK$5, LAB_SPEED_TOTAL()),
  Match, MATCH(IF(ISNUMBER(SEARCH("Mastery",$A103)),"Card Mastery",$A103),DVT_Laboratory!B$1:V$1,0)-1,
  Offset, OFFSET(DVT_Laboratory!B$3,0,Match,100,1),
  Desired, IF(P103&lt;&gt;"", P103,D103),
IF(Desired&gt;D103,"Desired lvl too high",
IF(AND(Desired=D103,OR(C103=D103,C103="Max")),"Max Level",
IF(Desired&lt;=C103,"Desired lvl too low",
SUM(TIME_TO_RUSH_GEMS(
    XLOOKUP(C103+1, SEQUENCE(100,1,1,1), Offset, "N/F", 0, 1):
    XLOOKUP(Desired, SEQUENCE(100,1,1,1), Offset, "N/F", 0, 1)/Labspeed, IDS_LAB_GODLBOXED_COUNT()))))))</f>
        <v>1802</v>
      </c>
    </row>
    <row r="104">
      <c r="A104" s="488" t="s">
        <v>265</v>
      </c>
      <c r="B104" s="476" t="str">
        <f t="shared" si="1"/>
        <v/>
      </c>
      <c r="C104" s="477">
        <f>VLOOKUP($A104,MS_Labs_Array,2,FALSE)</f>
        <v>2</v>
      </c>
      <c r="D104" s="479">
        <f>VLOOKUP($A104,MS_Labs_Array,4,FALSE)</f>
        <v>7</v>
      </c>
      <c r="E104" s="479" t="str">
        <f t="shared" si="22"/>
        <v>T14 60</v>
      </c>
      <c r="F104" s="480">
        <f t="shared" si="17"/>
        <v>2.043252596</v>
      </c>
      <c r="G104" s="481" t="str">
        <f t="shared" si="3"/>
        <v>2d  1h  2m</v>
      </c>
      <c r="H104" s="482">
        <f t="shared" si="4"/>
        <v>1233800000000</v>
      </c>
      <c r="I104" s="482">
        <f t="shared" si="5"/>
        <v>1631800000000</v>
      </c>
      <c r="J104" s="482" t="str">
        <f t="shared" si="6"/>
        <v>1.23 T</v>
      </c>
      <c r="K104" s="483" t="str">
        <f t="shared" si="7"/>
        <v>33.28 B/h</v>
      </c>
      <c r="L104" s="484">
        <f t="shared" si="8"/>
        <v>180</v>
      </c>
      <c r="M104" s="485" t="str">
        <f t="shared" si="18"/>
        <v>2d 12h 47m</v>
      </c>
      <c r="N104" s="482" t="str">
        <f t="shared" si="10"/>
        <v>1.63 T</v>
      </c>
      <c r="O104" s="484">
        <f t="shared" si="11"/>
        <v>220</v>
      </c>
      <c r="P104" s="486" t="str">
        <f>VLOOKUP($A104,MS_Labs_Array,3,FALSE)</f>
        <v/>
      </c>
      <c r="Q104" s="485">
        <f>IFERROR(__xludf.DUMMYFUNCTION("LET(
  Labspeed, IF(A104=""Labs Speed"", 1+'Master Sheet'!$BK$5, LAB_SPEED_TOTAL()),
  Match, MATCH(IF(ISNUMBER(SEARCH(""Mastery"",$A104)),""Card Mastery"",$A104),DVT_Laboratory!B$1:V$1,0)-1,
  Offset, INDEX(DVT_Laboratory!B$3:ZZ$102,,Match+1),
  Desired,"&amp;" IF(P104&lt;&gt;"""", P104,D104),
  IFS(
    Desired &gt; D104, ""Desired lvl too high"",
    AND(Desired = D104, OR(C104 = D104, C104 = ""Max"")), ""Max Level"",
    Desired = C104, ""OK Level"",
    Desired &lt; C104, ""Desired lvl too low"",
    TRUE, TO_PURE_NUMB"&amp;"ER(
      SUM(
        XLOOKUP($C104 + 1, SEQUENCE(100, 1, 1, 1), Offset, ""N/F"", 0, 1): 
        XLOOKUP(Desired, SEQUENCE(100, 1, 1, 1), Offset, ""N/F"", 0, 1)
      ) / Labspeed
    ) /
    IF(AND(B104 &lt;&gt; """", $B$1 = ""All""), RIGHT(B104, 3), 1)
  )
"&amp;")"),27.51456240296831)</f>
        <v>27.5145624</v>
      </c>
      <c r="R104" s="481" t="str">
        <f t="shared" si="12"/>
        <v>27d 12h 20m</v>
      </c>
      <c r="S104" s="482">
        <f t="array" ref="S104">LET(
  Match, MATCH(IF(ISNUMBER(SEARCH("Mastery",$A104)),"Card Mastery",$A104),DVT_Laboratory!B$1:V$1,0)-1,
  Offset, OFFSET(DVT_Laboratory!C$3,0,Match,100,1),
  Desired, IF(P104&lt;&gt;"", P104,D104),
IF(Desired&gt;D104,"Desired lvl too high",
IF(AND(Desired=D104,OR(C104=D104,C104="Max")),"Max Level",
IF(Desired=C104,"OK Level",
IF(Desired&lt;C104,"Desired lvl too low",
SUM(
XLOOKUP(C104+1,SEQUENCE(100,1,1,1),Offset,"N/F",0,1)
:XLOOKUP(Desired,SEQUENCE(100,1,1,1),Offset,"N/F",0,1))*(1-LAB_COIN_DISCOUNT()))))))</f>
        <v>10212680000000</v>
      </c>
      <c r="T104" s="482" t="str">
        <f t="shared" si="13"/>
        <v>10.21 T</v>
      </c>
      <c r="U104" s="483" t="str">
        <f t="shared" si="14"/>
        <v>15.47 B/h</v>
      </c>
      <c r="V104" s="484">
        <f t="array" ref="V104">LET(
  Labspeed, IF(A104 ="Labs Speed", 1+'Master Sheet'!$BK$5, LAB_SPEED_TOTAL()),
  Match, MATCH(IF(ISNUMBER(SEARCH("Mastery",$A104)),"Card Mastery",$A104),DVT_Laboratory!B$1:V$1,0)-1,
  Offset, OFFSET(DVT_Laboratory!B$3,0,Match,100,1),
  Desired, IF(P104&lt;&gt;"", P104,D104),
IF(Desired&gt;D104,"Desired lvl too high",
IF(AND(Desired=D104,OR(C104=D104,C104="Max")),"Max Level",
IF(Desired&lt;=C104,"Desired lvl too low",
SUM(TIME_TO_RUSH_GEMS(
    XLOOKUP(C104+1, SEQUENCE(100,1,1,1), Offset, "N/F", 0, 1):
    XLOOKUP(Desired, SEQUENCE(100,1,1,1), Offset, "N/F", 0, 1)/Labspeed, IDS_LAB_GODLBOXED_COUNT()))))))</f>
        <v>2202</v>
      </c>
    </row>
    <row r="105">
      <c r="A105" s="489" t="s">
        <v>160</v>
      </c>
      <c r="B105" s="490" t="str">
        <f t="shared" si="1"/>
        <v/>
      </c>
      <c r="C105" s="491">
        <f>VLOOKUP($A105,MS_Labs_Array,2,FALSE)</f>
        <v>1</v>
      </c>
      <c r="D105" s="492">
        <f>VLOOKUP($A105,MS_Labs_Array,4,FALSE)</f>
        <v>1</v>
      </c>
      <c r="E105" s="493" t="str">
        <f t="shared" si="22"/>
        <v>T2 150</v>
      </c>
      <c r="F105" s="494" t="str">
        <f t="shared" si="17"/>
        <v>Max Level</v>
      </c>
      <c r="G105" s="495" t="str">
        <f t="shared" si="3"/>
        <v>Max Level</v>
      </c>
      <c r="H105" s="496" t="str">
        <f t="shared" si="4"/>
        <v>Max Level</v>
      </c>
      <c r="I105" s="496">
        <f t="shared" si="5"/>
        <v>0</v>
      </c>
      <c r="J105" s="496" t="str">
        <f t="shared" si="6"/>
        <v>Max Level</v>
      </c>
      <c r="K105" s="497" t="str">
        <f t="shared" si="7"/>
        <v/>
      </c>
      <c r="L105" s="498" t="str">
        <f t="shared" si="8"/>
        <v>Max Level</v>
      </c>
      <c r="M105" s="499" t="str">
        <f t="shared" si="18"/>
        <v>Max Level</v>
      </c>
      <c r="N105" s="496" t="str">
        <f t="shared" si="10"/>
        <v>Max Level</v>
      </c>
      <c r="O105" s="498" t="str">
        <f t="shared" si="11"/>
        <v>Max Level</v>
      </c>
      <c r="P105" s="500" t="str">
        <f>VLOOKUP($A105,MS_Labs_Array,3,FALSE)</f>
        <v/>
      </c>
      <c r="Q105" s="499" t="str">
        <f>IFERROR(__xludf.DUMMYFUNCTION("LET(
  Labspeed, IF(A105=""Labs Speed"", 1+'Master Sheet'!$BK$5, LAB_SPEED_TOTAL()),
  Match, MATCH(IF(ISNUMBER(SEARCH(""Mastery"",$A105)),""Card Mastery"",$A105),DVT_Laboratory!B$1:V$1,0)-1,
  Offset, INDEX(DVT_Laboratory!B$3:ZZ$102,,Match+1),
  Desired,"&amp;" IF(P105&lt;&gt;"""", P105,D105),
  IFS(
    Desired &gt; D105, ""Desired lvl too high"",
    AND(Desired = D105, OR(C105 = D105, C105 = ""Max"")), ""Max Level"",
    Desired = C105, ""OK Level"",
    Desired &lt; C105, ""Desired lvl too low"",
    TRUE, TO_PURE_NUMB"&amp;"ER(
      SUM(
        XLOOKUP($C105 + 1, SEQUENCE(100, 1, 1, 1), Offset, ""N/F"", 0, 1): 
        XLOOKUP(Desired, SEQUENCE(100, 1, 1, 1), Offset, ""N/F"", 0, 1)
      ) / Labspeed
    ) /
    IF(AND(B105 &lt;&gt; """", $B$1 = ""All""), RIGHT(B105, 3), 1)
  )
"&amp;")"),"Max Level")</f>
        <v>Max Level</v>
      </c>
      <c r="R105" s="495" t="str">
        <f t="shared" si="12"/>
        <v>Max Level</v>
      </c>
      <c r="S105" s="496" t="str">
        <f t="array" ref="S105">LET(
  Match, MATCH(IF(ISNUMBER(SEARCH("Mastery",$A105)),"Card Mastery",$A105),DVT_Laboratory!B$1:V$1,0)-1,
  Offset, OFFSET(DVT_Laboratory!C$3,0,Match,100,1),
  Desired, IF(P105&lt;&gt;"", P105,D105),
IF(Desired&gt;D105,"Desired lvl too high",
IF(AND(Desired=D105,OR(C105=D105,C105="Max")),"Max Level",
IF(Desired=C105,"OK Level",
IF(Desired&lt;C105,"Desired lvl too low",
SUM(
XLOOKUP(C105+1,SEQUENCE(100,1,1,1),Offset,"N/F",0,1)
:XLOOKUP(Desired,SEQUENCE(100,1,1,1),Offset,"N/F",0,1))*(1-LAB_COIN_DISCOUNT()))))))</f>
        <v>Max Level</v>
      </c>
      <c r="T105" s="496" t="str">
        <f t="shared" si="13"/>
        <v>Max Level</v>
      </c>
      <c r="U105" s="497" t="str">
        <f t="shared" si="14"/>
        <v/>
      </c>
      <c r="V105" s="498" t="str">
        <f t="array" ref="V105">LET(
  Labspeed, IF(A105 ="Labs Speed", 1+'Master Sheet'!$BK$5, LAB_SPEED_TOTAL()),
  Match, MATCH(IF(ISNUMBER(SEARCH("Mastery",$A105)),"Card Mastery",$A105),DVT_Laboratory!B$1:V$1,0)-1,
  Offset, OFFSET(DVT_Laboratory!B$3,0,Match,100,1),
  Desired, IF(P105&lt;&gt;"", P105,D105),
IF(Desired&gt;D105,"Desired lvl too high",
IF(AND(Desired=D105,OR(C105=D105,C105="Max")),"Max Level",
IF(Desired&lt;=C105,"Desired lvl too low",
SUM(TIME_TO_RUSH_GEMS(
    XLOOKUP(C105+1, SEQUENCE(100,1,1,1), Offset, "N/F", 0, 1):
    XLOOKUP(Desired, SEQUENCE(100,1,1,1), Offset, "N/F", 0, 1)/Labspeed, IDS_LAB_GODLBOXED_COUNT()))))))</f>
        <v>Max Level</v>
      </c>
    </row>
    <row r="106">
      <c r="A106" s="489" t="s">
        <v>175</v>
      </c>
      <c r="B106" s="490" t="str">
        <f t="shared" si="1"/>
        <v/>
      </c>
      <c r="C106" s="491">
        <f>VLOOKUP($A106,MS_Labs_Array,2,FALSE)</f>
        <v>13</v>
      </c>
      <c r="D106" s="492">
        <f>VLOOKUP($A106,MS_Labs_Array,4,FALSE)</f>
        <v>100</v>
      </c>
      <c r="E106" s="493" t="str">
        <f t="shared" si="22"/>
        <v>T2 150</v>
      </c>
      <c r="F106" s="494">
        <f t="shared" si="17"/>
        <v>2.107923717</v>
      </c>
      <c r="G106" s="495" t="str">
        <f t="shared" si="3"/>
        <v>2d  2h 35m</v>
      </c>
      <c r="H106" s="496">
        <f t="shared" si="4"/>
        <v>5914280000</v>
      </c>
      <c r="I106" s="496">
        <f t="shared" si="5"/>
        <v>8564960000</v>
      </c>
      <c r="J106" s="496" t="str">
        <f t="shared" si="6"/>
        <v>5.91 B</v>
      </c>
      <c r="K106" s="497" t="str">
        <f t="shared" si="7"/>
        <v>169.3 M/h</v>
      </c>
      <c r="L106" s="498">
        <f t="shared" si="8"/>
        <v>185</v>
      </c>
      <c r="M106" s="499" t="str">
        <f t="shared" si="18"/>
        <v>2d 15h  2m</v>
      </c>
      <c r="N106" s="496" t="str">
        <f t="shared" si="10"/>
        <v>8.56 B</v>
      </c>
      <c r="O106" s="498">
        <f t="shared" si="11"/>
        <v>227</v>
      </c>
      <c r="P106" s="500">
        <f>VLOOKUP($A106,MS_Labs_Array,3,FALSE)</f>
        <v>17</v>
      </c>
      <c r="Q106" s="499">
        <f>IFERROR(__xludf.DUMMYFUNCTION("LET(
  Labspeed, IF(A106=""Labs Speed"", 1+'Master Sheet'!$BK$5, LAB_SPEED_TOTAL()),
  Match, MATCH(IF(ISNUMBER(SEARCH(""Mastery"",$A106)),""Card Mastery"",$A106),DVT_Laboratory!B$1:V$1,0)-1,
  Offset, INDEX(DVT_Laboratory!B$3:ZZ$102,,Match+1),
  Desired,"&amp;" IF(P106&lt;&gt;"""", P106,D106),
  IFS(
    Desired &gt; D106, ""Desired lvl too high"",
    AND(Desired = D106, OR(C106 = D106, C106 = ""Max"")), ""Max Level"",
    Desired = C106, ""OK Level"",
    Desired &lt; C106, ""Desired lvl too low"",
    TRUE, TO_PURE_NUMB"&amp;"ER(
      SUM(
        XLOOKUP($C106 + 1, SEQUENCE(100, 1, 1, 1), Offset, ""N/F"", 0, 1): 
        XLOOKUP(Desired, SEQUENCE(100, 1, 1, 1), Offset, ""N/F"", 0, 1)
      ) / Labspeed
    ) /
    IF(AND(B106 &lt;&gt; """", $B$1 = ""All""), RIGHT(B106, 3), 1)
  )
"&amp;")"),11.930131534722399)</f>
        <v>11.93013153</v>
      </c>
      <c r="R106" s="495" t="str">
        <f t="shared" si="12"/>
        <v>11d 22h 19m</v>
      </c>
      <c r="S106" s="496">
        <f t="array" ref="S106">LET(
  Match, MATCH(IF(ISNUMBER(SEARCH("Mastery",$A106)),"Card Mastery",$A106),DVT_Laboratory!B$1:V$1,0)-1,
  Offset, OFFSET(DVT_Laboratory!C$3,0,Match,100,1),
  Desired, IF(P106&lt;&gt;"", P106,D106),
IF(Desired&gt;D106,"Desired lvl too high",
IF(AND(Desired=D106,OR(C106=D106,C106="Max")),"Max Level",
IF(Desired=C106,"OK Level",
IF(Desired&lt;C106,"Desired lvl too low",
SUM(
XLOOKUP(C106+1,SEQUENCE(100,1,1,1),Offset,"N/F",0,1)
:XLOOKUP(Desired,SEQUENCE(100,1,1,1),Offset,"N/F",0,1))*(1-LAB_COIN_DISCOUNT()))))))</f>
        <v>43262600000</v>
      </c>
      <c r="T106" s="496" t="str">
        <f t="shared" si="13"/>
        <v>43.26 B</v>
      </c>
      <c r="U106" s="497" t="str">
        <f t="shared" si="14"/>
        <v>151.1 M/h</v>
      </c>
      <c r="V106" s="498">
        <f t="array" ref="V106">LET(
  Labspeed, IF(A106 ="Labs Speed", 1+'Master Sheet'!$BK$5, LAB_SPEED_TOTAL()),
  Match, MATCH(IF(ISNUMBER(SEARCH("Mastery",$A106)),"Card Mastery",$A106),DVT_Laboratory!B$1:V$1,0)-1,
  Offset, OFFSET(DVT_Laboratory!B$3,0,Match,100,1),
  Desired, IF(P106&lt;&gt;"", P106,D106),
IF(Desired&gt;D106,"Desired lvl too high",
IF(AND(Desired=D106,OR(C106=D106,C106="Max")),"Max Level",
IF(Desired&lt;=C106,"Desired lvl too low",
SUM(TIME_TO_RUSH_GEMS(
    XLOOKUP(C106+1, SEQUENCE(100,1,1,1), Offset, "N/F", 0, 1):
    XLOOKUP(Desired, SEQUENCE(100,1,1,1), Offset, "N/F", 0, 1)/Labspeed, IDS_LAB_GODLBOXED_COUNT()))))))</f>
        <v>1024</v>
      </c>
    </row>
    <row r="107">
      <c r="A107" s="489" t="s">
        <v>186</v>
      </c>
      <c r="B107" s="490" t="str">
        <f t="shared" si="1"/>
        <v/>
      </c>
      <c r="C107" s="491">
        <f>VLOOKUP($A107,MS_Labs_Array,2,FALSE)</f>
        <v>1</v>
      </c>
      <c r="D107" s="492">
        <f>VLOOKUP($A107,MS_Labs_Array,4,FALSE)</f>
        <v>1</v>
      </c>
      <c r="E107" s="493" t="str">
        <f t="shared" si="22"/>
        <v>T4 50</v>
      </c>
      <c r="F107" s="494" t="str">
        <f t="shared" si="17"/>
        <v>Max Level</v>
      </c>
      <c r="G107" s="495" t="str">
        <f t="shared" si="3"/>
        <v>Max Level</v>
      </c>
      <c r="H107" s="496" t="str">
        <f t="shared" si="4"/>
        <v>Max Level</v>
      </c>
      <c r="I107" s="496">
        <f t="shared" si="5"/>
        <v>0</v>
      </c>
      <c r="J107" s="496" t="str">
        <f t="shared" si="6"/>
        <v>Max Level</v>
      </c>
      <c r="K107" s="497" t="str">
        <f t="shared" si="7"/>
        <v/>
      </c>
      <c r="L107" s="498" t="str">
        <f t="shared" si="8"/>
        <v>Max Level</v>
      </c>
      <c r="M107" s="499" t="str">
        <f t="shared" si="18"/>
        <v>Max Level</v>
      </c>
      <c r="N107" s="496" t="str">
        <f t="shared" si="10"/>
        <v>Max Level</v>
      </c>
      <c r="O107" s="498" t="str">
        <f t="shared" si="11"/>
        <v>Max Level</v>
      </c>
      <c r="P107" s="500" t="str">
        <f>VLOOKUP($A107,MS_Labs_Array,3,FALSE)</f>
        <v/>
      </c>
      <c r="Q107" s="499" t="str">
        <f>IFERROR(__xludf.DUMMYFUNCTION("LET(
  Labspeed, IF(A107=""Labs Speed"", 1+'Master Sheet'!$BK$5, LAB_SPEED_TOTAL()),
  Match, MATCH(IF(ISNUMBER(SEARCH(""Mastery"",$A107)),""Card Mastery"",$A107),DVT_Laboratory!B$1:V$1,0)-1,
  Offset, INDEX(DVT_Laboratory!B$3:ZZ$102,,Match+1),
  Desired,"&amp;" IF(P107&lt;&gt;"""", P107,D107),
  IFS(
    Desired &gt; D107, ""Desired lvl too high"",
    AND(Desired = D107, OR(C107 = D107, C107 = ""Max"")), ""Max Level"",
    Desired = C107, ""OK Level"",
    Desired &lt; C107, ""Desired lvl too low"",
    TRUE, TO_PURE_NUMB"&amp;"ER(
      SUM(
        XLOOKUP($C107 + 1, SEQUENCE(100, 1, 1, 1), Offset, ""N/F"", 0, 1): 
        XLOOKUP(Desired, SEQUENCE(100, 1, 1, 1), Offset, ""N/F"", 0, 1)
      ) / Labspeed
    ) /
    IF(AND(B107 &lt;&gt; """", $B$1 = ""All""), RIGHT(B107, 3), 1)
  )
"&amp;")"),"Max Level")</f>
        <v>Max Level</v>
      </c>
      <c r="R107" s="495" t="str">
        <f t="shared" si="12"/>
        <v>Max Level</v>
      </c>
      <c r="S107" s="496" t="str">
        <f t="array" ref="S107">LET(
  Match, MATCH(IF(ISNUMBER(SEARCH("Mastery",$A107)),"Card Mastery",$A107),DVT_Laboratory!B$1:V$1,0)-1,
  Offset, OFFSET(DVT_Laboratory!C$3,0,Match,100,1),
  Desired, IF(P107&lt;&gt;"", P107,D107),
IF(Desired&gt;D107,"Desired lvl too high",
IF(AND(Desired=D107,OR(C107=D107,C107="Max")),"Max Level",
IF(Desired=C107,"OK Level",
IF(Desired&lt;C107,"Desired lvl too low",
SUM(
XLOOKUP(C107+1,SEQUENCE(100,1,1,1),Offset,"N/F",0,1)
:XLOOKUP(Desired,SEQUENCE(100,1,1,1),Offset,"N/F",0,1))*(1-LAB_COIN_DISCOUNT()))))))</f>
        <v>Max Level</v>
      </c>
      <c r="T107" s="496" t="str">
        <f t="shared" si="13"/>
        <v>Max Level</v>
      </c>
      <c r="U107" s="497" t="str">
        <f t="shared" si="14"/>
        <v/>
      </c>
      <c r="V107" s="498" t="str">
        <f t="array" ref="V107">LET(
  Labspeed, IF(A107 ="Labs Speed", 1+'Master Sheet'!$BK$5, LAB_SPEED_TOTAL()),
  Match, MATCH(IF(ISNUMBER(SEARCH("Mastery",$A107)),"Card Mastery",$A107),DVT_Laboratory!B$1:V$1,0)-1,
  Offset, OFFSET(DVT_Laboratory!B$3,0,Match,100,1),
  Desired, IF(P107&lt;&gt;"", P107,D107),
IF(Desired&gt;D107,"Desired lvl too high",
IF(AND(Desired=D107,OR(C107=D107,C107="Max")),"Max Level",
IF(Desired&lt;=C107,"Desired lvl too low",
SUM(TIME_TO_RUSH_GEMS(
    XLOOKUP(C107+1, SEQUENCE(100,1,1,1), Offset, "N/F", 0, 1):
    XLOOKUP(Desired, SEQUENCE(100,1,1,1), Offset, "N/F", 0, 1)/Labspeed, IDS_LAB_GODLBOXED_COUNT()))))))</f>
        <v>Max Level</v>
      </c>
    </row>
    <row r="108">
      <c r="A108" s="489" t="s">
        <v>205</v>
      </c>
      <c r="B108" s="490" t="str">
        <f t="shared" si="1"/>
        <v/>
      </c>
      <c r="C108" s="491">
        <f>VLOOKUP($A108,MS_Labs_Array,2,FALSE)</f>
        <v>25</v>
      </c>
      <c r="D108" s="492">
        <f>VLOOKUP($A108,MS_Labs_Array,4,FALSE)</f>
        <v>25</v>
      </c>
      <c r="E108" s="493" t="str">
        <f t="shared" si="22"/>
        <v>T2 150</v>
      </c>
      <c r="F108" s="494" t="str">
        <f t="shared" si="17"/>
        <v>Max Level</v>
      </c>
      <c r="G108" s="495" t="str">
        <f t="shared" si="3"/>
        <v>Max Level</v>
      </c>
      <c r="H108" s="496" t="str">
        <f t="shared" si="4"/>
        <v>Max Level</v>
      </c>
      <c r="I108" s="501">
        <f t="shared" si="5"/>
        <v>0</v>
      </c>
      <c r="J108" s="496" t="str">
        <f t="shared" si="6"/>
        <v>Max Level</v>
      </c>
      <c r="K108" s="497" t="str">
        <f t="shared" si="7"/>
        <v/>
      </c>
      <c r="L108" s="498" t="str">
        <f t="shared" si="8"/>
        <v>Max Level</v>
      </c>
      <c r="M108" s="499" t="str">
        <f t="shared" si="18"/>
        <v>Max Level</v>
      </c>
      <c r="N108" s="496" t="str">
        <f t="shared" si="10"/>
        <v>Max Level</v>
      </c>
      <c r="O108" s="498" t="str">
        <f t="shared" si="11"/>
        <v>Max Level</v>
      </c>
      <c r="P108" s="500" t="str">
        <f>VLOOKUP($A108,MS_Labs_Array,3,FALSE)</f>
        <v/>
      </c>
      <c r="Q108" s="499" t="str">
        <f>IFERROR(__xludf.DUMMYFUNCTION("LET(
  Labspeed, IF(A108=""Labs Speed"", 1+'Master Sheet'!$BK$5, LAB_SPEED_TOTAL()),
  Match, MATCH(IF(ISNUMBER(SEARCH(""Mastery"",$A108)),""Card Mastery"",$A108),DVT_Laboratory!B$1:V$1,0)-1,
  Offset, INDEX(DVT_Laboratory!B$3:ZZ$102,,Match+1),
  Desired,"&amp;" IF(P108&lt;&gt;"""", P108,D108),
  IFS(
    Desired &gt; D108, ""Desired lvl too high"",
    AND(Desired = D108, OR(C108 = D108, C108 = ""Max"")), ""Max Level"",
    Desired = C108, ""OK Level"",
    Desired &lt; C108, ""Desired lvl too low"",
    TRUE, TO_PURE_NUMB"&amp;"ER(
      SUM(
        XLOOKUP($C108 + 1, SEQUENCE(100, 1, 1, 1), Offset, ""N/F"", 0, 1): 
        XLOOKUP(Desired, SEQUENCE(100, 1, 1, 1), Offset, ""N/F"", 0, 1)
      ) / Labspeed
    ) /
    IF(AND(B108 &lt;&gt; """", $B$1 = ""All""), RIGHT(B108, 3), 1)
  )
"&amp;")"),"Max Level")</f>
        <v>Max Level</v>
      </c>
      <c r="R108" s="495" t="str">
        <f t="shared" si="12"/>
        <v>Max Level</v>
      </c>
      <c r="S108" s="496" t="str">
        <f t="array" ref="S108">LET(
  Match, MATCH(IF(ISNUMBER(SEARCH("Mastery",$A108)),"Card Mastery",$A108),DVT_Laboratory!B$1:V$1,0)-1,
  Offset, OFFSET(DVT_Laboratory!C$3,0,Match,100,1),
  Desired, IF(P108&lt;&gt;"", P108,D108),
IF(Desired&gt;D108,"Desired lvl too high",
IF(AND(Desired=D108,OR(C108=D108,C108="Max")),"Max Level",
IF(Desired=C108,"OK Level",
IF(Desired&lt;C108,"Desired lvl too low",
SUM(
XLOOKUP(C108+1,SEQUENCE(100,1,1,1),Offset,"N/F",0,1)
:XLOOKUP(Desired,SEQUENCE(100,1,1,1),Offset,"N/F",0,1))*(1-LAB_COIN_DISCOUNT()))))))</f>
        <v>Max Level</v>
      </c>
      <c r="T108" s="496" t="str">
        <f t="shared" si="13"/>
        <v>Max Level</v>
      </c>
      <c r="U108" s="497" t="str">
        <f t="shared" si="14"/>
        <v/>
      </c>
      <c r="V108" s="498" t="str">
        <f t="array" ref="V108">LET(
  Labspeed, IF(A108 ="Labs Speed", 1+'Master Sheet'!$BK$5, LAB_SPEED_TOTAL()),
  Match, MATCH(IF(ISNUMBER(SEARCH("Mastery",$A108)),"Card Mastery",$A108),DVT_Laboratory!B$1:V$1,0)-1,
  Offset, OFFSET(DVT_Laboratory!B$3,0,Match,100,1),
  Desired, IF(P108&lt;&gt;"", P108,D108),
IF(Desired&gt;D108,"Desired lvl too high",
IF(AND(Desired=D108,OR(C108=D108,C108="Max")),"Max Level",
IF(Desired&lt;=C108,"Desired lvl too low",
SUM(TIME_TO_RUSH_GEMS(
    XLOOKUP(C108+1, SEQUENCE(100,1,1,1), Offset, "N/F", 0, 1):
    XLOOKUP(Desired, SEQUENCE(100,1,1,1), Offset, "N/F", 0, 1)/Labspeed, IDS_LAB_GODLBOXED_COUNT()))))))</f>
        <v>Max Level</v>
      </c>
    </row>
    <row r="109">
      <c r="A109" s="489" t="s">
        <v>221</v>
      </c>
      <c r="B109" s="490" t="str">
        <f t="shared" si="1"/>
        <v/>
      </c>
      <c r="C109" s="491">
        <f>VLOOKUP($A109,MS_Labs_Array,2,FALSE)</f>
        <v>2</v>
      </c>
      <c r="D109" s="492">
        <f>VLOOKUP($A109,MS_Labs_Array,4,FALSE)</f>
        <v>2</v>
      </c>
      <c r="E109" s="493" t="str">
        <f t="shared" si="22"/>
        <v>T4 80</v>
      </c>
      <c r="F109" s="494" t="str">
        <f t="shared" si="17"/>
        <v>Max Level</v>
      </c>
      <c r="G109" s="495" t="str">
        <f t="shared" si="3"/>
        <v>Max Level</v>
      </c>
      <c r="H109" s="496" t="str">
        <f t="shared" si="4"/>
        <v>Max Level</v>
      </c>
      <c r="I109" s="496">
        <f t="shared" si="5"/>
        <v>0</v>
      </c>
      <c r="J109" s="496" t="str">
        <f t="shared" si="6"/>
        <v>Max Level</v>
      </c>
      <c r="K109" s="497" t="str">
        <f t="shared" si="7"/>
        <v/>
      </c>
      <c r="L109" s="498" t="str">
        <f t="shared" si="8"/>
        <v>Max Level</v>
      </c>
      <c r="M109" s="499" t="str">
        <f t="shared" si="18"/>
        <v>Max Level</v>
      </c>
      <c r="N109" s="496" t="str">
        <f t="shared" si="10"/>
        <v>Max Level</v>
      </c>
      <c r="O109" s="498" t="str">
        <f t="shared" si="11"/>
        <v>Max Level</v>
      </c>
      <c r="P109" s="500" t="str">
        <f>VLOOKUP($A109,MS_Labs_Array,3,FALSE)</f>
        <v/>
      </c>
      <c r="Q109" s="499" t="str">
        <f>IFERROR(__xludf.DUMMYFUNCTION("LET(
  Labspeed, IF(A109=""Labs Speed"", 1+'Master Sheet'!$BK$5, LAB_SPEED_TOTAL()),
  Match, MATCH(IF(ISNUMBER(SEARCH(""Mastery"",$A109)),""Card Mastery"",$A109),DVT_Laboratory!B$1:V$1,0)-1,
  Offset, INDEX(DVT_Laboratory!B$3:ZZ$102,,Match+1),
  Desired,"&amp;" IF(P109&lt;&gt;"""", P109,D109),
  IFS(
    Desired &gt; D109, ""Desired lvl too high"",
    AND(Desired = D109, OR(C109 = D109, C109 = ""Max"")), ""Max Level"",
    Desired = C109, ""OK Level"",
    Desired &lt; C109, ""Desired lvl too low"",
    TRUE, TO_PURE_NUMB"&amp;"ER(
      SUM(
        XLOOKUP($C109 + 1, SEQUENCE(100, 1, 1, 1), Offset, ""N/F"", 0, 1): 
        XLOOKUP(Desired, SEQUENCE(100, 1, 1, 1), Offset, ""N/F"", 0, 1)
      ) / Labspeed
    ) /
    IF(AND(B109 &lt;&gt; """", $B$1 = ""All""), RIGHT(B109, 3), 1)
  )
"&amp;")"),"Max Level")</f>
        <v>Max Level</v>
      </c>
      <c r="R109" s="495" t="str">
        <f t="shared" si="12"/>
        <v>Max Level</v>
      </c>
      <c r="S109" s="496" t="str">
        <f t="array" ref="S109">LET(
  Match, MATCH(IF(ISNUMBER(SEARCH("Mastery",$A109)),"Card Mastery",$A109),DVT_Laboratory!B$1:V$1,0)-1,
  Offset, OFFSET(DVT_Laboratory!C$3,0,Match,100,1),
  Desired, IF(P109&lt;&gt;"", P109,D109),
IF(Desired&gt;D109,"Desired lvl too high",
IF(AND(Desired=D109,OR(C109=D109,C109="Max")),"Max Level",
IF(Desired=C109,"OK Level",
IF(Desired&lt;C109,"Desired lvl too low",
SUM(
XLOOKUP(C109+1,SEQUENCE(100,1,1,1),Offset,"N/F",0,1)
:XLOOKUP(Desired,SEQUENCE(100,1,1,1),Offset,"N/F",0,1))*(1-LAB_COIN_DISCOUNT()))))))</f>
        <v>Max Level</v>
      </c>
      <c r="T109" s="496" t="str">
        <f t="shared" si="13"/>
        <v>Max Level</v>
      </c>
      <c r="U109" s="497" t="str">
        <f t="shared" si="14"/>
        <v/>
      </c>
      <c r="V109" s="498" t="str">
        <f t="array" ref="V109">LET(
  Labspeed, IF(A109 ="Labs Speed", 1+'Master Sheet'!$BK$5, LAB_SPEED_TOTAL()),
  Match, MATCH(IF(ISNUMBER(SEARCH("Mastery",$A109)),"Card Mastery",$A109),DVT_Laboratory!B$1:V$1,0)-1,
  Offset, OFFSET(DVT_Laboratory!B$3,0,Match,100,1),
  Desired, IF(P109&lt;&gt;"", P109,D109),
IF(Desired&gt;D109,"Desired lvl too high",
IF(AND(Desired=D109,OR(C109=D109,C109="Max")),"Max Level",
IF(Desired&lt;=C109,"Desired lvl too low",
SUM(TIME_TO_RUSH_GEMS(
    XLOOKUP(C109+1, SEQUENCE(100,1,1,1), Offset, "N/F", 0, 1):
    XLOOKUP(Desired, SEQUENCE(100,1,1,1), Offset, "N/F", 0, 1)/Labspeed, IDS_LAB_GODLBOXED_COUNT()))))))</f>
        <v>Max Level</v>
      </c>
    </row>
    <row r="110">
      <c r="A110" s="489" t="s">
        <v>233</v>
      </c>
      <c r="B110" s="490" t="str">
        <f t="shared" si="1"/>
        <v/>
      </c>
      <c r="C110" s="491">
        <f>VLOOKUP($A110,MS_Labs_Array,2,FALSE)</f>
        <v>1</v>
      </c>
      <c r="D110" s="492">
        <f>VLOOKUP($A110,MS_Labs_Array,4,FALSE)</f>
        <v>1</v>
      </c>
      <c r="E110" s="493" t="str">
        <f t="shared" si="22"/>
        <v>T2 250</v>
      </c>
      <c r="F110" s="494" t="str">
        <f t="shared" si="17"/>
        <v>Max Level</v>
      </c>
      <c r="G110" s="495" t="str">
        <f t="shared" si="3"/>
        <v>Max Level</v>
      </c>
      <c r="H110" s="496" t="str">
        <f t="shared" si="4"/>
        <v>Max Level</v>
      </c>
      <c r="I110" s="496">
        <f t="shared" si="5"/>
        <v>0</v>
      </c>
      <c r="J110" s="496" t="str">
        <f t="shared" si="6"/>
        <v>Max Level</v>
      </c>
      <c r="K110" s="497" t="str">
        <f t="shared" si="7"/>
        <v/>
      </c>
      <c r="L110" s="498" t="str">
        <f t="shared" si="8"/>
        <v>Max Level</v>
      </c>
      <c r="M110" s="499" t="str">
        <f t="shared" si="18"/>
        <v>Max Level</v>
      </c>
      <c r="N110" s="496" t="str">
        <f t="shared" si="10"/>
        <v>Max Level</v>
      </c>
      <c r="O110" s="498" t="str">
        <f t="shared" si="11"/>
        <v>Max Level</v>
      </c>
      <c r="P110" s="500" t="str">
        <f>VLOOKUP($A110,MS_Labs_Array,3,FALSE)</f>
        <v/>
      </c>
      <c r="Q110" s="499" t="str">
        <f>IFERROR(__xludf.DUMMYFUNCTION("LET(
  Labspeed, IF(A110=""Labs Speed"", 1+'Master Sheet'!$BK$5, LAB_SPEED_TOTAL()),
  Match, MATCH(IF(ISNUMBER(SEARCH(""Mastery"",$A110)),""Card Mastery"",$A110),DVT_Laboratory!B$1:V$1,0)-1,
  Offset, INDEX(DVT_Laboratory!B$3:ZZ$102,,Match+1),
  Desired,"&amp;" IF(P110&lt;&gt;"""", P110,D110),
  IFS(
    Desired &gt; D110, ""Desired lvl too high"",
    AND(Desired = D110, OR(C110 = D110, C110 = ""Max"")), ""Max Level"",
    Desired = C110, ""OK Level"",
    Desired &lt; C110, ""Desired lvl too low"",
    TRUE, TO_PURE_NUMB"&amp;"ER(
      SUM(
        XLOOKUP($C110 + 1, SEQUENCE(100, 1, 1, 1), Offset, ""N/F"", 0, 1): 
        XLOOKUP(Desired, SEQUENCE(100, 1, 1, 1), Offset, ""N/F"", 0, 1)
      ) / Labspeed
    ) /
    IF(AND(B110 &lt;&gt; """", $B$1 = ""All""), RIGHT(B110, 3), 1)
  )
"&amp;")"),"Max Level")</f>
        <v>Max Level</v>
      </c>
      <c r="R110" s="495" t="str">
        <f t="shared" si="12"/>
        <v>Max Level</v>
      </c>
      <c r="S110" s="496" t="str">
        <f t="array" ref="S110">LET(
  Match, MATCH(IF(ISNUMBER(SEARCH("Mastery",$A110)),"Card Mastery",$A110),DVT_Laboratory!B$1:V$1,0)-1,
  Offset, OFFSET(DVT_Laboratory!C$3,0,Match,100,1),
  Desired, IF(P110&lt;&gt;"", P110,D110),
IF(Desired&gt;D110,"Desired lvl too high",
IF(AND(Desired=D110,OR(C110=D110,C110="Max")),"Max Level",
IF(Desired=C110,"OK Level",
IF(Desired&lt;C110,"Desired lvl too low",
SUM(
XLOOKUP(C110+1,SEQUENCE(100,1,1,1),Offset,"N/F",0,1)
:XLOOKUP(Desired,SEQUENCE(100,1,1,1),Offset,"N/F",0,1))*(1-LAB_COIN_DISCOUNT()))))))</f>
        <v>Max Level</v>
      </c>
      <c r="T110" s="496" t="str">
        <f t="shared" si="13"/>
        <v>Max Level</v>
      </c>
      <c r="U110" s="497" t="str">
        <f t="shared" si="14"/>
        <v/>
      </c>
      <c r="V110" s="498" t="str">
        <f t="array" ref="V110">LET(
  Labspeed, IF(A110 ="Labs Speed", 1+'Master Sheet'!$BK$5, LAB_SPEED_TOTAL()),
  Match, MATCH(IF(ISNUMBER(SEARCH("Mastery",$A110)),"Card Mastery",$A110),DVT_Laboratory!B$1:V$1,0)-1,
  Offset, OFFSET(DVT_Laboratory!B$3,0,Match,100,1),
  Desired, IF(P110&lt;&gt;"", P110,D110),
IF(Desired&gt;D110,"Desired lvl too high",
IF(AND(Desired=D110,OR(C110=D110,C110="Max")),"Max Level",
IF(Desired&lt;=C110,"Desired lvl too low",
SUM(TIME_TO_RUSH_GEMS(
    XLOOKUP(C110+1, SEQUENCE(100,1,1,1), Offset, "N/F", 0, 1):
    XLOOKUP(Desired, SEQUENCE(100,1,1,1), Offset, "N/F", 0, 1)/Labspeed, IDS_LAB_GODLBOXED_COUNT()))))))</f>
        <v>Max Level</v>
      </c>
    </row>
    <row r="111">
      <c r="A111" s="489" t="s">
        <v>244</v>
      </c>
      <c r="B111" s="490" t="str">
        <f t="shared" si="1"/>
        <v/>
      </c>
      <c r="C111" s="491">
        <f>VLOOKUP($A111,MS_Labs_Array,2,FALSE)</f>
        <v>6</v>
      </c>
      <c r="D111" s="493">
        <f>VLOOKUP($A111,MS_Labs_Array,4,FALSE)</f>
        <v>8</v>
      </c>
      <c r="E111" s="493" t="str">
        <f t="shared" si="22"/>
        <v>T5 40</v>
      </c>
      <c r="F111" s="494">
        <f t="shared" si="17"/>
        <v>42.36677473</v>
      </c>
      <c r="G111" s="495" t="str">
        <f t="shared" si="3"/>
        <v>42d  8h 48m</v>
      </c>
      <c r="H111" s="496">
        <f t="shared" si="4"/>
        <v>79600000000000</v>
      </c>
      <c r="I111" s="496">
        <f t="shared" si="5"/>
        <v>796000000000000</v>
      </c>
      <c r="J111" s="496" t="str">
        <f t="shared" si="6"/>
        <v>79.6 T</v>
      </c>
      <c r="K111" s="497" t="str">
        <f t="shared" si="7"/>
        <v>782.85 B/h</v>
      </c>
      <c r="L111" s="498">
        <f t="shared" si="8"/>
        <v>2598</v>
      </c>
      <c r="M111" s="499" t="str">
        <f t="shared" si="18"/>
        <v>84d 17h 36m</v>
      </c>
      <c r="N111" s="496" t="str">
        <f t="shared" si="10"/>
        <v>796 T</v>
      </c>
      <c r="O111" s="498">
        <f t="shared" si="11"/>
        <v>4425</v>
      </c>
      <c r="P111" s="500" t="str">
        <f>VLOOKUP($A111,MS_Labs_Array,3,FALSE)</f>
        <v/>
      </c>
      <c r="Q111" s="499">
        <f>IFERROR(__xludf.DUMMYFUNCTION("LET(
  Labspeed, IF(A111=""Labs Speed"", 1+'Master Sheet'!$BK$5, LAB_SPEED_TOTAL()),
  Match, MATCH(IF(ISNUMBER(SEARCH(""Mastery"",$A111)),""Card Mastery"",$A111),DVT_Laboratory!B$1:V$1,0)-1,
  Offset, INDEX(DVT_Laboratory!B$3:ZZ$102,,Match+1),
  Desired,"&amp;" IF(P111&lt;&gt;"""", P111,D111),
  IFS(
    Desired &gt; D111, ""Desired lvl too high"",
    AND(Desired = D111, OR(C111 = D111, C111 = ""Max"")), ""Max Level"",
    Desired = C111, ""OK Level"",
    Desired &lt; C111, ""Desired lvl too low"",
    TRUE, TO_PURE_NUMB"&amp;"ER(
      SUM(
        XLOOKUP($C111 + 1, SEQUENCE(100, 1, 1, 1), Offset, ""N/F"", 0, 1): 
        XLOOKUP(Desired, SEQUENCE(100, 1, 1, 1), Offset, ""N/F"", 0, 1)
      ) / Labspeed
    ) /
    IF(AND(B111 &lt;&gt; """", $B$1 = ""All""), RIGHT(B111, 3), 1)
  )
"&amp;")"),127.10033006073512)</f>
        <v>127.1003301</v>
      </c>
      <c r="R111" s="495" t="str">
        <f t="shared" si="12"/>
        <v>127d  2h 24m</v>
      </c>
      <c r="S111" s="496">
        <f t="array" ref="S111">LET(
  Match, MATCH(IF(ISNUMBER(SEARCH("Mastery",$A111)),"Card Mastery",$A111),DVT_Laboratory!B$1:V$1,0)-1,
  Offset, OFFSET(DVT_Laboratory!C$3,0,Match,100,1),
  Desired, IF(P111&lt;&gt;"", P111,D111),
IF(Desired&gt;D111,"Desired lvl too high",
IF(AND(Desired=D111,OR(C111=D111,C111="Max")),"Max Level",
IF(Desired=C111,"OK Level",
IF(Desired&lt;C111,"Desired lvl too low",
SUM(
XLOOKUP(C111+1,SEQUENCE(100,1,1,1),Offset,"N/F",0,1)
:XLOOKUP(Desired,SEQUENCE(100,1,1,1),Offset,"N/F",0,1))*(1-LAB_COIN_DISCOUNT()))))))</f>
        <v>875600000000000</v>
      </c>
      <c r="T111" s="496" t="str">
        <f t="shared" si="13"/>
        <v>875.6 T</v>
      </c>
      <c r="U111" s="497" t="str">
        <f t="shared" si="14"/>
        <v>287.04 B/h</v>
      </c>
      <c r="V111" s="498">
        <f t="array" ref="V111">LET(
  Labspeed, IF(A111 ="Labs Speed", 1+'Master Sheet'!$BK$5, LAB_SPEED_TOTAL()),
  Match, MATCH(IF(ISNUMBER(SEARCH("Mastery",$A111)),"Card Mastery",$A111),DVT_Laboratory!B$1:V$1,0)-1,
  Offset, OFFSET(DVT_Laboratory!B$3,0,Match,100,1),
  Desired, IF(P111&lt;&gt;"", P111,D111),
IF(Desired&gt;D111,"Desired lvl too high",
IF(AND(Desired=D111,OR(C111=D111,C111="Max")),"Max Level",
IF(Desired&lt;=C111,"Desired lvl too low",
SUM(TIME_TO_RUSH_GEMS(
    XLOOKUP(C111+1, SEQUENCE(100,1,1,1), Offset, "N/F", 0, 1):
    XLOOKUP(Desired, SEQUENCE(100,1,1,1), Offset, "N/F", 0, 1)/Labspeed, IDS_LAB_GODLBOXED_COUNT()))))))</f>
        <v>7023</v>
      </c>
    </row>
    <row r="112">
      <c r="A112" s="489" t="s">
        <v>255</v>
      </c>
      <c r="B112" s="490" t="str">
        <f t="shared" si="1"/>
        <v/>
      </c>
      <c r="C112" s="491">
        <f>VLOOKUP($A112,MS_Labs_Array,2,FALSE)</f>
        <v>10</v>
      </c>
      <c r="D112" s="492">
        <f>VLOOKUP($A112,MS_Labs_Array,4,FALSE)</f>
        <v>10</v>
      </c>
      <c r="E112" s="493" t="str">
        <f t="shared" si="22"/>
        <v>T2 400</v>
      </c>
      <c r="F112" s="494" t="str">
        <f t="shared" si="17"/>
        <v>Max Level</v>
      </c>
      <c r="G112" s="495" t="str">
        <f t="shared" si="3"/>
        <v>Max Level</v>
      </c>
      <c r="H112" s="496" t="str">
        <f t="shared" si="4"/>
        <v>Max Level</v>
      </c>
      <c r="I112" s="496">
        <f t="shared" si="5"/>
        <v>0</v>
      </c>
      <c r="J112" s="496" t="str">
        <f t="shared" si="6"/>
        <v>Max Level</v>
      </c>
      <c r="K112" s="497" t="str">
        <f t="shared" si="7"/>
        <v/>
      </c>
      <c r="L112" s="498" t="str">
        <f t="shared" si="8"/>
        <v>Max Level</v>
      </c>
      <c r="M112" s="499" t="str">
        <f t="shared" si="18"/>
        <v>Max Level</v>
      </c>
      <c r="N112" s="496" t="str">
        <f t="shared" si="10"/>
        <v>Max Level</v>
      </c>
      <c r="O112" s="498" t="str">
        <f t="shared" si="11"/>
        <v>Max Level</v>
      </c>
      <c r="P112" s="500" t="str">
        <f>VLOOKUP($A112,MS_Labs_Array,3,FALSE)</f>
        <v/>
      </c>
      <c r="Q112" s="499" t="str">
        <f>IFERROR(__xludf.DUMMYFUNCTION("LET(
  Labspeed, IF(A112=""Labs Speed"", 1+'Master Sheet'!$BK$5, LAB_SPEED_TOTAL()),
  Match, MATCH(IF(ISNUMBER(SEARCH(""Mastery"",$A112)),""Card Mastery"",$A112),DVT_Laboratory!B$1:V$1,0)-1,
  Offset, INDEX(DVT_Laboratory!B$3:ZZ$102,,Match+1),
  Desired,"&amp;" IF(P112&lt;&gt;"""", P112,D112),
  IFS(
    Desired &gt; D112, ""Desired lvl too high"",
    AND(Desired = D112, OR(C112 = D112, C112 = ""Max"")), ""Max Level"",
    Desired = C112, ""OK Level"",
    Desired &lt; C112, ""Desired lvl too low"",
    TRUE, TO_PURE_NUMB"&amp;"ER(
      SUM(
        XLOOKUP($C112 + 1, SEQUENCE(100, 1, 1, 1), Offset, ""N/F"", 0, 1): 
        XLOOKUP(Desired, SEQUENCE(100, 1, 1, 1), Offset, ""N/F"", 0, 1)
      ) / Labspeed
    ) /
    IF(AND(B112 &lt;&gt; """", $B$1 = ""All""), RIGHT(B112, 3), 1)
  )
"&amp;")"),"Max Level")</f>
        <v>Max Level</v>
      </c>
      <c r="R112" s="495" t="str">
        <f t="shared" si="12"/>
        <v>Max Level</v>
      </c>
      <c r="S112" s="496" t="str">
        <f t="array" ref="S112">LET(
  Match, MATCH(IF(ISNUMBER(SEARCH("Mastery",$A112)),"Card Mastery",$A112),DVT_Laboratory!B$1:V$1,0)-1,
  Offset, OFFSET(DVT_Laboratory!C$3,0,Match,100,1),
  Desired, IF(P112&lt;&gt;"", P112,D112),
IF(Desired&gt;D112,"Desired lvl too high",
IF(AND(Desired=D112,OR(C112=D112,C112="Max")),"Max Level",
IF(Desired=C112,"OK Level",
IF(Desired&lt;C112,"Desired lvl too low",
SUM(
XLOOKUP(C112+1,SEQUENCE(100,1,1,1),Offset,"N/F",0,1)
:XLOOKUP(Desired,SEQUENCE(100,1,1,1),Offset,"N/F",0,1))*(1-LAB_COIN_DISCOUNT()))))))</f>
        <v>Max Level</v>
      </c>
      <c r="T112" s="496" t="str">
        <f t="shared" si="13"/>
        <v>Max Level</v>
      </c>
      <c r="U112" s="497" t="str">
        <f t="shared" si="14"/>
        <v/>
      </c>
      <c r="V112" s="498" t="str">
        <f t="array" ref="V112">LET(
  Labspeed, IF(A112 ="Labs Speed", 1+'Master Sheet'!$BK$5, LAB_SPEED_TOTAL()),
  Match, MATCH(IF(ISNUMBER(SEARCH("Mastery",$A112)),"Card Mastery",$A112),DVT_Laboratory!B$1:V$1,0)-1,
  Offset, OFFSET(DVT_Laboratory!B$3,0,Match,100,1),
  Desired, IF(P112&lt;&gt;"", P112,D112),
IF(Desired&gt;D112,"Desired lvl too high",
IF(AND(Desired=D112,OR(C112=D112,C112="Max")),"Max Level",
IF(Desired&lt;=C112,"Desired lvl too low",
SUM(TIME_TO_RUSH_GEMS(
    XLOOKUP(C112+1, SEQUENCE(100,1,1,1), Offset, "N/F", 0, 1):
    XLOOKUP(Desired, SEQUENCE(100,1,1,1), Offset, "N/F", 0, 1)/Labspeed, IDS_LAB_GODLBOXED_COUNT()))))))</f>
        <v>Max Level</v>
      </c>
    </row>
    <row r="113">
      <c r="A113" s="502" t="s">
        <v>266</v>
      </c>
      <c r="B113" s="490" t="str">
        <f t="shared" si="1"/>
        <v/>
      </c>
      <c r="C113" s="491">
        <f>VLOOKUP($A113,MS_Labs_Array,2,FALSE)</f>
        <v>12</v>
      </c>
      <c r="D113" s="493">
        <f>VLOOKUP($A113,MS_Labs_Array,4,FALSE)</f>
        <v>32</v>
      </c>
      <c r="E113" s="493" t="str">
        <f t="shared" si="22"/>
        <v>T6 10</v>
      </c>
      <c r="F113" s="494">
        <f t="shared" si="17"/>
        <v>5.970655828</v>
      </c>
      <c r="G113" s="495" t="str">
        <f t="shared" si="3"/>
        <v>5d 23h 17m</v>
      </c>
      <c r="H113" s="496">
        <f t="shared" si="4"/>
        <v>1719360000</v>
      </c>
      <c r="I113" s="496">
        <f t="shared" si="5"/>
        <v>2459640000</v>
      </c>
      <c r="J113" s="496" t="str">
        <f t="shared" si="6"/>
        <v>1.72 B</v>
      </c>
      <c r="K113" s="497" t="str">
        <f t="shared" si="7"/>
        <v>17.16 M/h</v>
      </c>
      <c r="L113" s="498">
        <f t="shared" si="8"/>
        <v>498</v>
      </c>
      <c r="M113" s="499" t="str">
        <f t="shared" si="18"/>
        <v>7d 18h 33m</v>
      </c>
      <c r="N113" s="496" t="str">
        <f t="shared" si="10"/>
        <v>2.46 B</v>
      </c>
      <c r="O113" s="498">
        <f t="shared" si="11"/>
        <v>632</v>
      </c>
      <c r="P113" s="500" t="str">
        <f>VLOOKUP($A113,MS_Labs_Array,3,FALSE)</f>
        <v/>
      </c>
      <c r="Q113" s="499">
        <f>IFERROR(__xludf.DUMMYFUNCTION("LET(
  Labspeed, IF(A113=""Labs Speed"", 1+'Master Sheet'!$BK$5, LAB_SPEED_TOTAL()),
  Match, MATCH(IF(ISNUMBER(SEARCH(""Mastery"",$A113)),""Card Mastery"",$A113),DVT_Laboratory!B$1:V$1,0)-1,
  Offset, INDEX(DVT_Laboratory!B$3:ZZ$102,,Match+1),
  Desired,"&amp;" IF(P113&lt;&gt;"""", P113,D113),
  IFS(
    Desired &gt; D113, ""Desired lvl too high"",
    AND(Desired = D113, OR(C113 = D113, C113 = ""Max"")), ""Max Level"",
    Desired = C113, ""OK Level"",
    Desired &lt; C113, ""Desired lvl too low"",
    TRUE, TO_PURE_NUMB"&amp;"ER(
      SUM(
        XLOOKUP($C113 + 1, SEQUENCE(100, 1, 1, 1), Offset, ""N/F"", 0, 1): 
        XLOOKUP(Desired, SEQUENCE(100, 1, 1, 1), Offset, ""N/F"", 0, 1)
      ) / Labspeed
    ) /
    IF(AND(B113 &lt;&gt; """", $B$1 = ""All""), RIGHT(B113, 3), 1)
  )
"&amp;")"),1343.7920048947751)</f>
        <v>1343.792005</v>
      </c>
      <c r="R113" s="495" t="str">
        <f t="shared" si="12"/>
        <v>1343d 19h  0m</v>
      </c>
      <c r="S113" s="496">
        <f t="array" ref="S113">LET(
  Match, MATCH(IF(ISNUMBER(SEARCH("Mastery",$A113)),"Card Mastery",$A113),DVT_Laboratory!B$1:V$1,0)-1,
  Offset, OFFSET(DVT_Laboratory!C$3,0,Match,100,1),
  Desired, IF(P113&lt;&gt;"", P113,D113),
IF(Desired&gt;D113,"Desired lvl too high",
IF(AND(Desired=D113,OR(C113=D113,C113="Max")),"Max Level",
IF(Desired=C113,"OK Level",
IF(Desired&lt;C113,"Desired lvl too low",
SUM(
XLOOKUP(C113+1,SEQUENCE(100,1,1,1),Offset,"N/F",0,1)
:XLOOKUP(Desired,SEQUENCE(100,1,1,1),Offset,"N/F",0,1))*(1-LAB_COIN_DISCOUNT()))))))</f>
        <v>752052840000</v>
      </c>
      <c r="T113" s="496" t="str">
        <f t="shared" si="13"/>
        <v>752.05 B</v>
      </c>
      <c r="U113" s="497" t="str">
        <f t="shared" si="14"/>
        <v>23.32 M/h</v>
      </c>
      <c r="V113" s="498">
        <f t="array" ref="V113">LET(
  Labspeed, IF(A113 ="Labs Speed", 1+'Master Sheet'!$BK$5, LAB_SPEED_TOTAL()),
  Match, MATCH(IF(ISNUMBER(SEARCH("Mastery",$A113)),"Card Mastery",$A113),DVT_Laboratory!B$1:V$1,0)-1,
  Offset, OFFSET(DVT_Laboratory!B$3,0,Match,100,1),
  Desired, IF(P113&lt;&gt;"", P113,D113),
IF(Desired&gt;D113,"Desired lvl too high",
IF(AND(Desired=D113,OR(C113=D113,C113="Max")),"Max Level",
IF(Desired&lt;=C113,"Desired lvl too low",
SUM(TIME_TO_RUSH_GEMS(
    XLOOKUP(C113+1, SEQUENCE(100,1,1,1), Offset, "N/F", 0, 1):
    XLOOKUP(Desired, SEQUENCE(100,1,1,1), Offset, "N/F", 0, 1)/Labspeed, IDS_LAB_GODLBOXED_COUNT()))))))</f>
        <v>68837</v>
      </c>
    </row>
    <row r="114">
      <c r="A114" s="503" t="s">
        <v>161</v>
      </c>
      <c r="B114" s="504" t="str">
        <f t="shared" si="1"/>
        <v/>
      </c>
      <c r="C114" s="505">
        <f>VLOOKUP($A114,MS_Labs_Array,2,FALSE)</f>
        <v>25</v>
      </c>
      <c r="D114" s="506">
        <f>VLOOKUP($A114,MS_Labs_Array,4,FALSE)</f>
        <v>25</v>
      </c>
      <c r="E114" s="506" t="str">
        <f t="shared" si="22"/>
        <v>T5 60</v>
      </c>
      <c r="F114" s="507" t="str">
        <f t="shared" si="17"/>
        <v>Max Level</v>
      </c>
      <c r="G114" s="508" t="str">
        <f t="shared" si="3"/>
        <v>Max Level</v>
      </c>
      <c r="H114" s="509" t="str">
        <f t="shared" si="4"/>
        <v>Max Level</v>
      </c>
      <c r="I114" s="509">
        <f t="shared" si="5"/>
        <v>0</v>
      </c>
      <c r="J114" s="509" t="str">
        <f t="shared" si="6"/>
        <v>Max Level</v>
      </c>
      <c r="K114" s="510" t="str">
        <f t="shared" si="7"/>
        <v/>
      </c>
      <c r="L114" s="511" t="str">
        <f t="shared" si="8"/>
        <v>Max Level</v>
      </c>
      <c r="M114" s="512" t="str">
        <f t="shared" si="18"/>
        <v>Max Level</v>
      </c>
      <c r="N114" s="509" t="str">
        <f t="shared" si="10"/>
        <v>Max Level</v>
      </c>
      <c r="O114" s="511" t="str">
        <f t="shared" si="11"/>
        <v>Max Level</v>
      </c>
      <c r="P114" s="513" t="str">
        <f>VLOOKUP($A114,MS_Labs_Array,3,FALSE)</f>
        <v/>
      </c>
      <c r="Q114" s="512" t="str">
        <f>IFERROR(__xludf.DUMMYFUNCTION("LET(
  Labspeed, IF(A114=""Labs Speed"", 1+'Master Sheet'!$BK$5, LAB_SPEED_TOTAL()),
  Match, MATCH(IF(ISNUMBER(SEARCH(""Mastery"",$A114)),""Card Mastery"",$A114),DVT_Laboratory!B$1:V$1,0)-1,
  Offset, INDEX(DVT_Laboratory!B$3:ZZ$102,,Match+1),
  Desired,"&amp;" IF(P114&lt;&gt;"""", P114,D114),
  IFS(
    Desired &gt; D114, ""Desired lvl too high"",
    AND(Desired = D114, OR(C114 = D114, C114 = ""Max"")), ""Max Level"",
    Desired = C114, ""OK Level"",
    Desired &lt; C114, ""Desired lvl too low"",
    TRUE, TO_PURE_NUMB"&amp;"ER(
      SUM(
        XLOOKUP($C114 + 1, SEQUENCE(100, 1, 1, 1), Offset, ""N/F"", 0, 1): 
        XLOOKUP(Desired, SEQUENCE(100, 1, 1, 1), Offset, ""N/F"", 0, 1)
      ) / Labspeed
    ) /
    IF(AND(B114 &lt;&gt; """", $B$1 = ""All""), RIGHT(B114, 3), 1)
  )
"&amp;")"),"Max Level")</f>
        <v>Max Level</v>
      </c>
      <c r="R114" s="508" t="str">
        <f t="shared" si="12"/>
        <v>Max Level</v>
      </c>
      <c r="S114" s="509" t="str">
        <f t="array" ref="S114">LET(
  Match, MATCH(IF(ISNUMBER(SEARCH("Mastery",$A114)),"Card Mastery",$A114),DVT_Laboratory!B$1:V$1,0)-1,
  Offset, OFFSET(DVT_Laboratory!C$3,0,Match,100,1),
  Desired, IF(P114&lt;&gt;"", P114,D114),
IF(Desired&gt;D114,"Desired lvl too high",
IF(AND(Desired=D114,OR(C114=D114,C114="Max")),"Max Level",
IF(Desired=C114,"OK Level",
IF(Desired&lt;C114,"Desired lvl too low",
SUM(
XLOOKUP(C114+1,SEQUENCE(100,1,1,1),Offset,"N/F",0,1)
:XLOOKUP(Desired,SEQUENCE(100,1,1,1),Offset,"N/F",0,1))*(1-LAB_COIN_DISCOUNT()))))))</f>
        <v>Max Level</v>
      </c>
      <c r="T114" s="509" t="str">
        <f t="shared" si="13"/>
        <v>Max Level</v>
      </c>
      <c r="U114" s="510" t="str">
        <f t="shared" si="14"/>
        <v/>
      </c>
      <c r="V114" s="511" t="str">
        <f t="array" ref="V114">LET(
  Labspeed, IF(A114 ="Labs Speed", 1+'Master Sheet'!$BK$5, LAB_SPEED_TOTAL()),
  Match, MATCH(IF(ISNUMBER(SEARCH("Mastery",$A114)),"Card Mastery",$A114),DVT_Laboratory!B$1:V$1,0)-1,
  Offset, OFFSET(DVT_Laboratory!B$3,0,Match,100,1),
  Desired, IF(P114&lt;&gt;"", P114,D114),
IF(Desired&gt;D114,"Desired lvl too high",
IF(AND(Desired=D114,OR(C114=D114,C114="Max")),"Max Level",
IF(Desired&lt;=C114,"Desired lvl too low",
SUM(TIME_TO_RUSH_GEMS(
    XLOOKUP(C114+1, SEQUENCE(100,1,1,1), Offset, "N/F", 0, 1):
    XLOOKUP(Desired, SEQUENCE(100,1,1,1), Offset, "N/F", 0, 1)/Labspeed, IDS_LAB_GODLBOXED_COUNT()))))))</f>
        <v>Max Level</v>
      </c>
    </row>
    <row r="115">
      <c r="A115" s="503" t="s">
        <v>176</v>
      </c>
      <c r="B115" s="504" t="str">
        <f t="shared" si="1"/>
        <v/>
      </c>
      <c r="C115" s="505">
        <f>VLOOKUP($A115,MS_Labs_Array,2,FALSE)</f>
        <v>0</v>
      </c>
      <c r="D115" s="506">
        <f>VLOOKUP($A115,MS_Labs_Array,4,FALSE)</f>
        <v>25</v>
      </c>
      <c r="E115" s="506" t="str">
        <f t="shared" si="22"/>
        <v>T5 70</v>
      </c>
      <c r="F115" s="507">
        <f t="shared" si="17"/>
        <v>0.4118403846</v>
      </c>
      <c r="G115" s="508" t="str">
        <f t="shared" si="3"/>
        <v>0d  9h 53m</v>
      </c>
      <c r="H115" s="509">
        <f t="shared" si="4"/>
        <v>23880000</v>
      </c>
      <c r="I115" s="509">
        <f t="shared" si="5"/>
        <v>47799800</v>
      </c>
      <c r="J115" s="509" t="str">
        <f t="shared" si="6"/>
        <v>23.88 M</v>
      </c>
      <c r="K115" s="510" t="str">
        <f t="shared" si="7"/>
        <v>4.84 M/h</v>
      </c>
      <c r="L115" s="511">
        <f t="shared" si="8"/>
        <v>40</v>
      </c>
      <c r="M115" s="512" t="str">
        <f t="shared" si="18"/>
        <v>0d 12h  0m</v>
      </c>
      <c r="N115" s="509" t="str">
        <f t="shared" si="10"/>
        <v>47.8 M</v>
      </c>
      <c r="O115" s="511">
        <f t="shared" si="11"/>
        <v>48</v>
      </c>
      <c r="P115" s="513" t="str">
        <f>VLOOKUP($A115,MS_Labs_Array,3,FALSE)</f>
        <v/>
      </c>
      <c r="Q115" s="512">
        <f>IFERROR(__xludf.DUMMYFUNCTION("LET(
  Labspeed, IF(A115=""Labs Speed"", 1+'Master Sheet'!$BK$5, LAB_SPEED_TOTAL()),
  Match, MATCH(IF(ISNUMBER(SEARCH(""Mastery"",$A115)),""Card Mastery"",$A115),DVT_Laboratory!B$1:V$1,0)-1,
  Offset, INDEX(DVT_Laboratory!B$3:ZZ$102,,Match+1),
  Desired,"&amp;" IF(P115&lt;&gt;"""", P115,D115),
  IFS(
    Desired &gt; D115, ""Desired lvl too high"",
    AND(Desired = D115, OR(C115 = D115, C115 = ""Max"")), ""Max Level"",
    Desired = C115, ""OK Level"",
    Desired &lt; C115, ""Desired lvl too low"",
    TRUE, TO_PURE_NUMB"&amp;"ER(
      SUM(
        XLOOKUP($C115 + 1, SEQUENCE(100, 1, 1, 1), Offset, ""N/F"", 0, 1): 
        XLOOKUP(Desired, SEQUENCE(100, 1, 1, 1), Offset, ""N/F"", 0, 1)
      ) / Labspeed
    ) /
    IF(AND(B115 &lt;&gt; """", $B$1 = ""All""), RIGHT(B115, 3), 1)
  )
"&amp;")"),146.59146328259672)</f>
        <v>146.5914633</v>
      </c>
      <c r="R115" s="508" t="str">
        <f t="shared" si="12"/>
        <v>146d 14h 11m</v>
      </c>
      <c r="S115" s="509">
        <f t="array" ref="S115">LET(
  Match, MATCH(IF(ISNUMBER(SEARCH("Mastery",$A115)),"Card Mastery",$A115),DVT_Laboratory!B$1:V$1,0)-1,
  Offset, OFFSET(DVT_Laboratory!C$3,0,Match,100,1),
  Desired, IF(P115&lt;&gt;"", P115,D115),
IF(Desired&gt;D115,"Desired lvl too high",
IF(AND(Desired=D115,OR(C115=D115,C115="Max")),"Max Level",
IF(Desired=C115,"OK Level",
IF(Desired&lt;C115,"Desired lvl too low",
SUM(
XLOOKUP(C115+1,SEQUENCE(100,1,1,1),Offset,"N/F",0,1)
:XLOOKUP(Desired,SEQUENCE(100,1,1,1),Offset,"N/F",0,1))*(1-LAB_COIN_DISCOUNT()))))))</f>
        <v>1439359079800</v>
      </c>
      <c r="T115" s="509" t="str">
        <f t="shared" si="13"/>
        <v>1.44 T</v>
      </c>
      <c r="U115" s="510" t="str">
        <f t="shared" si="14"/>
        <v>409.12 M/h</v>
      </c>
      <c r="V115" s="511">
        <f t="array" ref="V115">LET(
  Labspeed, IF(A115 ="Labs Speed", 1+'Master Sheet'!$BK$5, LAB_SPEED_TOTAL()),
  Match, MATCH(IF(ISNUMBER(SEARCH("Mastery",$A115)),"Card Mastery",$A115),DVT_Laboratory!B$1:V$1,0)-1,
  Offset, OFFSET(DVT_Laboratory!B$3,0,Match,100,1),
  Desired, IF(P115&lt;&gt;"", P115,D115),
IF(Desired&gt;D115,"Desired lvl too high",
IF(AND(Desired=D115,OR(C115=D115,C115="Max")),"Max Level",
IF(Desired&lt;=C115,"Desired lvl too low",
SUM(TIME_TO_RUSH_GEMS(
    XLOOKUP(C115+1, SEQUENCE(100,1,1,1), Offset, "N/F", 0, 1):
    XLOOKUP(Desired, SEQUENCE(100,1,1,1), Offset, "N/F", 0, 1)/Labspeed, IDS_LAB_GODLBOXED_COUNT()))))))</f>
        <v>11322</v>
      </c>
    </row>
    <row r="116">
      <c r="A116" s="503" t="s">
        <v>187</v>
      </c>
      <c r="B116" s="504" t="str">
        <f t="shared" si="1"/>
        <v/>
      </c>
      <c r="C116" s="505">
        <f>VLOOKUP($A116,MS_Labs_Array,2,FALSE)</f>
        <v>21</v>
      </c>
      <c r="D116" s="506">
        <f>VLOOKUP($A116,MS_Labs_Array,4,FALSE)</f>
        <v>25</v>
      </c>
      <c r="E116" s="506" t="str">
        <f t="shared" si="22"/>
        <v>T5 80</v>
      </c>
      <c r="F116" s="507">
        <f t="shared" si="17"/>
        <v>14.11631611</v>
      </c>
      <c r="G116" s="508" t="str">
        <f t="shared" si="3"/>
        <v>14d  2h 47m</v>
      </c>
      <c r="H116" s="509">
        <f t="shared" si="4"/>
        <v>163076520000</v>
      </c>
      <c r="I116" s="509">
        <f t="shared" si="5"/>
        <v>205662520000</v>
      </c>
      <c r="J116" s="509" t="str">
        <f t="shared" si="6"/>
        <v>163.08 B</v>
      </c>
      <c r="K116" s="510" t="str">
        <f t="shared" si="7"/>
        <v>607.05 M/h</v>
      </c>
      <c r="L116" s="511">
        <f t="shared" si="8"/>
        <v>1041</v>
      </c>
      <c r="M116" s="512" t="str">
        <f t="shared" si="18"/>
        <v>16d  8h 45m</v>
      </c>
      <c r="N116" s="509" t="str">
        <f t="shared" si="10"/>
        <v>205.66 B</v>
      </c>
      <c r="O116" s="511">
        <f t="shared" si="11"/>
        <v>1186</v>
      </c>
      <c r="P116" s="513" t="str">
        <f>VLOOKUP($A116,MS_Labs_Array,3,FALSE)</f>
        <v/>
      </c>
      <c r="Q116" s="512">
        <f>IFERROR(__xludf.DUMMYFUNCTION("LET(
  Labspeed, IF(A116=""Labs Speed"", 1+'Master Sheet'!$BK$5, LAB_SPEED_TOTAL()),
  Match, MATCH(IF(ISNUMBER(SEARCH(""Mastery"",$A116)),""Card Mastery"",$A116),DVT_Laboratory!B$1:V$1,0)-1,
  Offset, INDEX(DVT_Laboratory!B$3:ZZ$102,,Match+1),
  Desired,"&amp;" IF(P116&lt;&gt;"""", P116,D116),
  IFS(
    Desired &gt; D116, ""Desired lvl too high"",
    AND(Desired = D116, OR(C116 = D116, C116 = ""Max"")), ""Max Level"",
    Desired = C116, ""OK Level"",
    Desired &lt; C116, ""Desired lvl too low"",
    TRUE, TO_PURE_NUMB"&amp;"ER(
      SUM(
        XLOOKUP($C116 + 1, SEQUENCE(100, 1, 1, 1), Offset, ""N/F"", 0, 1): 
        XLOOKUP(Desired, SEQUENCE(100, 1, 1, 1), Offset, ""N/F"", 0, 1)
      ) / Labspeed
    ) /
    IF(AND(B116 &lt;&gt; """", $B$1 = ""All""), RIGHT(B116, 3), 1)
  )
"&amp;")"),71.06221690754532)</f>
        <v>71.06221691</v>
      </c>
      <c r="R116" s="508" t="str">
        <f t="shared" si="12"/>
        <v>71d  1h 29m</v>
      </c>
      <c r="S116" s="509">
        <f t="array" ref="S116">LET(
  Match, MATCH(IF(ISNUMBER(SEARCH("Mastery",$A116)),"Card Mastery",$A116),DVT_Laboratory!B$1:V$1,0)-1,
  Offset, OFFSET(DVT_Laboratory!C$3,0,Match,100,1),
  Desired, IF(P116&lt;&gt;"", P116,D116),
IF(Desired&gt;D116,"Desired lvl too high",
IF(AND(Desired=D116,OR(C116=D116,C116="Max")),"Max Level",
IF(Desired=C116,"OK Level",
IF(Desired&lt;C116,"Desired lvl too low",
SUM(
XLOOKUP(C116+1,SEQUENCE(100,1,1,1),Offset,"N/F",0,1)
:XLOOKUP(Desired,SEQUENCE(100,1,1,1),Offset,"N/F",0,1))*(1-LAB_COIN_DISCOUNT()))))))</f>
        <v>942989360000</v>
      </c>
      <c r="T116" s="509" t="str">
        <f t="shared" si="13"/>
        <v>942.99 B</v>
      </c>
      <c r="U116" s="510" t="str">
        <f t="shared" si="14"/>
        <v>552.91 M/h</v>
      </c>
      <c r="V116" s="511">
        <f t="array" ref="V116">LET(
  Labspeed, IF(A116 ="Labs Speed", 1+'Master Sheet'!$BK$5, LAB_SPEED_TOTAL()),
  Match, MATCH(IF(ISNUMBER(SEARCH("Mastery",$A116)),"Card Mastery",$A116),DVT_Laboratory!B$1:V$1,0)-1,
  Offset, OFFSET(DVT_Laboratory!B$3,0,Match,100,1),
  Desired, IF(P116&lt;&gt;"", P116,D116),
IF(Desired&gt;D116,"Desired lvl too high",
IF(AND(Desired=D116,OR(C116=D116,C116="Max")),"Max Level",
IF(Desired&lt;=C116,"Desired lvl too low",
SUM(TIME_TO_RUSH_GEMS(
    XLOOKUP(C116+1, SEQUENCE(100,1,1,1), Offset, "N/F", 0, 1):
    XLOOKUP(Desired, SEQUENCE(100,1,1,1), Offset, "N/F", 0, 1)/Labspeed, IDS_LAB_GODLBOXED_COUNT()))))))</f>
        <v>5104</v>
      </c>
    </row>
    <row r="117">
      <c r="A117" s="503" t="s">
        <v>207</v>
      </c>
      <c r="B117" s="504" t="str">
        <f t="shared" si="1"/>
        <v/>
      </c>
      <c r="C117" s="505">
        <f>VLOOKUP($A117,MS_Labs_Array,2,FALSE)</f>
        <v>0</v>
      </c>
      <c r="D117" s="506">
        <f>VLOOKUP($A117,MS_Labs_Array,4,FALSE)</f>
        <v>25</v>
      </c>
      <c r="E117" s="506" t="str">
        <f t="shared" si="22"/>
        <v>T5 90</v>
      </c>
      <c r="F117" s="507">
        <f t="shared" si="17"/>
        <v>0.4118403846</v>
      </c>
      <c r="G117" s="508" t="str">
        <f t="shared" si="3"/>
        <v>0d  9h 53m</v>
      </c>
      <c r="H117" s="509">
        <f t="shared" si="4"/>
        <v>23880000</v>
      </c>
      <c r="I117" s="509">
        <f t="shared" si="5"/>
        <v>47799800</v>
      </c>
      <c r="J117" s="509" t="str">
        <f t="shared" si="6"/>
        <v>23.88 M</v>
      </c>
      <c r="K117" s="510" t="str">
        <f t="shared" si="7"/>
        <v>4.84 M/h</v>
      </c>
      <c r="L117" s="511">
        <f t="shared" si="8"/>
        <v>40</v>
      </c>
      <c r="M117" s="512" t="str">
        <f t="shared" si="18"/>
        <v>0d 12h  0m</v>
      </c>
      <c r="N117" s="509" t="str">
        <f t="shared" si="10"/>
        <v>47.8 M</v>
      </c>
      <c r="O117" s="511">
        <f t="shared" si="11"/>
        <v>48</v>
      </c>
      <c r="P117" s="513" t="str">
        <f>VLOOKUP($A117,MS_Labs_Array,3,FALSE)</f>
        <v/>
      </c>
      <c r="Q117" s="512">
        <f>IFERROR(__xludf.DUMMYFUNCTION("LET(
  Labspeed, IF(A117=""Labs Speed"", 1+'Master Sheet'!$BK$5, LAB_SPEED_TOTAL()),
  Match, MATCH(IF(ISNUMBER(SEARCH(""Mastery"",$A117)),""Card Mastery"",$A117),DVT_Laboratory!B$1:V$1,0)-1,
  Offset, INDEX(DVT_Laboratory!B$3:ZZ$102,,Match+1),
  Desired,"&amp;" IF(P117&lt;&gt;"""", P117,D117),
  IFS(
    Desired &gt; D117, ""Desired lvl too high"",
    AND(Desired = D117, OR(C117 = D117, C117 = ""Max"")), ""Max Level"",
    Desired = C117, ""OK Level"",
    Desired &lt; C117, ""Desired lvl too low"",
    TRUE, TO_PURE_NUMB"&amp;"ER(
      SUM(
        XLOOKUP($C117 + 1, SEQUENCE(100, 1, 1, 1), Offset, ""N/F"", 0, 1): 
        XLOOKUP(Desired, SEQUENCE(100, 1, 1, 1), Offset, ""N/F"", 0, 1)
      ) / Labspeed
    ) /
    IF(AND(B117 &lt;&gt; """", $B$1 = ""All""), RIGHT(B117, 3), 1)
  )
"&amp;")"),146.59146328259672)</f>
        <v>146.5914633</v>
      </c>
      <c r="R117" s="508" t="str">
        <f t="shared" si="12"/>
        <v>146d 14h 11m</v>
      </c>
      <c r="S117" s="509">
        <f t="array" ref="S117">LET(
  Match, MATCH(IF(ISNUMBER(SEARCH("Mastery",$A117)),"Card Mastery",$A117),DVT_Laboratory!B$1:V$1,0)-1,
  Offset, OFFSET(DVT_Laboratory!C$3,0,Match,100,1),
  Desired, IF(P117&lt;&gt;"", P117,D117),
IF(Desired&gt;D117,"Desired lvl too high",
IF(AND(Desired=D117,OR(C117=D117,C117="Max")),"Max Level",
IF(Desired=C117,"OK Level",
IF(Desired&lt;C117,"Desired lvl too low",
SUM(
XLOOKUP(C117+1,SEQUENCE(100,1,1,1),Offset,"N/F",0,1)
:XLOOKUP(Desired,SEQUENCE(100,1,1,1),Offset,"N/F",0,1))*(1-LAB_COIN_DISCOUNT()))))))</f>
        <v>1439359079800</v>
      </c>
      <c r="T117" s="509" t="str">
        <f t="shared" si="13"/>
        <v>1.44 T</v>
      </c>
      <c r="U117" s="510" t="str">
        <f t="shared" si="14"/>
        <v>409.12 M/h</v>
      </c>
      <c r="V117" s="511">
        <f t="array" ref="V117">LET(
  Labspeed, IF(A117 ="Labs Speed", 1+'Master Sheet'!$BK$5, LAB_SPEED_TOTAL()),
  Match, MATCH(IF(ISNUMBER(SEARCH("Mastery",$A117)),"Card Mastery",$A117),DVT_Laboratory!B$1:V$1,0)-1,
  Offset, OFFSET(DVT_Laboratory!B$3,0,Match,100,1),
  Desired, IF(P117&lt;&gt;"", P117,D117),
IF(Desired&gt;D117,"Desired lvl too high",
IF(AND(Desired=D117,OR(C117=D117,C117="Max")),"Max Level",
IF(Desired&lt;=C117,"Desired lvl too low",
SUM(TIME_TO_RUSH_GEMS(
    XLOOKUP(C117+1, SEQUENCE(100,1,1,1), Offset, "N/F", 0, 1):
    XLOOKUP(Desired, SEQUENCE(100,1,1,1), Offset, "N/F", 0, 1)/Labspeed, IDS_LAB_GODLBOXED_COUNT()))))))</f>
        <v>11322</v>
      </c>
    </row>
    <row r="118">
      <c r="A118" s="503" t="s">
        <v>222</v>
      </c>
      <c r="B118" s="504" t="str">
        <f t="shared" si="1"/>
        <v/>
      </c>
      <c r="C118" s="505">
        <f>VLOOKUP($A118,MS_Labs_Array,2,FALSE)</f>
        <v>0</v>
      </c>
      <c r="D118" s="506">
        <f>VLOOKUP($A118,MS_Labs_Array,4,FALSE)</f>
        <v>5</v>
      </c>
      <c r="E118" s="506" t="str">
        <f t="shared" si="22"/>
        <v>T10 60</v>
      </c>
      <c r="F118" s="507">
        <f t="shared" si="17"/>
        <v>11.59790539</v>
      </c>
      <c r="G118" s="508" t="str">
        <f t="shared" si="3"/>
        <v>11d 14h 20m</v>
      </c>
      <c r="H118" s="509">
        <f t="shared" si="4"/>
        <v>34228000000000</v>
      </c>
      <c r="I118" s="509">
        <f t="shared" si="5"/>
        <v>51342000000000</v>
      </c>
      <c r="J118" s="509" t="str">
        <f t="shared" si="6"/>
        <v>34.23 T</v>
      </c>
      <c r="K118" s="510" t="str">
        <f t="shared" si="7"/>
        <v>184.45 B/h</v>
      </c>
      <c r="L118" s="511">
        <f t="shared" si="8"/>
        <v>878</v>
      </c>
      <c r="M118" s="512" t="str">
        <f t="shared" si="18"/>
        <v>13d  8h  6m</v>
      </c>
      <c r="N118" s="509" t="str">
        <f t="shared" si="10"/>
        <v>51.34 T</v>
      </c>
      <c r="O118" s="511">
        <f t="shared" si="11"/>
        <v>990</v>
      </c>
      <c r="P118" s="513" t="str">
        <f>VLOOKUP($A118,MS_Labs_Array,3,FALSE)</f>
        <v/>
      </c>
      <c r="Q118" s="512">
        <f>IFERROR(__xludf.DUMMYFUNCTION("LET(
  Labspeed, IF(A118=""Labs Speed"", 1+'Master Sheet'!$BK$5, LAB_SPEED_TOTAL()),
  Match, MATCH(IF(ISNUMBER(SEARCH(""Mastery"",$A118)),""Card Mastery"",$A118),DVT_Laboratory!B$1:V$1,0)-1,
  Offset, INDEX(DVT_Laboratory!B$3:ZZ$102,,Match+1),
  Desired,"&amp;" IF(P118&lt;&gt;"""", P118,D118),
  IFS(
    Desired &gt; D118, ""Desired lvl too high"",
    AND(Desired = D118, OR(C118 = D118, C118 = ""Max"")), ""Max Level"",
    Desired = C118, ""OK Level"",
    Desired &lt; C118, ""Desired lvl too low"",
    TRUE, TO_PURE_NUMB"&amp;"ER(
      SUM(
        XLOOKUP($C118 + 1, SEQUENCE(100, 1, 1, 1), Offset, ""N/F"", 0, 1): 
        XLOOKUP(Desired, SEQUENCE(100, 1, 1, 1), Offset, ""N/F"", 0, 1)
      ) / Labspeed
    ) /
    IF(AND(B118 &lt;&gt; """", $B$1 = ""All""), RIGHT(B118, 3), 1)
  )
"&amp;")"),78.19748837973435)</f>
        <v>78.19748838</v>
      </c>
      <c r="R118" s="508" t="str">
        <f t="shared" si="12"/>
        <v>78d  4h 44m</v>
      </c>
      <c r="S118" s="509">
        <f t="array" ref="S118">LET(
  Match, MATCH(IF(ISNUMBER(SEARCH("Mastery",$A118)),"Card Mastery",$A118),DVT_Laboratory!B$1:V$1,0)-1,
  Offset, OFFSET(DVT_Laboratory!C$3,0,Match,100,1),
  Desired, IF(P118&lt;&gt;"", P118,D118),
IF(Desired&gt;D118,"Desired lvl too high",
IF(AND(Desired=D118,OR(C118=D118,C118="Max")),"Max Level",
IF(Desired=C118,"OK Level",
IF(Desired&lt;C118,"Desired lvl too low",
SUM(
XLOOKUP(C118+1,SEQUENCE(100,1,1,1),Offset,"N/F",0,1)
:XLOOKUP(Desired,SEQUENCE(100,1,1,1),Offset,"N/F",0,1))*(1-LAB_COIN_DISCOUNT()))))))</f>
        <v>451387720000000</v>
      </c>
      <c r="T118" s="509" t="str">
        <f t="shared" si="13"/>
        <v>451.39 T</v>
      </c>
      <c r="U118" s="510" t="str">
        <f t="shared" si="14"/>
        <v>240.52 B/h</v>
      </c>
      <c r="V118" s="511">
        <f t="array" ref="V118">LET(
  Labspeed, IF(A118 ="Labs Speed", 1+'Master Sheet'!$BK$5, LAB_SPEED_TOTAL()),
  Match, MATCH(IF(ISNUMBER(SEARCH("Mastery",$A118)),"Card Mastery",$A118),DVT_Laboratory!B$1:V$1,0)-1,
  Offset, OFFSET(DVT_Laboratory!B$3,0,Match,100,1),
  Desired, IF(P118&lt;&gt;"", P118,D118),
IF(Desired&gt;D118,"Desired lvl too high",
IF(AND(Desired=D118,OR(C118=D118,C118="Max")),"Max Level",
IF(Desired&lt;=C118,"Desired lvl too low",
SUM(TIME_TO_RUSH_GEMS(
    XLOOKUP(C118+1, SEQUENCE(100,1,1,1), Offset, "N/F", 0, 1):
    XLOOKUP(Desired, SEQUENCE(100,1,1,1), Offset, "N/F", 0, 1)/Labspeed, IDS_LAB_GODLBOXED_COUNT()))))))</f>
        <v>5693</v>
      </c>
    </row>
    <row r="119">
      <c r="A119" s="503" t="s">
        <v>234</v>
      </c>
      <c r="B119" s="504" t="str">
        <f t="shared" si="1"/>
        <v/>
      </c>
      <c r="C119" s="505">
        <f>VLOOKUP($A119,MS_Labs_Array,2,FALSE)</f>
        <v>0</v>
      </c>
      <c r="D119" s="506">
        <f>VLOOKUP($A119,MS_Labs_Array,4,FALSE)</f>
        <v>20</v>
      </c>
      <c r="E119" s="506" t="str">
        <f t="shared" si="22"/>
        <v>T10 60</v>
      </c>
      <c r="F119" s="507">
        <f t="shared" si="17"/>
        <v>2.118338883</v>
      </c>
      <c r="G119" s="508" t="str">
        <f t="shared" si="3"/>
        <v>2d  2h 50m</v>
      </c>
      <c r="H119" s="509">
        <f t="shared" si="4"/>
        <v>79600000000</v>
      </c>
      <c r="I119" s="509">
        <f t="shared" si="5"/>
        <v>119400000000</v>
      </c>
      <c r="J119" s="509" t="str">
        <f t="shared" si="6"/>
        <v>79.6 B</v>
      </c>
      <c r="K119" s="510" t="str">
        <f t="shared" si="7"/>
        <v>2.35 B/h</v>
      </c>
      <c r="L119" s="511">
        <f t="shared" si="8"/>
        <v>186</v>
      </c>
      <c r="M119" s="512" t="str">
        <f t="shared" si="18"/>
        <v>2d 10h 27m</v>
      </c>
      <c r="N119" s="509" t="str">
        <f t="shared" si="10"/>
        <v>119.4 B</v>
      </c>
      <c r="O119" s="511">
        <f t="shared" si="11"/>
        <v>212</v>
      </c>
      <c r="P119" s="513" t="str">
        <f>VLOOKUP($A119,MS_Labs_Array,3,FALSE)</f>
        <v/>
      </c>
      <c r="Q119" s="512">
        <f>IFERROR(__xludf.DUMMYFUNCTION("LET(
  Labspeed, IF(A119=""Labs Speed"", 1+'Master Sheet'!$BK$5, LAB_SPEED_TOTAL()),
  Match, MATCH(IF(ISNUMBER(SEARCH(""Mastery"",$A119)),""Card Mastery"",$A119),DVT_Laboratory!B$1:V$1,0)-1,
  Offset, INDEX(DVT_Laboratory!B$3:ZZ$102,,Match+1),
  Desired,"&amp;" IF(P119&lt;&gt;"""", P119,D119),
  IFS(
    Desired &gt; D119, ""Desired lvl too high"",
    AND(Desired = D119, OR(C119 = D119, C119 = ""Max"")), ""Max Level"",
    Desired = C119, ""OK Level"",
    Desired &lt; C119, ""Desired lvl too low"",
    TRUE, TO_PURE_NUMB"&amp;"ER(
      SUM(
        XLOOKUP($C119 + 1, SEQUENCE(100, 1, 1, 1), Offset, ""N/F"", 0, 1): 
        XLOOKUP(Desired, SEQUENCE(100, 1, 1, 1), Offset, ""N/F"", 0, 1)
      ) / Labspeed
    ) /
    IF(AND(B119 &lt;&gt; """", $B$1 = ""All""), RIGHT(B119, 3), 1)
  )
"&amp;")"),217.01012001095884)</f>
        <v>217.01012</v>
      </c>
      <c r="R119" s="508" t="str">
        <f t="shared" si="12"/>
        <v>217d  0h 14m</v>
      </c>
      <c r="S119" s="509">
        <f t="array" ref="S119">LET(
  Match, MATCH(IF(ISNUMBER(SEARCH("Mastery",$A119)),"Card Mastery",$A119),DVT_Laboratory!B$1:V$1,0)-1,
  Offset, OFFSET(DVT_Laboratory!C$3,0,Match,100,1),
  Desired, IF(P119&lt;&gt;"", P119,D119),
IF(Desired&gt;D119,"Desired lvl too high",
IF(AND(Desired=D119,OR(C119=D119,C119="Max")),"Max Level",
IF(Desired=C119,"OK Level",
IF(Desired&lt;C119,"Desired lvl too low",
SUM(
XLOOKUP(C119+1,SEQUENCE(100,1,1,1),Offset,"N/F",0,1)
:XLOOKUP(Desired,SEQUENCE(100,1,1,1),Offset,"N/F",0,1))*(1-LAB_COIN_DISCOUNT()))))))</f>
        <v>529211151480000</v>
      </c>
      <c r="T119" s="509" t="str">
        <f t="shared" si="13"/>
        <v>529.21 T</v>
      </c>
      <c r="U119" s="510" t="str">
        <f t="shared" si="14"/>
        <v>101.61 B/h</v>
      </c>
      <c r="V119" s="511">
        <f t="array" ref="V119">LET(
  Labspeed, IF(A119 ="Labs Speed", 1+'Master Sheet'!$BK$5, LAB_SPEED_TOTAL()),
  Match, MATCH(IF(ISNUMBER(SEARCH("Mastery",$A119)),"Card Mastery",$A119),DVT_Laboratory!B$1:V$1,0)-1,
  Offset, OFFSET(DVT_Laboratory!B$3,0,Match,100,1),
  Desired, IF(P119&lt;&gt;"", P119,D119),
IF(Desired&gt;D119,"Desired lvl too high",
IF(AND(Desired=D119,OR(C119=D119,C119="Max")),"Max Level",
IF(Desired&lt;=C119,"Desired lvl too low",
SUM(TIME_TO_RUSH_GEMS(
    XLOOKUP(C119+1, SEQUENCE(100,1,1,1), Offset, "N/F", 0, 1):
    XLOOKUP(Desired, SEQUENCE(100,1,1,1), Offset, "N/F", 0, 1)/Labspeed, IDS_LAB_GODLBOXED_COUNT()))))))</f>
        <v>16143</v>
      </c>
    </row>
    <row r="120">
      <c r="A120" s="503" t="s">
        <v>245</v>
      </c>
      <c r="B120" s="504" t="str">
        <f t="shared" si="1"/>
        <v/>
      </c>
      <c r="C120" s="505">
        <f>VLOOKUP($A120,MS_Labs_Array,2,FALSE)</f>
        <v>12</v>
      </c>
      <c r="D120" s="506">
        <f>VLOOKUP($A120,MS_Labs_Array,4,FALSE)</f>
        <v>20</v>
      </c>
      <c r="E120" s="506" t="str">
        <f t="shared" si="22"/>
        <v>T10 60</v>
      </c>
      <c r="F120" s="507">
        <f t="shared" si="17"/>
        <v>11.33363673</v>
      </c>
      <c r="G120" s="508" t="str">
        <f t="shared" si="3"/>
        <v>11d  8h  0m</v>
      </c>
      <c r="H120" s="509">
        <f t="shared" si="4"/>
        <v>10324120000000</v>
      </c>
      <c r="I120" s="509">
        <f t="shared" si="5"/>
        <v>15490160000000</v>
      </c>
      <c r="J120" s="509" t="str">
        <f t="shared" si="6"/>
        <v>10.32 T</v>
      </c>
      <c r="K120" s="510" t="str">
        <f t="shared" si="7"/>
        <v>56.95 B/h</v>
      </c>
      <c r="L120" s="511">
        <f t="shared" si="8"/>
        <v>861</v>
      </c>
      <c r="M120" s="512" t="str">
        <f t="shared" si="18"/>
        <v>13d  0h 48m</v>
      </c>
      <c r="N120" s="509" t="str">
        <f t="shared" si="10"/>
        <v>15.49 T</v>
      </c>
      <c r="O120" s="511">
        <f t="shared" si="11"/>
        <v>971</v>
      </c>
      <c r="P120" s="513" t="str">
        <f>VLOOKUP($A120,MS_Labs_Array,3,FALSE)</f>
        <v/>
      </c>
      <c r="Q120" s="512">
        <f>IFERROR(__xludf.DUMMYFUNCTION("LET(
  Labspeed, IF(A120=""Labs Speed"", 1+'Master Sheet'!$BK$5, LAB_SPEED_TOTAL()),
  Match, MATCH(IF(ISNUMBER(SEARCH(""Mastery"",$A120)),""Card Mastery"",$A120),DVT_Laboratory!B$1:V$1,0)-1,
  Offset, INDEX(DVT_Laboratory!B$3:ZZ$102,,Match+1),
  Desired,"&amp;" IF(P120&lt;&gt;"""", P120,D120),
  IFS(
    Desired &gt; D120, ""Desired lvl too high"",
    AND(Desired = D120, OR(C120 = D120, C120 = ""Max"")), ""Max Level"",
    Desired = C120, ""OK Level"",
    Desired &lt; C120, ""Desired lvl too low"",
    TRUE, TO_PURE_NUMB"&amp;"ER(
      SUM(
        XLOOKUP($C120 + 1, SEQUENCE(100, 1, 1, 1), Offset, ""N/F"", 0, 1): 
        XLOOKUP(Desired, SEQUENCE(100, 1, 1, 1), Offset, ""N/F"", 0, 1)
      ) / Labspeed
    ) /
    IF(AND(B120 &lt;&gt; """", $B$1 = ""All""), RIGHT(B120, 3), 1)
  )
"&amp;")"),155.57478830733422)</f>
        <v>155.5747883</v>
      </c>
      <c r="R120" s="508" t="str">
        <f t="shared" si="12"/>
        <v>155d 13h 47m</v>
      </c>
      <c r="S120" s="509">
        <f t="array" ref="S120">LET(
  Match, MATCH(IF(ISNUMBER(SEARCH("Mastery",$A120)),"Card Mastery",$A120),DVT_Laboratory!B$1:V$1,0)-1,
  Offset, OFFSET(DVT_Laboratory!C$3,0,Match,100,1),
  Desired, IF(P120&lt;&gt;"", P120,D120),
IF(Desired&gt;D120,"Desired lvl too high",
IF(AND(Desired=D120,OR(C120=D120,C120="Max")),"Max Level",
IF(Desired=C120,"OK Level",
IF(Desired&lt;C120,"Desired lvl too low",
SUM(
XLOOKUP(C120+1,SEQUENCE(100,1,1,1),Offset,"N/F",0,1)
:XLOOKUP(Desired,SEQUENCE(100,1,1,1),Offset,"N/F",0,1))*(1-LAB_COIN_DISCOUNT()))))))</f>
        <v>508715640000000</v>
      </c>
      <c r="T120" s="509" t="str">
        <f t="shared" si="13"/>
        <v>508.72 T</v>
      </c>
      <c r="U120" s="510" t="str">
        <f t="shared" si="14"/>
        <v>136.25 B/h</v>
      </c>
      <c r="V120" s="511">
        <f t="array" ref="V120">LET(
  Labspeed, IF(A120 ="Labs Speed", 1+'Master Sheet'!$BK$5, LAB_SPEED_TOTAL()),
  Match, MATCH(IF(ISNUMBER(SEARCH("Mastery",$A120)),"Card Mastery",$A120),DVT_Laboratory!B$1:V$1,0)-1,
  Offset, OFFSET(DVT_Laboratory!B$3,0,Match,100,1),
  Desired, IF(P120&lt;&gt;"", P120,D120),
IF(Desired&gt;D120,"Desired lvl too high",
IF(AND(Desired=D120,OR(C120=D120,C120="Max")),"Max Level",
IF(Desired&lt;=C120,"Desired lvl too low",
SUM(TIME_TO_RUSH_GEMS(
    XLOOKUP(C120+1, SEQUENCE(100,1,1,1), Offset, "N/F", 0, 1):
    XLOOKUP(Desired, SEQUENCE(100,1,1,1), Offset, "N/F", 0, 1)/Labspeed, IDS_LAB_GODLBOXED_COUNT()))))))</f>
        <v>11071</v>
      </c>
    </row>
    <row r="121">
      <c r="A121" s="503" t="s">
        <v>256</v>
      </c>
      <c r="B121" s="504" t="str">
        <f t="shared" si="1"/>
        <v/>
      </c>
      <c r="C121" s="505">
        <f>VLOOKUP($A121,MS_Labs_Array,2,FALSE)</f>
        <v>0</v>
      </c>
      <c r="D121" s="506">
        <f>VLOOKUP($A121,MS_Labs_Array,4,FALSE)</f>
        <v>20</v>
      </c>
      <c r="E121" s="506" t="str">
        <f t="shared" si="22"/>
        <v>T10 60</v>
      </c>
      <c r="F121" s="507">
        <f t="shared" si="17"/>
        <v>2.118338883</v>
      </c>
      <c r="G121" s="508" t="str">
        <f t="shared" si="3"/>
        <v>2d  2h 50m</v>
      </c>
      <c r="H121" s="509">
        <f t="shared" si="4"/>
        <v>79600000000</v>
      </c>
      <c r="I121" s="509">
        <f t="shared" si="5"/>
        <v>119400000000</v>
      </c>
      <c r="J121" s="509" t="str">
        <f t="shared" si="6"/>
        <v>79.6 B</v>
      </c>
      <c r="K121" s="510" t="str">
        <f t="shared" si="7"/>
        <v>2.35 B/h</v>
      </c>
      <c r="L121" s="511">
        <f t="shared" si="8"/>
        <v>186</v>
      </c>
      <c r="M121" s="512" t="str">
        <f t="shared" si="18"/>
        <v>2d 10h 27m</v>
      </c>
      <c r="N121" s="509" t="str">
        <f t="shared" si="10"/>
        <v>119.4 B</v>
      </c>
      <c r="O121" s="511">
        <f t="shared" si="11"/>
        <v>212</v>
      </c>
      <c r="P121" s="513" t="str">
        <f>VLOOKUP($A121,MS_Labs_Array,3,FALSE)</f>
        <v/>
      </c>
      <c r="Q121" s="512">
        <f>IFERROR(__xludf.DUMMYFUNCTION("LET(
  Labspeed, IF(A121=""Labs Speed"", 1+'Master Sheet'!$BK$5, LAB_SPEED_TOTAL()),
  Match, MATCH(IF(ISNUMBER(SEARCH(""Mastery"",$A121)),""Card Mastery"",$A121),DVT_Laboratory!B$1:V$1,0)-1,
  Offset, INDEX(DVT_Laboratory!B$3:ZZ$102,,Match+1),
  Desired,"&amp;" IF(P121&lt;&gt;"""", P121,D121),
  IFS(
    Desired &gt; D121, ""Desired lvl too high"",
    AND(Desired = D121, OR(C121 = D121, C121 = ""Max"")), ""Max Level"",
    Desired = C121, ""OK Level"",
    Desired &lt; C121, ""Desired lvl too low"",
    TRUE, TO_PURE_NUMB"&amp;"ER(
      SUM(
        XLOOKUP($C121 + 1, SEQUENCE(100, 1, 1, 1), Offset, ""N/F"", 0, 1): 
        XLOOKUP(Desired, SEQUENCE(100, 1, 1, 1), Offset, ""N/F"", 0, 1)
      ) / Labspeed
    ) /
    IF(AND(B121 &lt;&gt; """", $B$1 = ""All""), RIGHT(B121, 3), 1)
  )
"&amp;")"),217.01012001095884)</f>
        <v>217.01012</v>
      </c>
      <c r="R121" s="508" t="str">
        <f t="shared" si="12"/>
        <v>217d  0h 14m</v>
      </c>
      <c r="S121" s="509">
        <f t="array" ref="S121">LET(
  Match, MATCH(IF(ISNUMBER(SEARCH("Mastery",$A121)),"Card Mastery",$A121),DVT_Laboratory!B$1:V$1,0)-1,
  Offset, OFFSET(DVT_Laboratory!C$3,0,Match,100,1),
  Desired, IF(P121&lt;&gt;"", P121,D121),
IF(Desired&gt;D121,"Desired lvl too high",
IF(AND(Desired=D121,OR(C121=D121,C121="Max")),"Max Level",
IF(Desired=C121,"OK Level",
IF(Desired&lt;C121,"Desired lvl too low",
SUM(
XLOOKUP(C121+1,SEQUENCE(100,1,1,1),Offset,"N/F",0,1)
:XLOOKUP(Desired,SEQUENCE(100,1,1,1),Offset,"N/F",0,1))*(1-LAB_COIN_DISCOUNT()))))))</f>
        <v>529211151480000</v>
      </c>
      <c r="T121" s="509" t="str">
        <f t="shared" si="13"/>
        <v>529.21 T</v>
      </c>
      <c r="U121" s="510" t="str">
        <f t="shared" si="14"/>
        <v>101.61 B/h</v>
      </c>
      <c r="V121" s="511">
        <f t="array" ref="V121">LET(
  Labspeed, IF(A121 ="Labs Speed", 1+'Master Sheet'!$BK$5, LAB_SPEED_TOTAL()),
  Match, MATCH(IF(ISNUMBER(SEARCH("Mastery",$A121)),"Card Mastery",$A121),DVT_Laboratory!B$1:V$1,0)-1,
  Offset, OFFSET(DVT_Laboratory!B$3,0,Match,100,1),
  Desired, IF(P121&lt;&gt;"", P121,D121),
IF(Desired&gt;D121,"Desired lvl too high",
IF(AND(Desired=D121,OR(C121=D121,C121="Max")),"Max Level",
IF(Desired&lt;=C121,"Desired lvl too low",
SUM(TIME_TO_RUSH_GEMS(
    XLOOKUP(C121+1, SEQUENCE(100,1,1,1), Offset, "N/F", 0, 1):
    XLOOKUP(Desired, SEQUENCE(100,1,1,1), Offset, "N/F", 0, 1)/Labspeed, IDS_LAB_GODLBOXED_COUNT()))))))</f>
        <v>16143</v>
      </c>
    </row>
    <row r="122">
      <c r="A122" s="514" t="s">
        <v>162</v>
      </c>
      <c r="B122" s="515" t="str">
        <f t="shared" si="1"/>
        <v/>
      </c>
      <c r="C122" s="516">
        <f>VLOOKUP($A122,MS_Labs_Array,2,FALSE)</f>
        <v>0</v>
      </c>
      <c r="D122" s="517">
        <f>VLOOKUP($A122,MS_Labs_Array,4,FALSE)</f>
        <v>30</v>
      </c>
      <c r="E122" s="518" t="str">
        <f t="shared" si="22"/>
        <v>T9 10</v>
      </c>
      <c r="F122" s="519">
        <f t="shared" si="17"/>
        <v>0.5883686249</v>
      </c>
      <c r="G122" s="520" t="str">
        <f t="shared" si="3"/>
        <v>0d 14h  7m</v>
      </c>
      <c r="H122" s="521">
        <f t="shared" si="4"/>
        <v>15920000000</v>
      </c>
      <c r="I122" s="521">
        <f t="shared" si="5"/>
        <v>31840000000</v>
      </c>
      <c r="J122" s="521" t="str">
        <f t="shared" si="6"/>
        <v>15.92 B</v>
      </c>
      <c r="K122" s="522" t="str">
        <f t="shared" si="7"/>
        <v>2.25 B/h</v>
      </c>
      <c r="L122" s="523">
        <f t="shared" si="8"/>
        <v>56</v>
      </c>
      <c r="M122" s="524" t="str">
        <f t="shared" si="18"/>
        <v>0d 16h 14m</v>
      </c>
      <c r="N122" s="521" t="str">
        <f t="shared" si="10"/>
        <v>31.84 B</v>
      </c>
      <c r="O122" s="523">
        <f t="shared" si="11"/>
        <v>65</v>
      </c>
      <c r="P122" s="525" t="str">
        <f>VLOOKUP($A122,MS_Labs_Array,3,FALSE)</f>
        <v/>
      </c>
      <c r="Q122" s="524">
        <f>IFERROR(__xludf.DUMMYFUNCTION("LET(
  Labspeed, IF(A122=""Labs Speed"", 1+'Master Sheet'!$BK$5, LAB_SPEED_TOTAL()),
  Match, MATCH(IF(ISNUMBER(SEARCH(""Mastery"",$A122)),""Card Mastery"",$A122),DVT_Laboratory!B$1:V$1,0)-1,
  Offset, INDEX(DVT_Laboratory!B$3:ZZ$102,,Match+1),
  Desired,"&amp;" IF(P122&lt;&gt;"""", P122,D122),
  IFS(
    Desired &gt; D122, ""Desired lvl too high"",
    AND(Desired = D122, OR(C122 = D122, C122 = ""Max"")), ""Max Level"",
    Desired = C122, ""OK Level"",
    Desired &lt; C122, ""Desired lvl too low"",
    TRUE, TO_PURE_NUMB"&amp;"ER(
      SUM(
        XLOOKUP($C122 + 1, SEQUENCE(100, 1, 1, 1), Offset, ""N/F"", 0, 1): 
        XLOOKUP(Desired, SEQUENCE(100, 1, 1, 1), Offset, ""N/F"", 0, 1)
      ) / Labspeed
    ) /
    IF(AND(B122 &lt;&gt; """", $B$1 = ""All""), RIGHT(B122, 3), 1)
  )
"&amp;")"),314.17578258499475)</f>
        <v>314.1757826</v>
      </c>
      <c r="R122" s="520" t="str">
        <f t="shared" si="12"/>
        <v>314d  4h 13m</v>
      </c>
      <c r="S122" s="521">
        <f t="array" ref="S122">LET(
  Match, MATCH(IF(ISNUMBER(SEARCH("Mastery",$A122)),"Card Mastery",$A122),DVT_Laboratory!B$1:V$1,0)-1,
  Offset, OFFSET(DVT_Laboratory!C$3,0,Match,100,1),
  Desired, IF(P122&lt;&gt;"", P122,D122),
IF(Desired&gt;D122,"Desired lvl too high",
IF(AND(Desired=D122,OR(C122=D122,C122="Max")),"Max Level",
IF(Desired=C122,"OK Level",
IF(Desired&lt;C122,"Desired lvl too low",
SUM(
XLOOKUP(C122+1,SEQUENCE(100,1,1,1),Offset,"N/F",0,1)
:XLOOKUP(Desired,SEQUENCE(100,1,1,1),Offset,"N/F",0,1))*(1-LAB_COIN_DISCOUNT()))))))</f>
        <v>16808765840000</v>
      </c>
      <c r="T122" s="521" t="str">
        <f t="shared" si="13"/>
        <v>16.81 T</v>
      </c>
      <c r="U122" s="522" t="str">
        <f t="shared" si="14"/>
        <v>2.23 B/h</v>
      </c>
      <c r="V122" s="523">
        <f t="array" ref="V122">LET(
  Labspeed, IF(A122 ="Labs Speed", 1+'Master Sheet'!$BK$5, LAB_SPEED_TOTAL()),
  Match, MATCH(IF(ISNUMBER(SEARCH("Mastery",$A122)),"Card Mastery",$A122),DVT_Laboratory!B$1:V$1,0)-1,
  Offset, OFFSET(DVT_Laboratory!B$3,0,Match,100,1),
  Desired, IF(P122&lt;&gt;"", P122,D122),
IF(Desired&gt;D122,"Desired lvl too high",
IF(AND(Desired=D122,OR(C122=D122,C122="Max")),"Max Level",
IF(Desired&lt;=C122,"Desired lvl too low",
SUM(TIME_TO_RUSH_GEMS(
    XLOOKUP(C122+1, SEQUENCE(100,1,1,1), Offset, "N/F", 0, 1):
    XLOOKUP(Desired, SEQUENCE(100,1,1,1), Offset, "N/F", 0, 1)/Labspeed, IDS_LAB_GODLBOXED_COUNT()))))))</f>
        <v>22416</v>
      </c>
    </row>
    <row r="123">
      <c r="A123" s="514" t="s">
        <v>177</v>
      </c>
      <c r="B123" s="515" t="str">
        <f t="shared" si="1"/>
        <v/>
      </c>
      <c r="C123" s="516">
        <f>VLOOKUP($A123,MS_Labs_Array,2,FALSE)</f>
        <v>0</v>
      </c>
      <c r="D123" s="517">
        <f>VLOOKUP($A123,MS_Labs_Array,4,FALSE)</f>
        <v>30</v>
      </c>
      <c r="E123" s="518" t="str">
        <f t="shared" si="22"/>
        <v>T9 10</v>
      </c>
      <c r="F123" s="519">
        <f t="shared" si="17"/>
        <v>0.5883686249</v>
      </c>
      <c r="G123" s="520" t="str">
        <f t="shared" si="3"/>
        <v>0d 14h  7m</v>
      </c>
      <c r="H123" s="521">
        <f t="shared" si="4"/>
        <v>15920000000</v>
      </c>
      <c r="I123" s="521">
        <f t="shared" si="5"/>
        <v>31840000000</v>
      </c>
      <c r="J123" s="521" t="str">
        <f t="shared" si="6"/>
        <v>15.92 B</v>
      </c>
      <c r="K123" s="522" t="str">
        <f t="shared" si="7"/>
        <v>2.25 B/h</v>
      </c>
      <c r="L123" s="523">
        <f t="shared" si="8"/>
        <v>56</v>
      </c>
      <c r="M123" s="524" t="str">
        <f t="shared" si="18"/>
        <v>0d 16h 14m</v>
      </c>
      <c r="N123" s="521" t="str">
        <f t="shared" si="10"/>
        <v>31.84 B</v>
      </c>
      <c r="O123" s="523">
        <f t="shared" si="11"/>
        <v>65</v>
      </c>
      <c r="P123" s="525" t="str">
        <f>VLOOKUP($A123,MS_Labs_Array,3,FALSE)</f>
        <v/>
      </c>
      <c r="Q123" s="524">
        <f>IFERROR(__xludf.DUMMYFUNCTION("LET(
  Labspeed, IF(A123=""Labs Speed"", 1+'Master Sheet'!$BK$5, LAB_SPEED_TOTAL()),
  Match, MATCH(IF(ISNUMBER(SEARCH(""Mastery"",$A123)),""Card Mastery"",$A123),DVT_Laboratory!B$1:V$1,0)-1,
  Offset, INDEX(DVT_Laboratory!B$3:ZZ$102,,Match+1),
  Desired,"&amp;" IF(P123&lt;&gt;"""", P123,D123),
  IFS(
    Desired &gt; D123, ""Desired lvl too high"",
    AND(Desired = D123, OR(C123 = D123, C123 = ""Max"")), ""Max Level"",
    Desired = C123, ""OK Level"",
    Desired &lt; C123, ""Desired lvl too low"",
    TRUE, TO_PURE_NUMB"&amp;"ER(
      SUM(
        XLOOKUP($C123 + 1, SEQUENCE(100, 1, 1, 1), Offset, ""N/F"", 0, 1): 
        XLOOKUP(Desired, SEQUENCE(100, 1, 1, 1), Offset, ""N/F"", 0, 1)
      ) / Labspeed
    ) /
    IF(AND(B123 &lt;&gt; """", $B$1 = ""All""), RIGHT(B123, 3), 1)
  )
"&amp;")"),314.17578258499475)</f>
        <v>314.1757826</v>
      </c>
      <c r="R123" s="520" t="str">
        <f t="shared" si="12"/>
        <v>314d  4h 13m</v>
      </c>
      <c r="S123" s="521">
        <f t="array" ref="S123">LET(
  Match, MATCH(IF(ISNUMBER(SEARCH("Mastery",$A123)),"Card Mastery",$A123),DVT_Laboratory!B$1:V$1,0)-1,
  Offset, OFFSET(DVT_Laboratory!C$3,0,Match,100,1),
  Desired, IF(P123&lt;&gt;"", P123,D123),
IF(Desired&gt;D123,"Desired lvl too high",
IF(AND(Desired=D123,OR(C123=D123,C123="Max")),"Max Level",
IF(Desired=C123,"OK Level",
IF(Desired&lt;C123,"Desired lvl too low",
SUM(
XLOOKUP(C123+1,SEQUENCE(100,1,1,1),Offset,"N/F",0,1)
:XLOOKUP(Desired,SEQUENCE(100,1,1,1),Offset,"N/F",0,1))*(1-LAB_COIN_DISCOUNT()))))))</f>
        <v>16808765840000</v>
      </c>
      <c r="T123" s="521" t="str">
        <f t="shared" si="13"/>
        <v>16.81 T</v>
      </c>
      <c r="U123" s="522" t="str">
        <f t="shared" si="14"/>
        <v>2.23 B/h</v>
      </c>
      <c r="V123" s="523">
        <f t="array" ref="V123">LET(
  Labspeed, IF(A123 ="Labs Speed", 1+'Master Sheet'!$BK$5, LAB_SPEED_TOTAL()),
  Match, MATCH(IF(ISNUMBER(SEARCH("Mastery",$A123)),"Card Mastery",$A123),DVT_Laboratory!B$1:V$1,0)-1,
  Offset, OFFSET(DVT_Laboratory!B$3,0,Match,100,1),
  Desired, IF(P123&lt;&gt;"", P123,D123),
IF(Desired&gt;D123,"Desired lvl too high",
IF(AND(Desired=D123,OR(C123=D123,C123="Max")),"Max Level",
IF(Desired&lt;=C123,"Desired lvl too low",
SUM(TIME_TO_RUSH_GEMS(
    XLOOKUP(C123+1, SEQUENCE(100,1,1,1), Offset, "N/F", 0, 1):
    XLOOKUP(Desired, SEQUENCE(100,1,1,1), Offset, "N/F", 0, 1)/Labspeed, IDS_LAB_GODLBOXED_COUNT()))))))</f>
        <v>22416</v>
      </c>
    </row>
    <row r="124">
      <c r="A124" s="514" t="s">
        <v>188</v>
      </c>
      <c r="B124" s="515" t="str">
        <f t="shared" si="1"/>
        <v/>
      </c>
      <c r="C124" s="516">
        <f>VLOOKUP($A124,MS_Labs_Array,2,FALSE)</f>
        <v>0</v>
      </c>
      <c r="D124" s="517">
        <f>VLOOKUP($A124,MS_Labs_Array,4,FALSE)</f>
        <v>30</v>
      </c>
      <c r="E124" s="518" t="str">
        <f t="shared" si="22"/>
        <v>T9 20</v>
      </c>
      <c r="F124" s="519">
        <f t="shared" si="17"/>
        <v>0.5883686249</v>
      </c>
      <c r="G124" s="520" t="str">
        <f t="shared" si="3"/>
        <v>0d 14h  7m</v>
      </c>
      <c r="H124" s="521">
        <f t="shared" si="4"/>
        <v>23880000000</v>
      </c>
      <c r="I124" s="521">
        <f t="shared" si="5"/>
        <v>47767960000</v>
      </c>
      <c r="J124" s="521" t="str">
        <f t="shared" si="6"/>
        <v>23.88 B</v>
      </c>
      <c r="K124" s="522" t="str">
        <f t="shared" si="7"/>
        <v>3.38 B/h</v>
      </c>
      <c r="L124" s="523">
        <f t="shared" si="8"/>
        <v>56</v>
      </c>
      <c r="M124" s="524" t="str">
        <f t="shared" si="18"/>
        <v>0d 16h 14m</v>
      </c>
      <c r="N124" s="521" t="str">
        <f t="shared" si="10"/>
        <v>47.77 B</v>
      </c>
      <c r="O124" s="523">
        <f t="shared" si="11"/>
        <v>65</v>
      </c>
      <c r="P124" s="525" t="str">
        <f>VLOOKUP($A124,MS_Labs_Array,3,FALSE)</f>
        <v/>
      </c>
      <c r="Q124" s="524">
        <f>IFERROR(__xludf.DUMMYFUNCTION("LET(
  Labspeed, IF(A124=""Labs Speed"", 1+'Master Sheet'!$BK$5, LAB_SPEED_TOTAL()),
  Match, MATCH(IF(ISNUMBER(SEARCH(""Mastery"",$A124)),""Card Mastery"",$A124),DVT_Laboratory!B$1:V$1,0)-1,
  Offset, INDEX(DVT_Laboratory!B$3:ZZ$102,,Match+1),
  Desired,"&amp;" IF(P124&lt;&gt;"""", P124,D124),
  IFS(
    Desired &gt; D124, ""Desired lvl too high"",
    AND(Desired = D124, OR(C124 = D124, C124 = ""Max"")), ""Max Level"",
    Desired = C124, ""OK Level"",
    Desired &lt; C124, ""Desired lvl too low"",
    TRUE, TO_PURE_NUMB"&amp;"ER(
      SUM(
        XLOOKUP($C124 + 1, SEQUENCE(100, 1, 1, 1), Offset, ""N/F"", 0, 1): 
        XLOOKUP(Desired, SEQUENCE(100, 1, 1, 1), Offset, ""N/F"", 0, 1)
      ) / Labspeed
    ) /
    IF(AND(B124 &lt;&gt; """", $B$1 = ""All""), RIGHT(B124, 3), 1)
  )
"&amp;")"),314.17578258499475)</f>
        <v>314.1757826</v>
      </c>
      <c r="R124" s="520" t="str">
        <f t="shared" si="12"/>
        <v>314d  4h 13m</v>
      </c>
      <c r="S124" s="521">
        <f t="array" ref="S124">LET(
  Match, MATCH(IF(ISNUMBER(SEARCH("Mastery",$A124)),"Card Mastery",$A124),DVT_Laboratory!B$1:V$1,0)-1,
  Offset, OFFSET(DVT_Laboratory!C$3,0,Match,100,1),
  Desired, IF(P124&lt;&gt;"", P124,D124),
IF(Desired&gt;D124,"Desired lvl too high",
IF(AND(Desired=D124,OR(C124=D124,C124="Max")),"Max Level",
IF(Desired=C124,"OK Level",
IF(Desired&lt;C124,"Desired lvl too low",
SUM(
XLOOKUP(C124+1,SEQUENCE(100,1,1,1),Offset,"N/F",0,1)
:XLOOKUP(Desired,SEQUENCE(100,1,1,1),Offset,"N/F",0,1))*(1-LAB_COIN_DISCOUNT()))))))</f>
        <v>20511479240000</v>
      </c>
      <c r="T124" s="521" t="str">
        <f t="shared" si="13"/>
        <v>20.51 T</v>
      </c>
      <c r="U124" s="522" t="str">
        <f t="shared" si="14"/>
        <v>2.72 B/h</v>
      </c>
      <c r="V124" s="523">
        <f t="array" ref="V124">LET(
  Labspeed, IF(A124 ="Labs Speed", 1+'Master Sheet'!$BK$5, LAB_SPEED_TOTAL()),
  Match, MATCH(IF(ISNUMBER(SEARCH("Mastery",$A124)),"Card Mastery",$A124),DVT_Laboratory!B$1:V$1,0)-1,
  Offset, OFFSET(DVT_Laboratory!B$3,0,Match,100,1),
  Desired, IF(P124&lt;&gt;"", P124,D124),
IF(Desired&gt;D124,"Desired lvl too high",
IF(AND(Desired=D124,OR(C124=D124,C124="Max")),"Max Level",
IF(Desired&lt;=C124,"Desired lvl too low",
SUM(TIME_TO_RUSH_GEMS(
    XLOOKUP(C124+1, SEQUENCE(100,1,1,1), Offset, "N/F", 0, 1):
    XLOOKUP(Desired, SEQUENCE(100,1,1,1), Offset, "N/F", 0, 1)/Labspeed, IDS_LAB_GODLBOXED_COUNT()))))))</f>
        <v>22416</v>
      </c>
    </row>
    <row r="125">
      <c r="A125" s="514" t="s">
        <v>209</v>
      </c>
      <c r="B125" s="515" t="str">
        <f t="shared" si="1"/>
        <v/>
      </c>
      <c r="C125" s="516">
        <f>VLOOKUP($A125,MS_Labs_Array,2,FALSE)</f>
        <v>0</v>
      </c>
      <c r="D125" s="517">
        <f>VLOOKUP($A125,MS_Labs_Array,4,FALSE)</f>
        <v>30</v>
      </c>
      <c r="E125" s="518" t="str">
        <f t="shared" si="22"/>
        <v>T9 20</v>
      </c>
      <c r="F125" s="519">
        <f t="shared" si="17"/>
        <v>0.5883686249</v>
      </c>
      <c r="G125" s="520" t="str">
        <f t="shared" si="3"/>
        <v>0d 14h  7m</v>
      </c>
      <c r="H125" s="521">
        <f t="shared" si="4"/>
        <v>23880000000</v>
      </c>
      <c r="I125" s="521">
        <f t="shared" si="5"/>
        <v>47767960000</v>
      </c>
      <c r="J125" s="521" t="str">
        <f t="shared" si="6"/>
        <v>23.88 B</v>
      </c>
      <c r="K125" s="522" t="str">
        <f t="shared" si="7"/>
        <v>3.38 B/h</v>
      </c>
      <c r="L125" s="523">
        <f t="shared" si="8"/>
        <v>56</v>
      </c>
      <c r="M125" s="524" t="str">
        <f t="shared" si="18"/>
        <v>0d 16h 14m</v>
      </c>
      <c r="N125" s="521" t="str">
        <f t="shared" si="10"/>
        <v>47.77 B</v>
      </c>
      <c r="O125" s="523">
        <f t="shared" si="11"/>
        <v>65</v>
      </c>
      <c r="P125" s="525" t="str">
        <f>VLOOKUP($A125,MS_Labs_Array,3,FALSE)</f>
        <v/>
      </c>
      <c r="Q125" s="524">
        <f>IFERROR(__xludf.DUMMYFUNCTION("LET(
  Labspeed, IF(A125=""Labs Speed"", 1+'Master Sheet'!$BK$5, LAB_SPEED_TOTAL()),
  Match, MATCH(IF(ISNUMBER(SEARCH(""Mastery"",$A125)),""Card Mastery"",$A125),DVT_Laboratory!B$1:V$1,0)-1,
  Offset, INDEX(DVT_Laboratory!B$3:ZZ$102,,Match+1),
  Desired,"&amp;" IF(P125&lt;&gt;"""", P125,D125),
  IFS(
    Desired &gt; D125, ""Desired lvl too high"",
    AND(Desired = D125, OR(C125 = D125, C125 = ""Max"")), ""Max Level"",
    Desired = C125, ""OK Level"",
    Desired &lt; C125, ""Desired lvl too low"",
    TRUE, TO_PURE_NUMB"&amp;"ER(
      SUM(
        XLOOKUP($C125 + 1, SEQUENCE(100, 1, 1, 1), Offset, ""N/F"", 0, 1): 
        XLOOKUP(Desired, SEQUENCE(100, 1, 1, 1), Offset, ""N/F"", 0, 1)
      ) / Labspeed
    ) /
    IF(AND(B125 &lt;&gt; """", $B$1 = ""All""), RIGHT(B125, 3), 1)
  )
"&amp;")"),314.17578258499475)</f>
        <v>314.1757826</v>
      </c>
      <c r="R125" s="520" t="str">
        <f t="shared" si="12"/>
        <v>314d  4h 13m</v>
      </c>
      <c r="S125" s="521">
        <f t="array" ref="S125">LET(
  Match, MATCH(IF(ISNUMBER(SEARCH("Mastery",$A125)),"Card Mastery",$A125),DVT_Laboratory!B$1:V$1,0)-1,
  Offset, OFFSET(DVT_Laboratory!C$3,0,Match,100,1),
  Desired, IF(P125&lt;&gt;"", P125,D125),
IF(Desired&gt;D125,"Desired lvl too high",
IF(AND(Desired=D125,OR(C125=D125,C125="Max")),"Max Level",
IF(Desired=C125,"OK Level",
IF(Desired&lt;C125,"Desired lvl too low",
SUM(
XLOOKUP(C125+1,SEQUENCE(100,1,1,1),Offset,"N/F",0,1)
:XLOOKUP(Desired,SEQUENCE(100,1,1,1),Offset,"N/F",0,1))*(1-LAB_COIN_DISCOUNT()))))))</f>
        <v>20511479240000</v>
      </c>
      <c r="T125" s="521" t="str">
        <f t="shared" si="13"/>
        <v>20.51 T</v>
      </c>
      <c r="U125" s="522" t="str">
        <f t="shared" si="14"/>
        <v>2.72 B/h</v>
      </c>
      <c r="V125" s="523">
        <f t="array" ref="V125">LET(
  Labspeed, IF(A125 ="Labs Speed", 1+'Master Sheet'!$BK$5, LAB_SPEED_TOTAL()),
  Match, MATCH(IF(ISNUMBER(SEARCH("Mastery",$A125)),"Card Mastery",$A125),DVT_Laboratory!B$1:V$1,0)-1,
  Offset, OFFSET(DVT_Laboratory!B$3,0,Match,100,1),
  Desired, IF(P125&lt;&gt;"", P125,D125),
IF(Desired&gt;D125,"Desired lvl too high",
IF(AND(Desired=D125,OR(C125=D125,C125="Max")),"Max Level",
IF(Desired&lt;=C125,"Desired lvl too low",
SUM(TIME_TO_RUSH_GEMS(
    XLOOKUP(C125+1, SEQUENCE(100,1,1,1), Offset, "N/F", 0, 1):
    XLOOKUP(Desired, SEQUENCE(100,1,1,1), Offset, "N/F", 0, 1)/Labspeed, IDS_LAB_GODLBOXED_COUNT()))))))</f>
        <v>22416</v>
      </c>
    </row>
    <row r="126">
      <c r="A126" s="514" t="s">
        <v>223</v>
      </c>
      <c r="B126" s="515" t="str">
        <f t="shared" si="1"/>
        <v/>
      </c>
      <c r="C126" s="516">
        <f>VLOOKUP($A126,MS_Labs_Array,2,FALSE)</f>
        <v>0</v>
      </c>
      <c r="D126" s="517">
        <f>VLOOKUP($A126,MS_Labs_Array,4,FALSE)</f>
        <v>30</v>
      </c>
      <c r="E126" s="518" t="str">
        <f t="shared" si="22"/>
        <v>T9 300</v>
      </c>
      <c r="F126" s="519">
        <f t="shared" si="17"/>
        <v>0.7059364329</v>
      </c>
      <c r="G126" s="520" t="str">
        <f t="shared" si="3"/>
        <v>0d 16h 56m</v>
      </c>
      <c r="H126" s="521">
        <f t="shared" si="4"/>
        <v>47760000000</v>
      </c>
      <c r="I126" s="521">
        <f t="shared" si="5"/>
        <v>95527960000</v>
      </c>
      <c r="J126" s="521" t="str">
        <f t="shared" si="6"/>
        <v>47.76 B</v>
      </c>
      <c r="K126" s="522" t="str">
        <f t="shared" si="7"/>
        <v>5.64 B/h</v>
      </c>
      <c r="L126" s="523">
        <f t="shared" si="8"/>
        <v>68</v>
      </c>
      <c r="M126" s="524" t="str">
        <f t="shared" si="18"/>
        <v>0d 19h  4m</v>
      </c>
      <c r="N126" s="521" t="str">
        <f t="shared" si="10"/>
        <v>95.53 B</v>
      </c>
      <c r="O126" s="523">
        <f t="shared" si="11"/>
        <v>76</v>
      </c>
      <c r="P126" s="525" t="str">
        <f>VLOOKUP($A126,MS_Labs_Array,3,FALSE)</f>
        <v/>
      </c>
      <c r="Q126" s="524">
        <f>IFERROR(__xludf.DUMMYFUNCTION("LET(
  Labspeed, IF(A126=""Labs Speed"", 1+'Master Sheet'!$BK$5, LAB_SPEED_TOTAL()),
  Match, MATCH(IF(ISNUMBER(SEARCH(""Mastery"",$A126)),""Card Mastery"",$A126),DVT_Laboratory!B$1:V$1,0)-1,
  Offset, INDEX(DVT_Laboratory!B$3:ZZ$102,,Match+1),
  Desired,"&amp;" IF(P126&lt;&gt;"""", P126,D126),
  IFS(
    Desired &gt; D126, ""Desired lvl too high"",
    AND(Desired = D126, OR(C126 = D126, C126 = ""Max"")), ""Max Level"",
    Desired = C126, ""OK Level"",
    Desired &lt; C126, ""Desired lvl too low"",
    TRUE, TO_PURE_NUMB"&amp;"ER(
      SUM(
        XLOOKUP($C126 + 1, SEQUENCE(100, 1, 1, 1), Offset, ""N/F"", 0, 1): 
        XLOOKUP(Desired, SEQUENCE(100, 1, 1, 1), Offset, ""N/F"", 0, 1)
      ) / Labspeed
    ) /
    IF(AND(B126 &lt;&gt; """", $B$1 = ""All""), RIGHT(B126, 3), 1)
  )
"&amp;")"),317.7065239188704)</f>
        <v>317.7065239</v>
      </c>
      <c r="R126" s="520" t="str">
        <f t="shared" si="12"/>
        <v>317d 16h 57m</v>
      </c>
      <c r="S126" s="521">
        <f t="array" ref="S126">LET(
  Match, MATCH(IF(ISNUMBER(SEARCH("Mastery",$A126)),"Card Mastery",$A126),DVT_Laboratory!B$1:V$1,0)-1,
  Offset, OFFSET(DVT_Laboratory!C$3,0,Match,100,1),
  Desired, IF(P126&lt;&gt;"", P126,D126),
IF(Desired&gt;D126,"Desired lvl too high",
IF(AND(Desired=D126,OR(C126=D126,C126="Max")),"Max Level",
IF(Desired=C126,"OK Level",
IF(Desired&lt;C126,"Desired lvl too low",
SUM(
XLOOKUP(C126+1,SEQUENCE(100,1,1,1),Offset,"N/F",0,1)
:XLOOKUP(Desired,SEQUENCE(100,1,1,1),Offset,"N/F",0,1))*(1-LAB_COIN_DISCOUNT()))))))</f>
        <v>31614254400000</v>
      </c>
      <c r="T126" s="521" t="str">
        <f t="shared" si="13"/>
        <v>31.61 T</v>
      </c>
      <c r="U126" s="522" t="str">
        <f t="shared" si="14"/>
        <v>4.15 B/h</v>
      </c>
      <c r="V126" s="523">
        <f t="array" ref="V126">LET(
  Labspeed, IF(A126 ="Labs Speed", 1+'Master Sheet'!$BK$5, LAB_SPEED_TOTAL()),
  Match, MATCH(IF(ISNUMBER(SEARCH("Mastery",$A126)),"Card Mastery",$A126),DVT_Laboratory!B$1:V$1,0)-1,
  Offset, OFFSET(DVT_Laboratory!B$3,0,Match,100,1),
  Desired, IF(P126&lt;&gt;"", P126,D126),
IF(Desired&gt;D126,"Desired lvl too high",
IF(AND(Desired=D126,OR(C126=D126,C126="Max")),"Max Level",
IF(Desired&lt;=C126,"Desired lvl too low",
SUM(TIME_TO_RUSH_GEMS(
    XLOOKUP(C126+1, SEQUENCE(100,1,1,1), Offset, "N/F", 0, 1):
    XLOOKUP(Desired, SEQUENCE(100,1,1,1), Offset, "N/F", 0, 1)/Labspeed, IDS_LAB_GODLBOXED_COUNT()))))))</f>
        <v>22679</v>
      </c>
    </row>
    <row r="127">
      <c r="A127" s="514" t="s">
        <v>235</v>
      </c>
      <c r="B127" s="515" t="str">
        <f t="shared" si="1"/>
        <v/>
      </c>
      <c r="C127" s="526">
        <f>VLOOKUP($A127,MS_Labs_Array,2,FALSE)</f>
        <v>0</v>
      </c>
      <c r="D127" s="527">
        <f>VLOOKUP($A127,MS_Labs_Array,4,FALSE)</f>
        <v>30</v>
      </c>
      <c r="E127" s="518" t="str">
        <f t="shared" si="22"/>
        <v>T9 30</v>
      </c>
      <c r="F127" s="519">
        <f t="shared" si="17"/>
        <v>0.5883686249</v>
      </c>
      <c r="G127" s="520" t="str">
        <f t="shared" si="3"/>
        <v>0d 14h  7m</v>
      </c>
      <c r="H127" s="521">
        <f t="shared" si="4"/>
        <v>23880000000</v>
      </c>
      <c r="I127" s="521">
        <f t="shared" si="5"/>
        <v>47767960000</v>
      </c>
      <c r="J127" s="521" t="str">
        <f t="shared" si="6"/>
        <v>23.88 B</v>
      </c>
      <c r="K127" s="522" t="str">
        <f t="shared" si="7"/>
        <v>3.38 B/h</v>
      </c>
      <c r="L127" s="523">
        <f t="shared" si="8"/>
        <v>56</v>
      </c>
      <c r="M127" s="524" t="str">
        <f t="shared" si="18"/>
        <v>0d 16h 14m</v>
      </c>
      <c r="N127" s="521" t="str">
        <f t="shared" si="10"/>
        <v>47.77 B</v>
      </c>
      <c r="O127" s="523">
        <f t="shared" si="11"/>
        <v>65</v>
      </c>
      <c r="P127" s="528" t="str">
        <f>VLOOKUP($A127,MS_Labs_Array,3,FALSE)</f>
        <v/>
      </c>
      <c r="Q127" s="524">
        <f>IFERROR(__xludf.DUMMYFUNCTION("LET(
  Labspeed, IF(A127=""Labs Speed"", 1+'Master Sheet'!$BK$5, LAB_SPEED_TOTAL()),
  Match, MATCH(IF(ISNUMBER(SEARCH(""Mastery"",$A127)),""Card Mastery"",$A127),DVT_Laboratory!B$1:V$1,0)-1,
  Offset, INDEX(DVT_Laboratory!B$3:ZZ$102,,Match+1),
  Desired,"&amp;" IF(P127&lt;&gt;"""", P127,D127),
  IFS(
    Desired &gt; D127, ""Desired lvl too high"",
    AND(Desired = D127, OR(C127 = D127, C127 = ""Max"")), ""Max Level"",
    Desired = C127, ""OK Level"",
    Desired &lt; C127, ""Desired lvl too low"",
    TRUE, TO_PURE_NUMB"&amp;"ER(
      SUM(
        XLOOKUP($C127 + 1, SEQUENCE(100, 1, 1, 1), Offset, ""N/F"", 0, 1): 
        XLOOKUP(Desired, SEQUENCE(100, 1, 1, 1), Offset, ""N/F"", 0, 1)
      ) / Labspeed
    ) /
    IF(AND(B127 &lt;&gt; """", $B$1 = ""All""), RIGHT(B127, 3), 1)
  )
"&amp;")"),314.17578258499475)</f>
        <v>314.1757826</v>
      </c>
      <c r="R127" s="520" t="str">
        <f t="shared" si="12"/>
        <v>314d  4h 13m</v>
      </c>
      <c r="S127" s="521">
        <f t="array" ref="S127">LET(
  Match, MATCH(IF(ISNUMBER(SEARCH("Mastery",$A127)),"Card Mastery",$A127),DVT_Laboratory!B$1:V$1,0)-1,
  Offset, OFFSET(DVT_Laboratory!C$3,0,Match,100,1),
  Desired, IF(P127&lt;&gt;"", P127,D127),
IF(Desired&gt;D127,"Desired lvl too high",
IF(AND(Desired=D127,OR(C127=D127,C127="Max")),"Max Level",
IF(Desired=C127,"OK Level",
IF(Desired&lt;C127,"Desired lvl too low",
SUM(
XLOOKUP(C127+1,SEQUENCE(100,1,1,1),Offset,"N/F",0,1)
:XLOOKUP(Desired,SEQUENCE(100,1,1,1),Offset,"N/F",0,1))*(1-LAB_COIN_DISCOUNT()))))))</f>
        <v>20511479240000</v>
      </c>
      <c r="T127" s="521" t="str">
        <f t="shared" si="13"/>
        <v>20.51 T</v>
      </c>
      <c r="U127" s="522" t="str">
        <f t="shared" si="14"/>
        <v>2.72 B/h</v>
      </c>
      <c r="V127" s="523">
        <f t="array" ref="V127">LET(
  Labspeed, IF(A127 ="Labs Speed", 1+'Master Sheet'!$BK$5, LAB_SPEED_TOTAL()),
  Match, MATCH(IF(ISNUMBER(SEARCH("Mastery",$A127)),"Card Mastery",$A127),DVT_Laboratory!B$1:V$1,0)-1,
  Offset, OFFSET(DVT_Laboratory!B$3,0,Match,100,1),
  Desired, IF(P127&lt;&gt;"", P127,D127),
IF(Desired&gt;D127,"Desired lvl too high",
IF(AND(Desired=D127,OR(C127=D127,C127="Max")),"Max Level",
IF(Desired&lt;=C127,"Desired lvl too low",
SUM(TIME_TO_RUSH_GEMS(
    XLOOKUP(C127+1, SEQUENCE(100,1,1,1), Offset, "N/F", 0, 1):
    XLOOKUP(Desired, SEQUENCE(100,1,1,1), Offset, "N/F", 0, 1)/Labspeed, IDS_LAB_GODLBOXED_COUNT()))))))</f>
        <v>22416</v>
      </c>
    </row>
    <row r="128">
      <c r="A128" s="514" t="s">
        <v>246</v>
      </c>
      <c r="B128" s="515" t="str">
        <f t="shared" si="1"/>
        <v/>
      </c>
      <c r="C128" s="526">
        <f>VLOOKUP($A128,MS_Labs_Array,2,FALSE)</f>
        <v>0</v>
      </c>
      <c r="D128" s="527">
        <f>VLOOKUP($A128,MS_Labs_Array,4,FALSE)</f>
        <v>30</v>
      </c>
      <c r="E128" s="518" t="str">
        <f t="shared" si="22"/>
        <v>T9 30</v>
      </c>
      <c r="F128" s="519">
        <f t="shared" si="17"/>
        <v>0.5883686249</v>
      </c>
      <c r="G128" s="520" t="str">
        <f t="shared" si="3"/>
        <v>0d 14h  7m</v>
      </c>
      <c r="H128" s="521">
        <f t="shared" si="4"/>
        <v>23880000000</v>
      </c>
      <c r="I128" s="521">
        <f t="shared" si="5"/>
        <v>47767960000</v>
      </c>
      <c r="J128" s="521" t="str">
        <f t="shared" si="6"/>
        <v>23.88 B</v>
      </c>
      <c r="K128" s="522" t="str">
        <f t="shared" si="7"/>
        <v>3.38 B/h</v>
      </c>
      <c r="L128" s="523">
        <f t="shared" si="8"/>
        <v>56</v>
      </c>
      <c r="M128" s="524" t="str">
        <f t="shared" si="18"/>
        <v>0d 16h 14m</v>
      </c>
      <c r="N128" s="521" t="str">
        <f t="shared" si="10"/>
        <v>47.77 B</v>
      </c>
      <c r="O128" s="523">
        <f t="shared" si="11"/>
        <v>65</v>
      </c>
      <c r="P128" s="528" t="str">
        <f>VLOOKUP($A128,MS_Labs_Array,3,FALSE)</f>
        <v/>
      </c>
      <c r="Q128" s="524">
        <f>IFERROR(__xludf.DUMMYFUNCTION("LET(
  Labspeed, IF(A128=""Labs Speed"", 1+'Master Sheet'!$BK$5, LAB_SPEED_TOTAL()),
  Match, MATCH(IF(ISNUMBER(SEARCH(""Mastery"",$A128)),""Card Mastery"",$A128),DVT_Laboratory!B$1:V$1,0)-1,
  Offset, INDEX(DVT_Laboratory!B$3:ZZ$102,,Match+1),
  Desired,"&amp;" IF(P128&lt;&gt;"""", P128,D128),
  IFS(
    Desired &gt; D128, ""Desired lvl too high"",
    AND(Desired = D128, OR(C128 = D128, C128 = ""Max"")), ""Max Level"",
    Desired = C128, ""OK Level"",
    Desired &lt; C128, ""Desired lvl too low"",
    TRUE, TO_PURE_NUMB"&amp;"ER(
      SUM(
        XLOOKUP($C128 + 1, SEQUENCE(100, 1, 1, 1), Offset, ""N/F"", 0, 1): 
        XLOOKUP(Desired, SEQUENCE(100, 1, 1, 1), Offset, ""N/F"", 0, 1)
      ) / Labspeed
    ) /
    IF(AND(B128 &lt;&gt; """", $B$1 = ""All""), RIGHT(B128, 3), 1)
  )
"&amp;")"),314.17578258499475)</f>
        <v>314.1757826</v>
      </c>
      <c r="R128" s="520" t="str">
        <f t="shared" si="12"/>
        <v>314d  4h 13m</v>
      </c>
      <c r="S128" s="521">
        <f t="array" ref="S128">LET(
  Match, MATCH(IF(ISNUMBER(SEARCH("Mastery",$A128)),"Card Mastery",$A128),DVT_Laboratory!B$1:V$1,0)-1,
  Offset, OFFSET(DVT_Laboratory!C$3,0,Match,100,1),
  Desired, IF(P128&lt;&gt;"", P128,D128),
IF(Desired&gt;D128,"Desired lvl too high",
IF(AND(Desired=D128,OR(C128=D128,C128="Max")),"Max Level",
IF(Desired=C128,"OK Level",
IF(Desired&lt;C128,"Desired lvl too low",
SUM(
XLOOKUP(C128+1,SEQUENCE(100,1,1,1),Offset,"N/F",0,1)
:XLOOKUP(Desired,SEQUENCE(100,1,1,1),Offset,"N/F",0,1))*(1-LAB_COIN_DISCOUNT()))))))</f>
        <v>20511479240000</v>
      </c>
      <c r="T128" s="521" t="str">
        <f t="shared" si="13"/>
        <v>20.51 T</v>
      </c>
      <c r="U128" s="522" t="str">
        <f t="shared" si="14"/>
        <v>2.72 B/h</v>
      </c>
      <c r="V128" s="523">
        <f t="array" ref="V128">LET(
  Labspeed, IF(A128 ="Labs Speed", 1+'Master Sheet'!$BK$5, LAB_SPEED_TOTAL()),
  Match, MATCH(IF(ISNUMBER(SEARCH("Mastery",$A128)),"Card Mastery",$A128),DVT_Laboratory!B$1:V$1,0)-1,
  Offset, OFFSET(DVT_Laboratory!B$3,0,Match,100,1),
  Desired, IF(P128&lt;&gt;"", P128,D128),
IF(Desired&gt;D128,"Desired lvl too high",
IF(AND(Desired=D128,OR(C128=D128,C128="Max")),"Max Level",
IF(Desired&lt;=C128,"Desired lvl too low",
SUM(TIME_TO_RUSH_GEMS(
    XLOOKUP(C128+1, SEQUENCE(100,1,1,1), Offset, "N/F", 0, 1):
    XLOOKUP(Desired, SEQUENCE(100,1,1,1), Offset, "N/F", 0, 1)/Labspeed, IDS_LAB_GODLBOXED_COUNT()))))))</f>
        <v>22416</v>
      </c>
    </row>
    <row r="129">
      <c r="A129" s="514" t="s">
        <v>257</v>
      </c>
      <c r="B129" s="515" t="str">
        <f t="shared" si="1"/>
        <v/>
      </c>
      <c r="C129" s="526">
        <f>VLOOKUP($A129,MS_Labs_Array,2,FALSE)</f>
        <v>0</v>
      </c>
      <c r="D129" s="527">
        <f>VLOOKUP($A129,MS_Labs_Array,4,FALSE)</f>
        <v>30</v>
      </c>
      <c r="E129" s="518" t="str">
        <f t="shared" si="22"/>
        <v>T9 40</v>
      </c>
      <c r="F129" s="519">
        <f t="shared" si="17"/>
        <v>0.5883686249</v>
      </c>
      <c r="G129" s="520" t="str">
        <f t="shared" si="3"/>
        <v>0d 14h  7m</v>
      </c>
      <c r="H129" s="521">
        <f t="shared" si="4"/>
        <v>23880000000</v>
      </c>
      <c r="I129" s="521">
        <f t="shared" si="5"/>
        <v>47767960000</v>
      </c>
      <c r="J129" s="521" t="str">
        <f t="shared" si="6"/>
        <v>23.88 B</v>
      </c>
      <c r="K129" s="522" t="str">
        <f t="shared" si="7"/>
        <v>3.38 B/h</v>
      </c>
      <c r="L129" s="523">
        <f t="shared" si="8"/>
        <v>56</v>
      </c>
      <c r="M129" s="524" t="str">
        <f t="shared" si="18"/>
        <v>0d 16h 14m</v>
      </c>
      <c r="N129" s="521" t="str">
        <f t="shared" si="10"/>
        <v>47.77 B</v>
      </c>
      <c r="O129" s="523">
        <f t="shared" si="11"/>
        <v>65</v>
      </c>
      <c r="P129" s="528" t="str">
        <f>VLOOKUP($A129,MS_Labs_Array,3,FALSE)</f>
        <v/>
      </c>
      <c r="Q129" s="524">
        <f>IFERROR(__xludf.DUMMYFUNCTION("LET(
  Labspeed, IF(A129=""Labs Speed"", 1+'Master Sheet'!$BK$5, LAB_SPEED_TOTAL()),
  Match, MATCH(IF(ISNUMBER(SEARCH(""Mastery"",$A129)),""Card Mastery"",$A129),DVT_Laboratory!B$1:V$1,0)-1,
  Offset, INDEX(DVT_Laboratory!B$3:ZZ$102,,Match+1),
  Desired,"&amp;" IF(P129&lt;&gt;"""", P129,D129),
  IFS(
    Desired &gt; D129, ""Desired lvl too high"",
    AND(Desired = D129, OR(C129 = D129, C129 = ""Max"")), ""Max Level"",
    Desired = C129, ""OK Level"",
    Desired &lt; C129, ""Desired lvl too low"",
    TRUE, TO_PURE_NUMB"&amp;"ER(
      SUM(
        XLOOKUP($C129 + 1, SEQUENCE(100, 1, 1, 1), Offset, ""N/F"", 0, 1): 
        XLOOKUP(Desired, SEQUENCE(100, 1, 1, 1), Offset, ""N/F"", 0, 1)
      ) / Labspeed
    ) /
    IF(AND(B129 &lt;&gt; """", $B$1 = ""All""), RIGHT(B129, 3), 1)
  )
"&amp;")"),314.17578258499475)</f>
        <v>314.1757826</v>
      </c>
      <c r="R129" s="520" t="str">
        <f t="shared" si="12"/>
        <v>314d  4h 13m</v>
      </c>
      <c r="S129" s="521">
        <f t="array" ref="S129">LET(
  Match, MATCH(IF(ISNUMBER(SEARCH("Mastery",$A129)),"Card Mastery",$A129),DVT_Laboratory!B$1:V$1,0)-1,
  Offset, OFFSET(DVT_Laboratory!C$3,0,Match,100,1),
  Desired, IF(P129&lt;&gt;"", P129,D129),
IF(Desired&gt;D129,"Desired lvl too high",
IF(AND(Desired=D129,OR(C129=D129,C129="Max")),"Max Level",
IF(Desired=C129,"OK Level",
IF(Desired&lt;C129,"Desired lvl too low",
SUM(
XLOOKUP(C129+1,SEQUENCE(100,1,1,1),Offset,"N/F",0,1)
:XLOOKUP(Desired,SEQUENCE(100,1,1,1),Offset,"N/F",0,1))*(1-LAB_COIN_DISCOUNT()))))))</f>
        <v>20511479240000</v>
      </c>
      <c r="T129" s="521" t="str">
        <f t="shared" si="13"/>
        <v>20.51 T</v>
      </c>
      <c r="U129" s="522" t="str">
        <f t="shared" si="14"/>
        <v>2.72 B/h</v>
      </c>
      <c r="V129" s="523">
        <f t="array" ref="V129">LET(
  Labspeed, IF(A129 ="Labs Speed", 1+'Master Sheet'!$BK$5, LAB_SPEED_TOTAL()),
  Match, MATCH(IF(ISNUMBER(SEARCH("Mastery",$A129)),"Card Mastery",$A129),DVT_Laboratory!B$1:V$1,0)-1,
  Offset, OFFSET(DVT_Laboratory!B$3,0,Match,100,1),
  Desired, IF(P129&lt;&gt;"", P129,D129),
IF(Desired&gt;D129,"Desired lvl too high",
IF(AND(Desired=D129,OR(C129=D129,C129="Max")),"Max Level",
IF(Desired&lt;=C129,"Desired lvl too low",
SUM(TIME_TO_RUSH_GEMS(
    XLOOKUP(C129+1, SEQUENCE(100,1,1,1), Offset, "N/F", 0, 1):
    XLOOKUP(Desired, SEQUENCE(100,1,1,1), Offset, "N/F", 0, 1)/Labspeed, IDS_LAB_GODLBOXED_COUNT()))))))</f>
        <v>22416</v>
      </c>
    </row>
    <row r="130">
      <c r="A130" s="514" t="s">
        <v>267</v>
      </c>
      <c r="B130" s="515" t="str">
        <f t="shared" si="1"/>
        <v/>
      </c>
      <c r="C130" s="526">
        <f>VLOOKUP($A130,MS_Labs_Array,2,FALSE)</f>
        <v>0</v>
      </c>
      <c r="D130" s="527">
        <f>VLOOKUP($A130,MS_Labs_Array,4,FALSE)</f>
        <v>30</v>
      </c>
      <c r="E130" s="518" t="str">
        <f t="shared" si="22"/>
        <v>T9 40</v>
      </c>
      <c r="F130" s="519">
        <f t="shared" si="17"/>
        <v>0.5883686249</v>
      </c>
      <c r="G130" s="520" t="str">
        <f t="shared" si="3"/>
        <v>0d 14h  7m</v>
      </c>
      <c r="H130" s="521">
        <f t="shared" si="4"/>
        <v>23880000000</v>
      </c>
      <c r="I130" s="521">
        <f t="shared" si="5"/>
        <v>47767960000</v>
      </c>
      <c r="J130" s="521" t="str">
        <f t="shared" si="6"/>
        <v>23.88 B</v>
      </c>
      <c r="K130" s="522" t="str">
        <f t="shared" si="7"/>
        <v>3.38 B/h</v>
      </c>
      <c r="L130" s="523">
        <f t="shared" si="8"/>
        <v>56</v>
      </c>
      <c r="M130" s="524" t="str">
        <f t="shared" si="18"/>
        <v>0d 16h 14m</v>
      </c>
      <c r="N130" s="521" t="str">
        <f t="shared" si="10"/>
        <v>47.77 B</v>
      </c>
      <c r="O130" s="523">
        <f t="shared" si="11"/>
        <v>65</v>
      </c>
      <c r="P130" s="528" t="str">
        <f>VLOOKUP($A130,MS_Labs_Array,3,FALSE)</f>
        <v/>
      </c>
      <c r="Q130" s="524">
        <f>IFERROR(__xludf.DUMMYFUNCTION("LET(
  Labspeed, IF(A130=""Labs Speed"", 1+'Master Sheet'!$BK$5, LAB_SPEED_TOTAL()),
  Match, MATCH(IF(ISNUMBER(SEARCH(""Mastery"",$A130)),""Card Mastery"",$A130),DVT_Laboratory!B$1:V$1,0)-1,
  Offset, INDEX(DVT_Laboratory!B$3:ZZ$102,,Match+1),
  Desired,"&amp;" IF(P130&lt;&gt;"""", P130,D130),
  IFS(
    Desired &gt; D130, ""Desired lvl too high"",
    AND(Desired = D130, OR(C130 = D130, C130 = ""Max"")), ""Max Level"",
    Desired = C130, ""OK Level"",
    Desired &lt; C130, ""Desired lvl too low"",
    TRUE, TO_PURE_NUMB"&amp;"ER(
      SUM(
        XLOOKUP($C130 + 1, SEQUENCE(100, 1, 1, 1), Offset, ""N/F"", 0, 1): 
        XLOOKUP(Desired, SEQUENCE(100, 1, 1, 1), Offset, ""N/F"", 0, 1)
      ) / Labspeed
    ) /
    IF(AND(B130 &lt;&gt; """", $B$1 = ""All""), RIGHT(B130, 3), 1)
  )
"&amp;")"),314.17578258499475)</f>
        <v>314.1757826</v>
      </c>
      <c r="R130" s="520" t="str">
        <f t="shared" si="12"/>
        <v>314d  4h 13m</v>
      </c>
      <c r="S130" s="521">
        <f t="array" ref="S130">LET(
  Match, MATCH(IF(ISNUMBER(SEARCH("Mastery",$A130)),"Card Mastery",$A130),DVT_Laboratory!B$1:V$1,0)-1,
  Offset, OFFSET(DVT_Laboratory!C$3,0,Match,100,1),
  Desired, IF(P130&lt;&gt;"", P130,D130),
IF(Desired&gt;D130,"Desired lvl too high",
IF(AND(Desired=D130,OR(C130=D130,C130="Max")),"Max Level",
IF(Desired=C130,"OK Level",
IF(Desired&lt;C130,"Desired lvl too low",
SUM(
XLOOKUP(C130+1,SEQUENCE(100,1,1,1),Offset,"N/F",0,1)
:XLOOKUP(Desired,SEQUENCE(100,1,1,1),Offset,"N/F",0,1))*(1-LAB_COIN_DISCOUNT()))))))</f>
        <v>20511479240000</v>
      </c>
      <c r="T130" s="521" t="str">
        <f t="shared" si="13"/>
        <v>20.51 T</v>
      </c>
      <c r="U130" s="522" t="str">
        <f t="shared" si="14"/>
        <v>2.72 B/h</v>
      </c>
      <c r="V130" s="523">
        <f t="array" ref="V130">LET(
  Labspeed, IF(A130 ="Labs Speed", 1+'Master Sheet'!$BK$5, LAB_SPEED_TOTAL()),
  Match, MATCH(IF(ISNUMBER(SEARCH("Mastery",$A130)),"Card Mastery",$A130),DVT_Laboratory!B$1:V$1,0)-1,
  Offset, OFFSET(DVT_Laboratory!B$3,0,Match,100,1),
  Desired, IF(P130&lt;&gt;"", P130,D130),
IF(Desired&gt;D130,"Desired lvl too high",
IF(AND(Desired=D130,OR(C130=D130,C130="Max")),"Max Level",
IF(Desired&lt;=C130,"Desired lvl too low",
SUM(TIME_TO_RUSH_GEMS(
    XLOOKUP(C130+1, SEQUENCE(100,1,1,1), Offset, "N/F", 0, 1):
    XLOOKUP(Desired, SEQUENCE(100,1,1,1), Offset, "N/F", 0, 1)/Labspeed, IDS_LAB_GODLBOXED_COUNT()))))))</f>
        <v>22416</v>
      </c>
    </row>
    <row r="131">
      <c r="A131" s="514" t="s">
        <v>275</v>
      </c>
      <c r="B131" s="515" t="str">
        <f t="shared" si="1"/>
        <v/>
      </c>
      <c r="C131" s="526">
        <f>VLOOKUP($A131,MS_Labs_Array,2,FALSE)</f>
        <v>0</v>
      </c>
      <c r="D131" s="527">
        <f>VLOOKUP($A131,MS_Labs_Array,4,FALSE)</f>
        <v>30</v>
      </c>
      <c r="E131" s="518" t="str">
        <f t="shared" si="22"/>
        <v>T9 50</v>
      </c>
      <c r="F131" s="519">
        <f t="shared" si="17"/>
        <v>0.5883686249</v>
      </c>
      <c r="G131" s="520" t="str">
        <f t="shared" si="3"/>
        <v>0d 14h  7m</v>
      </c>
      <c r="H131" s="521">
        <f t="shared" si="4"/>
        <v>31840000000</v>
      </c>
      <c r="I131" s="521">
        <f t="shared" si="5"/>
        <v>63687960000</v>
      </c>
      <c r="J131" s="521" t="str">
        <f t="shared" si="6"/>
        <v>31.84 B</v>
      </c>
      <c r="K131" s="522" t="str">
        <f t="shared" si="7"/>
        <v>4.51 B/h</v>
      </c>
      <c r="L131" s="523">
        <f t="shared" si="8"/>
        <v>56</v>
      </c>
      <c r="M131" s="524" t="str">
        <f t="shared" si="18"/>
        <v>0d 16h 14m</v>
      </c>
      <c r="N131" s="521" t="str">
        <f t="shared" si="10"/>
        <v>63.69 B</v>
      </c>
      <c r="O131" s="523">
        <f t="shared" si="11"/>
        <v>65</v>
      </c>
      <c r="P131" s="528" t="str">
        <f>VLOOKUP($A131,MS_Labs_Array,3,FALSE)</f>
        <v/>
      </c>
      <c r="Q131" s="524">
        <f>IFERROR(__xludf.DUMMYFUNCTION("LET(
  Labspeed, IF(A131=""Labs Speed"", 1+'Master Sheet'!$BK$5, LAB_SPEED_TOTAL()),
  Match, MATCH(IF(ISNUMBER(SEARCH(""Mastery"",$A131)),""Card Mastery"",$A131),DVT_Laboratory!B$1:V$1,0)-1,
  Offset, INDEX(DVT_Laboratory!B$3:ZZ$102,,Match+1),
  Desired,"&amp;" IF(P131&lt;&gt;"""", P131,D131),
  IFS(
    Desired &gt; D131, ""Desired lvl too high"",
    AND(Desired = D131, OR(C131 = D131, C131 = ""Max"")), ""Max Level"",
    Desired = C131, ""OK Level"",
    Desired &lt; C131, ""Desired lvl too low"",
    TRUE, TO_PURE_NUMB"&amp;"ER(
      SUM(
        XLOOKUP($C131 + 1, SEQUENCE(100, 1, 1, 1), Offset, ""N/F"", 0, 1): 
        XLOOKUP(Desired, SEQUENCE(100, 1, 1, 1), Offset, ""N/F"", 0, 1)
      ) / Labspeed
    ) /
    IF(AND(B131 &lt;&gt; """", $B$1 = ""All""), RIGHT(B131, 3), 1)
  )
"&amp;")"),314.17578258499475)</f>
        <v>314.1757826</v>
      </c>
      <c r="R131" s="520" t="str">
        <f t="shared" si="12"/>
        <v>314d  4h 13m</v>
      </c>
      <c r="S131" s="521">
        <f t="array" ref="S131">LET(
  Match, MATCH(IF(ISNUMBER(SEARCH("Mastery",$A131)),"Card Mastery",$A131),DVT_Laboratory!B$1:V$1,0)-1,
  Offset, OFFSET(DVT_Laboratory!C$3,0,Match,100,1),
  Desired, IF(P131&lt;&gt;"", P131,D131),
IF(Desired&gt;D131,"Desired lvl too high",
IF(AND(Desired=D131,OR(C131=D131,C131="Max")),"Max Level",
IF(Desired=C131,"OK Level",
IF(Desired&lt;C131,"Desired lvl too low",
SUM(
XLOOKUP(C131+1,SEQUENCE(100,1,1,1),Offset,"N/F",0,1)
:XLOOKUP(Desired,SEQUENCE(100,1,1,1),Offset,"N/F",0,1))*(1-LAB_COIN_DISCOUNT()))))))</f>
        <v>24208063440000</v>
      </c>
      <c r="T131" s="521" t="str">
        <f t="shared" si="13"/>
        <v>24.21 T</v>
      </c>
      <c r="U131" s="522" t="str">
        <f t="shared" si="14"/>
        <v>3.21 B/h</v>
      </c>
      <c r="V131" s="523">
        <f t="array" ref="V131">LET(
  Labspeed, IF(A131 ="Labs Speed", 1+'Master Sheet'!$BK$5, LAB_SPEED_TOTAL()),
  Match, MATCH(IF(ISNUMBER(SEARCH("Mastery",$A131)),"Card Mastery",$A131),DVT_Laboratory!B$1:V$1,0)-1,
  Offset, OFFSET(DVT_Laboratory!B$3,0,Match,100,1),
  Desired, IF(P131&lt;&gt;"", P131,D131),
IF(Desired&gt;D131,"Desired lvl too high",
IF(AND(Desired=D131,OR(C131=D131,C131="Max")),"Max Level",
IF(Desired&lt;=C131,"Desired lvl too low",
SUM(TIME_TO_RUSH_GEMS(
    XLOOKUP(C131+1, SEQUENCE(100,1,1,1), Offset, "N/F", 0, 1):
    XLOOKUP(Desired, SEQUENCE(100,1,1,1), Offset, "N/F", 0, 1)/Labspeed, IDS_LAB_GODLBOXED_COUNT()))))))</f>
        <v>22416</v>
      </c>
    </row>
    <row r="132">
      <c r="A132" s="514" t="s">
        <v>283</v>
      </c>
      <c r="B132" s="515" t="str">
        <f t="shared" si="1"/>
        <v/>
      </c>
      <c r="C132" s="526">
        <f>VLOOKUP($A132,MS_Labs_Array,2,FALSE)</f>
        <v>0</v>
      </c>
      <c r="D132" s="527">
        <f>VLOOKUP($A132,MS_Labs_Array,4,FALSE)</f>
        <v>30</v>
      </c>
      <c r="E132" s="518" t="str">
        <f t="shared" si="22"/>
        <v>T9 50</v>
      </c>
      <c r="F132" s="519">
        <f t="shared" si="17"/>
        <v>0.5883686249</v>
      </c>
      <c r="G132" s="520" t="str">
        <f t="shared" si="3"/>
        <v>0d 14h  7m</v>
      </c>
      <c r="H132" s="521">
        <f t="shared" si="4"/>
        <v>31840000000</v>
      </c>
      <c r="I132" s="521">
        <f t="shared" si="5"/>
        <v>63687960000</v>
      </c>
      <c r="J132" s="521" t="str">
        <f t="shared" si="6"/>
        <v>31.84 B</v>
      </c>
      <c r="K132" s="522" t="str">
        <f t="shared" si="7"/>
        <v>4.51 B/h</v>
      </c>
      <c r="L132" s="523">
        <f t="shared" si="8"/>
        <v>56</v>
      </c>
      <c r="M132" s="524" t="str">
        <f t="shared" si="18"/>
        <v>0d 16h 14m</v>
      </c>
      <c r="N132" s="521" t="str">
        <f t="shared" si="10"/>
        <v>63.69 B</v>
      </c>
      <c r="O132" s="523">
        <f t="shared" si="11"/>
        <v>65</v>
      </c>
      <c r="P132" s="528" t="str">
        <f>VLOOKUP($A132,MS_Labs_Array,3,FALSE)</f>
        <v/>
      </c>
      <c r="Q132" s="524">
        <f>IFERROR(__xludf.DUMMYFUNCTION("LET(
  Labspeed, IF(A132=""Labs Speed"", 1+'Master Sheet'!$BK$5, LAB_SPEED_TOTAL()),
  Match, MATCH(IF(ISNUMBER(SEARCH(""Mastery"",$A132)),""Card Mastery"",$A132),DVT_Laboratory!B$1:V$1,0)-1,
  Offset, INDEX(DVT_Laboratory!B$3:ZZ$102,,Match+1),
  Desired,"&amp;" IF(P132&lt;&gt;"""", P132,D132),
  IFS(
    Desired &gt; D132, ""Desired lvl too high"",
    AND(Desired = D132, OR(C132 = D132, C132 = ""Max"")), ""Max Level"",
    Desired = C132, ""OK Level"",
    Desired &lt; C132, ""Desired lvl too low"",
    TRUE, TO_PURE_NUMB"&amp;"ER(
      SUM(
        XLOOKUP($C132 + 1, SEQUENCE(100, 1, 1, 1), Offset, ""N/F"", 0, 1): 
        XLOOKUP(Desired, SEQUENCE(100, 1, 1, 1), Offset, ""N/F"", 0, 1)
      ) / Labspeed
    ) /
    IF(AND(B132 &lt;&gt; """", $B$1 = ""All""), RIGHT(B132, 3), 1)
  )
"&amp;")"),314.17578258499475)</f>
        <v>314.1757826</v>
      </c>
      <c r="R132" s="520" t="str">
        <f t="shared" si="12"/>
        <v>314d  4h 13m</v>
      </c>
      <c r="S132" s="521">
        <f t="array" ref="S132">LET(
  Match, MATCH(IF(ISNUMBER(SEARCH("Mastery",$A132)),"Card Mastery",$A132),DVT_Laboratory!B$1:V$1,0)-1,
  Offset, OFFSET(DVT_Laboratory!C$3,0,Match,100,1),
  Desired, IF(P132&lt;&gt;"", P132,D132),
IF(Desired&gt;D132,"Desired lvl too high",
IF(AND(Desired=D132,OR(C132=D132,C132="Max")),"Max Level",
IF(Desired=C132,"OK Level",
IF(Desired&lt;C132,"Desired lvl too low",
SUM(
XLOOKUP(C132+1,SEQUENCE(100,1,1,1),Offset,"N/F",0,1)
:XLOOKUP(Desired,SEQUENCE(100,1,1,1),Offset,"N/F",0,1))*(1-LAB_COIN_DISCOUNT()))))))</f>
        <v>24208063440000</v>
      </c>
      <c r="T132" s="521" t="str">
        <f t="shared" si="13"/>
        <v>24.21 T</v>
      </c>
      <c r="U132" s="522" t="str">
        <f t="shared" si="14"/>
        <v>3.21 B/h</v>
      </c>
      <c r="V132" s="523">
        <f t="array" ref="V132">LET(
  Labspeed, IF(A132 ="Labs Speed", 1+'Master Sheet'!$BK$5, LAB_SPEED_TOTAL()),
  Match, MATCH(IF(ISNUMBER(SEARCH("Mastery",$A132)),"Card Mastery",$A132),DVT_Laboratory!B$1:V$1,0)-1,
  Offset, OFFSET(DVT_Laboratory!B$3,0,Match,100,1),
  Desired, IF(P132&lt;&gt;"", P132,D132),
IF(Desired&gt;D132,"Desired lvl too high",
IF(AND(Desired=D132,OR(C132=D132,C132="Max")),"Max Level",
IF(Desired&lt;=C132,"Desired lvl too low",
SUM(TIME_TO_RUSH_GEMS(
    XLOOKUP(C132+1, SEQUENCE(100,1,1,1), Offset, "N/F", 0, 1):
    XLOOKUP(Desired, SEQUENCE(100,1,1,1), Offset, "N/F", 0, 1)/Labspeed, IDS_LAB_GODLBOXED_COUNT()))))))</f>
        <v>22416</v>
      </c>
    </row>
    <row r="133">
      <c r="A133" s="514" t="s">
        <v>291</v>
      </c>
      <c r="B133" s="515" t="str">
        <f t="shared" si="1"/>
        <v/>
      </c>
      <c r="C133" s="526">
        <f>VLOOKUP($A133,MS_Labs_Array,2,FALSE)</f>
        <v>0</v>
      </c>
      <c r="D133" s="527">
        <f>VLOOKUP($A133,MS_Labs_Array,4,FALSE)</f>
        <v>30</v>
      </c>
      <c r="E133" s="518" t="str">
        <f t="shared" si="22"/>
        <v>T9 60</v>
      </c>
      <c r="F133" s="519">
        <f t="shared" si="17"/>
        <v>0.5883686249</v>
      </c>
      <c r="G133" s="520" t="str">
        <f t="shared" si="3"/>
        <v>0d 14h  7m</v>
      </c>
      <c r="H133" s="521">
        <f t="shared" si="4"/>
        <v>31840000000</v>
      </c>
      <c r="I133" s="521">
        <f t="shared" si="5"/>
        <v>63687960000</v>
      </c>
      <c r="J133" s="521" t="str">
        <f t="shared" si="6"/>
        <v>31.84 B</v>
      </c>
      <c r="K133" s="522" t="str">
        <f t="shared" si="7"/>
        <v>4.51 B/h</v>
      </c>
      <c r="L133" s="523">
        <f t="shared" si="8"/>
        <v>56</v>
      </c>
      <c r="M133" s="524" t="str">
        <f t="shared" si="18"/>
        <v>0d 16h 14m</v>
      </c>
      <c r="N133" s="521" t="str">
        <f t="shared" si="10"/>
        <v>63.69 B</v>
      </c>
      <c r="O133" s="523">
        <f t="shared" si="11"/>
        <v>65</v>
      </c>
      <c r="P133" s="528" t="str">
        <f>VLOOKUP($A133,MS_Labs_Array,3,FALSE)</f>
        <v/>
      </c>
      <c r="Q133" s="524">
        <f>IFERROR(__xludf.DUMMYFUNCTION("LET(
  Labspeed, IF(A133=""Labs Speed"", 1+'Master Sheet'!$BK$5, LAB_SPEED_TOTAL()),
  Match, MATCH(IF(ISNUMBER(SEARCH(""Mastery"",$A133)),""Card Mastery"",$A133),DVT_Laboratory!B$1:V$1,0)-1,
  Offset, INDEX(DVT_Laboratory!B$3:ZZ$102,,Match+1),
  Desired,"&amp;" IF(P133&lt;&gt;"""", P133,D133),
  IFS(
    Desired &gt; D133, ""Desired lvl too high"",
    AND(Desired = D133, OR(C133 = D133, C133 = ""Max"")), ""Max Level"",
    Desired = C133, ""OK Level"",
    Desired &lt; C133, ""Desired lvl too low"",
    TRUE, TO_PURE_NUMB"&amp;"ER(
      SUM(
        XLOOKUP($C133 + 1, SEQUENCE(100, 1, 1, 1), Offset, ""N/F"", 0, 1): 
        XLOOKUP(Desired, SEQUENCE(100, 1, 1, 1), Offset, ""N/F"", 0, 1)
      ) / Labspeed
    ) /
    IF(AND(B133 &lt;&gt; """", $B$1 = ""All""), RIGHT(B133, 3), 1)
  )
"&amp;")"),314.17578258499475)</f>
        <v>314.1757826</v>
      </c>
      <c r="R133" s="520" t="str">
        <f t="shared" si="12"/>
        <v>314d  4h 13m</v>
      </c>
      <c r="S133" s="521">
        <f t="array" ref="S133">LET(
  Match, MATCH(IF(ISNUMBER(SEARCH("Mastery",$A133)),"Card Mastery",$A133),DVT_Laboratory!B$1:V$1,0)-1,
  Offset, OFFSET(DVT_Laboratory!C$3,0,Match,100,1),
  Desired, IF(P133&lt;&gt;"", P133,D133),
IF(Desired&gt;D133,"Desired lvl too high",
IF(AND(Desired=D133,OR(C133=D133,C133="Max")),"Max Level",
IF(Desired=C133,"OK Level",
IF(Desired&lt;C133,"Desired lvl too low",
SUM(
XLOOKUP(C133+1,SEQUENCE(100,1,1,1),Offset,"N/F",0,1)
:XLOOKUP(Desired,SEQUENCE(100,1,1,1),Offset,"N/F",0,1))*(1-LAB_COIN_DISCOUNT()))))))</f>
        <v>24208063440000</v>
      </c>
      <c r="T133" s="521" t="str">
        <f t="shared" si="13"/>
        <v>24.21 T</v>
      </c>
      <c r="U133" s="522" t="str">
        <f t="shared" si="14"/>
        <v>3.21 B/h</v>
      </c>
      <c r="V133" s="523">
        <f t="array" ref="V133">LET(
  Labspeed, IF(A133 ="Labs Speed", 1+'Master Sheet'!$BK$5, LAB_SPEED_TOTAL()),
  Match, MATCH(IF(ISNUMBER(SEARCH("Mastery",$A133)),"Card Mastery",$A133),DVT_Laboratory!B$1:V$1,0)-1,
  Offset, OFFSET(DVT_Laboratory!B$3,0,Match,100,1),
  Desired, IF(P133&lt;&gt;"", P133,D133),
IF(Desired&gt;D133,"Desired lvl too high",
IF(AND(Desired=D133,OR(C133=D133,C133="Max")),"Max Level",
IF(Desired&lt;=C133,"Desired lvl too low",
SUM(TIME_TO_RUSH_GEMS(
    XLOOKUP(C133+1, SEQUENCE(100,1,1,1), Offset, "N/F", 0, 1):
    XLOOKUP(Desired, SEQUENCE(100,1,1,1), Offset, "N/F", 0, 1)/Labspeed, IDS_LAB_GODLBOXED_COUNT()))))))</f>
        <v>22416</v>
      </c>
    </row>
    <row r="134">
      <c r="A134" s="514" t="s">
        <v>298</v>
      </c>
      <c r="B134" s="515" t="str">
        <f t="shared" si="1"/>
        <v/>
      </c>
      <c r="C134" s="526">
        <f>VLOOKUP($A134,MS_Labs_Array,2,FALSE)</f>
        <v>0</v>
      </c>
      <c r="D134" s="527">
        <f>VLOOKUP($A134,MS_Labs_Array,4,FALSE)</f>
        <v>30</v>
      </c>
      <c r="E134" s="518" t="str">
        <f t="shared" si="22"/>
        <v>T9 60</v>
      </c>
      <c r="F134" s="519">
        <f t="shared" si="17"/>
        <v>0.5883686249</v>
      </c>
      <c r="G134" s="520" t="str">
        <f t="shared" si="3"/>
        <v>0d 14h  7m</v>
      </c>
      <c r="H134" s="521">
        <f t="shared" si="4"/>
        <v>31840000000</v>
      </c>
      <c r="I134" s="521">
        <f t="shared" si="5"/>
        <v>63687960000</v>
      </c>
      <c r="J134" s="521" t="str">
        <f t="shared" si="6"/>
        <v>31.84 B</v>
      </c>
      <c r="K134" s="522" t="str">
        <f t="shared" si="7"/>
        <v>4.51 B/h</v>
      </c>
      <c r="L134" s="523">
        <f t="shared" si="8"/>
        <v>56</v>
      </c>
      <c r="M134" s="524" t="str">
        <f t="shared" si="18"/>
        <v>0d 16h 14m</v>
      </c>
      <c r="N134" s="521" t="str">
        <f t="shared" si="10"/>
        <v>63.69 B</v>
      </c>
      <c r="O134" s="523">
        <f t="shared" si="11"/>
        <v>65</v>
      </c>
      <c r="P134" s="528" t="str">
        <f>VLOOKUP($A134,MS_Labs_Array,3,FALSE)</f>
        <v/>
      </c>
      <c r="Q134" s="524">
        <f>IFERROR(__xludf.DUMMYFUNCTION("LET(
  Labspeed, IF(A134=""Labs Speed"", 1+'Master Sheet'!$BK$5, LAB_SPEED_TOTAL()),
  Match, MATCH(IF(ISNUMBER(SEARCH(""Mastery"",$A134)),""Card Mastery"",$A134),DVT_Laboratory!B$1:V$1,0)-1,
  Offset, INDEX(DVT_Laboratory!B$3:ZZ$102,,Match+1),
  Desired,"&amp;" IF(P134&lt;&gt;"""", P134,D134),
  IFS(
    Desired &gt; D134, ""Desired lvl too high"",
    AND(Desired = D134, OR(C134 = D134, C134 = ""Max"")), ""Max Level"",
    Desired = C134, ""OK Level"",
    Desired &lt; C134, ""Desired lvl too low"",
    TRUE, TO_PURE_NUMB"&amp;"ER(
      SUM(
        XLOOKUP($C134 + 1, SEQUENCE(100, 1, 1, 1), Offset, ""N/F"", 0, 1): 
        XLOOKUP(Desired, SEQUENCE(100, 1, 1, 1), Offset, ""N/F"", 0, 1)
      ) / Labspeed
    ) /
    IF(AND(B134 &lt;&gt; """", $B$1 = ""All""), RIGHT(B134, 3), 1)
  )
"&amp;")"),314.17578258499475)</f>
        <v>314.1757826</v>
      </c>
      <c r="R134" s="520" t="str">
        <f t="shared" si="12"/>
        <v>314d  4h 13m</v>
      </c>
      <c r="S134" s="521">
        <f t="array" ref="S134">LET(
  Match, MATCH(IF(ISNUMBER(SEARCH("Mastery",$A134)),"Card Mastery",$A134),DVT_Laboratory!B$1:V$1,0)-1,
  Offset, OFFSET(DVT_Laboratory!C$3,0,Match,100,1),
  Desired, IF(P134&lt;&gt;"", P134,D134),
IF(Desired&gt;D134,"Desired lvl too high",
IF(AND(Desired=D134,OR(C134=D134,C134="Max")),"Max Level",
IF(Desired=C134,"OK Level",
IF(Desired&lt;C134,"Desired lvl too low",
SUM(
XLOOKUP(C134+1,SEQUENCE(100,1,1,1),Offset,"N/F",0,1)
:XLOOKUP(Desired,SEQUENCE(100,1,1,1),Offset,"N/F",0,1))*(1-LAB_COIN_DISCOUNT()))))))</f>
        <v>24208063440000</v>
      </c>
      <c r="T134" s="521" t="str">
        <f t="shared" si="13"/>
        <v>24.21 T</v>
      </c>
      <c r="U134" s="522" t="str">
        <f t="shared" si="14"/>
        <v>3.21 B/h</v>
      </c>
      <c r="V134" s="523">
        <f t="array" ref="V134">LET(
  Labspeed, IF(A134 ="Labs Speed", 1+'Master Sheet'!$BK$5, LAB_SPEED_TOTAL()),
  Match, MATCH(IF(ISNUMBER(SEARCH("Mastery",$A134)),"Card Mastery",$A134),DVT_Laboratory!B$1:V$1,0)-1,
  Offset, OFFSET(DVT_Laboratory!B$3,0,Match,100,1),
  Desired, IF(P134&lt;&gt;"", P134,D134),
IF(Desired&gt;D134,"Desired lvl too high",
IF(AND(Desired=D134,OR(C134=D134,C134="Max")),"Max Level",
IF(Desired&lt;=C134,"Desired lvl too low",
SUM(TIME_TO_RUSH_GEMS(
    XLOOKUP(C134+1, SEQUENCE(100,1,1,1), Offset, "N/F", 0, 1):
    XLOOKUP(Desired, SEQUENCE(100,1,1,1), Offset, "N/F", 0, 1)/Labspeed, IDS_LAB_GODLBOXED_COUNT()))))))</f>
        <v>22416</v>
      </c>
    </row>
    <row r="135">
      <c r="A135" s="514" t="s">
        <v>305</v>
      </c>
      <c r="B135" s="515" t="str">
        <f t="shared" si="1"/>
        <v/>
      </c>
      <c r="C135" s="529">
        <f>VLOOKUP($A135,MS_Labs_Array,2,FALSE)</f>
        <v>0</v>
      </c>
      <c r="D135" s="527">
        <f>VLOOKUP($A135,MS_Labs_Array,4,FALSE)</f>
        <v>20</v>
      </c>
      <c r="E135" s="518" t="str">
        <f t="shared" si="22"/>
        <v>T9 400</v>
      </c>
      <c r="F135" s="519">
        <f t="shared" si="17"/>
        <v>0.7059364329</v>
      </c>
      <c r="G135" s="520" t="str">
        <f t="shared" si="3"/>
        <v>0d 16h 56m</v>
      </c>
      <c r="H135" s="521">
        <f t="shared" si="4"/>
        <v>63680000000</v>
      </c>
      <c r="I135" s="521">
        <f t="shared" si="5"/>
        <v>119400000000</v>
      </c>
      <c r="J135" s="521" t="str">
        <f t="shared" si="6"/>
        <v>63.68 B</v>
      </c>
      <c r="K135" s="522" t="str">
        <f t="shared" si="7"/>
        <v>7.05 B/h</v>
      </c>
      <c r="L135" s="530">
        <f t="shared" si="8"/>
        <v>68</v>
      </c>
      <c r="M135" s="520" t="str">
        <f t="shared" si="18"/>
        <v>0d 19h  4m</v>
      </c>
      <c r="N135" s="521" t="str">
        <f t="shared" si="10"/>
        <v>119.4 B</v>
      </c>
      <c r="O135" s="523">
        <f t="shared" si="11"/>
        <v>76</v>
      </c>
      <c r="P135" s="531" t="str">
        <f>VLOOKUP($A135,MS_Labs_Array,3,FALSE)</f>
        <v/>
      </c>
      <c r="Q135" s="524">
        <f>IFERROR(__xludf.DUMMYFUNCTION("LET(
  Labspeed, IF(A135=""Labs Speed"", 1+'Master Sheet'!$BK$5, LAB_SPEED_TOTAL()),
  Match, MATCH(IF(ISNUMBER(SEARCH(""Mastery"",$A135)),""Card Mastery"",$A135),DVT_Laboratory!B$1:V$1,0)-1,
  Offset, INDEX(DVT_Laboratory!B$3:ZZ$102,,Match+1),
  Desired,"&amp;" IF(P135&lt;&gt;"""", P135,D135),
  IFS(
    Desired &gt; D135, ""Desired lvl too high"",
    AND(Desired = D135, OR(C135 = D135, C135 = ""Max"")), ""Max Level"",
    Desired = C135, ""OK Level"",
    Desired &lt; C135, ""Desired lvl too low"",
    TRUE, TO_PURE_NUMB"&amp;"ER(
      SUM(
        XLOOKUP($C135 + 1, SEQUENCE(100, 1, 1, 1), Offset, ""N/F"", 0, 1): 
        XLOOKUP(Desired, SEQUENCE(100, 1, 1, 1), Offset, ""N/F"", 0, 1)
      ) / Labspeed
    ) /
    IF(AND(B135 &lt;&gt; """", $B$1 = ""All""), RIGHT(B135, 3), 1)
  )
"&amp;")"),69.29439544020494)</f>
        <v>69.29439544</v>
      </c>
      <c r="R135" s="520" t="str">
        <f t="shared" si="12"/>
        <v>69d  7h  3m</v>
      </c>
      <c r="S135" s="521">
        <f t="array" ref="S135">LET(
  Match, MATCH(IF(ISNUMBER(SEARCH("Mastery",$A135)),"Card Mastery",$A135),DVT_Laboratory!B$1:V$1,0)-1,
  Offset, OFFSET(DVT_Laboratory!C$3,0,Match,100,1),
  Desired, IF(P135&lt;&gt;"", P135,D135),
IF(Desired&gt;D135,"Desired lvl too high",
IF(AND(Desired=D135,OR(C135=D135,C135="Max")),"Max Level",
IF(Desired=C135,"OK Level",
IF(Desired&lt;C135,"Desired lvl too low",
SUM(
XLOOKUP(C135+1,SEQUENCE(100,1,1,1),Offset,"N/F",0,1)
:XLOOKUP(Desired,SEQUENCE(100,1,1,1),Offset,"N/F",0,1))*(1-LAB_COIN_DISCOUNT()))))))</f>
        <v>13150628440000</v>
      </c>
      <c r="T135" s="521" t="str">
        <f t="shared" si="13"/>
        <v>13.15 T</v>
      </c>
      <c r="U135" s="522" t="str">
        <f t="shared" si="14"/>
        <v>7.91 B/h</v>
      </c>
      <c r="V135" s="523">
        <f t="array" ref="V135">LET(
  Labspeed, IF(A135 ="Labs Speed", 1+'Master Sheet'!$BK$5, LAB_SPEED_TOTAL()),
  Match, MATCH(IF(ISNUMBER(SEARCH("Mastery",$A135)),"Card Mastery",$A135),DVT_Laboratory!B$1:V$1,0)-1,
  Offset, OFFSET(DVT_Laboratory!B$3,0,Match,100,1),
  Desired, IF(P135&lt;&gt;"", P135,D135),
IF(Desired&gt;D135,"Desired lvl too high",
IF(AND(Desired=D135,OR(C135=D135,C135="Max")),"Max Level",
IF(Desired&lt;=C135,"Desired lvl too low",
SUM(TIME_TO_RUSH_GEMS(
    XLOOKUP(C135+1, SEQUENCE(100,1,1,1), Offset, "N/F", 0, 1):
    XLOOKUP(Desired, SEQUENCE(100,1,1,1), Offset, "N/F", 0, 1)/Labspeed, IDS_LAB_GODLBOXED_COUNT()))))))</f>
        <v>5788</v>
      </c>
    </row>
    <row r="136">
      <c r="A136" s="532" t="s">
        <v>312</v>
      </c>
      <c r="B136" s="515" t="str">
        <f t="shared" si="1"/>
        <v/>
      </c>
      <c r="C136" s="533">
        <f>VLOOKUP($A136,MS_Labs_Array,2,FALSE)</f>
        <v>0</v>
      </c>
      <c r="D136" s="534">
        <f>VLOOKUP($A136,MS_Labs_Array,4,FALSE)</f>
        <v>30</v>
      </c>
      <c r="E136" s="535" t="str">
        <f t="shared" si="22"/>
        <v>T19 60</v>
      </c>
      <c r="F136" s="536">
        <f t="shared" si="17"/>
        <v>2.745190665</v>
      </c>
      <c r="G136" s="537" t="str">
        <f t="shared" si="3"/>
        <v>2d 17h 53m</v>
      </c>
      <c r="H136" s="538">
        <f t="shared" si="4"/>
        <v>1.99E+17</v>
      </c>
      <c r="I136" s="538">
        <f t="shared" si="5"/>
        <v>3.98E+17</v>
      </c>
      <c r="J136" s="539" t="str">
        <f t="shared" si="6"/>
        <v>199 q</v>
      </c>
      <c r="K136" s="522" t="str">
        <f t="shared" si="7"/>
        <v>6.04 q/h</v>
      </c>
      <c r="L136" s="540">
        <f t="shared" si="8"/>
        <v>237</v>
      </c>
      <c r="M136" s="537" t="str">
        <f t="shared" si="18"/>
        <v>5d 11h 46m</v>
      </c>
      <c r="N136" s="539" t="str">
        <f t="shared" si="10"/>
        <v>398 q</v>
      </c>
      <c r="O136" s="541">
        <f t="shared" si="11"/>
        <v>459</v>
      </c>
      <c r="P136" s="525" t="str">
        <f>VLOOKUP($A136,MS_Labs_Array,3,FALSE)</f>
        <v/>
      </c>
      <c r="Q136" s="542">
        <f>IFERROR(__xludf.DUMMYFUNCTION("LET(
  Labspeed, IF(A136=""Labs Speed"", 1+'Master Sheet'!$BK$5, LAB_SPEED_TOTAL()),
  Match, MATCH(IF(ISNUMBER(SEARCH(""Mastery"",$A136)),""Card Mastery"",$A136),DVT_Laboratory!B$1:V$1,0)-1,
  Offset, INDEX(DVT_Laboratory!B$3:ZZ$102,,Match+1),
  Desired,"&amp;" IF(P136&lt;&gt;"""", P136,D136),
  IFS(
    Desired &gt; D136, ""Desired lvl too high"",
    AND(Desired = D136, OR(C136 = D136, C136 = ""Max"")), ""Max Level"",
    Desired = C136, ""OK Level"",
    Desired &lt; C136, ""Desired lvl too low"",
    TRUE, TO_PURE_NUMB"&amp;"ER(
      SUM(
        XLOOKUP($C136 + 1, SEQUENCE(100, 1, 1, 1), Offset, ""N/F"", 0, 1): 
        XLOOKUP(Desired, SEQUENCE(100, 1, 1, 1), Offset, ""N/F"", 0, 1)
      ) / Labspeed
    ) /
    IF(AND(B136 &lt;&gt; """", $B$1 = ""All""), RIGHT(B136, 3), 1)
  )
"&amp;")"),1276.5364311921162)</f>
        <v>1276.536431</v>
      </c>
      <c r="R136" s="537" t="str">
        <f t="shared" si="12"/>
        <v>1276d 12h 52m</v>
      </c>
      <c r="S136" s="543">
        <f t="array" ref="S136">LET(
  Match, MATCH(IF(ISNUMBER(SEARCH("Mastery",$A136)),"Card Mastery",$A136),DVT_Laboratory!B$1:V$1,0)-1,
  Offset, OFFSET(DVT_Laboratory!C$3,0,Match,100,1),
  Desired, IF(P136&lt;&gt;"", P136,D136),
IF(Desired&gt;D136,"Desired lvl too high",
IF(AND(Desired=D136,OR(C136=D136,C136="Max")),"Max Level",
IF(Desired=C136,"OK Level",
IF(Desired&lt;C136,"Desired lvl too low",
SUM(
XLOOKUP(C136+1,SEQUENCE(100,1,1,1),Offset,"N/F",0,1)
:XLOOKUP(Desired,SEQUENCE(100,1,1,1),Offset,"N/F",0,1))*(1-LAB_COIN_DISCOUNT()))))))</f>
        <v>9.2535E+19</v>
      </c>
      <c r="T136" s="539" t="str">
        <f t="shared" si="13"/>
        <v>92.54 Q</v>
      </c>
      <c r="U136" s="544" t="str">
        <f t="shared" si="14"/>
        <v>3.02 q/h</v>
      </c>
      <c r="V136" s="541">
        <f t="array" ref="V136">LET(
  Labspeed, IF(A136 ="Labs Speed", 1+'Master Sheet'!$BK$5, LAB_SPEED_TOTAL()),
  Match, MATCH(IF(ISNUMBER(SEARCH("Mastery",$A136)),"Card Mastery",$A136),DVT_Laboratory!B$1:V$1,0)-1,
  Offset, OFFSET(DVT_Laboratory!B$3,0,Match,100,1),
  Desired, IF(P136&lt;&gt;"", P136,D136),
IF(Desired&gt;D136,"Desired lvl too high",
IF(AND(Desired=D136,OR(C136=D136,C136="Max")),"Max Level",
IF(Desired&lt;=C136,"Desired lvl too low",
SUM(TIME_TO_RUSH_GEMS(
    XLOOKUP(C136+1, SEQUENCE(100,1,1,1), Offset, "N/F", 0, 1):
    XLOOKUP(Desired, SEQUENCE(100,1,1,1), Offset, "N/F", 0, 1)/Labspeed, IDS_LAB_GODLBOXED_COUNT()))))))</f>
        <v>74892</v>
      </c>
    </row>
    <row r="137">
      <c r="A137" s="545" t="s">
        <v>319</v>
      </c>
      <c r="B137" s="515" t="str">
        <f t="shared" si="1"/>
        <v/>
      </c>
      <c r="C137" s="533">
        <f>VLOOKUP($A137,MS_Labs_Array,2,FALSE)</f>
        <v>0</v>
      </c>
      <c r="D137" s="534">
        <f>VLOOKUP($A137,MS_Labs_Array,4,FALSE)</f>
        <v>30</v>
      </c>
      <c r="E137" s="535" t="str">
        <f t="shared" si="22"/>
        <v>T19 60</v>
      </c>
      <c r="F137" s="536">
        <f t="shared" si="17"/>
        <v>2.745190665</v>
      </c>
      <c r="G137" s="537" t="str">
        <f t="shared" si="3"/>
        <v>2d 17h 53m</v>
      </c>
      <c r="H137" s="538">
        <f t="shared" si="4"/>
        <v>1.99E+17</v>
      </c>
      <c r="I137" s="538">
        <f t="shared" si="5"/>
        <v>3.98E+17</v>
      </c>
      <c r="J137" s="539" t="str">
        <f t="shared" si="6"/>
        <v>199 q</v>
      </c>
      <c r="K137" s="522" t="str">
        <f t="shared" si="7"/>
        <v>6.04 q/h</v>
      </c>
      <c r="L137" s="540">
        <f t="shared" si="8"/>
        <v>237</v>
      </c>
      <c r="M137" s="537" t="str">
        <f t="shared" si="18"/>
        <v>5d 11h 46m</v>
      </c>
      <c r="N137" s="539" t="str">
        <f t="shared" si="10"/>
        <v>398 q</v>
      </c>
      <c r="O137" s="541">
        <f t="shared" si="11"/>
        <v>459</v>
      </c>
      <c r="P137" s="525" t="str">
        <f>VLOOKUP($A137,MS_Labs_Array,3,FALSE)</f>
        <v/>
      </c>
      <c r="Q137" s="542">
        <f>IFERROR(__xludf.DUMMYFUNCTION("LET(
  Labspeed, IF(A137=""Labs Speed"", 1+'Master Sheet'!$BK$5, LAB_SPEED_TOTAL()),
  Match, MATCH(IF(ISNUMBER(SEARCH(""Mastery"",$A137)),""Card Mastery"",$A137),DVT_Laboratory!B$1:V$1,0)-1,
  Offset, INDEX(DVT_Laboratory!B$3:ZZ$102,,Match+1),
  Desired,"&amp;" IF(P137&lt;&gt;"""", P137,D137),
  IFS(
    Desired &gt; D137, ""Desired lvl too high"",
    AND(Desired = D137, OR(C137 = D137, C137 = ""Max"")), ""Max Level"",
    Desired = C137, ""OK Level"",
    Desired &lt; C137, ""Desired lvl too low"",
    TRUE, TO_PURE_NUMB"&amp;"ER(
      SUM(
        XLOOKUP($C137 + 1, SEQUENCE(100, 1, 1, 1), Offset, ""N/F"", 0, 1): 
        XLOOKUP(Desired, SEQUENCE(100, 1, 1, 1), Offset, ""N/F"", 0, 1)
      ) / Labspeed
    ) /
    IF(AND(B137 &lt;&gt; """", $B$1 = ""All""), RIGHT(B137, 3), 1)
  )
"&amp;")"),1276.5364311921162)</f>
        <v>1276.536431</v>
      </c>
      <c r="R137" s="537" t="str">
        <f t="shared" si="12"/>
        <v>1276d 12h 52m</v>
      </c>
      <c r="S137" s="543">
        <f t="array" ref="S137">LET(
  Match, MATCH(IF(ISNUMBER(SEARCH("Mastery",$A137)),"Card Mastery",$A137),DVT_Laboratory!B$1:V$1,0)-1,
  Offset, OFFSET(DVT_Laboratory!C$3,0,Match,100,1),
  Desired, IF(P137&lt;&gt;"", P137,D137),
IF(Desired&gt;D137,"Desired lvl too high",
IF(AND(Desired=D137,OR(C137=D137,C137="Max")),"Max Level",
IF(Desired=C137,"OK Level",
IF(Desired&lt;C137,"Desired lvl too low",
SUM(
XLOOKUP(C137+1,SEQUENCE(100,1,1,1),Offset,"N/F",0,1)
:XLOOKUP(Desired,SEQUENCE(100,1,1,1),Offset,"N/F",0,1))*(1-LAB_COIN_DISCOUNT()))))))</f>
        <v>9.2535E+19</v>
      </c>
      <c r="T137" s="539" t="str">
        <f t="shared" si="13"/>
        <v>92.54 Q</v>
      </c>
      <c r="U137" s="544" t="str">
        <f t="shared" si="14"/>
        <v>3.02 q/h</v>
      </c>
      <c r="V137" s="541">
        <f t="array" ref="V137">LET(
  Labspeed, IF(A137 ="Labs Speed", 1+'Master Sheet'!$BK$5, LAB_SPEED_TOTAL()),
  Match, MATCH(IF(ISNUMBER(SEARCH("Mastery",$A137)),"Card Mastery",$A137),DVT_Laboratory!B$1:V$1,0)-1,
  Offset, OFFSET(DVT_Laboratory!B$3,0,Match,100,1),
  Desired, IF(P137&lt;&gt;"", P137,D137),
IF(Desired&gt;D137,"Desired lvl too high",
IF(AND(Desired=D137,OR(C137=D137,C137="Max")),"Max Level",
IF(Desired&lt;=C137,"Desired lvl too low",
SUM(TIME_TO_RUSH_GEMS(
    XLOOKUP(C137+1, SEQUENCE(100,1,1,1), Offset, "N/F", 0, 1):
    XLOOKUP(Desired, SEQUENCE(100,1,1,1), Offset, "N/F", 0, 1)/Labspeed, IDS_LAB_GODLBOXED_COUNT()))))))</f>
        <v>74892</v>
      </c>
    </row>
    <row r="138">
      <c r="A138" s="532" t="s">
        <v>325</v>
      </c>
      <c r="B138" s="515" t="str">
        <f t="shared" si="1"/>
        <v/>
      </c>
      <c r="C138" s="533">
        <f>VLOOKUP($A138,MS_Labs_Array,2,FALSE)</f>
        <v>0</v>
      </c>
      <c r="D138" s="534">
        <f>VLOOKUP($A138,MS_Labs_Array,4,FALSE)</f>
        <v>30</v>
      </c>
      <c r="E138" s="535" t="str">
        <f t="shared" si="22"/>
        <v>T19 60</v>
      </c>
      <c r="F138" s="536">
        <f t="shared" si="17"/>
        <v>2.745190665</v>
      </c>
      <c r="G138" s="537" t="str">
        <f t="shared" si="3"/>
        <v>2d 17h 53m</v>
      </c>
      <c r="H138" s="538">
        <f t="shared" si="4"/>
        <v>1.99E+17</v>
      </c>
      <c r="I138" s="538">
        <f t="shared" si="5"/>
        <v>3.98E+17</v>
      </c>
      <c r="J138" s="539" t="str">
        <f t="shared" si="6"/>
        <v>199 q</v>
      </c>
      <c r="K138" s="522" t="str">
        <f t="shared" si="7"/>
        <v>6.04 q/h</v>
      </c>
      <c r="L138" s="540">
        <f t="shared" si="8"/>
        <v>237</v>
      </c>
      <c r="M138" s="537" t="str">
        <f t="shared" si="18"/>
        <v>5d 11h 46m</v>
      </c>
      <c r="N138" s="539" t="str">
        <f t="shared" si="10"/>
        <v>398 q</v>
      </c>
      <c r="O138" s="541">
        <f t="shared" si="11"/>
        <v>459</v>
      </c>
      <c r="P138" s="525" t="str">
        <f>VLOOKUP($A138,MS_Labs_Array,3,FALSE)</f>
        <v/>
      </c>
      <c r="Q138" s="542">
        <f>IFERROR(__xludf.DUMMYFUNCTION("LET(
  Labspeed, IF(A138=""Labs Speed"", 1+'Master Sheet'!$BK$5, LAB_SPEED_TOTAL()),
  Match, MATCH(IF(ISNUMBER(SEARCH(""Mastery"",$A138)),""Card Mastery"",$A138),DVT_Laboratory!B$1:V$1,0)-1,
  Offset, INDEX(DVT_Laboratory!B$3:ZZ$102,,Match+1),
  Desired,"&amp;" IF(P138&lt;&gt;"""", P138,D138),
  IFS(
    Desired &gt; D138, ""Desired lvl too high"",
    AND(Desired = D138, OR(C138 = D138, C138 = ""Max"")), ""Max Level"",
    Desired = C138, ""OK Level"",
    Desired &lt; C138, ""Desired lvl too low"",
    TRUE, TO_PURE_NUMB"&amp;"ER(
      SUM(
        XLOOKUP($C138 + 1, SEQUENCE(100, 1, 1, 1), Offset, ""N/F"", 0, 1): 
        XLOOKUP(Desired, SEQUENCE(100, 1, 1, 1), Offset, ""N/F"", 0, 1)
      ) / Labspeed
    ) /
    IF(AND(B138 &lt;&gt; """", $B$1 = ""All""), RIGHT(B138, 3), 1)
  )
"&amp;")"),1276.5364311921162)</f>
        <v>1276.536431</v>
      </c>
      <c r="R138" s="537" t="str">
        <f t="shared" si="12"/>
        <v>1276d 12h 52m</v>
      </c>
      <c r="S138" s="543">
        <f t="array" ref="S138">LET(
  Match, MATCH(IF(ISNUMBER(SEARCH("Mastery",$A138)),"Card Mastery",$A138),DVT_Laboratory!B$1:V$1,0)-1,
  Offset, OFFSET(DVT_Laboratory!C$3,0,Match,100,1),
  Desired, IF(P138&lt;&gt;"", P138,D138),
IF(Desired&gt;D138,"Desired lvl too high",
IF(AND(Desired=D138,OR(C138=D138,C138="Max")),"Max Level",
IF(Desired=C138,"OK Level",
IF(Desired&lt;C138,"Desired lvl too low",
SUM(
XLOOKUP(C138+1,SEQUENCE(100,1,1,1),Offset,"N/F",0,1)
:XLOOKUP(Desired,SEQUENCE(100,1,1,1),Offset,"N/F",0,1))*(1-LAB_COIN_DISCOUNT()))))))</f>
        <v>9.2535E+19</v>
      </c>
      <c r="T138" s="539" t="str">
        <f t="shared" si="13"/>
        <v>92.54 Q</v>
      </c>
      <c r="U138" s="544" t="str">
        <f t="shared" si="14"/>
        <v>3.02 q/h</v>
      </c>
      <c r="V138" s="541">
        <f t="array" ref="V138">LET(
  Labspeed, IF(A138 ="Labs Speed", 1+'Master Sheet'!$BK$5, LAB_SPEED_TOTAL()),
  Match, MATCH(IF(ISNUMBER(SEARCH("Mastery",$A138)),"Card Mastery",$A138),DVT_Laboratory!B$1:V$1,0)-1,
  Offset, OFFSET(DVT_Laboratory!B$3,0,Match,100,1),
  Desired, IF(P138&lt;&gt;"", P138,D138),
IF(Desired&gt;D138,"Desired lvl too high",
IF(AND(Desired=D138,OR(C138=D138,C138="Max")),"Max Level",
IF(Desired&lt;=C138,"Desired lvl too low",
SUM(TIME_TO_RUSH_GEMS(
    XLOOKUP(C138+1, SEQUENCE(100,1,1,1), Offset, "N/F", 0, 1):
    XLOOKUP(Desired, SEQUENCE(100,1,1,1), Offset, "N/F", 0, 1)/Labspeed, IDS_LAB_GODLBOXED_COUNT()))))))</f>
        <v>74892</v>
      </c>
    </row>
    <row r="139">
      <c r="A139" s="545" t="s">
        <v>330</v>
      </c>
      <c r="B139" s="515" t="str">
        <f t="shared" si="1"/>
        <v/>
      </c>
      <c r="C139" s="533">
        <f>VLOOKUP($A139,MS_Labs_Array,2,FALSE)</f>
        <v>0</v>
      </c>
      <c r="D139" s="534">
        <f>VLOOKUP($A139,MS_Labs_Array,4,FALSE)</f>
        <v>30</v>
      </c>
      <c r="E139" s="535" t="str">
        <f t="shared" si="22"/>
        <v>T19 60</v>
      </c>
      <c r="F139" s="536">
        <f t="shared" si="17"/>
        <v>2.745190665</v>
      </c>
      <c r="G139" s="537" t="str">
        <f t="shared" si="3"/>
        <v>2d 17h 53m</v>
      </c>
      <c r="H139" s="538">
        <f t="shared" si="4"/>
        <v>1.99E+17</v>
      </c>
      <c r="I139" s="538">
        <f t="shared" si="5"/>
        <v>3.98E+17</v>
      </c>
      <c r="J139" s="539" t="str">
        <f t="shared" si="6"/>
        <v>199 q</v>
      </c>
      <c r="K139" s="522" t="str">
        <f t="shared" si="7"/>
        <v>6.04 q/h</v>
      </c>
      <c r="L139" s="540">
        <f t="shared" si="8"/>
        <v>237</v>
      </c>
      <c r="M139" s="537" t="str">
        <f t="shared" si="18"/>
        <v>5d 11h 46m</v>
      </c>
      <c r="N139" s="539" t="str">
        <f t="shared" si="10"/>
        <v>398 q</v>
      </c>
      <c r="O139" s="541">
        <f t="shared" si="11"/>
        <v>459</v>
      </c>
      <c r="P139" s="525" t="str">
        <f>VLOOKUP($A139,MS_Labs_Array,3,FALSE)</f>
        <v/>
      </c>
      <c r="Q139" s="542">
        <f>IFERROR(__xludf.DUMMYFUNCTION("LET(
  Labspeed, IF(A139=""Labs Speed"", 1+'Master Sheet'!$BK$5, LAB_SPEED_TOTAL()),
  Match, MATCH(IF(ISNUMBER(SEARCH(""Mastery"",$A139)),""Card Mastery"",$A139),DVT_Laboratory!B$1:V$1,0)-1,
  Offset, INDEX(DVT_Laboratory!B$3:ZZ$102,,Match+1),
  Desired,"&amp;" IF(P139&lt;&gt;"""", P139,D139),
  IFS(
    Desired &gt; D139, ""Desired lvl too high"",
    AND(Desired = D139, OR(C139 = D139, C139 = ""Max"")), ""Max Level"",
    Desired = C139, ""OK Level"",
    Desired &lt; C139, ""Desired lvl too low"",
    TRUE, TO_PURE_NUMB"&amp;"ER(
      SUM(
        XLOOKUP($C139 + 1, SEQUENCE(100, 1, 1, 1), Offset, ""N/F"", 0, 1): 
        XLOOKUP(Desired, SEQUENCE(100, 1, 1, 1), Offset, ""N/F"", 0, 1)
      ) / Labspeed
    ) /
    IF(AND(B139 &lt;&gt; """", $B$1 = ""All""), RIGHT(B139, 3), 1)
  )
"&amp;")"),1276.5364311921162)</f>
        <v>1276.536431</v>
      </c>
      <c r="R139" s="537" t="str">
        <f t="shared" si="12"/>
        <v>1276d 12h 52m</v>
      </c>
      <c r="S139" s="543">
        <f t="array" ref="S139">LET(
  Match, MATCH(IF(ISNUMBER(SEARCH("Mastery",$A139)),"Card Mastery",$A139),DVT_Laboratory!B$1:V$1,0)-1,
  Offset, OFFSET(DVT_Laboratory!C$3,0,Match,100,1),
  Desired, IF(P139&lt;&gt;"", P139,D139),
IF(Desired&gt;D139,"Desired lvl too high",
IF(AND(Desired=D139,OR(C139=D139,C139="Max")),"Max Level",
IF(Desired=C139,"OK Level",
IF(Desired&lt;C139,"Desired lvl too low",
SUM(
XLOOKUP(C139+1,SEQUENCE(100,1,1,1),Offset,"N/F",0,1)
:XLOOKUP(Desired,SEQUENCE(100,1,1,1),Offset,"N/F",0,1))*(1-LAB_COIN_DISCOUNT()))))))</f>
        <v>9.2535E+19</v>
      </c>
      <c r="T139" s="539" t="str">
        <f t="shared" si="13"/>
        <v>92.54 Q</v>
      </c>
      <c r="U139" s="544" t="str">
        <f t="shared" si="14"/>
        <v>3.02 q/h</v>
      </c>
      <c r="V139" s="541">
        <f t="array" ref="V139">LET(
  Labspeed, IF(A139 ="Labs Speed", 1+'Master Sheet'!$BK$5, LAB_SPEED_TOTAL()),
  Match, MATCH(IF(ISNUMBER(SEARCH("Mastery",$A139)),"Card Mastery",$A139),DVT_Laboratory!B$1:V$1,0)-1,
  Offset, OFFSET(DVT_Laboratory!B$3,0,Match,100,1),
  Desired, IF(P139&lt;&gt;"", P139,D139),
IF(Desired&gt;D139,"Desired lvl too high",
IF(AND(Desired=D139,OR(C139=D139,C139="Max")),"Max Level",
IF(Desired&lt;=C139,"Desired lvl too low",
SUM(TIME_TO_RUSH_GEMS(
    XLOOKUP(C139+1, SEQUENCE(100,1,1,1), Offset, "N/F", 0, 1):
    XLOOKUP(Desired, SEQUENCE(100,1,1,1), Offset, "N/F", 0, 1)/Labspeed, IDS_LAB_GODLBOXED_COUNT()))))))</f>
        <v>74892</v>
      </c>
    </row>
    <row r="140">
      <c r="A140" s="532" t="s">
        <v>335</v>
      </c>
      <c r="B140" s="515" t="str">
        <f t="shared" si="1"/>
        <v/>
      </c>
      <c r="C140" s="533">
        <f>VLOOKUP($A140,MS_Labs_Array,2,FALSE)</f>
        <v>0</v>
      </c>
      <c r="D140" s="534">
        <f>VLOOKUP($A140,MS_Labs_Array,4,FALSE)</f>
        <v>30</v>
      </c>
      <c r="E140" s="535" t="str">
        <f t="shared" si="22"/>
        <v>T19 60</v>
      </c>
      <c r="F140" s="536">
        <f t="shared" si="17"/>
        <v>2.745190665</v>
      </c>
      <c r="G140" s="537" t="str">
        <f t="shared" si="3"/>
        <v>2d 17h 53m</v>
      </c>
      <c r="H140" s="538">
        <f t="shared" si="4"/>
        <v>1.99E+17</v>
      </c>
      <c r="I140" s="538">
        <f t="shared" si="5"/>
        <v>3.98E+17</v>
      </c>
      <c r="J140" s="539" t="str">
        <f t="shared" si="6"/>
        <v>199 q</v>
      </c>
      <c r="K140" s="522" t="str">
        <f t="shared" si="7"/>
        <v>6.04 q/h</v>
      </c>
      <c r="L140" s="540">
        <f t="shared" si="8"/>
        <v>237</v>
      </c>
      <c r="M140" s="537" t="str">
        <f t="shared" si="18"/>
        <v>5d 11h 46m</v>
      </c>
      <c r="N140" s="539" t="str">
        <f t="shared" si="10"/>
        <v>398 q</v>
      </c>
      <c r="O140" s="541">
        <f t="shared" si="11"/>
        <v>459</v>
      </c>
      <c r="P140" s="525" t="str">
        <f>VLOOKUP($A140,MS_Labs_Array,3,FALSE)</f>
        <v/>
      </c>
      <c r="Q140" s="542">
        <f>IFERROR(__xludf.DUMMYFUNCTION("LET(
  Labspeed, IF(A140=""Labs Speed"", 1+'Master Sheet'!$BK$5, LAB_SPEED_TOTAL()),
  Match, MATCH(IF(ISNUMBER(SEARCH(""Mastery"",$A140)),""Card Mastery"",$A140),DVT_Laboratory!B$1:V$1,0)-1,
  Offset, INDEX(DVT_Laboratory!B$3:ZZ$102,,Match+1),
  Desired,"&amp;" IF(P140&lt;&gt;"""", P140,D140),
  IFS(
    Desired &gt; D140, ""Desired lvl too high"",
    AND(Desired = D140, OR(C140 = D140, C140 = ""Max"")), ""Max Level"",
    Desired = C140, ""OK Level"",
    Desired &lt; C140, ""Desired lvl too low"",
    TRUE, TO_PURE_NUMB"&amp;"ER(
      SUM(
        XLOOKUP($C140 + 1, SEQUENCE(100, 1, 1, 1), Offset, ""N/F"", 0, 1): 
        XLOOKUP(Desired, SEQUENCE(100, 1, 1, 1), Offset, ""N/F"", 0, 1)
      ) / Labspeed
    ) /
    IF(AND(B140 &lt;&gt; """", $B$1 = ""All""), RIGHT(B140, 3), 1)
  )
"&amp;")"),1276.5364311921162)</f>
        <v>1276.536431</v>
      </c>
      <c r="R140" s="537" t="str">
        <f t="shared" si="12"/>
        <v>1276d 12h 52m</v>
      </c>
      <c r="S140" s="543">
        <f t="array" ref="S140">LET(
  Match, MATCH(IF(ISNUMBER(SEARCH("Mastery",$A140)),"Card Mastery",$A140),DVT_Laboratory!B$1:V$1,0)-1,
  Offset, OFFSET(DVT_Laboratory!C$3,0,Match,100,1),
  Desired, IF(P140&lt;&gt;"", P140,D140),
IF(Desired&gt;D140,"Desired lvl too high",
IF(AND(Desired=D140,OR(C140=D140,C140="Max")),"Max Level",
IF(Desired=C140,"OK Level",
IF(Desired&lt;C140,"Desired lvl too low",
SUM(
XLOOKUP(C140+1,SEQUENCE(100,1,1,1),Offset,"N/F",0,1)
:XLOOKUP(Desired,SEQUENCE(100,1,1,1),Offset,"N/F",0,1))*(1-LAB_COIN_DISCOUNT()))))))</f>
        <v>9.2535E+19</v>
      </c>
      <c r="T140" s="539" t="str">
        <f t="shared" si="13"/>
        <v>92.54 Q</v>
      </c>
      <c r="U140" s="544" t="str">
        <f t="shared" si="14"/>
        <v>3.02 q/h</v>
      </c>
      <c r="V140" s="541">
        <f t="array" ref="V140">LET(
  Labspeed, IF(A140 ="Labs Speed", 1+'Master Sheet'!$BK$5, LAB_SPEED_TOTAL()),
  Match, MATCH(IF(ISNUMBER(SEARCH("Mastery",$A140)),"Card Mastery",$A140),DVT_Laboratory!B$1:V$1,0)-1,
  Offset, OFFSET(DVT_Laboratory!B$3,0,Match,100,1),
  Desired, IF(P140&lt;&gt;"", P140,D140),
IF(Desired&gt;D140,"Desired lvl too high",
IF(AND(Desired=D140,OR(C140=D140,C140="Max")),"Max Level",
IF(Desired&lt;=C140,"Desired lvl too low",
SUM(TIME_TO_RUSH_GEMS(
    XLOOKUP(C140+1, SEQUENCE(100,1,1,1), Offset, "N/F", 0, 1):
    XLOOKUP(Desired, SEQUENCE(100,1,1,1), Offset, "N/F", 0, 1)/Labspeed, IDS_LAB_GODLBOXED_COUNT()))))))</f>
        <v>74892</v>
      </c>
    </row>
    <row r="141">
      <c r="A141" s="545" t="s">
        <v>340</v>
      </c>
      <c r="B141" s="515" t="str">
        <f t="shared" si="1"/>
        <v/>
      </c>
      <c r="C141" s="533">
        <f>VLOOKUP($A141,MS_Labs_Array,2,FALSE)</f>
        <v>0</v>
      </c>
      <c r="D141" s="534">
        <f>VLOOKUP($A141,MS_Labs_Array,4,FALSE)</f>
        <v>30</v>
      </c>
      <c r="E141" s="535" t="str">
        <f t="shared" si="22"/>
        <v>T19 60</v>
      </c>
      <c r="F141" s="536">
        <f t="shared" si="17"/>
        <v>2.745190665</v>
      </c>
      <c r="G141" s="537" t="str">
        <f t="shared" si="3"/>
        <v>2d 17h 53m</v>
      </c>
      <c r="H141" s="538">
        <f t="shared" si="4"/>
        <v>1.99E+17</v>
      </c>
      <c r="I141" s="538">
        <f t="shared" si="5"/>
        <v>3.98E+17</v>
      </c>
      <c r="J141" s="539" t="str">
        <f t="shared" si="6"/>
        <v>199 q</v>
      </c>
      <c r="K141" s="522" t="str">
        <f t="shared" si="7"/>
        <v>6.04 q/h</v>
      </c>
      <c r="L141" s="540">
        <f t="shared" si="8"/>
        <v>237</v>
      </c>
      <c r="M141" s="537" t="str">
        <f t="shared" si="18"/>
        <v>5d 11h 46m</v>
      </c>
      <c r="N141" s="539" t="str">
        <f t="shared" si="10"/>
        <v>398 q</v>
      </c>
      <c r="O141" s="541">
        <f t="shared" si="11"/>
        <v>459</v>
      </c>
      <c r="P141" s="525" t="str">
        <f>VLOOKUP($A141,MS_Labs_Array,3,FALSE)</f>
        <v/>
      </c>
      <c r="Q141" s="542">
        <f>IFERROR(__xludf.DUMMYFUNCTION("LET(
  Labspeed, IF(A141=""Labs Speed"", 1+'Master Sheet'!$BK$5, LAB_SPEED_TOTAL()),
  Match, MATCH(IF(ISNUMBER(SEARCH(""Mastery"",$A141)),""Card Mastery"",$A141),DVT_Laboratory!B$1:V$1,0)-1,
  Offset, INDEX(DVT_Laboratory!B$3:ZZ$102,,Match+1),
  Desired,"&amp;" IF(P141&lt;&gt;"""", P141,D141),
  IFS(
    Desired &gt; D141, ""Desired lvl too high"",
    AND(Desired = D141, OR(C141 = D141, C141 = ""Max"")), ""Max Level"",
    Desired = C141, ""OK Level"",
    Desired &lt; C141, ""Desired lvl too low"",
    TRUE, TO_PURE_NUMB"&amp;"ER(
      SUM(
        XLOOKUP($C141 + 1, SEQUENCE(100, 1, 1, 1), Offset, ""N/F"", 0, 1): 
        XLOOKUP(Desired, SEQUENCE(100, 1, 1, 1), Offset, ""N/F"", 0, 1)
      ) / Labspeed
    ) /
    IF(AND(B141 &lt;&gt; """", $B$1 = ""All""), RIGHT(B141, 3), 1)
  )
"&amp;")"),1276.5364311921162)</f>
        <v>1276.536431</v>
      </c>
      <c r="R141" s="537" t="str">
        <f t="shared" si="12"/>
        <v>1276d 12h 52m</v>
      </c>
      <c r="S141" s="543">
        <f t="array" ref="S141">LET(
  Match, MATCH(IF(ISNUMBER(SEARCH("Mastery",$A141)),"Card Mastery",$A141),DVT_Laboratory!B$1:V$1,0)-1,
  Offset, OFFSET(DVT_Laboratory!C$3,0,Match,100,1),
  Desired, IF(P141&lt;&gt;"", P141,D141),
IF(Desired&gt;D141,"Desired lvl too high",
IF(AND(Desired=D141,OR(C141=D141,C141="Max")),"Max Level",
IF(Desired=C141,"OK Level",
IF(Desired&lt;C141,"Desired lvl too low",
SUM(
XLOOKUP(C141+1,SEQUENCE(100,1,1,1),Offset,"N/F",0,1)
:XLOOKUP(Desired,SEQUENCE(100,1,1,1),Offset,"N/F",0,1))*(1-LAB_COIN_DISCOUNT()))))))</f>
        <v>9.2535E+19</v>
      </c>
      <c r="T141" s="539" t="str">
        <f t="shared" si="13"/>
        <v>92.54 Q</v>
      </c>
      <c r="U141" s="544" t="str">
        <f t="shared" si="14"/>
        <v>3.02 q/h</v>
      </c>
      <c r="V141" s="541">
        <f t="array" ref="V141">LET(
  Labspeed, IF(A141 ="Labs Speed", 1+'Master Sheet'!$BK$5, LAB_SPEED_TOTAL()),
  Match, MATCH(IF(ISNUMBER(SEARCH("Mastery",$A141)),"Card Mastery",$A141),DVT_Laboratory!B$1:V$1,0)-1,
  Offset, OFFSET(DVT_Laboratory!B$3,0,Match,100,1),
  Desired, IF(P141&lt;&gt;"", P141,D141),
IF(Desired&gt;D141,"Desired lvl too high",
IF(AND(Desired=D141,OR(C141=D141,C141="Max")),"Max Level",
IF(Desired&lt;=C141,"Desired lvl too low",
SUM(TIME_TO_RUSH_GEMS(
    XLOOKUP(C141+1, SEQUENCE(100,1,1,1), Offset, "N/F", 0, 1):
    XLOOKUP(Desired, SEQUENCE(100,1,1,1), Offset, "N/F", 0, 1)/Labspeed, IDS_LAB_GODLBOXED_COUNT()))))))</f>
        <v>74892</v>
      </c>
    </row>
    <row r="142">
      <c r="A142" s="532" t="s">
        <v>345</v>
      </c>
      <c r="B142" s="515" t="str">
        <f t="shared" si="1"/>
        <v/>
      </c>
      <c r="C142" s="533">
        <f>VLOOKUP($A142,MS_Labs_Array,2,FALSE)</f>
        <v>0</v>
      </c>
      <c r="D142" s="534">
        <f>VLOOKUP($A142,MS_Labs_Array,4,FALSE)</f>
        <v>30</v>
      </c>
      <c r="E142" s="535" t="str">
        <f t="shared" si="22"/>
        <v>T13 80</v>
      </c>
      <c r="F142" s="536">
        <f t="shared" si="17"/>
        <v>0.68616527</v>
      </c>
      <c r="G142" s="537" t="str">
        <f t="shared" si="3"/>
        <v>0d 16h 28m</v>
      </c>
      <c r="H142" s="538">
        <f t="shared" si="4"/>
        <v>796000000000</v>
      </c>
      <c r="I142" s="538">
        <f t="shared" si="5"/>
        <v>1114400000000</v>
      </c>
      <c r="J142" s="539" t="str">
        <f t="shared" si="6"/>
        <v>796 B</v>
      </c>
      <c r="K142" s="522" t="str">
        <f t="shared" si="7"/>
        <v>67.67 B/h</v>
      </c>
      <c r="L142" s="540">
        <f t="shared" si="8"/>
        <v>66</v>
      </c>
      <c r="M142" s="537" t="str">
        <f t="shared" si="18"/>
        <v>1d  8h 56m</v>
      </c>
      <c r="N142" s="539" t="str">
        <f t="shared" si="10"/>
        <v>1.11 T</v>
      </c>
      <c r="O142" s="541">
        <f t="shared" si="11"/>
        <v>125</v>
      </c>
      <c r="P142" s="525" t="str">
        <f>VLOOKUP($A142,MS_Labs_Array,3,FALSE)</f>
        <v/>
      </c>
      <c r="Q142" s="542">
        <f>IFERROR(__xludf.DUMMYFUNCTION("LET(
  Labspeed, IF(A142=""Labs Speed"", 1+'Master Sheet'!$BK$5, LAB_SPEED_TOTAL()),
  Match, MATCH(IF(ISNUMBER(SEARCH(""Mastery"",$A142)),""Card Mastery"",$A142),DVT_Laboratory!B$1:V$1,0)-1,
  Offset, INDEX(DVT_Laboratory!B$3:ZZ$102,,Match+1),
  Desired,"&amp;" IF(P142&lt;&gt;"""", P142,D142),
  IFS(
    Desired &gt; D142, ""Desired lvl too high"",
    AND(Desired = D142, OR(C142 = D142, C142 = ""Max"")), ""Max Level"",
    Desired = C142, ""OK Level"",
    Desired &lt; C142, ""Desired lvl too low"",
    TRUE, TO_PURE_NUMB"&amp;"ER(
      SUM(
        XLOOKUP($C142 + 1, SEQUENCE(100, 1, 1, 1), Offset, ""N/F"", 0, 1): 
        XLOOKUP(Desired, SEQUENCE(100, 1, 1, 1), Offset, ""N/F"", 0, 1)
      ) / Labspeed
    ) /
    IF(AND(B142 &lt;&gt; """", $B$1 = ""All""), RIGHT(B142, 3), 1)
  )
"&amp;")"),319.1319894591457)</f>
        <v>319.1319895</v>
      </c>
      <c r="R142" s="537" t="str">
        <f t="shared" si="12"/>
        <v>319d  3h 10m</v>
      </c>
      <c r="S142" s="543">
        <f t="array" ref="S142">LET(
  Match, MATCH(IF(ISNUMBER(SEARCH("Mastery",$A142)),"Card Mastery",$A142),DVT_Laboratory!B$1:V$1,0)-1,
  Offset, OFFSET(DVT_Laboratory!C$3,0,Match,100,1),
  Desired, IF(P142&lt;&gt;"", P142,D142),
IF(Desired&gt;D142,"Desired lvl too high",
IF(AND(Desired=D142,OR(C142=D142,C142="Max")),"Max Level",
IF(Desired=C142,"OK Level",
IF(Desired&lt;C142,"Desired lvl too low",
SUM(
XLOOKUP(C142+1,SEQUENCE(100,1,1,1),Offset,"N/F",0,1)
:XLOOKUP(Desired,SEQUENCE(100,1,1,1),Offset,"N/F",0,1))*(1-LAB_COIN_DISCOUNT()))))))</f>
        <v>4.81589E+16</v>
      </c>
      <c r="T142" s="539" t="str">
        <f t="shared" si="13"/>
        <v>48.16 q</v>
      </c>
      <c r="U142" s="544" t="str">
        <f t="shared" si="14"/>
        <v>6.29 T/h</v>
      </c>
      <c r="V142" s="541">
        <f t="array" ref="V142">LET(
  Labspeed, IF(A142 ="Labs Speed", 1+'Master Sheet'!$BK$5, LAB_SPEED_TOTAL()),
  Match, MATCH(IF(ISNUMBER(SEARCH("Mastery",$A142)),"Card Mastery",$A142),DVT_Laboratory!B$1:V$1,0)-1,
  Offset, OFFSET(DVT_Laboratory!B$3,0,Match,100,1),
  Desired, IF(P142&lt;&gt;"", P142,D142),
IF(Desired&gt;D142,"Desired lvl too high",
IF(AND(Desired=D142,OR(C142=D142,C142="Max")),"Max Level",
IF(Desired&lt;=C142,"Desired lvl too low",
SUM(TIME_TO_RUSH_GEMS(
    XLOOKUP(C142+1, SEQUENCE(100,1,1,1), Offset, "N/F", 0, 1):
    XLOOKUP(Desired, SEQUENCE(100,1,1,1), Offset, "N/F", 0, 1)/Labspeed, IDS_LAB_GODLBOXED_COUNT()))))))</f>
        <v>23950</v>
      </c>
    </row>
    <row r="143">
      <c r="A143" s="546" t="s">
        <v>163</v>
      </c>
      <c r="B143" s="547" t="str">
        <f t="shared" si="1"/>
        <v/>
      </c>
      <c r="C143" s="548">
        <f>VLOOKUP($A143,MS_Labs_Array,2,FALSE)</f>
        <v>10</v>
      </c>
      <c r="D143" s="549">
        <f>VLOOKUP($A143,MS_Labs_Array,4,FALSE)</f>
        <v>10</v>
      </c>
      <c r="E143" s="549" t="str">
        <f t="shared" si="22"/>
        <v>T4 70</v>
      </c>
      <c r="F143" s="550" t="str">
        <f t="shared" si="17"/>
        <v>Max Level</v>
      </c>
      <c r="G143" s="551" t="str">
        <f t="shared" si="3"/>
        <v>Max Level</v>
      </c>
      <c r="H143" s="547" t="str">
        <f t="shared" si="4"/>
        <v>Max Level</v>
      </c>
      <c r="I143" s="547">
        <f t="shared" si="5"/>
        <v>0</v>
      </c>
      <c r="J143" s="552" t="str">
        <f t="shared" si="6"/>
        <v>Max Level</v>
      </c>
      <c r="K143" s="553" t="str">
        <f t="shared" si="7"/>
        <v/>
      </c>
      <c r="L143" s="554" t="str">
        <f t="shared" si="8"/>
        <v>Max Level</v>
      </c>
      <c r="M143" s="551" t="str">
        <f t="shared" si="18"/>
        <v>Max Level</v>
      </c>
      <c r="N143" s="552" t="str">
        <f t="shared" si="10"/>
        <v>Max Level</v>
      </c>
      <c r="O143" s="555" t="str">
        <f t="shared" si="11"/>
        <v>Max Level</v>
      </c>
      <c r="P143" s="556" t="str">
        <f>VLOOKUP($A143,MS_Labs_Array,3,FALSE)</f>
        <v/>
      </c>
      <c r="Q143" s="557" t="str">
        <f>IFERROR(__xludf.DUMMYFUNCTION("LET(
  Labspeed, IF(A143=""Labs Speed"", 1+'Master Sheet'!$BK$5, LAB_SPEED_TOTAL()),
  Match, MATCH(IF(ISNUMBER(SEARCH(""Mastery"",$A143)),""Card Mastery"",$A143),DVT_Laboratory!B$1:V$1,0)-1,
  Offset, INDEX(DVT_Laboratory!B$3:ZZ$102,,Match+1),
  Desired,"&amp;" IF(P143&lt;&gt;"""", P143,D143),
  IFS(
    Desired &gt; D143, ""Desired lvl too high"",
    AND(Desired = D143, OR(C143 = D143, C143 = ""Max"")), ""Max Level"",
    Desired = C143, ""OK Level"",
    Desired &lt; C143, ""Desired lvl too low"",
    TRUE, TO_PURE_NUMB"&amp;"ER(
      SUM(
        XLOOKUP($C143 + 1, SEQUENCE(100, 1, 1, 1), Offset, ""N/F"", 0, 1): 
        XLOOKUP(Desired, SEQUENCE(100, 1, 1, 1), Offset, ""N/F"", 0, 1)
      ) / Labspeed
    ) /
    IF(AND(B143 &lt;&gt; """", $B$1 = ""All""), RIGHT(B143, 3), 1)
  )
"&amp;")"),"Max Level")</f>
        <v>Max Level</v>
      </c>
      <c r="R143" s="551" t="str">
        <f t="shared" si="12"/>
        <v>Max Level</v>
      </c>
      <c r="S143" s="552" t="str">
        <f t="array" ref="S143">LET(
  Match, MATCH(IF(ISNUMBER(SEARCH("Mastery",$A143)),"Card Mastery",$A143),DVT_Laboratory!B$1:V$1,0)-1,
  Offset, OFFSET(DVT_Laboratory!C$3,0,Match,100,1),
  Desired, IF(P143&lt;&gt;"", P143,D143),
IF(Desired&gt;D143,"Desired lvl too high",
IF(AND(Desired=D143,OR(C143=D143,C143="Max")),"Max Level",
IF(Desired=C143,"OK Level",
IF(Desired&lt;C143,"Desired lvl too low",
SUM(
XLOOKUP(C143+1,SEQUENCE(100,1,1,1),Offset,"N/F",0,1)
:XLOOKUP(Desired,SEQUENCE(100,1,1,1),Offset,"N/F",0,1))*(1-LAB_COIN_DISCOUNT()))))))</f>
        <v>Max Level</v>
      </c>
      <c r="T143" s="552" t="str">
        <f t="shared" si="13"/>
        <v>Max Level</v>
      </c>
      <c r="U143" s="553" t="str">
        <f t="shared" si="14"/>
        <v/>
      </c>
      <c r="V143" s="555" t="str">
        <f t="array" ref="V143">LET(
  Labspeed, IF(A143 ="Labs Speed", 1+'Master Sheet'!$BK$5, LAB_SPEED_TOTAL()),
  Match, MATCH(IF(ISNUMBER(SEARCH("Mastery",$A143)),"Card Mastery",$A143),DVT_Laboratory!B$1:V$1,0)-1,
  Offset, OFFSET(DVT_Laboratory!B$3,0,Match,100,1),
  Desired, IF(P143&lt;&gt;"", P143,D143),
IF(Desired&gt;D143,"Desired lvl too high",
IF(AND(Desired=D143,OR(C143=D143,C143="Max")),"Max Level",
IF(Desired&lt;=C143,"Desired lvl too low",
SUM(TIME_TO_RUSH_GEMS(
    XLOOKUP(C143+1, SEQUENCE(100,1,1,1), Offset, "N/F", 0, 1):
    XLOOKUP(Desired, SEQUENCE(100,1,1,1), Offset, "N/F", 0, 1)/Labspeed, IDS_LAB_GODLBOXED_COUNT()))))))</f>
        <v>Max Level</v>
      </c>
    </row>
    <row r="144">
      <c r="A144" s="546" t="s">
        <v>178</v>
      </c>
      <c r="B144" s="547" t="str">
        <f t="shared" si="1"/>
        <v/>
      </c>
      <c r="C144" s="548">
        <f>VLOOKUP($A144,MS_Labs_Array,2,FALSE)</f>
        <v>100</v>
      </c>
      <c r="D144" s="549">
        <f>VLOOKUP($A144,MS_Labs_Array,4,FALSE)</f>
        <v>100</v>
      </c>
      <c r="E144" s="549" t="str">
        <f t="shared" si="22"/>
        <v>T4 70</v>
      </c>
      <c r="F144" s="550" t="str">
        <f t="shared" si="17"/>
        <v>Max Level</v>
      </c>
      <c r="G144" s="551" t="str">
        <f t="shared" si="3"/>
        <v>Max Level</v>
      </c>
      <c r="H144" s="547" t="str">
        <f t="shared" si="4"/>
        <v>Max Level</v>
      </c>
      <c r="I144" s="547" t="str">
        <f t="shared" si="5"/>
        <v>#VALUE!</v>
      </c>
      <c r="J144" s="552" t="str">
        <f t="shared" si="6"/>
        <v>Max Level</v>
      </c>
      <c r="K144" s="553" t="str">
        <f t="shared" si="7"/>
        <v/>
      </c>
      <c r="L144" s="554" t="str">
        <f t="shared" si="8"/>
        <v>Max Level</v>
      </c>
      <c r="M144" s="551" t="str">
        <f t="shared" si="18"/>
        <v>Max Level</v>
      </c>
      <c r="N144" s="552" t="str">
        <f t="shared" si="10"/>
        <v>Max Level</v>
      </c>
      <c r="O144" s="555" t="str">
        <f t="shared" si="11"/>
        <v>Max Level</v>
      </c>
      <c r="P144" s="556">
        <f>VLOOKUP($A144,MS_Labs_Array,3,FALSE)</f>
        <v>100</v>
      </c>
      <c r="Q144" s="557" t="str">
        <f>IFERROR(__xludf.DUMMYFUNCTION("LET(
  Labspeed, IF(A144=""Labs Speed"", 1+'Master Sheet'!$BK$5, LAB_SPEED_TOTAL()),
  Match, MATCH(IF(ISNUMBER(SEARCH(""Mastery"",$A144)),""Card Mastery"",$A144),DVT_Laboratory!B$1:V$1,0)-1,
  Offset, INDEX(DVT_Laboratory!B$3:ZZ$102,,Match+1),
  Desired,"&amp;" IF(P144&lt;&gt;"""", P144,D144),
  IFS(
    Desired &gt; D144, ""Desired lvl too high"",
    AND(Desired = D144, OR(C144 = D144, C144 = ""Max"")), ""Max Level"",
    Desired = C144, ""OK Level"",
    Desired &lt; C144, ""Desired lvl too low"",
    TRUE, TO_PURE_NUMB"&amp;"ER(
      SUM(
        XLOOKUP($C144 + 1, SEQUENCE(100, 1, 1, 1), Offset, ""N/F"", 0, 1): 
        XLOOKUP(Desired, SEQUENCE(100, 1, 1, 1), Offset, ""N/F"", 0, 1)
      ) / Labspeed
    ) /
    IF(AND(B144 &lt;&gt; """", $B$1 = ""All""), RIGHT(B144, 3), 1)
  )
"&amp;")"),"Max Level")</f>
        <v>Max Level</v>
      </c>
      <c r="R144" s="551" t="str">
        <f t="shared" si="12"/>
        <v>Max Level</v>
      </c>
      <c r="S144" s="552" t="str">
        <f t="array" ref="S144">LET(
  Match, MATCH(IF(ISNUMBER(SEARCH("Mastery",$A144)),"Card Mastery",$A144),DVT_Laboratory!B$1:V$1,0)-1,
  Offset, OFFSET(DVT_Laboratory!C$3,0,Match,100,1),
  Desired, IF(P144&lt;&gt;"", P144,D144),
IF(Desired&gt;D144,"Desired lvl too high",
IF(AND(Desired=D144,OR(C144=D144,C144="Max")),"Max Level",
IF(Desired=C144,"OK Level",
IF(Desired&lt;C144,"Desired lvl too low",
SUM(
XLOOKUP(C144+1,SEQUENCE(100,1,1,1),Offset,"N/F",0,1)
:XLOOKUP(Desired,SEQUENCE(100,1,1,1),Offset,"N/F",0,1))*(1-LAB_COIN_DISCOUNT()))))))</f>
        <v>Max Level</v>
      </c>
      <c r="T144" s="552" t="str">
        <f t="shared" si="13"/>
        <v>Max Level</v>
      </c>
      <c r="U144" s="553" t="str">
        <f t="shared" si="14"/>
        <v/>
      </c>
      <c r="V144" s="555" t="str">
        <f t="array" ref="V144">LET(
  Labspeed, IF(A144 ="Labs Speed", 1+'Master Sheet'!$BK$5, LAB_SPEED_TOTAL()),
  Match, MATCH(IF(ISNUMBER(SEARCH("Mastery",$A144)),"Card Mastery",$A144),DVT_Laboratory!B$1:V$1,0)-1,
  Offset, OFFSET(DVT_Laboratory!B$3,0,Match,100,1),
  Desired, IF(P144&lt;&gt;"", P144,D144),
IF(Desired&gt;D144,"Desired lvl too high",
IF(AND(Desired=D144,OR(C144=D144,C144="Max")),"Max Level",
IF(Desired&lt;=C144,"Desired lvl too low",
SUM(TIME_TO_RUSH_GEMS(
    XLOOKUP(C144+1, SEQUENCE(100,1,1,1), Offset, "N/F", 0, 1):
    XLOOKUP(Desired, SEQUENCE(100,1,1,1), Offset, "N/F", 0, 1)/Labspeed, IDS_LAB_GODLBOXED_COUNT()))))))</f>
        <v>Max Level</v>
      </c>
    </row>
    <row r="145">
      <c r="A145" s="546" t="s">
        <v>189</v>
      </c>
      <c r="B145" s="547" t="str">
        <f t="shared" si="1"/>
        <v/>
      </c>
      <c r="C145" s="548">
        <f>VLOOKUP($A145,MS_Labs_Array,2,FALSE)</f>
        <v>50</v>
      </c>
      <c r="D145" s="549">
        <f>VLOOKUP($A145,MS_Labs_Array,4,FALSE)</f>
        <v>50</v>
      </c>
      <c r="E145" s="549" t="str">
        <f t="shared" si="22"/>
        <v>T4 70</v>
      </c>
      <c r="F145" s="550" t="str">
        <f t="shared" si="17"/>
        <v>Max Level</v>
      </c>
      <c r="G145" s="551" t="str">
        <f t="shared" si="3"/>
        <v>Max Level</v>
      </c>
      <c r="H145" s="547" t="str">
        <f t="shared" si="4"/>
        <v>Max Level</v>
      </c>
      <c r="I145" s="547">
        <f t="shared" si="5"/>
        <v>0</v>
      </c>
      <c r="J145" s="552" t="str">
        <f t="shared" si="6"/>
        <v>Max Level</v>
      </c>
      <c r="K145" s="553" t="str">
        <f t="shared" si="7"/>
        <v/>
      </c>
      <c r="L145" s="554" t="str">
        <f t="shared" si="8"/>
        <v>Max Level</v>
      </c>
      <c r="M145" s="551" t="str">
        <f t="shared" si="18"/>
        <v>Max Level</v>
      </c>
      <c r="N145" s="552" t="str">
        <f t="shared" si="10"/>
        <v>Max Level</v>
      </c>
      <c r="O145" s="555" t="str">
        <f t="shared" si="11"/>
        <v>Max Level</v>
      </c>
      <c r="P145" s="556">
        <f>VLOOKUP($A145,MS_Labs_Array,3,FALSE)</f>
        <v>50</v>
      </c>
      <c r="Q145" s="557" t="str">
        <f>IFERROR(__xludf.DUMMYFUNCTION("LET(
  Labspeed, IF(A145=""Labs Speed"", 1+'Master Sheet'!$BK$5, LAB_SPEED_TOTAL()),
  Match, MATCH(IF(ISNUMBER(SEARCH(""Mastery"",$A145)),""Card Mastery"",$A145),DVT_Laboratory!B$1:V$1,0)-1,
  Offset, INDEX(DVT_Laboratory!B$3:ZZ$102,,Match+1),
  Desired,"&amp;" IF(P145&lt;&gt;"""", P145,D145),
  IFS(
    Desired &gt; D145, ""Desired lvl too high"",
    AND(Desired = D145, OR(C145 = D145, C145 = ""Max"")), ""Max Level"",
    Desired = C145, ""OK Level"",
    Desired &lt; C145, ""Desired lvl too low"",
    TRUE, TO_PURE_NUMB"&amp;"ER(
      SUM(
        XLOOKUP($C145 + 1, SEQUENCE(100, 1, 1, 1), Offset, ""N/F"", 0, 1): 
        XLOOKUP(Desired, SEQUENCE(100, 1, 1, 1), Offset, ""N/F"", 0, 1)
      ) / Labspeed
    ) /
    IF(AND(B145 &lt;&gt; """", $B$1 = ""All""), RIGHT(B145, 3), 1)
  )
"&amp;")"),"Max Level")</f>
        <v>Max Level</v>
      </c>
      <c r="R145" s="551" t="str">
        <f t="shared" si="12"/>
        <v>Max Level</v>
      </c>
      <c r="S145" s="552" t="str">
        <f t="array" ref="S145">LET(
  Match, MATCH(IF(ISNUMBER(SEARCH("Mastery",$A145)),"Card Mastery",$A145),DVT_Laboratory!B$1:V$1,0)-1,
  Offset, OFFSET(DVT_Laboratory!C$3,0,Match,100,1),
  Desired, IF(P145&lt;&gt;"", P145,D145),
IF(Desired&gt;D145,"Desired lvl too high",
IF(AND(Desired=D145,OR(C145=D145,C145="Max")),"Max Level",
IF(Desired=C145,"OK Level",
IF(Desired&lt;C145,"Desired lvl too low",
SUM(
XLOOKUP(C145+1,SEQUENCE(100,1,1,1),Offset,"N/F",0,1)
:XLOOKUP(Desired,SEQUENCE(100,1,1,1),Offset,"N/F",0,1))*(1-LAB_COIN_DISCOUNT()))))))</f>
        <v>Max Level</v>
      </c>
      <c r="T145" s="552" t="str">
        <f t="shared" si="13"/>
        <v>Max Level</v>
      </c>
      <c r="U145" s="553" t="str">
        <f t="shared" si="14"/>
        <v/>
      </c>
      <c r="V145" s="555" t="str">
        <f t="array" ref="V145">LET(
  Labspeed, IF(A145 ="Labs Speed", 1+'Master Sheet'!$BK$5, LAB_SPEED_TOTAL()),
  Match, MATCH(IF(ISNUMBER(SEARCH("Mastery",$A145)),"Card Mastery",$A145),DVT_Laboratory!B$1:V$1,0)-1,
  Offset, OFFSET(DVT_Laboratory!B$3,0,Match,100,1),
  Desired, IF(P145&lt;&gt;"", P145,D145),
IF(Desired&gt;D145,"Desired lvl too high",
IF(AND(Desired=D145,OR(C145=D145,C145="Max")),"Max Level",
IF(Desired&lt;=C145,"Desired lvl too low",
SUM(TIME_TO_RUSH_GEMS(
    XLOOKUP(C145+1, SEQUENCE(100,1,1,1), Offset, "N/F", 0, 1):
    XLOOKUP(Desired, SEQUENCE(100,1,1,1), Offset, "N/F", 0, 1)/Labspeed, IDS_LAB_GODLBOXED_COUNT()))))))</f>
        <v>Max Level</v>
      </c>
    </row>
    <row r="146">
      <c r="A146" s="546" t="s">
        <v>211</v>
      </c>
      <c r="B146" s="547" t="str">
        <f t="shared" si="1"/>
        <v/>
      </c>
      <c r="C146" s="548">
        <f>VLOOKUP($A146,MS_Labs_Array,2,FALSE)</f>
        <v>30</v>
      </c>
      <c r="D146" s="549">
        <f>VLOOKUP($A146,MS_Labs_Array,4,FALSE)</f>
        <v>30</v>
      </c>
      <c r="E146" s="549" t="str">
        <f t="shared" si="22"/>
        <v>T10 40</v>
      </c>
      <c r="F146" s="550" t="str">
        <f t="shared" si="17"/>
        <v>Max Level</v>
      </c>
      <c r="G146" s="551" t="str">
        <f t="shared" si="3"/>
        <v>Max Level</v>
      </c>
      <c r="H146" s="547" t="str">
        <f t="shared" si="4"/>
        <v>Max Level</v>
      </c>
      <c r="I146" s="547">
        <f t="shared" si="5"/>
        <v>0</v>
      </c>
      <c r="J146" s="552" t="str">
        <f t="shared" si="6"/>
        <v>Max Level</v>
      </c>
      <c r="K146" s="553" t="str">
        <f t="shared" si="7"/>
        <v/>
      </c>
      <c r="L146" s="554" t="str">
        <f t="shared" si="8"/>
        <v>Max Level</v>
      </c>
      <c r="M146" s="551" t="str">
        <f t="shared" si="18"/>
        <v>Max Level</v>
      </c>
      <c r="N146" s="552" t="str">
        <f t="shared" si="10"/>
        <v>Max Level</v>
      </c>
      <c r="O146" s="555" t="str">
        <f t="shared" si="11"/>
        <v>Max Level</v>
      </c>
      <c r="P146" s="556" t="str">
        <f>VLOOKUP($A146,MS_Labs_Array,3,FALSE)</f>
        <v/>
      </c>
      <c r="Q146" s="557" t="str">
        <f>IFERROR(__xludf.DUMMYFUNCTION("LET(
  Labspeed, IF(A146=""Labs Speed"", 1+'Master Sheet'!$BK$5, LAB_SPEED_TOTAL()),
  Match, MATCH(IF(ISNUMBER(SEARCH(""Mastery"",$A146)),""Card Mastery"",$A146),DVT_Laboratory!B$1:V$1,0)-1,
  Offset, INDEX(DVT_Laboratory!B$3:ZZ$102,,Match+1),
  Desired,"&amp;" IF(P146&lt;&gt;"""", P146,D146),
  IFS(
    Desired &gt; D146, ""Desired lvl too high"",
    AND(Desired = D146, OR(C146 = D146, C146 = ""Max"")), ""Max Level"",
    Desired = C146, ""OK Level"",
    Desired &lt; C146, ""Desired lvl too low"",
    TRUE, TO_PURE_NUMB"&amp;"ER(
      SUM(
        XLOOKUP($C146 + 1, SEQUENCE(100, 1, 1, 1), Offset, ""N/F"", 0, 1): 
        XLOOKUP(Desired, SEQUENCE(100, 1, 1, 1), Offset, ""N/F"", 0, 1)
      ) / Labspeed
    ) /
    IF(AND(B146 &lt;&gt; """", $B$1 = ""All""), RIGHT(B146, 3), 1)
  )
"&amp;")"),"Max Level")</f>
        <v>Max Level</v>
      </c>
      <c r="R146" s="551" t="str">
        <f t="shared" si="12"/>
        <v>Max Level</v>
      </c>
      <c r="S146" s="552" t="str">
        <f t="array" ref="S146">LET(
  Match, MATCH(IF(ISNUMBER(SEARCH("Mastery",$A146)),"Card Mastery",$A146),DVT_Laboratory!B$1:V$1,0)-1,
  Offset, OFFSET(DVT_Laboratory!C$3,0,Match,100,1),
  Desired, IF(P146&lt;&gt;"", P146,D146),
IF(Desired&gt;D146,"Desired lvl too high",
IF(AND(Desired=D146,OR(C146=D146,C146="Max")),"Max Level",
IF(Desired=C146,"OK Level",
IF(Desired&lt;C146,"Desired lvl too low",
SUM(
XLOOKUP(C146+1,SEQUENCE(100,1,1,1),Offset,"N/F",0,1)
:XLOOKUP(Desired,SEQUENCE(100,1,1,1),Offset,"N/F",0,1))*(1-LAB_COIN_DISCOUNT()))))))</f>
        <v>Max Level</v>
      </c>
      <c r="T146" s="552" t="str">
        <f t="shared" si="13"/>
        <v>Max Level</v>
      </c>
      <c r="U146" s="553" t="str">
        <f t="shared" si="14"/>
        <v/>
      </c>
      <c r="V146" s="555" t="str">
        <f t="array" ref="V146">LET(
  Labspeed, IF(A146 ="Labs Speed", 1+'Master Sheet'!$BK$5, LAB_SPEED_TOTAL()),
  Match, MATCH(IF(ISNUMBER(SEARCH("Mastery",$A146)),"Card Mastery",$A146),DVT_Laboratory!B$1:V$1,0)-1,
  Offset, OFFSET(DVT_Laboratory!B$3,0,Match,100,1),
  Desired, IF(P146&lt;&gt;"", P146,D146),
IF(Desired&gt;D146,"Desired lvl too high",
IF(AND(Desired=D146,OR(C146=D146,C146="Max")),"Max Level",
IF(Desired&lt;=C146,"Desired lvl too low",
SUM(TIME_TO_RUSH_GEMS(
    XLOOKUP(C146+1, SEQUENCE(100,1,1,1), Offset, "N/F", 0, 1):
    XLOOKUP(Desired, SEQUENCE(100,1,1,1), Offset, "N/F", 0, 1)/Labspeed, IDS_LAB_GODLBOXED_COUNT()))))))</f>
        <v>Max Level</v>
      </c>
    </row>
    <row r="147">
      <c r="A147" s="546" t="s">
        <v>224</v>
      </c>
      <c r="B147" s="547" t="str">
        <f t="shared" si="1"/>
        <v/>
      </c>
      <c r="C147" s="548">
        <f>VLOOKUP($A147,MS_Labs_Array,2,FALSE)</f>
        <v>23</v>
      </c>
      <c r="D147" s="549">
        <f>VLOOKUP($A147,MS_Labs_Array,4,FALSE)</f>
        <v>30</v>
      </c>
      <c r="E147" s="549" t="str">
        <f t="shared" si="22"/>
        <v>T10 40</v>
      </c>
      <c r="F147" s="550">
        <f t="shared" si="17"/>
        <v>3.677436302</v>
      </c>
      <c r="G147" s="551" t="str">
        <f t="shared" si="3"/>
        <v>3d 16h 15m</v>
      </c>
      <c r="H147" s="547">
        <f t="shared" si="4"/>
        <v>1814880000000</v>
      </c>
      <c r="I147" s="547">
        <f t="shared" si="5"/>
        <v>2085520000000</v>
      </c>
      <c r="J147" s="552" t="str">
        <f t="shared" si="6"/>
        <v>1.81 T</v>
      </c>
      <c r="K147" s="553" t="str">
        <f t="shared" si="7"/>
        <v>23.63 B/h</v>
      </c>
      <c r="L147" s="554">
        <f t="shared" si="8"/>
        <v>312</v>
      </c>
      <c r="M147" s="551" t="str">
        <f t="shared" si="18"/>
        <v>3d 21h 22m</v>
      </c>
      <c r="N147" s="552" t="str">
        <f t="shared" si="10"/>
        <v>2.09 T</v>
      </c>
      <c r="O147" s="555">
        <f t="shared" si="11"/>
        <v>330</v>
      </c>
      <c r="P147" s="556" t="str">
        <f>VLOOKUP($A147,MS_Labs_Array,3,FALSE)</f>
        <v/>
      </c>
      <c r="Q147" s="557">
        <f>IFERROR(__xludf.DUMMYFUNCTION("LET(
  Labspeed, IF(A147=""Labs Speed"", 1+'Master Sheet'!$BK$5, LAB_SPEED_TOTAL()),
  Match, MATCH(IF(ISNUMBER(SEARCH(""Mastery"",$A147)),""Card Mastery"",$A147),DVT_Laboratory!B$1:V$1,0)-1,
  Offset, INDEX(DVT_Laboratory!B$3:ZZ$102,,Match+1),
  Desired,"&amp;" IF(P147&lt;&gt;"""", P147,D147),
  IFS(
    Desired &gt; D147, ""Desired lvl too high"",
    AND(Desired = D147, OR(C147 = D147, C147 = ""Max"")), ""Max Level"",
    Desired = C147, ""OK Level"",
    Desired &lt; C147, ""Desired lvl too low"",
    TRUE, TO_PURE_NUMB"&amp;"ER(
      SUM(
        XLOOKUP($C147 + 1, SEQUENCE(100, 1, 1, 1), Offset, ""N/F"", 0, 1): 
        XLOOKUP(Desired, SEQUENCE(100, 1, 1, 1), Offset, ""N/F"", 0, 1)
      ) / Labspeed
    ) /
    IF(AND(B147 &lt;&gt; """", $B$1 = ""All""), RIGHT(B147, 3), 1)
  )
"&amp;")"),30.703050784209047)</f>
        <v>30.70305078</v>
      </c>
      <c r="R147" s="551" t="str">
        <f t="shared" si="12"/>
        <v>30d 16h 52m</v>
      </c>
      <c r="S147" s="552">
        <f t="array" ref="S147">LET(
  Match, MATCH(IF(ISNUMBER(SEARCH("Mastery",$A147)),"Card Mastery",$A147),DVT_Laboratory!B$1:V$1,0)-1,
  Offset, OFFSET(DVT_Laboratory!C$3,0,Match,100,1),
  Desired, IF(P147&lt;&gt;"", P147,D147),
IF(Desired&gt;D147,"Desired lvl too high",
IF(AND(Desired=D147,OR(C147=D147,C147="Max")),"Max Level",
IF(Desired=C147,"OK Level",
IF(Desired&lt;C147,"Desired lvl too low",
SUM(
XLOOKUP(C147+1,SEQUENCE(100,1,1,1),Offset,"N/F",0,1)
:XLOOKUP(Desired,SEQUENCE(100,1,1,1),Offset,"N/F",0,1))*(1-LAB_COIN_DISCOUNT()))))))</f>
        <v>19215440000000</v>
      </c>
      <c r="T147" s="552" t="str">
        <f t="shared" si="13"/>
        <v>19.22 T</v>
      </c>
      <c r="U147" s="553" t="str">
        <f t="shared" si="14"/>
        <v>26.08 B/h</v>
      </c>
      <c r="V147" s="555">
        <f t="array" ref="V147">LET(
  Labspeed, IF(A147 ="Labs Speed", 1+'Master Sheet'!$BK$5, LAB_SPEED_TOTAL()),
  Match, MATCH(IF(ISNUMBER(SEARCH("Mastery",$A147)),"Card Mastery",$A147),DVT_Laboratory!B$1:V$1,0)-1,
  Offset, OFFSET(DVT_Laboratory!B$3,0,Match,100,1),
  Desired, IF(P147&lt;&gt;"", P147,D147),
IF(Desired&gt;D147,"Desired lvl too high",
IF(AND(Desired=D147,OR(C147=D147,C147="Max")),"Max Level",
IF(Desired&lt;=C147,"Desired lvl too low",
SUM(TIME_TO_RUSH_GEMS(
    XLOOKUP(C147+1, SEQUENCE(100,1,1,1), Offset, "N/F", 0, 1):
    XLOOKUP(Desired, SEQUENCE(100,1,1,1), Offset, "N/F", 0, 1)/Labspeed, IDS_LAB_GODLBOXED_COUNT()))))))</f>
        <v>2589</v>
      </c>
    </row>
    <row r="148">
      <c r="A148" s="558" t="s">
        <v>236</v>
      </c>
      <c r="B148" s="557" t="str">
        <f t="shared" si="1"/>
        <v/>
      </c>
      <c r="C148" s="548">
        <f>VLOOKUP($A148,MS_Labs_Array,2,FALSE)</f>
        <v>10</v>
      </c>
      <c r="D148" s="549">
        <f>VLOOKUP($A148,MS_Labs_Array,4,FALSE)</f>
        <v>10</v>
      </c>
      <c r="E148" s="549" t="str">
        <f t="shared" si="22"/>
        <v>T10 40</v>
      </c>
      <c r="F148" s="550" t="str">
        <f t="shared" si="17"/>
        <v>Max Level</v>
      </c>
      <c r="G148" s="551" t="str">
        <f t="shared" si="3"/>
        <v>Max Level</v>
      </c>
      <c r="H148" s="547" t="str">
        <f t="shared" si="4"/>
        <v>Max Level</v>
      </c>
      <c r="I148" s="547">
        <f t="shared" si="5"/>
        <v>0</v>
      </c>
      <c r="J148" s="552" t="str">
        <f t="shared" si="6"/>
        <v>Max Level</v>
      </c>
      <c r="K148" s="553" t="str">
        <f t="shared" si="7"/>
        <v/>
      </c>
      <c r="L148" s="554" t="str">
        <f t="shared" si="8"/>
        <v>Max Level</v>
      </c>
      <c r="M148" s="551" t="str">
        <f t="shared" si="18"/>
        <v>Max Level</v>
      </c>
      <c r="N148" s="552" t="str">
        <f t="shared" si="10"/>
        <v>Max Level</v>
      </c>
      <c r="O148" s="555" t="str">
        <f t="shared" si="11"/>
        <v>Max Level</v>
      </c>
      <c r="P148" s="556">
        <f>VLOOKUP($A148,MS_Labs_Array,3,FALSE)</f>
        <v>10</v>
      </c>
      <c r="Q148" s="557" t="str">
        <f>IFERROR(__xludf.DUMMYFUNCTION("LET(
  Labspeed, IF(A148=""Labs Speed"", 1+'Master Sheet'!$BK$5, LAB_SPEED_TOTAL()),
  Match, MATCH(IF(ISNUMBER(SEARCH(""Mastery"",$A148)),""Card Mastery"",$A148),DVT_Laboratory!B$1:V$1,0)-1,
  Offset, INDEX(DVT_Laboratory!B$3:ZZ$102,,Match+1),
  Desired,"&amp;" IF(P148&lt;&gt;"""", P148,D148),
  IFS(
    Desired &gt; D148, ""Desired lvl too high"",
    AND(Desired = D148, OR(C148 = D148, C148 = ""Max"")), ""Max Level"",
    Desired = C148, ""OK Level"",
    Desired &lt; C148, ""Desired lvl too low"",
    TRUE, TO_PURE_NUMB"&amp;"ER(
      SUM(
        XLOOKUP($C148 + 1, SEQUENCE(100, 1, 1, 1), Offset, ""N/F"", 0, 1): 
        XLOOKUP(Desired, SEQUENCE(100, 1, 1, 1), Offset, ""N/F"", 0, 1)
      ) / Labspeed
    ) /
    IF(AND(B148 &lt;&gt; """", $B$1 = ""All""), RIGHT(B148, 3), 1)
  )
"&amp;")"),"Max Level")</f>
        <v>Max Level</v>
      </c>
      <c r="R148" s="551" t="str">
        <f t="shared" si="12"/>
        <v>Max Level</v>
      </c>
      <c r="S148" s="552" t="str">
        <f t="array" ref="S148">LET(
  Match, MATCH(IF(ISNUMBER(SEARCH("Mastery",$A148)),"Card Mastery",$A148),DVT_Laboratory!B$1:V$1,0)-1,
  Offset, OFFSET(DVT_Laboratory!C$3,0,Match,100,1),
  Desired, IF(P148&lt;&gt;"", P148,D148),
IF(Desired&gt;D148,"Desired lvl too high",
IF(AND(Desired=D148,OR(C148=D148,C148="Max")),"Max Level",
IF(Desired=C148,"OK Level",
IF(Desired&lt;C148,"Desired lvl too low",
SUM(
XLOOKUP(C148+1,SEQUENCE(100,1,1,1),Offset,"N/F",0,1)
:XLOOKUP(Desired,SEQUENCE(100,1,1,1),Offset,"N/F",0,1))*(1-LAB_COIN_DISCOUNT()))))))</f>
        <v>Max Level</v>
      </c>
      <c r="T148" s="552" t="str">
        <f t="shared" si="13"/>
        <v>Max Level</v>
      </c>
      <c r="U148" s="553" t="str">
        <f t="shared" si="14"/>
        <v/>
      </c>
      <c r="V148" s="555" t="str">
        <f t="array" ref="V148">LET(
  Labspeed, IF(A148 ="Labs Speed", 1+'Master Sheet'!$BK$5, LAB_SPEED_TOTAL()),
  Match, MATCH(IF(ISNUMBER(SEARCH("Mastery",$A148)),"Card Mastery",$A148),DVT_Laboratory!B$1:V$1,0)-1,
  Offset, OFFSET(DVT_Laboratory!B$3,0,Match,100,1),
  Desired, IF(P148&lt;&gt;"", P148,D148),
IF(Desired&gt;D148,"Desired lvl too high",
IF(AND(Desired=D148,OR(C148=D148,C148="Max")),"Max Level",
IF(Desired&lt;=C148,"Desired lvl too low",
SUM(TIME_TO_RUSH_GEMS(
    XLOOKUP(C148+1, SEQUENCE(100,1,1,1), Offset, "N/F", 0, 1):
    XLOOKUP(Desired, SEQUENCE(100,1,1,1), Offset, "N/F", 0, 1)/Labspeed, IDS_LAB_GODLBOXED_COUNT()))))))</f>
        <v>Max Level</v>
      </c>
    </row>
    <row r="149">
      <c r="A149" s="558" t="s">
        <v>247</v>
      </c>
      <c r="B149" s="557" t="str">
        <f t="shared" si="1"/>
        <v/>
      </c>
      <c r="C149" s="548">
        <f>VLOOKUP($A149,MS_Labs_Array,2,FALSE)</f>
        <v>1</v>
      </c>
      <c r="D149" s="549">
        <f>VLOOKUP($A149,MS_Labs_Array,4,FALSE)</f>
        <v>1</v>
      </c>
      <c r="E149" s="549" t="str">
        <f t="shared" si="22"/>
        <v>T8 20</v>
      </c>
      <c r="F149" s="550" t="str">
        <f t="shared" si="17"/>
        <v>Max Level</v>
      </c>
      <c r="G149" s="551" t="str">
        <f t="shared" si="3"/>
        <v>Max Level</v>
      </c>
      <c r="H149" s="547" t="str">
        <f t="shared" si="4"/>
        <v>Max Level</v>
      </c>
      <c r="I149" s="547">
        <f t="shared" si="5"/>
        <v>0</v>
      </c>
      <c r="J149" s="552" t="str">
        <f t="shared" si="6"/>
        <v>Max Level</v>
      </c>
      <c r="K149" s="553" t="str">
        <f t="shared" si="7"/>
        <v/>
      </c>
      <c r="L149" s="554" t="str">
        <f t="shared" si="8"/>
        <v>Max Level</v>
      </c>
      <c r="M149" s="551" t="str">
        <f t="shared" si="18"/>
        <v>Max Level</v>
      </c>
      <c r="N149" s="552" t="str">
        <f t="shared" si="10"/>
        <v>Max Level</v>
      </c>
      <c r="O149" s="555" t="str">
        <f t="shared" si="11"/>
        <v>Max Level</v>
      </c>
      <c r="P149" s="556" t="str">
        <f>VLOOKUP($A149,MS_Labs_Array,3,FALSE)</f>
        <v/>
      </c>
      <c r="Q149" s="557" t="str">
        <f>IFERROR(__xludf.DUMMYFUNCTION("LET(
  Labspeed, IF(A149=""Labs Speed"", 1+'Master Sheet'!$BK$5, LAB_SPEED_TOTAL()),
  Match, MATCH(IF(ISNUMBER(SEARCH(""Mastery"",$A149)),""Card Mastery"",$A149),DVT_Laboratory!B$1:V$1,0)-1,
  Offset, INDEX(DVT_Laboratory!B$3:ZZ$102,,Match+1),
  Desired,"&amp;" IF(P149&lt;&gt;"""", P149,D149),
  IFS(
    Desired &gt; D149, ""Desired lvl too high"",
    AND(Desired = D149, OR(C149 = D149, C149 = ""Max"")), ""Max Level"",
    Desired = C149, ""OK Level"",
    Desired &lt; C149, ""Desired lvl too low"",
    TRUE, TO_PURE_NUMB"&amp;"ER(
      SUM(
        XLOOKUP($C149 + 1, SEQUENCE(100, 1, 1, 1), Offset, ""N/F"", 0, 1): 
        XLOOKUP(Desired, SEQUENCE(100, 1, 1, 1), Offset, ""N/F"", 0, 1)
      ) / Labspeed
    ) /
    IF(AND(B149 &lt;&gt; """", $B$1 = ""All""), RIGHT(B149, 3), 1)
  )
"&amp;")"),"Max Level")</f>
        <v>Max Level</v>
      </c>
      <c r="R149" s="551" t="str">
        <f t="shared" si="12"/>
        <v>Max Level</v>
      </c>
      <c r="S149" s="552" t="str">
        <f t="array" ref="S149">LET(
  Match, MATCH(IF(ISNUMBER(SEARCH("Mastery",$A149)),"Card Mastery",$A149),DVT_Laboratory!B$1:V$1,0)-1,
  Offset, OFFSET(DVT_Laboratory!C$3,0,Match,100,1),
  Desired, IF(P149&lt;&gt;"", P149,D149),
IF(Desired&gt;D149,"Desired lvl too high",
IF(AND(Desired=D149,OR(C149=D149,C149="Max")),"Max Level",
IF(Desired=C149,"OK Level",
IF(Desired&lt;C149,"Desired lvl too low",
SUM(
XLOOKUP(C149+1,SEQUENCE(100,1,1,1),Offset,"N/F",0,1)
:XLOOKUP(Desired,SEQUENCE(100,1,1,1),Offset,"N/F",0,1))*(1-LAB_COIN_DISCOUNT()))))))</f>
        <v>Max Level</v>
      </c>
      <c r="T149" s="552" t="str">
        <f t="shared" si="13"/>
        <v>Max Level</v>
      </c>
      <c r="U149" s="553" t="str">
        <f t="shared" si="14"/>
        <v/>
      </c>
      <c r="V149" s="555" t="str">
        <f t="array" ref="V149">LET(
  Labspeed, IF(A149 ="Labs Speed", 1+'Master Sheet'!$BK$5, LAB_SPEED_TOTAL()),
  Match, MATCH(IF(ISNUMBER(SEARCH("Mastery",$A149)),"Card Mastery",$A149),DVT_Laboratory!B$1:V$1,0)-1,
  Offset, OFFSET(DVT_Laboratory!B$3,0,Match,100,1),
  Desired, IF(P149&lt;&gt;"", P149,D149),
IF(Desired&gt;D149,"Desired lvl too high",
IF(AND(Desired=D149,OR(C149=D149,C149="Max")),"Max Level",
IF(Desired&lt;=C149,"Desired lvl too low",
SUM(TIME_TO_RUSH_GEMS(
    XLOOKUP(C149+1, SEQUENCE(100,1,1,1), Offset, "N/F", 0, 1):
    XLOOKUP(Desired, SEQUENCE(100,1,1,1), Offset, "N/F", 0, 1)/Labspeed, IDS_LAB_GODLBOXED_COUNT()))))))</f>
        <v>Max Level</v>
      </c>
    </row>
    <row r="150">
      <c r="A150" s="558" t="s">
        <v>258</v>
      </c>
      <c r="B150" s="557" t="str">
        <f t="shared" si="1"/>
        <v/>
      </c>
      <c r="C150" s="548">
        <f>VLOOKUP($A150,MS_Labs_Array,2,FALSE)</f>
        <v>5</v>
      </c>
      <c r="D150" s="549">
        <f>VLOOKUP($A150,MS_Labs_Array,4,FALSE)</f>
        <v>5</v>
      </c>
      <c r="E150" s="549" t="str">
        <f t="shared" si="22"/>
        <v>T16 40</v>
      </c>
      <c r="F150" s="550" t="str">
        <f t="shared" si="17"/>
        <v>Max Level</v>
      </c>
      <c r="G150" s="551" t="str">
        <f t="shared" si="3"/>
        <v>Max Level</v>
      </c>
      <c r="H150" s="547" t="str">
        <f t="shared" si="4"/>
        <v>Max Level</v>
      </c>
      <c r="I150" s="547">
        <f t="shared" si="5"/>
        <v>0</v>
      </c>
      <c r="J150" s="552" t="str">
        <f t="shared" si="6"/>
        <v>Max Level</v>
      </c>
      <c r="K150" s="553" t="str">
        <f t="shared" si="7"/>
        <v/>
      </c>
      <c r="L150" s="554" t="str">
        <f t="shared" si="8"/>
        <v>Max Level</v>
      </c>
      <c r="M150" s="551" t="str">
        <f t="shared" si="18"/>
        <v>Max Level</v>
      </c>
      <c r="N150" s="552" t="str">
        <f t="shared" si="10"/>
        <v>Max Level</v>
      </c>
      <c r="O150" s="555" t="str">
        <f t="shared" si="11"/>
        <v>Max Level</v>
      </c>
      <c r="P150" s="556" t="str">
        <f>VLOOKUP($A150,MS_Labs_Array,3,FALSE)</f>
        <v/>
      </c>
      <c r="Q150" s="557" t="str">
        <f>IFERROR(__xludf.DUMMYFUNCTION("LET(
  Labspeed, IF(A150=""Labs Speed"", 1+'Master Sheet'!$BK$5, LAB_SPEED_TOTAL()),
  Match, MATCH(IF(ISNUMBER(SEARCH(""Mastery"",$A150)),""Card Mastery"",$A150),DVT_Laboratory!B$1:V$1,0)-1,
  Offset, INDEX(DVT_Laboratory!B$3:ZZ$102,,Match+1),
  Desired,"&amp;" IF(P150&lt;&gt;"""", P150,D150),
  IFS(
    Desired &gt; D150, ""Desired lvl too high"",
    AND(Desired = D150, OR(C150 = D150, C150 = ""Max"")), ""Max Level"",
    Desired = C150, ""OK Level"",
    Desired &lt; C150, ""Desired lvl too low"",
    TRUE, TO_PURE_NUMB"&amp;"ER(
      SUM(
        XLOOKUP($C150 + 1, SEQUENCE(100, 1, 1, 1), Offset, ""N/F"", 0, 1): 
        XLOOKUP(Desired, SEQUENCE(100, 1, 1, 1), Offset, ""N/F"", 0, 1)
      ) / Labspeed
    ) /
    IF(AND(B150 &lt;&gt; """", $B$1 = ""All""), RIGHT(B150, 3), 1)
  )
"&amp;")"),"Max Level")</f>
        <v>Max Level</v>
      </c>
      <c r="R150" s="551" t="str">
        <f t="shared" si="12"/>
        <v>Max Level</v>
      </c>
      <c r="S150" s="552" t="str">
        <f t="array" ref="S150">LET(
  Match, MATCH(IF(ISNUMBER(SEARCH("Mastery",$A150)),"Card Mastery",$A150),DVT_Laboratory!B$1:V$1,0)-1,
  Offset, OFFSET(DVT_Laboratory!C$3,0,Match,100,1),
  Desired, IF(P150&lt;&gt;"", P150,D150),
IF(Desired&gt;D150,"Desired lvl too high",
IF(AND(Desired=D150,OR(C150=D150,C150="Max")),"Max Level",
IF(Desired=C150,"OK Level",
IF(Desired&lt;C150,"Desired lvl too low",
SUM(
XLOOKUP(C150+1,SEQUENCE(100,1,1,1),Offset,"N/F",0,1)
:XLOOKUP(Desired,SEQUENCE(100,1,1,1),Offset,"N/F",0,1))*(1-LAB_COIN_DISCOUNT()))))))</f>
        <v>Max Level</v>
      </c>
      <c r="T150" s="552" t="str">
        <f t="shared" si="13"/>
        <v>Max Level</v>
      </c>
      <c r="U150" s="553" t="str">
        <f t="shared" si="14"/>
        <v/>
      </c>
      <c r="V150" s="555" t="str">
        <f t="array" ref="V150">LET(
  Labspeed, IF(A150 ="Labs Speed", 1+'Master Sheet'!$BK$5, LAB_SPEED_TOTAL()),
  Match, MATCH(IF(ISNUMBER(SEARCH("Mastery",$A150)),"Card Mastery",$A150),DVT_Laboratory!B$1:V$1,0)-1,
  Offset, OFFSET(DVT_Laboratory!B$3,0,Match,100,1),
  Desired, IF(P150&lt;&gt;"", P150,D150),
IF(Desired&gt;D150,"Desired lvl too high",
IF(AND(Desired=D150,OR(C150=D150,C150="Max")),"Max Level",
IF(Desired&lt;=C150,"Desired lvl too low",
SUM(TIME_TO_RUSH_GEMS(
    XLOOKUP(C150+1, SEQUENCE(100,1,1,1), Offset, "N/F", 0, 1):
    XLOOKUP(Desired, SEQUENCE(100,1,1,1), Offset, "N/F", 0, 1)/Labspeed, IDS_LAB_GODLBOXED_COUNT()))))))</f>
        <v>Max Level</v>
      </c>
    </row>
    <row r="151">
      <c r="A151" s="558" t="s">
        <v>268</v>
      </c>
      <c r="B151" s="557" t="str">
        <f t="shared" si="1"/>
        <v/>
      </c>
      <c r="C151" s="548">
        <f>VLOOKUP($A151,MS_Labs_Array,2,FALSE)</f>
        <v>0</v>
      </c>
      <c r="D151" s="549">
        <f>VLOOKUP($A151,MS_Labs_Array,4,FALSE)</f>
        <v>4</v>
      </c>
      <c r="E151" s="559" t="str">
        <f t="shared" si="22"/>
        <v>T2 20</v>
      </c>
      <c r="F151" s="550">
        <f t="shared" si="17"/>
        <v>9.532524975</v>
      </c>
      <c r="G151" s="551" t="str">
        <f t="shared" si="3"/>
        <v>9d 12h 46m</v>
      </c>
      <c r="H151" s="547">
        <f t="shared" si="4"/>
        <v>398000000000</v>
      </c>
      <c r="I151" s="547">
        <f t="shared" si="5"/>
        <v>39800000000000</v>
      </c>
      <c r="J151" s="552" t="str">
        <f t="shared" si="6"/>
        <v>398 B</v>
      </c>
      <c r="K151" s="553" t="str">
        <f t="shared" si="7"/>
        <v>173.97 B/h</v>
      </c>
      <c r="L151" s="555">
        <f t="shared" si="8"/>
        <v>745</v>
      </c>
      <c r="M151" s="557" t="str">
        <f t="shared" si="18"/>
        <v>23d  7h 14m</v>
      </c>
      <c r="N151" s="552" t="str">
        <f t="shared" si="10"/>
        <v>39.8 T</v>
      </c>
      <c r="O151" s="555">
        <f t="shared" si="11"/>
        <v>1633</v>
      </c>
      <c r="P151" s="556" t="str">
        <f>VLOOKUP($A151,MS_Labs_Array,3,FALSE)</f>
        <v/>
      </c>
      <c r="Q151" s="557">
        <f>IFERROR(__xludf.DUMMYFUNCTION("LET(
  Labspeed, IF(A151=""Labs Speed"", 1+'Master Sheet'!$BK$5, LAB_SPEED_TOTAL()),
  Match, MATCH(IF(ISNUMBER(SEARCH(""Mastery"",$A151)),""Card Mastery"",$A151),DVT_Laboratory!B$1:V$1,0)-1,
  Offset, INDEX(DVT_Laboratory!B$3:ZZ$102,,Match+1),
  Desired,"&amp;" IF(P151&lt;&gt;"""", P151,D151),
  IFS(
    Desired &gt; D151, ""Desired lvl too high"",
    AND(Desired = D151, OR(C151 = D151, C151 = ""Max"")), ""Max Level"",
    Desired = C151, ""OK Level"",
    Desired &lt; C151, ""Desired lvl too low"",
    TRUE, TO_PURE_NUMB"&amp;"ER(
      SUM(
        XLOOKUP($C151 + 1, SEQUENCE(100, 1, 1, 1), Offset, ""N/F"", 0, 1): 
        XLOOKUP(Desired, SEQUENCE(100, 1, 1, 1), Offset, ""N/F"", 0, 1)
      ) / Labspeed
    ) /
    IF(AND(B151 &lt;&gt; """", $B$1 = ""All""), RIGHT(B151, 3), 1)
  )
"&amp;")"),126.04116356118186)</f>
        <v>126.0411636</v>
      </c>
      <c r="R151" s="551" t="str">
        <f t="shared" si="12"/>
        <v>126d  0h 59m</v>
      </c>
      <c r="S151" s="552">
        <f t="array" ref="S151">LET(
  Match, MATCH(IF(ISNUMBER(SEARCH("Mastery",$A151)),"Card Mastery",$A151),DVT_Laboratory!B$1:V$1,0)-1,
  Offset, OFFSET(DVT_Laboratory!C$3,0,Match,100,1),
  Desired, IF(P151&lt;&gt;"", P151,D151),
IF(Desired&gt;D151,"Desired lvl too high",
IF(AND(Desired=D151,OR(C151=D151,C151="Max")),"Max Level",
IF(Desired=C151,"OK Level",
IF(Desired&lt;C151,"Desired lvl too low",
SUM(
XLOOKUP(C151+1,SEQUENCE(100,1,1,1),Offset,"N/F",0,1)
:XLOOKUP(Desired,SEQUENCE(100,1,1,1),Offset,"N/F",0,1))*(1-LAB_COIN_DISCOUNT()))))))</f>
        <v>4.38202E+16</v>
      </c>
      <c r="T151" s="552" t="str">
        <f t="shared" si="13"/>
        <v>43.82 q</v>
      </c>
      <c r="U151" s="553" t="str">
        <f t="shared" si="14"/>
        <v>14.49 T/h</v>
      </c>
      <c r="V151" s="555">
        <f t="array" ref="V151">LET(
  Labspeed, IF(A151 ="Labs Speed", 1+'Master Sheet'!$BK$5, LAB_SPEED_TOTAL()),
  Match, MATCH(IF(ISNUMBER(SEARCH("Mastery",$A151)),"Card Mastery",$A151),DVT_Laboratory!B$1:V$1,0)-1,
  Offset, OFFSET(DVT_Laboratory!B$3,0,Match,100,1),
  Desired, IF(P151&lt;&gt;"", P151,D151),
IF(Desired&gt;D151,"Desired lvl too high",
IF(AND(Desired=D151,OR(C151=D151,C151="Max")),"Max Level",
IF(Desired&lt;=C151,"Desired lvl too low",
SUM(TIME_TO_RUSH_GEMS(
    XLOOKUP(C151+1, SEQUENCE(100,1,1,1), Offset, "N/F", 0, 1):
    XLOOKUP(Desired, SEQUENCE(100,1,1,1), Offset, "N/F", 0, 1)/Labspeed, IDS_LAB_GODLBOXED_COUNT()))))))</f>
        <v>7939</v>
      </c>
    </row>
    <row r="152">
      <c r="A152" s="558" t="s">
        <v>276</v>
      </c>
      <c r="B152" s="557" t="str">
        <f t="shared" si="1"/>
        <v/>
      </c>
      <c r="C152" s="548">
        <f>VLOOKUP($A152,MS_Labs_Array,2,FALSE)</f>
        <v>2</v>
      </c>
      <c r="D152" s="549">
        <f>VLOOKUP($A152,MS_Labs_Array,4,FALSE)</f>
        <v>4</v>
      </c>
      <c r="E152" s="559" t="str">
        <f t="shared" si="22"/>
        <v>T2 20</v>
      </c>
      <c r="F152" s="550">
        <f t="shared" si="17"/>
        <v>41.30760823</v>
      </c>
      <c r="G152" s="551" t="str">
        <f t="shared" si="3"/>
        <v>41d  7h 22m</v>
      </c>
      <c r="H152" s="547">
        <f t="shared" si="4"/>
        <v>3.98E+15</v>
      </c>
      <c r="I152" s="547">
        <f t="shared" si="5"/>
        <v>3.98E+16</v>
      </c>
      <c r="J152" s="552" t="str">
        <f t="shared" si="6"/>
        <v>3.98 q</v>
      </c>
      <c r="K152" s="553" t="str">
        <f t="shared" si="7"/>
        <v>40.15 T/h</v>
      </c>
      <c r="L152" s="555">
        <f t="shared" si="8"/>
        <v>2552</v>
      </c>
      <c r="M152" s="557" t="str">
        <f t="shared" si="18"/>
        <v>51d 21h 35m</v>
      </c>
      <c r="N152" s="552" t="str">
        <f t="shared" si="10"/>
        <v>39.8 q</v>
      </c>
      <c r="O152" s="555">
        <f t="shared" si="11"/>
        <v>3009</v>
      </c>
      <c r="P152" s="556" t="str">
        <f>VLOOKUP($A152,MS_Labs_Array,3,FALSE)</f>
        <v/>
      </c>
      <c r="Q152" s="557">
        <f>IFERROR(__xludf.DUMMYFUNCTION("LET(
  Labspeed, IF(A152=""Labs Speed"", 1+'Master Sheet'!$BK$5, LAB_SPEED_TOTAL()),
  Match, MATCH(IF(ISNUMBER(SEARCH(""Mastery"",$A152)),""Card Mastery"",$A152),DVT_Laboratory!B$1:V$1,0)-1,
  Offset, INDEX(DVT_Laboratory!B$3:ZZ$102,,Match+1),
  Desired,"&amp;" IF(P152&lt;&gt;"""", P152,D152),
  IFS(
    Desired &gt; D152, ""Desired lvl too high"",
    AND(Desired = D152, OR(C152 = D152, C152 = ""Max"")), ""Max Level"",
    Desired = C152, ""OK Level"",
    Desired &lt; C152, ""Desired lvl too low"",
    TRUE, TO_PURE_NUMB"&amp;"ER(
      SUM(
        XLOOKUP($C152 + 1, SEQUENCE(100, 1, 1, 1), Offset, ""N/F"", 0, 1): 
        XLOOKUP(Desired, SEQUENCE(100, 1, 1, 1), Offset, ""N/F"", 0, 1)
      ) / Labspeed
    ) /
    IF(AND(B152 &lt;&gt; """", $B$1 = ""All""), RIGHT(B152, 3), 1)
  )
"&amp;")"),93.20691086877312)</f>
        <v>93.20691087</v>
      </c>
      <c r="R152" s="551" t="str">
        <f t="shared" si="12"/>
        <v>93d  4h 57m</v>
      </c>
      <c r="S152" s="552">
        <f t="array" ref="S152">LET(
  Match, MATCH(IF(ISNUMBER(SEARCH("Mastery",$A152)),"Card Mastery",$A152),DVT_Laboratory!B$1:V$1,0)-1,
  Offset, OFFSET(DVT_Laboratory!C$3,0,Match,100,1),
  Desired, IF(P152&lt;&gt;"", P152,D152),
IF(Desired&gt;D152,"Desired lvl too high",
IF(AND(Desired=D152,OR(C152=D152,C152="Max")),"Max Level",
IF(Desired=C152,"OK Level",
IF(Desired&lt;C152,"Desired lvl too low",
SUM(
XLOOKUP(C152+1,SEQUENCE(100,1,1,1),Offset,"N/F",0,1)
:XLOOKUP(Desired,SEQUENCE(100,1,1,1),Offset,"N/F",0,1))*(1-LAB_COIN_DISCOUNT()))))))</f>
        <v>4.378E+16</v>
      </c>
      <c r="T152" s="552" t="str">
        <f t="shared" si="13"/>
        <v>43.78 q</v>
      </c>
      <c r="U152" s="553" t="str">
        <f t="shared" si="14"/>
        <v>19.57 T/h</v>
      </c>
      <c r="V152" s="555">
        <f t="array" ref="V152">LET(
  Labspeed, IF(A152 ="Labs Speed", 1+'Master Sheet'!$BK$5, LAB_SPEED_TOTAL()),
  Match, MATCH(IF(ISNUMBER(SEARCH("Mastery",$A152)),"Card Mastery",$A152),DVT_Laboratory!B$1:V$1,0)-1,
  Offset, OFFSET(DVT_Laboratory!B$3,0,Match,100,1),
  Desired, IF(P152&lt;&gt;"", P152,D152),
IF(Desired&gt;D152,"Desired lvl too high",
IF(AND(Desired=D152,OR(C152=D152,C152="Max")),"Max Level",
IF(Desired&lt;=C152,"Desired lvl too low",
SUM(TIME_TO_RUSH_GEMS(
    XLOOKUP(C152+1, SEQUENCE(100,1,1,1), Offset, "N/F", 0, 1):
    XLOOKUP(Desired, SEQUENCE(100,1,1,1), Offset, "N/F", 0, 1)/Labspeed, IDS_LAB_GODLBOXED_COUNT()))))))</f>
        <v>5561</v>
      </c>
    </row>
    <row r="153">
      <c r="A153" s="558" t="s">
        <v>284</v>
      </c>
      <c r="B153" s="557" t="str">
        <f t="shared" si="1"/>
        <v/>
      </c>
      <c r="C153" s="548">
        <f>VLOOKUP($A153,MS_Labs_Array,2,FALSE)</f>
        <v>1</v>
      </c>
      <c r="D153" s="549">
        <f>VLOOKUP($A153,MS_Labs_Array,4,FALSE)</f>
        <v>3</v>
      </c>
      <c r="E153" s="559" t="str">
        <f t="shared" si="22"/>
        <v>T2 20</v>
      </c>
      <c r="F153" s="550">
        <f t="shared" si="17"/>
        <v>41.30760823</v>
      </c>
      <c r="G153" s="551" t="str">
        <f t="shared" si="3"/>
        <v>41d  7h 22m</v>
      </c>
      <c r="H153" s="547">
        <f t="shared" si="4"/>
        <v>398000000000000</v>
      </c>
      <c r="I153" s="547">
        <f t="shared" si="5"/>
        <v>3.98E+16</v>
      </c>
      <c r="J153" s="552" t="str">
        <f t="shared" si="6"/>
        <v>398 T</v>
      </c>
      <c r="K153" s="553" t="str">
        <f t="shared" si="7"/>
        <v>40.15 T/h</v>
      </c>
      <c r="L153" s="555">
        <f t="shared" si="8"/>
        <v>2552</v>
      </c>
      <c r="M153" s="557" t="str">
        <f t="shared" si="18"/>
        <v>51d 21h 35m</v>
      </c>
      <c r="N153" s="552" t="str">
        <f t="shared" si="10"/>
        <v>39.8 q</v>
      </c>
      <c r="O153" s="555">
        <f t="shared" si="11"/>
        <v>3009</v>
      </c>
      <c r="P153" s="556" t="str">
        <f>VLOOKUP($A153,MS_Labs_Array,3,FALSE)</f>
        <v/>
      </c>
      <c r="Q153" s="557">
        <f>IFERROR(__xludf.DUMMYFUNCTION("LET(
  Labspeed, IF(A153=""Labs Speed"", 1+'Master Sheet'!$BK$5, LAB_SPEED_TOTAL()),
  Match, MATCH(IF(ISNUMBER(SEARCH(""Mastery"",$A153)),""Card Mastery"",$A153),DVT_Laboratory!B$1:V$1,0)-1,
  Offset, INDEX(DVT_Laboratory!B$3:ZZ$102,,Match+1),
  Desired,"&amp;" IF(P153&lt;&gt;"""", P153,D153),
  IFS(
    Desired &gt; D153, ""Desired lvl too high"",
    AND(Desired = D153, OR(C153 = D153, C153 = ""Max"")), ""Max Level"",
    Desired = C153, ""OK Level"",
    Desired &lt; C153, ""Desired lvl too low"",
    TRUE, TO_PURE_NUMB"&amp;"ER(
      SUM(
        XLOOKUP($C153 + 1, SEQUENCE(100, 1, 1, 1), Offset, ""N/F"", 0, 1): 
        XLOOKUP(Desired, SEQUENCE(100, 1, 1, 1), Offset, ""N/F"", 0, 1)
      ) / Labspeed
    ) /
    IF(AND(B153 &lt;&gt; """", $B$1 = ""All""), RIGHT(B153, 3), 1)
  )
"&amp;")"),93.20691086877312)</f>
        <v>93.20691087</v>
      </c>
      <c r="R153" s="551" t="str">
        <f t="shared" si="12"/>
        <v>93d  4h 57m</v>
      </c>
      <c r="S153" s="552">
        <f t="array" ref="S153">LET(
  Match, MATCH(IF(ISNUMBER(SEARCH("Mastery",$A153)),"Card Mastery",$A153),DVT_Laboratory!B$1:V$1,0)-1,
  Offset, OFFSET(DVT_Laboratory!C$3,0,Match,100,1),
  Desired, IF(P153&lt;&gt;"", P153,D153),
IF(Desired&gt;D153,"Desired lvl too high",
IF(AND(Desired=D153,OR(C153=D153,C153="Max")),"Max Level",
IF(Desired=C153,"OK Level",
IF(Desired&lt;C153,"Desired lvl too low",
SUM(
XLOOKUP(C153+1,SEQUENCE(100,1,1,1),Offset,"N/F",0,1)
:XLOOKUP(Desired,SEQUENCE(100,1,1,1),Offset,"N/F",0,1))*(1-LAB_COIN_DISCOUNT()))))))</f>
        <v>4.0198E+16</v>
      </c>
      <c r="T153" s="552" t="str">
        <f t="shared" si="13"/>
        <v>40.2 q</v>
      </c>
      <c r="U153" s="553" t="str">
        <f t="shared" si="14"/>
        <v>17.97 T/h</v>
      </c>
      <c r="V153" s="555">
        <f t="array" ref="V153">LET(
  Labspeed, IF(A153 ="Labs Speed", 1+'Master Sheet'!$BK$5, LAB_SPEED_TOTAL()),
  Match, MATCH(IF(ISNUMBER(SEARCH("Mastery",$A153)),"Card Mastery",$A153),DVT_Laboratory!B$1:V$1,0)-1,
  Offset, OFFSET(DVT_Laboratory!B$3,0,Match,100,1),
  Desired, IF(P153&lt;&gt;"", P153,D153),
IF(Desired&gt;D153,"Desired lvl too high",
IF(AND(Desired=D153,OR(C153=D153,C153="Max")),"Max Level",
IF(Desired&lt;=C153,"Desired lvl too low",
SUM(TIME_TO_RUSH_GEMS(
    XLOOKUP(C153+1, SEQUENCE(100,1,1,1), Offset, "N/F", 0, 1):
    XLOOKUP(Desired, SEQUENCE(100,1,1,1), Offset, "N/F", 0, 1)/Labspeed, IDS_LAB_GODLBOXED_COUNT()))))))</f>
        <v>5561</v>
      </c>
    </row>
    <row r="154">
      <c r="A154" s="558" t="s">
        <v>292</v>
      </c>
      <c r="B154" s="557" t="str">
        <f t="shared" si="1"/>
        <v/>
      </c>
      <c r="C154" s="548">
        <f>VLOOKUP($A154,MS_Labs_Array,2,FALSE)</f>
        <v>4</v>
      </c>
      <c r="D154" s="549">
        <f>VLOOKUP($A154,MS_Labs_Array,4,FALSE)</f>
        <v>7</v>
      </c>
      <c r="E154" s="559" t="str">
        <f t="shared" si="22"/>
        <v>T2 20</v>
      </c>
      <c r="F154" s="550">
        <f t="shared" si="17"/>
        <v>41.30760823</v>
      </c>
      <c r="G154" s="551" t="str">
        <f t="shared" si="3"/>
        <v>41d  7h 22m</v>
      </c>
      <c r="H154" s="547">
        <f t="shared" si="4"/>
        <v>3.98E+15</v>
      </c>
      <c r="I154" s="547">
        <f t="shared" si="5"/>
        <v>3.98E+16</v>
      </c>
      <c r="J154" s="552" t="str">
        <f t="shared" si="6"/>
        <v>3.98 q</v>
      </c>
      <c r="K154" s="553" t="str">
        <f t="shared" si="7"/>
        <v>40.15 T/h</v>
      </c>
      <c r="L154" s="555">
        <f t="shared" si="8"/>
        <v>2552</v>
      </c>
      <c r="M154" s="557" t="str">
        <f t="shared" si="18"/>
        <v>51d 21h 35m</v>
      </c>
      <c r="N154" s="552" t="str">
        <f t="shared" si="10"/>
        <v>39.8 q</v>
      </c>
      <c r="O154" s="555">
        <f t="shared" si="11"/>
        <v>3009</v>
      </c>
      <c r="P154" s="556" t="str">
        <f>VLOOKUP($A154,MS_Labs_Array,3,FALSE)</f>
        <v/>
      </c>
      <c r="Q154" s="557">
        <f>IFERROR(__xludf.DUMMYFUNCTION("LET(
  Labspeed, IF(A154=""Labs Speed"", 1+'Master Sheet'!$BK$5, LAB_SPEED_TOTAL()),
  Match, MATCH(IF(ISNUMBER(SEARCH(""Mastery"",$A154)),""Card Mastery"",$A154),DVT_Laboratory!B$1:V$1,0)-1,
  Offset, INDEX(DVT_Laboratory!B$3:ZZ$102,,Match+1),
  Desired,"&amp;" IF(P154&lt;&gt;"""", P154,D154),
  IFS(
    Desired &gt; D154, ""Desired lvl too high"",
    AND(Desired = D154, OR(C154 = D154, C154 = ""Max"")), ""Max Level"",
    Desired = C154, ""OK Level"",
    Desired &lt; C154, ""Desired lvl too low"",
    TRUE, TO_PURE_NUMB"&amp;"ER(
      SUM(
        XLOOKUP($C154 + 1, SEQUENCE(100, 1, 1, 1), Offset, ""N/F"", 0, 1): 
        XLOOKUP(Desired, SEQUENCE(100, 1, 1, 1), Offset, ""N/F"", 0, 1)
      ) / Labspeed
    ) /
    IF(AND(B154 &lt;&gt; """", $B$1 = ""All""), RIGHT(B154, 3), 1)
  )
"&amp;")"),156.75707737020934)</f>
        <v>156.7570774</v>
      </c>
      <c r="R154" s="551" t="str">
        <f t="shared" si="12"/>
        <v>156d 18h 10m</v>
      </c>
      <c r="S154" s="552">
        <f t="array" ref="S154">LET(
  Match, MATCH(IF(ISNUMBER(SEARCH("Mastery",$A154)),"Card Mastery",$A154),DVT_Laboratory!B$1:V$1,0)-1,
  Offset, OFFSET(DVT_Laboratory!C$3,0,Match,100,1),
  Desired, IF(P154&lt;&gt;"", P154,D154),
IF(Desired&gt;D154,"Desired lvl too high",
IF(AND(Desired=D154,OR(C154=D154,C154="Max")),"Max Level",
IF(Desired=C154,"OK Level",
IF(Desired&lt;C154,"Desired lvl too low",
SUM(
XLOOKUP(C154+1,SEQUENCE(100,1,1,1),Offset,"N/F",0,1)
:XLOOKUP(Desired,SEQUENCE(100,1,1,1),Offset,"N/F",0,1))*(1-LAB_COIN_DISCOUNT()))))))</f>
        <v>4.4178E+17</v>
      </c>
      <c r="T154" s="552" t="str">
        <f t="shared" si="13"/>
        <v>441.78 q</v>
      </c>
      <c r="U154" s="553" t="str">
        <f t="shared" si="14"/>
        <v>117.43 T/h</v>
      </c>
      <c r="V154" s="555">
        <f t="array" ref="V154">LET(
  Labspeed, IF(A154 ="Labs Speed", 1+'Master Sheet'!$BK$5, LAB_SPEED_TOTAL()),
  Match, MATCH(IF(ISNUMBER(SEARCH("Mastery",$A154)),"Card Mastery",$A154),DVT_Laboratory!B$1:V$1,0)-1,
  Offset, OFFSET(DVT_Laboratory!B$3,0,Match,100,1),
  Desired, IF(P154&lt;&gt;"", P154,D154),
IF(Desired&gt;D154,"Desired lvl too high",
IF(AND(Desired=D154,OR(C154=D154,C154="Max")),"Max Level",
IF(Desired&lt;=C154,"Desired lvl too low",
SUM(TIME_TO_RUSH_GEMS(
    XLOOKUP(C154+1, SEQUENCE(100,1,1,1), Offset, "N/F", 0, 1):
    XLOOKUP(Desired, SEQUENCE(100,1,1,1), Offset, "N/F", 0, 1)/Labspeed, IDS_LAB_GODLBOXED_COUNT()))))))</f>
        <v>9072</v>
      </c>
    </row>
    <row r="155">
      <c r="A155" s="558" t="s">
        <v>299</v>
      </c>
      <c r="B155" s="557" t="str">
        <f t="shared" si="1"/>
        <v/>
      </c>
      <c r="C155" s="548">
        <f>VLOOKUP($A155,MS_Labs_Array,2,FALSE)</f>
        <v>0</v>
      </c>
      <c r="D155" s="549">
        <f>VLOOKUP($A155,MS_Labs_Array,4,FALSE)</f>
        <v>30</v>
      </c>
      <c r="E155" s="559" t="str">
        <f t="shared" si="22"/>
        <v>T19 50</v>
      </c>
      <c r="F155" s="550">
        <f t="shared" si="17"/>
        <v>2.745190665</v>
      </c>
      <c r="G155" s="551" t="str">
        <f t="shared" si="3"/>
        <v>2d 17h 53m</v>
      </c>
      <c r="H155" s="547">
        <f t="shared" si="4"/>
        <v>1.99E+17</v>
      </c>
      <c r="I155" s="547">
        <f t="shared" si="5"/>
        <v>3.98E+17</v>
      </c>
      <c r="J155" s="552" t="str">
        <f t="shared" si="6"/>
        <v>199 q</v>
      </c>
      <c r="K155" s="553" t="str">
        <f t="shared" si="7"/>
        <v>6.04 q/h</v>
      </c>
      <c r="L155" s="555">
        <f t="shared" si="8"/>
        <v>237</v>
      </c>
      <c r="M155" s="557" t="str">
        <f t="shared" si="18"/>
        <v>5d 11h 46m</v>
      </c>
      <c r="N155" s="552" t="str">
        <f t="shared" si="10"/>
        <v>398 q</v>
      </c>
      <c r="O155" s="555">
        <f t="shared" si="11"/>
        <v>459</v>
      </c>
      <c r="P155" s="556" t="str">
        <f>VLOOKUP($A155,MS_Labs_Array,3,FALSE)</f>
        <v/>
      </c>
      <c r="Q155" s="557">
        <f>IFERROR(__xludf.DUMMYFUNCTION("LET(
  Labspeed, IF(A155=""Labs Speed"", 1+'Master Sheet'!$BK$5, LAB_SPEED_TOTAL()),
  Match, MATCH(IF(ISNUMBER(SEARCH(""Mastery"",$A155)),""Card Mastery"",$A155),DVT_Laboratory!B$1:V$1,0)-1,
  Offset, INDEX(DVT_Laboratory!B$3:ZZ$102,,Match+1),
  Desired,"&amp;" IF(P155&lt;&gt;"""", P155,D155),
  IFS(
    Desired &gt; D155, ""Desired lvl too high"",
    AND(Desired = D155, OR(C155 = D155, C155 = ""Max"")), ""Max Level"",
    Desired = C155, ""OK Level"",
    Desired &lt; C155, ""Desired lvl too low"",
    TRUE, TO_PURE_NUMB"&amp;"ER(
      SUM(
        XLOOKUP($C155 + 1, SEQUENCE(100, 1, 1, 1), Offset, ""N/F"", 0, 1): 
        XLOOKUP(Desired, SEQUENCE(100, 1, 1, 1), Offset, ""N/F"", 0, 1)
      ) / Labspeed
    ) /
    IF(AND(B155 &lt;&gt; """", $B$1 = ""All""), RIGHT(B155, 3), 1)
  )
"&amp;")"),1276.5364311921162)</f>
        <v>1276.536431</v>
      </c>
      <c r="R155" s="551" t="str">
        <f t="shared" si="12"/>
        <v>1276d 12h 52m</v>
      </c>
      <c r="S155" s="552">
        <f t="array" ref="S155">LET(
  Match, MATCH(IF(ISNUMBER(SEARCH("Mastery",$A155)),"Card Mastery",$A155),DVT_Laboratory!B$1:V$1,0)-1,
  Offset, OFFSET(DVT_Laboratory!C$3,0,Match,100,1),
  Desired, IF(P155&lt;&gt;"", P155,D155),
IF(Desired&gt;D155,"Desired lvl too high",
IF(AND(Desired=D155,OR(C155=D155,C155="Max")),"Max Level",
IF(Desired=C155,"OK Level",
IF(Desired&lt;C155,"Desired lvl too low",
SUM(
XLOOKUP(C155+1,SEQUENCE(100,1,1,1),Offset,"N/F",0,1)
:XLOOKUP(Desired,SEQUENCE(100,1,1,1),Offset,"N/F",0,1))*(1-LAB_COIN_DISCOUNT()))))))</f>
        <v>9.2535E+19</v>
      </c>
      <c r="T155" s="552" t="str">
        <f t="shared" si="13"/>
        <v>92.54 Q</v>
      </c>
      <c r="U155" s="553" t="str">
        <f t="shared" si="14"/>
        <v>3.02 q/h</v>
      </c>
      <c r="V155" s="555">
        <f t="array" ref="V155">LET(
  Labspeed, IF(A155 ="Labs Speed", 1+'Master Sheet'!$BK$5, LAB_SPEED_TOTAL()),
  Match, MATCH(IF(ISNUMBER(SEARCH("Mastery",$A155)),"Card Mastery",$A155),DVT_Laboratory!B$1:V$1,0)-1,
  Offset, OFFSET(DVT_Laboratory!B$3,0,Match,100,1),
  Desired, IF(P155&lt;&gt;"", P155,D155),
IF(Desired&gt;D155,"Desired lvl too high",
IF(AND(Desired=D155,OR(C155=D155,C155="Max")),"Max Level",
IF(Desired&lt;=C155,"Desired lvl too low",
SUM(TIME_TO_RUSH_GEMS(
    XLOOKUP(C155+1, SEQUENCE(100,1,1,1), Offset, "N/F", 0, 1):
    XLOOKUP(Desired, SEQUENCE(100,1,1,1), Offset, "N/F", 0, 1)/Labspeed, IDS_LAB_GODLBOXED_COUNT()))))))</f>
        <v>74892</v>
      </c>
    </row>
    <row r="156">
      <c r="A156" s="558" t="s">
        <v>306</v>
      </c>
      <c r="B156" s="557" t="str">
        <f t="shared" si="1"/>
        <v/>
      </c>
      <c r="C156" s="548">
        <f>VLOOKUP($A156,MS_Labs_Array,2,FALSE)</f>
        <v>0</v>
      </c>
      <c r="D156" s="549">
        <f>VLOOKUP($A156,MS_Labs_Array,4,FALSE)</f>
        <v>30</v>
      </c>
      <c r="E156" s="559" t="str">
        <f t="shared" si="22"/>
        <v>T19 50</v>
      </c>
      <c r="F156" s="550">
        <f t="shared" si="17"/>
        <v>2.745190665</v>
      </c>
      <c r="G156" s="551" t="str">
        <f t="shared" si="3"/>
        <v>2d 17h 53m</v>
      </c>
      <c r="H156" s="547">
        <f t="shared" si="4"/>
        <v>1.99E+17</v>
      </c>
      <c r="I156" s="547">
        <f t="shared" si="5"/>
        <v>3.98E+17</v>
      </c>
      <c r="J156" s="552" t="str">
        <f t="shared" si="6"/>
        <v>199 q</v>
      </c>
      <c r="K156" s="553" t="str">
        <f t="shared" si="7"/>
        <v>6.04 q/h</v>
      </c>
      <c r="L156" s="555">
        <f t="shared" si="8"/>
        <v>237</v>
      </c>
      <c r="M156" s="557" t="str">
        <f t="shared" si="18"/>
        <v>5d 11h 46m</v>
      </c>
      <c r="N156" s="552" t="str">
        <f t="shared" si="10"/>
        <v>398 q</v>
      </c>
      <c r="O156" s="555">
        <f t="shared" si="11"/>
        <v>459</v>
      </c>
      <c r="P156" s="556" t="str">
        <f>VLOOKUP($A156,MS_Labs_Array,3,FALSE)</f>
        <v/>
      </c>
      <c r="Q156" s="557">
        <f>IFERROR(__xludf.DUMMYFUNCTION("LET(
  Labspeed, IF(A156=""Labs Speed"", 1+'Master Sheet'!$BK$5, LAB_SPEED_TOTAL()),
  Match, MATCH(IF(ISNUMBER(SEARCH(""Mastery"",$A156)),""Card Mastery"",$A156),DVT_Laboratory!B$1:V$1,0)-1,
  Offset, INDEX(DVT_Laboratory!B$3:ZZ$102,,Match+1),
  Desired,"&amp;" IF(P156&lt;&gt;"""", P156,D156),
  IFS(
    Desired &gt; D156, ""Desired lvl too high"",
    AND(Desired = D156, OR(C156 = D156, C156 = ""Max"")), ""Max Level"",
    Desired = C156, ""OK Level"",
    Desired &lt; C156, ""Desired lvl too low"",
    TRUE, TO_PURE_NUMB"&amp;"ER(
      SUM(
        XLOOKUP($C156 + 1, SEQUENCE(100, 1, 1, 1), Offset, ""N/F"", 0, 1): 
        XLOOKUP(Desired, SEQUENCE(100, 1, 1, 1), Offset, ""N/F"", 0, 1)
      ) / Labspeed
    ) /
    IF(AND(B156 &lt;&gt; """", $B$1 = ""All""), RIGHT(B156, 3), 1)
  )
"&amp;")"),1276.5364311921162)</f>
        <v>1276.536431</v>
      </c>
      <c r="R156" s="551" t="str">
        <f t="shared" si="12"/>
        <v>1276d 12h 52m</v>
      </c>
      <c r="S156" s="552">
        <f t="array" ref="S156">LET(
  Match, MATCH(IF(ISNUMBER(SEARCH("Mastery",$A156)),"Card Mastery",$A156),DVT_Laboratory!B$1:V$1,0)-1,
  Offset, OFFSET(DVT_Laboratory!C$3,0,Match,100,1),
  Desired, IF(P156&lt;&gt;"", P156,D156),
IF(Desired&gt;D156,"Desired lvl too high",
IF(AND(Desired=D156,OR(C156=D156,C156="Max")),"Max Level",
IF(Desired=C156,"OK Level",
IF(Desired&lt;C156,"Desired lvl too low",
SUM(
XLOOKUP(C156+1,SEQUENCE(100,1,1,1),Offset,"N/F",0,1)
:XLOOKUP(Desired,SEQUENCE(100,1,1,1),Offset,"N/F",0,1))*(1-LAB_COIN_DISCOUNT()))))))</f>
        <v>9.2535E+19</v>
      </c>
      <c r="T156" s="552" t="str">
        <f t="shared" si="13"/>
        <v>92.54 Q</v>
      </c>
      <c r="U156" s="553" t="str">
        <f t="shared" si="14"/>
        <v>3.02 q/h</v>
      </c>
      <c r="V156" s="555">
        <f t="array" ref="V156">LET(
  Labspeed, IF(A156 ="Labs Speed", 1+'Master Sheet'!$BK$5, LAB_SPEED_TOTAL()),
  Match, MATCH(IF(ISNUMBER(SEARCH("Mastery",$A156)),"Card Mastery",$A156),DVT_Laboratory!B$1:V$1,0)-1,
  Offset, OFFSET(DVT_Laboratory!B$3,0,Match,100,1),
  Desired, IF(P156&lt;&gt;"", P156,D156),
IF(Desired&gt;D156,"Desired lvl too high",
IF(AND(Desired=D156,OR(C156=D156,C156="Max")),"Max Level",
IF(Desired&lt;=C156,"Desired lvl too low",
SUM(TIME_TO_RUSH_GEMS(
    XLOOKUP(C156+1, SEQUENCE(100,1,1,1), Offset, "N/F", 0, 1):
    XLOOKUP(Desired, SEQUENCE(100,1,1,1), Offset, "N/F", 0, 1)/Labspeed, IDS_LAB_GODLBOXED_COUNT()))))))</f>
        <v>74892</v>
      </c>
    </row>
    <row r="157">
      <c r="A157" s="558" t="s">
        <v>313</v>
      </c>
      <c r="B157" s="557" t="str">
        <f t="shared" si="1"/>
        <v/>
      </c>
      <c r="C157" s="548">
        <f>VLOOKUP($A157,MS_Labs_Array,2,FALSE)</f>
        <v>0</v>
      </c>
      <c r="D157" s="549">
        <f>VLOOKUP($A157,MS_Labs_Array,4,FALSE)</f>
        <v>30</v>
      </c>
      <c r="E157" s="559" t="str">
        <f t="shared" si="22"/>
        <v>T19 50</v>
      </c>
      <c r="F157" s="550">
        <f t="shared" si="17"/>
        <v>2.745190665</v>
      </c>
      <c r="G157" s="551" t="str">
        <f t="shared" si="3"/>
        <v>2d 17h 53m</v>
      </c>
      <c r="H157" s="547">
        <f t="shared" si="4"/>
        <v>1.99E+17</v>
      </c>
      <c r="I157" s="547">
        <f t="shared" si="5"/>
        <v>3.98E+17</v>
      </c>
      <c r="J157" s="552" t="str">
        <f t="shared" si="6"/>
        <v>199 q</v>
      </c>
      <c r="K157" s="553" t="str">
        <f t="shared" si="7"/>
        <v>6.04 q/h</v>
      </c>
      <c r="L157" s="555">
        <f t="shared" si="8"/>
        <v>237</v>
      </c>
      <c r="M157" s="557" t="str">
        <f t="shared" si="18"/>
        <v>5d 11h 46m</v>
      </c>
      <c r="N157" s="552" t="str">
        <f t="shared" si="10"/>
        <v>398 q</v>
      </c>
      <c r="O157" s="555">
        <f t="shared" si="11"/>
        <v>459</v>
      </c>
      <c r="P157" s="556" t="str">
        <f>VLOOKUP($A157,MS_Labs_Array,3,FALSE)</f>
        <v/>
      </c>
      <c r="Q157" s="557">
        <f>IFERROR(__xludf.DUMMYFUNCTION("LET(
  Labspeed, IF(A157=""Labs Speed"", 1+'Master Sheet'!$BK$5, LAB_SPEED_TOTAL()),
  Match, MATCH(IF(ISNUMBER(SEARCH(""Mastery"",$A157)),""Card Mastery"",$A157),DVT_Laboratory!B$1:V$1,0)-1,
  Offset, INDEX(DVT_Laboratory!B$3:ZZ$102,,Match+1),
  Desired,"&amp;" IF(P157&lt;&gt;"""", P157,D157),
  IFS(
    Desired &gt; D157, ""Desired lvl too high"",
    AND(Desired = D157, OR(C157 = D157, C157 = ""Max"")), ""Max Level"",
    Desired = C157, ""OK Level"",
    Desired &lt; C157, ""Desired lvl too low"",
    TRUE, TO_PURE_NUMB"&amp;"ER(
      SUM(
        XLOOKUP($C157 + 1, SEQUENCE(100, 1, 1, 1), Offset, ""N/F"", 0, 1): 
        XLOOKUP(Desired, SEQUENCE(100, 1, 1, 1), Offset, ""N/F"", 0, 1)
      ) / Labspeed
    ) /
    IF(AND(B157 &lt;&gt; """", $B$1 = ""All""), RIGHT(B157, 3), 1)
  )
"&amp;")"),1276.5364311921162)</f>
        <v>1276.536431</v>
      </c>
      <c r="R157" s="551" t="str">
        <f t="shared" si="12"/>
        <v>1276d 12h 52m</v>
      </c>
      <c r="S157" s="552">
        <f t="array" ref="S157">LET(
  Match, MATCH(IF(ISNUMBER(SEARCH("Mastery",$A157)),"Card Mastery",$A157),DVT_Laboratory!B$1:V$1,0)-1,
  Offset, OFFSET(DVT_Laboratory!C$3,0,Match,100,1),
  Desired, IF(P157&lt;&gt;"", P157,D157),
IF(Desired&gt;D157,"Desired lvl too high",
IF(AND(Desired=D157,OR(C157=D157,C157="Max")),"Max Level",
IF(Desired=C157,"OK Level",
IF(Desired&lt;C157,"Desired lvl too low",
SUM(
XLOOKUP(C157+1,SEQUENCE(100,1,1,1),Offset,"N/F",0,1)
:XLOOKUP(Desired,SEQUENCE(100,1,1,1),Offset,"N/F",0,1))*(1-LAB_COIN_DISCOUNT()))))))</f>
        <v>9.2535E+19</v>
      </c>
      <c r="T157" s="552" t="str">
        <f t="shared" si="13"/>
        <v>92.54 Q</v>
      </c>
      <c r="U157" s="553" t="str">
        <f t="shared" si="14"/>
        <v>3.02 q/h</v>
      </c>
      <c r="V157" s="555">
        <f t="array" ref="V157">LET(
  Labspeed, IF(A157 ="Labs Speed", 1+'Master Sheet'!$BK$5, LAB_SPEED_TOTAL()),
  Match, MATCH(IF(ISNUMBER(SEARCH("Mastery",$A157)),"Card Mastery",$A157),DVT_Laboratory!B$1:V$1,0)-1,
  Offset, OFFSET(DVT_Laboratory!B$3,0,Match,100,1),
  Desired, IF(P157&lt;&gt;"", P157,D157),
IF(Desired&gt;D157,"Desired lvl too high",
IF(AND(Desired=D157,OR(C157=D157,C157="Max")),"Max Level",
IF(Desired&lt;=C157,"Desired lvl too low",
SUM(TIME_TO_RUSH_GEMS(
    XLOOKUP(C157+1, SEQUENCE(100,1,1,1), Offset, "N/F", 0, 1):
    XLOOKUP(Desired, SEQUENCE(100,1,1,1), Offset, "N/F", 0, 1)/Labspeed, IDS_LAB_GODLBOXED_COUNT()))))))</f>
        <v>74892</v>
      </c>
    </row>
    <row r="158">
      <c r="A158" s="558" t="s">
        <v>320</v>
      </c>
      <c r="B158" s="557" t="str">
        <f t="shared" si="1"/>
        <v/>
      </c>
      <c r="C158" s="548">
        <f>VLOOKUP($A158,MS_Labs_Array,2,FALSE)</f>
        <v>0</v>
      </c>
      <c r="D158" s="549">
        <f>VLOOKUP($A158,MS_Labs_Array,4,FALSE)</f>
        <v>30</v>
      </c>
      <c r="E158" s="559" t="str">
        <f t="shared" si="22"/>
        <v>T19 50</v>
      </c>
      <c r="F158" s="550">
        <f t="shared" si="17"/>
        <v>2.745190665</v>
      </c>
      <c r="G158" s="551" t="str">
        <f t="shared" si="3"/>
        <v>2d 17h 53m</v>
      </c>
      <c r="H158" s="547">
        <f t="shared" si="4"/>
        <v>1.99E+17</v>
      </c>
      <c r="I158" s="547">
        <f t="shared" si="5"/>
        <v>3.98E+17</v>
      </c>
      <c r="J158" s="552" t="str">
        <f t="shared" si="6"/>
        <v>199 q</v>
      </c>
      <c r="K158" s="553" t="str">
        <f t="shared" si="7"/>
        <v>6.04 q/h</v>
      </c>
      <c r="L158" s="555">
        <f t="shared" si="8"/>
        <v>237</v>
      </c>
      <c r="M158" s="557" t="str">
        <f t="shared" si="18"/>
        <v>5d 11h 46m</v>
      </c>
      <c r="N158" s="552" t="str">
        <f t="shared" si="10"/>
        <v>398 q</v>
      </c>
      <c r="O158" s="555">
        <f t="shared" si="11"/>
        <v>459</v>
      </c>
      <c r="P158" s="556" t="str">
        <f>VLOOKUP($A158,MS_Labs_Array,3,FALSE)</f>
        <v/>
      </c>
      <c r="Q158" s="557">
        <f>IFERROR(__xludf.DUMMYFUNCTION("LET(
  Labspeed, IF(A158=""Labs Speed"", 1+'Master Sheet'!$BK$5, LAB_SPEED_TOTAL()),
  Match, MATCH(IF(ISNUMBER(SEARCH(""Mastery"",$A158)),""Card Mastery"",$A158),DVT_Laboratory!B$1:V$1,0)-1,
  Offset, INDEX(DVT_Laboratory!B$3:ZZ$102,,Match+1),
  Desired,"&amp;" IF(P158&lt;&gt;"""", P158,D158),
  IFS(
    Desired &gt; D158, ""Desired lvl too high"",
    AND(Desired = D158, OR(C158 = D158, C158 = ""Max"")), ""Max Level"",
    Desired = C158, ""OK Level"",
    Desired &lt; C158, ""Desired lvl too low"",
    TRUE, TO_PURE_NUMB"&amp;"ER(
      SUM(
        XLOOKUP($C158 + 1, SEQUENCE(100, 1, 1, 1), Offset, ""N/F"", 0, 1): 
        XLOOKUP(Desired, SEQUENCE(100, 1, 1, 1), Offset, ""N/F"", 0, 1)
      ) / Labspeed
    ) /
    IF(AND(B158 &lt;&gt; """", $B$1 = ""All""), RIGHT(B158, 3), 1)
  )
"&amp;")"),1276.5364311921162)</f>
        <v>1276.536431</v>
      </c>
      <c r="R158" s="551" t="str">
        <f t="shared" si="12"/>
        <v>1276d 12h 52m</v>
      </c>
      <c r="S158" s="552">
        <f t="array" ref="S158">LET(
  Match, MATCH(IF(ISNUMBER(SEARCH("Mastery",$A158)),"Card Mastery",$A158),DVT_Laboratory!B$1:V$1,0)-1,
  Offset, OFFSET(DVT_Laboratory!C$3,0,Match,100,1),
  Desired, IF(P158&lt;&gt;"", P158,D158),
IF(Desired&gt;D158,"Desired lvl too high",
IF(AND(Desired=D158,OR(C158=D158,C158="Max")),"Max Level",
IF(Desired=C158,"OK Level",
IF(Desired&lt;C158,"Desired lvl too low",
SUM(
XLOOKUP(C158+1,SEQUENCE(100,1,1,1),Offset,"N/F",0,1)
:XLOOKUP(Desired,SEQUENCE(100,1,1,1),Offset,"N/F",0,1))*(1-LAB_COIN_DISCOUNT()))))))</f>
        <v>9.2535E+19</v>
      </c>
      <c r="T158" s="552" t="str">
        <f t="shared" si="13"/>
        <v>92.54 Q</v>
      </c>
      <c r="U158" s="553" t="str">
        <f t="shared" si="14"/>
        <v>3.02 q/h</v>
      </c>
      <c r="V158" s="555">
        <f t="array" ref="V158">LET(
  Labspeed, IF(A158 ="Labs Speed", 1+'Master Sheet'!$BK$5, LAB_SPEED_TOTAL()),
  Match, MATCH(IF(ISNUMBER(SEARCH("Mastery",$A158)),"Card Mastery",$A158),DVT_Laboratory!B$1:V$1,0)-1,
  Offset, OFFSET(DVT_Laboratory!B$3,0,Match,100,1),
  Desired, IF(P158&lt;&gt;"", P158,D158),
IF(Desired&gt;D158,"Desired lvl too high",
IF(AND(Desired=D158,OR(C158=D158,C158="Max")),"Max Level",
IF(Desired&lt;=C158,"Desired lvl too low",
SUM(TIME_TO_RUSH_GEMS(
    XLOOKUP(C158+1, SEQUENCE(100,1,1,1), Offset, "N/F", 0, 1):
    XLOOKUP(Desired, SEQUENCE(100,1,1,1), Offset, "N/F", 0, 1)/Labspeed, IDS_LAB_GODLBOXED_COUNT()))))))</f>
        <v>74892</v>
      </c>
    </row>
    <row r="159">
      <c r="A159" s="558" t="s">
        <v>326</v>
      </c>
      <c r="B159" s="557" t="str">
        <f t="shared" si="1"/>
        <v/>
      </c>
      <c r="C159" s="548">
        <f>VLOOKUP($A159,MS_Labs_Array,2,FALSE)</f>
        <v>0</v>
      </c>
      <c r="D159" s="549">
        <f>VLOOKUP($A159,MS_Labs_Array,4,FALSE)</f>
        <v>30</v>
      </c>
      <c r="E159" s="559" t="str">
        <f t="shared" si="22"/>
        <v>T19 50</v>
      </c>
      <c r="F159" s="550">
        <f t="shared" si="17"/>
        <v>2.745190665</v>
      </c>
      <c r="G159" s="551" t="str">
        <f t="shared" si="3"/>
        <v>2d 17h 53m</v>
      </c>
      <c r="H159" s="547">
        <f t="shared" si="4"/>
        <v>1.99E+17</v>
      </c>
      <c r="I159" s="547">
        <f t="shared" si="5"/>
        <v>3.98E+17</v>
      </c>
      <c r="J159" s="552" t="str">
        <f t="shared" si="6"/>
        <v>199 q</v>
      </c>
      <c r="K159" s="553" t="str">
        <f t="shared" si="7"/>
        <v>6.04 q/h</v>
      </c>
      <c r="L159" s="555">
        <f t="shared" si="8"/>
        <v>237</v>
      </c>
      <c r="M159" s="557" t="str">
        <f t="shared" si="18"/>
        <v>5d 11h 46m</v>
      </c>
      <c r="N159" s="552" t="str">
        <f t="shared" si="10"/>
        <v>398 q</v>
      </c>
      <c r="O159" s="555">
        <f t="shared" si="11"/>
        <v>459</v>
      </c>
      <c r="P159" s="556" t="str">
        <f>VLOOKUP($A159,MS_Labs_Array,3,FALSE)</f>
        <v/>
      </c>
      <c r="Q159" s="557">
        <f>IFERROR(__xludf.DUMMYFUNCTION("LET(
  Labspeed, IF(A159=""Labs Speed"", 1+'Master Sheet'!$BK$5, LAB_SPEED_TOTAL()),
  Match, MATCH(IF(ISNUMBER(SEARCH(""Mastery"",$A159)),""Card Mastery"",$A159),DVT_Laboratory!B$1:V$1,0)-1,
  Offset, INDEX(DVT_Laboratory!B$3:ZZ$102,,Match+1),
  Desired,"&amp;" IF(P159&lt;&gt;"""", P159,D159),
  IFS(
    Desired &gt; D159, ""Desired lvl too high"",
    AND(Desired = D159, OR(C159 = D159, C159 = ""Max"")), ""Max Level"",
    Desired = C159, ""OK Level"",
    Desired &lt; C159, ""Desired lvl too low"",
    TRUE, TO_PURE_NUMB"&amp;"ER(
      SUM(
        XLOOKUP($C159 + 1, SEQUENCE(100, 1, 1, 1), Offset, ""N/F"", 0, 1): 
        XLOOKUP(Desired, SEQUENCE(100, 1, 1, 1), Offset, ""N/F"", 0, 1)
      ) / Labspeed
    ) /
    IF(AND(B159 &lt;&gt; """", $B$1 = ""All""), RIGHT(B159, 3), 1)
  )
"&amp;")"),1276.5364311921162)</f>
        <v>1276.536431</v>
      </c>
      <c r="R159" s="551" t="str">
        <f t="shared" si="12"/>
        <v>1276d 12h 52m</v>
      </c>
      <c r="S159" s="552">
        <f t="array" ref="S159">LET(
  Match, MATCH(IF(ISNUMBER(SEARCH("Mastery",$A159)),"Card Mastery",$A159),DVT_Laboratory!B$1:V$1,0)-1,
  Offset, OFFSET(DVT_Laboratory!C$3,0,Match,100,1),
  Desired, IF(P159&lt;&gt;"", P159,D159),
IF(Desired&gt;D159,"Desired lvl too high",
IF(AND(Desired=D159,OR(C159=D159,C159="Max")),"Max Level",
IF(Desired=C159,"OK Level",
IF(Desired&lt;C159,"Desired lvl too low",
SUM(
XLOOKUP(C159+1,SEQUENCE(100,1,1,1),Offset,"N/F",0,1)
:XLOOKUP(Desired,SEQUENCE(100,1,1,1),Offset,"N/F",0,1))*(1-LAB_COIN_DISCOUNT()))))))</f>
        <v>9.2535E+19</v>
      </c>
      <c r="T159" s="552" t="str">
        <f t="shared" si="13"/>
        <v>92.54 Q</v>
      </c>
      <c r="U159" s="553" t="str">
        <f t="shared" si="14"/>
        <v>3.02 q/h</v>
      </c>
      <c r="V159" s="555">
        <f t="array" ref="V159">LET(
  Labspeed, IF(A159 ="Labs Speed", 1+'Master Sheet'!$BK$5, LAB_SPEED_TOTAL()),
  Match, MATCH(IF(ISNUMBER(SEARCH("Mastery",$A159)),"Card Mastery",$A159),DVT_Laboratory!B$1:V$1,0)-1,
  Offset, OFFSET(DVT_Laboratory!B$3,0,Match,100,1),
  Desired, IF(P159&lt;&gt;"", P159,D159),
IF(Desired&gt;D159,"Desired lvl too high",
IF(AND(Desired=D159,OR(C159=D159,C159="Max")),"Max Level",
IF(Desired&lt;=C159,"Desired lvl too low",
SUM(TIME_TO_RUSH_GEMS(
    XLOOKUP(C159+1, SEQUENCE(100,1,1,1), Offset, "N/F", 0, 1):
    XLOOKUP(Desired, SEQUENCE(100,1,1,1), Offset, "N/F", 0, 1)/Labspeed, IDS_LAB_GODLBOXED_COUNT()))))))</f>
        <v>74892</v>
      </c>
    </row>
    <row r="160">
      <c r="A160" s="558" t="s">
        <v>331</v>
      </c>
      <c r="B160" s="557" t="str">
        <f t="shared" si="1"/>
        <v/>
      </c>
      <c r="C160" s="548">
        <f>VLOOKUP($A160,MS_Labs_Array,2,FALSE)</f>
        <v>0</v>
      </c>
      <c r="D160" s="549">
        <f>VLOOKUP($A160,MS_Labs_Array,4,FALSE)</f>
        <v>30</v>
      </c>
      <c r="E160" s="559" t="str">
        <f t="shared" si="22"/>
        <v>T19 50</v>
      </c>
      <c r="F160" s="550">
        <f t="shared" si="17"/>
        <v>2.745190665</v>
      </c>
      <c r="G160" s="551" t="str">
        <f t="shared" si="3"/>
        <v>2d 17h 53m</v>
      </c>
      <c r="H160" s="547">
        <f t="shared" si="4"/>
        <v>1.99E+17</v>
      </c>
      <c r="I160" s="547">
        <f t="shared" si="5"/>
        <v>3.98E+17</v>
      </c>
      <c r="J160" s="552" t="str">
        <f t="shared" si="6"/>
        <v>199 q</v>
      </c>
      <c r="K160" s="553" t="str">
        <f t="shared" si="7"/>
        <v>6.04 q/h</v>
      </c>
      <c r="L160" s="555">
        <f t="shared" si="8"/>
        <v>237</v>
      </c>
      <c r="M160" s="557" t="str">
        <f t="shared" si="18"/>
        <v>5d 11h 46m</v>
      </c>
      <c r="N160" s="552" t="str">
        <f t="shared" si="10"/>
        <v>398 q</v>
      </c>
      <c r="O160" s="555">
        <f t="shared" si="11"/>
        <v>459</v>
      </c>
      <c r="P160" s="556" t="str">
        <f>VLOOKUP($A160,MS_Labs_Array,3,FALSE)</f>
        <v/>
      </c>
      <c r="Q160" s="557">
        <f>IFERROR(__xludf.DUMMYFUNCTION("LET(
  Labspeed, IF(A160=""Labs Speed"", 1+'Master Sheet'!$BK$5, LAB_SPEED_TOTAL()),
  Match, MATCH(IF(ISNUMBER(SEARCH(""Mastery"",$A160)),""Card Mastery"",$A160),DVT_Laboratory!B$1:V$1,0)-1,
  Offset, INDEX(DVT_Laboratory!B$3:ZZ$102,,Match+1),
  Desired,"&amp;" IF(P160&lt;&gt;"""", P160,D160),
  IFS(
    Desired &gt; D160, ""Desired lvl too high"",
    AND(Desired = D160, OR(C160 = D160, C160 = ""Max"")), ""Max Level"",
    Desired = C160, ""OK Level"",
    Desired &lt; C160, ""Desired lvl too low"",
    TRUE, TO_PURE_NUMB"&amp;"ER(
      SUM(
        XLOOKUP($C160 + 1, SEQUENCE(100, 1, 1, 1), Offset, ""N/F"", 0, 1): 
        XLOOKUP(Desired, SEQUENCE(100, 1, 1, 1), Offset, ""N/F"", 0, 1)
      ) / Labspeed
    ) /
    IF(AND(B160 &lt;&gt; """", $B$1 = ""All""), RIGHT(B160, 3), 1)
  )
"&amp;")"),1276.5364311921162)</f>
        <v>1276.536431</v>
      </c>
      <c r="R160" s="551" t="str">
        <f t="shared" si="12"/>
        <v>1276d 12h 52m</v>
      </c>
      <c r="S160" s="552">
        <f t="array" ref="S160">LET(
  Match, MATCH(IF(ISNUMBER(SEARCH("Mastery",$A160)),"Card Mastery",$A160),DVT_Laboratory!B$1:V$1,0)-1,
  Offset, OFFSET(DVT_Laboratory!C$3,0,Match,100,1),
  Desired, IF(P160&lt;&gt;"", P160,D160),
IF(Desired&gt;D160,"Desired lvl too high",
IF(AND(Desired=D160,OR(C160=D160,C160="Max")),"Max Level",
IF(Desired=C160,"OK Level",
IF(Desired&lt;C160,"Desired lvl too low",
SUM(
XLOOKUP(C160+1,SEQUENCE(100,1,1,1),Offset,"N/F",0,1)
:XLOOKUP(Desired,SEQUENCE(100,1,1,1),Offset,"N/F",0,1))*(1-LAB_COIN_DISCOUNT()))))))</f>
        <v>9.2535E+19</v>
      </c>
      <c r="T160" s="552" t="str">
        <f t="shared" si="13"/>
        <v>92.54 Q</v>
      </c>
      <c r="U160" s="553" t="str">
        <f t="shared" si="14"/>
        <v>3.02 q/h</v>
      </c>
      <c r="V160" s="555">
        <f t="array" ref="V160">LET(
  Labspeed, IF(A160 ="Labs Speed", 1+'Master Sheet'!$BK$5, LAB_SPEED_TOTAL()),
  Match, MATCH(IF(ISNUMBER(SEARCH("Mastery",$A160)),"Card Mastery",$A160),DVT_Laboratory!B$1:V$1,0)-1,
  Offset, OFFSET(DVT_Laboratory!B$3,0,Match,100,1),
  Desired, IF(P160&lt;&gt;"", P160,D160),
IF(Desired&gt;D160,"Desired lvl too high",
IF(AND(Desired=D160,OR(C160=D160,C160="Max")),"Max Level",
IF(Desired&lt;=C160,"Desired lvl too low",
SUM(TIME_TO_RUSH_GEMS(
    XLOOKUP(C160+1, SEQUENCE(100,1,1,1), Offset, "N/F", 0, 1):
    XLOOKUP(Desired, SEQUENCE(100,1,1,1), Offset, "N/F", 0, 1)/Labspeed, IDS_LAB_GODLBOXED_COUNT()))))))</f>
        <v>74892</v>
      </c>
    </row>
    <row r="161">
      <c r="A161" s="558" t="s">
        <v>336</v>
      </c>
      <c r="B161" s="557" t="str">
        <f t="shared" si="1"/>
        <v/>
      </c>
      <c r="C161" s="548">
        <f>VLOOKUP($A161,MS_Labs_Array,2,FALSE)</f>
        <v>0</v>
      </c>
      <c r="D161" s="549">
        <f>VLOOKUP($A161,MS_Labs_Array,4,FALSE)</f>
        <v>30</v>
      </c>
      <c r="E161" s="559" t="str">
        <f t="shared" si="22"/>
        <v>T19 50</v>
      </c>
      <c r="F161" s="550">
        <f t="shared" si="17"/>
        <v>2.745190665</v>
      </c>
      <c r="G161" s="551" t="str">
        <f t="shared" si="3"/>
        <v>2d 17h 53m</v>
      </c>
      <c r="H161" s="547">
        <f t="shared" si="4"/>
        <v>1.99E+17</v>
      </c>
      <c r="I161" s="547">
        <f t="shared" si="5"/>
        <v>3.98E+17</v>
      </c>
      <c r="J161" s="552" t="str">
        <f t="shared" si="6"/>
        <v>199 q</v>
      </c>
      <c r="K161" s="553" t="str">
        <f t="shared" si="7"/>
        <v>6.04 q/h</v>
      </c>
      <c r="L161" s="555">
        <f t="shared" si="8"/>
        <v>237</v>
      </c>
      <c r="M161" s="557" t="str">
        <f t="shared" si="18"/>
        <v>5d 11h 46m</v>
      </c>
      <c r="N161" s="552" t="str">
        <f t="shared" si="10"/>
        <v>398 q</v>
      </c>
      <c r="O161" s="555">
        <f t="shared" si="11"/>
        <v>459</v>
      </c>
      <c r="P161" s="556" t="str">
        <f>VLOOKUP($A161,MS_Labs_Array,3,FALSE)</f>
        <v/>
      </c>
      <c r="Q161" s="557">
        <f>IFERROR(__xludf.DUMMYFUNCTION("LET(
  Labspeed, IF(A161=""Labs Speed"", 1+'Master Sheet'!$BK$5, LAB_SPEED_TOTAL()),
  Match, MATCH(IF(ISNUMBER(SEARCH(""Mastery"",$A161)),""Card Mastery"",$A161),DVT_Laboratory!B$1:V$1,0)-1,
  Offset, INDEX(DVT_Laboratory!B$3:ZZ$102,,Match+1),
  Desired,"&amp;" IF(P161&lt;&gt;"""", P161,D161),
  IFS(
    Desired &gt; D161, ""Desired lvl too high"",
    AND(Desired = D161, OR(C161 = D161, C161 = ""Max"")), ""Max Level"",
    Desired = C161, ""OK Level"",
    Desired &lt; C161, ""Desired lvl too low"",
    TRUE, TO_PURE_NUMB"&amp;"ER(
      SUM(
        XLOOKUP($C161 + 1, SEQUENCE(100, 1, 1, 1), Offset, ""N/F"", 0, 1): 
        XLOOKUP(Desired, SEQUENCE(100, 1, 1, 1), Offset, ""N/F"", 0, 1)
      ) / Labspeed
    ) /
    IF(AND(B161 &lt;&gt; """", $B$1 = ""All""), RIGHT(B161, 3), 1)
  )
"&amp;")"),1276.5364311921162)</f>
        <v>1276.536431</v>
      </c>
      <c r="R161" s="551" t="str">
        <f t="shared" si="12"/>
        <v>1276d 12h 52m</v>
      </c>
      <c r="S161" s="552">
        <f t="array" ref="S161">LET(
  Match, MATCH(IF(ISNUMBER(SEARCH("Mastery",$A161)),"Card Mastery",$A161),DVT_Laboratory!B$1:V$1,0)-1,
  Offset, OFFSET(DVT_Laboratory!C$3,0,Match,100,1),
  Desired, IF(P161&lt;&gt;"", P161,D161),
IF(Desired&gt;D161,"Desired lvl too high",
IF(AND(Desired=D161,OR(C161=D161,C161="Max")),"Max Level",
IF(Desired=C161,"OK Level",
IF(Desired&lt;C161,"Desired lvl too low",
SUM(
XLOOKUP(C161+1,SEQUENCE(100,1,1,1),Offset,"N/F",0,1)
:XLOOKUP(Desired,SEQUENCE(100,1,1,1),Offset,"N/F",0,1))*(1-LAB_COIN_DISCOUNT()))))))</f>
        <v>9.2535E+19</v>
      </c>
      <c r="T161" s="552" t="str">
        <f t="shared" si="13"/>
        <v>92.54 Q</v>
      </c>
      <c r="U161" s="553" t="str">
        <f t="shared" si="14"/>
        <v>3.02 q/h</v>
      </c>
      <c r="V161" s="555">
        <f t="array" ref="V161">LET(
  Labspeed, IF(A161 ="Labs Speed", 1+'Master Sheet'!$BK$5, LAB_SPEED_TOTAL()),
  Match, MATCH(IF(ISNUMBER(SEARCH("Mastery",$A161)),"Card Mastery",$A161),DVT_Laboratory!B$1:V$1,0)-1,
  Offset, OFFSET(DVT_Laboratory!B$3,0,Match,100,1),
  Desired, IF(P161&lt;&gt;"", P161,D161),
IF(Desired&gt;D161,"Desired lvl too high",
IF(AND(Desired=D161,OR(C161=D161,C161="Max")),"Max Level",
IF(Desired&lt;=C161,"Desired lvl too low",
SUM(TIME_TO_RUSH_GEMS(
    XLOOKUP(C161+1, SEQUENCE(100,1,1,1), Offset, "N/F", 0, 1):
    XLOOKUP(Desired, SEQUENCE(100,1,1,1), Offset, "N/F", 0, 1)/Labspeed, IDS_LAB_GODLBOXED_COUNT()))))))</f>
        <v>74892</v>
      </c>
    </row>
    <row r="162">
      <c r="A162" s="558" t="s">
        <v>341</v>
      </c>
      <c r="B162" s="557" t="str">
        <f t="shared" si="1"/>
        <v/>
      </c>
      <c r="C162" s="548">
        <f>VLOOKUP($A162,MS_Labs_Array,2,FALSE)</f>
        <v>0</v>
      </c>
      <c r="D162" s="549">
        <f>VLOOKUP($A162,MS_Labs_Array,4,FALSE)</f>
        <v>30</v>
      </c>
      <c r="E162" s="559" t="str">
        <f t="shared" si="22"/>
        <v>T19 50</v>
      </c>
      <c r="F162" s="550">
        <f t="shared" si="17"/>
        <v>2.745190665</v>
      </c>
      <c r="G162" s="551" t="str">
        <f t="shared" si="3"/>
        <v>2d 17h 53m</v>
      </c>
      <c r="H162" s="547">
        <f t="shared" si="4"/>
        <v>1.99E+17</v>
      </c>
      <c r="I162" s="547">
        <f t="shared" si="5"/>
        <v>3.98E+17</v>
      </c>
      <c r="J162" s="552" t="str">
        <f t="shared" si="6"/>
        <v>199 q</v>
      </c>
      <c r="K162" s="553" t="str">
        <f t="shared" si="7"/>
        <v>6.04 q/h</v>
      </c>
      <c r="L162" s="555">
        <f t="shared" si="8"/>
        <v>237</v>
      </c>
      <c r="M162" s="557" t="str">
        <f t="shared" si="18"/>
        <v>5d 11h 46m</v>
      </c>
      <c r="N162" s="552" t="str">
        <f t="shared" si="10"/>
        <v>398 q</v>
      </c>
      <c r="O162" s="555">
        <f t="shared" si="11"/>
        <v>459</v>
      </c>
      <c r="P162" s="556" t="str">
        <f>VLOOKUP($A162,MS_Labs_Array,3,FALSE)</f>
        <v/>
      </c>
      <c r="Q162" s="557">
        <f>IFERROR(__xludf.DUMMYFUNCTION("LET(
  Labspeed, IF(A162=""Labs Speed"", 1+'Master Sheet'!$BK$5, LAB_SPEED_TOTAL()),
  Match, MATCH(IF(ISNUMBER(SEARCH(""Mastery"",$A162)),""Card Mastery"",$A162),DVT_Laboratory!B$1:V$1,0)-1,
  Offset, INDEX(DVT_Laboratory!B$3:ZZ$102,,Match+1),
  Desired,"&amp;" IF(P162&lt;&gt;"""", P162,D162),
  IFS(
    Desired &gt; D162, ""Desired lvl too high"",
    AND(Desired = D162, OR(C162 = D162, C162 = ""Max"")), ""Max Level"",
    Desired = C162, ""OK Level"",
    Desired &lt; C162, ""Desired lvl too low"",
    TRUE, TO_PURE_NUMB"&amp;"ER(
      SUM(
        XLOOKUP($C162 + 1, SEQUENCE(100, 1, 1, 1), Offset, ""N/F"", 0, 1): 
        XLOOKUP(Desired, SEQUENCE(100, 1, 1, 1), Offset, ""N/F"", 0, 1)
      ) / Labspeed
    ) /
    IF(AND(B162 &lt;&gt; """", $B$1 = ""All""), RIGHT(B162, 3), 1)
  )
"&amp;")"),1276.5364311921162)</f>
        <v>1276.536431</v>
      </c>
      <c r="R162" s="551" t="str">
        <f t="shared" si="12"/>
        <v>1276d 12h 52m</v>
      </c>
      <c r="S162" s="552">
        <f t="array" ref="S162">LET(
  Match, MATCH(IF(ISNUMBER(SEARCH("Mastery",$A162)),"Card Mastery",$A162),DVT_Laboratory!B$1:V$1,0)-1,
  Offset, OFFSET(DVT_Laboratory!C$3,0,Match,100,1),
  Desired, IF(P162&lt;&gt;"", P162,D162),
IF(Desired&gt;D162,"Desired lvl too high",
IF(AND(Desired=D162,OR(C162=D162,C162="Max")),"Max Level",
IF(Desired=C162,"OK Level",
IF(Desired&lt;C162,"Desired lvl too low",
SUM(
XLOOKUP(C162+1,SEQUENCE(100,1,1,1),Offset,"N/F",0,1)
:XLOOKUP(Desired,SEQUENCE(100,1,1,1),Offset,"N/F",0,1))*(1-LAB_COIN_DISCOUNT()))))))</f>
        <v>9.2535E+19</v>
      </c>
      <c r="T162" s="552" t="str">
        <f t="shared" si="13"/>
        <v>92.54 Q</v>
      </c>
      <c r="U162" s="553" t="str">
        <f t="shared" si="14"/>
        <v>3.02 q/h</v>
      </c>
      <c r="V162" s="555">
        <f t="array" ref="V162">LET(
  Labspeed, IF(A162 ="Labs Speed", 1+'Master Sheet'!$BK$5, LAB_SPEED_TOTAL()),
  Match, MATCH(IF(ISNUMBER(SEARCH("Mastery",$A162)),"Card Mastery",$A162),DVT_Laboratory!B$1:V$1,0)-1,
  Offset, OFFSET(DVT_Laboratory!B$3,0,Match,100,1),
  Desired, IF(P162&lt;&gt;"", P162,D162),
IF(Desired&gt;D162,"Desired lvl too high",
IF(AND(Desired=D162,OR(C162=D162,C162="Max")),"Max Level",
IF(Desired&lt;=C162,"Desired lvl too low",
SUM(TIME_TO_RUSH_GEMS(
    XLOOKUP(C162+1, SEQUENCE(100,1,1,1), Offset, "N/F", 0, 1):
    XLOOKUP(Desired, SEQUENCE(100,1,1,1), Offset, "N/F", 0, 1)/Labspeed, IDS_LAB_GODLBOXED_COUNT()))))))</f>
        <v>74892</v>
      </c>
    </row>
    <row r="163">
      <c r="A163" s="560" t="s">
        <v>274</v>
      </c>
      <c r="B163" s="561" t="str">
        <f t="shared" si="1"/>
        <v/>
      </c>
      <c r="C163" s="562">
        <f>VLOOKUP($A163,MS_Labs_Array,2,FALSE)</f>
        <v>0</v>
      </c>
      <c r="D163" s="563">
        <f>VLOOKUP($A163,MS_Labs_Array,4,FALSE)</f>
        <v>9</v>
      </c>
      <c r="E163" s="563" t="str">
        <f t="shared" si="22"/>
        <v>T16 100</v>
      </c>
      <c r="F163" s="564">
        <f t="shared" si="17"/>
        <v>5.295847208</v>
      </c>
      <c r="G163" s="565" t="str">
        <f t="shared" si="3"/>
        <v>5d  7h  6m</v>
      </c>
      <c r="H163" s="566">
        <f t="shared" si="4"/>
        <v>875600000000000</v>
      </c>
      <c r="I163" s="566">
        <f t="shared" si="5"/>
        <v>1.0348E+15</v>
      </c>
      <c r="J163" s="567" t="str">
        <f t="shared" si="6"/>
        <v>875.6 T</v>
      </c>
      <c r="K163" s="568" t="str">
        <f t="shared" si="7"/>
        <v>8.14 T/h</v>
      </c>
      <c r="L163" s="569">
        <f t="shared" ref="L163:L193" si="23">IF(OR($C163=$D163,$C163="Max"),"Max Level",TIME_TO_RUSH_GEMS(LABDURATION_SINGLE_ADJUSTED(IF(ISNUMBER(SEARCH("Mastery",A163)),"Card Mastery",A163),C163+1), IDS_LAB_GODLBOXED_COUNT()))</f>
        <v>444</v>
      </c>
      <c r="M163" s="561" t="str">
        <f t="shared" ref="M163:M193" si="24">IF($C163+1&gt;=$D163,"Max Level",FORMAT_TIME(LABDURATION_SINGLE_ADJUSTED(IF(ISNUMBER(SEARCH("Mastery",A163)),"Card Mastery",A163),C163+2)/IF(AND(B163&lt;&gt;"", $B$1="All"), RIGHT(B163, 3),1)))</f>
        <v>7d 22h 39m</v>
      </c>
      <c r="N163" s="567" t="str">
        <f t="shared" si="10"/>
        <v>1.03 q</v>
      </c>
      <c r="O163" s="569">
        <f t="shared" ref="O163:O193" si="25">IF($C163+1&gt;=$D163,"Max Level",TIME_TO_RUSH_GEMS(LABDURATION_SINGLE_ADJUSTED(IF(ISNUMBER(SEARCH("Mastery",A163)),"Card Mastery",A163),C163+2), IDS_LAB_GODLBOXED_COUNT()))</f>
        <v>643</v>
      </c>
      <c r="P163" s="570" t="str">
        <f>VLOOKUP($A163,MS_Labs_Array,3,FALSE)</f>
        <v/>
      </c>
      <c r="Q163" s="561">
        <f>IFERROR(__xludf.DUMMYFUNCTION("LET(
  Labspeed, IF(A163=""Labs Speed"", 1+'Master Sheet'!$BK$5, LAB_SPEED_TOTAL()),
  Match, MATCH(IF(ISNUMBER(SEARCH(""Mastery"",$A163)),""Card Mastery"",$A163),DVT_Laboratory!B$1:V$1,0)-1,
  Offset, INDEX(DVT_Laboratory!B$3:ZZ$102,,Match+1),
  Desired,"&amp;" IF(P163&lt;&gt;"""", P163,D163),
  IFS(
    Desired &gt; D163, ""Desired lvl too high"",
    AND(Desired = D163, OR(C163 = D163, C163 = ""Max"")), ""Max Level"",
    Desired = C163, ""OK Level"",
    Desired &lt; C163, ""Desired lvl too low"",
    TRUE, TO_PURE_NUMB"&amp;"ER(
      SUM(
        XLOOKUP($C163 + 1, SEQUENCE(100, 1, 1, 1), Offset, ""N/F"", 0, 1): 
        XLOOKUP(Desired, SEQUENCE(100, 1, 1, 1), Offset, ""N/F"", 0, 1)
      ) / Labspeed
    ) /
    IF(AND(B163 &lt;&gt; """", $B$1 = ""All""), RIGHT(B163, 3), 1)
  )
"&amp;")"),142.9878746282315)</f>
        <v>142.9878746</v>
      </c>
      <c r="R163" s="565" t="str">
        <f t="shared" si="12"/>
        <v>142d 23h 42m</v>
      </c>
      <c r="S163" s="567">
        <f t="array" ref="S163">LET(
  Match, MATCH(IF(ISNUMBER(SEARCH("Mastery",$A163)),"Card Mastery",$A163),DVT_Laboratory!B$1:V$1,0)-1,
  Offset, OFFSET(DVT_Laboratory!C$3,0,Match,100,1),
  Desired, IF(P163&lt;&gt;"", P163,D163),
IF(Desired&gt;D163,"Desired lvl too high",
IF(AND(Desired=D163,OR(C163=D163,C163="Max")),"Max Level",
IF(Desired=C163,"OK Level",
IF(Desired&lt;C163,"Desired lvl too low",
SUM(
XLOOKUP(C163+1,SEQUENCE(100,1,1,1),Offset,"N/F",0,1)
:XLOOKUP(Desired,SEQUENCE(100,1,1,1),Offset,"N/F",0,1))*(1-LAB_COIN_DISCOUNT()))))))</f>
        <v>3.98E+16</v>
      </c>
      <c r="T163" s="567" t="str">
        <f t="shared" si="13"/>
        <v>39.8 q</v>
      </c>
      <c r="U163" s="568" t="str">
        <f t="shared" si="14"/>
        <v>11.6 T/h</v>
      </c>
      <c r="V163" s="569">
        <f t="array" ref="V163">LET(
  Match, MATCH(IF(ISNUMBER(SEARCH("Mastery",$A163)),"Card Mastery",$A163),DVT_Laboratory!B$1:V$1,0)-1,
  Offset, OFFSET(DVT_Laboratory!B$3,0,Match,100,1),
  Desired, IF(P163&lt;&gt;"", P163,D163),
IF(Desired&gt;D163,"Desired lvl too high",
IF(AND(Desired=D163,OR(C163=D163,C163="Max")),"Max Level",
IF(Desired&lt;=C163,"Desired lvl too low",
SUM(TIME_TO_RUSH_GEMS(
    XLOOKUP(C163+1, SEQUENCE(100,1,1,1), Offset, "N/F", 0, 1):
    XLOOKUP(Desired, SEQUENCE(100,1,1,1), Offset, "N/F", 0, 1)/LAB_SPEED_TOTAL(
), IDS_LAB_GODLBOXED_COUNT()))))))</f>
        <v>10365</v>
      </c>
    </row>
    <row r="164">
      <c r="A164" s="560" t="s">
        <v>282</v>
      </c>
      <c r="B164" s="561" t="str">
        <f t="shared" si="1"/>
        <v/>
      </c>
      <c r="C164" s="562">
        <f>VLOOKUP($A164,MS_Labs_Array,2,FALSE)</f>
        <v>0</v>
      </c>
      <c r="D164" s="563">
        <f>VLOOKUP($A164,MS_Labs_Array,4,FALSE)</f>
        <v>9</v>
      </c>
      <c r="E164" s="563" t="str">
        <f t="shared" si="22"/>
        <v>T16 100</v>
      </c>
      <c r="F164" s="564">
        <f t="shared" si="17"/>
        <v>5.295847208</v>
      </c>
      <c r="G164" s="565" t="str">
        <f t="shared" si="3"/>
        <v>5d  7h  6m</v>
      </c>
      <c r="H164" s="566">
        <f t="shared" si="4"/>
        <v>875600000000000</v>
      </c>
      <c r="I164" s="566">
        <f t="shared" si="5"/>
        <v>1.0348E+15</v>
      </c>
      <c r="J164" s="567" t="str">
        <f t="shared" si="6"/>
        <v>875.6 T</v>
      </c>
      <c r="K164" s="568" t="str">
        <f t="shared" si="7"/>
        <v>8.14 T/h</v>
      </c>
      <c r="L164" s="569">
        <f t="shared" si="23"/>
        <v>444</v>
      </c>
      <c r="M164" s="561" t="str">
        <f t="shared" si="24"/>
        <v>7d 22h 39m</v>
      </c>
      <c r="N164" s="567" t="str">
        <f t="shared" si="10"/>
        <v>1.03 q</v>
      </c>
      <c r="O164" s="569">
        <f t="shared" si="25"/>
        <v>643</v>
      </c>
      <c r="P164" s="570" t="str">
        <f>VLOOKUP($A164,MS_Labs_Array,3,FALSE)</f>
        <v/>
      </c>
      <c r="Q164" s="561">
        <f>IFERROR(__xludf.DUMMYFUNCTION("LET(
  Labspeed, IF(A164=""Labs Speed"", 1+'Master Sheet'!$BK$5, LAB_SPEED_TOTAL()),
  Match, MATCH(IF(ISNUMBER(SEARCH(""Mastery"",$A164)),""Card Mastery"",$A164),DVT_Laboratory!B$1:V$1,0)-1,
  Offset, INDEX(DVT_Laboratory!B$3:ZZ$102,,Match+1),
  Desired,"&amp;" IF(P164&lt;&gt;"""", P164,D164),
  IFS(
    Desired &gt; D164, ""Desired lvl too high"",
    AND(Desired = D164, OR(C164 = D164, C164 = ""Max"")), ""Max Level"",
    Desired = C164, ""OK Level"",
    Desired &lt; C164, ""Desired lvl too low"",
    TRUE, TO_PURE_NUMB"&amp;"ER(
      SUM(
        XLOOKUP($C164 + 1, SEQUENCE(100, 1, 1, 1), Offset, ""N/F"", 0, 1): 
        XLOOKUP(Desired, SEQUENCE(100, 1, 1, 1), Offset, ""N/F"", 0, 1)
      ) / Labspeed
    ) /
    IF(AND(B164 &lt;&gt; """", $B$1 = ""All""), RIGHT(B164, 3), 1)
  )
"&amp;")"),142.9878746282315)</f>
        <v>142.9878746</v>
      </c>
      <c r="R164" s="565" t="str">
        <f t="shared" si="12"/>
        <v>142d 23h 42m</v>
      </c>
      <c r="S164" s="567">
        <f t="array" ref="S164">LET(
  Match, MATCH(IF(ISNUMBER(SEARCH("Mastery",$A164)),"Card Mastery",$A164),DVT_Laboratory!B$1:V$1,0)-1,
  Offset, OFFSET(DVT_Laboratory!C$3,0,Match,100,1),
  Desired, IF(P164&lt;&gt;"", P164,D164),
IF(Desired&gt;D164,"Desired lvl too high",
IF(AND(Desired=D164,OR(C164=D164,C164="Max")),"Max Level",
IF(Desired=C164,"OK Level",
IF(Desired&lt;C164,"Desired lvl too low",
SUM(
XLOOKUP(C164+1,SEQUENCE(100,1,1,1),Offset,"N/F",0,1)
:XLOOKUP(Desired,SEQUENCE(100,1,1,1),Offset,"N/F",0,1))*(1-LAB_COIN_DISCOUNT()))))))</f>
        <v>3.98E+16</v>
      </c>
      <c r="T164" s="567" t="str">
        <f t="shared" si="13"/>
        <v>39.8 q</v>
      </c>
      <c r="U164" s="568" t="str">
        <f t="shared" si="14"/>
        <v>11.6 T/h</v>
      </c>
      <c r="V164" s="569">
        <f t="array" ref="V164">LET(
  Match, MATCH(IF(ISNUMBER(SEARCH("Mastery",$A164)),"Card Mastery",$A164),DVT_Laboratory!B$1:V$1,0)-1,
  Offset, OFFSET(DVT_Laboratory!B$3,0,Match,100,1),
  Desired, IF(P164&lt;&gt;"", P164,D164),
IF(Desired&gt;D164,"Desired lvl too high",
IF(AND(Desired=D164,OR(C164=D164,C164="Max")),"Max Level",
IF(Desired&lt;=C164,"Desired lvl too low",
SUM(TIME_TO_RUSH_GEMS(
    XLOOKUP(C164+1, SEQUENCE(100,1,1,1), Offset, "N/F", 0, 1):
    XLOOKUP(Desired, SEQUENCE(100,1,1,1), Offset, "N/F", 0, 1)/LAB_SPEED_TOTAL(
), IDS_LAB_GODLBOXED_COUNT()))))))</f>
        <v>10365</v>
      </c>
    </row>
    <row r="165">
      <c r="A165" s="560" t="s">
        <v>290</v>
      </c>
      <c r="B165" s="561" t="str">
        <f t="shared" si="1"/>
        <v/>
      </c>
      <c r="C165" s="562">
        <f>VLOOKUP($A165,MS_Labs_Array,2,FALSE)</f>
        <v>0</v>
      </c>
      <c r="D165" s="563">
        <f>VLOOKUP($A165,MS_Labs_Array,4,FALSE)</f>
        <v>9</v>
      </c>
      <c r="E165" s="563" t="str">
        <f t="shared" si="22"/>
        <v>T16 100</v>
      </c>
      <c r="F165" s="564">
        <f t="shared" si="17"/>
        <v>5.295847208</v>
      </c>
      <c r="G165" s="565" t="str">
        <f t="shared" si="3"/>
        <v>5d  7h  6m</v>
      </c>
      <c r="H165" s="566">
        <f t="shared" si="4"/>
        <v>875600000000000</v>
      </c>
      <c r="I165" s="566">
        <f t="shared" si="5"/>
        <v>1.0348E+15</v>
      </c>
      <c r="J165" s="567" t="str">
        <f t="shared" si="6"/>
        <v>875.6 T</v>
      </c>
      <c r="K165" s="568" t="str">
        <f t="shared" si="7"/>
        <v>8.14 T/h</v>
      </c>
      <c r="L165" s="569">
        <f t="shared" si="23"/>
        <v>444</v>
      </c>
      <c r="M165" s="561" t="str">
        <f t="shared" si="24"/>
        <v>7d 22h 39m</v>
      </c>
      <c r="N165" s="567" t="str">
        <f t="shared" si="10"/>
        <v>1.03 q</v>
      </c>
      <c r="O165" s="569">
        <f t="shared" si="25"/>
        <v>643</v>
      </c>
      <c r="P165" s="570" t="str">
        <f>VLOOKUP($A165,MS_Labs_Array,3,FALSE)</f>
        <v/>
      </c>
      <c r="Q165" s="561">
        <f>IFERROR(__xludf.DUMMYFUNCTION("LET(
  Labspeed, IF(A165=""Labs Speed"", 1+'Master Sheet'!$BK$5, LAB_SPEED_TOTAL()),
  Match, MATCH(IF(ISNUMBER(SEARCH(""Mastery"",$A165)),""Card Mastery"",$A165),DVT_Laboratory!B$1:V$1,0)-1,
  Offset, INDEX(DVT_Laboratory!B$3:ZZ$102,,Match+1),
  Desired,"&amp;" IF(P165&lt;&gt;"""", P165,D165),
  IFS(
    Desired &gt; D165, ""Desired lvl too high"",
    AND(Desired = D165, OR(C165 = D165, C165 = ""Max"")), ""Max Level"",
    Desired = C165, ""OK Level"",
    Desired &lt; C165, ""Desired lvl too low"",
    TRUE, TO_PURE_NUMB"&amp;"ER(
      SUM(
        XLOOKUP($C165 + 1, SEQUENCE(100, 1, 1, 1), Offset, ""N/F"", 0, 1): 
        XLOOKUP(Desired, SEQUENCE(100, 1, 1, 1), Offset, ""N/F"", 0, 1)
      ) / Labspeed
    ) /
    IF(AND(B165 &lt;&gt; """", $B$1 = ""All""), RIGHT(B165, 3), 1)
  )
"&amp;")"),142.9878746282315)</f>
        <v>142.9878746</v>
      </c>
      <c r="R165" s="565" t="str">
        <f t="shared" si="12"/>
        <v>142d 23h 42m</v>
      </c>
      <c r="S165" s="567">
        <f t="array" ref="S165">LET(
  Match, MATCH(IF(ISNUMBER(SEARCH("Mastery",$A165)),"Card Mastery",$A165),DVT_Laboratory!B$1:V$1,0)-1,
  Offset, OFFSET(DVT_Laboratory!C$3,0,Match,100,1),
  Desired, IF(P165&lt;&gt;"", P165,D165),
IF(Desired&gt;D165,"Desired lvl too high",
IF(AND(Desired=D165,OR(C165=D165,C165="Max")),"Max Level",
IF(Desired=C165,"OK Level",
IF(Desired&lt;C165,"Desired lvl too low",
SUM(
XLOOKUP(C165+1,SEQUENCE(100,1,1,1),Offset,"N/F",0,1)
:XLOOKUP(Desired,SEQUENCE(100,1,1,1),Offset,"N/F",0,1))*(1-LAB_COIN_DISCOUNT()))))))</f>
        <v>3.98E+16</v>
      </c>
      <c r="T165" s="567" t="str">
        <f t="shared" si="13"/>
        <v>39.8 q</v>
      </c>
      <c r="U165" s="568" t="str">
        <f t="shared" si="14"/>
        <v>11.6 T/h</v>
      </c>
      <c r="V165" s="569">
        <f t="array" ref="V165">LET(
  Match, MATCH(IF(ISNUMBER(SEARCH("Mastery",$A165)),"Card Mastery",$A165),DVT_Laboratory!B$1:V$1,0)-1,
  Offset, OFFSET(DVT_Laboratory!B$3,0,Match,100,1),
  Desired, IF(P165&lt;&gt;"", P165,D165),
IF(Desired&gt;D165,"Desired lvl too high",
IF(AND(Desired=D165,OR(C165=D165,C165="Max")),"Max Level",
IF(Desired&lt;=C165,"Desired lvl too low",
SUM(TIME_TO_RUSH_GEMS(
    XLOOKUP(C165+1, SEQUENCE(100,1,1,1), Offset, "N/F", 0, 1):
    XLOOKUP(Desired, SEQUENCE(100,1,1,1), Offset, "N/F", 0, 1)/LAB_SPEED_TOTAL(
), IDS_LAB_GODLBOXED_COUNT()))))))</f>
        <v>10365</v>
      </c>
    </row>
    <row r="166">
      <c r="A166" s="560" t="s">
        <v>297</v>
      </c>
      <c r="B166" s="561" t="str">
        <f t="shared" si="1"/>
        <v/>
      </c>
      <c r="C166" s="562">
        <f>VLOOKUP($A166,MS_Labs_Array,2,FALSE)</f>
        <v>0</v>
      </c>
      <c r="D166" s="563">
        <f>VLOOKUP($A166,MS_Labs_Array,4,FALSE)</f>
        <v>9</v>
      </c>
      <c r="E166" s="563" t="str">
        <f t="shared" si="22"/>
        <v>T16 100</v>
      </c>
      <c r="F166" s="564">
        <f t="shared" si="17"/>
        <v>5.295847208</v>
      </c>
      <c r="G166" s="565" t="str">
        <f t="shared" si="3"/>
        <v>5d  7h  6m</v>
      </c>
      <c r="H166" s="566">
        <f t="shared" si="4"/>
        <v>875600000000000</v>
      </c>
      <c r="I166" s="566">
        <f t="shared" si="5"/>
        <v>1.0348E+15</v>
      </c>
      <c r="J166" s="567" t="str">
        <f t="shared" si="6"/>
        <v>875.6 T</v>
      </c>
      <c r="K166" s="568" t="str">
        <f t="shared" si="7"/>
        <v>8.14 T/h</v>
      </c>
      <c r="L166" s="569">
        <f t="shared" si="23"/>
        <v>444</v>
      </c>
      <c r="M166" s="561" t="str">
        <f t="shared" si="24"/>
        <v>7d 22h 39m</v>
      </c>
      <c r="N166" s="567" t="str">
        <f t="shared" si="10"/>
        <v>1.03 q</v>
      </c>
      <c r="O166" s="569">
        <f t="shared" si="25"/>
        <v>643</v>
      </c>
      <c r="P166" s="570" t="str">
        <f>VLOOKUP($A166,MS_Labs_Array,3,FALSE)</f>
        <v/>
      </c>
      <c r="Q166" s="561">
        <f>IFERROR(__xludf.DUMMYFUNCTION("LET(
  Labspeed, IF(A166=""Labs Speed"", 1+'Master Sheet'!$BK$5, LAB_SPEED_TOTAL()),
  Match, MATCH(IF(ISNUMBER(SEARCH(""Mastery"",$A166)),""Card Mastery"",$A166),DVT_Laboratory!B$1:V$1,0)-1,
  Offset, INDEX(DVT_Laboratory!B$3:ZZ$102,,Match+1),
  Desired,"&amp;" IF(P166&lt;&gt;"""", P166,D166),
  IFS(
    Desired &gt; D166, ""Desired lvl too high"",
    AND(Desired = D166, OR(C166 = D166, C166 = ""Max"")), ""Max Level"",
    Desired = C166, ""OK Level"",
    Desired &lt; C166, ""Desired lvl too low"",
    TRUE, TO_PURE_NUMB"&amp;"ER(
      SUM(
        XLOOKUP($C166 + 1, SEQUENCE(100, 1, 1, 1), Offset, ""N/F"", 0, 1): 
        XLOOKUP(Desired, SEQUENCE(100, 1, 1, 1), Offset, ""N/F"", 0, 1)
      ) / Labspeed
    ) /
    IF(AND(B166 &lt;&gt; """", $B$1 = ""All""), RIGHT(B166, 3), 1)
  )
"&amp;")"),142.9878746282315)</f>
        <v>142.9878746</v>
      </c>
      <c r="R166" s="565" t="str">
        <f t="shared" si="12"/>
        <v>142d 23h 42m</v>
      </c>
      <c r="S166" s="567">
        <f t="array" ref="S166">LET(
  Match, MATCH(IF(ISNUMBER(SEARCH("Mastery",$A166)),"Card Mastery",$A166),DVT_Laboratory!B$1:V$1,0)-1,
  Offset, OFFSET(DVT_Laboratory!C$3,0,Match,100,1),
  Desired, IF(P166&lt;&gt;"", P166,D166),
IF(Desired&gt;D166,"Desired lvl too high",
IF(AND(Desired=D166,OR(C166=D166,C166="Max")),"Max Level",
IF(Desired=C166,"OK Level",
IF(Desired&lt;C166,"Desired lvl too low",
SUM(
XLOOKUP(C166+1,SEQUENCE(100,1,1,1),Offset,"N/F",0,1)
:XLOOKUP(Desired,SEQUENCE(100,1,1,1),Offset,"N/F",0,1))*(1-LAB_COIN_DISCOUNT()))))))</f>
        <v>3.98E+16</v>
      </c>
      <c r="T166" s="567" t="str">
        <f t="shared" si="13"/>
        <v>39.8 q</v>
      </c>
      <c r="U166" s="568" t="str">
        <f t="shared" si="14"/>
        <v>11.6 T/h</v>
      </c>
      <c r="V166" s="569">
        <f t="array" ref="V166">LET(
  Match, MATCH(IF(ISNUMBER(SEARCH("Mastery",$A166)),"Card Mastery",$A166),DVT_Laboratory!B$1:V$1,0)-1,
  Offset, OFFSET(DVT_Laboratory!B$3,0,Match,100,1),
  Desired, IF(P166&lt;&gt;"", P166,D166),
IF(Desired&gt;D166,"Desired lvl too high",
IF(AND(Desired=D166,OR(C166=D166,C166="Max")),"Max Level",
IF(Desired&lt;=C166,"Desired lvl too low",
SUM(TIME_TO_RUSH_GEMS(
    XLOOKUP(C166+1, SEQUENCE(100,1,1,1), Offset, "N/F", 0, 1):
    XLOOKUP(Desired, SEQUENCE(100,1,1,1), Offset, "N/F", 0, 1)/LAB_SPEED_TOTAL(
), IDS_LAB_GODLBOXED_COUNT()))))))</f>
        <v>10365</v>
      </c>
    </row>
    <row r="167">
      <c r="A167" s="560" t="s">
        <v>304</v>
      </c>
      <c r="B167" s="561" t="str">
        <f t="shared" si="1"/>
        <v/>
      </c>
      <c r="C167" s="562">
        <f>VLOOKUP($A167,MS_Labs_Array,2,FALSE)</f>
        <v>0</v>
      </c>
      <c r="D167" s="563">
        <f>VLOOKUP($A167,MS_Labs_Array,4,FALSE)</f>
        <v>9</v>
      </c>
      <c r="E167" s="563" t="str">
        <f t="shared" si="22"/>
        <v>T16 100</v>
      </c>
      <c r="F167" s="564">
        <f t="shared" si="17"/>
        <v>5.295847208</v>
      </c>
      <c r="G167" s="565" t="str">
        <f t="shared" si="3"/>
        <v>5d  7h  6m</v>
      </c>
      <c r="H167" s="566">
        <f t="shared" si="4"/>
        <v>875600000000000</v>
      </c>
      <c r="I167" s="566">
        <f t="shared" si="5"/>
        <v>1.0348E+15</v>
      </c>
      <c r="J167" s="567" t="str">
        <f t="shared" si="6"/>
        <v>875.6 T</v>
      </c>
      <c r="K167" s="568" t="str">
        <f t="shared" si="7"/>
        <v>8.14 T/h</v>
      </c>
      <c r="L167" s="569">
        <f t="shared" si="23"/>
        <v>444</v>
      </c>
      <c r="M167" s="561" t="str">
        <f t="shared" si="24"/>
        <v>7d 22h 39m</v>
      </c>
      <c r="N167" s="567" t="str">
        <f t="shared" si="10"/>
        <v>1.03 q</v>
      </c>
      <c r="O167" s="569">
        <f t="shared" si="25"/>
        <v>643</v>
      </c>
      <c r="P167" s="570" t="str">
        <f>VLOOKUP($A167,MS_Labs_Array,3,FALSE)</f>
        <v/>
      </c>
      <c r="Q167" s="561">
        <f>IFERROR(__xludf.DUMMYFUNCTION("LET(
  Labspeed, IF(A167=""Labs Speed"", 1+'Master Sheet'!$BK$5, LAB_SPEED_TOTAL()),
  Match, MATCH(IF(ISNUMBER(SEARCH(""Mastery"",$A167)),""Card Mastery"",$A167),DVT_Laboratory!B$1:V$1,0)-1,
  Offset, INDEX(DVT_Laboratory!B$3:ZZ$102,,Match+1),
  Desired,"&amp;" IF(P167&lt;&gt;"""", P167,D167),
  IFS(
    Desired &gt; D167, ""Desired lvl too high"",
    AND(Desired = D167, OR(C167 = D167, C167 = ""Max"")), ""Max Level"",
    Desired = C167, ""OK Level"",
    Desired &lt; C167, ""Desired lvl too low"",
    TRUE, TO_PURE_NUMB"&amp;"ER(
      SUM(
        XLOOKUP($C167 + 1, SEQUENCE(100, 1, 1, 1), Offset, ""N/F"", 0, 1): 
        XLOOKUP(Desired, SEQUENCE(100, 1, 1, 1), Offset, ""N/F"", 0, 1)
      ) / Labspeed
    ) /
    IF(AND(B167 &lt;&gt; """", $B$1 = ""All""), RIGHT(B167, 3), 1)
  )
"&amp;")"),142.9878746282315)</f>
        <v>142.9878746</v>
      </c>
      <c r="R167" s="565" t="str">
        <f t="shared" si="12"/>
        <v>142d 23h 42m</v>
      </c>
      <c r="S167" s="567">
        <f t="array" ref="S167">LET(
  Match, MATCH(IF(ISNUMBER(SEARCH("Mastery",$A167)),"Card Mastery",$A167),DVT_Laboratory!B$1:V$1,0)-1,
  Offset, OFFSET(DVT_Laboratory!C$3,0,Match,100,1),
  Desired, IF(P167&lt;&gt;"", P167,D167),
IF(Desired&gt;D167,"Desired lvl too high",
IF(AND(Desired=D167,OR(C167=D167,C167="Max")),"Max Level",
IF(Desired=C167,"OK Level",
IF(Desired&lt;C167,"Desired lvl too low",
SUM(
XLOOKUP(C167+1,SEQUENCE(100,1,1,1),Offset,"N/F",0,1)
:XLOOKUP(Desired,SEQUENCE(100,1,1,1),Offset,"N/F",0,1))*(1-LAB_COIN_DISCOUNT()))))))</f>
        <v>3.98E+16</v>
      </c>
      <c r="T167" s="567" t="str">
        <f t="shared" si="13"/>
        <v>39.8 q</v>
      </c>
      <c r="U167" s="568" t="str">
        <f t="shared" si="14"/>
        <v>11.6 T/h</v>
      </c>
      <c r="V167" s="569">
        <f t="array" ref="V167">LET(
  Match, MATCH(IF(ISNUMBER(SEARCH("Mastery",$A167)),"Card Mastery",$A167),DVT_Laboratory!B$1:V$1,0)-1,
  Offset, OFFSET(DVT_Laboratory!B$3,0,Match,100,1),
  Desired, IF(P167&lt;&gt;"", P167,D167),
IF(Desired&gt;D167,"Desired lvl too high",
IF(AND(Desired=D167,OR(C167=D167,C167="Max")),"Max Level",
IF(Desired&lt;=C167,"Desired lvl too low",
SUM(TIME_TO_RUSH_GEMS(
    XLOOKUP(C167+1, SEQUENCE(100,1,1,1), Offset, "N/F", 0, 1):
    XLOOKUP(Desired, SEQUENCE(100,1,1,1), Offset, "N/F", 0, 1)/LAB_SPEED_TOTAL(
), IDS_LAB_GODLBOXED_COUNT()))))))</f>
        <v>10365</v>
      </c>
    </row>
    <row r="168">
      <c r="A168" s="560" t="s">
        <v>311</v>
      </c>
      <c r="B168" s="561" t="str">
        <f t="shared" si="1"/>
        <v/>
      </c>
      <c r="C168" s="562">
        <f>VLOOKUP($A168,MS_Labs_Array,2,FALSE)</f>
        <v>1</v>
      </c>
      <c r="D168" s="563">
        <f>VLOOKUP($A168,MS_Labs_Array,4,FALSE)</f>
        <v>9</v>
      </c>
      <c r="E168" s="563" t="str">
        <f t="shared" si="22"/>
        <v>T16 100</v>
      </c>
      <c r="F168" s="564">
        <f t="shared" si="17"/>
        <v>7.943770813</v>
      </c>
      <c r="G168" s="565" t="str">
        <f t="shared" si="3"/>
        <v>7d 22h 39m</v>
      </c>
      <c r="H168" s="566">
        <f t="shared" si="4"/>
        <v>1.0348E+15</v>
      </c>
      <c r="I168" s="566">
        <f t="shared" si="5"/>
        <v>1.592E+15</v>
      </c>
      <c r="J168" s="567" t="str">
        <f t="shared" si="6"/>
        <v>1.03 q</v>
      </c>
      <c r="K168" s="568" t="str">
        <f t="shared" si="7"/>
        <v>8.35 T/h</v>
      </c>
      <c r="L168" s="569">
        <f t="shared" si="23"/>
        <v>643</v>
      </c>
      <c r="M168" s="561" t="str">
        <f t="shared" si="24"/>
        <v>10d 14h 12m</v>
      </c>
      <c r="N168" s="567" t="str">
        <f t="shared" si="10"/>
        <v>1.59 q</v>
      </c>
      <c r="O168" s="569">
        <f t="shared" si="25"/>
        <v>813</v>
      </c>
      <c r="P168" s="570" t="str">
        <f>VLOOKUP($A168,MS_Labs_Array,3,FALSE)</f>
        <v/>
      </c>
      <c r="Q168" s="561">
        <f>IFERROR(__xludf.DUMMYFUNCTION("LET(
  Labspeed, IF(A168=""Labs Speed"", 1+'Master Sheet'!$BK$5, LAB_SPEED_TOTAL()),
  Match, MATCH(IF(ISNUMBER(SEARCH(""Mastery"",$A168)),""Card Mastery"",$A168),DVT_Laboratory!B$1:V$1,0)-1,
  Offset, INDEX(DVT_Laboratory!B$3:ZZ$102,,Match+1),
  Desired,"&amp;" IF(P168&lt;&gt;"""", P168,D168),
  IFS(
    Desired &gt; D168, ""Desired lvl too high"",
    AND(Desired = D168, OR(C168 = D168, C168 = ""Max"")), ""Max Level"",
    Desired = C168, ""OK Level"",
    Desired &lt; C168, ""Desired lvl too low"",
    TRUE, TO_PURE_NUMB"&amp;"ER(
      SUM(
        XLOOKUP($C168 + 1, SEQUENCE(100, 1, 1, 1), Offset, ""N/F"", 0, 1): 
        XLOOKUP(Desired, SEQUENCE(100, 1, 1, 1), Offset, ""N/F"", 0, 1)
      ) / Labspeed
    ) /
    IF(AND(B168 &lt;&gt; """", $B$1 = ""All""), RIGHT(B168, 3), 1)
  )
"&amp;")"),137.69202741977847)</f>
        <v>137.6920274</v>
      </c>
      <c r="R168" s="565" t="str">
        <f t="shared" si="12"/>
        <v>137d 16h 36m</v>
      </c>
      <c r="S168" s="567">
        <f t="array" ref="S168">LET(
  Match, MATCH(IF(ISNUMBER(SEARCH("Mastery",$A168)),"Card Mastery",$A168),DVT_Laboratory!B$1:V$1,0)-1,
  Offset, OFFSET(DVT_Laboratory!C$3,0,Match,100,1),
  Desired, IF(P168&lt;&gt;"", P168,D168),
IF(Desired&gt;D168,"Desired lvl too high",
IF(AND(Desired=D168,OR(C168=D168,C168="Max")),"Max Level",
IF(Desired=C168,"OK Level",
IF(Desired&lt;C168,"Desired lvl too low",
SUM(
XLOOKUP(C168+1,SEQUENCE(100,1,1,1),Offset,"N/F",0,1)
:XLOOKUP(Desired,SEQUENCE(100,1,1,1),Offset,"N/F",0,1))*(1-LAB_COIN_DISCOUNT()))))))</f>
        <v>3.89244E+16</v>
      </c>
      <c r="T168" s="567" t="str">
        <f t="shared" si="13"/>
        <v>38.92 q</v>
      </c>
      <c r="U168" s="568" t="str">
        <f t="shared" si="14"/>
        <v>11.78 T/h</v>
      </c>
      <c r="V168" s="569">
        <f t="array" ref="V168">LET(
  Match, MATCH(IF(ISNUMBER(SEARCH("Mastery",$A168)),"Card Mastery",$A168),DVT_Laboratory!B$1:V$1,0)-1,
  Offset, OFFSET(DVT_Laboratory!B$3,0,Match,100,1),
  Desired, IF(P168&lt;&gt;"", P168,D168),
IF(Desired&gt;D168,"Desired lvl too high",
IF(AND(Desired=D168,OR(C168=D168,C168="Max")),"Max Level",
IF(Desired&lt;=C168,"Desired lvl too low",
SUM(TIME_TO_RUSH_GEMS(
    XLOOKUP(C168+1, SEQUENCE(100,1,1,1), Offset, "N/F", 0, 1):
    XLOOKUP(Desired, SEQUENCE(100,1,1,1), Offset, "N/F", 0, 1)/LAB_SPEED_TOTAL(
), IDS_LAB_GODLBOXED_COUNT()))))))</f>
        <v>9921</v>
      </c>
    </row>
    <row r="169">
      <c r="A169" s="560" t="s">
        <v>318</v>
      </c>
      <c r="B169" s="561" t="str">
        <f t="shared" si="1"/>
        <v/>
      </c>
      <c r="C169" s="562">
        <f>VLOOKUP($A169,MS_Labs_Array,2,FALSE)</f>
        <v>0</v>
      </c>
      <c r="D169" s="563">
        <f>VLOOKUP($A169,MS_Labs_Array,4,FALSE)</f>
        <v>9</v>
      </c>
      <c r="E169" s="563" t="str">
        <f t="shared" si="22"/>
        <v>T16 100</v>
      </c>
      <c r="F169" s="564">
        <f t="shared" si="17"/>
        <v>5.295847208</v>
      </c>
      <c r="G169" s="565" t="str">
        <f t="shared" si="3"/>
        <v>5d  7h  6m</v>
      </c>
      <c r="H169" s="566">
        <f t="shared" si="4"/>
        <v>875600000000000</v>
      </c>
      <c r="I169" s="566">
        <f t="shared" si="5"/>
        <v>1.0348E+15</v>
      </c>
      <c r="J169" s="567" t="str">
        <f t="shared" si="6"/>
        <v>875.6 T</v>
      </c>
      <c r="K169" s="568" t="str">
        <f t="shared" si="7"/>
        <v>8.14 T/h</v>
      </c>
      <c r="L169" s="569">
        <f t="shared" si="23"/>
        <v>444</v>
      </c>
      <c r="M169" s="561" t="str">
        <f t="shared" si="24"/>
        <v>7d 22h 39m</v>
      </c>
      <c r="N169" s="567" t="str">
        <f t="shared" si="10"/>
        <v>1.03 q</v>
      </c>
      <c r="O169" s="569">
        <f t="shared" si="25"/>
        <v>643</v>
      </c>
      <c r="P169" s="570" t="str">
        <f>VLOOKUP($A169,MS_Labs_Array,3,FALSE)</f>
        <v/>
      </c>
      <c r="Q169" s="561">
        <f>IFERROR(__xludf.DUMMYFUNCTION("LET(
  Labspeed, IF(A169=""Labs Speed"", 1+'Master Sheet'!$BK$5, LAB_SPEED_TOTAL()),
  Match, MATCH(IF(ISNUMBER(SEARCH(""Mastery"",$A169)),""Card Mastery"",$A169),DVT_Laboratory!B$1:V$1,0)-1,
  Offset, INDEX(DVT_Laboratory!B$3:ZZ$102,,Match+1),
  Desired,"&amp;" IF(P169&lt;&gt;"""", P169,D169),
  IFS(
    Desired &gt; D169, ""Desired lvl too high"",
    AND(Desired = D169, OR(C169 = D169, C169 = ""Max"")), ""Max Level"",
    Desired = C169, ""OK Level"",
    Desired &lt; C169, ""Desired lvl too low"",
    TRUE, TO_PURE_NUMB"&amp;"ER(
      SUM(
        XLOOKUP($C169 + 1, SEQUENCE(100, 1, 1, 1), Offset, ""N/F"", 0, 1): 
        XLOOKUP(Desired, SEQUENCE(100, 1, 1, 1), Offset, ""N/F"", 0, 1)
      ) / Labspeed
    ) /
    IF(AND(B169 &lt;&gt; """", $B$1 = ""All""), RIGHT(B169, 3), 1)
  )
"&amp;")"),142.9878746282315)</f>
        <v>142.9878746</v>
      </c>
      <c r="R169" s="565" t="str">
        <f t="shared" si="12"/>
        <v>142d 23h 42m</v>
      </c>
      <c r="S169" s="567">
        <f t="array" ref="S169">LET(
  Match, MATCH(IF(ISNUMBER(SEARCH("Mastery",$A169)),"Card Mastery",$A169),DVT_Laboratory!B$1:V$1,0)-1,
  Offset, OFFSET(DVT_Laboratory!C$3,0,Match,100,1),
  Desired, IF(P169&lt;&gt;"", P169,D169),
IF(Desired&gt;D169,"Desired lvl too high",
IF(AND(Desired=D169,OR(C169=D169,C169="Max")),"Max Level",
IF(Desired=C169,"OK Level",
IF(Desired&lt;C169,"Desired lvl too low",
SUM(
XLOOKUP(C169+1,SEQUENCE(100,1,1,1),Offset,"N/F",0,1)
:XLOOKUP(Desired,SEQUENCE(100,1,1,1),Offset,"N/F",0,1))*(1-LAB_COIN_DISCOUNT()))))))</f>
        <v>3.98E+16</v>
      </c>
      <c r="T169" s="567" t="str">
        <f t="shared" si="13"/>
        <v>39.8 q</v>
      </c>
      <c r="U169" s="568" t="str">
        <f t="shared" si="14"/>
        <v>11.6 T/h</v>
      </c>
      <c r="V169" s="569">
        <f t="array" ref="V169">LET(
  Match, MATCH(IF(ISNUMBER(SEARCH("Mastery",$A169)),"Card Mastery",$A169),DVT_Laboratory!B$1:V$1,0)-1,
  Offset, OFFSET(DVT_Laboratory!B$3,0,Match,100,1),
  Desired, IF(P169&lt;&gt;"", P169,D169),
IF(Desired&gt;D169,"Desired lvl too high",
IF(AND(Desired=D169,OR(C169=D169,C169="Max")),"Max Level",
IF(Desired&lt;=C169,"Desired lvl too low",
SUM(TIME_TO_RUSH_GEMS(
    XLOOKUP(C169+1, SEQUENCE(100,1,1,1), Offset, "N/F", 0, 1):
    XLOOKUP(Desired, SEQUENCE(100,1,1,1), Offset, "N/F", 0, 1)/LAB_SPEED_TOTAL(
), IDS_LAB_GODLBOXED_COUNT()))))))</f>
        <v>10365</v>
      </c>
    </row>
    <row r="170">
      <c r="A170" s="560" t="s">
        <v>324</v>
      </c>
      <c r="B170" s="561" t="str">
        <f t="shared" si="1"/>
        <v/>
      </c>
      <c r="C170" s="562">
        <f>VLOOKUP($A170,MS_Labs_Array,2,FALSE)</f>
        <v>0</v>
      </c>
      <c r="D170" s="563">
        <f>VLOOKUP($A170,MS_Labs_Array,4,FALSE)</f>
        <v>9</v>
      </c>
      <c r="E170" s="563" t="str">
        <f t="shared" si="22"/>
        <v>T16 100</v>
      </c>
      <c r="F170" s="564">
        <f t="shared" si="17"/>
        <v>5.295847208</v>
      </c>
      <c r="G170" s="565" t="str">
        <f t="shared" si="3"/>
        <v>5d  7h  6m</v>
      </c>
      <c r="H170" s="566">
        <f t="shared" si="4"/>
        <v>875600000000000</v>
      </c>
      <c r="I170" s="566">
        <f t="shared" si="5"/>
        <v>1.0348E+15</v>
      </c>
      <c r="J170" s="567" t="str">
        <f t="shared" si="6"/>
        <v>875.6 T</v>
      </c>
      <c r="K170" s="568" t="str">
        <f t="shared" si="7"/>
        <v>8.14 T/h</v>
      </c>
      <c r="L170" s="569">
        <f t="shared" si="23"/>
        <v>444</v>
      </c>
      <c r="M170" s="561" t="str">
        <f t="shared" si="24"/>
        <v>7d 22h 39m</v>
      </c>
      <c r="N170" s="567" t="str">
        <f t="shared" si="10"/>
        <v>1.03 q</v>
      </c>
      <c r="O170" s="569">
        <f t="shared" si="25"/>
        <v>643</v>
      </c>
      <c r="P170" s="570" t="str">
        <f>VLOOKUP($A170,MS_Labs_Array,3,FALSE)</f>
        <v/>
      </c>
      <c r="Q170" s="561">
        <f>IFERROR(__xludf.DUMMYFUNCTION("LET(
  Labspeed, IF(A170=""Labs Speed"", 1+'Master Sheet'!$BK$5, LAB_SPEED_TOTAL()),
  Match, MATCH(IF(ISNUMBER(SEARCH(""Mastery"",$A170)),""Card Mastery"",$A170),DVT_Laboratory!B$1:V$1,0)-1,
  Offset, INDEX(DVT_Laboratory!B$3:ZZ$102,,Match+1),
  Desired,"&amp;" IF(P170&lt;&gt;"""", P170,D170),
  IFS(
    Desired &gt; D170, ""Desired lvl too high"",
    AND(Desired = D170, OR(C170 = D170, C170 = ""Max"")), ""Max Level"",
    Desired = C170, ""OK Level"",
    Desired &lt; C170, ""Desired lvl too low"",
    TRUE, TO_PURE_NUMB"&amp;"ER(
      SUM(
        XLOOKUP($C170 + 1, SEQUENCE(100, 1, 1, 1), Offset, ""N/F"", 0, 1): 
        XLOOKUP(Desired, SEQUENCE(100, 1, 1, 1), Offset, ""N/F"", 0, 1)
      ) / Labspeed
    ) /
    IF(AND(B170 &lt;&gt; """", $B$1 = ""All""), RIGHT(B170, 3), 1)
  )
"&amp;")"),142.9878746282315)</f>
        <v>142.9878746</v>
      </c>
      <c r="R170" s="565" t="str">
        <f t="shared" si="12"/>
        <v>142d 23h 42m</v>
      </c>
      <c r="S170" s="567">
        <f t="array" ref="S170">LET(
  Match, MATCH(IF(ISNUMBER(SEARCH("Mastery",$A170)),"Card Mastery",$A170),DVT_Laboratory!B$1:V$1,0)-1,
  Offset, OFFSET(DVT_Laboratory!C$3,0,Match,100,1),
  Desired, IF(P170&lt;&gt;"", P170,D170),
IF(Desired&gt;D170,"Desired lvl too high",
IF(AND(Desired=D170,OR(C170=D170,C170="Max")),"Max Level",
IF(Desired=C170,"OK Level",
IF(Desired&lt;C170,"Desired lvl too low",
SUM(
XLOOKUP(C170+1,SEQUENCE(100,1,1,1),Offset,"N/F",0,1)
:XLOOKUP(Desired,SEQUENCE(100,1,1,1),Offset,"N/F",0,1))*(1-LAB_COIN_DISCOUNT()))))))</f>
        <v>3.98E+16</v>
      </c>
      <c r="T170" s="567" t="str">
        <f t="shared" si="13"/>
        <v>39.8 q</v>
      </c>
      <c r="U170" s="568" t="str">
        <f t="shared" si="14"/>
        <v>11.6 T/h</v>
      </c>
      <c r="V170" s="569">
        <f t="array" ref="V170">LET(
  Match, MATCH(IF(ISNUMBER(SEARCH("Mastery",$A170)),"Card Mastery",$A170),DVT_Laboratory!B$1:V$1,0)-1,
  Offset, OFFSET(DVT_Laboratory!B$3,0,Match,100,1),
  Desired, IF(P170&lt;&gt;"", P170,D170),
IF(Desired&gt;D170,"Desired lvl too high",
IF(AND(Desired=D170,OR(C170=D170,C170="Max")),"Max Level",
IF(Desired&lt;=C170,"Desired lvl too low",
SUM(TIME_TO_RUSH_GEMS(
    XLOOKUP(C170+1, SEQUENCE(100,1,1,1), Offset, "N/F", 0, 1):
    XLOOKUP(Desired, SEQUENCE(100,1,1,1), Offset, "N/F", 0, 1)/LAB_SPEED_TOTAL(
), IDS_LAB_GODLBOXED_COUNT()))))))</f>
        <v>10365</v>
      </c>
    </row>
    <row r="171">
      <c r="A171" s="560" t="s">
        <v>329</v>
      </c>
      <c r="B171" s="561" t="str">
        <f t="shared" si="1"/>
        <v/>
      </c>
      <c r="C171" s="562">
        <f>VLOOKUP($A171,MS_Labs_Array,2,FALSE)</f>
        <v>0</v>
      </c>
      <c r="D171" s="563">
        <f>VLOOKUP($A171,MS_Labs_Array,4,FALSE)</f>
        <v>9</v>
      </c>
      <c r="E171" s="563" t="str">
        <f t="shared" si="22"/>
        <v>T16 100</v>
      </c>
      <c r="F171" s="564">
        <f t="shared" si="17"/>
        <v>5.295847208</v>
      </c>
      <c r="G171" s="565" t="str">
        <f t="shared" si="3"/>
        <v>5d  7h  6m</v>
      </c>
      <c r="H171" s="566">
        <f t="shared" si="4"/>
        <v>875600000000000</v>
      </c>
      <c r="I171" s="566">
        <f t="shared" si="5"/>
        <v>1.0348E+15</v>
      </c>
      <c r="J171" s="567" t="str">
        <f t="shared" si="6"/>
        <v>875.6 T</v>
      </c>
      <c r="K171" s="568" t="str">
        <f t="shared" si="7"/>
        <v>8.14 T/h</v>
      </c>
      <c r="L171" s="569">
        <f t="shared" si="23"/>
        <v>444</v>
      </c>
      <c r="M171" s="561" t="str">
        <f t="shared" si="24"/>
        <v>7d 22h 39m</v>
      </c>
      <c r="N171" s="567" t="str">
        <f t="shared" si="10"/>
        <v>1.03 q</v>
      </c>
      <c r="O171" s="569">
        <f t="shared" si="25"/>
        <v>643</v>
      </c>
      <c r="P171" s="570" t="str">
        <f>VLOOKUP($A171,MS_Labs_Array,3,FALSE)</f>
        <v/>
      </c>
      <c r="Q171" s="561">
        <f>IFERROR(__xludf.DUMMYFUNCTION("LET(
  Labspeed, IF(A171=""Labs Speed"", 1+'Master Sheet'!$BK$5, LAB_SPEED_TOTAL()),
  Match, MATCH(IF(ISNUMBER(SEARCH(""Mastery"",$A171)),""Card Mastery"",$A171),DVT_Laboratory!B$1:V$1,0)-1,
  Offset, INDEX(DVT_Laboratory!B$3:ZZ$102,,Match+1),
  Desired,"&amp;" IF(P171&lt;&gt;"""", P171,D171),
  IFS(
    Desired &gt; D171, ""Desired lvl too high"",
    AND(Desired = D171, OR(C171 = D171, C171 = ""Max"")), ""Max Level"",
    Desired = C171, ""OK Level"",
    Desired &lt; C171, ""Desired lvl too low"",
    TRUE, TO_PURE_NUMB"&amp;"ER(
      SUM(
        XLOOKUP($C171 + 1, SEQUENCE(100, 1, 1, 1), Offset, ""N/F"", 0, 1): 
        XLOOKUP(Desired, SEQUENCE(100, 1, 1, 1), Offset, ""N/F"", 0, 1)
      ) / Labspeed
    ) /
    IF(AND(B171 &lt;&gt; """", $B$1 = ""All""), RIGHT(B171, 3), 1)
  )
"&amp;")"),142.9878746282315)</f>
        <v>142.9878746</v>
      </c>
      <c r="R171" s="565" t="str">
        <f t="shared" si="12"/>
        <v>142d 23h 42m</v>
      </c>
      <c r="S171" s="567">
        <f t="array" ref="S171">LET(
  Match, MATCH(IF(ISNUMBER(SEARCH("Mastery",$A171)),"Card Mastery",$A171),DVT_Laboratory!B$1:V$1,0)-1,
  Offset, OFFSET(DVT_Laboratory!C$3,0,Match,100,1),
  Desired, IF(P171&lt;&gt;"", P171,D171),
IF(Desired&gt;D171,"Desired lvl too high",
IF(AND(Desired=D171,OR(C171=D171,C171="Max")),"Max Level",
IF(Desired=C171,"OK Level",
IF(Desired&lt;C171,"Desired lvl too low",
SUM(
XLOOKUP(C171+1,SEQUENCE(100,1,1,1),Offset,"N/F",0,1)
:XLOOKUP(Desired,SEQUENCE(100,1,1,1),Offset,"N/F",0,1))*(1-LAB_COIN_DISCOUNT()))))))</f>
        <v>3.98E+16</v>
      </c>
      <c r="T171" s="567" t="str">
        <f t="shared" si="13"/>
        <v>39.8 q</v>
      </c>
      <c r="U171" s="568" t="str">
        <f t="shared" si="14"/>
        <v>11.6 T/h</v>
      </c>
      <c r="V171" s="569">
        <f t="array" ref="V171">LET(
  Match, MATCH(IF(ISNUMBER(SEARCH("Mastery",$A171)),"Card Mastery",$A171),DVT_Laboratory!B$1:V$1,0)-1,
  Offset, OFFSET(DVT_Laboratory!B$3,0,Match,100,1),
  Desired, IF(P171&lt;&gt;"", P171,D171),
IF(Desired&gt;D171,"Desired lvl too high",
IF(AND(Desired=D171,OR(C171=D171,C171="Max")),"Max Level",
IF(Desired&lt;=C171,"Desired lvl too low",
SUM(TIME_TO_RUSH_GEMS(
    XLOOKUP(C171+1, SEQUENCE(100,1,1,1), Offset, "N/F", 0, 1):
    XLOOKUP(Desired, SEQUENCE(100,1,1,1), Offset, "N/F", 0, 1)/LAB_SPEED_TOTAL(
), IDS_LAB_GODLBOXED_COUNT()))))))</f>
        <v>10365</v>
      </c>
    </row>
    <row r="172">
      <c r="A172" s="560" t="s">
        <v>334</v>
      </c>
      <c r="B172" s="561" t="str">
        <f t="shared" si="1"/>
        <v/>
      </c>
      <c r="C172" s="562">
        <f>VLOOKUP($A172,MS_Labs_Array,2,FALSE)</f>
        <v>0</v>
      </c>
      <c r="D172" s="563">
        <f>VLOOKUP($A172,MS_Labs_Array,4,FALSE)</f>
        <v>9</v>
      </c>
      <c r="E172" s="563" t="str">
        <f t="shared" si="22"/>
        <v>T16 100</v>
      </c>
      <c r="F172" s="564">
        <f t="shared" si="17"/>
        <v>5.295847208</v>
      </c>
      <c r="G172" s="565" t="str">
        <f t="shared" si="3"/>
        <v>5d  7h  6m</v>
      </c>
      <c r="H172" s="566">
        <f t="shared" si="4"/>
        <v>875600000000000</v>
      </c>
      <c r="I172" s="566">
        <f t="shared" si="5"/>
        <v>1.0348E+15</v>
      </c>
      <c r="J172" s="567" t="str">
        <f t="shared" si="6"/>
        <v>875.6 T</v>
      </c>
      <c r="K172" s="568" t="str">
        <f t="shared" si="7"/>
        <v>8.14 T/h</v>
      </c>
      <c r="L172" s="569">
        <f t="shared" si="23"/>
        <v>444</v>
      </c>
      <c r="M172" s="561" t="str">
        <f t="shared" si="24"/>
        <v>7d 22h 39m</v>
      </c>
      <c r="N172" s="567" t="str">
        <f t="shared" si="10"/>
        <v>1.03 q</v>
      </c>
      <c r="O172" s="569">
        <f t="shared" si="25"/>
        <v>643</v>
      </c>
      <c r="P172" s="570" t="str">
        <f>VLOOKUP($A172,MS_Labs_Array,3,FALSE)</f>
        <v/>
      </c>
      <c r="Q172" s="561">
        <f>IFERROR(__xludf.DUMMYFUNCTION("LET(
  Labspeed, IF(A172=""Labs Speed"", 1+'Master Sheet'!$BK$5, LAB_SPEED_TOTAL()),
  Match, MATCH(IF(ISNUMBER(SEARCH(""Mastery"",$A172)),""Card Mastery"",$A172),DVT_Laboratory!B$1:V$1,0)-1,
  Offset, INDEX(DVT_Laboratory!B$3:ZZ$102,,Match+1),
  Desired,"&amp;" IF(P172&lt;&gt;"""", P172,D172),
  IFS(
    Desired &gt; D172, ""Desired lvl too high"",
    AND(Desired = D172, OR(C172 = D172, C172 = ""Max"")), ""Max Level"",
    Desired = C172, ""OK Level"",
    Desired &lt; C172, ""Desired lvl too low"",
    TRUE, TO_PURE_NUMB"&amp;"ER(
      SUM(
        XLOOKUP($C172 + 1, SEQUENCE(100, 1, 1, 1), Offset, ""N/F"", 0, 1): 
        XLOOKUP(Desired, SEQUENCE(100, 1, 1, 1), Offset, ""N/F"", 0, 1)
      ) / Labspeed
    ) /
    IF(AND(B172 &lt;&gt; """", $B$1 = ""All""), RIGHT(B172, 3), 1)
  )
"&amp;")"),142.9878746282315)</f>
        <v>142.9878746</v>
      </c>
      <c r="R172" s="565" t="str">
        <f t="shared" si="12"/>
        <v>142d 23h 42m</v>
      </c>
      <c r="S172" s="567">
        <f t="array" ref="S172">LET(
  Match, MATCH(IF(ISNUMBER(SEARCH("Mastery",$A172)),"Card Mastery",$A172),DVT_Laboratory!B$1:V$1,0)-1,
  Offset, OFFSET(DVT_Laboratory!C$3,0,Match,100,1),
  Desired, IF(P172&lt;&gt;"", P172,D172),
IF(Desired&gt;D172,"Desired lvl too high",
IF(AND(Desired=D172,OR(C172=D172,C172="Max")),"Max Level",
IF(Desired=C172,"OK Level",
IF(Desired&lt;C172,"Desired lvl too low",
SUM(
XLOOKUP(C172+1,SEQUENCE(100,1,1,1),Offset,"N/F",0,1)
:XLOOKUP(Desired,SEQUENCE(100,1,1,1),Offset,"N/F",0,1))*(1-LAB_COIN_DISCOUNT()))))))</f>
        <v>3.98E+16</v>
      </c>
      <c r="T172" s="567" t="str">
        <f t="shared" si="13"/>
        <v>39.8 q</v>
      </c>
      <c r="U172" s="568" t="str">
        <f t="shared" si="14"/>
        <v>11.6 T/h</v>
      </c>
      <c r="V172" s="569">
        <f t="array" ref="V172">LET(
  Match, MATCH(IF(ISNUMBER(SEARCH("Mastery",$A172)),"Card Mastery",$A172),DVT_Laboratory!B$1:V$1,0)-1,
  Offset, OFFSET(DVT_Laboratory!B$3,0,Match,100,1),
  Desired, IF(P172&lt;&gt;"", P172,D172),
IF(Desired&gt;D172,"Desired lvl too high",
IF(AND(Desired=D172,OR(C172=D172,C172="Max")),"Max Level",
IF(Desired&lt;=C172,"Desired lvl too low",
SUM(TIME_TO_RUSH_GEMS(
    XLOOKUP(C172+1, SEQUENCE(100,1,1,1), Offset, "N/F", 0, 1):
    XLOOKUP(Desired, SEQUENCE(100,1,1,1), Offset, "N/F", 0, 1)/LAB_SPEED_TOTAL(
), IDS_LAB_GODLBOXED_COUNT()))))))</f>
        <v>10365</v>
      </c>
    </row>
    <row r="173">
      <c r="A173" s="560" t="s">
        <v>339</v>
      </c>
      <c r="B173" s="561" t="str">
        <f t="shared" si="1"/>
        <v/>
      </c>
      <c r="C173" s="562">
        <f>VLOOKUP($A173,MS_Labs_Array,2,FALSE)</f>
        <v>0</v>
      </c>
      <c r="D173" s="563">
        <f>VLOOKUP($A173,MS_Labs_Array,4,FALSE)</f>
        <v>9</v>
      </c>
      <c r="E173" s="563" t="str">
        <f t="shared" si="22"/>
        <v>T16 100</v>
      </c>
      <c r="F173" s="564">
        <f t="shared" si="17"/>
        <v>5.295847208</v>
      </c>
      <c r="G173" s="565" t="str">
        <f t="shared" si="3"/>
        <v>5d  7h  6m</v>
      </c>
      <c r="H173" s="566">
        <f t="shared" si="4"/>
        <v>875600000000000</v>
      </c>
      <c r="I173" s="566">
        <f t="shared" si="5"/>
        <v>1.0348E+15</v>
      </c>
      <c r="J173" s="567" t="str">
        <f t="shared" si="6"/>
        <v>875.6 T</v>
      </c>
      <c r="K173" s="568" t="str">
        <f t="shared" si="7"/>
        <v>8.14 T/h</v>
      </c>
      <c r="L173" s="569">
        <f t="shared" si="23"/>
        <v>444</v>
      </c>
      <c r="M173" s="561" t="str">
        <f t="shared" si="24"/>
        <v>7d 22h 39m</v>
      </c>
      <c r="N173" s="567" t="str">
        <f t="shared" si="10"/>
        <v>1.03 q</v>
      </c>
      <c r="O173" s="569">
        <f t="shared" si="25"/>
        <v>643</v>
      </c>
      <c r="P173" s="570" t="str">
        <f>VLOOKUP($A173,MS_Labs_Array,3,FALSE)</f>
        <v/>
      </c>
      <c r="Q173" s="561">
        <f>IFERROR(__xludf.DUMMYFUNCTION("LET(
  Labspeed, IF(A173=""Labs Speed"", 1+'Master Sheet'!$BK$5, LAB_SPEED_TOTAL()),
  Match, MATCH(IF(ISNUMBER(SEARCH(""Mastery"",$A173)),""Card Mastery"",$A173),DVT_Laboratory!B$1:V$1,0)-1,
  Offset, INDEX(DVT_Laboratory!B$3:ZZ$102,,Match+1),
  Desired,"&amp;" IF(P173&lt;&gt;"""", P173,D173),
  IFS(
    Desired &gt; D173, ""Desired lvl too high"",
    AND(Desired = D173, OR(C173 = D173, C173 = ""Max"")), ""Max Level"",
    Desired = C173, ""OK Level"",
    Desired &lt; C173, ""Desired lvl too low"",
    TRUE, TO_PURE_NUMB"&amp;"ER(
      SUM(
        XLOOKUP($C173 + 1, SEQUENCE(100, 1, 1, 1), Offset, ""N/F"", 0, 1): 
        XLOOKUP(Desired, SEQUENCE(100, 1, 1, 1), Offset, ""N/F"", 0, 1)
      ) / Labspeed
    ) /
    IF(AND(B173 &lt;&gt; """", $B$1 = ""All""), RIGHT(B173, 3), 1)
  )
"&amp;")"),142.9878746282315)</f>
        <v>142.9878746</v>
      </c>
      <c r="R173" s="565" t="str">
        <f t="shared" si="12"/>
        <v>142d 23h 42m</v>
      </c>
      <c r="S173" s="567">
        <f t="array" ref="S173">LET(
  Match, MATCH(IF(ISNUMBER(SEARCH("Mastery",$A173)),"Card Mastery",$A173),DVT_Laboratory!B$1:V$1,0)-1,
  Offset, OFFSET(DVT_Laboratory!C$3,0,Match,100,1),
  Desired, IF(P173&lt;&gt;"", P173,D173),
IF(Desired&gt;D173,"Desired lvl too high",
IF(AND(Desired=D173,OR(C173=D173,C173="Max")),"Max Level",
IF(Desired=C173,"OK Level",
IF(Desired&lt;C173,"Desired lvl too low",
SUM(
XLOOKUP(C173+1,SEQUENCE(100,1,1,1),Offset,"N/F",0,1)
:XLOOKUP(Desired,SEQUENCE(100,1,1,1),Offset,"N/F",0,1))*(1-LAB_COIN_DISCOUNT()))))))</f>
        <v>3.98E+16</v>
      </c>
      <c r="T173" s="567" t="str">
        <f t="shared" si="13"/>
        <v>39.8 q</v>
      </c>
      <c r="U173" s="568" t="str">
        <f t="shared" si="14"/>
        <v>11.6 T/h</v>
      </c>
      <c r="V173" s="569">
        <f t="array" ref="V173">LET(
  Match, MATCH(IF(ISNUMBER(SEARCH("Mastery",$A173)),"Card Mastery",$A173),DVT_Laboratory!B$1:V$1,0)-1,
  Offset, OFFSET(DVT_Laboratory!B$3,0,Match,100,1),
  Desired, IF(P173&lt;&gt;"", P173,D173),
IF(Desired&gt;D173,"Desired lvl too high",
IF(AND(Desired=D173,OR(C173=D173,C173="Max")),"Max Level",
IF(Desired&lt;=C173,"Desired lvl too low",
SUM(TIME_TO_RUSH_GEMS(
    XLOOKUP(C173+1, SEQUENCE(100,1,1,1), Offset, "N/F", 0, 1):
    XLOOKUP(Desired, SEQUENCE(100,1,1,1), Offset, "N/F", 0, 1)/LAB_SPEED_TOTAL(
), IDS_LAB_GODLBOXED_COUNT()))))))</f>
        <v>10365</v>
      </c>
    </row>
    <row r="174">
      <c r="A174" s="560" t="s">
        <v>344</v>
      </c>
      <c r="B174" s="561" t="str">
        <f t="shared" si="1"/>
        <v/>
      </c>
      <c r="C174" s="562">
        <f>VLOOKUP($A174,MS_Labs_Array,2,FALSE)</f>
        <v>0</v>
      </c>
      <c r="D174" s="563">
        <f>VLOOKUP($A174,MS_Labs_Array,4,FALSE)</f>
        <v>9</v>
      </c>
      <c r="E174" s="563" t="str">
        <f t="shared" si="22"/>
        <v>T16 100</v>
      </c>
      <c r="F174" s="564">
        <f t="shared" si="17"/>
        <v>5.295847208</v>
      </c>
      <c r="G174" s="565" t="str">
        <f t="shared" si="3"/>
        <v>5d  7h  6m</v>
      </c>
      <c r="H174" s="566">
        <f t="shared" si="4"/>
        <v>875600000000000</v>
      </c>
      <c r="I174" s="566">
        <f t="shared" si="5"/>
        <v>1.0348E+15</v>
      </c>
      <c r="J174" s="567" t="str">
        <f t="shared" si="6"/>
        <v>875.6 T</v>
      </c>
      <c r="K174" s="568" t="str">
        <f t="shared" si="7"/>
        <v>8.14 T/h</v>
      </c>
      <c r="L174" s="569">
        <f t="shared" si="23"/>
        <v>444</v>
      </c>
      <c r="M174" s="561" t="str">
        <f t="shared" si="24"/>
        <v>7d 22h 39m</v>
      </c>
      <c r="N174" s="567" t="str">
        <f t="shared" si="10"/>
        <v>1.03 q</v>
      </c>
      <c r="O174" s="569">
        <f t="shared" si="25"/>
        <v>643</v>
      </c>
      <c r="P174" s="570" t="str">
        <f>VLOOKUP($A174,MS_Labs_Array,3,FALSE)</f>
        <v/>
      </c>
      <c r="Q174" s="561">
        <f>IFERROR(__xludf.DUMMYFUNCTION("LET(
  Labspeed, IF(A174=""Labs Speed"", 1+'Master Sheet'!$BK$5, LAB_SPEED_TOTAL()),
  Match, MATCH(IF(ISNUMBER(SEARCH(""Mastery"",$A174)),""Card Mastery"",$A174),DVT_Laboratory!B$1:V$1,0)-1,
  Offset, INDEX(DVT_Laboratory!B$3:ZZ$102,,Match+1),
  Desired,"&amp;" IF(P174&lt;&gt;"""", P174,D174),
  IFS(
    Desired &gt; D174, ""Desired lvl too high"",
    AND(Desired = D174, OR(C174 = D174, C174 = ""Max"")), ""Max Level"",
    Desired = C174, ""OK Level"",
    Desired &lt; C174, ""Desired lvl too low"",
    TRUE, TO_PURE_NUMB"&amp;"ER(
      SUM(
        XLOOKUP($C174 + 1, SEQUENCE(100, 1, 1, 1), Offset, ""N/F"", 0, 1): 
        XLOOKUP(Desired, SEQUENCE(100, 1, 1, 1), Offset, ""N/F"", 0, 1)
      ) / Labspeed
    ) /
    IF(AND(B174 &lt;&gt; """", $B$1 = ""All""), RIGHT(B174, 3), 1)
  )
"&amp;")"),142.9878746282315)</f>
        <v>142.9878746</v>
      </c>
      <c r="R174" s="565" t="str">
        <f t="shared" si="12"/>
        <v>142d 23h 42m</v>
      </c>
      <c r="S174" s="567">
        <f t="array" ref="S174">LET(
  Match, MATCH(IF(ISNUMBER(SEARCH("Mastery",$A174)),"Card Mastery",$A174),DVT_Laboratory!B$1:V$1,0)-1,
  Offset, OFFSET(DVT_Laboratory!C$3,0,Match,100,1),
  Desired, IF(P174&lt;&gt;"", P174,D174),
IF(Desired&gt;D174,"Desired lvl too high",
IF(AND(Desired=D174,OR(C174=D174,C174="Max")),"Max Level",
IF(Desired=C174,"OK Level",
IF(Desired&lt;C174,"Desired lvl too low",
SUM(
XLOOKUP(C174+1,SEQUENCE(100,1,1,1),Offset,"N/F",0,1)
:XLOOKUP(Desired,SEQUENCE(100,1,1,1),Offset,"N/F",0,1))*(1-LAB_COIN_DISCOUNT()))))))</f>
        <v>3.98E+16</v>
      </c>
      <c r="T174" s="567" t="str">
        <f t="shared" si="13"/>
        <v>39.8 q</v>
      </c>
      <c r="U174" s="568" t="str">
        <f t="shared" si="14"/>
        <v>11.6 T/h</v>
      </c>
      <c r="V174" s="569">
        <f t="array" ref="V174">LET(
  Match, MATCH(IF(ISNUMBER(SEARCH("Mastery",$A174)),"Card Mastery",$A174),DVT_Laboratory!B$1:V$1,0)-1,
  Offset, OFFSET(DVT_Laboratory!B$3,0,Match,100,1),
  Desired, IF(P174&lt;&gt;"", P174,D174),
IF(Desired&gt;D174,"Desired lvl too high",
IF(AND(Desired=D174,OR(C174=D174,C174="Max")),"Max Level",
IF(Desired&lt;=C174,"Desired lvl too low",
SUM(TIME_TO_RUSH_GEMS(
    XLOOKUP(C174+1, SEQUENCE(100,1,1,1), Offset, "N/F", 0, 1):
    XLOOKUP(Desired, SEQUENCE(100,1,1,1), Offset, "N/F", 0, 1)/LAB_SPEED_TOTAL(
), IDS_LAB_GODLBOXED_COUNT()))))))</f>
        <v>10365</v>
      </c>
    </row>
    <row r="175">
      <c r="A175" s="560" t="s">
        <v>347</v>
      </c>
      <c r="B175" s="561" t="str">
        <f t="shared" si="1"/>
        <v/>
      </c>
      <c r="C175" s="562">
        <f>VLOOKUP($A175,MS_Labs_Array,2,FALSE)</f>
        <v>0</v>
      </c>
      <c r="D175" s="563">
        <f>VLOOKUP($A175,MS_Labs_Array,4,FALSE)</f>
        <v>9</v>
      </c>
      <c r="E175" s="563" t="str">
        <f t="shared" si="22"/>
        <v>T16 100</v>
      </c>
      <c r="F175" s="564">
        <f t="shared" si="17"/>
        <v>5.295847208</v>
      </c>
      <c r="G175" s="565" t="str">
        <f t="shared" si="3"/>
        <v>5d  7h  6m</v>
      </c>
      <c r="H175" s="566">
        <f t="shared" si="4"/>
        <v>875600000000000</v>
      </c>
      <c r="I175" s="566">
        <f t="shared" si="5"/>
        <v>1.0348E+15</v>
      </c>
      <c r="J175" s="567" t="str">
        <f t="shared" si="6"/>
        <v>875.6 T</v>
      </c>
      <c r="K175" s="568" t="str">
        <f t="shared" si="7"/>
        <v>8.14 T/h</v>
      </c>
      <c r="L175" s="569">
        <f t="shared" si="23"/>
        <v>444</v>
      </c>
      <c r="M175" s="561" t="str">
        <f t="shared" si="24"/>
        <v>7d 22h 39m</v>
      </c>
      <c r="N175" s="567" t="str">
        <f t="shared" si="10"/>
        <v>1.03 q</v>
      </c>
      <c r="O175" s="569">
        <f t="shared" si="25"/>
        <v>643</v>
      </c>
      <c r="P175" s="570" t="str">
        <f>VLOOKUP($A175,MS_Labs_Array,3,FALSE)</f>
        <v/>
      </c>
      <c r="Q175" s="561">
        <f>IFERROR(__xludf.DUMMYFUNCTION("LET(
  Labspeed, IF(A175=""Labs Speed"", 1+'Master Sheet'!$BK$5, LAB_SPEED_TOTAL()),
  Match, MATCH(IF(ISNUMBER(SEARCH(""Mastery"",$A175)),""Card Mastery"",$A175),DVT_Laboratory!B$1:V$1,0)-1,
  Offset, INDEX(DVT_Laboratory!B$3:ZZ$102,,Match+1),
  Desired,"&amp;" IF(P175&lt;&gt;"""", P175,D175),
  IFS(
    Desired &gt; D175, ""Desired lvl too high"",
    AND(Desired = D175, OR(C175 = D175, C175 = ""Max"")), ""Max Level"",
    Desired = C175, ""OK Level"",
    Desired &lt; C175, ""Desired lvl too low"",
    TRUE, TO_PURE_NUMB"&amp;"ER(
      SUM(
        XLOOKUP($C175 + 1, SEQUENCE(100, 1, 1, 1), Offset, ""N/F"", 0, 1): 
        XLOOKUP(Desired, SEQUENCE(100, 1, 1, 1), Offset, ""N/F"", 0, 1)
      ) / Labspeed
    ) /
    IF(AND(B175 &lt;&gt; """", $B$1 = ""All""), RIGHT(B175, 3), 1)
  )
"&amp;")"),142.9878746282315)</f>
        <v>142.9878746</v>
      </c>
      <c r="R175" s="565" t="str">
        <f t="shared" si="12"/>
        <v>142d 23h 42m</v>
      </c>
      <c r="S175" s="567">
        <f t="array" ref="S175">LET(
  Match, MATCH(IF(ISNUMBER(SEARCH("Mastery",$A175)),"Card Mastery",$A175),DVT_Laboratory!B$1:V$1,0)-1,
  Offset, OFFSET(DVT_Laboratory!C$3,0,Match,100,1),
  Desired, IF(P175&lt;&gt;"", P175,D175),
IF(Desired&gt;D175,"Desired lvl too high",
IF(AND(Desired=D175,OR(C175=D175,C175="Max")),"Max Level",
IF(Desired=C175,"OK Level",
IF(Desired&lt;C175,"Desired lvl too low",
SUM(
XLOOKUP(C175+1,SEQUENCE(100,1,1,1),Offset,"N/F",0,1)
:XLOOKUP(Desired,SEQUENCE(100,1,1,1),Offset,"N/F",0,1))*(1-LAB_COIN_DISCOUNT()))))))</f>
        <v>3.98E+16</v>
      </c>
      <c r="T175" s="567" t="str">
        <f t="shared" si="13"/>
        <v>39.8 q</v>
      </c>
      <c r="U175" s="568" t="str">
        <f t="shared" si="14"/>
        <v>11.6 T/h</v>
      </c>
      <c r="V175" s="569">
        <f t="array" ref="V175">LET(
  Match, MATCH(IF(ISNUMBER(SEARCH("Mastery",$A175)),"Card Mastery",$A175),DVT_Laboratory!B$1:V$1,0)-1,
  Offset, OFFSET(DVT_Laboratory!B$3,0,Match,100,1),
  Desired, IF(P175&lt;&gt;"", P175,D175),
IF(Desired&gt;D175,"Desired lvl too high",
IF(AND(Desired=D175,OR(C175=D175,C175="Max")),"Max Level",
IF(Desired&lt;=C175,"Desired lvl too low",
SUM(TIME_TO_RUSH_GEMS(
    XLOOKUP(C175+1, SEQUENCE(100,1,1,1), Offset, "N/F", 0, 1):
    XLOOKUP(Desired, SEQUENCE(100,1,1,1), Offset, "N/F", 0, 1)/LAB_SPEED_TOTAL(
), IDS_LAB_GODLBOXED_COUNT()))))))</f>
        <v>10365</v>
      </c>
    </row>
    <row r="176">
      <c r="A176" s="560" t="s">
        <v>349</v>
      </c>
      <c r="B176" s="561" t="str">
        <f t="shared" si="1"/>
        <v/>
      </c>
      <c r="C176" s="562">
        <f>VLOOKUP($A176,MS_Labs_Array,2,FALSE)</f>
        <v>0</v>
      </c>
      <c r="D176" s="563">
        <f>VLOOKUP($A176,MS_Labs_Array,4,FALSE)</f>
        <v>9</v>
      </c>
      <c r="E176" s="563" t="str">
        <f t="shared" si="22"/>
        <v>T16 100</v>
      </c>
      <c r="F176" s="564">
        <f t="shared" si="17"/>
        <v>5.295847208</v>
      </c>
      <c r="G176" s="565" t="str">
        <f t="shared" si="3"/>
        <v>5d  7h  6m</v>
      </c>
      <c r="H176" s="566">
        <f t="shared" si="4"/>
        <v>875600000000000</v>
      </c>
      <c r="I176" s="566">
        <f t="shared" si="5"/>
        <v>1.0348E+15</v>
      </c>
      <c r="J176" s="567" t="str">
        <f t="shared" si="6"/>
        <v>875.6 T</v>
      </c>
      <c r="K176" s="568" t="str">
        <f t="shared" si="7"/>
        <v>8.14 T/h</v>
      </c>
      <c r="L176" s="569">
        <f t="shared" si="23"/>
        <v>444</v>
      </c>
      <c r="M176" s="561" t="str">
        <f t="shared" si="24"/>
        <v>7d 22h 39m</v>
      </c>
      <c r="N176" s="567" t="str">
        <f t="shared" si="10"/>
        <v>1.03 q</v>
      </c>
      <c r="O176" s="569">
        <f t="shared" si="25"/>
        <v>643</v>
      </c>
      <c r="P176" s="570" t="str">
        <f>VLOOKUP($A176,MS_Labs_Array,3,FALSE)</f>
        <v/>
      </c>
      <c r="Q176" s="561">
        <f>IFERROR(__xludf.DUMMYFUNCTION("LET(
  Labspeed, IF(A176=""Labs Speed"", 1+'Master Sheet'!$BK$5, LAB_SPEED_TOTAL()),
  Match, MATCH(IF(ISNUMBER(SEARCH(""Mastery"",$A176)),""Card Mastery"",$A176),DVT_Laboratory!B$1:V$1,0)-1,
  Offset, INDEX(DVT_Laboratory!B$3:ZZ$102,,Match+1),
  Desired,"&amp;" IF(P176&lt;&gt;"""", P176,D176),
  IFS(
    Desired &gt; D176, ""Desired lvl too high"",
    AND(Desired = D176, OR(C176 = D176, C176 = ""Max"")), ""Max Level"",
    Desired = C176, ""OK Level"",
    Desired &lt; C176, ""Desired lvl too low"",
    TRUE, TO_PURE_NUMB"&amp;"ER(
      SUM(
        XLOOKUP($C176 + 1, SEQUENCE(100, 1, 1, 1), Offset, ""N/F"", 0, 1): 
        XLOOKUP(Desired, SEQUENCE(100, 1, 1, 1), Offset, ""N/F"", 0, 1)
      ) / Labspeed
    ) /
    IF(AND(B176 &lt;&gt; """", $B$1 = ""All""), RIGHT(B176, 3), 1)
  )
"&amp;")"),142.9878746282315)</f>
        <v>142.9878746</v>
      </c>
      <c r="R176" s="565" t="str">
        <f t="shared" si="12"/>
        <v>142d 23h 42m</v>
      </c>
      <c r="S176" s="567">
        <f t="array" ref="S176">LET(
  Match, MATCH(IF(ISNUMBER(SEARCH("Mastery",$A176)),"Card Mastery",$A176),DVT_Laboratory!B$1:V$1,0)-1,
  Offset, OFFSET(DVT_Laboratory!C$3,0,Match,100,1),
  Desired, IF(P176&lt;&gt;"", P176,D176),
IF(Desired&gt;D176,"Desired lvl too high",
IF(AND(Desired=D176,OR(C176=D176,C176="Max")),"Max Level",
IF(Desired=C176,"OK Level",
IF(Desired&lt;C176,"Desired lvl too low",
SUM(
XLOOKUP(C176+1,SEQUENCE(100,1,1,1),Offset,"N/F",0,1)
:XLOOKUP(Desired,SEQUENCE(100,1,1,1),Offset,"N/F",0,1))*(1-LAB_COIN_DISCOUNT()))))))</f>
        <v>3.98E+16</v>
      </c>
      <c r="T176" s="567" t="str">
        <f t="shared" si="13"/>
        <v>39.8 q</v>
      </c>
      <c r="U176" s="568" t="str">
        <f t="shared" si="14"/>
        <v>11.6 T/h</v>
      </c>
      <c r="V176" s="569">
        <f t="array" ref="V176">LET(
  Match, MATCH(IF(ISNUMBER(SEARCH("Mastery",$A176)),"Card Mastery",$A176),DVT_Laboratory!B$1:V$1,0)-1,
  Offset, OFFSET(DVT_Laboratory!B$3,0,Match,100,1),
  Desired, IF(P176&lt;&gt;"", P176,D176),
IF(Desired&gt;D176,"Desired lvl too high",
IF(AND(Desired=D176,OR(C176=D176,C176="Max")),"Max Level",
IF(Desired&lt;=C176,"Desired lvl too low",
SUM(TIME_TO_RUSH_GEMS(
    XLOOKUP(C176+1, SEQUENCE(100,1,1,1), Offset, "N/F", 0, 1):
    XLOOKUP(Desired, SEQUENCE(100,1,1,1), Offset, "N/F", 0, 1)/LAB_SPEED_TOTAL(
), IDS_LAB_GODLBOXED_COUNT()))))))</f>
        <v>10365</v>
      </c>
    </row>
    <row r="177">
      <c r="A177" s="560" t="s">
        <v>351</v>
      </c>
      <c r="B177" s="561" t="str">
        <f t="shared" si="1"/>
        <v/>
      </c>
      <c r="C177" s="562">
        <f>VLOOKUP($A177,MS_Labs_Array,2,FALSE)</f>
        <v>0</v>
      </c>
      <c r="D177" s="563">
        <f>VLOOKUP($A177,MS_Labs_Array,4,FALSE)</f>
        <v>9</v>
      </c>
      <c r="E177" s="563" t="str">
        <f t="shared" si="22"/>
        <v>T16 100</v>
      </c>
      <c r="F177" s="564">
        <f t="shared" si="17"/>
        <v>5.295847208</v>
      </c>
      <c r="G177" s="565" t="str">
        <f t="shared" si="3"/>
        <v>5d  7h  6m</v>
      </c>
      <c r="H177" s="566">
        <f t="shared" si="4"/>
        <v>875600000000000</v>
      </c>
      <c r="I177" s="566">
        <f t="shared" si="5"/>
        <v>1.0348E+15</v>
      </c>
      <c r="J177" s="567" t="str">
        <f t="shared" si="6"/>
        <v>875.6 T</v>
      </c>
      <c r="K177" s="568" t="str">
        <f t="shared" si="7"/>
        <v>8.14 T/h</v>
      </c>
      <c r="L177" s="569">
        <f t="shared" si="23"/>
        <v>444</v>
      </c>
      <c r="M177" s="561" t="str">
        <f t="shared" si="24"/>
        <v>7d 22h 39m</v>
      </c>
      <c r="N177" s="567" t="str">
        <f t="shared" si="10"/>
        <v>1.03 q</v>
      </c>
      <c r="O177" s="569">
        <f t="shared" si="25"/>
        <v>643</v>
      </c>
      <c r="P177" s="570" t="str">
        <f>VLOOKUP($A177,MS_Labs_Array,3,FALSE)</f>
        <v/>
      </c>
      <c r="Q177" s="561">
        <f>IFERROR(__xludf.DUMMYFUNCTION("LET(
  Labspeed, IF(A177=""Labs Speed"", 1+'Master Sheet'!$BK$5, LAB_SPEED_TOTAL()),
  Match, MATCH(IF(ISNUMBER(SEARCH(""Mastery"",$A177)),""Card Mastery"",$A177),DVT_Laboratory!B$1:V$1,0)-1,
  Offset, INDEX(DVT_Laboratory!B$3:ZZ$102,,Match+1),
  Desired,"&amp;" IF(P177&lt;&gt;"""", P177,D177),
  IFS(
    Desired &gt; D177, ""Desired lvl too high"",
    AND(Desired = D177, OR(C177 = D177, C177 = ""Max"")), ""Max Level"",
    Desired = C177, ""OK Level"",
    Desired &lt; C177, ""Desired lvl too low"",
    TRUE, TO_PURE_NUMB"&amp;"ER(
      SUM(
        XLOOKUP($C177 + 1, SEQUENCE(100, 1, 1, 1), Offset, ""N/F"", 0, 1): 
        XLOOKUP(Desired, SEQUENCE(100, 1, 1, 1), Offset, ""N/F"", 0, 1)
      ) / Labspeed
    ) /
    IF(AND(B177 &lt;&gt; """", $B$1 = ""All""), RIGHT(B177, 3), 1)
  )
"&amp;")"),142.9878746282315)</f>
        <v>142.9878746</v>
      </c>
      <c r="R177" s="565" t="str">
        <f t="shared" si="12"/>
        <v>142d 23h 42m</v>
      </c>
      <c r="S177" s="567">
        <f t="array" ref="S177">LET(
  Match, MATCH(IF(ISNUMBER(SEARCH("Mastery",$A177)),"Card Mastery",$A177),DVT_Laboratory!B$1:V$1,0)-1,
  Offset, OFFSET(DVT_Laboratory!C$3,0,Match,100,1),
  Desired, IF(P177&lt;&gt;"", P177,D177),
IF(Desired&gt;D177,"Desired lvl too high",
IF(AND(Desired=D177,OR(C177=D177,C177="Max")),"Max Level",
IF(Desired=C177,"OK Level",
IF(Desired&lt;C177,"Desired lvl too low",
SUM(
XLOOKUP(C177+1,SEQUENCE(100,1,1,1),Offset,"N/F",0,1)
:XLOOKUP(Desired,SEQUENCE(100,1,1,1),Offset,"N/F",0,1))*(1-LAB_COIN_DISCOUNT()))))))</f>
        <v>3.98E+16</v>
      </c>
      <c r="T177" s="567" t="str">
        <f t="shared" si="13"/>
        <v>39.8 q</v>
      </c>
      <c r="U177" s="568" t="str">
        <f t="shared" si="14"/>
        <v>11.6 T/h</v>
      </c>
      <c r="V177" s="569">
        <f t="array" ref="V177">LET(
  Match, MATCH(IF(ISNUMBER(SEARCH("Mastery",$A177)),"Card Mastery",$A177),DVT_Laboratory!B$1:V$1,0)-1,
  Offset, OFFSET(DVT_Laboratory!B$3,0,Match,100,1),
  Desired, IF(P177&lt;&gt;"", P177,D177),
IF(Desired&gt;D177,"Desired lvl too high",
IF(AND(Desired=D177,OR(C177=D177,C177="Max")),"Max Level",
IF(Desired&lt;=C177,"Desired lvl too low",
SUM(TIME_TO_RUSH_GEMS(
    XLOOKUP(C177+1, SEQUENCE(100,1,1,1), Offset, "N/F", 0, 1):
    XLOOKUP(Desired, SEQUENCE(100,1,1,1), Offset, "N/F", 0, 1)/LAB_SPEED_TOTAL(
), IDS_LAB_GODLBOXED_COUNT()))))))</f>
        <v>10365</v>
      </c>
    </row>
    <row r="178">
      <c r="A178" s="560" t="s">
        <v>353</v>
      </c>
      <c r="B178" s="561" t="str">
        <f t="shared" si="1"/>
        <v/>
      </c>
      <c r="C178" s="562">
        <f>VLOOKUP($A178,MS_Labs_Array,2,FALSE)</f>
        <v>0</v>
      </c>
      <c r="D178" s="563">
        <f>VLOOKUP($A178,MS_Labs_Array,4,FALSE)</f>
        <v>9</v>
      </c>
      <c r="E178" s="563" t="str">
        <f t="shared" si="22"/>
        <v>T16 100</v>
      </c>
      <c r="F178" s="564">
        <f t="shared" si="17"/>
        <v>5.295847208</v>
      </c>
      <c r="G178" s="565" t="str">
        <f t="shared" si="3"/>
        <v>5d  7h  6m</v>
      </c>
      <c r="H178" s="566">
        <f t="shared" si="4"/>
        <v>875600000000000</v>
      </c>
      <c r="I178" s="566">
        <f t="shared" si="5"/>
        <v>1.0348E+15</v>
      </c>
      <c r="J178" s="567" t="str">
        <f t="shared" si="6"/>
        <v>875.6 T</v>
      </c>
      <c r="K178" s="568" t="str">
        <f t="shared" si="7"/>
        <v>8.14 T/h</v>
      </c>
      <c r="L178" s="569">
        <f t="shared" si="23"/>
        <v>444</v>
      </c>
      <c r="M178" s="561" t="str">
        <f t="shared" si="24"/>
        <v>7d 22h 39m</v>
      </c>
      <c r="N178" s="567" t="str">
        <f t="shared" si="10"/>
        <v>1.03 q</v>
      </c>
      <c r="O178" s="569">
        <f t="shared" si="25"/>
        <v>643</v>
      </c>
      <c r="P178" s="570" t="str">
        <f>VLOOKUP($A178,MS_Labs_Array,3,FALSE)</f>
        <v/>
      </c>
      <c r="Q178" s="561">
        <f>IFERROR(__xludf.DUMMYFUNCTION("LET(
  Labspeed, IF(A178=""Labs Speed"", 1+'Master Sheet'!$BK$5, LAB_SPEED_TOTAL()),
  Match, MATCH(IF(ISNUMBER(SEARCH(""Mastery"",$A178)),""Card Mastery"",$A178),DVT_Laboratory!B$1:V$1,0)-1,
  Offset, INDEX(DVT_Laboratory!B$3:ZZ$102,,Match+1),
  Desired,"&amp;" IF(P178&lt;&gt;"""", P178,D178),
  IFS(
    Desired &gt; D178, ""Desired lvl too high"",
    AND(Desired = D178, OR(C178 = D178, C178 = ""Max"")), ""Max Level"",
    Desired = C178, ""OK Level"",
    Desired &lt; C178, ""Desired lvl too low"",
    TRUE, TO_PURE_NUMB"&amp;"ER(
      SUM(
        XLOOKUP($C178 + 1, SEQUENCE(100, 1, 1, 1), Offset, ""N/F"", 0, 1): 
        XLOOKUP(Desired, SEQUENCE(100, 1, 1, 1), Offset, ""N/F"", 0, 1)
      ) / Labspeed
    ) /
    IF(AND(B178 &lt;&gt; """", $B$1 = ""All""), RIGHT(B178, 3), 1)
  )
"&amp;")"),142.9878746282315)</f>
        <v>142.9878746</v>
      </c>
      <c r="R178" s="565" t="str">
        <f t="shared" si="12"/>
        <v>142d 23h 42m</v>
      </c>
      <c r="S178" s="567">
        <f t="array" ref="S178">LET(
  Match, MATCH(IF(ISNUMBER(SEARCH("Mastery",$A178)),"Card Mastery",$A178),DVT_Laboratory!B$1:V$1,0)-1,
  Offset, OFFSET(DVT_Laboratory!C$3,0,Match,100,1),
  Desired, IF(P178&lt;&gt;"", P178,D178),
IF(Desired&gt;D178,"Desired lvl too high",
IF(AND(Desired=D178,OR(C178=D178,C178="Max")),"Max Level",
IF(Desired=C178,"OK Level",
IF(Desired&lt;C178,"Desired lvl too low",
SUM(
XLOOKUP(C178+1,SEQUENCE(100,1,1,1),Offset,"N/F",0,1)
:XLOOKUP(Desired,SEQUENCE(100,1,1,1),Offset,"N/F",0,1))*(1-LAB_COIN_DISCOUNT()))))))</f>
        <v>3.98E+16</v>
      </c>
      <c r="T178" s="567" t="str">
        <f t="shared" si="13"/>
        <v>39.8 q</v>
      </c>
      <c r="U178" s="568" t="str">
        <f t="shared" si="14"/>
        <v>11.6 T/h</v>
      </c>
      <c r="V178" s="569">
        <f t="array" ref="V178">LET(
  Match, MATCH(IF(ISNUMBER(SEARCH("Mastery",$A178)),"Card Mastery",$A178),DVT_Laboratory!B$1:V$1,0)-1,
  Offset, OFFSET(DVT_Laboratory!B$3,0,Match,100,1),
  Desired, IF(P178&lt;&gt;"", P178,D178),
IF(Desired&gt;D178,"Desired lvl too high",
IF(AND(Desired=D178,OR(C178=D178,C178="Max")),"Max Level",
IF(Desired&lt;=C178,"Desired lvl too low",
SUM(TIME_TO_RUSH_GEMS(
    XLOOKUP(C178+1, SEQUENCE(100,1,1,1), Offset, "N/F", 0, 1):
    XLOOKUP(Desired, SEQUENCE(100,1,1,1), Offset, "N/F", 0, 1)/LAB_SPEED_TOTAL(
), IDS_LAB_GODLBOXED_COUNT()))))))</f>
        <v>10365</v>
      </c>
    </row>
    <row r="179">
      <c r="A179" s="560" t="s">
        <v>355</v>
      </c>
      <c r="B179" s="561" t="str">
        <f t="shared" si="1"/>
        <v/>
      </c>
      <c r="C179" s="562">
        <f>VLOOKUP($A179,MS_Labs_Array,2,FALSE)</f>
        <v>0</v>
      </c>
      <c r="D179" s="563">
        <f>VLOOKUP($A179,MS_Labs_Array,4,FALSE)</f>
        <v>9</v>
      </c>
      <c r="E179" s="563" t="str">
        <f t="shared" si="22"/>
        <v>T16 100</v>
      </c>
      <c r="F179" s="564">
        <f t="shared" si="17"/>
        <v>5.295847208</v>
      </c>
      <c r="G179" s="565" t="str">
        <f t="shared" si="3"/>
        <v>5d  7h  6m</v>
      </c>
      <c r="H179" s="566">
        <f t="shared" si="4"/>
        <v>875600000000000</v>
      </c>
      <c r="I179" s="566">
        <f t="shared" si="5"/>
        <v>1.0348E+15</v>
      </c>
      <c r="J179" s="567" t="str">
        <f t="shared" si="6"/>
        <v>875.6 T</v>
      </c>
      <c r="K179" s="568" t="str">
        <f t="shared" si="7"/>
        <v>8.14 T/h</v>
      </c>
      <c r="L179" s="569">
        <f t="shared" si="23"/>
        <v>444</v>
      </c>
      <c r="M179" s="561" t="str">
        <f t="shared" si="24"/>
        <v>7d 22h 39m</v>
      </c>
      <c r="N179" s="567" t="str">
        <f t="shared" si="10"/>
        <v>1.03 q</v>
      </c>
      <c r="O179" s="569">
        <f t="shared" si="25"/>
        <v>643</v>
      </c>
      <c r="P179" s="570" t="str">
        <f>VLOOKUP($A179,MS_Labs_Array,3,FALSE)</f>
        <v/>
      </c>
      <c r="Q179" s="561">
        <f>IFERROR(__xludf.DUMMYFUNCTION("LET(
  Labspeed, IF(A179=""Labs Speed"", 1+'Master Sheet'!$BK$5, LAB_SPEED_TOTAL()),
  Match, MATCH(IF(ISNUMBER(SEARCH(""Mastery"",$A179)),""Card Mastery"",$A179),DVT_Laboratory!B$1:V$1,0)-1,
  Offset, INDEX(DVT_Laboratory!B$3:ZZ$102,,Match+1),
  Desired,"&amp;" IF(P179&lt;&gt;"""", P179,D179),
  IFS(
    Desired &gt; D179, ""Desired lvl too high"",
    AND(Desired = D179, OR(C179 = D179, C179 = ""Max"")), ""Max Level"",
    Desired = C179, ""OK Level"",
    Desired &lt; C179, ""Desired lvl too low"",
    TRUE, TO_PURE_NUMB"&amp;"ER(
      SUM(
        XLOOKUP($C179 + 1, SEQUENCE(100, 1, 1, 1), Offset, ""N/F"", 0, 1): 
        XLOOKUP(Desired, SEQUENCE(100, 1, 1, 1), Offset, ""N/F"", 0, 1)
      ) / Labspeed
    ) /
    IF(AND(B179 &lt;&gt; """", $B$1 = ""All""), RIGHT(B179, 3), 1)
  )
"&amp;")"),142.9878746282315)</f>
        <v>142.9878746</v>
      </c>
      <c r="R179" s="565" t="str">
        <f t="shared" si="12"/>
        <v>142d 23h 42m</v>
      </c>
      <c r="S179" s="567">
        <f t="array" ref="S179">LET(
  Match, MATCH(IF(ISNUMBER(SEARCH("Mastery",$A179)),"Card Mastery",$A179),DVT_Laboratory!B$1:V$1,0)-1,
  Offset, OFFSET(DVT_Laboratory!C$3,0,Match,100,1),
  Desired, IF(P179&lt;&gt;"", P179,D179),
IF(Desired&gt;D179,"Desired lvl too high",
IF(AND(Desired=D179,OR(C179=D179,C179="Max")),"Max Level",
IF(Desired=C179,"OK Level",
IF(Desired&lt;C179,"Desired lvl too low",
SUM(
XLOOKUP(C179+1,SEQUENCE(100,1,1,1),Offset,"N/F",0,1)
:XLOOKUP(Desired,SEQUENCE(100,1,1,1),Offset,"N/F",0,1))*(1-LAB_COIN_DISCOUNT()))))))</f>
        <v>3.98E+16</v>
      </c>
      <c r="T179" s="567" t="str">
        <f t="shared" si="13"/>
        <v>39.8 q</v>
      </c>
      <c r="U179" s="568" t="str">
        <f t="shared" si="14"/>
        <v>11.6 T/h</v>
      </c>
      <c r="V179" s="569">
        <f t="array" ref="V179">LET(
  Match, MATCH(IF(ISNUMBER(SEARCH("Mastery",$A179)),"Card Mastery",$A179),DVT_Laboratory!B$1:V$1,0)-1,
  Offset, OFFSET(DVT_Laboratory!B$3,0,Match,100,1),
  Desired, IF(P179&lt;&gt;"", P179,D179),
IF(Desired&gt;D179,"Desired lvl too high",
IF(AND(Desired=D179,OR(C179=D179,C179="Max")),"Max Level",
IF(Desired&lt;=C179,"Desired lvl too low",
SUM(TIME_TO_RUSH_GEMS(
    XLOOKUP(C179+1, SEQUENCE(100,1,1,1), Offset, "N/F", 0, 1):
    XLOOKUP(Desired, SEQUENCE(100,1,1,1), Offset, "N/F", 0, 1)/LAB_SPEED_TOTAL(
), IDS_LAB_GODLBOXED_COUNT()))))))</f>
        <v>10365</v>
      </c>
    </row>
    <row r="180">
      <c r="A180" s="560" t="s">
        <v>357</v>
      </c>
      <c r="B180" s="561" t="str">
        <f t="shared" si="1"/>
        <v/>
      </c>
      <c r="C180" s="562">
        <f>VLOOKUP($A180,MS_Labs_Array,2,FALSE)</f>
        <v>0</v>
      </c>
      <c r="D180" s="563">
        <f>VLOOKUP($A180,MS_Labs_Array,4,FALSE)</f>
        <v>9</v>
      </c>
      <c r="E180" s="563" t="str">
        <f t="shared" si="22"/>
        <v>T16 100</v>
      </c>
      <c r="F180" s="564">
        <f t="shared" si="17"/>
        <v>5.295847208</v>
      </c>
      <c r="G180" s="565" t="str">
        <f t="shared" si="3"/>
        <v>5d  7h  6m</v>
      </c>
      <c r="H180" s="566">
        <f t="shared" si="4"/>
        <v>875600000000000</v>
      </c>
      <c r="I180" s="566">
        <f t="shared" si="5"/>
        <v>1.0348E+15</v>
      </c>
      <c r="J180" s="567" t="str">
        <f t="shared" si="6"/>
        <v>875.6 T</v>
      </c>
      <c r="K180" s="568" t="str">
        <f t="shared" si="7"/>
        <v>8.14 T/h</v>
      </c>
      <c r="L180" s="569">
        <f t="shared" si="23"/>
        <v>444</v>
      </c>
      <c r="M180" s="561" t="str">
        <f t="shared" si="24"/>
        <v>7d 22h 39m</v>
      </c>
      <c r="N180" s="567" t="str">
        <f t="shared" si="10"/>
        <v>1.03 q</v>
      </c>
      <c r="O180" s="569">
        <f t="shared" si="25"/>
        <v>643</v>
      </c>
      <c r="P180" s="570" t="str">
        <f>VLOOKUP($A180,MS_Labs_Array,3,FALSE)</f>
        <v/>
      </c>
      <c r="Q180" s="561">
        <f>IFERROR(__xludf.DUMMYFUNCTION("LET(
  Labspeed, IF(A180=""Labs Speed"", 1+'Master Sheet'!$BK$5, LAB_SPEED_TOTAL()),
  Match, MATCH(IF(ISNUMBER(SEARCH(""Mastery"",$A180)),""Card Mastery"",$A180),DVT_Laboratory!B$1:V$1,0)-1,
  Offset, INDEX(DVT_Laboratory!B$3:ZZ$102,,Match+1),
  Desired,"&amp;" IF(P180&lt;&gt;"""", P180,D180),
  IFS(
    Desired &gt; D180, ""Desired lvl too high"",
    AND(Desired = D180, OR(C180 = D180, C180 = ""Max"")), ""Max Level"",
    Desired = C180, ""OK Level"",
    Desired &lt; C180, ""Desired lvl too low"",
    TRUE, TO_PURE_NUMB"&amp;"ER(
      SUM(
        XLOOKUP($C180 + 1, SEQUENCE(100, 1, 1, 1), Offset, ""N/F"", 0, 1): 
        XLOOKUP(Desired, SEQUENCE(100, 1, 1, 1), Offset, ""N/F"", 0, 1)
      ) / Labspeed
    ) /
    IF(AND(B180 &lt;&gt; """", $B$1 = ""All""), RIGHT(B180, 3), 1)
  )
"&amp;")"),142.9878746282315)</f>
        <v>142.9878746</v>
      </c>
      <c r="R180" s="565" t="str">
        <f t="shared" si="12"/>
        <v>142d 23h 42m</v>
      </c>
      <c r="S180" s="567">
        <f t="array" ref="S180">LET(
  Match, MATCH(IF(ISNUMBER(SEARCH("Mastery",$A180)),"Card Mastery",$A180),DVT_Laboratory!B$1:V$1,0)-1,
  Offset, OFFSET(DVT_Laboratory!C$3,0,Match,100,1),
  Desired, IF(P180&lt;&gt;"", P180,D180),
IF(Desired&gt;D180,"Desired lvl too high",
IF(AND(Desired=D180,OR(C180=D180,C180="Max")),"Max Level",
IF(Desired=C180,"OK Level",
IF(Desired&lt;C180,"Desired lvl too low",
SUM(
XLOOKUP(C180+1,SEQUENCE(100,1,1,1),Offset,"N/F",0,1)
:XLOOKUP(Desired,SEQUENCE(100,1,1,1),Offset,"N/F",0,1))*(1-LAB_COIN_DISCOUNT()))))))</f>
        <v>3.98E+16</v>
      </c>
      <c r="T180" s="567" t="str">
        <f t="shared" si="13"/>
        <v>39.8 q</v>
      </c>
      <c r="U180" s="568" t="str">
        <f t="shared" si="14"/>
        <v>11.6 T/h</v>
      </c>
      <c r="V180" s="569">
        <f t="array" ref="V180">LET(
  Match, MATCH(IF(ISNUMBER(SEARCH("Mastery",$A180)),"Card Mastery",$A180),DVT_Laboratory!B$1:V$1,0)-1,
  Offset, OFFSET(DVT_Laboratory!B$3,0,Match,100,1),
  Desired, IF(P180&lt;&gt;"", P180,D180),
IF(Desired&gt;D180,"Desired lvl too high",
IF(AND(Desired=D180,OR(C180=D180,C180="Max")),"Max Level",
IF(Desired&lt;=C180,"Desired lvl too low",
SUM(TIME_TO_RUSH_GEMS(
    XLOOKUP(C180+1, SEQUENCE(100,1,1,1), Offset, "N/F", 0, 1):
    XLOOKUP(Desired, SEQUENCE(100,1,1,1), Offset, "N/F", 0, 1)/LAB_SPEED_TOTAL(
), IDS_LAB_GODLBOXED_COUNT()))))))</f>
        <v>10365</v>
      </c>
    </row>
    <row r="181">
      <c r="A181" s="560" t="s">
        <v>359</v>
      </c>
      <c r="B181" s="561" t="str">
        <f t="shared" si="1"/>
        <v/>
      </c>
      <c r="C181" s="562">
        <f>VLOOKUP($A181,MS_Labs_Array,2,FALSE)</f>
        <v>0</v>
      </c>
      <c r="D181" s="563">
        <f>VLOOKUP($A181,MS_Labs_Array,4,FALSE)</f>
        <v>9</v>
      </c>
      <c r="E181" s="563" t="str">
        <f t="shared" si="22"/>
        <v>T16 100</v>
      </c>
      <c r="F181" s="564">
        <f t="shared" si="17"/>
        <v>5.295847208</v>
      </c>
      <c r="G181" s="565" t="str">
        <f t="shared" si="3"/>
        <v>5d  7h  6m</v>
      </c>
      <c r="H181" s="566">
        <f t="shared" si="4"/>
        <v>875600000000000</v>
      </c>
      <c r="I181" s="566">
        <f t="shared" si="5"/>
        <v>1.0348E+15</v>
      </c>
      <c r="J181" s="567" t="str">
        <f t="shared" si="6"/>
        <v>875.6 T</v>
      </c>
      <c r="K181" s="568" t="str">
        <f t="shared" si="7"/>
        <v>8.14 T/h</v>
      </c>
      <c r="L181" s="569">
        <f t="shared" si="23"/>
        <v>444</v>
      </c>
      <c r="M181" s="561" t="str">
        <f t="shared" si="24"/>
        <v>7d 22h 39m</v>
      </c>
      <c r="N181" s="567" t="str">
        <f t="shared" si="10"/>
        <v>1.03 q</v>
      </c>
      <c r="O181" s="569">
        <f t="shared" si="25"/>
        <v>643</v>
      </c>
      <c r="P181" s="570" t="str">
        <f>VLOOKUP($A181,MS_Labs_Array,3,FALSE)</f>
        <v/>
      </c>
      <c r="Q181" s="561">
        <f>IFERROR(__xludf.DUMMYFUNCTION("LET(
  Labspeed, IF(A181=""Labs Speed"", 1+'Master Sheet'!$BK$5, LAB_SPEED_TOTAL()),
  Match, MATCH(IF(ISNUMBER(SEARCH(""Mastery"",$A181)),""Card Mastery"",$A181),DVT_Laboratory!B$1:V$1,0)-1,
  Offset, INDEX(DVT_Laboratory!B$3:ZZ$102,,Match+1),
  Desired,"&amp;" IF(P181&lt;&gt;"""", P181,D181),
  IFS(
    Desired &gt; D181, ""Desired lvl too high"",
    AND(Desired = D181, OR(C181 = D181, C181 = ""Max"")), ""Max Level"",
    Desired = C181, ""OK Level"",
    Desired &lt; C181, ""Desired lvl too low"",
    TRUE, TO_PURE_NUMB"&amp;"ER(
      SUM(
        XLOOKUP($C181 + 1, SEQUENCE(100, 1, 1, 1), Offset, ""N/F"", 0, 1): 
        XLOOKUP(Desired, SEQUENCE(100, 1, 1, 1), Offset, ""N/F"", 0, 1)
      ) / Labspeed
    ) /
    IF(AND(B181 &lt;&gt; """", $B$1 = ""All""), RIGHT(B181, 3), 1)
  )
"&amp;")"),142.9878746282315)</f>
        <v>142.9878746</v>
      </c>
      <c r="R181" s="565" t="str">
        <f t="shared" si="12"/>
        <v>142d 23h 42m</v>
      </c>
      <c r="S181" s="567">
        <f t="array" ref="S181">LET(
  Match, MATCH(IF(ISNUMBER(SEARCH("Mastery",$A181)),"Card Mastery",$A181),DVT_Laboratory!B$1:V$1,0)-1,
  Offset, OFFSET(DVT_Laboratory!C$3,0,Match,100,1),
  Desired, IF(P181&lt;&gt;"", P181,D181),
IF(Desired&gt;D181,"Desired lvl too high",
IF(AND(Desired=D181,OR(C181=D181,C181="Max")),"Max Level",
IF(Desired=C181,"OK Level",
IF(Desired&lt;C181,"Desired lvl too low",
SUM(
XLOOKUP(C181+1,SEQUENCE(100,1,1,1),Offset,"N/F",0,1)
:XLOOKUP(Desired,SEQUENCE(100,1,1,1),Offset,"N/F",0,1))*(1-LAB_COIN_DISCOUNT()))))))</f>
        <v>3.98E+16</v>
      </c>
      <c r="T181" s="567" t="str">
        <f t="shared" si="13"/>
        <v>39.8 q</v>
      </c>
      <c r="U181" s="568" t="str">
        <f t="shared" si="14"/>
        <v>11.6 T/h</v>
      </c>
      <c r="V181" s="569">
        <f t="array" ref="V181">LET(
  Match, MATCH(IF(ISNUMBER(SEARCH("Mastery",$A181)),"Card Mastery",$A181),DVT_Laboratory!B$1:V$1,0)-1,
  Offset, OFFSET(DVT_Laboratory!B$3,0,Match,100,1),
  Desired, IF(P181&lt;&gt;"", P181,D181),
IF(Desired&gt;D181,"Desired lvl too high",
IF(AND(Desired=D181,OR(C181=D181,C181="Max")),"Max Level",
IF(Desired&lt;=C181,"Desired lvl too low",
SUM(TIME_TO_RUSH_GEMS(
    XLOOKUP(C181+1, SEQUENCE(100,1,1,1), Offset, "N/F", 0, 1):
    XLOOKUP(Desired, SEQUENCE(100,1,1,1), Offset, "N/F", 0, 1)/LAB_SPEED_TOTAL(
), IDS_LAB_GODLBOXED_COUNT()))))))</f>
        <v>10365</v>
      </c>
    </row>
    <row r="182">
      <c r="A182" s="560" t="s">
        <v>361</v>
      </c>
      <c r="B182" s="561" t="str">
        <f t="shared" si="1"/>
        <v/>
      </c>
      <c r="C182" s="562">
        <f>VLOOKUP($A182,MS_Labs_Array,2,FALSE)</f>
        <v>3</v>
      </c>
      <c r="D182" s="563">
        <f>VLOOKUP($A182,MS_Labs_Array,4,FALSE)</f>
        <v>9</v>
      </c>
      <c r="E182" s="563" t="str">
        <f t="shared" si="22"/>
        <v>T16 100</v>
      </c>
      <c r="F182" s="564">
        <f t="shared" si="17"/>
        <v>13.23961802</v>
      </c>
      <c r="G182" s="565" t="str">
        <f t="shared" si="3"/>
        <v>13d  5h 45m</v>
      </c>
      <c r="H182" s="566">
        <f t="shared" si="4"/>
        <v>2.7064E+15</v>
      </c>
      <c r="I182" s="566">
        <f t="shared" si="5"/>
        <v>4.4576E+15</v>
      </c>
      <c r="J182" s="567" t="str">
        <f t="shared" si="6"/>
        <v>2.71 q</v>
      </c>
      <c r="K182" s="568" t="str">
        <f t="shared" si="7"/>
        <v>14.03 T/h</v>
      </c>
      <c r="L182" s="569">
        <f t="shared" si="23"/>
        <v>984</v>
      </c>
      <c r="M182" s="561" t="str">
        <f t="shared" si="24"/>
        <v>15d 21h 18m</v>
      </c>
      <c r="N182" s="567" t="str">
        <f t="shared" si="10"/>
        <v>4.46 q</v>
      </c>
      <c r="O182" s="569">
        <f t="shared" si="25"/>
        <v>1155</v>
      </c>
      <c r="P182" s="570" t="str">
        <f>VLOOKUP($A182,MS_Labs_Array,3,FALSE)</f>
        <v/>
      </c>
      <c r="Q182" s="561">
        <f>IFERROR(__xludf.DUMMYFUNCTION("LET(
  Labspeed, IF(A182=""Labs Speed"", 1+'Master Sheet'!$BK$5, LAB_SPEED_TOTAL()),
  Match, MATCH(IF(ISNUMBER(SEARCH(""Mastery"",$A182)),""Card Mastery"",$A182),DVT_Laboratory!B$1:V$1,0)-1,
  Offset, INDEX(DVT_Laboratory!B$3:ZZ$102,,Match+1),
  Desired,"&amp;" IF(P182&lt;&gt;"""", P182,D182),
  IFS(
    Desired &gt; D182, ""Desired lvl too high"",
    AND(Desired = D182, OR(C182 = D182, C182 = ""Max"")), ""Max Level"",
    Desired = C182, ""OK Level"",
    Desired &lt; C182, ""Desired lvl too low"",
    TRUE, TO_PURE_NUMB"&amp;"ER(
      SUM(
        XLOOKUP($C182 + 1, SEQUENCE(100, 1, 1, 1), Offset, ""N/F"", 0, 1): 
        XLOOKUP(Desired, SEQUENCE(100, 1, 1, 1), Offset, ""N/F"", 0, 1)
      ) / Labspeed
    ) /
    IF(AND(B182 &lt;&gt; """", $B$1 = ""All""), RIGHT(B182, 3), 1)
  )
"&amp;")"),119.15656219019293)</f>
        <v>119.1565622</v>
      </c>
      <c r="R182" s="565" t="str">
        <f t="shared" si="12"/>
        <v>119d  3h 45m</v>
      </c>
      <c r="S182" s="567">
        <f t="array" ref="S182">LET(
  Match, MATCH(IF(ISNUMBER(SEARCH("Mastery",$A182)),"Card Mastery",$A182),DVT_Laboratory!B$1:V$1,0)-1,
  Offset, OFFSET(DVT_Laboratory!C$3,0,Match,100,1),
  Desired, IF(P182&lt;&gt;"", P182,D182),
IF(Desired&gt;D182,"Desired lvl too high",
IF(AND(Desired=D182,OR(C182=D182,C182="Max")),"Max Level",
IF(Desired=C182,"OK Level",
IF(Desired&lt;C182,"Desired lvl too low",
SUM(
XLOOKUP(C182+1,SEQUENCE(100,1,1,1),Offset,"N/F",0,1)
:XLOOKUP(Desired,SEQUENCE(100,1,1,1),Offset,"N/F",0,1))*(1-LAB_COIN_DISCOUNT()))))))</f>
        <v>3.62976E+16</v>
      </c>
      <c r="T182" s="567" t="str">
        <f t="shared" si="13"/>
        <v>36.3 q</v>
      </c>
      <c r="U182" s="568" t="str">
        <f t="shared" si="14"/>
        <v>12.69 T/h</v>
      </c>
      <c r="V182" s="569">
        <f t="array" ref="V182">LET(
  Match, MATCH(IF(ISNUMBER(SEARCH("Mastery",$A182)),"Card Mastery",$A182),DVT_Laboratory!B$1:V$1,0)-1,
  Offset, OFFSET(DVT_Laboratory!B$3,0,Match,100,1),
  Desired, IF(P182&lt;&gt;"", P182,D182),
IF(Desired&gt;D182,"Desired lvl too high",
IF(AND(Desired=D182,OR(C182=D182,C182="Max")),"Max Level",
IF(Desired&lt;=C182,"Desired lvl too low",
SUM(TIME_TO_RUSH_GEMS(
    XLOOKUP(C182+1, SEQUENCE(100,1,1,1), Offset, "N/F", 0, 1):
    XLOOKUP(Desired, SEQUENCE(100,1,1,1), Offset, "N/F", 0, 1)/LAB_SPEED_TOTAL(
), IDS_LAB_GODLBOXED_COUNT()))))))</f>
        <v>8465</v>
      </c>
    </row>
    <row r="183">
      <c r="A183" s="560" t="s">
        <v>363</v>
      </c>
      <c r="B183" s="561" t="str">
        <f t="shared" si="1"/>
        <v/>
      </c>
      <c r="C183" s="562">
        <f>VLOOKUP($A183,MS_Labs_Array,2,FALSE)</f>
        <v>0</v>
      </c>
      <c r="D183" s="563">
        <f>VLOOKUP($A183,MS_Labs_Array,4,FALSE)</f>
        <v>9</v>
      </c>
      <c r="E183" s="563" t="str">
        <f t="shared" si="22"/>
        <v>T16 100</v>
      </c>
      <c r="F183" s="564">
        <f t="shared" si="17"/>
        <v>5.295847208</v>
      </c>
      <c r="G183" s="565" t="str">
        <f t="shared" si="3"/>
        <v>5d  7h  6m</v>
      </c>
      <c r="H183" s="566">
        <f t="shared" si="4"/>
        <v>875600000000000</v>
      </c>
      <c r="I183" s="566">
        <f t="shared" si="5"/>
        <v>1.0348E+15</v>
      </c>
      <c r="J183" s="567" t="str">
        <f t="shared" si="6"/>
        <v>875.6 T</v>
      </c>
      <c r="K183" s="568" t="str">
        <f t="shared" si="7"/>
        <v>8.14 T/h</v>
      </c>
      <c r="L183" s="569">
        <f t="shared" si="23"/>
        <v>444</v>
      </c>
      <c r="M183" s="561" t="str">
        <f t="shared" si="24"/>
        <v>7d 22h 39m</v>
      </c>
      <c r="N183" s="567" t="str">
        <f t="shared" si="10"/>
        <v>1.03 q</v>
      </c>
      <c r="O183" s="569">
        <f t="shared" si="25"/>
        <v>643</v>
      </c>
      <c r="P183" s="570" t="str">
        <f>VLOOKUP($A183,MS_Labs_Array,3,FALSE)</f>
        <v/>
      </c>
      <c r="Q183" s="561">
        <f>IFERROR(__xludf.DUMMYFUNCTION("LET(
  Labspeed, IF(A183=""Labs Speed"", 1+'Master Sheet'!$BK$5, LAB_SPEED_TOTAL()),
  Match, MATCH(IF(ISNUMBER(SEARCH(""Mastery"",$A183)),""Card Mastery"",$A183),DVT_Laboratory!B$1:V$1,0)-1,
  Offset, INDEX(DVT_Laboratory!B$3:ZZ$102,,Match+1),
  Desired,"&amp;" IF(P183&lt;&gt;"""", P183,D183),
  IFS(
    Desired &gt; D183, ""Desired lvl too high"",
    AND(Desired = D183, OR(C183 = D183, C183 = ""Max"")), ""Max Level"",
    Desired = C183, ""OK Level"",
    Desired &lt; C183, ""Desired lvl too low"",
    TRUE, TO_PURE_NUMB"&amp;"ER(
      SUM(
        XLOOKUP($C183 + 1, SEQUENCE(100, 1, 1, 1), Offset, ""N/F"", 0, 1): 
        XLOOKUP(Desired, SEQUENCE(100, 1, 1, 1), Offset, ""N/F"", 0, 1)
      ) / Labspeed
    ) /
    IF(AND(B183 &lt;&gt; """", $B$1 = ""All""), RIGHT(B183, 3), 1)
  )
"&amp;")"),142.9878746282315)</f>
        <v>142.9878746</v>
      </c>
      <c r="R183" s="565" t="str">
        <f t="shared" si="12"/>
        <v>142d 23h 42m</v>
      </c>
      <c r="S183" s="567">
        <f t="array" ref="S183">LET(
  Match, MATCH(IF(ISNUMBER(SEARCH("Mastery",$A183)),"Card Mastery",$A183),DVT_Laboratory!B$1:V$1,0)-1,
  Offset, OFFSET(DVT_Laboratory!C$3,0,Match,100,1),
  Desired, IF(P183&lt;&gt;"", P183,D183),
IF(Desired&gt;D183,"Desired lvl too high",
IF(AND(Desired=D183,OR(C183=D183,C183="Max")),"Max Level",
IF(Desired=C183,"OK Level",
IF(Desired&lt;C183,"Desired lvl too low",
SUM(
XLOOKUP(C183+1,SEQUENCE(100,1,1,1),Offset,"N/F",0,1)
:XLOOKUP(Desired,SEQUENCE(100,1,1,1),Offset,"N/F",0,1))*(1-LAB_COIN_DISCOUNT()))))))</f>
        <v>3.98E+16</v>
      </c>
      <c r="T183" s="567" t="str">
        <f t="shared" si="13"/>
        <v>39.8 q</v>
      </c>
      <c r="U183" s="568" t="str">
        <f t="shared" si="14"/>
        <v>11.6 T/h</v>
      </c>
      <c r="V183" s="569">
        <f t="array" ref="V183">LET(
  Match, MATCH(IF(ISNUMBER(SEARCH("Mastery",$A183)),"Card Mastery",$A183),DVT_Laboratory!B$1:V$1,0)-1,
  Offset, OFFSET(DVT_Laboratory!B$3,0,Match,100,1),
  Desired, IF(P183&lt;&gt;"", P183,D183),
IF(Desired&gt;D183,"Desired lvl too high",
IF(AND(Desired=D183,OR(C183=D183,C183="Max")),"Max Level",
IF(Desired&lt;=C183,"Desired lvl too low",
SUM(TIME_TO_RUSH_GEMS(
    XLOOKUP(C183+1, SEQUENCE(100,1,1,1), Offset, "N/F", 0, 1):
    XLOOKUP(Desired, SEQUENCE(100,1,1,1), Offset, "N/F", 0, 1)/LAB_SPEED_TOTAL(
), IDS_LAB_GODLBOXED_COUNT()))))))</f>
        <v>10365</v>
      </c>
    </row>
    <row r="184">
      <c r="A184" s="560" t="s">
        <v>365</v>
      </c>
      <c r="B184" s="561" t="str">
        <f t="shared" si="1"/>
        <v/>
      </c>
      <c r="C184" s="562">
        <f>VLOOKUP($A184,MS_Labs_Array,2,FALSE)</f>
        <v>0</v>
      </c>
      <c r="D184" s="563">
        <f>VLOOKUP($A184,MS_Labs_Array,4,FALSE)</f>
        <v>9</v>
      </c>
      <c r="E184" s="563" t="str">
        <f t="shared" si="22"/>
        <v>T16 100</v>
      </c>
      <c r="F184" s="564">
        <f t="shared" si="17"/>
        <v>5.295847208</v>
      </c>
      <c r="G184" s="565" t="str">
        <f t="shared" si="3"/>
        <v>5d  7h  6m</v>
      </c>
      <c r="H184" s="566">
        <f t="shared" si="4"/>
        <v>875600000000000</v>
      </c>
      <c r="I184" s="566">
        <f t="shared" si="5"/>
        <v>1.0348E+15</v>
      </c>
      <c r="J184" s="567" t="str">
        <f t="shared" si="6"/>
        <v>875.6 T</v>
      </c>
      <c r="K184" s="568" t="str">
        <f t="shared" si="7"/>
        <v>8.14 T/h</v>
      </c>
      <c r="L184" s="569">
        <f t="shared" si="23"/>
        <v>444</v>
      </c>
      <c r="M184" s="561" t="str">
        <f t="shared" si="24"/>
        <v>7d 22h 39m</v>
      </c>
      <c r="N184" s="567" t="str">
        <f t="shared" si="10"/>
        <v>1.03 q</v>
      </c>
      <c r="O184" s="569">
        <f t="shared" si="25"/>
        <v>643</v>
      </c>
      <c r="P184" s="570" t="str">
        <f>VLOOKUP($A184,MS_Labs_Array,3,FALSE)</f>
        <v/>
      </c>
      <c r="Q184" s="561">
        <f>IFERROR(__xludf.DUMMYFUNCTION("LET(
  Labspeed, IF(A184=""Labs Speed"", 1+'Master Sheet'!$BK$5, LAB_SPEED_TOTAL()),
  Match, MATCH(IF(ISNUMBER(SEARCH(""Mastery"",$A184)),""Card Mastery"",$A184),DVT_Laboratory!B$1:V$1,0)-1,
  Offset, INDEX(DVT_Laboratory!B$3:ZZ$102,,Match+1),
  Desired,"&amp;" IF(P184&lt;&gt;"""", P184,D184),
  IFS(
    Desired &gt; D184, ""Desired lvl too high"",
    AND(Desired = D184, OR(C184 = D184, C184 = ""Max"")), ""Max Level"",
    Desired = C184, ""OK Level"",
    Desired &lt; C184, ""Desired lvl too low"",
    TRUE, TO_PURE_NUMB"&amp;"ER(
      SUM(
        XLOOKUP($C184 + 1, SEQUENCE(100, 1, 1, 1), Offset, ""N/F"", 0, 1): 
        XLOOKUP(Desired, SEQUENCE(100, 1, 1, 1), Offset, ""N/F"", 0, 1)
      ) / Labspeed
    ) /
    IF(AND(B184 &lt;&gt; """", $B$1 = ""All""), RIGHT(B184, 3), 1)
  )
"&amp;")"),142.9878746282315)</f>
        <v>142.9878746</v>
      </c>
      <c r="R184" s="565" t="str">
        <f t="shared" si="12"/>
        <v>142d 23h 42m</v>
      </c>
      <c r="S184" s="567">
        <f t="array" ref="S184">LET(
  Match, MATCH(IF(ISNUMBER(SEARCH("Mastery",$A184)),"Card Mastery",$A184),DVT_Laboratory!B$1:V$1,0)-1,
  Offset, OFFSET(DVT_Laboratory!C$3,0,Match,100,1),
  Desired, IF(P184&lt;&gt;"", P184,D184),
IF(Desired&gt;D184,"Desired lvl too high",
IF(AND(Desired=D184,OR(C184=D184,C184="Max")),"Max Level",
IF(Desired=C184,"OK Level",
IF(Desired&lt;C184,"Desired lvl too low",
SUM(
XLOOKUP(C184+1,SEQUENCE(100,1,1,1),Offset,"N/F",0,1)
:XLOOKUP(Desired,SEQUENCE(100,1,1,1),Offset,"N/F",0,1))*(1-LAB_COIN_DISCOUNT()))))))</f>
        <v>3.98E+16</v>
      </c>
      <c r="T184" s="567" t="str">
        <f t="shared" si="13"/>
        <v>39.8 q</v>
      </c>
      <c r="U184" s="568" t="str">
        <f t="shared" si="14"/>
        <v>11.6 T/h</v>
      </c>
      <c r="V184" s="569">
        <f t="array" ref="V184">LET(
  Match, MATCH(IF(ISNUMBER(SEARCH("Mastery",$A184)),"Card Mastery",$A184),DVT_Laboratory!B$1:V$1,0)-1,
  Offset, OFFSET(DVT_Laboratory!B$3,0,Match,100,1),
  Desired, IF(P184&lt;&gt;"", P184,D184),
IF(Desired&gt;D184,"Desired lvl too high",
IF(AND(Desired=D184,OR(C184=D184,C184="Max")),"Max Level",
IF(Desired&lt;=C184,"Desired lvl too low",
SUM(TIME_TO_RUSH_GEMS(
    XLOOKUP(C184+1, SEQUENCE(100,1,1,1), Offset, "N/F", 0, 1):
    XLOOKUP(Desired, SEQUENCE(100,1,1,1), Offset, "N/F", 0, 1)/LAB_SPEED_TOTAL(
), IDS_LAB_GODLBOXED_COUNT()))))))</f>
        <v>10365</v>
      </c>
    </row>
    <row r="185">
      <c r="A185" s="560" t="s">
        <v>367</v>
      </c>
      <c r="B185" s="561" t="str">
        <f t="shared" si="1"/>
        <v/>
      </c>
      <c r="C185" s="562">
        <f>VLOOKUP($A185,MS_Labs_Array,2,FALSE)</f>
        <v>0</v>
      </c>
      <c r="D185" s="563">
        <f>VLOOKUP($A185,MS_Labs_Array,4,FALSE)</f>
        <v>9</v>
      </c>
      <c r="E185" s="563" t="str">
        <f t="shared" si="22"/>
        <v>T16 100</v>
      </c>
      <c r="F185" s="564">
        <f t="shared" si="17"/>
        <v>5.295847208</v>
      </c>
      <c r="G185" s="565" t="str">
        <f t="shared" si="3"/>
        <v>5d  7h  6m</v>
      </c>
      <c r="H185" s="566">
        <f t="shared" si="4"/>
        <v>875600000000000</v>
      </c>
      <c r="I185" s="566">
        <f t="shared" si="5"/>
        <v>1.0348E+15</v>
      </c>
      <c r="J185" s="567" t="str">
        <f t="shared" si="6"/>
        <v>875.6 T</v>
      </c>
      <c r="K185" s="568" t="str">
        <f t="shared" si="7"/>
        <v>8.14 T/h</v>
      </c>
      <c r="L185" s="569">
        <f t="shared" si="23"/>
        <v>444</v>
      </c>
      <c r="M185" s="561" t="str">
        <f t="shared" si="24"/>
        <v>7d 22h 39m</v>
      </c>
      <c r="N185" s="567" t="str">
        <f t="shared" si="10"/>
        <v>1.03 q</v>
      </c>
      <c r="O185" s="569">
        <f t="shared" si="25"/>
        <v>643</v>
      </c>
      <c r="P185" s="570" t="str">
        <f>VLOOKUP($A185,MS_Labs_Array,3,FALSE)</f>
        <v/>
      </c>
      <c r="Q185" s="561">
        <f>IFERROR(__xludf.DUMMYFUNCTION("LET(
  Labspeed, IF(A185=""Labs Speed"", 1+'Master Sheet'!$BK$5, LAB_SPEED_TOTAL()),
  Match, MATCH(IF(ISNUMBER(SEARCH(""Mastery"",$A185)),""Card Mastery"",$A185),DVT_Laboratory!B$1:V$1,0)-1,
  Offset, INDEX(DVT_Laboratory!B$3:ZZ$102,,Match+1),
  Desired,"&amp;" IF(P185&lt;&gt;"""", P185,D185),
  IFS(
    Desired &gt; D185, ""Desired lvl too high"",
    AND(Desired = D185, OR(C185 = D185, C185 = ""Max"")), ""Max Level"",
    Desired = C185, ""OK Level"",
    Desired &lt; C185, ""Desired lvl too low"",
    TRUE, TO_PURE_NUMB"&amp;"ER(
      SUM(
        XLOOKUP($C185 + 1, SEQUENCE(100, 1, 1, 1), Offset, ""N/F"", 0, 1): 
        XLOOKUP(Desired, SEQUENCE(100, 1, 1, 1), Offset, ""N/F"", 0, 1)
      ) / Labspeed
    ) /
    IF(AND(B185 &lt;&gt; """", $B$1 = ""All""), RIGHT(B185, 3), 1)
  )
"&amp;")"),142.9878746282315)</f>
        <v>142.9878746</v>
      </c>
      <c r="R185" s="565" t="str">
        <f t="shared" si="12"/>
        <v>142d 23h 42m</v>
      </c>
      <c r="S185" s="567">
        <f t="array" ref="S185">LET(
  Match, MATCH(IF(ISNUMBER(SEARCH("Mastery",$A185)),"Card Mastery",$A185),DVT_Laboratory!B$1:V$1,0)-1,
  Offset, OFFSET(DVT_Laboratory!C$3,0,Match,100,1),
  Desired, IF(P185&lt;&gt;"", P185,D185),
IF(Desired&gt;D185,"Desired lvl too high",
IF(AND(Desired=D185,OR(C185=D185,C185="Max")),"Max Level",
IF(Desired=C185,"OK Level",
IF(Desired&lt;C185,"Desired lvl too low",
SUM(
XLOOKUP(C185+1,SEQUENCE(100,1,1,1),Offset,"N/F",0,1)
:XLOOKUP(Desired,SEQUENCE(100,1,1,1),Offset,"N/F",0,1))*(1-LAB_COIN_DISCOUNT()))))))</f>
        <v>3.98E+16</v>
      </c>
      <c r="T185" s="567" t="str">
        <f t="shared" si="13"/>
        <v>39.8 q</v>
      </c>
      <c r="U185" s="568" t="str">
        <f t="shared" si="14"/>
        <v>11.6 T/h</v>
      </c>
      <c r="V185" s="569">
        <f t="array" ref="V185">LET(
  Match, MATCH(IF(ISNUMBER(SEARCH("Mastery",$A185)),"Card Mastery",$A185),DVT_Laboratory!B$1:V$1,0)-1,
  Offset, OFFSET(DVT_Laboratory!B$3,0,Match,100,1),
  Desired, IF(P185&lt;&gt;"", P185,D185),
IF(Desired&gt;D185,"Desired lvl too high",
IF(AND(Desired=D185,OR(C185=D185,C185="Max")),"Max Level",
IF(Desired&lt;=C185,"Desired lvl too low",
SUM(TIME_TO_RUSH_GEMS(
    XLOOKUP(C185+1, SEQUENCE(100,1,1,1), Offset, "N/F", 0, 1):
    XLOOKUP(Desired, SEQUENCE(100,1,1,1), Offset, "N/F", 0, 1)/LAB_SPEED_TOTAL(
), IDS_LAB_GODLBOXED_COUNT()))))))</f>
        <v>10365</v>
      </c>
    </row>
    <row r="186">
      <c r="A186" s="560" t="s">
        <v>369</v>
      </c>
      <c r="B186" s="561" t="str">
        <f t="shared" si="1"/>
        <v/>
      </c>
      <c r="C186" s="562">
        <f>VLOOKUP($A186,MS_Labs_Array,2,FALSE)</f>
        <v>0</v>
      </c>
      <c r="D186" s="563">
        <f>VLOOKUP($A186,MS_Labs_Array,4,FALSE)</f>
        <v>9</v>
      </c>
      <c r="E186" s="563" t="str">
        <f t="shared" si="22"/>
        <v>T16 100</v>
      </c>
      <c r="F186" s="564">
        <f t="shared" si="17"/>
        <v>5.295847208</v>
      </c>
      <c r="G186" s="565" t="str">
        <f t="shared" si="3"/>
        <v>5d  7h  6m</v>
      </c>
      <c r="H186" s="566">
        <f t="shared" si="4"/>
        <v>875600000000000</v>
      </c>
      <c r="I186" s="566">
        <f t="shared" si="5"/>
        <v>1.0348E+15</v>
      </c>
      <c r="J186" s="567" t="str">
        <f t="shared" si="6"/>
        <v>875.6 T</v>
      </c>
      <c r="K186" s="568" t="str">
        <f t="shared" si="7"/>
        <v>8.14 T/h</v>
      </c>
      <c r="L186" s="569">
        <f t="shared" si="23"/>
        <v>444</v>
      </c>
      <c r="M186" s="561" t="str">
        <f t="shared" si="24"/>
        <v>7d 22h 39m</v>
      </c>
      <c r="N186" s="567" t="str">
        <f t="shared" si="10"/>
        <v>1.03 q</v>
      </c>
      <c r="O186" s="569">
        <f t="shared" si="25"/>
        <v>643</v>
      </c>
      <c r="P186" s="570" t="str">
        <f>VLOOKUP($A186,MS_Labs_Array,3,FALSE)</f>
        <v/>
      </c>
      <c r="Q186" s="561">
        <f>IFERROR(__xludf.DUMMYFUNCTION("LET(
  Labspeed, IF(A186=""Labs Speed"", 1+'Master Sheet'!$BK$5, LAB_SPEED_TOTAL()),
  Match, MATCH(IF(ISNUMBER(SEARCH(""Mastery"",$A186)),""Card Mastery"",$A186),DVT_Laboratory!B$1:V$1,0)-1,
  Offset, INDEX(DVT_Laboratory!B$3:ZZ$102,,Match+1),
  Desired,"&amp;" IF(P186&lt;&gt;"""", P186,D186),
  IFS(
    Desired &gt; D186, ""Desired lvl too high"",
    AND(Desired = D186, OR(C186 = D186, C186 = ""Max"")), ""Max Level"",
    Desired = C186, ""OK Level"",
    Desired &lt; C186, ""Desired lvl too low"",
    TRUE, TO_PURE_NUMB"&amp;"ER(
      SUM(
        XLOOKUP($C186 + 1, SEQUENCE(100, 1, 1, 1), Offset, ""N/F"", 0, 1): 
        XLOOKUP(Desired, SEQUENCE(100, 1, 1, 1), Offset, ""N/F"", 0, 1)
      ) / Labspeed
    ) /
    IF(AND(B186 &lt;&gt; """", $B$1 = ""All""), RIGHT(B186, 3), 1)
  )
"&amp;")"),142.9878746282315)</f>
        <v>142.9878746</v>
      </c>
      <c r="R186" s="565" t="str">
        <f t="shared" si="12"/>
        <v>142d 23h 42m</v>
      </c>
      <c r="S186" s="567">
        <f t="array" ref="S186">LET(
  Match, MATCH(IF(ISNUMBER(SEARCH("Mastery",$A186)),"Card Mastery",$A186),DVT_Laboratory!B$1:V$1,0)-1,
  Offset, OFFSET(DVT_Laboratory!C$3,0,Match,100,1),
  Desired, IF(P186&lt;&gt;"", P186,D186),
IF(Desired&gt;D186,"Desired lvl too high",
IF(AND(Desired=D186,OR(C186=D186,C186="Max")),"Max Level",
IF(Desired=C186,"OK Level",
IF(Desired&lt;C186,"Desired lvl too low",
SUM(
XLOOKUP(C186+1,SEQUENCE(100,1,1,1),Offset,"N/F",0,1)
:XLOOKUP(Desired,SEQUENCE(100,1,1,1),Offset,"N/F",0,1))*(1-LAB_COIN_DISCOUNT()))))))</f>
        <v>3.98E+16</v>
      </c>
      <c r="T186" s="567" t="str">
        <f t="shared" si="13"/>
        <v>39.8 q</v>
      </c>
      <c r="U186" s="568" t="str">
        <f t="shared" si="14"/>
        <v>11.6 T/h</v>
      </c>
      <c r="V186" s="569">
        <f t="array" ref="V186">LET(
  Match, MATCH(IF(ISNUMBER(SEARCH("Mastery",$A186)),"Card Mastery",$A186),DVT_Laboratory!B$1:V$1,0)-1,
  Offset, OFFSET(DVT_Laboratory!B$3,0,Match,100,1),
  Desired, IF(P186&lt;&gt;"", P186,D186),
IF(Desired&gt;D186,"Desired lvl too high",
IF(AND(Desired=D186,OR(C186=D186,C186="Max")),"Max Level",
IF(Desired&lt;=C186,"Desired lvl too low",
SUM(TIME_TO_RUSH_GEMS(
    XLOOKUP(C186+1, SEQUENCE(100,1,1,1), Offset, "N/F", 0, 1):
    XLOOKUP(Desired, SEQUENCE(100,1,1,1), Offset, "N/F", 0, 1)/LAB_SPEED_TOTAL(
), IDS_LAB_GODLBOXED_COUNT()))))))</f>
        <v>10365</v>
      </c>
    </row>
    <row r="187">
      <c r="A187" s="560" t="s">
        <v>371</v>
      </c>
      <c r="B187" s="561" t="str">
        <f t="shared" si="1"/>
        <v/>
      </c>
      <c r="C187" s="562">
        <f>VLOOKUP($A187,MS_Labs_Array,2,FALSE)</f>
        <v>0</v>
      </c>
      <c r="D187" s="563">
        <f>VLOOKUP($A187,MS_Labs_Array,4,FALSE)</f>
        <v>9</v>
      </c>
      <c r="E187" s="563" t="str">
        <f t="shared" si="22"/>
        <v>T16 100</v>
      </c>
      <c r="F187" s="564">
        <f t="shared" si="17"/>
        <v>5.295847208</v>
      </c>
      <c r="G187" s="565" t="str">
        <f t="shared" si="3"/>
        <v>5d  7h  6m</v>
      </c>
      <c r="H187" s="566">
        <f t="shared" si="4"/>
        <v>875600000000000</v>
      </c>
      <c r="I187" s="566">
        <f t="shared" si="5"/>
        <v>1.0348E+15</v>
      </c>
      <c r="J187" s="567" t="str">
        <f t="shared" si="6"/>
        <v>875.6 T</v>
      </c>
      <c r="K187" s="568" t="str">
        <f t="shared" si="7"/>
        <v>8.14 T/h</v>
      </c>
      <c r="L187" s="569">
        <f t="shared" si="23"/>
        <v>444</v>
      </c>
      <c r="M187" s="561" t="str">
        <f t="shared" si="24"/>
        <v>7d 22h 39m</v>
      </c>
      <c r="N187" s="567" t="str">
        <f t="shared" si="10"/>
        <v>1.03 q</v>
      </c>
      <c r="O187" s="569">
        <f t="shared" si="25"/>
        <v>643</v>
      </c>
      <c r="P187" s="570" t="str">
        <f>VLOOKUP($A187,MS_Labs_Array,3,FALSE)</f>
        <v/>
      </c>
      <c r="Q187" s="561">
        <f>IFERROR(__xludf.DUMMYFUNCTION("LET(
  Labspeed, IF(A187=""Labs Speed"", 1+'Master Sheet'!$BK$5, LAB_SPEED_TOTAL()),
  Match, MATCH(IF(ISNUMBER(SEARCH(""Mastery"",$A187)),""Card Mastery"",$A187),DVT_Laboratory!B$1:V$1,0)-1,
  Offset, INDEX(DVT_Laboratory!B$3:ZZ$102,,Match+1),
  Desired,"&amp;" IF(P187&lt;&gt;"""", P187,D187),
  IFS(
    Desired &gt; D187, ""Desired lvl too high"",
    AND(Desired = D187, OR(C187 = D187, C187 = ""Max"")), ""Max Level"",
    Desired = C187, ""OK Level"",
    Desired &lt; C187, ""Desired lvl too low"",
    TRUE, TO_PURE_NUMB"&amp;"ER(
      SUM(
        XLOOKUP($C187 + 1, SEQUENCE(100, 1, 1, 1), Offset, ""N/F"", 0, 1): 
        XLOOKUP(Desired, SEQUENCE(100, 1, 1, 1), Offset, ""N/F"", 0, 1)
      ) / Labspeed
    ) /
    IF(AND(B187 &lt;&gt; """", $B$1 = ""All""), RIGHT(B187, 3), 1)
  )
"&amp;")"),142.9878746282315)</f>
        <v>142.9878746</v>
      </c>
      <c r="R187" s="565" t="str">
        <f t="shared" si="12"/>
        <v>142d 23h 42m</v>
      </c>
      <c r="S187" s="567">
        <f t="array" ref="S187">LET(
  Match, MATCH(IF(ISNUMBER(SEARCH("Mastery",$A187)),"Card Mastery",$A187),DVT_Laboratory!B$1:V$1,0)-1,
  Offset, OFFSET(DVT_Laboratory!C$3,0,Match,100,1),
  Desired, IF(P187&lt;&gt;"", P187,D187),
IF(Desired&gt;D187,"Desired lvl too high",
IF(AND(Desired=D187,OR(C187=D187,C187="Max")),"Max Level",
IF(Desired=C187,"OK Level",
IF(Desired&lt;C187,"Desired lvl too low",
SUM(
XLOOKUP(C187+1,SEQUENCE(100,1,1,1),Offset,"N/F",0,1)
:XLOOKUP(Desired,SEQUENCE(100,1,1,1),Offset,"N/F",0,1))*(1-LAB_COIN_DISCOUNT()))))))</f>
        <v>3.98E+16</v>
      </c>
      <c r="T187" s="567" t="str">
        <f t="shared" si="13"/>
        <v>39.8 q</v>
      </c>
      <c r="U187" s="568" t="str">
        <f t="shared" si="14"/>
        <v>11.6 T/h</v>
      </c>
      <c r="V187" s="569">
        <f t="array" ref="V187">LET(
  Match, MATCH(IF(ISNUMBER(SEARCH("Mastery",$A187)),"Card Mastery",$A187),DVT_Laboratory!B$1:V$1,0)-1,
  Offset, OFFSET(DVT_Laboratory!B$3,0,Match,100,1),
  Desired, IF(P187&lt;&gt;"", P187,D187),
IF(Desired&gt;D187,"Desired lvl too high",
IF(AND(Desired=D187,OR(C187=D187,C187="Max")),"Max Level",
IF(Desired&lt;=C187,"Desired lvl too low",
SUM(TIME_TO_RUSH_GEMS(
    XLOOKUP(C187+1, SEQUENCE(100,1,1,1), Offset, "N/F", 0, 1):
    XLOOKUP(Desired, SEQUENCE(100,1,1,1), Offset, "N/F", 0, 1)/LAB_SPEED_TOTAL(
), IDS_LAB_GODLBOXED_COUNT()))))))</f>
        <v>10365</v>
      </c>
    </row>
    <row r="188">
      <c r="A188" s="560" t="s">
        <v>373</v>
      </c>
      <c r="B188" s="561" t="str">
        <f t="shared" si="1"/>
        <v/>
      </c>
      <c r="C188" s="562">
        <f>VLOOKUP($A188,MS_Labs_Array,2,FALSE)</f>
        <v>0</v>
      </c>
      <c r="D188" s="563">
        <f>VLOOKUP($A188,MS_Labs_Array,4,FALSE)</f>
        <v>9</v>
      </c>
      <c r="E188" s="563" t="str">
        <f t="shared" si="22"/>
        <v>T16 100</v>
      </c>
      <c r="F188" s="564">
        <f t="shared" si="17"/>
        <v>5.295847208</v>
      </c>
      <c r="G188" s="565" t="str">
        <f t="shared" si="3"/>
        <v>5d  7h  6m</v>
      </c>
      <c r="H188" s="566">
        <f t="shared" si="4"/>
        <v>875600000000000</v>
      </c>
      <c r="I188" s="566">
        <f t="shared" si="5"/>
        <v>1.0348E+15</v>
      </c>
      <c r="J188" s="567" t="str">
        <f t="shared" si="6"/>
        <v>875.6 T</v>
      </c>
      <c r="K188" s="568" t="str">
        <f t="shared" si="7"/>
        <v>8.14 T/h</v>
      </c>
      <c r="L188" s="569">
        <f t="shared" si="23"/>
        <v>444</v>
      </c>
      <c r="M188" s="561" t="str">
        <f t="shared" si="24"/>
        <v>7d 22h 39m</v>
      </c>
      <c r="N188" s="567" t="str">
        <f t="shared" si="10"/>
        <v>1.03 q</v>
      </c>
      <c r="O188" s="569">
        <f t="shared" si="25"/>
        <v>643</v>
      </c>
      <c r="P188" s="570" t="str">
        <f>VLOOKUP($A188,MS_Labs_Array,3,FALSE)</f>
        <v/>
      </c>
      <c r="Q188" s="561">
        <f>IFERROR(__xludf.DUMMYFUNCTION("LET(
  Labspeed, IF(A188=""Labs Speed"", 1+'Master Sheet'!$BK$5, LAB_SPEED_TOTAL()),
  Match, MATCH(IF(ISNUMBER(SEARCH(""Mastery"",$A188)),""Card Mastery"",$A188),DVT_Laboratory!B$1:V$1,0)-1,
  Offset, INDEX(DVT_Laboratory!B$3:ZZ$102,,Match+1),
  Desired,"&amp;" IF(P188&lt;&gt;"""", P188,D188),
  IFS(
    Desired &gt; D188, ""Desired lvl too high"",
    AND(Desired = D188, OR(C188 = D188, C188 = ""Max"")), ""Max Level"",
    Desired = C188, ""OK Level"",
    Desired &lt; C188, ""Desired lvl too low"",
    TRUE, TO_PURE_NUMB"&amp;"ER(
      SUM(
        XLOOKUP($C188 + 1, SEQUENCE(100, 1, 1, 1), Offset, ""N/F"", 0, 1): 
        XLOOKUP(Desired, SEQUENCE(100, 1, 1, 1), Offset, ""N/F"", 0, 1)
      ) / Labspeed
    ) /
    IF(AND(B188 &lt;&gt; """", $B$1 = ""All""), RIGHT(B188, 3), 1)
  )
"&amp;")"),142.9878746282315)</f>
        <v>142.9878746</v>
      </c>
      <c r="R188" s="565" t="str">
        <f t="shared" si="12"/>
        <v>142d 23h 42m</v>
      </c>
      <c r="S188" s="567">
        <f t="array" ref="S188">LET(
  Match, MATCH(IF(ISNUMBER(SEARCH("Mastery",$A188)),"Card Mastery",$A188),DVT_Laboratory!B$1:V$1,0)-1,
  Offset, OFFSET(DVT_Laboratory!C$3,0,Match,100,1),
  Desired, IF(P188&lt;&gt;"", P188,D188),
IF(Desired&gt;D188,"Desired lvl too high",
IF(AND(Desired=D188,OR(C188=D188,C188="Max")),"Max Level",
IF(Desired=C188,"OK Level",
IF(Desired&lt;C188,"Desired lvl too low",
SUM(
XLOOKUP(C188+1,SEQUENCE(100,1,1,1),Offset,"N/F",0,1)
:XLOOKUP(Desired,SEQUENCE(100,1,1,1),Offset,"N/F",0,1))*(1-LAB_COIN_DISCOUNT()))))))</f>
        <v>3.98E+16</v>
      </c>
      <c r="T188" s="567" t="str">
        <f t="shared" si="13"/>
        <v>39.8 q</v>
      </c>
      <c r="U188" s="568" t="str">
        <f t="shared" si="14"/>
        <v>11.6 T/h</v>
      </c>
      <c r="V188" s="569">
        <f t="array" ref="V188">LET(
  Match, MATCH(IF(ISNUMBER(SEARCH("Mastery",$A188)),"Card Mastery",$A188),DVT_Laboratory!B$1:V$1,0)-1,
  Offset, OFFSET(DVT_Laboratory!B$3,0,Match,100,1),
  Desired, IF(P188&lt;&gt;"", P188,D188),
IF(Desired&gt;D188,"Desired lvl too high",
IF(AND(Desired=D188,OR(C188=D188,C188="Max")),"Max Level",
IF(Desired&lt;=C188,"Desired lvl too low",
SUM(TIME_TO_RUSH_GEMS(
    XLOOKUP(C188+1, SEQUENCE(100,1,1,1), Offset, "N/F", 0, 1):
    XLOOKUP(Desired, SEQUENCE(100,1,1,1), Offset, "N/F", 0, 1)/LAB_SPEED_TOTAL(
), IDS_LAB_GODLBOXED_COUNT()))))))</f>
        <v>10365</v>
      </c>
    </row>
    <row r="189">
      <c r="A189" s="560" t="s">
        <v>375</v>
      </c>
      <c r="B189" s="561" t="str">
        <f t="shared" si="1"/>
        <v/>
      </c>
      <c r="C189" s="562">
        <f>VLOOKUP($A189,MS_Labs_Array,2,FALSE)</f>
        <v>0</v>
      </c>
      <c r="D189" s="563">
        <f>VLOOKUP($A189,MS_Labs_Array,4,FALSE)</f>
        <v>9</v>
      </c>
      <c r="E189" s="563" t="str">
        <f t="shared" si="22"/>
        <v>T16 100</v>
      </c>
      <c r="F189" s="564">
        <f t="shared" si="17"/>
        <v>5.295847208</v>
      </c>
      <c r="G189" s="565" t="str">
        <f t="shared" si="3"/>
        <v>5d  7h  6m</v>
      </c>
      <c r="H189" s="566">
        <f t="shared" si="4"/>
        <v>875600000000000</v>
      </c>
      <c r="I189" s="566">
        <f t="shared" si="5"/>
        <v>1.0348E+15</v>
      </c>
      <c r="J189" s="567" t="str">
        <f t="shared" si="6"/>
        <v>875.6 T</v>
      </c>
      <c r="K189" s="568" t="str">
        <f t="shared" si="7"/>
        <v>8.14 T/h</v>
      </c>
      <c r="L189" s="569">
        <f t="shared" si="23"/>
        <v>444</v>
      </c>
      <c r="M189" s="561" t="str">
        <f t="shared" si="24"/>
        <v>7d 22h 39m</v>
      </c>
      <c r="N189" s="567" t="str">
        <f t="shared" si="10"/>
        <v>1.03 q</v>
      </c>
      <c r="O189" s="569">
        <f t="shared" si="25"/>
        <v>643</v>
      </c>
      <c r="P189" s="570" t="str">
        <f>VLOOKUP($A189,MS_Labs_Array,3,FALSE)</f>
        <v/>
      </c>
      <c r="Q189" s="561">
        <f>IFERROR(__xludf.DUMMYFUNCTION("LET(
  Labspeed, IF(A189=""Labs Speed"", 1+'Master Sheet'!$BK$5, LAB_SPEED_TOTAL()),
  Match, MATCH(IF(ISNUMBER(SEARCH(""Mastery"",$A189)),""Card Mastery"",$A189),DVT_Laboratory!B$1:V$1,0)-1,
  Offset, INDEX(DVT_Laboratory!B$3:ZZ$102,,Match+1),
  Desired,"&amp;" IF(P189&lt;&gt;"""", P189,D189),
  IFS(
    Desired &gt; D189, ""Desired lvl too high"",
    AND(Desired = D189, OR(C189 = D189, C189 = ""Max"")), ""Max Level"",
    Desired = C189, ""OK Level"",
    Desired &lt; C189, ""Desired lvl too low"",
    TRUE, TO_PURE_NUMB"&amp;"ER(
      SUM(
        XLOOKUP($C189 + 1, SEQUENCE(100, 1, 1, 1), Offset, ""N/F"", 0, 1): 
        XLOOKUP(Desired, SEQUENCE(100, 1, 1, 1), Offset, ""N/F"", 0, 1)
      ) / Labspeed
    ) /
    IF(AND(B189 &lt;&gt; """", $B$1 = ""All""), RIGHT(B189, 3), 1)
  )
"&amp;")"),142.9878746282315)</f>
        <v>142.9878746</v>
      </c>
      <c r="R189" s="565" t="str">
        <f t="shared" si="12"/>
        <v>142d 23h 42m</v>
      </c>
      <c r="S189" s="567">
        <f t="array" ref="S189">LET(
  Match, MATCH(IF(ISNUMBER(SEARCH("Mastery",$A189)),"Card Mastery",$A189),DVT_Laboratory!B$1:V$1,0)-1,
  Offset, OFFSET(DVT_Laboratory!C$3,0,Match,100,1),
  Desired, IF(P189&lt;&gt;"", P189,D189),
IF(Desired&gt;D189,"Desired lvl too high",
IF(AND(Desired=D189,OR(C189=D189,C189="Max")),"Max Level",
IF(Desired=C189,"OK Level",
IF(Desired&lt;C189,"Desired lvl too low",
SUM(
XLOOKUP(C189+1,SEQUENCE(100,1,1,1),Offset,"N/F",0,1)
:XLOOKUP(Desired,SEQUENCE(100,1,1,1),Offset,"N/F",0,1))*(1-LAB_COIN_DISCOUNT()))))))</f>
        <v>3.98E+16</v>
      </c>
      <c r="T189" s="567" t="str">
        <f t="shared" si="13"/>
        <v>39.8 q</v>
      </c>
      <c r="U189" s="568" t="str">
        <f t="shared" si="14"/>
        <v>11.6 T/h</v>
      </c>
      <c r="V189" s="569">
        <f t="array" ref="V189">LET(
  Match, MATCH(IF(ISNUMBER(SEARCH("Mastery",$A189)),"Card Mastery",$A189),DVT_Laboratory!B$1:V$1,0)-1,
  Offset, OFFSET(DVT_Laboratory!B$3,0,Match,100,1),
  Desired, IF(P189&lt;&gt;"", P189,D189),
IF(Desired&gt;D189,"Desired lvl too high",
IF(AND(Desired=D189,OR(C189=D189,C189="Max")),"Max Level",
IF(Desired&lt;=C189,"Desired lvl too low",
SUM(TIME_TO_RUSH_GEMS(
    XLOOKUP(C189+1, SEQUENCE(100,1,1,1), Offset, "N/F", 0, 1):
    XLOOKUP(Desired, SEQUENCE(100,1,1,1), Offset, "N/F", 0, 1)/LAB_SPEED_TOTAL(
), IDS_LAB_GODLBOXED_COUNT()))))))</f>
        <v>10365</v>
      </c>
    </row>
    <row r="190">
      <c r="A190" s="560" t="s">
        <v>377</v>
      </c>
      <c r="B190" s="561" t="str">
        <f t="shared" si="1"/>
        <v/>
      </c>
      <c r="C190" s="562">
        <f>VLOOKUP($A190,MS_Labs_Array,2,FALSE)</f>
        <v>0</v>
      </c>
      <c r="D190" s="563">
        <f>VLOOKUP($A190,MS_Labs_Array,4,FALSE)</f>
        <v>9</v>
      </c>
      <c r="E190" s="563" t="str">
        <f t="shared" si="22"/>
        <v>T16 100</v>
      </c>
      <c r="F190" s="564">
        <f t="shared" si="17"/>
        <v>5.295847208</v>
      </c>
      <c r="G190" s="565" t="str">
        <f t="shared" si="3"/>
        <v>5d  7h  6m</v>
      </c>
      <c r="H190" s="566">
        <f t="shared" si="4"/>
        <v>875600000000000</v>
      </c>
      <c r="I190" s="566">
        <f t="shared" si="5"/>
        <v>1.0348E+15</v>
      </c>
      <c r="J190" s="567" t="str">
        <f t="shared" si="6"/>
        <v>875.6 T</v>
      </c>
      <c r="K190" s="568" t="str">
        <f t="shared" si="7"/>
        <v>8.14 T/h</v>
      </c>
      <c r="L190" s="569">
        <f t="shared" si="23"/>
        <v>444</v>
      </c>
      <c r="M190" s="561" t="str">
        <f t="shared" si="24"/>
        <v>7d 22h 39m</v>
      </c>
      <c r="N190" s="567" t="str">
        <f t="shared" si="10"/>
        <v>1.03 q</v>
      </c>
      <c r="O190" s="569">
        <f t="shared" si="25"/>
        <v>643</v>
      </c>
      <c r="P190" s="570" t="str">
        <f>VLOOKUP($A190,MS_Labs_Array,3,FALSE)</f>
        <v/>
      </c>
      <c r="Q190" s="561">
        <f>IFERROR(__xludf.DUMMYFUNCTION("LET(
  Labspeed, IF(A190=""Labs Speed"", 1+'Master Sheet'!$BK$5, LAB_SPEED_TOTAL()),
  Match, MATCH(IF(ISNUMBER(SEARCH(""Mastery"",$A190)),""Card Mastery"",$A190),DVT_Laboratory!B$1:V$1,0)-1,
  Offset, INDEX(DVT_Laboratory!B$3:ZZ$102,,Match+1),
  Desired,"&amp;" IF(P190&lt;&gt;"""", P190,D190),
  IFS(
    Desired &gt; D190, ""Desired lvl too high"",
    AND(Desired = D190, OR(C190 = D190, C190 = ""Max"")), ""Max Level"",
    Desired = C190, ""OK Level"",
    Desired &lt; C190, ""Desired lvl too low"",
    TRUE, TO_PURE_NUMB"&amp;"ER(
      SUM(
        XLOOKUP($C190 + 1, SEQUENCE(100, 1, 1, 1), Offset, ""N/F"", 0, 1): 
        XLOOKUP(Desired, SEQUENCE(100, 1, 1, 1), Offset, ""N/F"", 0, 1)
      ) / Labspeed
    ) /
    IF(AND(B190 &lt;&gt; """", $B$1 = ""All""), RIGHT(B190, 3), 1)
  )
"&amp;")"),142.9878746282315)</f>
        <v>142.9878746</v>
      </c>
      <c r="R190" s="565" t="str">
        <f t="shared" si="12"/>
        <v>142d 23h 42m</v>
      </c>
      <c r="S190" s="567">
        <f t="array" ref="S190">LET(
  Match, MATCH(IF(ISNUMBER(SEARCH("Mastery",$A190)),"Card Mastery",$A190),DVT_Laboratory!B$1:V$1,0)-1,
  Offset, OFFSET(DVT_Laboratory!C$3,0,Match,100,1),
  Desired, IF(P190&lt;&gt;"", P190,D190),
IF(Desired&gt;D190,"Desired lvl too high",
IF(AND(Desired=D190,OR(C190=D190,C190="Max")),"Max Level",
IF(Desired=C190,"OK Level",
IF(Desired&lt;C190,"Desired lvl too low",
SUM(
XLOOKUP(C190+1,SEQUENCE(100,1,1,1),Offset,"N/F",0,1)
:XLOOKUP(Desired,SEQUENCE(100,1,1,1),Offset,"N/F",0,1))*(1-LAB_COIN_DISCOUNT()))))))</f>
        <v>3.98E+16</v>
      </c>
      <c r="T190" s="567" t="str">
        <f t="shared" si="13"/>
        <v>39.8 q</v>
      </c>
      <c r="U190" s="568" t="str">
        <f t="shared" si="14"/>
        <v>11.6 T/h</v>
      </c>
      <c r="V190" s="569">
        <f t="array" ref="V190">LET(
  Match, MATCH(IF(ISNUMBER(SEARCH("Mastery",$A190)),"Card Mastery",$A190),DVT_Laboratory!B$1:V$1,0)-1,
  Offset, OFFSET(DVT_Laboratory!B$3,0,Match,100,1),
  Desired, IF(P190&lt;&gt;"", P190,D190),
IF(Desired&gt;D190,"Desired lvl too high",
IF(AND(Desired=D190,OR(C190=D190,C190="Max")),"Max Level",
IF(Desired&lt;=C190,"Desired lvl too low",
SUM(TIME_TO_RUSH_GEMS(
    XLOOKUP(C190+1, SEQUENCE(100,1,1,1), Offset, "N/F", 0, 1):
    XLOOKUP(Desired, SEQUENCE(100,1,1,1), Offset, "N/F", 0, 1)/LAB_SPEED_TOTAL(
), IDS_LAB_GODLBOXED_COUNT()))))))</f>
        <v>10365</v>
      </c>
    </row>
    <row r="191">
      <c r="A191" s="560" t="s">
        <v>379</v>
      </c>
      <c r="B191" s="561" t="str">
        <f t="shared" si="1"/>
        <v/>
      </c>
      <c r="C191" s="562">
        <f>VLOOKUP($A191,MS_Labs_Array,2,FALSE)</f>
        <v>0</v>
      </c>
      <c r="D191" s="563">
        <f>VLOOKUP($A191,MS_Labs_Array,4,FALSE)</f>
        <v>9</v>
      </c>
      <c r="E191" s="563" t="str">
        <f t="shared" si="22"/>
        <v>T16 100</v>
      </c>
      <c r="F191" s="564">
        <f t="shared" si="17"/>
        <v>5.295847208</v>
      </c>
      <c r="G191" s="565" t="str">
        <f t="shared" si="3"/>
        <v>5d  7h  6m</v>
      </c>
      <c r="H191" s="566">
        <f t="shared" si="4"/>
        <v>875600000000000</v>
      </c>
      <c r="I191" s="566">
        <f t="shared" si="5"/>
        <v>1.0348E+15</v>
      </c>
      <c r="J191" s="567" t="str">
        <f t="shared" si="6"/>
        <v>875.6 T</v>
      </c>
      <c r="K191" s="568" t="str">
        <f t="shared" si="7"/>
        <v>8.14 T/h</v>
      </c>
      <c r="L191" s="569">
        <f t="shared" si="23"/>
        <v>444</v>
      </c>
      <c r="M191" s="561" t="str">
        <f t="shared" si="24"/>
        <v>7d 22h 39m</v>
      </c>
      <c r="N191" s="567" t="str">
        <f t="shared" si="10"/>
        <v>1.03 q</v>
      </c>
      <c r="O191" s="569">
        <f t="shared" si="25"/>
        <v>643</v>
      </c>
      <c r="P191" s="570" t="str">
        <f>VLOOKUP($A191,MS_Labs_Array,3,FALSE)</f>
        <v/>
      </c>
      <c r="Q191" s="561">
        <f>IFERROR(__xludf.DUMMYFUNCTION("LET(
  Labspeed, IF(A191=""Labs Speed"", 1+'Master Sheet'!$BK$5, LAB_SPEED_TOTAL()),
  Match, MATCH(IF(ISNUMBER(SEARCH(""Mastery"",$A191)),""Card Mastery"",$A191),DVT_Laboratory!B$1:V$1,0)-1,
  Offset, INDEX(DVT_Laboratory!B$3:ZZ$102,,Match+1),
  Desired,"&amp;" IF(P191&lt;&gt;"""", P191,D191),
  IFS(
    Desired &gt; D191, ""Desired lvl too high"",
    AND(Desired = D191, OR(C191 = D191, C191 = ""Max"")), ""Max Level"",
    Desired = C191, ""OK Level"",
    Desired &lt; C191, ""Desired lvl too low"",
    TRUE, TO_PURE_NUMB"&amp;"ER(
      SUM(
        XLOOKUP($C191 + 1, SEQUENCE(100, 1, 1, 1), Offset, ""N/F"", 0, 1): 
        XLOOKUP(Desired, SEQUENCE(100, 1, 1, 1), Offset, ""N/F"", 0, 1)
      ) / Labspeed
    ) /
    IF(AND(B191 &lt;&gt; """", $B$1 = ""All""), RIGHT(B191, 3), 1)
  )
"&amp;")"),142.9878746282315)</f>
        <v>142.9878746</v>
      </c>
      <c r="R191" s="565" t="str">
        <f t="shared" si="12"/>
        <v>142d 23h 42m</v>
      </c>
      <c r="S191" s="567">
        <f t="array" ref="S191">LET(
  Match, MATCH(IF(ISNUMBER(SEARCH("Mastery",$A191)),"Card Mastery",$A191),DVT_Laboratory!B$1:V$1,0)-1,
  Offset, OFFSET(DVT_Laboratory!C$3,0,Match,100,1),
  Desired, IF(P191&lt;&gt;"", P191,D191),
IF(Desired&gt;D191,"Desired lvl too high",
IF(AND(Desired=D191,OR(C191=D191,C191="Max")),"Max Level",
IF(Desired=C191,"OK Level",
IF(Desired&lt;C191,"Desired lvl too low",
SUM(
XLOOKUP(C191+1,SEQUENCE(100,1,1,1),Offset,"N/F",0,1)
:XLOOKUP(Desired,SEQUENCE(100,1,1,1),Offset,"N/F",0,1))*(1-LAB_COIN_DISCOUNT()))))))</f>
        <v>3.98E+16</v>
      </c>
      <c r="T191" s="567" t="str">
        <f t="shared" si="13"/>
        <v>39.8 q</v>
      </c>
      <c r="U191" s="568" t="str">
        <f t="shared" si="14"/>
        <v>11.6 T/h</v>
      </c>
      <c r="V191" s="569">
        <f t="array" ref="V191">LET(
  Match, MATCH(IF(ISNUMBER(SEARCH("Mastery",$A191)),"Card Mastery",$A191),DVT_Laboratory!B$1:V$1,0)-1,
  Offset, OFFSET(DVT_Laboratory!B$3,0,Match,100,1),
  Desired, IF(P191&lt;&gt;"", P191,D191),
IF(Desired&gt;D191,"Desired lvl too high",
IF(AND(Desired=D191,OR(C191=D191,C191="Max")),"Max Level",
IF(Desired&lt;=C191,"Desired lvl too low",
SUM(TIME_TO_RUSH_GEMS(
    XLOOKUP(C191+1, SEQUENCE(100,1,1,1), Offset, "N/F", 0, 1):
    XLOOKUP(Desired, SEQUENCE(100,1,1,1), Offset, "N/F", 0, 1)/LAB_SPEED_TOTAL(
), IDS_LAB_GODLBOXED_COUNT()))))))</f>
        <v>10365</v>
      </c>
    </row>
    <row r="192">
      <c r="A192" s="560" t="s">
        <v>381</v>
      </c>
      <c r="B192" s="561" t="str">
        <f t="shared" si="1"/>
        <v/>
      </c>
      <c r="C192" s="562">
        <f>VLOOKUP($A192,MS_Labs_Array,2,FALSE)</f>
        <v>0</v>
      </c>
      <c r="D192" s="563">
        <f>VLOOKUP($A192,MS_Labs_Array,4,FALSE)</f>
        <v>9</v>
      </c>
      <c r="E192" s="563" t="str">
        <f t="shared" si="22"/>
        <v>T16 100</v>
      </c>
      <c r="F192" s="564">
        <f t="shared" si="17"/>
        <v>5.295847208</v>
      </c>
      <c r="G192" s="565" t="str">
        <f t="shared" si="3"/>
        <v>5d  7h  6m</v>
      </c>
      <c r="H192" s="566">
        <f t="shared" si="4"/>
        <v>875600000000000</v>
      </c>
      <c r="I192" s="566">
        <f t="shared" si="5"/>
        <v>1.0348E+15</v>
      </c>
      <c r="J192" s="567" t="str">
        <f t="shared" si="6"/>
        <v>875.6 T</v>
      </c>
      <c r="K192" s="568" t="str">
        <f t="shared" si="7"/>
        <v>8.14 T/h</v>
      </c>
      <c r="L192" s="569">
        <f t="shared" si="23"/>
        <v>444</v>
      </c>
      <c r="M192" s="561" t="str">
        <f t="shared" si="24"/>
        <v>7d 22h 39m</v>
      </c>
      <c r="N192" s="567" t="str">
        <f t="shared" si="10"/>
        <v>1.03 q</v>
      </c>
      <c r="O192" s="569">
        <f t="shared" si="25"/>
        <v>643</v>
      </c>
      <c r="P192" s="570" t="str">
        <f>VLOOKUP($A192,MS_Labs_Array,3,FALSE)</f>
        <v/>
      </c>
      <c r="Q192" s="561">
        <f>IFERROR(__xludf.DUMMYFUNCTION("LET(
  Labspeed, IF(A192=""Labs Speed"", 1+'Master Sheet'!$BK$5, LAB_SPEED_TOTAL()),
  Match, MATCH(IF(ISNUMBER(SEARCH(""Mastery"",$A192)),""Card Mastery"",$A192),DVT_Laboratory!B$1:V$1,0)-1,
  Offset, INDEX(DVT_Laboratory!B$3:ZZ$102,,Match+1),
  Desired,"&amp;" IF(P192&lt;&gt;"""", P192,D192),
  IFS(
    Desired &gt; D192, ""Desired lvl too high"",
    AND(Desired = D192, OR(C192 = D192, C192 = ""Max"")), ""Max Level"",
    Desired = C192, ""OK Level"",
    Desired &lt; C192, ""Desired lvl too low"",
    TRUE, TO_PURE_NUMB"&amp;"ER(
      SUM(
        XLOOKUP($C192 + 1, SEQUENCE(100, 1, 1, 1), Offset, ""N/F"", 0, 1): 
        XLOOKUP(Desired, SEQUENCE(100, 1, 1, 1), Offset, ""N/F"", 0, 1)
      ) / Labspeed
    ) /
    IF(AND(B192 &lt;&gt; """", $B$1 = ""All""), RIGHT(B192, 3), 1)
  )
"&amp;")"),142.9878746282315)</f>
        <v>142.9878746</v>
      </c>
      <c r="R192" s="565" t="str">
        <f t="shared" si="12"/>
        <v>142d 23h 42m</v>
      </c>
      <c r="S192" s="567">
        <f t="array" ref="S192">LET(
  Match, MATCH(IF(ISNUMBER(SEARCH("Mastery",$A192)),"Card Mastery",$A192),DVT_Laboratory!B$1:V$1,0)-1,
  Offset, OFFSET(DVT_Laboratory!C$3,0,Match,100,1),
  Desired, IF(P192&lt;&gt;"", P192,D192),
IF(Desired&gt;D192,"Desired lvl too high",
IF(AND(Desired=D192,OR(C192=D192,C192="Max")),"Max Level",
IF(Desired=C192,"OK Level",
IF(Desired&lt;C192,"Desired lvl too low",
SUM(
XLOOKUP(C192+1,SEQUENCE(100,1,1,1),Offset,"N/F",0,1)
:XLOOKUP(Desired,SEQUENCE(100,1,1,1),Offset,"N/F",0,1))*(1-LAB_COIN_DISCOUNT()))))))</f>
        <v>3.98E+16</v>
      </c>
      <c r="T192" s="567" t="str">
        <f t="shared" si="13"/>
        <v>39.8 q</v>
      </c>
      <c r="U192" s="568" t="str">
        <f t="shared" si="14"/>
        <v>11.6 T/h</v>
      </c>
      <c r="V192" s="569">
        <f t="array" ref="V192">LET(
  Match, MATCH(IF(ISNUMBER(SEARCH("Mastery",$A192)),"Card Mastery",$A192),DVT_Laboratory!B$1:V$1,0)-1,
  Offset, OFFSET(DVT_Laboratory!B$3,0,Match,100,1),
  Desired, IF(P192&lt;&gt;"", P192,D192),
IF(Desired&gt;D192,"Desired lvl too high",
IF(AND(Desired=D192,OR(C192=D192,C192="Max")),"Max Level",
IF(Desired&lt;=C192,"Desired lvl too low",
SUM(TIME_TO_RUSH_GEMS(
    XLOOKUP(C192+1, SEQUENCE(100,1,1,1), Offset, "N/F", 0, 1):
    XLOOKUP(Desired, SEQUENCE(100,1,1,1), Offset, "N/F", 0, 1)/LAB_SPEED_TOTAL(
), IDS_LAB_GODLBOXED_COUNT()))))))</f>
        <v>10365</v>
      </c>
    </row>
    <row r="193">
      <c r="A193" s="571" t="s">
        <v>382</v>
      </c>
      <c r="B193" s="561" t="str">
        <f t="shared" si="1"/>
        <v/>
      </c>
      <c r="C193" s="562">
        <f>VLOOKUP($A193,MS_Labs_Array,2,FALSE)</f>
        <v>0</v>
      </c>
      <c r="D193" s="563">
        <f>VLOOKUP($A193,MS_Labs_Array,4,FALSE)</f>
        <v>9</v>
      </c>
      <c r="E193" s="563" t="str">
        <f t="shared" si="22"/>
        <v>T16 100</v>
      </c>
      <c r="F193" s="564">
        <f t="shared" si="17"/>
        <v>5.295847208</v>
      </c>
      <c r="G193" s="565" t="str">
        <f t="shared" si="3"/>
        <v>5d  7h  6m</v>
      </c>
      <c r="H193" s="566">
        <f t="shared" si="4"/>
        <v>875600000000000</v>
      </c>
      <c r="I193" s="566">
        <f t="shared" si="5"/>
        <v>1.0348E+15</v>
      </c>
      <c r="J193" s="567" t="str">
        <f t="shared" si="6"/>
        <v>875.6 T</v>
      </c>
      <c r="K193" s="568" t="str">
        <f t="shared" si="7"/>
        <v>8.14 T/h</v>
      </c>
      <c r="L193" s="569">
        <f t="shared" si="23"/>
        <v>444</v>
      </c>
      <c r="M193" s="561" t="str">
        <f t="shared" si="24"/>
        <v>7d 22h 39m</v>
      </c>
      <c r="N193" s="567" t="str">
        <f t="shared" si="10"/>
        <v>1.03 q</v>
      </c>
      <c r="O193" s="569">
        <f t="shared" si="25"/>
        <v>643</v>
      </c>
      <c r="P193" s="570" t="str">
        <f>VLOOKUP($A193,MS_Labs_Array,3,FALSE)</f>
        <v/>
      </c>
      <c r="Q193" s="561">
        <f>IFERROR(__xludf.DUMMYFUNCTION("LET(
  Labspeed, IF(A193=""Labs Speed"", 1+'Master Sheet'!$BK$5, LAB_SPEED_TOTAL()),
  Match, MATCH(IF(ISNUMBER(SEARCH(""Mastery"",$A193)),""Card Mastery"",$A193),DVT_Laboratory!B$1:V$1,0)-1,
  Offset, INDEX(DVT_Laboratory!B$3:ZZ$102,,Match+1),
  Desired,"&amp;" IF(P193&lt;&gt;"""", P193,D193),
  IFS(
    Desired &gt; D193, ""Desired lvl too high"",
    AND(Desired = D193, OR(C193 = D193, C193 = ""Max"")), ""Max Level"",
    Desired = C193, ""OK Level"",
    Desired &lt; C193, ""Desired lvl too low"",
    TRUE, TO_PURE_NUMB"&amp;"ER(
      SUM(
        XLOOKUP($C193 + 1, SEQUENCE(100, 1, 1, 1), Offset, ""N/F"", 0, 1): 
        XLOOKUP(Desired, SEQUENCE(100, 1, 1, 1), Offset, ""N/F"", 0, 1)
      ) / Labspeed
    ) /
    IF(AND(B193 &lt;&gt; """", $B$1 = ""All""), RIGHT(B193, 3), 1)
  )
"&amp;")"),142.9878746282315)</f>
        <v>142.9878746</v>
      </c>
      <c r="R193" s="565" t="str">
        <f t="shared" si="12"/>
        <v>142d 23h 42m</v>
      </c>
      <c r="S193" s="567">
        <f t="array" ref="S193">LET(
  Match, MATCH(IF(ISNUMBER(SEARCH("Mastery",$A193)),"Card Mastery",$A193),DVT_Laboratory!B$1:V$1,0)-1,
  Offset, OFFSET(DVT_Laboratory!C$3,0,Match,100,1),
  Desired, IF(P193&lt;&gt;"", P193,D193),
IF(Desired&gt;D193,"Desired lvl too high",
IF(AND(Desired=D193,OR(C193=D193,C193="Max")),"Max Level",
IF(Desired=C193,"OK Level",
IF(Desired&lt;C193,"Desired lvl too low",
SUM(
XLOOKUP(C193+1,SEQUENCE(100,1,1,1),Offset,"N/F",0,1)
:XLOOKUP(Desired,SEQUENCE(100,1,1,1),Offset,"N/F",0,1))*(1-LAB_COIN_DISCOUNT()))))))</f>
        <v>3.98E+16</v>
      </c>
      <c r="T193" s="567" t="str">
        <f t="shared" si="13"/>
        <v>39.8 q</v>
      </c>
      <c r="U193" s="568" t="str">
        <f t="shared" si="14"/>
        <v>11.6 T/h</v>
      </c>
      <c r="V193" s="569">
        <f t="array" ref="V193">LET(
  Match, MATCH(IF(ISNUMBER(SEARCH("Mastery",$A193)),"Card Mastery",$A193),DVT_Laboratory!B$1:V$1,0)-1,
  Offset, OFFSET(DVT_Laboratory!B$3,0,Match,100,1),
  Desired, IF(P193&lt;&gt;"", P193,D193),
IF(Desired&gt;D193,"Desired lvl too high",
IF(AND(Desired=D193,OR(C193=D193,C193="Max")),"Max Level",
IF(Desired&lt;=C193,"Desired lvl too low",
SUM(TIME_TO_RUSH_GEMS(
    XLOOKUP(C193+1, SEQUENCE(100,1,1,1), Offset, "N/F", 0, 1):
    XLOOKUP(Desired, SEQUENCE(100,1,1,1), Offset, "N/F", 0, 1)/LAB_SPEED_TOTAL(
), IDS_LAB_GODLBOXED_COUNT()))))))</f>
        <v>10365</v>
      </c>
    </row>
    <row r="194">
      <c r="A194" s="572" t="s">
        <v>164</v>
      </c>
      <c r="B194" s="573" t="str">
        <f t="shared" si="1"/>
        <v/>
      </c>
      <c r="C194" s="574">
        <f>VLOOKUP($A194,MS_Labs_Array,2,FALSE)</f>
        <v>0</v>
      </c>
      <c r="D194" s="575">
        <f>VLOOKUP($A194,MS_Labs_Array,4,FALSE)</f>
        <v>10</v>
      </c>
      <c r="E194" s="575" t="str">
        <f t="shared" si="22"/>
        <v>T18 1000</v>
      </c>
      <c r="F194" s="576">
        <f t="shared" si="17"/>
        <v>4.236677767</v>
      </c>
      <c r="G194" s="577" t="str">
        <f t="shared" si="3"/>
        <v>4d  5h 40m</v>
      </c>
      <c r="H194" s="578">
        <f t="shared" si="4"/>
        <v>796000000000000</v>
      </c>
      <c r="I194" s="578">
        <f t="shared" si="5"/>
        <v>1.6716E+15</v>
      </c>
      <c r="J194" s="579" t="str">
        <f t="shared" si="6"/>
        <v>796 T</v>
      </c>
      <c r="K194" s="580" t="str">
        <f t="shared" si="7"/>
        <v>16.44 T/h</v>
      </c>
      <c r="L194" s="581">
        <f t="shared" ref="L194:L213" si="26">IF(OR($C194=$D194,$C194="Max"),"Max Level",TIME_TO_RUSH_GEMS(LABDURATION_SINGLE_ADJUSTED(A194,C194+1), IDS_LAB_GODLBOXED_COUNT()))</f>
        <v>358</v>
      </c>
      <c r="M194" s="582" t="str">
        <f t="shared" ref="M194:M213" si="27">IF($C194+1&gt;=$D194,"Max Level",FORMAT_TIME(LABDURATION_SINGLE_ADJUSTED(A194,C194+2)/IF(AND(B194&lt;&gt;"", $B$1="All"), RIGHT(B194, 3),1)))</f>
        <v>8d 11h 21m</v>
      </c>
      <c r="N194" s="579" t="str">
        <f t="shared" si="10"/>
        <v>1.67 q</v>
      </c>
      <c r="O194" s="581">
        <f t="shared" ref="O194:O213" si="28">IF($C194+1&gt;=$D194,"Max Level",TIME_TO_RUSH_GEMS(LABDURATION_SINGLE_ADJUSTED(A194,C194+2), IDS_LAB_GODLBOXED_COUNT()))</f>
        <v>677</v>
      </c>
      <c r="P194" s="583" t="str">
        <f>VLOOKUP($A194,MS_Labs_Array,3,FALSE)</f>
        <v/>
      </c>
      <c r="Q194" s="582">
        <f>IFERROR(__xludf.DUMMYFUNCTION("LET(
  Labspeed, IF(A194=""Labs Speed"", 1+'Master Sheet'!$BK$5, LAB_SPEED_TOTAL()),
  Match, MATCH(IF(ISNUMBER(SEARCH(""Mastery"",$A194)),""Card Mastery"",$A194),DVT_Laboratory!B$1:V$1,0)-1,
  Offset, INDEX(DVT_Laboratory!B$3:ZZ$102,,Match+1),
  Desired,"&amp;" IF(P194&lt;&gt;"""", P194,D194),
  IFS(
    Desired &gt; D194, ""Desired lvl too high"",
    AND(Desired = D194, OR(C194 = D194, C194 = ""Max"")), ""Max Level"",
    Desired = C194, ""OK Level"",
    Desired &lt; C194, ""Desired lvl too low"",
    TRUE, TO_PURE_NUMB"&amp;"ER(
      SUM(
        XLOOKUP($C194 + 1, SEQUENCE(100, 1, 1, 1), Offset, ""N/F"", 0, 1): 
        XLOOKUP(Desired, SEQUENCE(100, 1, 1, 1), Offset, ""N/F"", 0, 1)
      ) / Labspeed
    ) /
    IF(AND(B194 &lt;&gt; """", $B$1 = ""All""), RIGHT(B194, 3), 1)
  )
"&amp;")"),233.01727717193282)</f>
        <v>233.0172772</v>
      </c>
      <c r="R194" s="577" t="str">
        <f t="shared" si="12"/>
        <v>233d  0h 24m</v>
      </c>
      <c r="S194" s="579">
        <f t="array" ref="S194">LET(
  Match, MATCH(IF(ISNUMBER(SEARCH("Mastery",$A194)),"Card Mastery",$A194),DVT_Laboratory!B$1:V$1,0)-1,
  Offset, OFFSET(DVT_Laboratory!C$3,0,Match,100,1),
  Desired, IF(P194&lt;&gt;"", P194,D194),
IF(Desired&gt;D194,"Desired lvl too high",
IF(AND(Desired=D194,OR(C194=D194,C194="Max")),"Max Level",
IF(Desired=C194,"OK Level",
IF(Desired&lt;C194,"Desired lvl too low",
SUM(
XLOOKUP(C194+1,SEQUENCE(100,1,1,1),Offset,"N/F",0,1)
:XLOOKUP(Desired,SEQUENCE(100,1,1,1),Offset,"N/F",0,1))*(1-LAB_COIN_DISCOUNT()))))))</f>
        <v>9.9301E+17</v>
      </c>
      <c r="T194" s="579" t="str">
        <f t="shared" si="13"/>
        <v>993.01 q</v>
      </c>
      <c r="U194" s="580" t="str">
        <f t="shared" si="14"/>
        <v>177.56 T/h</v>
      </c>
      <c r="V194" s="581">
        <f t="array" ref="V194">LET(
  Match, MATCH(IF(ISNUMBER(SEARCH("Mastery",$A194)),"Card Mastery",$A194),DVT_Laboratory!B$1:V$1,0)-1,
  Offset, OFFSET(DVT_Laboratory!B$3,0,Match,100,1),
  Desired, IF(P194&lt;&gt;"", P194,D194),
IF(Desired&gt;D194,"Desired lvl too high",
IF(AND(Desired=D194,OR(C194=D194,C194="Max")),"Max Level",
IF(Desired&lt;=C194,"Desired lvl too low",
SUM(TIME_TO_RUSH_GEMS(
    XLOOKUP(C194+1, SEQUENCE(100,1,1,1), Offset, "N/F", 0, 1):
    XLOOKUP(Desired, SEQUENCE(100,1,1,1), Offset, "N/F", 0, 1)/LAB_SPEED_TOTAL(
), IDS_LAB_GODLBOXED_COUNT()))))))</f>
        <v>15760</v>
      </c>
    </row>
    <row r="195">
      <c r="A195" s="572" t="s">
        <v>179</v>
      </c>
      <c r="B195" s="573" t="str">
        <f t="shared" si="1"/>
        <v/>
      </c>
      <c r="C195" s="574">
        <f>VLOOKUP($A195,MS_Labs_Array,2,FALSE)</f>
        <v>0</v>
      </c>
      <c r="D195" s="584">
        <f>VLOOKUP($A195,MS_Labs_Array,4,FALSE)</f>
        <v>20</v>
      </c>
      <c r="E195" s="575" t="str">
        <f t="shared" si="22"/>
        <v>T19 100</v>
      </c>
      <c r="F195" s="576">
        <f t="shared" si="17"/>
        <v>3.431532463</v>
      </c>
      <c r="G195" s="577" t="str">
        <f t="shared" si="3"/>
        <v>3d 10h 21m</v>
      </c>
      <c r="H195" s="578">
        <f t="shared" si="4"/>
        <v>1.592E+17</v>
      </c>
      <c r="I195" s="578">
        <f t="shared" si="5"/>
        <v>3.184E+17</v>
      </c>
      <c r="J195" s="579" t="str">
        <f t="shared" si="6"/>
        <v>159.2 q</v>
      </c>
      <c r="K195" s="580" t="str">
        <f t="shared" si="7"/>
        <v>3.87 q/h</v>
      </c>
      <c r="L195" s="581">
        <f t="shared" si="26"/>
        <v>292</v>
      </c>
      <c r="M195" s="582" t="str">
        <f t="shared" si="27"/>
        <v>6d 20h 42m</v>
      </c>
      <c r="N195" s="579" t="str">
        <f t="shared" si="10"/>
        <v>318.4 q</v>
      </c>
      <c r="O195" s="581">
        <f t="shared" si="28"/>
        <v>571</v>
      </c>
      <c r="P195" s="583" t="str">
        <f>VLOOKUP($A195,MS_Labs_Array,3,FALSE)</f>
        <v/>
      </c>
      <c r="Q195" s="582">
        <f>IFERROR(__xludf.DUMMYFUNCTION("LET(
  Labspeed, IF(A195=""Labs Speed"", 1+'Master Sheet'!$BK$5, LAB_SPEED_TOTAL()),
  Match, MATCH(IF(ISNUMBER(SEARCH(""Mastery"",$A195)),""Card Mastery"",$A195),DVT_Laboratory!B$1:V$1,0)-1,
  Offset, INDEX(DVT_Laboratory!B$3:ZZ$102,,Match+1),
  Desired,"&amp;" IF(P195&lt;&gt;"""", P195,D195),
  IFS(
    Desired &gt; D195, ""Desired lvl too high"",
    AND(Desired = D195, OR(C195 = D195, C195 = ""Max"")), ""Max Level"",
    Desired = C195, ""OK Level"",
    Desired &lt; C195, ""Desired lvl too low"",
    TRUE, TO_PURE_NUMB"&amp;"ER(
      SUM(
        XLOOKUP($C195 + 1, SEQUENCE(100, 1, 1, 1), Offset, ""N/F"", 0, 1): 
        XLOOKUP(Desired, SEQUENCE(100, 1, 1, 1), Offset, ""N/F"", 0, 1)
      ) / Labspeed
    ) /
    IF(AND(B195 &lt;&gt; """", $B$1 = ""All""), RIGHT(B195, 3), 1)
  )
"&amp;")"),720.625171232393)</f>
        <v>720.6251712</v>
      </c>
      <c r="R195" s="577" t="str">
        <f t="shared" si="12"/>
        <v>720d 15h  0m</v>
      </c>
      <c r="S195" s="579">
        <f t="array" ref="S195">LET(
  Match, MATCH(IF(ISNUMBER(SEARCH("Mastery",$A195)),"Card Mastery",$A195),DVT_Laboratory!B$1:V$1,0)-1,
  Offset, OFFSET(DVT_Laboratory!C$3,0,Match,100,1),
  Desired, IF(P195&lt;&gt;"", P195,D195),
IF(Desired&gt;D195,"Desired lvl too high",
IF(AND(Desired=D195,OR(C195=D195,C195="Max")),"Max Level",
IF(Desired=C195,"OK Level",
IF(Desired&lt;C195,"Desired lvl too low",
SUM(
XLOOKUP(C195+1,SEQUENCE(100,1,1,1),Offset,"N/F",0,1)
:XLOOKUP(Desired,SEQUENCE(100,1,1,1),Offset,"N/F",0,1))*(1-LAB_COIN_DISCOUNT()))))))</f>
        <v>3.3432E+19</v>
      </c>
      <c r="T195" s="579" t="str">
        <f t="shared" si="13"/>
        <v>33.43 Q</v>
      </c>
      <c r="U195" s="580" t="str">
        <f t="shared" si="14"/>
        <v>1.93 q/h</v>
      </c>
      <c r="V195" s="581">
        <f t="array" ref="V195">LET(
  Match, MATCH(IF(ISNUMBER(SEARCH("Mastery",$A195)),"Card Mastery",$A195),DVT_Laboratory!B$1:V$1,0)-1,
  Offset, OFFSET(DVT_Laboratory!B$3,0,Match,100,1),
  Desired, IF(P195&lt;&gt;"", P195,D195),
IF(Desired&gt;D195,"Desired lvl too high",
IF(AND(Desired=D195,OR(C195=D195,C195="Max")),"Max Level",
IF(Desired&lt;=C195,"Desired lvl too low",
SUM(TIME_TO_RUSH_GEMS(
    XLOOKUP(C195+1, SEQUENCE(100,1,1,1), Offset, "N/F", 0, 1):
    XLOOKUP(Desired, SEQUENCE(100,1,1,1), Offset, "N/F", 0, 1)/LAB_SPEED_TOTAL(
), IDS_LAB_GODLBOXED_COUNT()))))))</f>
        <v>43941</v>
      </c>
    </row>
    <row r="196">
      <c r="A196" s="572" t="s">
        <v>190</v>
      </c>
      <c r="B196" s="573" t="str">
        <f t="shared" si="1"/>
        <v/>
      </c>
      <c r="C196" s="574">
        <f>VLOOKUP($A196,MS_Labs_Array,2,FALSE)</f>
        <v>0</v>
      </c>
      <c r="D196" s="584">
        <f>VLOOKUP($A196,MS_Labs_Array,4,FALSE)</f>
        <v>20</v>
      </c>
      <c r="E196" s="575" t="str">
        <f t="shared" si="22"/>
        <v>T19 100</v>
      </c>
      <c r="F196" s="576">
        <f t="shared" si="17"/>
        <v>3.431532463</v>
      </c>
      <c r="G196" s="577" t="str">
        <f t="shared" si="3"/>
        <v>3d 10h 21m</v>
      </c>
      <c r="H196" s="578">
        <f t="shared" si="4"/>
        <v>1.592E+17</v>
      </c>
      <c r="I196" s="578">
        <f t="shared" si="5"/>
        <v>3.184E+17</v>
      </c>
      <c r="J196" s="579" t="str">
        <f t="shared" si="6"/>
        <v>159.2 q</v>
      </c>
      <c r="K196" s="580" t="str">
        <f t="shared" si="7"/>
        <v>3.87 q/h</v>
      </c>
      <c r="L196" s="581">
        <f t="shared" si="26"/>
        <v>292</v>
      </c>
      <c r="M196" s="582" t="str">
        <f t="shared" si="27"/>
        <v>6d 20h 42m</v>
      </c>
      <c r="N196" s="579" t="str">
        <f t="shared" si="10"/>
        <v>318.4 q</v>
      </c>
      <c r="O196" s="581">
        <f t="shared" si="28"/>
        <v>571</v>
      </c>
      <c r="P196" s="583" t="str">
        <f>VLOOKUP($A196,MS_Labs_Array,3,FALSE)</f>
        <v/>
      </c>
      <c r="Q196" s="582">
        <f>IFERROR(__xludf.DUMMYFUNCTION("LET(
  Labspeed, IF(A196=""Labs Speed"", 1+'Master Sheet'!$BK$5, LAB_SPEED_TOTAL()),
  Match, MATCH(IF(ISNUMBER(SEARCH(""Mastery"",$A196)),""Card Mastery"",$A196),DVT_Laboratory!B$1:V$1,0)-1,
  Offset, INDEX(DVT_Laboratory!B$3:ZZ$102,,Match+1),
  Desired,"&amp;" IF(P196&lt;&gt;"""", P196,D196),
  IFS(
    Desired &gt; D196, ""Desired lvl too high"",
    AND(Desired = D196, OR(C196 = D196, C196 = ""Max"")), ""Max Level"",
    Desired = C196, ""OK Level"",
    Desired &lt; C196, ""Desired lvl too low"",
    TRUE, TO_PURE_NUMB"&amp;"ER(
      SUM(
        XLOOKUP($C196 + 1, SEQUENCE(100, 1, 1, 1), Offset, ""N/F"", 0, 1): 
        XLOOKUP(Desired, SEQUENCE(100, 1, 1, 1), Offset, ""N/F"", 0, 1)
      ) / Labspeed
    ) /
    IF(AND(B196 &lt;&gt; """", $B$1 = ""All""), RIGHT(B196, 3), 1)
  )
"&amp;")"),720.625171232393)</f>
        <v>720.6251712</v>
      </c>
      <c r="R196" s="577" t="str">
        <f t="shared" si="12"/>
        <v>720d 15h  0m</v>
      </c>
      <c r="S196" s="579">
        <f t="array" ref="S196">LET(
  Match, MATCH(IF(ISNUMBER(SEARCH("Mastery",$A196)),"Card Mastery",$A196),DVT_Laboratory!B$1:V$1,0)-1,
  Offset, OFFSET(DVT_Laboratory!C$3,0,Match,100,1),
  Desired, IF(P196&lt;&gt;"", P196,D196),
IF(Desired&gt;D196,"Desired lvl too high",
IF(AND(Desired=D196,OR(C196=D196,C196="Max")),"Max Level",
IF(Desired=C196,"OK Level",
IF(Desired&lt;C196,"Desired lvl too low",
SUM(
XLOOKUP(C196+1,SEQUENCE(100,1,1,1),Offset,"N/F",0,1)
:XLOOKUP(Desired,SEQUENCE(100,1,1,1),Offset,"N/F",0,1))*(1-LAB_COIN_DISCOUNT()))))))</f>
        <v>3.3432E+19</v>
      </c>
      <c r="T196" s="579" t="str">
        <f t="shared" si="13"/>
        <v>33.43 Q</v>
      </c>
      <c r="U196" s="580" t="str">
        <f t="shared" si="14"/>
        <v>1.93 q/h</v>
      </c>
      <c r="V196" s="581">
        <f t="array" ref="V196">LET(
  Match, MATCH(IF(ISNUMBER(SEARCH("Mastery",$A196)),"Card Mastery",$A196),DVT_Laboratory!B$1:V$1,0)-1,
  Offset, OFFSET(DVT_Laboratory!B$3,0,Match,100,1),
  Desired, IF(P196&lt;&gt;"", P196,D196),
IF(Desired&gt;D196,"Desired lvl too high",
IF(AND(Desired=D196,OR(C196=D196,C196="Max")),"Max Level",
IF(Desired&lt;=C196,"Desired lvl too low",
SUM(TIME_TO_RUSH_GEMS(
    XLOOKUP(C196+1, SEQUENCE(100,1,1,1), Offset, "N/F", 0, 1):
    XLOOKUP(Desired, SEQUENCE(100,1,1,1), Offset, "N/F", 0, 1)/LAB_SPEED_TOTAL(
), IDS_LAB_GODLBOXED_COUNT()))))))</f>
        <v>43941</v>
      </c>
    </row>
    <row r="197">
      <c r="A197" s="572" t="s">
        <v>213</v>
      </c>
      <c r="B197" s="573" t="str">
        <f t="shared" si="1"/>
        <v/>
      </c>
      <c r="C197" s="574">
        <f>VLOOKUP($A197,MS_Labs_Array,2,FALSE)</f>
        <v>0</v>
      </c>
      <c r="D197" s="584">
        <f>VLOOKUP($A197,MS_Labs_Array,4,FALSE)</f>
        <v>20</v>
      </c>
      <c r="E197" s="575" t="str">
        <f t="shared" si="22"/>
        <v>T19 100</v>
      </c>
      <c r="F197" s="576">
        <f t="shared" si="17"/>
        <v>3.431532463</v>
      </c>
      <c r="G197" s="577" t="str">
        <f t="shared" si="3"/>
        <v>3d 10h 21m</v>
      </c>
      <c r="H197" s="578">
        <f t="shared" si="4"/>
        <v>1.592E+17</v>
      </c>
      <c r="I197" s="578">
        <f t="shared" si="5"/>
        <v>3.184E+17</v>
      </c>
      <c r="J197" s="579" t="str">
        <f t="shared" si="6"/>
        <v>159.2 q</v>
      </c>
      <c r="K197" s="580" t="str">
        <f t="shared" si="7"/>
        <v>3.87 q/h</v>
      </c>
      <c r="L197" s="581">
        <f t="shared" si="26"/>
        <v>292</v>
      </c>
      <c r="M197" s="582" t="str">
        <f t="shared" si="27"/>
        <v>6d 20h 42m</v>
      </c>
      <c r="N197" s="579" t="str">
        <f t="shared" si="10"/>
        <v>318.4 q</v>
      </c>
      <c r="O197" s="581">
        <f t="shared" si="28"/>
        <v>571</v>
      </c>
      <c r="P197" s="583" t="str">
        <f>VLOOKUP($A197,MS_Labs_Array,3,FALSE)</f>
        <v/>
      </c>
      <c r="Q197" s="582">
        <f>IFERROR(__xludf.DUMMYFUNCTION("LET(
  Labspeed, IF(A197=""Labs Speed"", 1+'Master Sheet'!$BK$5, LAB_SPEED_TOTAL()),
  Match, MATCH(IF(ISNUMBER(SEARCH(""Mastery"",$A197)),""Card Mastery"",$A197),DVT_Laboratory!B$1:V$1,0)-1,
  Offset, INDEX(DVT_Laboratory!B$3:ZZ$102,,Match+1),
  Desired,"&amp;" IF(P197&lt;&gt;"""", P197,D197),
  IFS(
    Desired &gt; D197, ""Desired lvl too high"",
    AND(Desired = D197, OR(C197 = D197, C197 = ""Max"")), ""Max Level"",
    Desired = C197, ""OK Level"",
    Desired &lt; C197, ""Desired lvl too low"",
    TRUE, TO_PURE_NUMB"&amp;"ER(
      SUM(
        XLOOKUP($C197 + 1, SEQUENCE(100, 1, 1, 1), Offset, ""N/F"", 0, 1): 
        XLOOKUP(Desired, SEQUENCE(100, 1, 1, 1), Offset, ""N/F"", 0, 1)
      ) / Labspeed
    ) /
    IF(AND(B197 &lt;&gt; """", $B$1 = ""All""), RIGHT(B197, 3), 1)
  )
"&amp;")"),720.625171232393)</f>
        <v>720.6251712</v>
      </c>
      <c r="R197" s="577" t="str">
        <f t="shared" si="12"/>
        <v>720d 15h  0m</v>
      </c>
      <c r="S197" s="579">
        <f t="array" ref="S197">LET(
  Match, MATCH(IF(ISNUMBER(SEARCH("Mastery",$A197)),"Card Mastery",$A197),DVT_Laboratory!B$1:V$1,0)-1,
  Offset, OFFSET(DVT_Laboratory!C$3,0,Match,100,1),
  Desired, IF(P197&lt;&gt;"", P197,D197),
IF(Desired&gt;D197,"Desired lvl too high",
IF(AND(Desired=D197,OR(C197=D197,C197="Max")),"Max Level",
IF(Desired=C197,"OK Level",
IF(Desired&lt;C197,"Desired lvl too low",
SUM(
XLOOKUP(C197+1,SEQUENCE(100,1,1,1),Offset,"N/F",0,1)
:XLOOKUP(Desired,SEQUENCE(100,1,1,1),Offset,"N/F",0,1))*(1-LAB_COIN_DISCOUNT()))))))</f>
        <v>3.3432E+19</v>
      </c>
      <c r="T197" s="579" t="str">
        <f t="shared" si="13"/>
        <v>33.43 Q</v>
      </c>
      <c r="U197" s="580" t="str">
        <f t="shared" si="14"/>
        <v>1.93 q/h</v>
      </c>
      <c r="V197" s="581">
        <f t="array" ref="V197">LET(
  Match, MATCH(IF(ISNUMBER(SEARCH("Mastery",$A197)),"Card Mastery",$A197),DVT_Laboratory!B$1:V$1,0)-1,
  Offset, OFFSET(DVT_Laboratory!B$3,0,Match,100,1),
  Desired, IF(P197&lt;&gt;"", P197,D197),
IF(Desired&gt;D197,"Desired lvl too high",
IF(AND(Desired=D197,OR(C197=D197,C197="Max")),"Max Level",
IF(Desired&lt;=C197,"Desired lvl too low",
SUM(TIME_TO_RUSH_GEMS(
    XLOOKUP(C197+1, SEQUENCE(100,1,1,1), Offset, "N/F", 0, 1):
    XLOOKUP(Desired, SEQUENCE(100,1,1,1), Offset, "N/F", 0, 1)/LAB_SPEED_TOTAL(
), IDS_LAB_GODLBOXED_COUNT()))))))</f>
        <v>43941</v>
      </c>
    </row>
    <row r="198">
      <c r="A198" s="572" t="s">
        <v>225</v>
      </c>
      <c r="B198" s="573" t="str">
        <f t="shared" si="1"/>
        <v/>
      </c>
      <c r="C198" s="574">
        <f>VLOOKUP($A198,MS_Labs_Array,2,FALSE)</f>
        <v>0</v>
      </c>
      <c r="D198" s="584">
        <f>VLOOKUP($A198,MS_Labs_Array,4,FALSE)</f>
        <v>20</v>
      </c>
      <c r="E198" s="575" t="str">
        <f t="shared" si="22"/>
        <v>T19 100</v>
      </c>
      <c r="F198" s="576">
        <f t="shared" si="17"/>
        <v>3.431532463</v>
      </c>
      <c r="G198" s="577" t="str">
        <f t="shared" si="3"/>
        <v>3d 10h 21m</v>
      </c>
      <c r="H198" s="578">
        <f t="shared" si="4"/>
        <v>1.592E+17</v>
      </c>
      <c r="I198" s="578">
        <f t="shared" si="5"/>
        <v>3.184E+17</v>
      </c>
      <c r="J198" s="579" t="str">
        <f t="shared" si="6"/>
        <v>159.2 q</v>
      </c>
      <c r="K198" s="580" t="str">
        <f t="shared" si="7"/>
        <v>3.87 q/h</v>
      </c>
      <c r="L198" s="581">
        <f t="shared" si="26"/>
        <v>292</v>
      </c>
      <c r="M198" s="582" t="str">
        <f t="shared" si="27"/>
        <v>6d 20h 42m</v>
      </c>
      <c r="N198" s="579" t="str">
        <f t="shared" si="10"/>
        <v>318.4 q</v>
      </c>
      <c r="O198" s="581">
        <f t="shared" si="28"/>
        <v>571</v>
      </c>
      <c r="P198" s="583" t="str">
        <f>VLOOKUP($A198,MS_Labs_Array,3,FALSE)</f>
        <v/>
      </c>
      <c r="Q198" s="582">
        <f>IFERROR(__xludf.DUMMYFUNCTION("LET(
  Labspeed, IF(A198=""Labs Speed"", 1+'Master Sheet'!$BK$5, LAB_SPEED_TOTAL()),
  Match, MATCH(IF(ISNUMBER(SEARCH(""Mastery"",$A198)),""Card Mastery"",$A198),DVT_Laboratory!B$1:V$1,0)-1,
  Offset, INDEX(DVT_Laboratory!B$3:ZZ$102,,Match+1),
  Desired,"&amp;" IF(P198&lt;&gt;"""", P198,D198),
  IFS(
    Desired &gt; D198, ""Desired lvl too high"",
    AND(Desired = D198, OR(C198 = D198, C198 = ""Max"")), ""Max Level"",
    Desired = C198, ""OK Level"",
    Desired &lt; C198, ""Desired lvl too low"",
    TRUE, TO_PURE_NUMB"&amp;"ER(
      SUM(
        XLOOKUP($C198 + 1, SEQUENCE(100, 1, 1, 1), Offset, ""N/F"", 0, 1): 
        XLOOKUP(Desired, SEQUENCE(100, 1, 1, 1), Offset, ""N/F"", 0, 1)
      ) / Labspeed
    ) /
    IF(AND(B198 &lt;&gt; """", $B$1 = ""All""), RIGHT(B198, 3), 1)
  )
"&amp;")"),720.625171232393)</f>
        <v>720.6251712</v>
      </c>
      <c r="R198" s="577" t="str">
        <f t="shared" si="12"/>
        <v>720d 15h  0m</v>
      </c>
      <c r="S198" s="579">
        <f t="array" ref="S198">LET(
  Match, MATCH(IF(ISNUMBER(SEARCH("Mastery",$A198)),"Card Mastery",$A198),DVT_Laboratory!B$1:V$1,0)-1,
  Offset, OFFSET(DVT_Laboratory!C$3,0,Match,100,1),
  Desired, IF(P198&lt;&gt;"", P198,D198),
IF(Desired&gt;D198,"Desired lvl too high",
IF(AND(Desired=D198,OR(C198=D198,C198="Max")),"Max Level",
IF(Desired=C198,"OK Level",
IF(Desired&lt;C198,"Desired lvl too low",
SUM(
XLOOKUP(C198+1,SEQUENCE(100,1,1,1),Offset,"N/F",0,1)
:XLOOKUP(Desired,SEQUENCE(100,1,1,1),Offset,"N/F",0,1))*(1-LAB_COIN_DISCOUNT()))))))</f>
        <v>3.3432E+19</v>
      </c>
      <c r="T198" s="579" t="str">
        <f t="shared" si="13"/>
        <v>33.43 Q</v>
      </c>
      <c r="U198" s="580" t="str">
        <f t="shared" si="14"/>
        <v>1.93 q/h</v>
      </c>
      <c r="V198" s="581">
        <f t="array" ref="V198">LET(
  Match, MATCH(IF(ISNUMBER(SEARCH("Mastery",$A198)),"Card Mastery",$A198),DVT_Laboratory!B$1:V$1,0)-1,
  Offset, OFFSET(DVT_Laboratory!B$3,0,Match,100,1),
  Desired, IF(P198&lt;&gt;"", P198,D198),
IF(Desired&gt;D198,"Desired lvl too high",
IF(AND(Desired=D198,OR(C198=D198,C198="Max")),"Max Level",
IF(Desired&lt;=C198,"Desired lvl too low",
SUM(TIME_TO_RUSH_GEMS(
    XLOOKUP(C198+1, SEQUENCE(100,1,1,1), Offset, "N/F", 0, 1):
    XLOOKUP(Desired, SEQUENCE(100,1,1,1), Offset, "N/F", 0, 1)/LAB_SPEED_TOTAL(
), IDS_LAB_GODLBOXED_COUNT()))))))</f>
        <v>43941</v>
      </c>
    </row>
    <row r="199">
      <c r="A199" s="572" t="s">
        <v>237</v>
      </c>
      <c r="B199" s="573" t="str">
        <f t="shared" si="1"/>
        <v/>
      </c>
      <c r="C199" s="574">
        <f>VLOOKUP($A199,MS_Labs_Array,2,FALSE)</f>
        <v>0</v>
      </c>
      <c r="D199" s="584">
        <f>VLOOKUP($A199,MS_Labs_Array,4,FALSE)</f>
        <v>20</v>
      </c>
      <c r="E199" s="575" t="str">
        <f t="shared" si="22"/>
        <v>T19 100</v>
      </c>
      <c r="F199" s="576">
        <f t="shared" si="17"/>
        <v>3.431532463</v>
      </c>
      <c r="G199" s="577" t="str">
        <f t="shared" si="3"/>
        <v>3d 10h 21m</v>
      </c>
      <c r="H199" s="578">
        <f t="shared" si="4"/>
        <v>1.592E+17</v>
      </c>
      <c r="I199" s="578">
        <f t="shared" si="5"/>
        <v>3.184E+17</v>
      </c>
      <c r="J199" s="579" t="str">
        <f t="shared" si="6"/>
        <v>159.2 q</v>
      </c>
      <c r="K199" s="580" t="str">
        <f t="shared" si="7"/>
        <v>3.87 q/h</v>
      </c>
      <c r="L199" s="581">
        <f t="shared" si="26"/>
        <v>292</v>
      </c>
      <c r="M199" s="582" t="str">
        <f t="shared" si="27"/>
        <v>6d 20h 42m</v>
      </c>
      <c r="N199" s="579" t="str">
        <f t="shared" si="10"/>
        <v>318.4 q</v>
      </c>
      <c r="O199" s="581">
        <f t="shared" si="28"/>
        <v>571</v>
      </c>
      <c r="P199" s="583" t="str">
        <f>VLOOKUP($A199,MS_Labs_Array,3,FALSE)</f>
        <v/>
      </c>
      <c r="Q199" s="582">
        <f>IFERROR(__xludf.DUMMYFUNCTION("LET(
  Labspeed, IF(A199=""Labs Speed"", 1+'Master Sheet'!$BK$5, LAB_SPEED_TOTAL()),
  Match, MATCH(IF(ISNUMBER(SEARCH(""Mastery"",$A199)),""Card Mastery"",$A199),DVT_Laboratory!B$1:V$1,0)-1,
  Offset, INDEX(DVT_Laboratory!B$3:ZZ$102,,Match+1),
  Desired,"&amp;" IF(P199&lt;&gt;"""", P199,D199),
  IFS(
    Desired &gt; D199, ""Desired lvl too high"",
    AND(Desired = D199, OR(C199 = D199, C199 = ""Max"")), ""Max Level"",
    Desired = C199, ""OK Level"",
    Desired &lt; C199, ""Desired lvl too low"",
    TRUE, TO_PURE_NUMB"&amp;"ER(
      SUM(
        XLOOKUP($C199 + 1, SEQUENCE(100, 1, 1, 1), Offset, ""N/F"", 0, 1): 
        XLOOKUP(Desired, SEQUENCE(100, 1, 1, 1), Offset, ""N/F"", 0, 1)
      ) / Labspeed
    ) /
    IF(AND(B199 &lt;&gt; """", $B$1 = ""All""), RIGHT(B199, 3), 1)
  )
"&amp;")"),720.625171232393)</f>
        <v>720.6251712</v>
      </c>
      <c r="R199" s="577" t="str">
        <f t="shared" si="12"/>
        <v>720d 15h  0m</v>
      </c>
      <c r="S199" s="579">
        <f t="array" ref="S199">LET(
  Match, MATCH(IF(ISNUMBER(SEARCH("Mastery",$A199)),"Card Mastery",$A199),DVT_Laboratory!B$1:V$1,0)-1,
  Offset, OFFSET(DVT_Laboratory!C$3,0,Match,100,1),
  Desired, IF(P199&lt;&gt;"", P199,D199),
IF(Desired&gt;D199,"Desired lvl too high",
IF(AND(Desired=D199,OR(C199=D199,C199="Max")),"Max Level",
IF(Desired=C199,"OK Level",
IF(Desired&lt;C199,"Desired lvl too low",
SUM(
XLOOKUP(C199+1,SEQUENCE(100,1,1,1),Offset,"N/F",0,1)
:XLOOKUP(Desired,SEQUENCE(100,1,1,1),Offset,"N/F",0,1))*(1-LAB_COIN_DISCOUNT()))))))</f>
        <v>3.3432E+19</v>
      </c>
      <c r="T199" s="579" t="str">
        <f t="shared" si="13"/>
        <v>33.43 Q</v>
      </c>
      <c r="U199" s="580" t="str">
        <f t="shared" si="14"/>
        <v>1.93 q/h</v>
      </c>
      <c r="V199" s="581">
        <f t="array" ref="V199">LET(
  Match, MATCH(IF(ISNUMBER(SEARCH("Mastery",$A199)),"Card Mastery",$A199),DVT_Laboratory!B$1:V$1,0)-1,
  Offset, OFFSET(DVT_Laboratory!B$3,0,Match,100,1),
  Desired, IF(P199&lt;&gt;"", P199,D199),
IF(Desired&gt;D199,"Desired lvl too high",
IF(AND(Desired=D199,OR(C199=D199,C199="Max")),"Max Level",
IF(Desired&lt;=C199,"Desired lvl too low",
SUM(TIME_TO_RUSH_GEMS(
    XLOOKUP(C199+1, SEQUENCE(100,1,1,1), Offset, "N/F", 0, 1):
    XLOOKUP(Desired, SEQUENCE(100,1,1,1), Offset, "N/F", 0, 1)/LAB_SPEED_TOTAL(
), IDS_LAB_GODLBOXED_COUNT()))))))</f>
        <v>43941</v>
      </c>
    </row>
    <row r="200">
      <c r="A200" s="572" t="s">
        <v>248</v>
      </c>
      <c r="B200" s="573" t="str">
        <f t="shared" si="1"/>
        <v/>
      </c>
      <c r="C200" s="574">
        <f>VLOOKUP($A200,MS_Labs_Array,2,FALSE)</f>
        <v>0</v>
      </c>
      <c r="D200" s="584">
        <f>VLOOKUP($A200,MS_Labs_Array,4,FALSE)</f>
        <v>20</v>
      </c>
      <c r="E200" s="575" t="str">
        <f t="shared" si="22"/>
        <v>T20 60</v>
      </c>
      <c r="F200" s="576">
        <f t="shared" si="17"/>
        <v>4.117697733</v>
      </c>
      <c r="G200" s="577" t="str">
        <f t="shared" si="3"/>
        <v>4d  2h 49m</v>
      </c>
      <c r="H200" s="585">
        <f t="shared" si="4"/>
        <v>3.98E+17</v>
      </c>
      <c r="I200" s="585">
        <f t="shared" si="5"/>
        <v>7.96E+17</v>
      </c>
      <c r="J200" s="579" t="str">
        <f t="shared" si="6"/>
        <v>398 q</v>
      </c>
      <c r="K200" s="580" t="str">
        <f t="shared" si="7"/>
        <v>8.05 q/h</v>
      </c>
      <c r="L200" s="581">
        <f t="shared" si="26"/>
        <v>348</v>
      </c>
      <c r="M200" s="582" t="str">
        <f t="shared" si="27"/>
        <v>8d  5h 39m</v>
      </c>
      <c r="N200" s="579" t="str">
        <f t="shared" si="10"/>
        <v>796 q</v>
      </c>
      <c r="O200" s="581">
        <f t="shared" si="28"/>
        <v>662</v>
      </c>
      <c r="P200" s="583" t="str">
        <f>VLOOKUP($A200,MS_Labs_Array,3,FALSE)</f>
        <v/>
      </c>
      <c r="Q200" s="582">
        <f>IFERROR(__xludf.DUMMYFUNCTION("LET(
  Labspeed, IF(A200=""Labs Speed"", 1+'Master Sheet'!$BK$5, LAB_SPEED_TOTAL()),
  Match, MATCH(IF(ISNUMBER(SEARCH(""Mastery"",$A200)),""Card Mastery"",$A200),DVT_Laboratory!B$1:V$1,0)-1,
  Offset, INDEX(DVT_Laboratory!B$3:ZZ$102,,Match+1),
  Desired,"&amp;" IF(P200&lt;&gt;"""", P200,D200),
  IFS(
    Desired &gt; D200, ""Desired lvl too high"",
    AND(Desired = D200, OR(C200 = D200, C200 = ""Max"")), ""Max Level"",
    Desired = C200, ""OK Level"",
    Desired &lt; C200, ""Desired lvl too low"",
    TRUE, TO_PURE_NUMB"&amp;"ER(
      SUM(
        XLOOKUP($C200 + 1, SEQUENCE(100, 1, 1, 1), Offset, ""N/F"", 0, 1): 
        XLOOKUP(Desired, SEQUENCE(100, 1, 1, 1), Offset, ""N/F"", 0, 1)
      ) / Labspeed
    ) /
    IF(AND(B200 &lt;&gt; """", $B$1 = ""All""), RIGHT(B200, 3), 1)
  )
"&amp;")"),864.7500642562795)</f>
        <v>864.7500643</v>
      </c>
      <c r="R200" s="577" t="str">
        <f t="shared" si="12"/>
        <v>864d 18h  0m</v>
      </c>
      <c r="S200" s="586">
        <f t="array" ref="S200">LET(
  Match, MATCH(IF(ISNUMBER(SEARCH("Mastery",$A200)),"Card Mastery",$A200),DVT_Laboratory!B$1:V$1,0)-1,
  Offset, OFFSET(DVT_Laboratory!C$3,0,Match,100,1),
  Desired, IF(P200&lt;&gt;"", P200,D200),
IF(Desired&gt;D200,"Desired lvl too high",
IF(AND(Desired=D200,OR(C200=D200,C200="Max")),"Max Level",
IF(Desired=C200,"OK Level",
IF(Desired&lt;C200,"Desired lvl too low",
SUM(
XLOOKUP(C200+1,SEQUENCE(100,1,1,1),Offset,"N/F",0,1)
:XLOOKUP(Desired,SEQUENCE(100,1,1,1),Offset,"N/F",0,1))*(1-LAB_COIN_DISCOUNT()))))))</f>
        <v>8.358E+19</v>
      </c>
      <c r="T200" s="579" t="str">
        <f t="shared" si="13"/>
        <v>83.58 Q</v>
      </c>
      <c r="U200" s="580" t="str">
        <f t="shared" si="14"/>
        <v>4.03 q/h</v>
      </c>
      <c r="V200" s="581">
        <f t="array" ref="V200">LET(
  Match, MATCH(IF(ISNUMBER(SEARCH("Mastery",$A200)),"Card Mastery",$A200),DVT_Laboratory!B$1:V$1,0)-1,
  Offset, OFFSET(DVT_Laboratory!B$3,0,Match,100,1),
  Desired, IF(P200&lt;&gt;"", P200,D200),
IF(Desired&gt;D200,"Desired lvl too high",
IF(AND(Desired=D200,OR(C200=D200,C200="Max")),"Max Level",
IF(Desired&lt;=C200,"Desired lvl too low",
SUM(TIME_TO_RUSH_GEMS(
    XLOOKUP(C200+1, SEQUENCE(100,1,1,1), Offset, "N/F", 0, 1):
    XLOOKUP(Desired, SEQUENCE(100,1,1,1), Offset, "N/F", 0, 1)/LAB_SPEED_TOTAL(
), IDS_LAB_GODLBOXED_COUNT()))))))</f>
        <v>50636</v>
      </c>
    </row>
    <row r="201">
      <c r="A201" s="572" t="s">
        <v>259</v>
      </c>
      <c r="B201" s="573" t="str">
        <f t="shared" si="1"/>
        <v/>
      </c>
      <c r="C201" s="574">
        <f>VLOOKUP($A201,MS_Labs_Array,2,FALSE)</f>
        <v>0</v>
      </c>
      <c r="D201" s="584">
        <f>VLOOKUP($A201,MS_Labs_Array,4,FALSE)</f>
        <v>20</v>
      </c>
      <c r="E201" s="575" t="str">
        <f t="shared" si="22"/>
        <v>T20 60</v>
      </c>
      <c r="F201" s="576">
        <f t="shared" si="17"/>
        <v>4.117697733</v>
      </c>
      <c r="G201" s="577" t="str">
        <f t="shared" si="3"/>
        <v>4d  2h 49m</v>
      </c>
      <c r="H201" s="585">
        <f t="shared" si="4"/>
        <v>3.98E+17</v>
      </c>
      <c r="I201" s="585">
        <f t="shared" si="5"/>
        <v>7.96E+17</v>
      </c>
      <c r="J201" s="579" t="str">
        <f t="shared" si="6"/>
        <v>398 q</v>
      </c>
      <c r="K201" s="580" t="str">
        <f t="shared" si="7"/>
        <v>8.05 q/h</v>
      </c>
      <c r="L201" s="581">
        <f t="shared" si="26"/>
        <v>348</v>
      </c>
      <c r="M201" s="582" t="str">
        <f t="shared" si="27"/>
        <v>8d  5h 39m</v>
      </c>
      <c r="N201" s="579" t="str">
        <f t="shared" si="10"/>
        <v>796 q</v>
      </c>
      <c r="O201" s="581">
        <f t="shared" si="28"/>
        <v>662</v>
      </c>
      <c r="P201" s="583" t="str">
        <f>VLOOKUP($A201,MS_Labs_Array,3,FALSE)</f>
        <v/>
      </c>
      <c r="Q201" s="582">
        <f>IFERROR(__xludf.DUMMYFUNCTION("LET(
  Labspeed, IF(A201=""Labs Speed"", 1+'Master Sheet'!$BK$5, LAB_SPEED_TOTAL()),
  Match, MATCH(IF(ISNUMBER(SEARCH(""Mastery"",$A201)),""Card Mastery"",$A201),DVT_Laboratory!B$1:V$1,0)-1,
  Offset, INDEX(DVT_Laboratory!B$3:ZZ$102,,Match+1),
  Desired,"&amp;" IF(P201&lt;&gt;"""", P201,D201),
  IFS(
    Desired &gt; D201, ""Desired lvl too high"",
    AND(Desired = D201, OR(C201 = D201, C201 = ""Max"")), ""Max Level"",
    Desired = C201, ""OK Level"",
    Desired &lt; C201, ""Desired lvl too low"",
    TRUE, TO_PURE_NUMB"&amp;"ER(
      SUM(
        XLOOKUP($C201 + 1, SEQUENCE(100, 1, 1, 1), Offset, ""N/F"", 0, 1): 
        XLOOKUP(Desired, SEQUENCE(100, 1, 1, 1), Offset, ""N/F"", 0, 1)
      ) / Labspeed
    ) /
    IF(AND(B201 &lt;&gt; """", $B$1 = ""All""), RIGHT(B201, 3), 1)
  )
"&amp;")"),864.7500642562795)</f>
        <v>864.7500643</v>
      </c>
      <c r="R201" s="577" t="str">
        <f t="shared" si="12"/>
        <v>864d 18h  0m</v>
      </c>
      <c r="S201" s="586">
        <f t="array" ref="S201">LET(
  Match, MATCH(IF(ISNUMBER(SEARCH("Mastery",$A201)),"Card Mastery",$A201),DVT_Laboratory!B$1:V$1,0)-1,
  Offset, OFFSET(DVT_Laboratory!C$3,0,Match,100,1),
  Desired, IF(P201&lt;&gt;"", P201,D201),
IF(Desired&gt;D201,"Desired lvl too high",
IF(AND(Desired=D201,OR(C201=D201,C201="Max")),"Max Level",
IF(Desired=C201,"OK Level",
IF(Desired&lt;C201,"Desired lvl too low",
SUM(
XLOOKUP(C201+1,SEQUENCE(100,1,1,1),Offset,"N/F",0,1)
:XLOOKUP(Desired,SEQUENCE(100,1,1,1),Offset,"N/F",0,1))*(1-LAB_COIN_DISCOUNT()))))))</f>
        <v>8.358E+19</v>
      </c>
      <c r="T201" s="579" t="str">
        <f t="shared" si="13"/>
        <v>83.58 Q</v>
      </c>
      <c r="U201" s="580" t="str">
        <f t="shared" si="14"/>
        <v>4.03 q/h</v>
      </c>
      <c r="V201" s="581">
        <f t="array" ref="V201">LET(
  Match, MATCH(IF(ISNUMBER(SEARCH("Mastery",$A201)),"Card Mastery",$A201),DVT_Laboratory!B$1:V$1,0)-1,
  Offset, OFFSET(DVT_Laboratory!B$3,0,Match,100,1),
  Desired, IF(P201&lt;&gt;"", P201,D201),
IF(Desired&gt;D201,"Desired lvl too high",
IF(AND(Desired=D201,OR(C201=D201,C201="Max")),"Max Level",
IF(Desired&lt;=C201,"Desired lvl too low",
SUM(TIME_TO_RUSH_GEMS(
    XLOOKUP(C201+1, SEQUENCE(100,1,1,1), Offset, "N/F", 0, 1):
    XLOOKUP(Desired, SEQUENCE(100,1,1,1), Offset, "N/F", 0, 1)/LAB_SPEED_TOTAL(
), IDS_LAB_GODLBOXED_COUNT()))))))</f>
        <v>50636</v>
      </c>
    </row>
    <row r="202">
      <c r="A202" s="587" t="s">
        <v>269</v>
      </c>
      <c r="B202" s="573" t="str">
        <f t="shared" si="1"/>
        <v/>
      </c>
      <c r="C202" s="574">
        <f>VLOOKUP($A202,MS_Labs_Array,2,FALSE)</f>
        <v>0</v>
      </c>
      <c r="D202" s="584">
        <f>VLOOKUP($A202,MS_Labs_Array,4,FALSE)</f>
        <v>20</v>
      </c>
      <c r="E202" s="575" t="str">
        <f t="shared" si="22"/>
        <v>T20 60</v>
      </c>
      <c r="F202" s="576">
        <f t="shared" si="17"/>
        <v>4.117697733</v>
      </c>
      <c r="G202" s="577" t="str">
        <f t="shared" si="3"/>
        <v>4d  2h 49m</v>
      </c>
      <c r="H202" s="585">
        <f t="shared" si="4"/>
        <v>3.98E+17</v>
      </c>
      <c r="I202" s="585">
        <f t="shared" si="5"/>
        <v>7.96E+17</v>
      </c>
      <c r="J202" s="579" t="str">
        <f t="shared" si="6"/>
        <v>398 q</v>
      </c>
      <c r="K202" s="580" t="str">
        <f t="shared" si="7"/>
        <v>8.05 q/h</v>
      </c>
      <c r="L202" s="581">
        <f t="shared" si="26"/>
        <v>348</v>
      </c>
      <c r="M202" s="582" t="str">
        <f t="shared" si="27"/>
        <v>8d  5h 39m</v>
      </c>
      <c r="N202" s="579" t="str">
        <f t="shared" si="10"/>
        <v>796 q</v>
      </c>
      <c r="O202" s="581">
        <f t="shared" si="28"/>
        <v>662</v>
      </c>
      <c r="P202" s="583" t="str">
        <f>VLOOKUP($A202,MS_Labs_Array,3,FALSE)</f>
        <v/>
      </c>
      <c r="Q202" s="582">
        <f>IFERROR(__xludf.DUMMYFUNCTION("LET(
  Labspeed, IF(A202=""Labs Speed"", 1+'Master Sheet'!$BK$5, LAB_SPEED_TOTAL()),
  Match, MATCH(IF(ISNUMBER(SEARCH(""Mastery"",$A202)),""Card Mastery"",$A202),DVT_Laboratory!B$1:V$1,0)-1,
  Offset, INDEX(DVT_Laboratory!B$3:ZZ$102,,Match+1),
  Desired,"&amp;" IF(P202&lt;&gt;"""", P202,D202),
  IFS(
    Desired &gt; D202, ""Desired lvl too high"",
    AND(Desired = D202, OR(C202 = D202, C202 = ""Max"")), ""Max Level"",
    Desired = C202, ""OK Level"",
    Desired &lt; C202, ""Desired lvl too low"",
    TRUE, TO_PURE_NUMB"&amp;"ER(
      SUM(
        XLOOKUP($C202 + 1, SEQUENCE(100, 1, 1, 1), Offset, ""N/F"", 0, 1): 
        XLOOKUP(Desired, SEQUENCE(100, 1, 1, 1), Offset, ""N/F"", 0, 1)
      ) / Labspeed
    ) /
    IF(AND(B202 &lt;&gt; """", $B$1 = ""All""), RIGHT(B202, 3), 1)
  )
"&amp;")"),864.7500642562795)</f>
        <v>864.7500643</v>
      </c>
      <c r="R202" s="577" t="str">
        <f t="shared" si="12"/>
        <v>864d 18h  0m</v>
      </c>
      <c r="S202" s="586">
        <f t="array" ref="S202">LET(
  Match, MATCH(IF(ISNUMBER(SEARCH("Mastery",$A202)),"Card Mastery",$A202),DVT_Laboratory!B$1:V$1,0)-1,
  Offset, OFFSET(DVT_Laboratory!C$3,0,Match,100,1),
  Desired, IF(P202&lt;&gt;"", P202,D202),
IF(Desired&gt;D202,"Desired lvl too high",
IF(AND(Desired=D202,OR(C202=D202,C202="Max")),"Max Level",
IF(Desired=C202,"OK Level",
IF(Desired&lt;C202,"Desired lvl too low",
SUM(
XLOOKUP(C202+1,SEQUENCE(100,1,1,1),Offset,"N/F",0,1)
:XLOOKUP(Desired,SEQUENCE(100,1,1,1),Offset,"N/F",0,1))*(1-LAB_COIN_DISCOUNT()))))))</f>
        <v>8.358E+19</v>
      </c>
      <c r="T202" s="579" t="str">
        <f t="shared" si="13"/>
        <v>83.58 Q</v>
      </c>
      <c r="U202" s="580" t="str">
        <f t="shared" si="14"/>
        <v>4.03 q/h</v>
      </c>
      <c r="V202" s="581">
        <f t="array" ref="V202">LET(
  Match, MATCH(IF(ISNUMBER(SEARCH("Mastery",$A202)),"Card Mastery",$A202),DVT_Laboratory!B$1:V$1,0)-1,
  Offset, OFFSET(DVT_Laboratory!B$3,0,Match,100,1),
  Desired, IF(P202&lt;&gt;"", P202,D202),
IF(Desired&gt;D202,"Desired lvl too high",
IF(AND(Desired=D202,OR(C202=D202,C202="Max")),"Max Level",
IF(Desired&lt;=C202,"Desired lvl too low",
SUM(TIME_TO_RUSH_GEMS(
    XLOOKUP(C202+1, SEQUENCE(100,1,1,1), Offset, "N/F", 0, 1):
    XLOOKUP(Desired, SEQUENCE(100,1,1,1), Offset, "N/F", 0, 1)/LAB_SPEED_TOTAL(
), IDS_LAB_GODLBOXED_COUNT()))))))</f>
        <v>50636</v>
      </c>
    </row>
    <row r="203">
      <c r="A203" s="587" t="s">
        <v>277</v>
      </c>
      <c r="B203" s="573" t="str">
        <f t="shared" si="1"/>
        <v/>
      </c>
      <c r="C203" s="574">
        <f>VLOOKUP($A203,MS_Labs_Array,2,FALSE)</f>
        <v>0</v>
      </c>
      <c r="D203" s="584">
        <f>VLOOKUP($A203,MS_Labs_Array,4,FALSE)</f>
        <v>20</v>
      </c>
      <c r="E203" s="575" t="str">
        <f t="shared" si="22"/>
        <v>T20 60</v>
      </c>
      <c r="F203" s="576">
        <f t="shared" si="17"/>
        <v>4.117697733</v>
      </c>
      <c r="G203" s="577" t="str">
        <f t="shared" si="3"/>
        <v>4d  2h 49m</v>
      </c>
      <c r="H203" s="585">
        <f t="shared" si="4"/>
        <v>3.98E+17</v>
      </c>
      <c r="I203" s="585">
        <f t="shared" si="5"/>
        <v>7.96E+17</v>
      </c>
      <c r="J203" s="579" t="str">
        <f t="shared" si="6"/>
        <v>398 q</v>
      </c>
      <c r="K203" s="580" t="str">
        <f t="shared" si="7"/>
        <v>8.05 q/h</v>
      </c>
      <c r="L203" s="581">
        <f t="shared" si="26"/>
        <v>348</v>
      </c>
      <c r="M203" s="582" t="str">
        <f t="shared" si="27"/>
        <v>8d  5h 39m</v>
      </c>
      <c r="N203" s="579" t="str">
        <f t="shared" si="10"/>
        <v>796 q</v>
      </c>
      <c r="O203" s="581">
        <f t="shared" si="28"/>
        <v>662</v>
      </c>
      <c r="P203" s="583" t="str">
        <f>VLOOKUP($A203,MS_Labs_Array,3,FALSE)</f>
        <v/>
      </c>
      <c r="Q203" s="582">
        <f>IFERROR(__xludf.DUMMYFUNCTION("LET(
  Labspeed, IF(A203=""Labs Speed"", 1+'Master Sheet'!$BK$5, LAB_SPEED_TOTAL()),
  Match, MATCH(IF(ISNUMBER(SEARCH(""Mastery"",$A203)),""Card Mastery"",$A203),DVT_Laboratory!B$1:V$1,0)-1,
  Offset, INDEX(DVT_Laboratory!B$3:ZZ$102,,Match+1),
  Desired,"&amp;" IF(P203&lt;&gt;"""", P203,D203),
  IFS(
    Desired &gt; D203, ""Desired lvl too high"",
    AND(Desired = D203, OR(C203 = D203, C203 = ""Max"")), ""Max Level"",
    Desired = C203, ""OK Level"",
    Desired &lt; C203, ""Desired lvl too low"",
    TRUE, TO_PURE_NUMB"&amp;"ER(
      SUM(
        XLOOKUP($C203 + 1, SEQUENCE(100, 1, 1, 1), Offset, ""N/F"", 0, 1): 
        XLOOKUP(Desired, SEQUENCE(100, 1, 1, 1), Offset, ""N/F"", 0, 1)
      ) / Labspeed
    ) /
    IF(AND(B203 &lt;&gt; """", $B$1 = ""All""), RIGHT(B203, 3), 1)
  )
"&amp;")"),864.7500642562795)</f>
        <v>864.7500643</v>
      </c>
      <c r="R203" s="577" t="str">
        <f t="shared" si="12"/>
        <v>864d 18h  0m</v>
      </c>
      <c r="S203" s="586">
        <f t="array" ref="S203">LET(
  Match, MATCH(IF(ISNUMBER(SEARCH("Mastery",$A203)),"Card Mastery",$A203),DVT_Laboratory!B$1:V$1,0)-1,
  Offset, OFFSET(DVT_Laboratory!C$3,0,Match,100,1),
  Desired, IF(P203&lt;&gt;"", P203,D203),
IF(Desired&gt;D203,"Desired lvl too high",
IF(AND(Desired=D203,OR(C203=D203,C203="Max")),"Max Level",
IF(Desired=C203,"OK Level",
IF(Desired&lt;C203,"Desired lvl too low",
SUM(
XLOOKUP(C203+1,SEQUENCE(100,1,1,1),Offset,"N/F",0,1)
:XLOOKUP(Desired,SEQUENCE(100,1,1,1),Offset,"N/F",0,1))*(1-LAB_COIN_DISCOUNT()))))))</f>
        <v>8.358E+19</v>
      </c>
      <c r="T203" s="579" t="str">
        <f t="shared" si="13"/>
        <v>83.58 Q</v>
      </c>
      <c r="U203" s="580" t="str">
        <f t="shared" si="14"/>
        <v>4.03 q/h</v>
      </c>
      <c r="V203" s="581">
        <f t="array" ref="V203">LET(
  Match, MATCH(IF(ISNUMBER(SEARCH("Mastery",$A203)),"Card Mastery",$A203),DVT_Laboratory!B$1:V$1,0)-1,
  Offset, OFFSET(DVT_Laboratory!B$3,0,Match,100,1),
  Desired, IF(P203&lt;&gt;"", P203,D203),
IF(Desired&gt;D203,"Desired lvl too high",
IF(AND(Desired=D203,OR(C203=D203,C203="Max")),"Max Level",
IF(Desired&lt;=C203,"Desired lvl too low",
SUM(TIME_TO_RUSH_GEMS(
    XLOOKUP(C203+1, SEQUENCE(100,1,1,1), Offset, "N/F", 0, 1):
    XLOOKUP(Desired, SEQUENCE(100,1,1,1), Offset, "N/F", 0, 1)/LAB_SPEED_TOTAL(
), IDS_LAB_GODLBOXED_COUNT()))))))</f>
        <v>50636</v>
      </c>
    </row>
    <row r="204">
      <c r="A204" s="587" t="s">
        <v>285</v>
      </c>
      <c r="B204" s="573" t="str">
        <f t="shared" si="1"/>
        <v/>
      </c>
      <c r="C204" s="574">
        <f>VLOOKUP($A204,MS_Labs_Array,2,FALSE)</f>
        <v>0</v>
      </c>
      <c r="D204" s="584">
        <f>VLOOKUP($A204,MS_Labs_Array,4,FALSE)</f>
        <v>10</v>
      </c>
      <c r="E204" s="575" t="str">
        <f t="shared" si="22"/>
        <v>T19 500</v>
      </c>
      <c r="F204" s="576">
        <f t="shared" si="17"/>
        <v>6.863064926</v>
      </c>
      <c r="G204" s="577" t="str">
        <f t="shared" si="3"/>
        <v>6d 20h 42m</v>
      </c>
      <c r="H204" s="585">
        <f t="shared" si="4"/>
        <v>7.96E+17</v>
      </c>
      <c r="I204" s="585">
        <f t="shared" si="5"/>
        <v>1.194E+18</v>
      </c>
      <c r="J204" s="579" t="str">
        <f t="shared" si="6"/>
        <v>796 q</v>
      </c>
      <c r="K204" s="580" t="str">
        <f t="shared" si="7"/>
        <v>7.25 q/h</v>
      </c>
      <c r="L204" s="581">
        <f t="shared" si="26"/>
        <v>571</v>
      </c>
      <c r="M204" s="582" t="str">
        <f t="shared" si="27"/>
        <v>9d 14h 35m</v>
      </c>
      <c r="N204" s="579" t="str">
        <f t="shared" si="10"/>
        <v>1.19 Q</v>
      </c>
      <c r="O204" s="581">
        <f t="shared" si="28"/>
        <v>750</v>
      </c>
      <c r="P204" s="583" t="str">
        <f>VLOOKUP($A204,MS_Labs_Array,3,FALSE)</f>
        <v/>
      </c>
      <c r="Q204" s="582">
        <f>IFERROR(__xludf.DUMMYFUNCTION("LET(
  Labspeed, IF(A204=""Labs Speed"", 1+'Master Sheet'!$BK$5, LAB_SPEED_TOTAL()),
  Match, MATCH(IF(ISNUMBER(SEARCH(""Mastery"",$A204)),""Card Mastery"",$A204),DVT_Laboratory!B$1:V$1,0)-1,
  Offset, INDEX(DVT_Laboratory!B$3:ZZ$102,,Match+1),
  Desired,"&amp;" IF(P204&lt;&gt;"""", P204,D204),
  IFS(
    Desired &gt; D204, ""Desired lvl too high"",
    AND(Desired = D204, OR(C204 = D204, C204 = ""Max"")), ""Max Level"",
    Desired = C204, ""OK Level"",
    Desired &lt; C204, ""Desired lvl too low"",
    TRUE, TO_PURE_NUMB"&amp;"ER(
      SUM(
        XLOOKUP($C204 + 1, SEQUENCE(100, 1, 1, 1), Offset, ""N/F"", 0, 1): 
        XLOOKUP(Desired, SEQUENCE(100, 1, 1, 1), Offset, ""N/F"", 0, 1)
      ) / Labspeed
    ) /
    IF(AND(B204 &lt;&gt; """", $B$1 = ""All""), RIGHT(B204, 3), 1)
  )
"&amp;")"),192.16634750360822)</f>
        <v>192.1663475</v>
      </c>
      <c r="R204" s="577" t="str">
        <f t="shared" si="12"/>
        <v>192d  3h 59m</v>
      </c>
      <c r="S204" s="586">
        <f t="array" ref="S204">LET(
  Match, MATCH(IF(ISNUMBER(SEARCH("Mastery",$A204)),"Card Mastery",$A204),DVT_Laboratory!B$1:V$1,0)-1,
  Offset, OFFSET(DVT_Laboratory!C$3,0,Match,100,1),
  Desired, IF(P204&lt;&gt;"", P204,D204),
IF(Desired&gt;D204,"Desired lvl too high",
IF(AND(Desired=D204,OR(C204=D204,C204="Max")),"Max Level",
IF(Desired=C204,"OK Level",
IF(Desired&lt;C204,"Desired lvl too low",
SUM(
XLOOKUP(C204+1,SEQUENCE(100,1,1,1),Offset,"N/F",0,1)
:XLOOKUP(Desired,SEQUENCE(100,1,1,1),Offset,"N/F",0,1))*(1-LAB_COIN_DISCOUNT()))))))</f>
        <v>9.02107E+19</v>
      </c>
      <c r="T204" s="579" t="str">
        <f t="shared" si="13"/>
        <v>90.21 Q</v>
      </c>
      <c r="U204" s="580" t="str">
        <f t="shared" si="14"/>
        <v>19.56 q/h</v>
      </c>
      <c r="V204" s="581">
        <f t="array" ref="V204">LET(
  Match, MATCH(IF(ISNUMBER(SEARCH("Mastery",$A204)),"Card Mastery",$A204),DVT_Laboratory!B$1:V$1,0)-1,
  Offset, OFFSET(DVT_Laboratory!B$3,0,Match,100,1),
  Desired, IF(P204&lt;&gt;"", P204,D204),
IF(Desired&gt;D204,"Desired lvl too high",
IF(AND(Desired=D204,OR(C204=D204,C204="Max")),"Max Level",
IF(Desired&lt;=C204,"Desired lvl too low",
SUM(TIME_TO_RUSH_GEMS(
    XLOOKUP(C204+1, SEQUENCE(100,1,1,1), Offset, "N/F", 0, 1):
    XLOOKUP(Desired, SEQUENCE(100,1,1,1), Offset, "N/F", 0, 1)/LAB_SPEED_TOTAL(
), IDS_LAB_GODLBOXED_COUNT()))))))</f>
        <v>13659</v>
      </c>
    </row>
    <row r="205">
      <c r="A205" s="587" t="s">
        <v>293</v>
      </c>
      <c r="B205" s="573" t="str">
        <f t="shared" si="1"/>
        <v/>
      </c>
      <c r="C205" s="574">
        <f>VLOOKUP($A205,MS_Labs_Array,2,FALSE)</f>
        <v>0</v>
      </c>
      <c r="D205" s="584">
        <f>VLOOKUP($A205,MS_Labs_Array,4,FALSE)</f>
        <v>10</v>
      </c>
      <c r="E205" s="575" t="str">
        <f t="shared" si="22"/>
        <v>T19 500</v>
      </c>
      <c r="F205" s="576">
        <f t="shared" si="17"/>
        <v>6.863064926</v>
      </c>
      <c r="G205" s="577" t="str">
        <f t="shared" si="3"/>
        <v>6d 20h 42m</v>
      </c>
      <c r="H205" s="585">
        <f t="shared" si="4"/>
        <v>7.96E+17</v>
      </c>
      <c r="I205" s="585">
        <f t="shared" si="5"/>
        <v>1.194E+18</v>
      </c>
      <c r="J205" s="579" t="str">
        <f t="shared" si="6"/>
        <v>796 q</v>
      </c>
      <c r="K205" s="580" t="str">
        <f t="shared" si="7"/>
        <v>7.25 q/h</v>
      </c>
      <c r="L205" s="581">
        <f t="shared" si="26"/>
        <v>571</v>
      </c>
      <c r="M205" s="582" t="str">
        <f t="shared" si="27"/>
        <v>9d 14h 35m</v>
      </c>
      <c r="N205" s="579" t="str">
        <f t="shared" si="10"/>
        <v>1.19 Q</v>
      </c>
      <c r="O205" s="581">
        <f t="shared" si="28"/>
        <v>750</v>
      </c>
      <c r="P205" s="583" t="str">
        <f>VLOOKUP($A205,MS_Labs_Array,3,FALSE)</f>
        <v/>
      </c>
      <c r="Q205" s="582">
        <f>IFERROR(__xludf.DUMMYFUNCTION("LET(
  Labspeed, IF(A205=""Labs Speed"", 1+'Master Sheet'!$BK$5, LAB_SPEED_TOTAL()),
  Match, MATCH(IF(ISNUMBER(SEARCH(""Mastery"",$A205)),""Card Mastery"",$A205),DVT_Laboratory!B$1:V$1,0)-1,
  Offset, INDEX(DVT_Laboratory!B$3:ZZ$102,,Match+1),
  Desired,"&amp;" IF(P205&lt;&gt;"""", P205,D205),
  IFS(
    Desired &gt; D205, ""Desired lvl too high"",
    AND(Desired = D205, OR(C205 = D205, C205 = ""Max"")), ""Max Level"",
    Desired = C205, ""OK Level"",
    Desired &lt; C205, ""Desired lvl too low"",
    TRUE, TO_PURE_NUMB"&amp;"ER(
      SUM(
        XLOOKUP($C205 + 1, SEQUENCE(100, 1, 1, 1), Offset, ""N/F"", 0, 1): 
        XLOOKUP(Desired, SEQUENCE(100, 1, 1, 1), Offset, ""N/F"", 0, 1)
      ) / Labspeed
    ) /
    IF(AND(B205 &lt;&gt; """", $B$1 = ""All""), RIGHT(B205, 3), 1)
  )
"&amp;")"),192.16634750360822)</f>
        <v>192.1663475</v>
      </c>
      <c r="R205" s="577" t="str">
        <f t="shared" si="12"/>
        <v>192d  3h 59m</v>
      </c>
      <c r="S205" s="586">
        <f t="array" ref="S205">LET(
  Match, MATCH(IF(ISNUMBER(SEARCH("Mastery",$A205)),"Card Mastery",$A205),DVT_Laboratory!B$1:V$1,0)-1,
  Offset, OFFSET(DVT_Laboratory!C$3,0,Match,100,1),
  Desired, IF(P205&lt;&gt;"", P205,D205),
IF(Desired&gt;D205,"Desired lvl too high",
IF(AND(Desired=D205,OR(C205=D205,C205="Max")),"Max Level",
IF(Desired=C205,"OK Level",
IF(Desired&lt;C205,"Desired lvl too low",
SUM(
XLOOKUP(C205+1,SEQUENCE(100,1,1,1),Offset,"N/F",0,1)
:XLOOKUP(Desired,SEQUENCE(100,1,1,1),Offset,"N/F",0,1))*(1-LAB_COIN_DISCOUNT()))))))</f>
        <v>9.02107E+19</v>
      </c>
      <c r="T205" s="579" t="str">
        <f t="shared" si="13"/>
        <v>90.21 Q</v>
      </c>
      <c r="U205" s="580" t="str">
        <f t="shared" si="14"/>
        <v>19.56 q/h</v>
      </c>
      <c r="V205" s="581">
        <f t="array" ref="V205">LET(
  Match, MATCH(IF(ISNUMBER(SEARCH("Mastery",$A205)),"Card Mastery",$A205),DVT_Laboratory!B$1:V$1,0)-1,
  Offset, OFFSET(DVT_Laboratory!B$3,0,Match,100,1),
  Desired, IF(P205&lt;&gt;"", P205,D205),
IF(Desired&gt;D205,"Desired lvl too high",
IF(AND(Desired=D205,OR(C205=D205,C205="Max")),"Max Level",
IF(Desired&lt;=C205,"Desired lvl too low",
SUM(TIME_TO_RUSH_GEMS(
    XLOOKUP(C205+1, SEQUENCE(100,1,1,1), Offset, "N/F", 0, 1):
    XLOOKUP(Desired, SEQUENCE(100,1,1,1), Offset, "N/F", 0, 1)/LAB_SPEED_TOTAL(
), IDS_LAB_GODLBOXED_COUNT()))))))</f>
        <v>13659</v>
      </c>
    </row>
    <row r="206">
      <c r="A206" s="587" t="s">
        <v>300</v>
      </c>
      <c r="B206" s="573" t="str">
        <f t="shared" si="1"/>
        <v/>
      </c>
      <c r="C206" s="574">
        <f>VLOOKUP($A206,MS_Labs_Array,2,FALSE)</f>
        <v>0</v>
      </c>
      <c r="D206" s="584">
        <f>VLOOKUP($A206,MS_Labs_Array,4,FALSE)</f>
        <v>10</v>
      </c>
      <c r="E206" s="575" t="str">
        <f t="shared" si="22"/>
        <v>T19 500</v>
      </c>
      <c r="F206" s="576">
        <f t="shared" si="17"/>
        <v>6.863064926</v>
      </c>
      <c r="G206" s="577" t="str">
        <f t="shared" si="3"/>
        <v>6d 20h 42m</v>
      </c>
      <c r="H206" s="585">
        <f t="shared" si="4"/>
        <v>7.96E+17</v>
      </c>
      <c r="I206" s="585">
        <f t="shared" si="5"/>
        <v>1.194E+18</v>
      </c>
      <c r="J206" s="579" t="str">
        <f t="shared" si="6"/>
        <v>796 q</v>
      </c>
      <c r="K206" s="580" t="str">
        <f t="shared" si="7"/>
        <v>7.25 q/h</v>
      </c>
      <c r="L206" s="581">
        <f t="shared" si="26"/>
        <v>571</v>
      </c>
      <c r="M206" s="582" t="str">
        <f t="shared" si="27"/>
        <v>9d 14h 35m</v>
      </c>
      <c r="N206" s="579" t="str">
        <f t="shared" si="10"/>
        <v>1.19 Q</v>
      </c>
      <c r="O206" s="581">
        <f t="shared" si="28"/>
        <v>750</v>
      </c>
      <c r="P206" s="583" t="str">
        <f>VLOOKUP($A206,MS_Labs_Array,3,FALSE)</f>
        <v/>
      </c>
      <c r="Q206" s="582">
        <f>IFERROR(__xludf.DUMMYFUNCTION("LET(
  Labspeed, IF(A206=""Labs Speed"", 1+'Master Sheet'!$BK$5, LAB_SPEED_TOTAL()),
  Match, MATCH(IF(ISNUMBER(SEARCH(""Mastery"",$A206)),""Card Mastery"",$A206),DVT_Laboratory!B$1:V$1,0)-1,
  Offset, INDEX(DVT_Laboratory!B$3:ZZ$102,,Match+1),
  Desired,"&amp;" IF(P206&lt;&gt;"""", P206,D206),
  IFS(
    Desired &gt; D206, ""Desired lvl too high"",
    AND(Desired = D206, OR(C206 = D206, C206 = ""Max"")), ""Max Level"",
    Desired = C206, ""OK Level"",
    Desired &lt; C206, ""Desired lvl too low"",
    TRUE, TO_PURE_NUMB"&amp;"ER(
      SUM(
        XLOOKUP($C206 + 1, SEQUENCE(100, 1, 1, 1), Offset, ""N/F"", 0, 1): 
        XLOOKUP(Desired, SEQUENCE(100, 1, 1, 1), Offset, ""N/F"", 0, 1)
      ) / Labspeed
    ) /
    IF(AND(B206 &lt;&gt; """", $B$1 = ""All""), RIGHT(B206, 3), 1)
  )
"&amp;")"),192.16634750360822)</f>
        <v>192.1663475</v>
      </c>
      <c r="R206" s="577" t="str">
        <f t="shared" si="12"/>
        <v>192d  3h 59m</v>
      </c>
      <c r="S206" s="586">
        <f t="array" ref="S206">LET(
  Match, MATCH(IF(ISNUMBER(SEARCH("Mastery",$A206)),"Card Mastery",$A206),DVT_Laboratory!B$1:V$1,0)-1,
  Offset, OFFSET(DVT_Laboratory!C$3,0,Match,100,1),
  Desired, IF(P206&lt;&gt;"", P206,D206),
IF(Desired&gt;D206,"Desired lvl too high",
IF(AND(Desired=D206,OR(C206=D206,C206="Max")),"Max Level",
IF(Desired=C206,"OK Level",
IF(Desired&lt;C206,"Desired lvl too low",
SUM(
XLOOKUP(C206+1,SEQUENCE(100,1,1,1),Offset,"N/F",0,1)
:XLOOKUP(Desired,SEQUENCE(100,1,1,1),Offset,"N/F",0,1))*(1-LAB_COIN_DISCOUNT()))))))</f>
        <v>9.02107E+19</v>
      </c>
      <c r="T206" s="579" t="str">
        <f t="shared" si="13"/>
        <v>90.21 Q</v>
      </c>
      <c r="U206" s="580" t="str">
        <f t="shared" si="14"/>
        <v>19.56 q/h</v>
      </c>
      <c r="V206" s="581">
        <f t="array" ref="V206">LET(
  Match, MATCH(IF(ISNUMBER(SEARCH("Mastery",$A206)),"Card Mastery",$A206),DVT_Laboratory!B$1:V$1,0)-1,
  Offset, OFFSET(DVT_Laboratory!B$3,0,Match,100,1),
  Desired, IF(P206&lt;&gt;"", P206,D206),
IF(Desired&gt;D206,"Desired lvl too high",
IF(AND(Desired=D206,OR(C206=D206,C206="Max")),"Max Level",
IF(Desired&lt;=C206,"Desired lvl too low",
SUM(TIME_TO_RUSH_GEMS(
    XLOOKUP(C206+1, SEQUENCE(100,1,1,1), Offset, "N/F", 0, 1):
    XLOOKUP(Desired, SEQUENCE(100,1,1,1), Offset, "N/F", 0, 1)/LAB_SPEED_TOTAL(
), IDS_LAB_GODLBOXED_COUNT()))))))</f>
        <v>13659</v>
      </c>
    </row>
    <row r="207">
      <c r="A207" s="587" t="s">
        <v>307</v>
      </c>
      <c r="B207" s="573" t="str">
        <f t="shared" si="1"/>
        <v/>
      </c>
      <c r="C207" s="574">
        <f>VLOOKUP($A207,MS_Labs_Array,2,FALSE)</f>
        <v>0</v>
      </c>
      <c r="D207" s="584">
        <f>VLOOKUP($A207,MS_Labs_Array,4,FALSE)</f>
        <v>10</v>
      </c>
      <c r="E207" s="575" t="str">
        <f t="shared" si="22"/>
        <v>T19 500</v>
      </c>
      <c r="F207" s="576">
        <f t="shared" si="17"/>
        <v>6.863064926</v>
      </c>
      <c r="G207" s="577" t="str">
        <f t="shared" si="3"/>
        <v>6d 20h 42m</v>
      </c>
      <c r="H207" s="585">
        <f t="shared" si="4"/>
        <v>7.96E+17</v>
      </c>
      <c r="I207" s="585">
        <f t="shared" si="5"/>
        <v>1.194E+18</v>
      </c>
      <c r="J207" s="579" t="str">
        <f t="shared" si="6"/>
        <v>796 q</v>
      </c>
      <c r="K207" s="580" t="str">
        <f t="shared" si="7"/>
        <v>7.25 q/h</v>
      </c>
      <c r="L207" s="581">
        <f t="shared" si="26"/>
        <v>571</v>
      </c>
      <c r="M207" s="582" t="str">
        <f t="shared" si="27"/>
        <v>9d 14h 35m</v>
      </c>
      <c r="N207" s="579" t="str">
        <f t="shared" si="10"/>
        <v>1.19 Q</v>
      </c>
      <c r="O207" s="581">
        <f t="shared" si="28"/>
        <v>750</v>
      </c>
      <c r="P207" s="583" t="str">
        <f>VLOOKUP($A207,MS_Labs_Array,3,FALSE)</f>
        <v/>
      </c>
      <c r="Q207" s="582">
        <f>IFERROR(__xludf.DUMMYFUNCTION("LET(
  Labspeed, IF(A207=""Labs Speed"", 1+'Master Sheet'!$BK$5, LAB_SPEED_TOTAL()),
  Match, MATCH(IF(ISNUMBER(SEARCH(""Mastery"",$A207)),""Card Mastery"",$A207),DVT_Laboratory!B$1:V$1,0)-1,
  Offset, INDEX(DVT_Laboratory!B$3:ZZ$102,,Match+1),
  Desired,"&amp;" IF(P207&lt;&gt;"""", P207,D207),
  IFS(
    Desired &gt; D207, ""Desired lvl too high"",
    AND(Desired = D207, OR(C207 = D207, C207 = ""Max"")), ""Max Level"",
    Desired = C207, ""OK Level"",
    Desired &lt; C207, ""Desired lvl too low"",
    TRUE, TO_PURE_NUMB"&amp;"ER(
      SUM(
        XLOOKUP($C207 + 1, SEQUENCE(100, 1, 1, 1), Offset, ""N/F"", 0, 1): 
        XLOOKUP(Desired, SEQUENCE(100, 1, 1, 1), Offset, ""N/F"", 0, 1)
      ) / Labspeed
    ) /
    IF(AND(B207 &lt;&gt; """", $B$1 = ""All""), RIGHT(B207, 3), 1)
  )
"&amp;")"),192.16634750360822)</f>
        <v>192.1663475</v>
      </c>
      <c r="R207" s="577" t="str">
        <f t="shared" si="12"/>
        <v>192d  3h 59m</v>
      </c>
      <c r="S207" s="586">
        <f t="array" ref="S207">LET(
  Match, MATCH(IF(ISNUMBER(SEARCH("Mastery",$A207)),"Card Mastery",$A207),DVT_Laboratory!B$1:V$1,0)-1,
  Offset, OFFSET(DVT_Laboratory!C$3,0,Match,100,1),
  Desired, IF(P207&lt;&gt;"", P207,D207),
IF(Desired&gt;D207,"Desired lvl too high",
IF(AND(Desired=D207,OR(C207=D207,C207="Max")),"Max Level",
IF(Desired=C207,"OK Level",
IF(Desired&lt;C207,"Desired lvl too low",
SUM(
XLOOKUP(C207+1,SEQUENCE(100,1,1,1),Offset,"N/F",0,1)
:XLOOKUP(Desired,SEQUENCE(100,1,1,1),Offset,"N/F",0,1))*(1-LAB_COIN_DISCOUNT()))))))</f>
        <v>9.02107E+19</v>
      </c>
      <c r="T207" s="579" t="str">
        <f t="shared" si="13"/>
        <v>90.21 Q</v>
      </c>
      <c r="U207" s="580" t="str">
        <f t="shared" si="14"/>
        <v>19.56 q/h</v>
      </c>
      <c r="V207" s="581">
        <f t="array" ref="V207">LET(
  Match, MATCH(IF(ISNUMBER(SEARCH("Mastery",$A207)),"Card Mastery",$A207),DVT_Laboratory!B$1:V$1,0)-1,
  Offset, OFFSET(DVT_Laboratory!B$3,0,Match,100,1),
  Desired, IF(P207&lt;&gt;"", P207,D207),
IF(Desired&gt;D207,"Desired lvl too high",
IF(AND(Desired=D207,OR(C207=D207,C207="Max")),"Max Level",
IF(Desired&lt;=C207,"Desired lvl too low",
SUM(TIME_TO_RUSH_GEMS(
    XLOOKUP(C207+1, SEQUENCE(100,1,1,1), Offset, "N/F", 0, 1):
    XLOOKUP(Desired, SEQUENCE(100,1,1,1), Offset, "N/F", 0, 1)/LAB_SPEED_TOTAL(
), IDS_LAB_GODLBOXED_COUNT()))))))</f>
        <v>13659</v>
      </c>
    </row>
    <row r="208">
      <c r="A208" s="587" t="s">
        <v>314</v>
      </c>
      <c r="B208" s="573" t="str">
        <f t="shared" si="1"/>
        <v/>
      </c>
      <c r="C208" s="574">
        <f>VLOOKUP($A208,MS_Labs_Array,2,FALSE)</f>
        <v>0</v>
      </c>
      <c r="D208" s="584">
        <f>VLOOKUP($A208,MS_Labs_Array,4,FALSE)</f>
        <v>10</v>
      </c>
      <c r="E208" s="575" t="str">
        <f t="shared" si="22"/>
        <v>T19 500</v>
      </c>
      <c r="F208" s="576">
        <f t="shared" si="17"/>
        <v>6.863064926</v>
      </c>
      <c r="G208" s="577" t="str">
        <f t="shared" si="3"/>
        <v>6d 20h 42m</v>
      </c>
      <c r="H208" s="585">
        <f t="shared" si="4"/>
        <v>7.96E+17</v>
      </c>
      <c r="I208" s="585">
        <f t="shared" si="5"/>
        <v>1.194E+18</v>
      </c>
      <c r="J208" s="579" t="str">
        <f t="shared" si="6"/>
        <v>796 q</v>
      </c>
      <c r="K208" s="580" t="str">
        <f t="shared" si="7"/>
        <v>7.25 q/h</v>
      </c>
      <c r="L208" s="581">
        <f t="shared" si="26"/>
        <v>571</v>
      </c>
      <c r="M208" s="582" t="str">
        <f t="shared" si="27"/>
        <v>9d 14h 35m</v>
      </c>
      <c r="N208" s="579" t="str">
        <f t="shared" si="10"/>
        <v>1.19 Q</v>
      </c>
      <c r="O208" s="581">
        <f t="shared" si="28"/>
        <v>750</v>
      </c>
      <c r="P208" s="583" t="str">
        <f>VLOOKUP($A208,MS_Labs_Array,3,FALSE)</f>
        <v/>
      </c>
      <c r="Q208" s="582">
        <f>IFERROR(__xludf.DUMMYFUNCTION("LET(
  Labspeed, IF(A208=""Labs Speed"", 1+'Master Sheet'!$BK$5, LAB_SPEED_TOTAL()),
  Match, MATCH(IF(ISNUMBER(SEARCH(""Mastery"",$A208)),""Card Mastery"",$A208),DVT_Laboratory!B$1:V$1,0)-1,
  Offset, INDEX(DVT_Laboratory!B$3:ZZ$102,,Match+1),
  Desired,"&amp;" IF(P208&lt;&gt;"""", P208,D208),
  IFS(
    Desired &gt; D208, ""Desired lvl too high"",
    AND(Desired = D208, OR(C208 = D208, C208 = ""Max"")), ""Max Level"",
    Desired = C208, ""OK Level"",
    Desired &lt; C208, ""Desired lvl too low"",
    TRUE, TO_PURE_NUMB"&amp;"ER(
      SUM(
        XLOOKUP($C208 + 1, SEQUENCE(100, 1, 1, 1), Offset, ""N/F"", 0, 1): 
        XLOOKUP(Desired, SEQUENCE(100, 1, 1, 1), Offset, ""N/F"", 0, 1)
      ) / Labspeed
    ) /
    IF(AND(B208 &lt;&gt; """", $B$1 = ""All""), RIGHT(B208, 3), 1)
  )
"&amp;")"),192.16634750360822)</f>
        <v>192.1663475</v>
      </c>
      <c r="R208" s="577" t="str">
        <f t="shared" si="12"/>
        <v>192d  3h 59m</v>
      </c>
      <c r="S208" s="586">
        <f t="array" ref="S208">LET(
  Match, MATCH(IF(ISNUMBER(SEARCH("Mastery",$A208)),"Card Mastery",$A208),DVT_Laboratory!B$1:V$1,0)-1,
  Offset, OFFSET(DVT_Laboratory!C$3,0,Match,100,1),
  Desired, IF(P208&lt;&gt;"", P208,D208),
IF(Desired&gt;D208,"Desired lvl too high",
IF(AND(Desired=D208,OR(C208=D208,C208="Max")),"Max Level",
IF(Desired=C208,"OK Level",
IF(Desired&lt;C208,"Desired lvl too low",
SUM(
XLOOKUP(C208+1,SEQUENCE(100,1,1,1),Offset,"N/F",0,1)
:XLOOKUP(Desired,SEQUENCE(100,1,1,1),Offset,"N/F",0,1))*(1-LAB_COIN_DISCOUNT()))))))</f>
        <v>9.02107E+19</v>
      </c>
      <c r="T208" s="579" t="str">
        <f t="shared" si="13"/>
        <v>90.21 Q</v>
      </c>
      <c r="U208" s="580" t="str">
        <f t="shared" si="14"/>
        <v>19.56 q/h</v>
      </c>
      <c r="V208" s="581">
        <f t="array" ref="V208">LET(
  Match, MATCH(IF(ISNUMBER(SEARCH("Mastery",$A208)),"Card Mastery",$A208),DVT_Laboratory!B$1:V$1,0)-1,
  Offset, OFFSET(DVT_Laboratory!B$3,0,Match,100,1),
  Desired, IF(P208&lt;&gt;"", P208,D208),
IF(Desired&gt;D208,"Desired lvl too high",
IF(AND(Desired=D208,OR(C208=D208,C208="Max")),"Max Level",
IF(Desired&lt;=C208,"Desired lvl too low",
SUM(TIME_TO_RUSH_GEMS(
    XLOOKUP(C208+1, SEQUENCE(100,1,1,1), Offset, "N/F", 0, 1):
    XLOOKUP(Desired, SEQUENCE(100,1,1,1), Offset, "N/F", 0, 1)/LAB_SPEED_TOTAL(
), IDS_LAB_GODLBOXED_COUNT()))))))</f>
        <v>13659</v>
      </c>
    </row>
    <row r="209">
      <c r="A209" s="587" t="s">
        <v>321</v>
      </c>
      <c r="B209" s="573" t="str">
        <f t="shared" si="1"/>
        <v/>
      </c>
      <c r="C209" s="574">
        <f>VLOOKUP($A209,MS_Labs_Array,2,FALSE)</f>
        <v>0</v>
      </c>
      <c r="D209" s="584">
        <f>VLOOKUP($A209,MS_Labs_Array,4,FALSE)</f>
        <v>10</v>
      </c>
      <c r="E209" s="575" t="str">
        <f t="shared" si="22"/>
        <v>T19 500</v>
      </c>
      <c r="F209" s="576">
        <f t="shared" si="17"/>
        <v>6.863064926</v>
      </c>
      <c r="G209" s="577" t="str">
        <f t="shared" si="3"/>
        <v>6d 20h 42m</v>
      </c>
      <c r="H209" s="585">
        <f t="shared" si="4"/>
        <v>7.96E+17</v>
      </c>
      <c r="I209" s="585">
        <f t="shared" si="5"/>
        <v>1.194E+18</v>
      </c>
      <c r="J209" s="579" t="str">
        <f t="shared" si="6"/>
        <v>796 q</v>
      </c>
      <c r="K209" s="580" t="str">
        <f t="shared" si="7"/>
        <v>7.25 q/h</v>
      </c>
      <c r="L209" s="581">
        <f t="shared" si="26"/>
        <v>571</v>
      </c>
      <c r="M209" s="582" t="str">
        <f t="shared" si="27"/>
        <v>9d 14h 35m</v>
      </c>
      <c r="N209" s="579" t="str">
        <f t="shared" si="10"/>
        <v>1.19 Q</v>
      </c>
      <c r="O209" s="581">
        <f t="shared" si="28"/>
        <v>750</v>
      </c>
      <c r="P209" s="583" t="str">
        <f>VLOOKUP($A209,MS_Labs_Array,3,FALSE)</f>
        <v/>
      </c>
      <c r="Q209" s="582">
        <f>IFERROR(__xludf.DUMMYFUNCTION("LET(
  Labspeed, IF(A209=""Labs Speed"", 1+'Master Sheet'!$BK$5, LAB_SPEED_TOTAL()),
  Match, MATCH(IF(ISNUMBER(SEARCH(""Mastery"",$A209)),""Card Mastery"",$A209),DVT_Laboratory!B$1:V$1,0)-1,
  Offset, INDEX(DVT_Laboratory!B$3:ZZ$102,,Match+1),
  Desired,"&amp;" IF(P209&lt;&gt;"""", P209,D209),
  IFS(
    Desired &gt; D209, ""Desired lvl too high"",
    AND(Desired = D209, OR(C209 = D209, C209 = ""Max"")), ""Max Level"",
    Desired = C209, ""OK Level"",
    Desired &lt; C209, ""Desired lvl too low"",
    TRUE, TO_PURE_NUMB"&amp;"ER(
      SUM(
        XLOOKUP($C209 + 1, SEQUENCE(100, 1, 1, 1), Offset, ""N/F"", 0, 1): 
        XLOOKUP(Desired, SEQUENCE(100, 1, 1, 1), Offset, ""N/F"", 0, 1)
      ) / Labspeed
    ) /
    IF(AND(B209 &lt;&gt; """", $B$1 = ""All""), RIGHT(B209, 3), 1)
  )
"&amp;")"),192.16634750360822)</f>
        <v>192.1663475</v>
      </c>
      <c r="R209" s="577" t="str">
        <f t="shared" si="12"/>
        <v>192d  3h 59m</v>
      </c>
      <c r="S209" s="586">
        <f t="array" ref="S209">LET(
  Match, MATCH(IF(ISNUMBER(SEARCH("Mastery",$A209)),"Card Mastery",$A209),DVT_Laboratory!B$1:V$1,0)-1,
  Offset, OFFSET(DVT_Laboratory!C$3,0,Match,100,1),
  Desired, IF(P209&lt;&gt;"", P209,D209),
IF(Desired&gt;D209,"Desired lvl too high",
IF(AND(Desired=D209,OR(C209=D209,C209="Max")),"Max Level",
IF(Desired=C209,"OK Level",
IF(Desired&lt;C209,"Desired lvl too low",
SUM(
XLOOKUP(C209+1,SEQUENCE(100,1,1,1),Offset,"N/F",0,1)
:XLOOKUP(Desired,SEQUENCE(100,1,1,1),Offset,"N/F",0,1))*(1-LAB_COIN_DISCOUNT()))))))</f>
        <v>9.02107E+19</v>
      </c>
      <c r="T209" s="579" t="str">
        <f t="shared" si="13"/>
        <v>90.21 Q</v>
      </c>
      <c r="U209" s="580" t="str">
        <f t="shared" si="14"/>
        <v>19.56 q/h</v>
      </c>
      <c r="V209" s="581">
        <f t="array" ref="V209">LET(
  Match, MATCH(IF(ISNUMBER(SEARCH("Mastery",$A209)),"Card Mastery",$A209),DVT_Laboratory!B$1:V$1,0)-1,
  Offset, OFFSET(DVT_Laboratory!B$3,0,Match,100,1),
  Desired, IF(P209&lt;&gt;"", P209,D209),
IF(Desired&gt;D209,"Desired lvl too high",
IF(AND(Desired=D209,OR(C209=D209,C209="Max")),"Max Level",
IF(Desired&lt;=C209,"Desired lvl too low",
SUM(TIME_TO_RUSH_GEMS(
    XLOOKUP(C209+1, SEQUENCE(100,1,1,1), Offset, "N/F", 0, 1):
    XLOOKUP(Desired, SEQUENCE(100,1,1,1), Offset, "N/F", 0, 1)/LAB_SPEED_TOTAL(
), IDS_LAB_GODLBOXED_COUNT()))))))</f>
        <v>13659</v>
      </c>
    </row>
    <row r="210">
      <c r="A210" s="588" t="s">
        <v>327</v>
      </c>
      <c r="B210" s="573" t="str">
        <f t="shared" si="1"/>
        <v/>
      </c>
      <c r="C210" s="574">
        <f>VLOOKUP($A210,MS_Labs_Array,2,FALSE)</f>
        <v>0</v>
      </c>
      <c r="D210" s="584">
        <f>VLOOKUP($A210,MS_Labs_Array,4,FALSE)</f>
        <v>10</v>
      </c>
      <c r="E210" s="575" t="str">
        <f t="shared" si="22"/>
        <v>T21 1000</v>
      </c>
      <c r="F210" s="576">
        <f t="shared" si="17"/>
        <v>6.863064926</v>
      </c>
      <c r="G210" s="577" t="str">
        <f t="shared" si="3"/>
        <v>6d 20h 42m</v>
      </c>
      <c r="H210" s="585">
        <f t="shared" si="4"/>
        <v>1.592E+18</v>
      </c>
      <c r="I210" s="585">
        <f t="shared" si="5"/>
        <v>3.184E+18</v>
      </c>
      <c r="J210" s="579" t="str">
        <f t="shared" si="6"/>
        <v>1.59 Q</v>
      </c>
      <c r="K210" s="580" t="str">
        <f t="shared" si="7"/>
        <v>19.33 q/h</v>
      </c>
      <c r="L210" s="581">
        <f t="shared" si="26"/>
        <v>571</v>
      </c>
      <c r="M210" s="582" t="str">
        <f t="shared" si="27"/>
        <v>11d  9h 25m</v>
      </c>
      <c r="N210" s="579" t="str">
        <f t="shared" si="10"/>
        <v>3.18 Q</v>
      </c>
      <c r="O210" s="581">
        <f t="shared" si="28"/>
        <v>865</v>
      </c>
      <c r="P210" s="583" t="str">
        <f>VLOOKUP($A210,MS_Labs_Array,3,FALSE)</f>
        <v/>
      </c>
      <c r="Q210" s="582">
        <f>IFERROR(__xludf.DUMMYFUNCTION("LET(
  Labspeed, IF(A210=""Labs Speed"", 1+'Master Sheet'!$BK$5, LAB_SPEED_TOTAL()),
  Match, MATCH(IF(ISNUMBER(SEARCH(""Mastery"",$A210)),""Card Mastery"",$A210),DVT_Laboratory!B$1:V$1,0)-1,
  Offset, INDEX(DVT_Laboratory!B$3:ZZ$102,,Match+1),
  Desired,"&amp;" IF(P210&lt;&gt;"""", P210,D210),
  IFS(
    Desired &gt; D210, ""Desired lvl too high"",
    AND(Desired = D210, OR(C210 = D210, C210 = ""Max"")), ""Max Level"",
    Desired = C210, ""OK Level"",
    Desired &lt; C210, ""Desired lvl too low"",
    TRUE, TO_PURE_NUMB"&amp;"ER(
      SUM(
        XLOOKUP($C210 + 1, SEQUENCE(100, 1, 1, 1), Offset, ""N/F"", 0, 1): 
        XLOOKUP(Desired, SEQUENCE(100, 1, 1, 1), Offset, ""N/F"", 0, 1)
      ) / Labspeed
    ) /
    IF(AND(B210 &lt;&gt; """", $B$1 = ""All""), RIGHT(B210, 3), 1)
  )
"&amp;")"),272.46463080177716)</f>
        <v>272.4646308</v>
      </c>
      <c r="R210" s="577" t="str">
        <f t="shared" si="12"/>
        <v>272d 11h  9m</v>
      </c>
      <c r="S210" s="586">
        <f t="array" ref="S210">LET(
  Match, MATCH(IF(ISNUMBER(SEARCH("Mastery",$A210)),"Card Mastery",$A210),DVT_Laboratory!B$1:V$1,0)-1,
  Offset, OFFSET(DVT_Laboratory!C$3,0,Match,100,1),
  Desired, IF(P210&lt;&gt;"", P210,D210),
IF(Desired&gt;D210,"Desired lvl too high",
IF(AND(Desired=D210,OR(C210=D210,C210="Max")),"Max Level",
IF(Desired=C210,"OK Level",
IF(Desired&lt;C210,"Desired lvl too low",
SUM(
XLOOKUP(C210+1,SEQUENCE(100,1,1,1),Offset,"N/F",0,1)
:XLOOKUP(Desired,SEQUENCE(100,1,1,1),Offset,"N/F",0,1))*(1-LAB_COIN_DISCOUNT()))))))</f>
        <v>1.62862E+21</v>
      </c>
      <c r="T210" s="579" t="str">
        <f t="shared" si="13"/>
        <v>1.63 s</v>
      </c>
      <c r="U210" s="580" t="str">
        <f t="shared" si="14"/>
        <v>249.06 q/h</v>
      </c>
      <c r="V210" s="581">
        <f t="array" ref="V210">LET(
  Match, MATCH(IF(ISNUMBER(SEARCH("Mastery",$A210)),"Card Mastery",$A210),DVT_Laboratory!B$1:V$1,0)-1,
  Offset, OFFSET(DVT_Laboratory!B$3,0,Match,100,1),
  Desired, IF(P210&lt;&gt;"", P210,D210),
IF(Desired&gt;D210,"Desired lvl too high",
IF(AND(Desired=D210,OR(C210=D210,C210="Max")),"Max Level",
IF(Desired&lt;=C210,"Desired lvl too low",
SUM(TIME_TO_RUSH_GEMS(
    XLOOKUP(C210+1, SEQUENCE(100,1,1,1), Offset, "N/F", 0, 1):
    XLOOKUP(Desired, SEQUENCE(100,1,1,1), Offset, "N/F", 0, 1)/LAB_SPEED_TOTAL(
), IDS_LAB_GODLBOXED_COUNT()))))))</f>
        <v>17943</v>
      </c>
    </row>
    <row r="211">
      <c r="A211" s="587" t="s">
        <v>332</v>
      </c>
      <c r="B211" s="573" t="str">
        <f t="shared" si="1"/>
        <v/>
      </c>
      <c r="C211" s="574">
        <f>VLOOKUP($A211,MS_Labs_Array,2,FALSE)</f>
        <v>0</v>
      </c>
      <c r="D211" s="584">
        <f>VLOOKUP($A211,MS_Labs_Array,4,FALSE)</f>
        <v>10</v>
      </c>
      <c r="E211" s="575" t="str">
        <f t="shared" si="22"/>
        <v>T21 1000</v>
      </c>
      <c r="F211" s="576">
        <f t="shared" si="17"/>
        <v>6.863064926</v>
      </c>
      <c r="G211" s="577" t="str">
        <f t="shared" si="3"/>
        <v>6d 20h 42m</v>
      </c>
      <c r="H211" s="585">
        <f t="shared" si="4"/>
        <v>1.592E+18</v>
      </c>
      <c r="I211" s="585">
        <f t="shared" si="5"/>
        <v>3.184E+18</v>
      </c>
      <c r="J211" s="579" t="str">
        <f t="shared" si="6"/>
        <v>1.59 Q</v>
      </c>
      <c r="K211" s="580" t="str">
        <f t="shared" si="7"/>
        <v>19.33 q/h</v>
      </c>
      <c r="L211" s="581">
        <f t="shared" si="26"/>
        <v>571</v>
      </c>
      <c r="M211" s="582" t="str">
        <f t="shared" si="27"/>
        <v>11d  9h 25m</v>
      </c>
      <c r="N211" s="579" t="str">
        <f t="shared" si="10"/>
        <v>3.18 Q</v>
      </c>
      <c r="O211" s="581">
        <f t="shared" si="28"/>
        <v>865</v>
      </c>
      <c r="P211" s="583" t="str">
        <f>VLOOKUP($A211,MS_Labs_Array,3,FALSE)</f>
        <v/>
      </c>
      <c r="Q211" s="582">
        <f>IFERROR(__xludf.DUMMYFUNCTION("LET(
  Labspeed, IF(A211=""Labs Speed"", 1+'Master Sheet'!$BK$5, LAB_SPEED_TOTAL()),
  Match, MATCH(IF(ISNUMBER(SEARCH(""Mastery"",$A211)),""Card Mastery"",$A211),DVT_Laboratory!B$1:V$1,0)-1,
  Offset, INDEX(DVT_Laboratory!B$3:ZZ$102,,Match+1),
  Desired,"&amp;" IF(P211&lt;&gt;"""", P211,D211),
  IFS(
    Desired &gt; D211, ""Desired lvl too high"",
    AND(Desired = D211, OR(C211 = D211, C211 = ""Max"")), ""Max Level"",
    Desired = C211, ""OK Level"",
    Desired &lt; C211, ""Desired lvl too low"",
    TRUE, TO_PURE_NUMB"&amp;"ER(
      SUM(
        XLOOKUP($C211 + 1, SEQUENCE(100, 1, 1, 1), Offset, ""N/F"", 0, 1): 
        XLOOKUP(Desired, SEQUENCE(100, 1, 1, 1), Offset, ""N/F"", 0, 1)
      ) / Labspeed
    ) /
    IF(AND(B211 &lt;&gt; """", $B$1 = ""All""), RIGHT(B211, 3), 1)
  )
"&amp;")"),272.46463080177716)</f>
        <v>272.4646308</v>
      </c>
      <c r="R211" s="577" t="str">
        <f t="shared" si="12"/>
        <v>272d 11h  9m</v>
      </c>
      <c r="S211" s="586">
        <f t="array" ref="S211">LET(
  Match, MATCH(IF(ISNUMBER(SEARCH("Mastery",$A211)),"Card Mastery",$A211),DVT_Laboratory!B$1:V$1,0)-1,
  Offset, OFFSET(DVT_Laboratory!C$3,0,Match,100,1),
  Desired, IF(P211&lt;&gt;"", P211,D211),
IF(Desired&gt;D211,"Desired lvl too high",
IF(AND(Desired=D211,OR(C211=D211,C211="Max")),"Max Level",
IF(Desired=C211,"OK Level",
IF(Desired&lt;C211,"Desired lvl too low",
SUM(
XLOOKUP(C211+1,SEQUENCE(100,1,1,1),Offset,"N/F",0,1)
:XLOOKUP(Desired,SEQUENCE(100,1,1,1),Offset,"N/F",0,1))*(1-LAB_COIN_DISCOUNT()))))))</f>
        <v>1.62862E+21</v>
      </c>
      <c r="T211" s="579" t="str">
        <f t="shared" si="13"/>
        <v>1.63 s</v>
      </c>
      <c r="U211" s="580" t="str">
        <f t="shared" si="14"/>
        <v>249.06 q/h</v>
      </c>
      <c r="V211" s="581">
        <f t="array" ref="V211">LET(
  Match, MATCH(IF(ISNUMBER(SEARCH("Mastery",$A211)),"Card Mastery",$A211),DVT_Laboratory!B$1:V$1,0)-1,
  Offset, OFFSET(DVT_Laboratory!B$3,0,Match,100,1),
  Desired, IF(P211&lt;&gt;"", P211,D211),
IF(Desired&gt;D211,"Desired lvl too high",
IF(AND(Desired=D211,OR(C211=D211,C211="Max")),"Max Level",
IF(Desired&lt;=C211,"Desired lvl too low",
SUM(TIME_TO_RUSH_GEMS(
    XLOOKUP(C211+1, SEQUENCE(100,1,1,1), Offset, "N/F", 0, 1):
    XLOOKUP(Desired, SEQUENCE(100,1,1,1), Offset, "N/F", 0, 1)/LAB_SPEED_TOTAL(
), IDS_LAB_GODLBOXED_COUNT()))))))</f>
        <v>17943</v>
      </c>
    </row>
    <row r="212">
      <c r="A212" s="587" t="s">
        <v>337</v>
      </c>
      <c r="B212" s="573" t="str">
        <f t="shared" si="1"/>
        <v/>
      </c>
      <c r="C212" s="574">
        <f>VLOOKUP($A212,MS_Labs_Array,2,FALSE)</f>
        <v>0</v>
      </c>
      <c r="D212" s="584">
        <f>VLOOKUP($A212,MS_Labs_Array,4,FALSE)</f>
        <v>10</v>
      </c>
      <c r="E212" s="575" t="str">
        <f t="shared" si="22"/>
        <v>T21 1000</v>
      </c>
      <c r="F212" s="576">
        <f t="shared" si="17"/>
        <v>6.863064926</v>
      </c>
      <c r="G212" s="577" t="str">
        <f t="shared" si="3"/>
        <v>6d 20h 42m</v>
      </c>
      <c r="H212" s="585">
        <f t="shared" si="4"/>
        <v>1.592E+18</v>
      </c>
      <c r="I212" s="585">
        <f t="shared" si="5"/>
        <v>3.184E+18</v>
      </c>
      <c r="J212" s="579" t="str">
        <f t="shared" si="6"/>
        <v>1.59 Q</v>
      </c>
      <c r="K212" s="580" t="str">
        <f t="shared" si="7"/>
        <v>19.33 q/h</v>
      </c>
      <c r="L212" s="581">
        <f t="shared" si="26"/>
        <v>571</v>
      </c>
      <c r="M212" s="582" t="str">
        <f t="shared" si="27"/>
        <v>11d  9h 25m</v>
      </c>
      <c r="N212" s="579" t="str">
        <f t="shared" si="10"/>
        <v>3.18 Q</v>
      </c>
      <c r="O212" s="581">
        <f t="shared" si="28"/>
        <v>865</v>
      </c>
      <c r="P212" s="583" t="str">
        <f>VLOOKUP($A212,MS_Labs_Array,3,FALSE)</f>
        <v/>
      </c>
      <c r="Q212" s="582">
        <f>IFERROR(__xludf.DUMMYFUNCTION("LET(
  Labspeed, IF(A212=""Labs Speed"", 1+'Master Sheet'!$BK$5, LAB_SPEED_TOTAL()),
  Match, MATCH(IF(ISNUMBER(SEARCH(""Mastery"",$A212)),""Card Mastery"",$A212),DVT_Laboratory!B$1:V$1,0)-1,
  Offset, INDEX(DVT_Laboratory!B$3:ZZ$102,,Match+1),
  Desired,"&amp;" IF(P212&lt;&gt;"""", P212,D212),
  IFS(
    Desired &gt; D212, ""Desired lvl too high"",
    AND(Desired = D212, OR(C212 = D212, C212 = ""Max"")), ""Max Level"",
    Desired = C212, ""OK Level"",
    Desired &lt; C212, ""Desired lvl too low"",
    TRUE, TO_PURE_NUMB"&amp;"ER(
      SUM(
        XLOOKUP($C212 + 1, SEQUENCE(100, 1, 1, 1), Offset, ""N/F"", 0, 1): 
        XLOOKUP(Desired, SEQUENCE(100, 1, 1, 1), Offset, ""N/F"", 0, 1)
      ) / Labspeed
    ) /
    IF(AND(B212 &lt;&gt; """", $B$1 = ""All""), RIGHT(B212, 3), 1)
  )
"&amp;")"),272.46463080177716)</f>
        <v>272.4646308</v>
      </c>
      <c r="R212" s="577" t="str">
        <f t="shared" si="12"/>
        <v>272d 11h  9m</v>
      </c>
      <c r="S212" s="586">
        <f t="array" ref="S212">LET(
  Match, MATCH(IF(ISNUMBER(SEARCH("Mastery",$A212)),"Card Mastery",$A212),DVT_Laboratory!B$1:V$1,0)-1,
  Offset, OFFSET(DVT_Laboratory!C$3,0,Match,100,1),
  Desired, IF(P212&lt;&gt;"", P212,D212),
IF(Desired&gt;D212,"Desired lvl too high",
IF(AND(Desired=D212,OR(C212=D212,C212="Max")),"Max Level",
IF(Desired=C212,"OK Level",
IF(Desired&lt;C212,"Desired lvl too low",
SUM(
XLOOKUP(C212+1,SEQUENCE(100,1,1,1),Offset,"N/F",0,1)
:XLOOKUP(Desired,SEQUENCE(100,1,1,1),Offset,"N/F",0,1))*(1-LAB_COIN_DISCOUNT()))))))</f>
        <v>1.62862E+21</v>
      </c>
      <c r="T212" s="579" t="str">
        <f t="shared" si="13"/>
        <v>1.63 s</v>
      </c>
      <c r="U212" s="580" t="str">
        <f t="shared" si="14"/>
        <v>249.06 q/h</v>
      </c>
      <c r="V212" s="581">
        <f t="array" ref="V212">LET(
  Match, MATCH(IF(ISNUMBER(SEARCH("Mastery",$A212)),"Card Mastery",$A212),DVT_Laboratory!B$1:V$1,0)-1,
  Offset, OFFSET(DVT_Laboratory!B$3,0,Match,100,1),
  Desired, IF(P212&lt;&gt;"", P212,D212),
IF(Desired&gt;D212,"Desired lvl too high",
IF(AND(Desired=D212,OR(C212=D212,C212="Max")),"Max Level",
IF(Desired&lt;=C212,"Desired lvl too low",
SUM(TIME_TO_RUSH_GEMS(
    XLOOKUP(C212+1, SEQUENCE(100,1,1,1), Offset, "N/F", 0, 1):
    XLOOKUP(Desired, SEQUENCE(100,1,1,1), Offset, "N/F", 0, 1)/LAB_SPEED_TOTAL(
), IDS_LAB_GODLBOXED_COUNT()))))))</f>
        <v>17943</v>
      </c>
    </row>
    <row r="213">
      <c r="A213" s="587" t="s">
        <v>342</v>
      </c>
      <c r="B213" s="573" t="str">
        <f t="shared" si="1"/>
        <v/>
      </c>
      <c r="C213" s="574">
        <f>VLOOKUP($A213,MS_Labs_Array,2,FALSE)</f>
        <v>0</v>
      </c>
      <c r="D213" s="584">
        <f>VLOOKUP($A213,MS_Labs_Array,4,FALSE)</f>
        <v>10</v>
      </c>
      <c r="E213" s="575" t="str">
        <f t="shared" si="22"/>
        <v>T21 1000</v>
      </c>
      <c r="F213" s="576">
        <f t="shared" si="17"/>
        <v>6.863064926</v>
      </c>
      <c r="G213" s="577" t="str">
        <f t="shared" si="3"/>
        <v>6d 20h 42m</v>
      </c>
      <c r="H213" s="585">
        <f t="shared" si="4"/>
        <v>1.592E+18</v>
      </c>
      <c r="I213" s="585">
        <f t="shared" si="5"/>
        <v>3.184E+18</v>
      </c>
      <c r="J213" s="579" t="str">
        <f t="shared" si="6"/>
        <v>1.59 Q</v>
      </c>
      <c r="K213" s="580" t="str">
        <f t="shared" si="7"/>
        <v>19.33 q/h</v>
      </c>
      <c r="L213" s="581">
        <f t="shared" si="26"/>
        <v>571</v>
      </c>
      <c r="M213" s="582" t="str">
        <f t="shared" si="27"/>
        <v>11d  9h 25m</v>
      </c>
      <c r="N213" s="579" t="str">
        <f t="shared" si="10"/>
        <v>3.18 Q</v>
      </c>
      <c r="O213" s="581">
        <f t="shared" si="28"/>
        <v>865</v>
      </c>
      <c r="P213" s="583" t="str">
        <f>VLOOKUP($A213,MS_Labs_Array,3,FALSE)</f>
        <v/>
      </c>
      <c r="Q213" s="582">
        <f>IFERROR(__xludf.DUMMYFUNCTION("LET(
  Labspeed, IF(A213=""Labs Speed"", 1+'Master Sheet'!$BK$5, LAB_SPEED_TOTAL()),
  Match, MATCH(IF(ISNUMBER(SEARCH(""Mastery"",$A213)),""Card Mastery"",$A213),DVT_Laboratory!B$1:V$1,0)-1,
  Offset, INDEX(DVT_Laboratory!B$3:ZZ$102,,Match+1),
  Desired,"&amp;" IF(P213&lt;&gt;"""", P213,D213),
  IFS(
    Desired &gt; D213, ""Desired lvl too high"",
    AND(Desired = D213, OR(C213 = D213, C213 = ""Max"")), ""Max Level"",
    Desired = C213, ""OK Level"",
    Desired &lt; C213, ""Desired lvl too low"",
    TRUE, TO_PURE_NUMB"&amp;"ER(
      SUM(
        XLOOKUP($C213 + 1, SEQUENCE(100, 1, 1, 1), Offset, ""N/F"", 0, 1): 
        XLOOKUP(Desired, SEQUENCE(100, 1, 1, 1), Offset, ""N/F"", 0, 1)
      ) / Labspeed
    ) /
    IF(AND(B213 &lt;&gt; """", $B$1 = ""All""), RIGHT(B213, 3), 1)
  )
"&amp;")"),272.46463080177716)</f>
        <v>272.4646308</v>
      </c>
      <c r="R213" s="577" t="str">
        <f t="shared" si="12"/>
        <v>272d 11h  9m</v>
      </c>
      <c r="S213" s="586">
        <f t="array" ref="S213">LET(
  Match, MATCH(IF(ISNUMBER(SEARCH("Mastery",$A213)),"Card Mastery",$A213),DVT_Laboratory!B$1:V$1,0)-1,
  Offset, OFFSET(DVT_Laboratory!C$3,0,Match,100,1),
  Desired, IF(P213&lt;&gt;"", P213,D213),
IF(Desired&gt;D213,"Desired lvl too high",
IF(AND(Desired=D213,OR(C213=D213,C213="Max")),"Max Level",
IF(Desired=C213,"OK Level",
IF(Desired&lt;C213,"Desired lvl too low",
SUM(
XLOOKUP(C213+1,SEQUENCE(100,1,1,1),Offset,"N/F",0,1)
:XLOOKUP(Desired,SEQUENCE(100,1,1,1),Offset,"N/F",0,1))*(1-LAB_COIN_DISCOUNT()))))))</f>
        <v>1.62862E+21</v>
      </c>
      <c r="T213" s="579" t="str">
        <f t="shared" si="13"/>
        <v>1.63 s</v>
      </c>
      <c r="U213" s="580" t="str">
        <f t="shared" si="14"/>
        <v>249.06 q/h</v>
      </c>
      <c r="V213" s="581">
        <f t="array" ref="V213">LET(
  Match, MATCH(IF(ISNUMBER(SEARCH("Mastery",$A213)),"Card Mastery",$A213),DVT_Laboratory!B$1:V$1,0)-1,
  Offset, OFFSET(DVT_Laboratory!B$3,0,Match,100,1),
  Desired, IF(P213&lt;&gt;"", P213,D213),
IF(Desired&gt;D213,"Desired lvl too high",
IF(AND(Desired=D213,OR(C213=D213,C213="Max")),"Max Level",
IF(Desired&lt;=C213,"Desired lvl too low",
SUM(TIME_TO_RUSH_GEMS(
    XLOOKUP(C213+1, SEQUENCE(100,1,1,1), Offset, "N/F", 0, 1):
    XLOOKUP(Desired, SEQUENCE(100,1,1,1), Offset, "N/F", 0, 1)/LAB_SPEED_TOTAL(
), IDS_LAB_GODLBOXED_COUNT()))))))</f>
        <v>17943</v>
      </c>
    </row>
  </sheetData>
  <mergeCells count="8">
    <mergeCell ref="C1:D1"/>
    <mergeCell ref="F1:L1"/>
    <mergeCell ref="M1:O1"/>
    <mergeCell ref="Q1:V1"/>
    <mergeCell ref="F2:G2"/>
    <mergeCell ref="H2:J2"/>
    <mergeCell ref="Q2:R2"/>
    <mergeCell ref="S2:T2"/>
  </mergeCells>
  <conditionalFormatting sqref="C3:C213 P3:P213">
    <cfRule type="expression" dxfId="14" priority="1">
      <formula>NOT(ISFORMULA(C3))</formula>
    </cfRule>
  </conditionalFormatting>
  <conditionalFormatting sqref="B3:B213">
    <cfRule type="expression" dxfId="15" priority="2">
      <formula>OR(EQ(B3,"x 1.0"),EQ(B3,B$2))</formula>
    </cfRule>
  </conditionalFormatting>
  <conditionalFormatting sqref="B3:B213">
    <cfRule type="notContainsBlanks" dxfId="16" priority="3">
      <formula>LEN(TRIM(B3))&gt;0</formula>
    </cfRule>
  </conditionalFormatting>
  <conditionalFormatting sqref="G3:G213">
    <cfRule type="expression" dxfId="16" priority="4">
      <formula>NOT(OR(B3="",B3="x 1.0"))</formula>
    </cfRule>
  </conditionalFormatting>
  <conditionalFormatting sqref="M3:M213">
    <cfRule type="expression" dxfId="16" priority="5">
      <formula>AND(NOT(OR(B3="",B3="x 1.0")),$B$1="All")</formula>
    </cfRule>
  </conditionalFormatting>
  <conditionalFormatting sqref="Q3:R213">
    <cfRule type="expression" dxfId="16" priority="6">
      <formula>AND(NOT(OR(B3="",B3="x 1.0")),$B$1="All")</formula>
    </cfRule>
  </conditionalFormatting>
  <conditionalFormatting sqref="A3:V213">
    <cfRule type="expression" dxfId="17" priority="7">
      <formula>IF(ISNUMBER(MATCH($A3, INDIRECT("'Lab Planner'!$T$29:$T$33"), 0)), TRUE)</formula>
    </cfRule>
  </conditionalFormatting>
  <dataValidations>
    <dataValidation type="list" allowBlank="1" showErrorMessage="1" sqref="B1">
      <formula1>"Next,All"</formula1>
    </dataValidation>
    <dataValidation type="list" allowBlank="1" sqref="B2">
      <formula1>"x 1.0,x 1.5,x 2.0,x 3.0,x 4.0,x 5.0,x 6.0,x 7.0,x 8.0"</formula1>
    </dataValidation>
    <dataValidation type="list" allowBlank="1" showDropDown="1" sqref="B3:B213">
      <formula1>"x 1.0,x 1.5,x 2.0,x 3.0,x 4.0,x 5.0,x 6.0"</formula1>
    </dataValidation>
    <dataValidation type="list" allowBlank="1" showErrorMessage="1" sqref="E1">
      <formula1>"None,Max,Max &amp; Target,Max, Target &amp; Lower"</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outlineLevelCol="1" outlineLevelRow="1"/>
  <cols>
    <col customWidth="1" min="1" max="1" width="3.88"/>
    <col customWidth="1" hidden="1" min="2" max="2" width="15.75"/>
    <col customWidth="1" min="3" max="4" width="7.63"/>
    <col customWidth="1" min="5" max="5" width="19.63"/>
    <col customWidth="1" min="6" max="6" width="12.25"/>
    <col customWidth="1" min="7" max="7" width="13.88"/>
    <col customWidth="1" hidden="1" min="8" max="9" width="12.88"/>
    <col customWidth="1" hidden="1" min="10" max="10" width="15.75"/>
    <col customWidth="1" min="11" max="12" width="7.63"/>
    <col customWidth="1" min="13" max="13" width="19.63"/>
    <col customWidth="1" min="14" max="14" width="12.25"/>
    <col customWidth="1" min="15" max="15" width="13.88"/>
    <col customWidth="1" hidden="1" min="16" max="17" width="12.88"/>
    <col customWidth="1" hidden="1" min="18" max="18" width="17.13"/>
    <col customWidth="1" min="19" max="20" width="7.63"/>
    <col customWidth="1" min="21" max="21" width="19.63"/>
    <col customWidth="1" min="22" max="22" width="12.25"/>
    <col customWidth="1" min="23" max="23" width="13.88"/>
    <col customWidth="1" hidden="1" min="24" max="25" width="12.88"/>
    <col collapsed="1" customWidth="1" min="26" max="26" width="131.13"/>
    <col hidden="1" min="27" max="27" width="12.63" outlineLevel="1"/>
    <col customWidth="1" hidden="1" min="28" max="28" width="12.63" outlineLevel="1"/>
    <col customWidth="1" hidden="1" min="29" max="30" width="28.25" outlineLevel="1"/>
    <col customWidth="1" hidden="1" min="31" max="33" width="5.63" outlineLevel="1"/>
    <col customWidth="1" hidden="1" min="34" max="242" width="12.63" outlineLevel="1"/>
  </cols>
  <sheetData>
    <row r="1">
      <c r="A1" s="589" t="s">
        <v>399</v>
      </c>
      <c r="B1" s="590" t="s">
        <v>400</v>
      </c>
      <c r="C1" s="591"/>
      <c r="D1" s="592"/>
      <c r="E1" s="593"/>
      <c r="F1" s="591"/>
      <c r="G1" s="594"/>
      <c r="H1" s="595" t="s">
        <v>394</v>
      </c>
      <c r="I1" s="596" t="s">
        <v>393</v>
      </c>
      <c r="J1" s="597" t="s">
        <v>400</v>
      </c>
      <c r="K1" s="598"/>
      <c r="L1" s="598"/>
      <c r="M1" s="599"/>
      <c r="N1" s="598"/>
      <c r="O1" s="600"/>
      <c r="P1" s="601" t="s">
        <v>394</v>
      </c>
      <c r="Q1" s="602" t="s">
        <v>393</v>
      </c>
      <c r="R1" s="603" t="s">
        <v>400</v>
      </c>
      <c r="S1" s="598"/>
      <c r="T1" s="598"/>
      <c r="U1" s="599"/>
      <c r="V1" s="598"/>
      <c r="W1" s="600"/>
      <c r="X1" s="604" t="s">
        <v>394</v>
      </c>
      <c r="Y1" s="605" t="s">
        <v>393</v>
      </c>
      <c r="Z1" s="598"/>
      <c r="AA1" s="606" t="s">
        <v>401</v>
      </c>
      <c r="AB1" s="607" t="s">
        <v>402</v>
      </c>
      <c r="AC1" s="608" t="s">
        <v>403</v>
      </c>
      <c r="AD1" s="609" t="s">
        <v>404</v>
      </c>
      <c r="AE1" s="610" t="s">
        <v>146</v>
      </c>
      <c r="AF1" s="610" t="s">
        <v>147</v>
      </c>
      <c r="AG1" s="611" t="s">
        <v>148</v>
      </c>
      <c r="AH1" s="612" t="s">
        <v>405</v>
      </c>
      <c r="AI1" s="613"/>
      <c r="AJ1" s="613"/>
      <c r="AK1" s="613"/>
      <c r="AL1" s="613"/>
      <c r="AM1" s="613"/>
      <c r="AN1" s="613"/>
      <c r="AO1" s="613"/>
      <c r="AP1" s="613"/>
      <c r="AQ1" s="613"/>
      <c r="AR1" s="613"/>
      <c r="AS1" s="613"/>
      <c r="AT1" s="613"/>
      <c r="AU1" s="613"/>
      <c r="AV1" s="613"/>
      <c r="AW1" s="613"/>
      <c r="AX1" s="613"/>
      <c r="AY1" s="613"/>
      <c r="AZ1" s="613"/>
      <c r="BA1" s="613"/>
      <c r="BB1" s="613"/>
      <c r="BC1" s="613"/>
      <c r="BD1" s="613"/>
      <c r="BE1" s="613"/>
      <c r="BF1" s="613"/>
      <c r="BG1" s="613"/>
      <c r="BH1" s="613"/>
      <c r="BI1" s="613"/>
      <c r="BJ1" s="613"/>
      <c r="BK1" s="613"/>
      <c r="BL1" s="613"/>
      <c r="BM1" s="613"/>
      <c r="BN1" s="613"/>
      <c r="BO1" s="613"/>
      <c r="BP1" s="613"/>
      <c r="BQ1" s="613"/>
      <c r="BR1" s="613"/>
      <c r="BS1" s="613"/>
      <c r="BT1" s="613"/>
      <c r="BU1" s="613"/>
      <c r="BV1" s="613"/>
      <c r="BW1" s="613"/>
      <c r="BX1" s="613"/>
      <c r="BY1" s="613"/>
      <c r="BZ1" s="613"/>
      <c r="CA1" s="613"/>
      <c r="CB1" s="613"/>
      <c r="CC1" s="613"/>
      <c r="CD1" s="613"/>
      <c r="CE1" s="613"/>
      <c r="CF1" s="613"/>
      <c r="CG1" s="613"/>
      <c r="CH1" s="613"/>
      <c r="CI1" s="613"/>
      <c r="CJ1" s="613"/>
      <c r="CK1" s="613"/>
      <c r="CL1" s="613"/>
      <c r="CM1" s="613"/>
      <c r="CN1" s="613"/>
      <c r="CO1" s="613"/>
      <c r="CP1" s="613"/>
      <c r="CQ1" s="613"/>
      <c r="CR1" s="613"/>
      <c r="CS1" s="613"/>
      <c r="CT1" s="613"/>
      <c r="CU1" s="613"/>
      <c r="CV1" s="613"/>
      <c r="CW1" s="613"/>
      <c r="CX1" s="613"/>
      <c r="CY1" s="613"/>
      <c r="CZ1" s="613"/>
      <c r="DA1" s="613"/>
      <c r="DB1" s="613"/>
      <c r="DC1" s="613"/>
      <c r="DD1" s="613"/>
      <c r="DE1" s="613"/>
      <c r="DF1" s="613"/>
      <c r="DG1" s="613"/>
      <c r="DH1" s="613"/>
      <c r="DI1" s="613"/>
      <c r="DJ1" s="613"/>
      <c r="DK1" s="613"/>
      <c r="DL1" s="613"/>
      <c r="DM1" s="613"/>
      <c r="DN1" s="613"/>
      <c r="DO1" s="613"/>
      <c r="DP1" s="613"/>
      <c r="DQ1" s="613"/>
      <c r="DR1" s="613"/>
      <c r="DS1" s="613"/>
      <c r="DT1" s="613"/>
      <c r="DU1" s="613"/>
      <c r="DV1" s="613"/>
      <c r="DW1" s="613"/>
      <c r="DX1" s="613"/>
      <c r="DY1" s="613"/>
      <c r="DZ1" s="613"/>
      <c r="EA1" s="613"/>
      <c r="EB1" s="613"/>
      <c r="EC1" s="613"/>
      <c r="ED1" s="613"/>
      <c r="EE1" s="613"/>
      <c r="EF1" s="613"/>
      <c r="EG1" s="613"/>
      <c r="EH1" s="613"/>
      <c r="EI1" s="613"/>
      <c r="EJ1" s="613"/>
      <c r="EK1" s="613"/>
      <c r="EL1" s="613"/>
      <c r="EM1" s="613"/>
      <c r="EN1" s="613"/>
      <c r="EO1" s="613"/>
      <c r="EP1" s="613"/>
      <c r="EQ1" s="613"/>
      <c r="ER1" s="613"/>
      <c r="ES1" s="613"/>
      <c r="ET1" s="613"/>
      <c r="EU1" s="613"/>
      <c r="EV1" s="613"/>
      <c r="EW1" s="613"/>
      <c r="EX1" s="613"/>
      <c r="EY1" s="613"/>
      <c r="EZ1" s="613"/>
      <c r="FA1" s="613"/>
      <c r="FB1" s="613"/>
      <c r="FC1" s="613"/>
      <c r="FD1" s="613"/>
      <c r="FE1" s="613"/>
      <c r="FF1" s="613"/>
      <c r="FG1" s="613"/>
      <c r="FH1" s="613"/>
      <c r="FI1" s="613"/>
      <c r="FJ1" s="613"/>
      <c r="FK1" s="613"/>
      <c r="FL1" s="613"/>
      <c r="FM1" s="613"/>
      <c r="FN1" s="613"/>
      <c r="FO1" s="613"/>
      <c r="FP1" s="613"/>
      <c r="FQ1" s="613"/>
      <c r="FR1" s="613"/>
      <c r="FS1" s="613"/>
      <c r="FT1" s="613"/>
      <c r="FU1" s="613"/>
      <c r="FV1" s="613"/>
      <c r="FW1" s="613"/>
      <c r="FX1" s="613"/>
      <c r="FY1" s="613"/>
      <c r="FZ1" s="613"/>
      <c r="GA1" s="613"/>
      <c r="GB1" s="613"/>
      <c r="GC1" s="613"/>
      <c r="GD1" s="613"/>
      <c r="GE1" s="613"/>
      <c r="GF1" s="613"/>
      <c r="GG1" s="613"/>
      <c r="GH1" s="613"/>
      <c r="GI1" s="613"/>
      <c r="GJ1" s="613"/>
      <c r="GK1" s="613"/>
      <c r="GL1" s="613"/>
      <c r="GM1" s="613"/>
      <c r="GN1" s="613"/>
      <c r="GO1" s="613"/>
      <c r="GP1" s="613"/>
      <c r="GQ1" s="613"/>
      <c r="GR1" s="613"/>
      <c r="GS1" s="613"/>
      <c r="GT1" s="613"/>
      <c r="GU1" s="613"/>
      <c r="GV1" s="613"/>
      <c r="GW1" s="613"/>
      <c r="GX1" s="613"/>
      <c r="GY1" s="613"/>
      <c r="GZ1" s="613"/>
      <c r="HA1" s="613"/>
      <c r="HB1" s="613"/>
      <c r="HC1" s="613"/>
      <c r="HD1" s="613"/>
      <c r="HE1" s="613"/>
      <c r="HF1" s="613"/>
      <c r="HG1" s="613"/>
      <c r="HH1" s="613"/>
      <c r="HI1" s="613"/>
      <c r="HJ1" s="613"/>
      <c r="HK1" s="613"/>
      <c r="HL1" s="613"/>
      <c r="HM1" s="613"/>
      <c r="HN1" s="613"/>
      <c r="HO1" s="613"/>
      <c r="HP1" s="613"/>
      <c r="HQ1" s="613"/>
      <c r="HR1" s="613"/>
      <c r="HS1" s="613"/>
      <c r="HT1" s="613"/>
      <c r="HU1" s="613"/>
      <c r="HV1" s="613"/>
      <c r="HW1" s="613"/>
      <c r="HX1" s="613"/>
      <c r="HY1" s="613"/>
      <c r="HZ1" s="613"/>
      <c r="IA1" s="613"/>
      <c r="IB1" s="613"/>
      <c r="IC1" s="613"/>
      <c r="ID1" s="613"/>
      <c r="IE1" s="613"/>
      <c r="IF1" s="613"/>
      <c r="IG1" s="613"/>
      <c r="IH1" s="613"/>
    </row>
    <row r="2">
      <c r="A2" s="598"/>
      <c r="B2" s="614" t="str">
        <f t="array" ref="B2:C2">{"Lab name", "Lab One"}</f>
        <v>Lab name</v>
      </c>
      <c r="C2" s="615" t="s">
        <v>406</v>
      </c>
      <c r="D2" s="616"/>
      <c r="E2" s="617"/>
      <c r="F2" s="618" t="s">
        <v>407</v>
      </c>
      <c r="G2" s="619"/>
      <c r="H2" s="620"/>
      <c r="I2" s="621"/>
      <c r="J2" s="622" t="str">
        <f t="array" ref="J2:K2">{"", "Lab Two"}</f>
        <v/>
      </c>
      <c r="K2" s="623" t="s">
        <v>408</v>
      </c>
      <c r="L2" s="616"/>
      <c r="M2" s="617"/>
      <c r="N2" s="624" t="s">
        <v>409</v>
      </c>
      <c r="O2" s="617"/>
      <c r="P2" s="625"/>
      <c r="Q2" s="626"/>
      <c r="R2" s="627" t="str">
        <f t="array" ref="R2:S2">{"", "Lab Three"}</f>
        <v/>
      </c>
      <c r="S2" s="628" t="s">
        <v>410</v>
      </c>
      <c r="T2" s="616"/>
      <c r="U2" s="617"/>
      <c r="V2" s="629" t="s">
        <v>409</v>
      </c>
      <c r="W2" s="617"/>
      <c r="X2" s="630"/>
      <c r="Y2" s="631"/>
      <c r="Z2" s="598"/>
      <c r="AA2" s="632" t="s">
        <v>411</v>
      </c>
      <c r="AB2" s="633" t="s">
        <v>412</v>
      </c>
      <c r="AC2" s="613" t="str">
        <f>IFERROR(__xludf.DUMMYFUNCTION("QUERY(AD2:AG246, SWITCH(V40,
    """", ""Select Col1"",
    ""Show All"", ""Select Col1"",
    ""Completed"", ""Select Col1 where Col2 != Col4"",
    ""Completed &amp; Target"", ""Select Col1 where Col2 != Col3 and Col2 != Col4""))  "),"Amp Bot - Cooldown")</f>
        <v>Amp Bot - Cooldown</v>
      </c>
      <c r="AD2" s="613" t="str">
        <f t="array" ref="AD2:AG212">SORT({'Lab Calculator'!A3:A246, 'Lab Calculator'!C3:C246, 'Lab Calculator'!P3:P246, 'Lab Calculator'!D3:D246}, 1, TRUE, 3, TRUE, 12, TRUE, 4, TRUE)</f>
        <v>Amp Bot - Cooldown</v>
      </c>
      <c r="AE2" s="613">
        <v>0.0</v>
      </c>
      <c r="AF2" s="613"/>
      <c r="AG2" s="613">
        <v>25.0</v>
      </c>
      <c r="AH2" s="634">
        <f t="shared" ref="AH2:AH21" si="1">IFERROR(SEQUENCE(1, VALUE(VLOOKUP(E5, AD:AG, 4, false)) - VALUE(VLOOKUP(E5, AD:AG, 2, false)), VLOOKUP(E5, AD:AG, 2, false)),"")</f>
        <v>91</v>
      </c>
      <c r="AI2" s="613">
        <v>92.0</v>
      </c>
      <c r="AJ2" s="613">
        <v>93.0</v>
      </c>
      <c r="AK2" s="613">
        <v>94.0</v>
      </c>
      <c r="AL2" s="613">
        <v>95.0</v>
      </c>
      <c r="AM2" s="613">
        <v>96.0</v>
      </c>
      <c r="AN2" s="613">
        <v>97.0</v>
      </c>
      <c r="AO2" s="613">
        <v>98.0</v>
      </c>
      <c r="AP2" s="613"/>
      <c r="AQ2" s="613"/>
      <c r="AR2" s="613"/>
      <c r="AS2" s="613"/>
      <c r="AT2" s="613"/>
      <c r="AU2" s="613"/>
      <c r="AV2" s="613"/>
      <c r="AW2" s="613"/>
      <c r="AX2" s="613"/>
      <c r="AY2" s="613"/>
      <c r="AZ2" s="613"/>
      <c r="BA2" s="613"/>
      <c r="BB2" s="613"/>
      <c r="BC2" s="613"/>
      <c r="BD2" s="613"/>
      <c r="BE2" s="613"/>
      <c r="BF2" s="613"/>
      <c r="BG2" s="613"/>
      <c r="BH2" s="613"/>
      <c r="BI2" s="613"/>
      <c r="BJ2" s="613"/>
      <c r="BK2" s="613"/>
      <c r="BL2" s="613"/>
      <c r="BM2" s="613"/>
      <c r="BN2" s="613"/>
      <c r="BO2" s="613"/>
      <c r="BP2" s="613"/>
      <c r="BQ2" s="613"/>
      <c r="BR2" s="613"/>
      <c r="BS2" s="613"/>
      <c r="BT2" s="613"/>
      <c r="BU2" s="613"/>
      <c r="BV2" s="613"/>
      <c r="BW2" s="613"/>
      <c r="BX2" s="613"/>
      <c r="BY2" s="613"/>
      <c r="BZ2" s="613"/>
      <c r="CA2" s="613"/>
      <c r="CB2" s="613"/>
      <c r="CC2" s="613"/>
      <c r="CD2" s="613"/>
      <c r="CE2" s="613"/>
      <c r="CF2" s="613"/>
      <c r="CG2" s="613"/>
      <c r="CH2" s="613"/>
      <c r="CI2" s="613"/>
      <c r="CJ2" s="613"/>
      <c r="CK2" s="613"/>
      <c r="CL2" s="613"/>
      <c r="CM2" s="613"/>
      <c r="CN2" s="613"/>
      <c r="CO2" s="613"/>
      <c r="CP2" s="613"/>
      <c r="CQ2" s="613"/>
      <c r="CR2" s="613"/>
      <c r="CS2" s="613"/>
      <c r="CT2" s="613"/>
      <c r="CU2" s="613"/>
      <c r="CV2" s="613"/>
      <c r="CW2" s="613"/>
      <c r="CX2" s="613"/>
      <c r="CY2" s="613"/>
      <c r="CZ2" s="613"/>
      <c r="DA2" s="613"/>
      <c r="DB2" s="613"/>
      <c r="DC2" s="613"/>
      <c r="DD2" s="613"/>
      <c r="DE2" s="613"/>
      <c r="DF2" s="613"/>
      <c r="DG2" s="613"/>
      <c r="DH2" s="613"/>
      <c r="DI2" s="613"/>
      <c r="DJ2" s="613"/>
      <c r="DK2" s="613"/>
      <c r="DL2" s="613"/>
      <c r="DM2" s="613"/>
      <c r="DN2" s="613"/>
      <c r="DO2" s="613"/>
      <c r="DP2" s="613"/>
      <c r="DQ2" s="613"/>
      <c r="DR2" s="613"/>
      <c r="DS2" s="613"/>
      <c r="DT2" s="613"/>
      <c r="DU2" s="613"/>
      <c r="DV2" s="613"/>
      <c r="DW2" s="613"/>
      <c r="DX2" s="613"/>
      <c r="DY2" s="613"/>
      <c r="DZ2" s="613"/>
      <c r="EA2" s="613"/>
      <c r="EB2" s="613"/>
      <c r="EC2" s="613"/>
      <c r="ED2" s="613"/>
      <c r="EE2" s="613"/>
      <c r="EF2" s="613"/>
      <c r="EG2" s="613"/>
      <c r="EH2" s="613"/>
      <c r="EI2" s="613"/>
      <c r="EJ2" s="613"/>
      <c r="EK2" s="613"/>
      <c r="EL2" s="613"/>
      <c r="EM2" s="613"/>
      <c r="EN2" s="613"/>
      <c r="EO2" s="613"/>
      <c r="EP2" s="613"/>
      <c r="EQ2" s="613"/>
      <c r="ER2" s="613"/>
      <c r="ES2" s="613"/>
      <c r="ET2" s="613"/>
      <c r="EU2" s="613"/>
      <c r="EV2" s="613"/>
      <c r="EW2" s="613"/>
      <c r="EX2" s="613"/>
      <c r="EY2" s="613"/>
      <c r="EZ2" s="613"/>
      <c r="FA2" s="613"/>
      <c r="FB2" s="613"/>
      <c r="FC2" s="613"/>
      <c r="FD2" s="613"/>
      <c r="FE2" s="613"/>
      <c r="FF2" s="613"/>
      <c r="FG2" s="613"/>
      <c r="FH2" s="613"/>
      <c r="FI2" s="613"/>
      <c r="FJ2" s="613"/>
      <c r="FK2" s="613"/>
      <c r="FL2" s="613"/>
      <c r="FM2" s="613"/>
      <c r="FN2" s="613"/>
      <c r="FO2" s="613"/>
      <c r="FP2" s="613"/>
      <c r="FQ2" s="613"/>
      <c r="FR2" s="613"/>
      <c r="FS2" s="613"/>
      <c r="FT2" s="613"/>
      <c r="FU2" s="613"/>
      <c r="FV2" s="613"/>
      <c r="FW2" s="613"/>
      <c r="FX2" s="613"/>
      <c r="FY2" s="613"/>
      <c r="FZ2" s="613"/>
      <c r="GA2" s="613"/>
      <c r="GB2" s="613"/>
      <c r="GC2" s="613"/>
      <c r="GD2" s="613"/>
      <c r="GE2" s="613"/>
      <c r="GF2" s="613"/>
      <c r="GG2" s="613"/>
      <c r="GH2" s="613"/>
      <c r="GI2" s="613"/>
      <c r="GJ2" s="613"/>
      <c r="GK2" s="613"/>
      <c r="GL2" s="613"/>
      <c r="GM2" s="613"/>
      <c r="GN2" s="613"/>
      <c r="GO2" s="613"/>
      <c r="GP2" s="613"/>
      <c r="GQ2" s="613"/>
      <c r="GR2" s="613"/>
      <c r="GS2" s="613"/>
      <c r="GT2" s="613"/>
      <c r="GU2" s="613"/>
      <c r="GV2" s="613"/>
      <c r="GW2" s="613"/>
      <c r="GX2" s="613"/>
      <c r="GY2" s="613"/>
      <c r="GZ2" s="613"/>
      <c r="HA2" s="613"/>
      <c r="HB2" s="613"/>
      <c r="HC2" s="613"/>
      <c r="HD2" s="613"/>
      <c r="HE2" s="613"/>
      <c r="HF2" s="613"/>
      <c r="HG2" s="613"/>
      <c r="HH2" s="613"/>
      <c r="HI2" s="613"/>
      <c r="HJ2" s="613"/>
      <c r="HK2" s="613"/>
      <c r="HL2" s="613"/>
      <c r="HM2" s="613"/>
      <c r="HN2" s="613"/>
      <c r="HO2" s="613"/>
      <c r="HP2" s="613"/>
      <c r="HQ2" s="613"/>
      <c r="HR2" s="613"/>
      <c r="HS2" s="613"/>
      <c r="HT2" s="613"/>
      <c r="HU2" s="613"/>
      <c r="HV2" s="613"/>
      <c r="HW2" s="613"/>
      <c r="HX2" s="613"/>
      <c r="HY2" s="613"/>
      <c r="HZ2" s="613"/>
      <c r="IA2" s="613"/>
      <c r="IB2" s="613"/>
      <c r="IC2" s="613"/>
      <c r="ID2" s="613"/>
      <c r="IE2" s="613"/>
      <c r="IF2" s="613"/>
      <c r="IG2" s="613"/>
      <c r="IH2" s="613"/>
    </row>
    <row r="3">
      <c r="A3" s="598"/>
      <c r="B3" s="614"/>
      <c r="C3" s="635"/>
      <c r="D3" s="636"/>
      <c r="E3" s="637"/>
      <c r="F3" s="638" t="str">
        <f>FORMAT_NUMBER(SUM(H5:H24))</f>
        <v>110.33 M</v>
      </c>
      <c r="G3" s="639" t="str">
        <f>IFS(
OR(SUM(I$5:I$25) &gt;= 1, SUM(I$5:I$25) = 0),
    ROUND(SUM(I$5:I$25), 1) &amp; " Days",
    SUM(I$5:I$25) &lt; 1,
        ROUNDDOWN(SUM(I$5:I$25)*24, 2) &amp; " Hours")   </f>
        <v>35.3 Days</v>
      </c>
      <c r="H3" s="620"/>
      <c r="I3" s="621"/>
      <c r="J3" s="640"/>
      <c r="K3" s="635"/>
      <c r="L3" s="636"/>
      <c r="M3" s="637"/>
      <c r="N3" s="641" t="str">
        <f>FORMAT_NUMBER(SUM(P5:P24))</f>
        <v>625.48 B</v>
      </c>
      <c r="O3" s="641" t="str">
        <f>IFS(
OR(SUM(Q$5:Q$25) &gt;= 1, SUM(Q$5:Q$25) = 0),
    ROUND(SUM(Q$5:Q$25), 1) &amp; " Days",
    SUM(Q$5:Q$25) &lt; 1,
        ROUNDDOWN(SUM(Q$5:Q$25)*24, 2) &amp; " Hours")   </f>
        <v>12.3 Days</v>
      </c>
      <c r="P3" s="625"/>
      <c r="Q3" s="626"/>
      <c r="R3" s="642"/>
      <c r="S3" s="635"/>
      <c r="T3" s="636"/>
      <c r="U3" s="637"/>
      <c r="V3" s="643" t="str">
        <f>FORMAT_NUMBER(SUM(X5:X24))</f>
        <v>508.72 T</v>
      </c>
      <c r="W3" s="643" t="str">
        <f>IFS(
OR(SUM(Y$5:Y$25) &gt;= 1, SUM(Y$5:Y$25) = 0),
    ROUND(SUM(Y$5:Y$25), 1) &amp; " Days",
    SUM(Y$5:Y$25) &lt; 1,
        ROUNDDOWN(SUM(Y$5:Y$25)*24, 2) &amp; " Hours")   </f>
        <v>38.9 Days</v>
      </c>
      <c r="X3" s="630"/>
      <c r="Y3" s="631"/>
      <c r="Z3" s="598"/>
      <c r="AA3" s="644" t="s">
        <v>413</v>
      </c>
      <c r="AB3" s="645" t="s">
        <v>414</v>
      </c>
      <c r="AC3" s="613" t="str">
        <f>IFERROR(__xludf.DUMMYFUNCTION("""COMPUTED_VALUE"""),"Amp Bot - Duration")</f>
        <v>Amp Bot - Duration</v>
      </c>
      <c r="AD3" s="613" t="s">
        <v>256</v>
      </c>
      <c r="AE3" s="613">
        <v>0.0</v>
      </c>
      <c r="AF3" s="613"/>
      <c r="AG3" s="613">
        <v>20.0</v>
      </c>
      <c r="AH3" s="634" t="str">
        <f t="shared" si="1"/>
        <v/>
      </c>
      <c r="AI3" s="613"/>
      <c r="AJ3" s="613"/>
      <c r="AK3" s="613"/>
      <c r="AL3" s="613"/>
      <c r="AM3" s="613"/>
      <c r="AN3" s="613"/>
      <c r="AO3" s="613"/>
      <c r="AP3" s="613"/>
      <c r="AQ3" s="613"/>
      <c r="AR3" s="613"/>
      <c r="AS3" s="613"/>
      <c r="AT3" s="613"/>
      <c r="AU3" s="613"/>
      <c r="AV3" s="613"/>
      <c r="AW3" s="613"/>
      <c r="AX3" s="613"/>
      <c r="AY3" s="613"/>
      <c r="AZ3" s="613"/>
      <c r="BA3" s="613"/>
      <c r="BB3" s="613"/>
      <c r="BC3" s="613"/>
      <c r="BD3" s="613"/>
      <c r="BE3" s="613"/>
      <c r="BF3" s="613"/>
      <c r="BG3" s="613"/>
      <c r="BH3" s="613"/>
      <c r="BI3" s="613"/>
      <c r="BJ3" s="613"/>
      <c r="BK3" s="613"/>
      <c r="BL3" s="613"/>
      <c r="BM3" s="613"/>
      <c r="BN3" s="613"/>
      <c r="BO3" s="613"/>
      <c r="BP3" s="613"/>
      <c r="BQ3" s="613"/>
      <c r="BR3" s="613"/>
      <c r="BS3" s="613"/>
      <c r="BT3" s="613"/>
      <c r="BU3" s="613"/>
      <c r="BV3" s="613"/>
      <c r="BW3" s="613"/>
      <c r="BX3" s="613"/>
      <c r="BY3" s="613"/>
      <c r="BZ3" s="613"/>
      <c r="CA3" s="613"/>
      <c r="CB3" s="613"/>
      <c r="CC3" s="613"/>
      <c r="CD3" s="613"/>
      <c r="CE3" s="613"/>
      <c r="CF3" s="613"/>
      <c r="CG3" s="613"/>
      <c r="CH3" s="613"/>
      <c r="CI3" s="613"/>
      <c r="CJ3" s="613"/>
      <c r="CK3" s="613"/>
      <c r="CL3" s="613"/>
      <c r="CM3" s="613"/>
      <c r="CN3" s="613"/>
      <c r="CO3" s="613"/>
      <c r="CP3" s="613"/>
      <c r="CQ3" s="613"/>
      <c r="CR3" s="613"/>
      <c r="CS3" s="613"/>
      <c r="CT3" s="613"/>
      <c r="CU3" s="613"/>
      <c r="CV3" s="613"/>
      <c r="CW3" s="613"/>
      <c r="CX3" s="613"/>
      <c r="CY3" s="613"/>
      <c r="CZ3" s="613"/>
      <c r="DA3" s="613"/>
      <c r="DB3" s="613"/>
      <c r="DC3" s="613"/>
      <c r="DD3" s="613"/>
      <c r="DE3" s="613"/>
      <c r="DF3" s="613"/>
      <c r="DG3" s="613"/>
      <c r="DH3" s="613"/>
      <c r="DI3" s="613"/>
      <c r="DJ3" s="613"/>
      <c r="DK3" s="613"/>
      <c r="DL3" s="613"/>
      <c r="DM3" s="613"/>
      <c r="DN3" s="613"/>
      <c r="DO3" s="613"/>
      <c r="DP3" s="613"/>
      <c r="DQ3" s="613"/>
      <c r="DR3" s="613"/>
      <c r="DS3" s="613"/>
      <c r="DT3" s="613"/>
      <c r="DU3" s="613"/>
      <c r="DV3" s="613"/>
      <c r="DW3" s="613"/>
      <c r="DX3" s="613"/>
      <c r="DY3" s="613"/>
      <c r="DZ3" s="613"/>
      <c r="EA3" s="613"/>
      <c r="EB3" s="613"/>
      <c r="EC3" s="613"/>
      <c r="ED3" s="613"/>
      <c r="EE3" s="613"/>
      <c r="EF3" s="613"/>
      <c r="EG3" s="613"/>
      <c r="EH3" s="613"/>
      <c r="EI3" s="613"/>
      <c r="EJ3" s="613"/>
      <c r="EK3" s="613"/>
      <c r="EL3" s="613"/>
      <c r="EM3" s="613"/>
      <c r="EN3" s="613"/>
      <c r="EO3" s="613"/>
      <c r="EP3" s="613"/>
      <c r="EQ3" s="613"/>
      <c r="ER3" s="613"/>
      <c r="ES3" s="613"/>
      <c r="ET3" s="613"/>
      <c r="EU3" s="613"/>
      <c r="EV3" s="613"/>
      <c r="EW3" s="613"/>
      <c r="EX3" s="613"/>
      <c r="EY3" s="613"/>
      <c r="EZ3" s="613"/>
      <c r="FA3" s="613"/>
      <c r="FB3" s="613"/>
      <c r="FC3" s="613"/>
      <c r="FD3" s="613"/>
      <c r="FE3" s="613"/>
      <c r="FF3" s="613"/>
      <c r="FG3" s="613"/>
      <c r="FH3" s="613"/>
      <c r="FI3" s="613"/>
      <c r="FJ3" s="613"/>
      <c r="FK3" s="613"/>
      <c r="FL3" s="613"/>
      <c r="FM3" s="613"/>
      <c r="FN3" s="613"/>
      <c r="FO3" s="613"/>
      <c r="FP3" s="613"/>
      <c r="FQ3" s="613"/>
      <c r="FR3" s="613"/>
      <c r="FS3" s="613"/>
      <c r="FT3" s="613"/>
      <c r="FU3" s="613"/>
      <c r="FV3" s="613"/>
      <c r="FW3" s="613"/>
      <c r="FX3" s="613"/>
      <c r="FY3" s="613"/>
      <c r="FZ3" s="613"/>
      <c r="GA3" s="613"/>
      <c r="GB3" s="613"/>
      <c r="GC3" s="613"/>
      <c r="GD3" s="613"/>
      <c r="GE3" s="613"/>
      <c r="GF3" s="613"/>
      <c r="GG3" s="613"/>
      <c r="GH3" s="613"/>
      <c r="GI3" s="613"/>
      <c r="GJ3" s="613"/>
      <c r="GK3" s="613"/>
      <c r="GL3" s="613"/>
      <c r="GM3" s="613"/>
      <c r="GN3" s="613"/>
      <c r="GO3" s="613"/>
      <c r="GP3" s="613"/>
      <c r="GQ3" s="613"/>
      <c r="GR3" s="613"/>
      <c r="GS3" s="613"/>
      <c r="GT3" s="613"/>
      <c r="GU3" s="613"/>
      <c r="GV3" s="613"/>
      <c r="GW3" s="613"/>
      <c r="GX3" s="613"/>
      <c r="GY3" s="613"/>
      <c r="GZ3" s="613"/>
      <c r="HA3" s="613"/>
      <c r="HB3" s="613"/>
      <c r="HC3" s="613"/>
      <c r="HD3" s="613"/>
      <c r="HE3" s="613"/>
      <c r="HF3" s="613"/>
      <c r="HG3" s="613"/>
      <c r="HH3" s="613"/>
      <c r="HI3" s="613"/>
      <c r="HJ3" s="613"/>
      <c r="HK3" s="613"/>
      <c r="HL3" s="613"/>
      <c r="HM3" s="613"/>
      <c r="HN3" s="613"/>
      <c r="HO3" s="613"/>
      <c r="HP3" s="613"/>
      <c r="HQ3" s="613"/>
      <c r="HR3" s="613"/>
      <c r="HS3" s="613"/>
      <c r="HT3" s="613"/>
      <c r="HU3" s="613"/>
      <c r="HV3" s="613"/>
      <c r="HW3" s="613"/>
      <c r="HX3" s="613"/>
      <c r="HY3" s="613"/>
      <c r="HZ3" s="613"/>
      <c r="IA3" s="613"/>
      <c r="IB3" s="613"/>
      <c r="IC3" s="613"/>
      <c r="ID3" s="613"/>
      <c r="IE3" s="613"/>
      <c r="IF3" s="613"/>
      <c r="IG3" s="613"/>
      <c r="IH3" s="613"/>
    </row>
    <row r="4">
      <c r="A4" s="598"/>
      <c r="B4" s="614" t="str">
        <f t="array" ref="B4:E4">{"Start/End", "  Start", "  End", "Lab Name"}</f>
        <v>Start/End</v>
      </c>
      <c r="C4" s="646" t="s">
        <v>415</v>
      </c>
      <c r="D4" s="646" t="s">
        <v>416</v>
      </c>
      <c r="E4" s="646" t="s">
        <v>404</v>
      </c>
      <c r="F4" s="647" t="str">
        <f>SWITCH($W$37, "Total", "Total Coins",
    "Daily", "Daily Coins",
    "Gem Rush", "Gem Rush")</f>
        <v>Total Coins</v>
      </c>
      <c r="G4" s="647" t="str">
        <f>SWITCH($V$41, "Show Time", "Lab Duration",
    "Show Date", "End Date",
    "Show Running Date", "Running End")</f>
        <v>Lab Duration</v>
      </c>
      <c r="H4" s="620"/>
      <c r="I4" s="621"/>
      <c r="J4" s="640" t="str">
        <f t="array" ref="J4:M4">{"Start/End", "  Start", "  End", "Lab Name"}</f>
        <v>Start/End</v>
      </c>
      <c r="K4" s="648" t="s">
        <v>415</v>
      </c>
      <c r="L4" s="648" t="s">
        <v>416</v>
      </c>
      <c r="M4" s="648" t="s">
        <v>404</v>
      </c>
      <c r="N4" s="649" t="str">
        <f>SWITCH($W$37, "Total", "Total Coins",
    "Daily", "Daily Coins",
    "Gem Rush", "Gem Rush")</f>
        <v>Total Coins</v>
      </c>
      <c r="O4" s="597" t="str">
        <f>SWITCH($V$41, "Show Time", "Lab Duration",
    "Show Date", "End Date",
    "Show Running Date", "Running End")</f>
        <v>Lab Duration</v>
      </c>
      <c r="P4" s="625"/>
      <c r="Q4" s="626"/>
      <c r="R4" s="642" t="str">
        <f t="array" ref="R4:U4">{"Start/End", "  Start", "  End", "Lab Name"}</f>
        <v>Start/End</v>
      </c>
      <c r="S4" s="650" t="s">
        <v>415</v>
      </c>
      <c r="T4" s="651" t="s">
        <v>416</v>
      </c>
      <c r="U4" s="651" t="s">
        <v>404</v>
      </c>
      <c r="V4" s="652" t="str">
        <f>SWITCH($W$37, "Total", "Total Coins",
    "Daily", "Daily Coins",
    "Gem Rush", "Gem Rush")</f>
        <v>Total Coins</v>
      </c>
      <c r="W4" s="653" t="str">
        <f>SWITCH($V$41, "Show Time", "Lab Duration",
    "Show Date", "End Date",
    "Show Running Date", "Running End")</f>
        <v>Lab Duration</v>
      </c>
      <c r="X4" s="630"/>
      <c r="Y4" s="631"/>
      <c r="Z4" s="598"/>
      <c r="AA4" s="644" t="s">
        <v>417</v>
      </c>
      <c r="AB4" s="654" t="s">
        <v>418</v>
      </c>
      <c r="AC4" s="613" t="str">
        <f>IFERROR(__xludf.DUMMYFUNCTION("""COMPUTED_VALUE"""),"Area of Effect Mastery")</f>
        <v>Area of Effect Mastery</v>
      </c>
      <c r="AD4" s="655" t="s">
        <v>382</v>
      </c>
      <c r="AE4" s="613">
        <v>0.0</v>
      </c>
      <c r="AF4" s="613"/>
      <c r="AG4" s="613">
        <v>9.0</v>
      </c>
      <c r="AH4" s="634" t="str">
        <f t="shared" si="1"/>
        <v/>
      </c>
      <c r="AI4" s="613"/>
      <c r="AJ4" s="613"/>
      <c r="AK4" s="613"/>
      <c r="AL4" s="613"/>
      <c r="AM4" s="613"/>
      <c r="AN4" s="613"/>
      <c r="AO4" s="613"/>
      <c r="AP4" s="613"/>
      <c r="AQ4" s="613"/>
      <c r="AR4" s="613"/>
      <c r="AS4" s="613"/>
      <c r="AT4" s="613"/>
      <c r="AU4" s="613"/>
      <c r="AV4" s="613"/>
      <c r="AW4" s="613"/>
      <c r="AX4" s="613"/>
      <c r="AY4" s="613"/>
      <c r="AZ4" s="613"/>
      <c r="BA4" s="613"/>
      <c r="BB4" s="613"/>
      <c r="BC4" s="613"/>
      <c r="BD4" s="613"/>
      <c r="BE4" s="613"/>
      <c r="BF4" s="613"/>
      <c r="BG4" s="613"/>
      <c r="BH4" s="613"/>
      <c r="BI4" s="613"/>
      <c r="BJ4" s="613"/>
      <c r="BK4" s="613"/>
      <c r="BL4" s="613"/>
      <c r="BM4" s="613"/>
      <c r="BN4" s="613"/>
      <c r="BO4" s="613"/>
      <c r="BP4" s="613"/>
      <c r="BQ4" s="613"/>
      <c r="BR4" s="613"/>
      <c r="BS4" s="613"/>
      <c r="BT4" s="613"/>
      <c r="BU4" s="613"/>
      <c r="BV4" s="613"/>
      <c r="BW4" s="613"/>
      <c r="BX4" s="613"/>
      <c r="BY4" s="613"/>
      <c r="BZ4" s="613"/>
      <c r="CA4" s="613"/>
      <c r="CB4" s="613"/>
      <c r="CC4" s="613"/>
      <c r="CD4" s="613"/>
      <c r="CE4" s="613"/>
      <c r="CF4" s="613"/>
      <c r="CG4" s="613"/>
      <c r="CH4" s="613"/>
      <c r="CI4" s="613"/>
      <c r="CJ4" s="613"/>
      <c r="CK4" s="613"/>
      <c r="CL4" s="613"/>
      <c r="CM4" s="613"/>
      <c r="CN4" s="613"/>
      <c r="CO4" s="613"/>
      <c r="CP4" s="613"/>
      <c r="CQ4" s="613"/>
      <c r="CR4" s="613"/>
      <c r="CS4" s="613"/>
      <c r="CT4" s="613"/>
      <c r="CU4" s="613"/>
      <c r="CV4" s="613"/>
      <c r="CW4" s="613"/>
      <c r="CX4" s="613"/>
      <c r="CY4" s="613"/>
      <c r="CZ4" s="613"/>
      <c r="DA4" s="613"/>
      <c r="DB4" s="613"/>
      <c r="DC4" s="613"/>
      <c r="DD4" s="613"/>
      <c r="DE4" s="613"/>
      <c r="DF4" s="613"/>
      <c r="DG4" s="613"/>
      <c r="DH4" s="613"/>
      <c r="DI4" s="613"/>
      <c r="DJ4" s="613"/>
      <c r="DK4" s="613"/>
      <c r="DL4" s="613"/>
      <c r="DM4" s="613"/>
      <c r="DN4" s="613"/>
      <c r="DO4" s="613"/>
      <c r="DP4" s="613"/>
      <c r="DQ4" s="613"/>
      <c r="DR4" s="613"/>
      <c r="DS4" s="613"/>
      <c r="DT4" s="613"/>
      <c r="DU4" s="613"/>
      <c r="DV4" s="613"/>
      <c r="DW4" s="613"/>
      <c r="DX4" s="613"/>
      <c r="DY4" s="613"/>
      <c r="DZ4" s="613"/>
      <c r="EA4" s="613"/>
      <c r="EB4" s="613"/>
      <c r="EC4" s="613"/>
      <c r="ED4" s="613"/>
      <c r="EE4" s="613"/>
      <c r="EF4" s="613"/>
      <c r="EG4" s="613"/>
      <c r="EH4" s="613"/>
      <c r="EI4" s="613"/>
      <c r="EJ4" s="613"/>
      <c r="EK4" s="613"/>
      <c r="EL4" s="613"/>
      <c r="EM4" s="613"/>
      <c r="EN4" s="613"/>
      <c r="EO4" s="613"/>
      <c r="EP4" s="613"/>
      <c r="EQ4" s="613"/>
      <c r="ER4" s="613"/>
      <c r="ES4" s="613"/>
      <c r="ET4" s="613"/>
      <c r="EU4" s="613"/>
      <c r="EV4" s="613"/>
      <c r="EW4" s="613"/>
      <c r="EX4" s="613"/>
      <c r="EY4" s="613"/>
      <c r="EZ4" s="613"/>
      <c r="FA4" s="613"/>
      <c r="FB4" s="613"/>
      <c r="FC4" s="613"/>
      <c r="FD4" s="613"/>
      <c r="FE4" s="613"/>
      <c r="FF4" s="613"/>
      <c r="FG4" s="613"/>
      <c r="FH4" s="613"/>
      <c r="FI4" s="613"/>
      <c r="FJ4" s="613"/>
      <c r="FK4" s="613"/>
      <c r="FL4" s="613"/>
      <c r="FM4" s="613"/>
      <c r="FN4" s="613"/>
      <c r="FO4" s="613"/>
      <c r="FP4" s="613"/>
      <c r="FQ4" s="613"/>
      <c r="FR4" s="613"/>
      <c r="FS4" s="613"/>
      <c r="FT4" s="613"/>
      <c r="FU4" s="613"/>
      <c r="FV4" s="613"/>
      <c r="FW4" s="613"/>
      <c r="FX4" s="613"/>
      <c r="FY4" s="613"/>
      <c r="FZ4" s="613"/>
      <c r="GA4" s="613"/>
      <c r="GB4" s="613"/>
      <c r="GC4" s="613"/>
      <c r="GD4" s="613"/>
      <c r="GE4" s="613"/>
      <c r="GF4" s="613"/>
      <c r="GG4" s="613"/>
      <c r="GH4" s="613"/>
      <c r="GI4" s="613"/>
      <c r="GJ4" s="613"/>
      <c r="GK4" s="613"/>
      <c r="GL4" s="613"/>
      <c r="GM4" s="613"/>
      <c r="GN4" s="613"/>
      <c r="GO4" s="613"/>
      <c r="GP4" s="613"/>
      <c r="GQ4" s="613"/>
      <c r="GR4" s="613"/>
      <c r="GS4" s="613"/>
      <c r="GT4" s="613"/>
      <c r="GU4" s="613"/>
      <c r="GV4" s="613"/>
      <c r="GW4" s="613"/>
      <c r="GX4" s="613"/>
      <c r="GY4" s="613"/>
      <c r="GZ4" s="613"/>
      <c r="HA4" s="613"/>
      <c r="HB4" s="613"/>
      <c r="HC4" s="613"/>
      <c r="HD4" s="613"/>
      <c r="HE4" s="613"/>
      <c r="HF4" s="613"/>
      <c r="HG4" s="613"/>
      <c r="HH4" s="613"/>
      <c r="HI4" s="613"/>
      <c r="HJ4" s="613"/>
      <c r="HK4" s="613"/>
      <c r="HL4" s="613"/>
      <c r="HM4" s="613"/>
      <c r="HN4" s="613"/>
      <c r="HO4" s="613"/>
      <c r="HP4" s="613"/>
      <c r="HQ4" s="613"/>
      <c r="HR4" s="613"/>
      <c r="HS4" s="613"/>
      <c r="HT4" s="613"/>
      <c r="HU4" s="613"/>
      <c r="HV4" s="613"/>
      <c r="HW4" s="613"/>
      <c r="HX4" s="613"/>
      <c r="HY4" s="613"/>
      <c r="HZ4" s="613"/>
      <c r="IA4" s="613"/>
      <c r="IB4" s="613"/>
      <c r="IC4" s="613"/>
      <c r="ID4" s="613"/>
      <c r="IE4" s="613"/>
      <c r="IF4" s="613"/>
      <c r="IG4" s="613"/>
      <c r="IH4" s="613"/>
    </row>
    <row r="5">
      <c r="A5" s="598"/>
      <c r="B5" s="614" t="str">
        <f t="shared" ref="B5:B24" si="2">IF(E5 = "", "", {"Lab Levels", VLOOKUP(E5, $AD:$AG, 2, FALSE), IF(OR(VLOOKUP(E5, $AD:$AG, 3, FALSE) = "", $W$38 = "Max"), VLOOKUP(E5, $AD:$AG, 4, FALSE), VLOOKUP(E5, $AD:$AG, 3, FALSE))})</f>
        <v>Lab Levels</v>
      </c>
      <c r="C5" s="656">
        <v>91.0</v>
      </c>
      <c r="D5" s="657">
        <v>99.0</v>
      </c>
      <c r="E5" s="658" t="s">
        <v>238</v>
      </c>
      <c r="F5" s="659" t="str">
        <f>IFERROR(__xludf.DUMMYFUNCTION("IFERROR(IF(H5 = """", """",
    SWITCH($W$37,
        ""Total"", "" "" &amp; FORMAT_NUMBER(H5),
        ""Daily"", LET(Lab_name, IF(REGEXMATCH(E5, ""Mastery""), ""Card Mastery"", E5),
            Level, IF(ISBETWEEN(C5, VLOOKUP(E5, $AD:$AG, 2, FALSE), VLOOKUP"&amp;"(E5, $AD:$AG, 4, FALSE), TRUE, FALSE), C5, VLOOKUP(E5, $AD:$AG, 2, FALSE)),
            IF(LABCOST_SINGLE_ADJUSTED(Lab_name, Level + 1) = 0, ""0 (Max)"",
            "" "" &amp; FORMAT_NUMBER(            
                    LABCOST_SINGLE_ADJUSTED(Lab_name, "&amp;"Level + 1) / 
                    (LABDURATION_SINGLE_ADJUSTED(Lab_name, Level + 1) /
                    (1 * REGEXEXTRACT(F$2, ""[\d.-]+"")))))),
        ""Gem Rush"", LET(
            Labspeed, IF(E5=""Labs Speed"", 1+'Master Sheet'!$BK$5, LAB_SPEED_TO"&amp;"TAL()),
            Start_Level, IF(C5 = """",
                VLOOKUP(E5, $AD:$AG, 2, false),
                IF(ISBETWEEN(C5, VALUE(VLOOKUP(E5, $AD:$AG, 2, false)), VALUE(VLOOKUP(E5, $AD:$AG, 4, false))), C5, """")),
            End_Level, IF(OR(D5 = """&amp;""", NOT(ISBETWEEN(D5, VALUE(VLOOKUP(E5, $AD:$AG, 2, false)), VALUE(VLOOKUP(E5, $AD:$AG, 4, false)),0,1))),
                SWITCH($W$38,
                    ""Max"", VLOOKUP(E5, $AD:$AG, 4, false),
                    ""Target"", IF(VLOOKUP(E5, $AD:$AG, 3"&amp;", false) &lt;&gt; """", VLOOKUP(E5, $AD:$AG, 3, false), VLOOKUP(E5, $AD:$AG, 4, false))),
                    D5),
            SUM(ARRAYFORMULA(TIME_TO_RUSH_GEMS( OFFSET(DVT_Laboratory!$A$3, Start_Level , IF(ISNUMBER(SEARCH(""mastery"", E5)), MATCH(""Card Maste"&amp;"ry"", DVT_Laboratory!$A$1:$LO$1, 0), MATCH(E5, DVT_Laboratory!$A$1:$LO$1, 0)) - 1, End_Level - Start_Level, 1) / Labspeed, IDS_LAB_GODLBOXED_COUNT())))))))")," 110.33 M")</f>
        <v> 110.33 M</v>
      </c>
      <c r="G5" s="660" t="str">
        <f t="shared" ref="G5:G14" si="3">IFERROR(SWITCH(I5,
"", "",
"MAX Level", "   MAX Level",
"At Target", "   At Target",
"Levels Error!", " Check Levels",
" " &amp; SWITCH($V$41, "Show Time", FORMAT_TIME(I5), "Show Date", TEXT(NOW()+I5,"dd/mm/yy hh:mm"), "Show Running Date", TEXT(NOW()+SUM(I$5:I5),"dd/mm/yy hh:mm"))),"")</f>
        <v> 35d  6h 33m</v>
      </c>
      <c r="H5" s="661">
        <f>IFERROR(__xludf.DUMMYFUNCTION("IFS(E5 = """", """", 
    VLOOKUP(E5, $AD:$AG, 2, false) = VLOOKUP(E5, $AD:$AG, 4, false), ""MAX Level"",
    AND(VLOOKUP(E5, $AD:$AG, 3, false) &lt;&gt; """", VLOOKUP(E5, $AD:$AG, 2, false) = VLOOKUP(E5, $AD:$AG, 3, false)), ""At Target"",
    TRUE,
    IFERRO"&amp;"R(LET(Start_Level, IF(C5 = """",
            VLOOKUP(E5, $AD:$AG, 2, false),
            IF(ISBETWEEN(C5, VALUE(VLOOKUP(E5, $AD:$AG, 2, false)), VALUE(VLOOKUP(E5, $AD:$AG, 4, false))), C5, """")),
        End_Level, IF(OR(D5 = """", NOT(ISBETWEEN(D5, VALU"&amp;"E(VLOOKUP(E5, $AD:$AG, 2, false)), VALUE(VLOOKUP(E5, $AD:$AG, 4, false)),0,1))),
            SWITCH($W$38,
                ""Max"", VLOOKUP(E5, $AD:$AG, 4, false),
                ""Target"", IF(VLOOKUP(E5, $AD:$AG, 3, false) &lt;&gt; """", VLOOKUP(E5, $AD:$AG,"&amp;" 3, false), VLOOKUP(E5, $AD:$AG, 4, false))),
            D5),
        SUM(OFFSET(DVT_Laboratory!$A$3, Start_Level , IF(ISNUMBER(SEARCH(""mastery"", E5)), MATCH(""Card Mastery"", DVT_Laboratory!$A$1:$MY$1, 0), MATCH(E5, DVT_Laboratory!$A$1:$MY$1, 0)), End"&amp;"_Level - Start_Level, 1)) * (1-LAB_COIN_DISCOUNT())), ""Levels Error!""))"),1.1033356E8)</f>
        <v>110333560</v>
      </c>
      <c r="I5" s="662">
        <f>IFERROR(__xludf.DUMMYFUNCTION("IFS(E5 = """", """", 
    VLOOKUP(E5, $AD:$AG, 2, false) = VLOOKUP(E5, $AD:$AG, 4, false), ""MAX Level"",
    AND(VLOOKUP(E5, $AD:$AG, 3, false) &lt;&gt; """", VLOOKUP(E5, $AD:$AG, 2, false) = VLOOKUP(E5, $AD:$AG, 3, false)), ""At Target"",
    TRUE,
    IFERRO"&amp;"R(LET(
        Labspeed, IF(E5=""Labs Speed"", 1+'Master Sheet'!$BK$5, LAB_SPEED_TOTAL()),
        Start_Level, IF(C5 = """",
            VLOOKUP(E5, $AD:$AG, 2, false),
            IF(ISBETWEEN(C5, VALUE(VLOOKUP(E5, $AD:$AG, 2, false)), VALUE(VLOOKUP(E5,"&amp;" $AD:$AG, 4, false))), C5, """")),
        End_Level, IF(OR(D5 = """", NOT(ISBETWEEN(D5, VALUE(VLOOKUP(E5, $AD:$AG, 2, false)), VALUE(VLOOKUP(E5, $AD:$AG, 4, false)),0,1))),
            SWITCH($W$38,
                ""Max"", VLOOKUP(E5, $AD:$AG, 4, false)"&amp;",
                ""Target"", IF(VLOOKUP(E5, $AD:$AG, 3, false) &lt;&gt; """", VLOOKUP(E5, $AD:$AG, 3, false), VLOOKUP(E5, $AD:$AG, 4, false))),
            D5),
        SUM(OFFSET(DVT_Laboratory!$A$3, Start_Level , IF(ISNUMBER(SEARCH(""mastery"", E5)), MATCH("&amp;"""Card Mastery"", DVT_Laboratory!$A$1:$MY$1, 0), MATCH(E5, DVT_Laboratory!$A$1:$MY$1, 0)) - 1, End_Level - Start_Level, 1)) /
                (1 * REGEXEXTRACT(F$2, ""[\d.-]+"")) /
                Labspeed), ""Levels Error!""))"),35.27339705296694)</f>
        <v>35.27339705</v>
      </c>
      <c r="J5" s="640" t="str">
        <f t="shared" ref="J5:J24" si="4">IF(M5 = "", "", {"Lab Levels", VLOOKUP(M5, $AD:$AG, 2, FALSE), IF(OR(VLOOKUP(M5, $AD:$AG, 3, FALSE) = "", $W$38 = "Max"), VLOOKUP(M5, $AD:$AG, 4, FALSE), VLOOKUP(M5, $AD:$AG, 3, FALSE))})</f>
        <v>#REF!</v>
      </c>
      <c r="K5" s="663"/>
      <c r="L5" s="664">
        <v>24.0</v>
      </c>
      <c r="M5" s="665" t="s">
        <v>187</v>
      </c>
      <c r="N5" s="666" t="str">
        <f>IFERROR(__xludf.DUMMYFUNCTION("IFERROR(IF(P5 = """", """",
    SWITCH($W$37,
        ""Total"", "" "" &amp; FORMAT_NUMBER(P5),
        ""Daily"", LET(Lab_name, IF(REGEXMATCH(M5, ""Mastery""), ""Card Mastery"", M5),
            Level, IF(ISBETWEEN(K5, VLOOKUP(M5, $AD:$AG, 2, FALSE), VLOOKUP"&amp;"(M5, $AD:$AG, 4, FALSE), TRUE, FALSE), K5, VLOOKUP(M5, $AD:$AG, 2, FALSE)),
            IF(LABCOST_SINGLE_ADJUSTED(Lab_name, Level + 1) = 0, ""0 (Max)"",
            "" "" &amp; FORMAT_NUMBER(            
                    LABCOST_SINGLE_ADJUSTED(Lab_name, "&amp;"Level + 1) / 
                    (LABDURATION_SINGLE_ADJUSTED(Lab_name, Level + 1) /
                    (1 * REGEXEXTRACT(N$2, ""[\d.-]+"")))))),
        ""Gem Rush"", LET(
            Labspeed, IF(M5=""Labs Speed"", 1+'Master Sheet'!$BK$5, LAB_SPEED_TO"&amp;"TAL()),
            Start_Level, IF(K5 = """",
                VLOOKUP(M5, $AD:$AG, 2, false),
                IF(ISBETWEEN(K5, VALUE(VLOOKUP(M5, $AD:$AG, 2, false)), VALUE(VLOOKUP(M5, $AD:$AG, 4, false))), K5, """")),
            End_Level, IF(OR(L5 = """&amp;""", NOT(ISBETWEEN(L5, VALUE(VLOOKUP(M5, $AD:$AG, 2, false)), VALUE(VLOOKUP(M5, $AD:$AG, 4, false)),0,1))),
                SWITCH($W$38,
                    ""Max"", VLOOKUP(M5, $AD:$AG, 4, false),
                    ""Target"", IF(VLOOKUP(M5, $AD:$AG, 3"&amp;", false) &lt;&gt; """", VLOOKUP(M5, $AD:$AG, 3, false), VLOOKUP(M5, $AD:$AG, 4, false))),
                    L5),
            SUM(ARRAYFORMULA(TIME_TO_RUSH_GEMS( OFFSET(DVT_Laboratory!$A$3, Start_Level , IF(ISNUMBER(SEARCH(""mastery"", M5)), MATCH(""Card Maste"&amp;"ry"", DVT_Laboratory!$A$1:$LO$1, 0), MATCH(M5, DVT_Laboratory!$A$1:$LO$1, 0)) - 1, End_Level - Start_Level, 1) / Labspeed, IDS_LAB_GODLBOXED_COUNT())))))))")," 625.48 B")</f>
        <v> 625.48 B</v>
      </c>
      <c r="O5" s="667" t="str">
        <f t="shared" ref="O5:O14" si="5">IFERROR(SWITCH(Q5,
"", "",
"MAX Level", "   MAX Level",
"At Target", "   At Target",
"Levels Error!", " Check Levels",
" " &amp; SWITCH($V$41, "Show Time", FORMAT_TIME(Q5), "Show Date", TEXT(NOW()+Q5,"dd/mm/yy hh:mm"), "Show Running Date", TEXT(NOW()+SUM(Q$5:Q5),"dd/mm/yy hh:mm"))),"")</f>
        <v> 12d  8h 11m</v>
      </c>
      <c r="P5" s="668">
        <f>IFERROR(__xludf.DUMMYFUNCTION("IFS(M5 = """", """", 
    VLOOKUP(M5, $AD:$AG, 2, false) = VLOOKUP(M5, $AD:$AG, 4, false), ""MAX Level"",
    AND(VLOOKUP(M5, $AD:$AG, 3, false) &lt;&gt; """", VLOOKUP(M5, $AD:$AG, 2, false) = VLOOKUP(M5, $AD:$AG, 3, false)), ""At Target"",
    TRUE,
    IFERRO"&amp;"R(LET(Start_Level, IF(K5 = """",
            VLOOKUP(M5, $AD:$AG, 2, false),
            IF(ISBETWEEN(K5, VALUE(VLOOKUP(M5, $AD:$AG, 2, false)), VALUE(VLOOKUP(M5, $AD:$AG, 4, false))), K5, """")),
        End_Level, IF(OR(L5 = """", NOT(ISBETWEEN(L5, VALU"&amp;"E(VLOOKUP(M5, $AD:$AG, 2, false)), VALUE(VLOOKUP(M5, $AD:$AG, 4, false)),0,1))),
            SWITCH($W$38,
                ""Max"", VLOOKUP(M5, $AD:$AG, 4, false),
                ""Target"", IF(VLOOKUP(M5, $AD:$AG, 3, false) &lt;&gt; """", VLOOKUP(M5, $AD:$AG,"&amp;" 3, false), VLOOKUP(M5, $AD:$AG, 4, false))),
            L5),
        SUM(OFFSET(DVT_Laboratory!$A$3, Start_Level , IF(ISNUMBER(SEARCH(""mastery"", M5)), MATCH(""Card Mastery"", DVT_Laboratory!$A$1:$MY$1, 0), MATCH(M5, DVT_Laboratory!$A$1:$MY$1, 0)), End"&amp;"_Level - Start_Level, 1)) * (1-LAB_COIN_DISCOUNT())), ""Levels Error!""))"),6.2548088E11)</f>
        <v>625480880000</v>
      </c>
      <c r="Q5" s="669">
        <f>IFERROR(__xludf.DUMMYFUNCTION("IFS(M5 = """", """", 
    VLOOKUP(M5, $AD:$AG, 2, false) = VLOOKUP(M5, $AD:$AG, 4, false), ""MAX Level"",
    AND(VLOOKUP(M5, $AD:$AG, 3, false) &lt;&gt; """", VLOOKUP(M5, $AD:$AG, 2, false) = VLOOKUP(M5, $AD:$AG, 3, false)), ""At Target"",
    TRUE,
    IFERRO"&amp;"R(LET(
        Labspeed, IF(M5=""Labs Speed"", 1+'Master Sheet'!$BK$5, LAB_SPEED_TOTAL()),
        Start_Level, IF(K5 = """",
            VLOOKUP(M5, $AD:$AG, 2, false),
            IF(ISBETWEEN(K5, VALUE(VLOOKUP(M5, $AD:$AG, 2, false)), VALUE(VLOOKUP(M5,"&amp;" $AD:$AG, 4, false))), K5, """")),
        End_Level, IF(OR(L5 = """", NOT(ISBETWEEN(L5, VALUE(VLOOKUP(M5, $AD:$AG, 2, false)), VALUE(VLOOKUP(M5, $AD:$AG, 4, false)),0,1))),
            SWITCH($W$38,
                ""Max"", VLOOKUP(M5, $AD:$AG, 4, false)"&amp;",
                ""Target"", IF(VLOOKUP(M5, $AD:$AG, 3, false) &lt;&gt; """", VLOOKUP(M5, $AD:$AG, 3, false), VLOOKUP(M5, $AD:$AG, 4, false))),
            L5),
        SUM(OFFSET(DVT_Laboratory!$A$3, Start_Level , IF(ISNUMBER(SEARCH(""mastery"", M5)), MATCH("&amp;"""Card Mastery"", DVT_Laboratory!$A$1:$MY$1, 0), MATCH(M5, DVT_Laboratory!$A$1:$MY$1, 0)) - 1, End_Level - Start_Level, 1)) /
                (1 * REGEXEXTRACT(N$2, ""[\d.-]+"")) /
                Labspeed), ""Levels Error!""))"),12.341607094269845)</f>
        <v>12.34160709</v>
      </c>
      <c r="R5" s="642" t="str">
        <f t="shared" ref="R5:R24" si="6">IF(U5 = "", "", {"Lab Levels", VLOOKUP(U5, $AD:$AG, 2, FALSE), IF(OR(VLOOKUP(U5, $AD:$AG, 3, FALSE) = "", $W$38 = "Max"), VLOOKUP(U5, $AD:$AG, 4, FALSE), VLOOKUP(U5, $AD:$AG, 3, FALSE))})</f>
        <v>Lab Levels</v>
      </c>
      <c r="S5" s="670">
        <v>12.0</v>
      </c>
      <c r="T5" s="671">
        <v>20.0</v>
      </c>
      <c r="U5" s="672" t="s">
        <v>245</v>
      </c>
      <c r="V5" s="673" t="str">
        <f>IFERROR(__xludf.DUMMYFUNCTION("IFERROR(IF(X5 = """", """",
    SWITCH($W$37,
        ""Total"", "" "" &amp; FORMAT_NUMBER(X5),
        ""Daily"", LET(Lab_name, IF(REGEXMATCH(U5, ""Mastery""), ""Card Mastery"", U5),
            Level, IF(ISBETWEEN(S5, VLOOKUP(U5, $AD:$AG, 2, FALSE), VLOOKUP"&amp;"(U5, $AD:$AG, 4, FALSE), TRUE, FALSE), S5, VLOOKUP(U5, $AD:$AG, 2, FALSE)),
            IF(LABCOST_SINGLE_ADJUSTED(Lab_name, Level + 1) = 0, ""0 (Max)"",
            "" "" &amp; FORMAT_NUMBER(            
                    LABCOST_SINGLE_ADJUSTED(Lab_name, "&amp;"Level + 1) / 
                    (LABDURATION_SINGLE_ADJUSTED(Lab_name, Level + 1) /
                    (1 * REGEXEXTRACT(V$2, ""[\d.-]+"")))))),
        ""Gem Rush"", LET(
            Labspeed, IF(U5=""Labs Speed"", 1+'Master Sheet'!$BK$5, LAB_SPEED_TO"&amp;"TAL()),
            Start_Level, IF(S5 = """",
                VLOOKUP(U5, $AD:$AG, 2, false),
                IF(ISBETWEEN(S5, VALUE(VLOOKUP(U5, $AD:$AG, 2, false)), VALUE(VLOOKUP(U5, $AD:$AG, 4, false))), S5, """")),
            End_Level, IF(OR(T5 = """&amp;""", NOT(ISBETWEEN(T5, VALUE(VLOOKUP(U5, $AD:$AG, 2, false)), VALUE(VLOOKUP(U5, $AD:$AG, 4, false)),0,1))),
                SWITCH($W$38,
                    ""Max"", VLOOKUP(U5, $AD:$AG, 4, false),
                    ""Target"", IF(VLOOKUP(U5, $AD:$AG, 3"&amp;", false) &lt;&gt; """", VLOOKUP(U5, $AD:$AG, 3, false), VLOOKUP(U5, $AD:$AG, 4, false))),
                    T5),
            SUM(ARRAYFORMULA(TIME_TO_RUSH_GEMS( OFFSET(DVT_Laboratory!$A$3, Start_Level , IF(ISNUMBER(SEARCH(""mastery"", U5)), MATCH(""Card Maste"&amp;"ry"", DVT_Laboratory!$A$1:$LO$1, 0), MATCH(U5, DVT_Laboratory!$A$1:$LO$1, 0)) - 1, End_Level - Start_Level, 1) / Labspeed, IDS_LAB_GODLBOXED_COUNT())))))))")," 508.72 T")</f>
        <v> 508.72 T</v>
      </c>
      <c r="W5" s="674" t="str">
        <f t="shared" ref="W5:W14" si="7">IFERROR(SWITCH(Y5,
"", "",
"MAX Level", "   MAX Level",
"At Target", "   At Target",
"Levels Error!", " Check Levels",
" " &amp; SWITCH($V$41, "Show Time", FORMAT_TIME(Y5), "Show Date", TEXT(NOW()+Y5,"dd/mm/yy hh:mm"), "Show Running Date", TEXT(NOW()+SUM(Y$5:Y5),"dd/mm/yy hh:mm"))),"")</f>
        <v> 38d 21h 26m</v>
      </c>
      <c r="X5" s="675">
        <f>IFERROR(__xludf.DUMMYFUNCTION("IFS(U5 = """", """", 
    VLOOKUP(U5, $AD:$AG, 2, false) = VLOOKUP(U5, $AD:$AG, 4, false), ""MAX Level"",
    AND(VLOOKUP(U5, $AD:$AG, 3, false) &lt;&gt; """", VLOOKUP(U5, $AD:$AG, 2, false) = VLOOKUP(U5, $AD:$AG, 3, false)), ""At Target"",
    TRUE,
    IFERRO"&amp;"R(LET(Start_Level, IF(S5 = """",
            VLOOKUP(U5, $AD:$AG, 2, false),
            IF(ISBETWEEN(S5, VALUE(VLOOKUP(U5, $AD:$AG, 2, false)), VALUE(VLOOKUP(U5, $AD:$AG, 4, false))), S5, """")),
        End_Level, IF(OR(T5 = """", NOT(ISBETWEEN(T5, VALU"&amp;"E(VLOOKUP(U5, $AD:$AG, 2, false)), VALUE(VLOOKUP(U5, $AD:$AG, 4, false)),0,1))),
            SWITCH($W$38,
                ""Max"", VLOOKUP(U5, $AD:$AG, 4, false),
                ""Target"", IF(VLOOKUP(U5, $AD:$AG, 3, false) &lt;&gt; """", VLOOKUP(U5, $AD:$AG,"&amp;" 3, false), VLOOKUP(U5, $AD:$AG, 4, false))),
            T5),
        SUM(OFFSET(DVT_Laboratory!$A$3, Start_Level , IF(ISNUMBER(SEARCH(""mastery"", U5)), MATCH(""Card Mastery"", DVT_Laboratory!$A$1:$MY$1, 0), MATCH(U5, DVT_Laboratory!$A$1:$MY$1, 0)), End"&amp;"_Level - Start_Level, 1)) * (1-LAB_COIN_DISCOUNT())), ""Levels Error!""))"),5.0871564E14)</f>
        <v>508715640000000</v>
      </c>
      <c r="Y5" s="676">
        <f>IFERROR(__xludf.DUMMYFUNCTION("IFS(U5 = """", """", 
    VLOOKUP(U5, $AD:$AG, 2, false) = VLOOKUP(U5, $AD:$AG, 4, false), ""MAX Level"",
    AND(VLOOKUP(U5, $AD:$AG, 3, false) &lt;&gt; """", VLOOKUP(U5, $AD:$AG, 2, false) = VLOOKUP(U5, $AD:$AG, 3, false)), ""At Target"",
    TRUE,
    IFERRO"&amp;"R(LET(
        Labspeed, IF(U5=""Labs Speed"", 1+'Master Sheet'!$BK$5, LAB_SPEED_TOTAL()),
        Start_Level, IF(S5 = """",
            VLOOKUP(U5, $AD:$AG, 2, false),
            IF(ISBETWEEN(S5, VALUE(VLOOKUP(U5, $AD:$AG, 2, false)), VALUE(VLOOKUP(U5,"&amp;" $AD:$AG, 4, false))), S5, """")),
        End_Level, IF(OR(T5 = """", NOT(ISBETWEEN(T5, VALUE(VLOOKUP(U5, $AD:$AG, 2, false)), VALUE(VLOOKUP(U5, $AD:$AG, 4, false)),0,1))),
            SWITCH($W$38,
                ""Max"", VLOOKUP(U5, $AD:$AG, 4, false)"&amp;",
                ""Target"", IF(VLOOKUP(U5, $AD:$AG, 3, false) &lt;&gt; """", VLOOKUP(U5, $AD:$AG, 3, false), VLOOKUP(U5, $AD:$AG, 4, false))),
            T5),
        SUM(OFFSET(DVT_Laboratory!$A$3, Start_Level , IF(ISNUMBER(SEARCH(""mastery"", U5)), MATCH("&amp;"""Card Mastery"", DVT_Laboratory!$A$1:$MY$1, 0), MATCH(U5, DVT_Laboratory!$A$1:$MY$1, 0)) - 1, End_Level - Start_Level, 1)) /
                (1 * REGEXEXTRACT(V$2, ""[\d.-]+"")) /
                Labspeed), ""Levels Error!""))"),38.893697076833554)</f>
        <v>38.89369708</v>
      </c>
      <c r="Z5" s="598"/>
      <c r="AA5" s="644" t="s">
        <v>419</v>
      </c>
      <c r="AB5" s="677" t="s">
        <v>420</v>
      </c>
      <c r="AC5" s="613" t="str">
        <f>IFERROR(__xludf.DUMMYFUNCTION("""COMPUTED_VALUE"""),"Armor Effect Bans")</f>
        <v>Armor Effect Bans</v>
      </c>
      <c r="AD5" s="655" t="s">
        <v>276</v>
      </c>
      <c r="AE5" s="613">
        <v>2.0</v>
      </c>
      <c r="AF5" s="613"/>
      <c r="AG5" s="613">
        <v>4.0</v>
      </c>
      <c r="AH5" s="634" t="str">
        <f t="shared" si="1"/>
        <v/>
      </c>
      <c r="AI5" s="613"/>
      <c r="AJ5" s="613"/>
      <c r="AK5" s="613"/>
      <c r="AL5" s="613"/>
      <c r="AM5" s="613"/>
      <c r="AN5" s="613"/>
      <c r="AO5" s="613"/>
      <c r="AP5" s="613"/>
      <c r="AQ5" s="613"/>
      <c r="AR5" s="613"/>
      <c r="AS5" s="613"/>
      <c r="AT5" s="613"/>
      <c r="AU5" s="613"/>
      <c r="AV5" s="613"/>
      <c r="AW5" s="613"/>
      <c r="AX5" s="613"/>
      <c r="AY5" s="613"/>
      <c r="AZ5" s="613"/>
      <c r="BA5" s="613"/>
      <c r="BB5" s="613"/>
      <c r="BC5" s="613"/>
      <c r="BD5" s="613"/>
      <c r="BE5" s="613"/>
      <c r="BF5" s="613"/>
      <c r="BG5" s="613"/>
      <c r="BH5" s="613"/>
      <c r="BI5" s="613"/>
      <c r="BJ5" s="613"/>
      <c r="BK5" s="613"/>
      <c r="BL5" s="613"/>
      <c r="BM5" s="613"/>
      <c r="BN5" s="613"/>
      <c r="BO5" s="613"/>
      <c r="BP5" s="613"/>
      <c r="BQ5" s="613"/>
      <c r="BR5" s="613"/>
      <c r="BS5" s="613"/>
      <c r="BT5" s="613"/>
      <c r="BU5" s="613"/>
      <c r="BV5" s="613"/>
      <c r="BW5" s="613"/>
      <c r="BX5" s="613"/>
      <c r="BY5" s="613"/>
      <c r="BZ5" s="613"/>
      <c r="CA5" s="613"/>
      <c r="CB5" s="613"/>
      <c r="CC5" s="613"/>
      <c r="CD5" s="613"/>
      <c r="CE5" s="613"/>
      <c r="CF5" s="613"/>
      <c r="CG5" s="613"/>
      <c r="CH5" s="613"/>
      <c r="CI5" s="613"/>
      <c r="CJ5" s="613"/>
      <c r="CK5" s="613"/>
      <c r="CL5" s="613"/>
      <c r="CM5" s="613"/>
      <c r="CN5" s="613"/>
      <c r="CO5" s="613"/>
      <c r="CP5" s="613"/>
      <c r="CQ5" s="613"/>
      <c r="CR5" s="613"/>
      <c r="CS5" s="613"/>
      <c r="CT5" s="613"/>
      <c r="CU5" s="613"/>
      <c r="CV5" s="613"/>
      <c r="CW5" s="613"/>
      <c r="CX5" s="613"/>
      <c r="CY5" s="613"/>
      <c r="CZ5" s="613"/>
      <c r="DA5" s="613"/>
      <c r="DB5" s="613"/>
      <c r="DC5" s="613"/>
      <c r="DD5" s="613"/>
      <c r="DE5" s="613"/>
      <c r="DF5" s="613"/>
      <c r="DG5" s="613"/>
      <c r="DH5" s="613"/>
      <c r="DI5" s="613"/>
      <c r="DJ5" s="613"/>
      <c r="DK5" s="613"/>
      <c r="DL5" s="613"/>
      <c r="DM5" s="613"/>
      <c r="DN5" s="613"/>
      <c r="DO5" s="613"/>
      <c r="DP5" s="613"/>
      <c r="DQ5" s="613"/>
      <c r="DR5" s="613"/>
      <c r="DS5" s="613"/>
      <c r="DT5" s="613"/>
      <c r="DU5" s="613"/>
      <c r="DV5" s="613"/>
      <c r="DW5" s="613"/>
      <c r="DX5" s="613"/>
      <c r="DY5" s="613"/>
      <c r="DZ5" s="613"/>
      <c r="EA5" s="613"/>
      <c r="EB5" s="613"/>
      <c r="EC5" s="613"/>
      <c r="ED5" s="613"/>
      <c r="EE5" s="613"/>
      <c r="EF5" s="613"/>
      <c r="EG5" s="613"/>
      <c r="EH5" s="613"/>
      <c r="EI5" s="613"/>
      <c r="EJ5" s="613"/>
      <c r="EK5" s="613"/>
      <c r="EL5" s="613"/>
      <c r="EM5" s="613"/>
      <c r="EN5" s="613"/>
      <c r="EO5" s="613"/>
      <c r="EP5" s="613"/>
      <c r="EQ5" s="613"/>
      <c r="ER5" s="613"/>
      <c r="ES5" s="613"/>
      <c r="ET5" s="613"/>
      <c r="EU5" s="613"/>
      <c r="EV5" s="613"/>
      <c r="EW5" s="613"/>
      <c r="EX5" s="613"/>
      <c r="EY5" s="613"/>
      <c r="EZ5" s="613"/>
      <c r="FA5" s="613"/>
      <c r="FB5" s="613"/>
      <c r="FC5" s="613"/>
      <c r="FD5" s="613"/>
      <c r="FE5" s="613"/>
      <c r="FF5" s="613"/>
      <c r="FG5" s="613"/>
      <c r="FH5" s="613"/>
      <c r="FI5" s="613"/>
      <c r="FJ5" s="613"/>
      <c r="FK5" s="613"/>
      <c r="FL5" s="613"/>
      <c r="FM5" s="613"/>
      <c r="FN5" s="613"/>
      <c r="FO5" s="613"/>
      <c r="FP5" s="613"/>
      <c r="FQ5" s="613"/>
      <c r="FR5" s="613"/>
      <c r="FS5" s="613"/>
      <c r="FT5" s="613"/>
      <c r="FU5" s="613"/>
      <c r="FV5" s="613"/>
      <c r="FW5" s="613"/>
      <c r="FX5" s="613"/>
      <c r="FY5" s="613"/>
      <c r="FZ5" s="613"/>
      <c r="GA5" s="613"/>
      <c r="GB5" s="613"/>
      <c r="GC5" s="613"/>
      <c r="GD5" s="613"/>
      <c r="GE5" s="613"/>
      <c r="GF5" s="613"/>
      <c r="GG5" s="613"/>
      <c r="GH5" s="613"/>
      <c r="GI5" s="613"/>
      <c r="GJ5" s="613"/>
      <c r="GK5" s="613"/>
      <c r="GL5" s="613"/>
      <c r="GM5" s="613"/>
      <c r="GN5" s="613"/>
      <c r="GO5" s="613"/>
      <c r="GP5" s="613"/>
      <c r="GQ5" s="613"/>
      <c r="GR5" s="613"/>
      <c r="GS5" s="613"/>
      <c r="GT5" s="613"/>
      <c r="GU5" s="613"/>
      <c r="GV5" s="613"/>
      <c r="GW5" s="613"/>
      <c r="GX5" s="613"/>
      <c r="GY5" s="613"/>
      <c r="GZ5" s="613"/>
      <c r="HA5" s="613"/>
      <c r="HB5" s="613"/>
      <c r="HC5" s="613"/>
      <c r="HD5" s="613"/>
      <c r="HE5" s="613"/>
      <c r="HF5" s="613"/>
      <c r="HG5" s="613"/>
      <c r="HH5" s="613"/>
      <c r="HI5" s="613"/>
      <c r="HJ5" s="613"/>
      <c r="HK5" s="613"/>
      <c r="HL5" s="613"/>
      <c r="HM5" s="613"/>
      <c r="HN5" s="613"/>
      <c r="HO5" s="613"/>
      <c r="HP5" s="613"/>
      <c r="HQ5" s="613"/>
      <c r="HR5" s="613"/>
      <c r="HS5" s="613"/>
      <c r="HT5" s="613"/>
      <c r="HU5" s="613"/>
      <c r="HV5" s="613"/>
      <c r="HW5" s="613"/>
      <c r="HX5" s="613"/>
      <c r="HY5" s="613"/>
      <c r="HZ5" s="613"/>
      <c r="IA5" s="613"/>
      <c r="IB5" s="613"/>
      <c r="IC5" s="613"/>
      <c r="ID5" s="613"/>
      <c r="IE5" s="613"/>
      <c r="IF5" s="613"/>
      <c r="IG5" s="613"/>
      <c r="IH5" s="613"/>
    </row>
    <row r="6">
      <c r="A6" s="598"/>
      <c r="B6" s="614" t="str">
        <f t="shared" si="2"/>
        <v/>
      </c>
      <c r="C6" s="678"/>
      <c r="D6" s="679"/>
      <c r="E6" s="680"/>
      <c r="F6" s="659" t="str">
        <f>IFERROR(__xludf.DUMMYFUNCTION("IFERROR(IF(H6 = """", """",
    SWITCH($W$37,
        ""Total"", "" "" &amp; FORMAT_NUMBER(H6),
        ""Daily"", LET(Lab_name, IF(REGEXMATCH(E6, ""Mastery""), ""Card Mastery"", E6),
            Level, IF(ISBETWEEN(C6, VLOOKUP(E6, $AD:$AG, 2, FALSE), VLOOKUP"&amp;"(E6, $AD:$AG, 4, FALSE), TRUE, FALSE), C6, VLOOKUP(E6, $AD:$AG, 2, FALSE)),
            IF(LABCOST_SINGLE_ADJUSTED(Lab_name, Level + 1) = 0, ""0 (Max)"",
            "" "" &amp; FORMAT_NUMBER(            
                    LABCOST_SINGLE_ADJUSTED(Lab_name, "&amp;"Level + 1) / 
                    (LABDURATION_SINGLE_ADJUSTED(Lab_name, Level + 1) /
                    (1 * REGEXEXTRACT(F$2, ""[\d.-]+"")))))),
        ""Gem Rush"", LET(
            Labspeed, IF(E6=""Labs Speed"", 1+'Master Sheet'!$BK$5, LAB_SPEED_TO"&amp;"TAL()),
            Start_Level, IF(C6 = """",
                VLOOKUP(E6, $AD:$AG, 2, false),
                IF(ISBETWEEN(C6, VALUE(VLOOKUP(E6, $AD:$AG, 2, false)), VALUE(VLOOKUP(E6, $AD:$AG, 4, false))), C6, """")),
            End_Level, IF(OR(D6 = """&amp;""", NOT(ISBETWEEN(D6, VALUE(VLOOKUP(E6, $AD:$AG, 2, false)), VALUE(VLOOKUP(E6, $AD:$AG, 4, false)),0,1))),
                SWITCH($W$38,
                    ""Max"", VLOOKUP(E6, $AD:$AG, 4, false),
                    ""Target"", IF(VLOOKUP(E6, $AD:$AG, 3"&amp;", false) &lt;&gt; """", VLOOKUP(E6, $AD:$AG, 3, false), VLOOKUP(E6, $AD:$AG, 4, false))),
                    D6),
            SUM(ARRAYFORMULA(TIME_TO_RUSH_GEMS( OFFSET(DVT_Laboratory!$A$3, Start_Level , IF(ISNUMBER(SEARCH(""mastery"", E6)), MATCH(""Card Maste"&amp;"ry"", DVT_Laboratory!$A$1:$LO$1, 0), MATCH(E6, DVT_Laboratory!$A$1:$LO$1, 0)) - 1, End_Level - Start_Level, 1) / Labspeed, IDS_LAB_GODLBOXED_COUNT())))))))"),"")</f>
        <v/>
      </c>
      <c r="G6" s="660" t="str">
        <f t="shared" si="3"/>
        <v/>
      </c>
      <c r="H6" s="620" t="str">
        <f>IFERROR(__xludf.DUMMYFUNCTION("IFS(E6 = """", """", 
    VLOOKUP(E6, $AD:$AG, 2, false) = VLOOKUP(E6, $AD:$AG, 4, false), ""MAX Level"",
    AND(VLOOKUP(E6, $AD:$AG, 3, false) &lt;&gt; """", VLOOKUP(E6, $AD:$AG, 2, false) = VLOOKUP(E6, $AD:$AG, 3, false)), ""At Target"",
    TRUE,
    IFERRO"&amp;"R(LET(Start_Level, IF(C6 = """",
            VLOOKUP(E6, $AD:$AG, 2, false),
            IF(ISBETWEEN(C6, VALUE(VLOOKUP(E6, $AD:$AG, 2, false)), VALUE(VLOOKUP(E6, $AD:$AG, 4, false))), C6, """")),
        End_Level, IF(OR(D6 = """", NOT(ISBETWEEN(D6, VALU"&amp;"E(VLOOKUP(E6, $AD:$AG, 2, false)), VALUE(VLOOKUP(E6, $AD:$AG, 4, false)),0,1))),
            SWITCH($W$38,
                ""Max"", VLOOKUP(E6, $AD:$AG, 4, false),
                ""Target"", IF(VLOOKUP(E6, $AD:$AG, 3, false) &lt;&gt; """", VLOOKUP(E6, $AD:$AG,"&amp;" 3, false), VLOOKUP(E6, $AD:$AG, 4, false))),
            D6),
        SUM(OFFSET(DVT_Laboratory!$A$3, Start_Level , IF(ISNUMBER(SEARCH(""mastery"", E6)), MATCH(""Card Mastery"", DVT_Laboratory!$A$1:$MY$1, 0), MATCH(E6, DVT_Laboratory!$A$1:$MY$1, 0)), End"&amp;"_Level - Start_Level, 1)) * (1-LAB_COIN_DISCOUNT())), ""Levels Error!""))"),"")</f>
        <v/>
      </c>
      <c r="I6" s="621" t="str">
        <f>IFERROR(__xludf.DUMMYFUNCTION("IFS(E6 = """", """", 
    VLOOKUP(E6, $AD:$AG, 2, false) = VLOOKUP(E6, $AD:$AG, 4, false), ""MAX Level"",
    AND(VLOOKUP(E6, $AD:$AG, 3, false) &lt;&gt; """", VLOOKUP(E6, $AD:$AG, 2, false) = VLOOKUP(E6, $AD:$AG, 3, false)), ""At Target"",
    TRUE,
    IFERRO"&amp;"R(LET(
        Labspeed, IF(E6=""Labs Speed"", 1+'Master Sheet'!$BK$5, LAB_SPEED_TOTAL()),
        Start_Level, IF(C6 = """",
            VLOOKUP(E6, $AD:$AG, 2, false),
            IF(ISBETWEEN(C6, VALUE(VLOOKUP(E6, $AD:$AG, 2, false)), VALUE(VLOOKUP(E6,"&amp;" $AD:$AG, 4, false))), C6, """")),
        End_Level, IF(OR(D6 = """", NOT(ISBETWEEN(D6, VALUE(VLOOKUP(E6, $AD:$AG, 2, false)), VALUE(VLOOKUP(E6, $AD:$AG, 4, false)),0,1))),
            SWITCH($W$38,
                ""Max"", VLOOKUP(E6, $AD:$AG, 4, false)"&amp;",
                ""Target"", IF(VLOOKUP(E6, $AD:$AG, 3, false) &lt;&gt; """", VLOOKUP(E6, $AD:$AG, 3, false), VLOOKUP(E6, $AD:$AG, 4, false))),
            D6),
        SUM(OFFSET(DVT_Laboratory!$A$3, Start_Level , IF(ISNUMBER(SEARCH(""mastery"", E6)), MATCH("&amp;"""Card Mastery"", DVT_Laboratory!$A$1:$MY$1, 0), MATCH(E6, DVT_Laboratory!$A$1:$MY$1, 0)) - 1, End_Level - Start_Level, 1)) /
                (1 * REGEXEXTRACT(F$2, ""[\d.-]+"")) /
                Labspeed), ""Levels Error!""))"),"")</f>
        <v/>
      </c>
      <c r="J6" s="640" t="str">
        <f t="shared" si="4"/>
        <v/>
      </c>
      <c r="K6" s="681"/>
      <c r="L6" s="682"/>
      <c r="M6" s="683"/>
      <c r="N6" s="684" t="str">
        <f>IFERROR(__xludf.DUMMYFUNCTION("IFERROR(IF(P6 = """", """",
    SWITCH($W$37,
        ""Total"", "" "" &amp; FORMAT_NUMBER(P6),
        ""Daily"", LET(Lab_name, IF(REGEXMATCH(M6, ""Mastery""), ""Card Mastery"", M6),
            Level, IF(ISBETWEEN(K6, VLOOKUP(M6, $AD:$AG, 2, FALSE), VLOOKUP"&amp;"(M6, $AD:$AG, 4, FALSE), TRUE, FALSE), K6, VLOOKUP(M6, $AD:$AG, 2, FALSE)),
            IF(LABCOST_SINGLE_ADJUSTED(Lab_name, Level + 1) = 0, ""0 (Max)"",
            "" "" &amp; FORMAT_NUMBER(            
                    LABCOST_SINGLE_ADJUSTED(Lab_name, "&amp;"Level + 1) / 
                    (LABDURATION_SINGLE_ADJUSTED(Lab_name, Level + 1) /
                    (1 * REGEXEXTRACT(N$2, ""[\d.-]+"")))))),
        ""Gem Rush"", LET(
            Labspeed, IF(M6=""Labs Speed"", 1+'Master Sheet'!$BK$5, LAB_SPEED_TO"&amp;"TAL()),
            Start_Level, IF(K6 = """",
                VLOOKUP(M6, $AD:$AG, 2, false),
                IF(ISBETWEEN(K6, VALUE(VLOOKUP(M6, $AD:$AG, 2, false)), VALUE(VLOOKUP(M6, $AD:$AG, 4, false))), K6, """")),
            End_Level, IF(OR(L6 = """&amp;""", NOT(ISBETWEEN(L6, VALUE(VLOOKUP(M6, $AD:$AG, 2, false)), VALUE(VLOOKUP(M6, $AD:$AG, 4, false)),0,1))),
                SWITCH($W$38,
                    ""Max"", VLOOKUP(M6, $AD:$AG, 4, false),
                    ""Target"", IF(VLOOKUP(M6, $AD:$AG, 3"&amp;", false) &lt;&gt; """", VLOOKUP(M6, $AD:$AG, 3, false), VLOOKUP(M6, $AD:$AG, 4, false))),
                    L6),
            SUM(ARRAYFORMULA(TIME_TO_RUSH_GEMS( OFFSET(DVT_Laboratory!$A$3, Start_Level , IF(ISNUMBER(SEARCH(""mastery"", M6)), MATCH(""Card Maste"&amp;"ry"", DVT_Laboratory!$A$1:$LO$1, 0), MATCH(M6, DVT_Laboratory!$A$1:$LO$1, 0)) - 1, End_Level - Start_Level, 1) / Labspeed, IDS_LAB_GODLBOXED_COUNT())))))))"),"")</f>
        <v/>
      </c>
      <c r="O6" s="685" t="str">
        <f t="shared" si="5"/>
        <v/>
      </c>
      <c r="P6" s="668" t="str">
        <f>IFERROR(__xludf.DUMMYFUNCTION("IFS(M6 = """", """", 
    VLOOKUP(M6, $AD:$AG, 2, false) = VLOOKUP(M6, $AD:$AG, 4, false), ""MAX Level"",
    AND(VLOOKUP(M6, $AD:$AG, 3, false) &lt;&gt; """", VLOOKUP(M6, $AD:$AG, 2, false) = VLOOKUP(M6, $AD:$AG, 3, false)), ""At Target"",
    TRUE,
    IFERRO"&amp;"R(LET(Start_Level, IF(K6 = """",
            VLOOKUP(M6, $AD:$AG, 2, false),
            IF(ISBETWEEN(K6, VALUE(VLOOKUP(M6, $AD:$AG, 2, false)), VALUE(VLOOKUP(M6, $AD:$AG, 4, false))), K6, """")),
        End_Level, IF(OR(L6 = """", NOT(ISBETWEEN(L6, VALU"&amp;"E(VLOOKUP(M6, $AD:$AG, 2, false)), VALUE(VLOOKUP(M6, $AD:$AG, 4, false)),0,1))),
            SWITCH($W$38,
                ""Max"", VLOOKUP(M6, $AD:$AG, 4, false),
                ""Target"", IF(VLOOKUP(M6, $AD:$AG, 3, false) &lt;&gt; """", VLOOKUP(M6, $AD:$AG,"&amp;" 3, false), VLOOKUP(M6, $AD:$AG, 4, false))),
            L6),
        SUM(OFFSET(DVT_Laboratory!$A$3, Start_Level , IF(ISNUMBER(SEARCH(""mastery"", M6)), MATCH(""Card Mastery"", DVT_Laboratory!$A$1:$MY$1, 0), MATCH(M6, DVT_Laboratory!$A$1:$MY$1, 0)), End"&amp;"_Level - Start_Level, 1)) * (1-LAB_COIN_DISCOUNT())), ""Levels Error!""))"),"")</f>
        <v/>
      </c>
      <c r="Q6" s="669" t="str">
        <f>IFERROR(__xludf.DUMMYFUNCTION("IFS(M6 = """", """", 
    VLOOKUP(M6, $AD:$AG, 2, false) = VLOOKUP(M6, $AD:$AG, 4, false), ""MAX Level"",
    AND(VLOOKUP(M6, $AD:$AG, 3, false) &lt;&gt; """", VLOOKUP(M6, $AD:$AG, 2, false) = VLOOKUP(M6, $AD:$AG, 3, false)), ""At Target"",
    TRUE,
    IFERRO"&amp;"R(LET(
        Labspeed, IF(M6=""Labs Speed"", 1+'Master Sheet'!$BK$5, LAB_SPEED_TOTAL()),
        Start_Level, IF(K6 = """",
            VLOOKUP(M6, $AD:$AG, 2, false),
            IF(ISBETWEEN(K6, VALUE(VLOOKUP(M6, $AD:$AG, 2, false)), VALUE(VLOOKUP(M6,"&amp;" $AD:$AG, 4, false))), K6, """")),
        End_Level, IF(OR(L6 = """", NOT(ISBETWEEN(L6, VALUE(VLOOKUP(M6, $AD:$AG, 2, false)), VALUE(VLOOKUP(M6, $AD:$AG, 4, false)),0,1))),
            SWITCH($W$38,
                ""Max"", VLOOKUP(M6, $AD:$AG, 4, false)"&amp;",
                ""Target"", IF(VLOOKUP(M6, $AD:$AG, 3, false) &lt;&gt; """", VLOOKUP(M6, $AD:$AG, 3, false), VLOOKUP(M6, $AD:$AG, 4, false))),
            L6),
        SUM(OFFSET(DVT_Laboratory!$A$3, Start_Level , IF(ISNUMBER(SEARCH(""mastery"", M6)), MATCH("&amp;"""Card Mastery"", DVT_Laboratory!$A$1:$MY$1, 0), MATCH(M6, DVT_Laboratory!$A$1:$MY$1, 0)) - 1, End_Level - Start_Level, 1)) /
                (1 * REGEXEXTRACT(N$2, ""[\d.-]+"")) /
                Labspeed), ""Levels Error!""))"),"")</f>
        <v/>
      </c>
      <c r="R6" s="642" t="str">
        <f t="shared" si="6"/>
        <v/>
      </c>
      <c r="S6" s="686"/>
      <c r="T6" s="687"/>
      <c r="U6" s="688"/>
      <c r="V6" s="689" t="str">
        <f>IFERROR(__xludf.DUMMYFUNCTION("IFERROR(IF(X6 = """", """",
    SWITCH($W$37,
        ""Total"", "" "" &amp; FORMAT_NUMBER(X6),
        ""Daily"", LET(Lab_name, IF(REGEXMATCH(U6, ""Mastery""), ""Card Mastery"", U6),
            Level, IF(ISBETWEEN(S6, VLOOKUP(U6, $AD:$AG, 2, FALSE), VLOOKUP"&amp;"(U6, $AD:$AG, 4, FALSE), TRUE, FALSE), S6, VLOOKUP(U6, $AD:$AG, 2, FALSE)),
            IF(LABCOST_SINGLE_ADJUSTED(Lab_name, Level + 1) = 0, ""0 (Max)"",
            "" "" &amp; FORMAT_NUMBER(            
                    LABCOST_SINGLE_ADJUSTED(Lab_name, "&amp;"Level + 1) / 
                    (LABDURATION_SINGLE_ADJUSTED(Lab_name, Level + 1) /
                    (1 * REGEXEXTRACT(V$2, ""[\d.-]+"")))))),
        ""Gem Rush"", LET(
            Labspeed, IF(U6=""Labs Speed"", 1+'Master Sheet'!$BK$5, LAB_SPEED_TO"&amp;"TAL()),
            Start_Level, IF(S6 = """",
                VLOOKUP(U6, $AD:$AG, 2, false),
                IF(ISBETWEEN(S6, VALUE(VLOOKUP(U6, $AD:$AG, 2, false)), VALUE(VLOOKUP(U6, $AD:$AG, 4, false))), S6, """")),
            End_Level, IF(OR(T6 = """&amp;""", NOT(ISBETWEEN(T6, VALUE(VLOOKUP(U6, $AD:$AG, 2, false)), VALUE(VLOOKUP(U6, $AD:$AG, 4, false)),0,1))),
                SWITCH($W$38,
                    ""Max"", VLOOKUP(U6, $AD:$AG, 4, false),
                    ""Target"", IF(VLOOKUP(U6, $AD:$AG, 3"&amp;", false) &lt;&gt; """", VLOOKUP(U6, $AD:$AG, 3, false), VLOOKUP(U6, $AD:$AG, 4, false))),
                    T6),
            SUM(ARRAYFORMULA(TIME_TO_RUSH_GEMS( OFFSET(DVT_Laboratory!$A$3, Start_Level , IF(ISNUMBER(SEARCH(""mastery"", U6)), MATCH(""Card Maste"&amp;"ry"", DVT_Laboratory!$A$1:$LO$1, 0), MATCH(U6, DVT_Laboratory!$A$1:$LO$1, 0)) - 1, End_Level - Start_Level, 1) / Labspeed, IDS_LAB_GODLBOXED_COUNT())))))))"),"")</f>
        <v/>
      </c>
      <c r="W6" s="690" t="str">
        <f t="shared" si="7"/>
        <v/>
      </c>
      <c r="X6" s="630" t="str">
        <f>IFERROR(__xludf.DUMMYFUNCTION("IFS(U6 = """", """", 
    VLOOKUP(U6, $AD:$AG, 2, false) = VLOOKUP(U6, $AD:$AG, 4, false), ""MAX Level"",
    AND(VLOOKUP(U6, $AD:$AG, 3, false) &lt;&gt; """", VLOOKUP(U6, $AD:$AG, 2, false) = VLOOKUP(U6, $AD:$AG, 3, false)), ""At Target"",
    TRUE,
    IFERRO"&amp;"R(LET(Start_Level, IF(S6 = """",
            VLOOKUP(U6, $AD:$AG, 2, false),
            IF(ISBETWEEN(S6, VALUE(VLOOKUP(U6, $AD:$AG, 2, false)), VALUE(VLOOKUP(U6, $AD:$AG, 4, false))), S6, """")),
        End_Level, IF(OR(T6 = """", NOT(ISBETWEEN(T6, VALU"&amp;"E(VLOOKUP(U6, $AD:$AG, 2, false)), VALUE(VLOOKUP(U6, $AD:$AG, 4, false)),0,1))),
            SWITCH($W$38,
                ""Max"", VLOOKUP(U6, $AD:$AG, 4, false),
                ""Target"", IF(VLOOKUP(U6, $AD:$AG, 3, false) &lt;&gt; """", VLOOKUP(U6, $AD:$AG,"&amp;" 3, false), VLOOKUP(U6, $AD:$AG, 4, false))),
            T6),
        SUM(OFFSET(DVT_Laboratory!$A$3, Start_Level , IF(ISNUMBER(SEARCH(""mastery"", U6)), MATCH(""Card Mastery"", DVT_Laboratory!$A$1:$MY$1, 0), MATCH(U6, DVT_Laboratory!$A$1:$MY$1, 0)), End"&amp;"_Level - Start_Level, 1)) * (1-LAB_COIN_DISCOUNT())), ""Levels Error!""))"),"")</f>
        <v/>
      </c>
      <c r="Y6" s="631" t="str">
        <f>IFERROR(__xludf.DUMMYFUNCTION("IFS(U6 = """", """", 
    VLOOKUP(U6, $AD:$AG, 2, false) = VLOOKUP(U6, $AD:$AG, 4, false), ""MAX Level"",
    AND(VLOOKUP(U6, $AD:$AG, 3, false) &lt;&gt; """", VLOOKUP(U6, $AD:$AG, 2, false) = VLOOKUP(U6, $AD:$AG, 3, false)), ""At Target"",
    TRUE,
    IFERRO"&amp;"R(LET(
        Labspeed, IF(U6=""Labs Speed"", 1+'Master Sheet'!$BK$5, LAB_SPEED_TOTAL()),
        Start_Level, IF(S6 = """",
            VLOOKUP(U6, $AD:$AG, 2, false),
            IF(ISBETWEEN(S6, VALUE(VLOOKUP(U6, $AD:$AG, 2, false)), VALUE(VLOOKUP(U6,"&amp;" $AD:$AG, 4, false))), S6, """")),
        End_Level, IF(OR(T6 = """", NOT(ISBETWEEN(T6, VALUE(VLOOKUP(U6, $AD:$AG, 2, false)), VALUE(VLOOKUP(U6, $AD:$AG, 4, false)),0,1))),
            SWITCH($W$38,
                ""Max"", VLOOKUP(U6, $AD:$AG, 4, false)"&amp;",
                ""Target"", IF(VLOOKUP(U6, $AD:$AG, 3, false) &lt;&gt; """", VLOOKUP(U6, $AD:$AG, 3, false), VLOOKUP(U6, $AD:$AG, 4, false))),
            T6),
        SUM(OFFSET(DVT_Laboratory!$A$3, Start_Level , IF(ISNUMBER(SEARCH(""mastery"", U6)), MATCH("&amp;"""Card Mastery"", DVT_Laboratory!$A$1:$MY$1, 0), MATCH(U6, DVT_Laboratory!$A$1:$MY$1, 0)) - 1, End_Level - Start_Level, 1)) /
                (1 * REGEXEXTRACT(V$2, ""[\d.-]+"")) /
                Labspeed), ""Levels Error!""))"),"")</f>
        <v/>
      </c>
      <c r="Z6" s="598"/>
      <c r="AA6" s="644" t="s">
        <v>409</v>
      </c>
      <c r="AB6" s="691" t="s">
        <v>421</v>
      </c>
      <c r="AC6" s="613" t="str">
        <f>IFERROR(__xludf.DUMMYFUNCTION("""COMPUTED_VALUE"""),"Armored Enemies")</f>
        <v>Armored Enemies</v>
      </c>
      <c r="AD6" s="655" t="s">
        <v>248</v>
      </c>
      <c r="AE6" s="613">
        <v>0.0</v>
      </c>
      <c r="AF6" s="613"/>
      <c r="AG6" s="613">
        <v>20.0</v>
      </c>
      <c r="AH6" s="634" t="str">
        <f t="shared" si="1"/>
        <v/>
      </c>
      <c r="AI6" s="613"/>
      <c r="AJ6" s="613"/>
      <c r="AK6" s="613"/>
      <c r="AL6" s="613"/>
      <c r="AM6" s="613"/>
      <c r="AN6" s="613"/>
      <c r="AO6" s="613"/>
      <c r="AP6" s="613"/>
      <c r="AQ6" s="613"/>
      <c r="AR6" s="613"/>
      <c r="AS6" s="613"/>
      <c r="AT6" s="613"/>
      <c r="AU6" s="613"/>
      <c r="AV6" s="613"/>
      <c r="AW6" s="613"/>
      <c r="AX6" s="613"/>
      <c r="AY6" s="613"/>
      <c r="AZ6" s="613"/>
      <c r="BA6" s="613"/>
      <c r="BB6" s="613"/>
      <c r="BC6" s="613"/>
      <c r="BD6" s="613"/>
      <c r="BE6" s="613"/>
      <c r="BF6" s="613"/>
      <c r="BG6" s="613"/>
      <c r="BH6" s="613"/>
      <c r="BI6" s="613"/>
      <c r="BJ6" s="613"/>
      <c r="BK6" s="613"/>
      <c r="BL6" s="613"/>
      <c r="BM6" s="613"/>
      <c r="BN6" s="613"/>
      <c r="BO6" s="613"/>
      <c r="BP6" s="613"/>
      <c r="BQ6" s="613"/>
      <c r="BR6" s="613"/>
      <c r="BS6" s="613"/>
      <c r="BT6" s="613"/>
      <c r="BU6" s="613"/>
      <c r="BV6" s="613"/>
      <c r="BW6" s="613"/>
      <c r="BX6" s="613"/>
      <c r="BY6" s="613"/>
      <c r="BZ6" s="613"/>
      <c r="CA6" s="613"/>
      <c r="CB6" s="613"/>
      <c r="CC6" s="613"/>
      <c r="CD6" s="613"/>
      <c r="CE6" s="613"/>
      <c r="CF6" s="613"/>
      <c r="CG6" s="613"/>
      <c r="CH6" s="613"/>
      <c r="CI6" s="613"/>
      <c r="CJ6" s="613"/>
      <c r="CK6" s="613"/>
      <c r="CL6" s="613"/>
      <c r="CM6" s="613"/>
      <c r="CN6" s="613"/>
      <c r="CO6" s="613"/>
      <c r="CP6" s="613"/>
      <c r="CQ6" s="613"/>
      <c r="CR6" s="613"/>
      <c r="CS6" s="613"/>
      <c r="CT6" s="613"/>
      <c r="CU6" s="613"/>
      <c r="CV6" s="613"/>
      <c r="CW6" s="613"/>
      <c r="CX6" s="613"/>
      <c r="CY6" s="613"/>
      <c r="CZ6" s="613"/>
      <c r="DA6" s="613"/>
      <c r="DB6" s="613"/>
      <c r="DC6" s="613"/>
      <c r="DD6" s="613"/>
      <c r="DE6" s="613"/>
      <c r="DF6" s="613"/>
      <c r="DG6" s="613"/>
      <c r="DH6" s="613"/>
      <c r="DI6" s="613"/>
      <c r="DJ6" s="613"/>
      <c r="DK6" s="613"/>
      <c r="DL6" s="613"/>
      <c r="DM6" s="613"/>
      <c r="DN6" s="613"/>
      <c r="DO6" s="613"/>
      <c r="DP6" s="613"/>
      <c r="DQ6" s="613"/>
      <c r="DR6" s="613"/>
      <c r="DS6" s="613"/>
      <c r="DT6" s="613"/>
      <c r="DU6" s="613"/>
      <c r="DV6" s="613"/>
      <c r="DW6" s="613"/>
      <c r="DX6" s="613"/>
      <c r="DY6" s="613"/>
      <c r="DZ6" s="613"/>
      <c r="EA6" s="613"/>
      <c r="EB6" s="613"/>
      <c r="EC6" s="613"/>
      <c r="ED6" s="613"/>
      <c r="EE6" s="613"/>
      <c r="EF6" s="613"/>
      <c r="EG6" s="613"/>
      <c r="EH6" s="613"/>
      <c r="EI6" s="613"/>
      <c r="EJ6" s="613"/>
      <c r="EK6" s="613"/>
      <c r="EL6" s="613"/>
      <c r="EM6" s="613"/>
      <c r="EN6" s="613"/>
      <c r="EO6" s="613"/>
      <c r="EP6" s="613"/>
      <c r="EQ6" s="613"/>
      <c r="ER6" s="613"/>
      <c r="ES6" s="613"/>
      <c r="ET6" s="613"/>
      <c r="EU6" s="613"/>
      <c r="EV6" s="613"/>
      <c r="EW6" s="613"/>
      <c r="EX6" s="613"/>
      <c r="EY6" s="613"/>
      <c r="EZ6" s="613"/>
      <c r="FA6" s="613"/>
      <c r="FB6" s="613"/>
      <c r="FC6" s="613"/>
      <c r="FD6" s="613"/>
      <c r="FE6" s="613"/>
      <c r="FF6" s="613"/>
      <c r="FG6" s="613"/>
      <c r="FH6" s="613"/>
      <c r="FI6" s="613"/>
      <c r="FJ6" s="613"/>
      <c r="FK6" s="613"/>
      <c r="FL6" s="613"/>
      <c r="FM6" s="613"/>
      <c r="FN6" s="613"/>
      <c r="FO6" s="613"/>
      <c r="FP6" s="613"/>
      <c r="FQ6" s="613"/>
      <c r="FR6" s="613"/>
      <c r="FS6" s="613"/>
      <c r="FT6" s="613"/>
      <c r="FU6" s="613"/>
      <c r="FV6" s="613"/>
      <c r="FW6" s="613"/>
      <c r="FX6" s="613"/>
      <c r="FY6" s="613"/>
      <c r="FZ6" s="613"/>
      <c r="GA6" s="613"/>
      <c r="GB6" s="613"/>
      <c r="GC6" s="613"/>
      <c r="GD6" s="613"/>
      <c r="GE6" s="613"/>
      <c r="GF6" s="613"/>
      <c r="GG6" s="613"/>
      <c r="GH6" s="613"/>
      <c r="GI6" s="613"/>
      <c r="GJ6" s="613"/>
      <c r="GK6" s="613"/>
      <c r="GL6" s="613"/>
      <c r="GM6" s="613"/>
      <c r="GN6" s="613"/>
      <c r="GO6" s="613"/>
      <c r="GP6" s="613"/>
      <c r="GQ6" s="613"/>
      <c r="GR6" s="613"/>
      <c r="GS6" s="613"/>
      <c r="GT6" s="613"/>
      <c r="GU6" s="613"/>
      <c r="GV6" s="613"/>
      <c r="GW6" s="613"/>
      <c r="GX6" s="613"/>
      <c r="GY6" s="613"/>
      <c r="GZ6" s="613"/>
      <c r="HA6" s="613"/>
      <c r="HB6" s="613"/>
      <c r="HC6" s="613"/>
      <c r="HD6" s="613"/>
      <c r="HE6" s="613"/>
      <c r="HF6" s="613"/>
      <c r="HG6" s="613"/>
      <c r="HH6" s="613"/>
      <c r="HI6" s="613"/>
      <c r="HJ6" s="613"/>
      <c r="HK6" s="613"/>
      <c r="HL6" s="613"/>
      <c r="HM6" s="613"/>
      <c r="HN6" s="613"/>
      <c r="HO6" s="613"/>
      <c r="HP6" s="613"/>
      <c r="HQ6" s="613"/>
      <c r="HR6" s="613"/>
      <c r="HS6" s="613"/>
      <c r="HT6" s="613"/>
      <c r="HU6" s="613"/>
      <c r="HV6" s="613"/>
      <c r="HW6" s="613"/>
      <c r="HX6" s="613"/>
      <c r="HY6" s="613"/>
      <c r="HZ6" s="613"/>
      <c r="IA6" s="613"/>
      <c r="IB6" s="613"/>
      <c r="IC6" s="613"/>
      <c r="ID6" s="613"/>
      <c r="IE6" s="613"/>
      <c r="IF6" s="613"/>
      <c r="IG6" s="613"/>
      <c r="IH6" s="613"/>
    </row>
    <row r="7">
      <c r="A7" s="598"/>
      <c r="B7" s="614" t="str">
        <f t="shared" si="2"/>
        <v/>
      </c>
      <c r="C7" s="678"/>
      <c r="D7" s="679"/>
      <c r="E7" s="692"/>
      <c r="F7" s="659" t="str">
        <f>IFERROR(__xludf.DUMMYFUNCTION("IFERROR(IF(H7 = """", """",
    SWITCH($W$37,
        ""Total"", "" "" &amp; FORMAT_NUMBER(H7),
        ""Daily"", LET(Lab_name, IF(REGEXMATCH(E7, ""Mastery""), ""Card Mastery"", E7),
            Level, IF(ISBETWEEN(C7, VLOOKUP(E7, $AD:$AG, 2, FALSE), VLOOKUP"&amp;"(E7, $AD:$AG, 4, FALSE), TRUE, FALSE), C7, VLOOKUP(E7, $AD:$AG, 2, FALSE)),
            IF(LABCOST_SINGLE_ADJUSTED(Lab_name, Level + 1) = 0, ""0 (Max)"",
            "" "" &amp; FORMAT_NUMBER(            
                    LABCOST_SINGLE_ADJUSTED(Lab_name, "&amp;"Level + 1) / 
                    (LABDURATION_SINGLE_ADJUSTED(Lab_name, Level + 1) /
                    (1 * REGEXEXTRACT(F$2, ""[\d.-]+"")))))),
        ""Gem Rush"", LET(
            Labspeed, IF(E7=""Labs Speed"", 1+'Master Sheet'!$BK$5, LAB_SPEED_TO"&amp;"TAL()),
            Start_Level, IF(C7 = """",
                VLOOKUP(E7, $AD:$AG, 2, false),
                IF(ISBETWEEN(C7, VALUE(VLOOKUP(E7, $AD:$AG, 2, false)), VALUE(VLOOKUP(E7, $AD:$AG, 4, false))), C7, """")),
            End_Level, IF(OR(D7 = """&amp;""", NOT(ISBETWEEN(D7, VALUE(VLOOKUP(E7, $AD:$AG, 2, false)), VALUE(VLOOKUP(E7, $AD:$AG, 4, false)),0,1))),
                SWITCH($W$38,
                    ""Max"", VLOOKUP(E7, $AD:$AG, 4, false),
                    ""Target"", IF(VLOOKUP(E7, $AD:$AG, 3"&amp;", false) &lt;&gt; """", VLOOKUP(E7, $AD:$AG, 3, false), VLOOKUP(E7, $AD:$AG, 4, false))),
                    D7),
            SUM(ARRAYFORMULA(TIME_TO_RUSH_GEMS( OFFSET(DVT_Laboratory!$A$3, Start_Level , IF(ISNUMBER(SEARCH(""mastery"", E7)), MATCH(""Card Maste"&amp;"ry"", DVT_Laboratory!$A$1:$LO$1, 0), MATCH(E7, DVT_Laboratory!$A$1:$LO$1, 0)) - 1, End_Level - Start_Level, 1) / Labspeed, IDS_LAB_GODLBOXED_COUNT())))))))"),"")</f>
        <v/>
      </c>
      <c r="G7" s="693" t="str">
        <f t="shared" si="3"/>
        <v/>
      </c>
      <c r="H7" s="661" t="str">
        <f>IFERROR(__xludf.DUMMYFUNCTION("IFS(E7 = """", """", 
    VLOOKUP(E7, $AD:$AG, 2, false) = VLOOKUP(E7, $AD:$AG, 4, false), ""MAX Level"",
    AND(VLOOKUP(E7, $AD:$AG, 3, false) &lt;&gt; """", VLOOKUP(E7, $AD:$AG, 2, false) = VLOOKUP(E7, $AD:$AG, 3, false)), ""At Target"",
    TRUE,
    IFERRO"&amp;"R(LET(Start_Level, IF(C7 = """",
            VLOOKUP(E7, $AD:$AG, 2, false),
            IF(ISBETWEEN(C7, VALUE(VLOOKUP(E7, $AD:$AG, 2, false)), VALUE(VLOOKUP(E7, $AD:$AG, 4, false))), C7, """")),
        End_Level, IF(OR(D7 = """", NOT(ISBETWEEN(D7, VALU"&amp;"E(VLOOKUP(E7, $AD:$AG, 2, false)), VALUE(VLOOKUP(E7, $AD:$AG, 4, false)),0,1))),
            SWITCH($W$38,
                ""Max"", VLOOKUP(E7, $AD:$AG, 4, false),
                ""Target"", IF(VLOOKUP(E7, $AD:$AG, 3, false) &lt;&gt; """", VLOOKUP(E7, $AD:$AG,"&amp;" 3, false), VLOOKUP(E7, $AD:$AG, 4, false))),
            D7),
        SUM(OFFSET(DVT_Laboratory!$A$3, Start_Level , IF(ISNUMBER(SEARCH(""mastery"", E7)), MATCH(""Card Mastery"", DVT_Laboratory!$A$1:$MY$1, 0), MATCH(E7, DVT_Laboratory!$A$1:$MY$1, 0)), End"&amp;"_Level - Start_Level, 1)) * (1-LAB_COIN_DISCOUNT())), ""Levels Error!""))"),"")</f>
        <v/>
      </c>
      <c r="I7" s="662" t="str">
        <f>IFERROR(__xludf.DUMMYFUNCTION("IFS(E7 = """", """", 
    VLOOKUP(E7, $AD:$AG, 2, false) = VLOOKUP(E7, $AD:$AG, 4, false), ""MAX Level"",
    AND(VLOOKUP(E7, $AD:$AG, 3, false) &lt;&gt; """", VLOOKUP(E7, $AD:$AG, 2, false) = VLOOKUP(E7, $AD:$AG, 3, false)), ""At Target"",
    TRUE,
    IFERRO"&amp;"R(LET(
        Labspeed, IF(E7=""Labs Speed"", 1+'Master Sheet'!$BK$5, LAB_SPEED_TOTAL()),
        Start_Level, IF(C7 = """",
            VLOOKUP(E7, $AD:$AG, 2, false),
            IF(ISBETWEEN(C7, VALUE(VLOOKUP(E7, $AD:$AG, 2, false)), VALUE(VLOOKUP(E7,"&amp;" $AD:$AG, 4, false))), C7, """")),
        End_Level, IF(OR(D7 = """", NOT(ISBETWEEN(D7, VALUE(VLOOKUP(E7, $AD:$AG, 2, false)), VALUE(VLOOKUP(E7, $AD:$AG, 4, false)),0,1))),
            SWITCH($W$38,
                ""Max"", VLOOKUP(E7, $AD:$AG, 4, false)"&amp;",
                ""Target"", IF(VLOOKUP(E7, $AD:$AG, 3, false) &lt;&gt; """", VLOOKUP(E7, $AD:$AG, 3, false), VLOOKUP(E7, $AD:$AG, 4, false))),
            D7),
        SUM(OFFSET(DVT_Laboratory!$A$3, Start_Level , IF(ISNUMBER(SEARCH(""mastery"", E7)), MATCH("&amp;"""Card Mastery"", DVT_Laboratory!$A$1:$MY$1, 0), MATCH(E7, DVT_Laboratory!$A$1:$MY$1, 0)) - 1, End_Level - Start_Level, 1)) /
                (1 * REGEXEXTRACT(F$2, ""[\d.-]+"")) /
                Labspeed), ""Levels Error!""))"),"")</f>
        <v/>
      </c>
      <c r="J7" s="640" t="str">
        <f t="shared" si="4"/>
        <v/>
      </c>
      <c r="K7" s="681"/>
      <c r="L7" s="682"/>
      <c r="M7" s="694"/>
      <c r="N7" s="684" t="str">
        <f>IFERROR(__xludf.DUMMYFUNCTION("IFERROR(IF(P7 = """", """",
    SWITCH($W$37,
        ""Total"", "" "" &amp; FORMAT_NUMBER(P7),
        ""Daily"", LET(Lab_name, IF(REGEXMATCH(M7, ""Mastery""), ""Card Mastery"", M7),
            Level, IF(ISBETWEEN(K7, VLOOKUP(M7, $AD:$AG, 2, FALSE), VLOOKUP"&amp;"(M7, $AD:$AG, 4, FALSE), TRUE, FALSE), K7, VLOOKUP(M7, $AD:$AG, 2, FALSE)),
            IF(LABCOST_SINGLE_ADJUSTED(Lab_name, Level + 1) = 0, ""0 (Max)"",
            "" "" &amp; FORMAT_NUMBER(            
                    LABCOST_SINGLE_ADJUSTED(Lab_name, "&amp;"Level + 1) / 
                    (LABDURATION_SINGLE_ADJUSTED(Lab_name, Level + 1) /
                    (1 * REGEXEXTRACT(N$2, ""[\d.-]+"")))))),
        ""Gem Rush"", LET(
            Labspeed, IF(M7=""Labs Speed"", 1+'Master Sheet'!$BK$5, LAB_SPEED_TO"&amp;"TAL()),
            Start_Level, IF(K7 = """",
                VLOOKUP(M7, $AD:$AG, 2, false),
                IF(ISBETWEEN(K7, VALUE(VLOOKUP(M7, $AD:$AG, 2, false)), VALUE(VLOOKUP(M7, $AD:$AG, 4, false))), K7, """")),
            End_Level, IF(OR(L7 = """&amp;""", NOT(ISBETWEEN(L7, VALUE(VLOOKUP(M7, $AD:$AG, 2, false)), VALUE(VLOOKUP(M7, $AD:$AG, 4, false)),0,1))),
                SWITCH($W$38,
                    ""Max"", VLOOKUP(M7, $AD:$AG, 4, false),
                    ""Target"", IF(VLOOKUP(M7, $AD:$AG, 3"&amp;", false) &lt;&gt; """", VLOOKUP(M7, $AD:$AG, 3, false), VLOOKUP(M7, $AD:$AG, 4, false))),
                    L7),
            SUM(ARRAYFORMULA(TIME_TO_RUSH_GEMS( OFFSET(DVT_Laboratory!$A$3, Start_Level , IF(ISNUMBER(SEARCH(""mastery"", M7)), MATCH(""Card Maste"&amp;"ry"", DVT_Laboratory!$A$1:$LO$1, 0), MATCH(M7, DVT_Laboratory!$A$1:$LO$1, 0)) - 1, End_Level - Start_Level, 1) / Labspeed, IDS_LAB_GODLBOXED_COUNT())))))))"),"")</f>
        <v/>
      </c>
      <c r="O7" s="695" t="str">
        <f t="shared" si="5"/>
        <v/>
      </c>
      <c r="P7" s="668" t="str">
        <f>IFERROR(__xludf.DUMMYFUNCTION("IFS(M7 = """", """", 
    VLOOKUP(M7, $AD:$AG, 2, false) = VLOOKUP(M7, $AD:$AG, 4, false), ""MAX Level"",
    AND(VLOOKUP(M7, $AD:$AG, 3, false) &lt;&gt; """", VLOOKUP(M7, $AD:$AG, 2, false) = VLOOKUP(M7, $AD:$AG, 3, false)), ""At Target"",
    TRUE,
    IFERRO"&amp;"R(LET(Start_Level, IF(K7 = """",
            VLOOKUP(M7, $AD:$AG, 2, false),
            IF(ISBETWEEN(K7, VALUE(VLOOKUP(M7, $AD:$AG, 2, false)), VALUE(VLOOKUP(M7, $AD:$AG, 4, false))), K7, """")),
        End_Level, IF(OR(L7 = """", NOT(ISBETWEEN(L7, VALU"&amp;"E(VLOOKUP(M7, $AD:$AG, 2, false)), VALUE(VLOOKUP(M7, $AD:$AG, 4, false)),0,1))),
            SWITCH($W$38,
                ""Max"", VLOOKUP(M7, $AD:$AG, 4, false),
                ""Target"", IF(VLOOKUP(M7, $AD:$AG, 3, false) &lt;&gt; """", VLOOKUP(M7, $AD:$AG,"&amp;" 3, false), VLOOKUP(M7, $AD:$AG, 4, false))),
            L7),
        SUM(OFFSET(DVT_Laboratory!$A$3, Start_Level , IF(ISNUMBER(SEARCH(""mastery"", M7)), MATCH(""Card Mastery"", DVT_Laboratory!$A$1:$MY$1, 0), MATCH(M7, DVT_Laboratory!$A$1:$MY$1, 0)), End"&amp;"_Level - Start_Level, 1)) * (1-LAB_COIN_DISCOUNT())), ""Levels Error!""))"),"")</f>
        <v/>
      </c>
      <c r="Q7" s="669" t="str">
        <f>IFERROR(__xludf.DUMMYFUNCTION("IFS(M7 = """", """", 
    VLOOKUP(M7, $AD:$AG, 2, false) = VLOOKUP(M7, $AD:$AG, 4, false), ""MAX Level"",
    AND(VLOOKUP(M7, $AD:$AG, 3, false) &lt;&gt; """", VLOOKUP(M7, $AD:$AG, 2, false) = VLOOKUP(M7, $AD:$AG, 3, false)), ""At Target"",
    TRUE,
    IFERRO"&amp;"R(LET(
        Labspeed, IF(M7=""Labs Speed"", 1+'Master Sheet'!$BK$5, LAB_SPEED_TOTAL()),
        Start_Level, IF(K7 = """",
            VLOOKUP(M7, $AD:$AG, 2, false),
            IF(ISBETWEEN(K7, VALUE(VLOOKUP(M7, $AD:$AG, 2, false)), VALUE(VLOOKUP(M7,"&amp;" $AD:$AG, 4, false))), K7, """")),
        End_Level, IF(OR(L7 = """", NOT(ISBETWEEN(L7, VALUE(VLOOKUP(M7, $AD:$AG, 2, false)), VALUE(VLOOKUP(M7, $AD:$AG, 4, false)),0,1))),
            SWITCH($W$38,
                ""Max"", VLOOKUP(M7, $AD:$AG, 4, false)"&amp;",
                ""Target"", IF(VLOOKUP(M7, $AD:$AG, 3, false) &lt;&gt; """", VLOOKUP(M7, $AD:$AG, 3, false), VLOOKUP(M7, $AD:$AG, 4, false))),
            L7),
        SUM(OFFSET(DVT_Laboratory!$A$3, Start_Level , IF(ISNUMBER(SEARCH(""mastery"", M7)), MATCH("&amp;"""Card Mastery"", DVT_Laboratory!$A$1:$MY$1, 0), MATCH(M7, DVT_Laboratory!$A$1:$MY$1, 0)) - 1, End_Level - Start_Level, 1)) /
                (1 * REGEXEXTRACT(N$2, ""[\d.-]+"")) /
                Labspeed), ""Levels Error!""))"),"")</f>
        <v/>
      </c>
      <c r="R7" s="642" t="str">
        <f t="shared" si="6"/>
        <v/>
      </c>
      <c r="S7" s="696"/>
      <c r="T7" s="687"/>
      <c r="U7" s="688"/>
      <c r="V7" s="689" t="str">
        <f>IFERROR(__xludf.DUMMYFUNCTION("IFERROR(IF(X7 = """", """",
    SWITCH($W$37,
        ""Total"", "" "" &amp; FORMAT_NUMBER(X7),
        ""Daily"", LET(Lab_name, IF(REGEXMATCH(U7, ""Mastery""), ""Card Mastery"", U7),
            Level, IF(ISBETWEEN(S7, VLOOKUP(U7, $AD:$AG, 2, FALSE), VLOOKUP"&amp;"(U7, $AD:$AG, 4, FALSE), TRUE, FALSE), S7, VLOOKUP(U7, $AD:$AG, 2, FALSE)),
            IF(LABCOST_SINGLE_ADJUSTED(Lab_name, Level + 1) = 0, ""0 (Max)"",
            "" "" &amp; FORMAT_NUMBER(            
                    LABCOST_SINGLE_ADJUSTED(Lab_name, "&amp;"Level + 1) / 
                    (LABDURATION_SINGLE_ADJUSTED(Lab_name, Level + 1) /
                    (1 * REGEXEXTRACT(V$2, ""[\d.-]+"")))))),
        ""Gem Rush"", LET(
            Labspeed, IF(U7=""Labs Speed"", 1+'Master Sheet'!$BK$5, LAB_SPEED_TO"&amp;"TAL()),
            Start_Level, IF(S7 = """",
                VLOOKUP(U7, $AD:$AG, 2, false),
                IF(ISBETWEEN(S7, VALUE(VLOOKUP(U7, $AD:$AG, 2, false)), VALUE(VLOOKUP(U7, $AD:$AG, 4, false))), S7, """")),
            End_Level, IF(OR(T7 = """&amp;""", NOT(ISBETWEEN(T7, VALUE(VLOOKUP(U7, $AD:$AG, 2, false)), VALUE(VLOOKUP(U7, $AD:$AG, 4, false)),0,1))),
                SWITCH($W$38,
                    ""Max"", VLOOKUP(U7, $AD:$AG, 4, false),
                    ""Target"", IF(VLOOKUP(U7, $AD:$AG, 3"&amp;", false) &lt;&gt; """", VLOOKUP(U7, $AD:$AG, 3, false), VLOOKUP(U7, $AD:$AG, 4, false))),
                    T7),
            SUM(ARRAYFORMULA(TIME_TO_RUSH_GEMS( OFFSET(DVT_Laboratory!$A$3, Start_Level , IF(ISNUMBER(SEARCH(""mastery"", U7)), MATCH(""Card Maste"&amp;"ry"", DVT_Laboratory!$A$1:$LO$1, 0), MATCH(U7, DVT_Laboratory!$A$1:$LO$1, 0)) - 1, End_Level - Start_Level, 1) / Labspeed, IDS_LAB_GODLBOXED_COUNT())))))))"),"")</f>
        <v/>
      </c>
      <c r="W7" s="690" t="str">
        <f t="shared" si="7"/>
        <v/>
      </c>
      <c r="X7" s="630" t="str">
        <f>IFERROR(__xludf.DUMMYFUNCTION("IFS(U7 = """", """", 
    VLOOKUP(U7, $AD:$AG, 2, false) = VLOOKUP(U7, $AD:$AG, 4, false), ""MAX Level"",
    AND(VLOOKUP(U7, $AD:$AG, 3, false) &lt;&gt; """", VLOOKUP(U7, $AD:$AG, 2, false) = VLOOKUP(U7, $AD:$AG, 3, false)), ""At Target"",
    TRUE,
    IFERRO"&amp;"R(LET(Start_Level, IF(S7 = """",
            VLOOKUP(U7, $AD:$AG, 2, false),
            IF(ISBETWEEN(S7, VALUE(VLOOKUP(U7, $AD:$AG, 2, false)), VALUE(VLOOKUP(U7, $AD:$AG, 4, false))), S7, """")),
        End_Level, IF(OR(T7 = """", NOT(ISBETWEEN(T7, VALU"&amp;"E(VLOOKUP(U7, $AD:$AG, 2, false)), VALUE(VLOOKUP(U7, $AD:$AG, 4, false)),0,1))),
            SWITCH($W$38,
                ""Max"", VLOOKUP(U7, $AD:$AG, 4, false),
                ""Target"", IF(VLOOKUP(U7, $AD:$AG, 3, false) &lt;&gt; """", VLOOKUP(U7, $AD:$AG,"&amp;" 3, false), VLOOKUP(U7, $AD:$AG, 4, false))),
            T7),
        SUM(OFFSET(DVT_Laboratory!$A$3, Start_Level , IF(ISNUMBER(SEARCH(""mastery"", U7)), MATCH(""Card Mastery"", DVT_Laboratory!$A$1:$MY$1, 0), MATCH(U7, DVT_Laboratory!$A$1:$MY$1, 0)), End"&amp;"_Level - Start_Level, 1)) * (1-LAB_COIN_DISCOUNT())), ""Levels Error!""))"),"")</f>
        <v/>
      </c>
      <c r="Y7" s="631" t="str">
        <f>IFERROR(__xludf.DUMMYFUNCTION("IFS(U7 = """", """", 
    VLOOKUP(U7, $AD:$AG, 2, false) = VLOOKUP(U7, $AD:$AG, 4, false), ""MAX Level"",
    AND(VLOOKUP(U7, $AD:$AG, 3, false) &lt;&gt; """", VLOOKUP(U7, $AD:$AG, 2, false) = VLOOKUP(U7, $AD:$AG, 3, false)), ""At Target"",
    TRUE,
    IFERRO"&amp;"R(LET(
        Labspeed, IF(U7=""Labs Speed"", 1+'Master Sheet'!$BK$5, LAB_SPEED_TOTAL()),
        Start_Level, IF(S7 = """",
            VLOOKUP(U7, $AD:$AG, 2, false),
            IF(ISBETWEEN(S7, VALUE(VLOOKUP(U7, $AD:$AG, 2, false)), VALUE(VLOOKUP(U7,"&amp;" $AD:$AG, 4, false))), S7, """")),
        End_Level, IF(OR(T7 = """", NOT(ISBETWEEN(T7, VALUE(VLOOKUP(U7, $AD:$AG, 2, false)), VALUE(VLOOKUP(U7, $AD:$AG, 4, false)),0,1))),
            SWITCH($W$38,
                ""Max"", VLOOKUP(U7, $AD:$AG, 4, false)"&amp;",
                ""Target"", IF(VLOOKUP(U7, $AD:$AG, 3, false) &lt;&gt; """", VLOOKUP(U7, $AD:$AG, 3, false), VLOOKUP(U7, $AD:$AG, 4, false))),
            T7),
        SUM(OFFSET(DVT_Laboratory!$A$3, Start_Level , IF(ISNUMBER(SEARCH(""mastery"", U7)), MATCH("&amp;"""Card Mastery"", DVT_Laboratory!$A$1:$MY$1, 0), MATCH(U7, DVT_Laboratory!$A$1:$MY$1, 0)) - 1, End_Level - Start_Level, 1)) /
                (1 * REGEXEXTRACT(V$2, ""[\d.-]+"")) /
                Labspeed), ""Levels Error!""))"),"")</f>
        <v/>
      </c>
      <c r="Z7" s="598"/>
      <c r="AA7" s="644" t="s">
        <v>407</v>
      </c>
      <c r="AB7" s="697" t="s">
        <v>422</v>
      </c>
      <c r="AC7" s="613" t="str">
        <f>IFERROR(__xludf.DUMMYFUNCTION("""COMPUTED_VALUE"""),"Assist Module Bonus - Armor")</f>
        <v>Assist Module Bonus - Armor</v>
      </c>
      <c r="AD7" s="655" t="s">
        <v>331</v>
      </c>
      <c r="AE7" s="613">
        <v>0.0</v>
      </c>
      <c r="AF7" s="613"/>
      <c r="AG7" s="613">
        <v>30.0</v>
      </c>
      <c r="AH7" s="634" t="str">
        <f t="shared" si="1"/>
        <v/>
      </c>
      <c r="AI7" s="698"/>
      <c r="AJ7" s="613"/>
      <c r="AK7" s="613"/>
      <c r="AL7" s="613"/>
      <c r="AM7" s="613"/>
      <c r="AN7" s="613"/>
      <c r="AO7" s="613"/>
      <c r="AP7" s="613"/>
      <c r="AQ7" s="613"/>
      <c r="AR7" s="613"/>
      <c r="AS7" s="613"/>
      <c r="AT7" s="613"/>
      <c r="AU7" s="613"/>
      <c r="AV7" s="613"/>
      <c r="AW7" s="613"/>
      <c r="AX7" s="613"/>
      <c r="AY7" s="613"/>
      <c r="AZ7" s="613"/>
      <c r="BA7" s="613"/>
      <c r="BB7" s="613"/>
      <c r="BC7" s="613"/>
      <c r="BD7" s="613"/>
      <c r="BE7" s="613"/>
      <c r="BF7" s="613"/>
      <c r="BG7" s="613"/>
      <c r="BH7" s="613"/>
      <c r="BI7" s="613"/>
      <c r="BJ7" s="613"/>
      <c r="BK7" s="613"/>
      <c r="BL7" s="613"/>
      <c r="BM7" s="613"/>
      <c r="BN7" s="613"/>
      <c r="BO7" s="613"/>
      <c r="BP7" s="613"/>
      <c r="BQ7" s="613"/>
      <c r="BR7" s="613"/>
      <c r="BS7" s="613"/>
      <c r="BT7" s="613"/>
      <c r="BU7" s="613"/>
      <c r="BV7" s="613"/>
      <c r="BW7" s="613"/>
      <c r="BX7" s="613"/>
      <c r="BY7" s="613"/>
      <c r="BZ7" s="613"/>
      <c r="CA7" s="613"/>
      <c r="CB7" s="613"/>
      <c r="CC7" s="613"/>
      <c r="CD7" s="613"/>
      <c r="CE7" s="613"/>
      <c r="CF7" s="613"/>
      <c r="CG7" s="613"/>
      <c r="CH7" s="613"/>
      <c r="CI7" s="613"/>
      <c r="CJ7" s="613"/>
      <c r="CK7" s="613"/>
      <c r="CL7" s="613"/>
      <c r="CM7" s="613"/>
      <c r="CN7" s="613"/>
      <c r="CO7" s="613"/>
      <c r="CP7" s="613"/>
      <c r="CQ7" s="613"/>
      <c r="CR7" s="613"/>
      <c r="CS7" s="613"/>
      <c r="CT7" s="613"/>
      <c r="CU7" s="613"/>
      <c r="CV7" s="613"/>
      <c r="CW7" s="613"/>
      <c r="CX7" s="613"/>
      <c r="CY7" s="613"/>
      <c r="CZ7" s="613"/>
      <c r="DA7" s="613"/>
      <c r="DB7" s="613"/>
      <c r="DC7" s="613"/>
      <c r="DD7" s="613"/>
      <c r="DE7" s="613"/>
      <c r="DF7" s="613"/>
      <c r="DG7" s="613"/>
      <c r="DH7" s="613"/>
      <c r="DI7" s="613"/>
      <c r="DJ7" s="613"/>
      <c r="DK7" s="613"/>
      <c r="DL7" s="613"/>
      <c r="DM7" s="613"/>
      <c r="DN7" s="613"/>
      <c r="DO7" s="613"/>
      <c r="DP7" s="613"/>
      <c r="DQ7" s="613"/>
      <c r="DR7" s="613"/>
      <c r="DS7" s="613"/>
      <c r="DT7" s="613"/>
      <c r="DU7" s="613"/>
      <c r="DV7" s="613"/>
      <c r="DW7" s="613"/>
      <c r="DX7" s="613"/>
      <c r="DY7" s="613"/>
      <c r="DZ7" s="613"/>
      <c r="EA7" s="613"/>
      <c r="EB7" s="613"/>
      <c r="EC7" s="613"/>
      <c r="ED7" s="613"/>
      <c r="EE7" s="613"/>
      <c r="EF7" s="613"/>
      <c r="EG7" s="613"/>
      <c r="EH7" s="613"/>
      <c r="EI7" s="613"/>
      <c r="EJ7" s="613"/>
      <c r="EK7" s="613"/>
      <c r="EL7" s="613"/>
      <c r="EM7" s="613"/>
      <c r="EN7" s="613"/>
      <c r="EO7" s="613"/>
      <c r="EP7" s="613"/>
      <c r="EQ7" s="613"/>
      <c r="ER7" s="613"/>
      <c r="ES7" s="613"/>
      <c r="ET7" s="613"/>
      <c r="EU7" s="613"/>
      <c r="EV7" s="613"/>
      <c r="EW7" s="613"/>
      <c r="EX7" s="613"/>
      <c r="EY7" s="613"/>
      <c r="EZ7" s="613"/>
      <c r="FA7" s="613"/>
      <c r="FB7" s="613"/>
      <c r="FC7" s="613"/>
      <c r="FD7" s="613"/>
      <c r="FE7" s="613"/>
      <c r="FF7" s="613"/>
      <c r="FG7" s="613"/>
      <c r="FH7" s="613"/>
      <c r="FI7" s="613"/>
      <c r="FJ7" s="613"/>
      <c r="FK7" s="613"/>
      <c r="FL7" s="613"/>
      <c r="FM7" s="613"/>
      <c r="FN7" s="613"/>
      <c r="FO7" s="613"/>
      <c r="FP7" s="613"/>
      <c r="FQ7" s="613"/>
      <c r="FR7" s="613"/>
      <c r="FS7" s="613"/>
      <c r="FT7" s="613"/>
      <c r="FU7" s="613"/>
      <c r="FV7" s="613"/>
      <c r="FW7" s="613"/>
      <c r="FX7" s="613"/>
      <c r="FY7" s="613"/>
      <c r="FZ7" s="613"/>
      <c r="GA7" s="613"/>
      <c r="GB7" s="613"/>
      <c r="GC7" s="613"/>
      <c r="GD7" s="613"/>
      <c r="GE7" s="613"/>
      <c r="GF7" s="613"/>
      <c r="GG7" s="613"/>
      <c r="GH7" s="613"/>
      <c r="GI7" s="613"/>
      <c r="GJ7" s="613"/>
      <c r="GK7" s="613"/>
      <c r="GL7" s="613"/>
      <c r="GM7" s="613"/>
      <c r="GN7" s="613"/>
      <c r="GO7" s="613"/>
      <c r="GP7" s="613"/>
      <c r="GQ7" s="613"/>
      <c r="GR7" s="613"/>
      <c r="GS7" s="613"/>
      <c r="GT7" s="613"/>
      <c r="GU7" s="613"/>
      <c r="GV7" s="613"/>
      <c r="GW7" s="613"/>
      <c r="GX7" s="613"/>
      <c r="GY7" s="613"/>
      <c r="GZ7" s="613"/>
      <c r="HA7" s="613"/>
      <c r="HB7" s="613"/>
      <c r="HC7" s="613"/>
      <c r="HD7" s="613"/>
      <c r="HE7" s="613"/>
      <c r="HF7" s="613"/>
      <c r="HG7" s="613"/>
      <c r="HH7" s="613"/>
      <c r="HI7" s="613"/>
      <c r="HJ7" s="613"/>
      <c r="HK7" s="613"/>
      <c r="HL7" s="613"/>
      <c r="HM7" s="613"/>
      <c r="HN7" s="613"/>
      <c r="HO7" s="613"/>
      <c r="HP7" s="613"/>
      <c r="HQ7" s="613"/>
      <c r="HR7" s="613"/>
      <c r="HS7" s="613"/>
      <c r="HT7" s="613"/>
      <c r="HU7" s="613"/>
      <c r="HV7" s="613"/>
      <c r="HW7" s="613"/>
      <c r="HX7" s="613"/>
      <c r="HY7" s="613"/>
      <c r="HZ7" s="613"/>
      <c r="IA7" s="613"/>
      <c r="IB7" s="613"/>
      <c r="IC7" s="613"/>
      <c r="ID7" s="613"/>
      <c r="IE7" s="613"/>
      <c r="IF7" s="613"/>
      <c r="IG7" s="613"/>
      <c r="IH7" s="613"/>
    </row>
    <row r="8">
      <c r="A8" s="598"/>
      <c r="B8" s="614" t="str">
        <f t="shared" si="2"/>
        <v/>
      </c>
      <c r="C8" s="678"/>
      <c r="D8" s="679"/>
      <c r="E8" s="692"/>
      <c r="F8" s="659" t="str">
        <f>IFERROR(__xludf.DUMMYFUNCTION("IFERROR(IF(H8 = """", """",
    SWITCH($W$37,
        ""Total"", "" "" &amp; FORMAT_NUMBER(H8),
        ""Daily"", LET(Lab_name, IF(REGEXMATCH(E8, ""Mastery""), ""Card Mastery"", E8),
            Level, IF(ISBETWEEN(C8, VLOOKUP(E8, $AD:$AG, 2, FALSE), VLOOKUP"&amp;"(E8, $AD:$AG, 4, FALSE), TRUE, FALSE), C8, VLOOKUP(E8, $AD:$AG, 2, FALSE)),
            IF(LABCOST_SINGLE_ADJUSTED(Lab_name, Level + 1) = 0, ""0 (Max)"",
            "" "" &amp; FORMAT_NUMBER(            
                    LABCOST_SINGLE_ADJUSTED(Lab_name, "&amp;"Level + 1) / 
                    (LABDURATION_SINGLE_ADJUSTED(Lab_name, Level + 1) /
                    (1 * REGEXEXTRACT(F$2, ""[\d.-]+"")))))),
        ""Gem Rush"", LET(
            Labspeed, IF(E8=""Labs Speed"", 1+'Master Sheet'!$BK$5, LAB_SPEED_TO"&amp;"TAL()),
            Start_Level, IF(C8 = """",
                VLOOKUP(E8, $AD:$AG, 2, false),
                IF(ISBETWEEN(C8, VALUE(VLOOKUP(E8, $AD:$AG, 2, false)), VALUE(VLOOKUP(E8, $AD:$AG, 4, false))), C8, """")),
            End_Level, IF(OR(D8 = """&amp;""", NOT(ISBETWEEN(D8, VALUE(VLOOKUP(E8, $AD:$AG, 2, false)), VALUE(VLOOKUP(E8, $AD:$AG, 4, false)),0,1))),
                SWITCH($W$38,
                    ""Max"", VLOOKUP(E8, $AD:$AG, 4, false),
                    ""Target"", IF(VLOOKUP(E8, $AD:$AG, 3"&amp;", false) &lt;&gt; """", VLOOKUP(E8, $AD:$AG, 3, false), VLOOKUP(E8, $AD:$AG, 4, false))),
                    D8),
            SUM(ARRAYFORMULA(TIME_TO_RUSH_GEMS( OFFSET(DVT_Laboratory!$A$3, Start_Level , IF(ISNUMBER(SEARCH(""mastery"", E8)), MATCH(""Card Maste"&amp;"ry"", DVT_Laboratory!$A$1:$LO$1, 0), MATCH(E8, DVT_Laboratory!$A$1:$LO$1, 0)) - 1, End_Level - Start_Level, 1) / Labspeed, IDS_LAB_GODLBOXED_COUNT())))))))"),"")</f>
        <v/>
      </c>
      <c r="G8" s="693" t="str">
        <f t="shared" si="3"/>
        <v/>
      </c>
      <c r="H8" s="620" t="str">
        <f>IFERROR(__xludf.DUMMYFUNCTION("IFS(E8 = """", """", 
    VLOOKUP(E8, $AD:$AG, 2, false) = VLOOKUP(E8, $AD:$AG, 4, false), ""MAX Level"",
    AND(VLOOKUP(E8, $AD:$AG, 3, false) &lt;&gt; """", VLOOKUP(E8, $AD:$AG, 2, false) = VLOOKUP(E8, $AD:$AG, 3, false)), ""At Target"",
    TRUE,
    IFERRO"&amp;"R(LET(Start_Level, IF(C8 = """",
            VLOOKUP(E8, $AD:$AG, 2, false),
            IF(ISBETWEEN(C8, VALUE(VLOOKUP(E8, $AD:$AG, 2, false)), VALUE(VLOOKUP(E8, $AD:$AG, 4, false))), C8, """")),
        End_Level, IF(OR(D8 = """", NOT(ISBETWEEN(D8, VALU"&amp;"E(VLOOKUP(E8, $AD:$AG, 2, false)), VALUE(VLOOKUP(E8, $AD:$AG, 4, false)),0,1))),
            SWITCH($W$38,
                ""Max"", VLOOKUP(E8, $AD:$AG, 4, false),
                ""Target"", IF(VLOOKUP(E8, $AD:$AG, 3, false) &lt;&gt; """", VLOOKUP(E8, $AD:$AG,"&amp;" 3, false), VLOOKUP(E8, $AD:$AG, 4, false))),
            D8),
        SUM(OFFSET(DVT_Laboratory!$A$3, Start_Level , IF(ISNUMBER(SEARCH(""mastery"", E8)), MATCH(""Card Mastery"", DVT_Laboratory!$A$1:$MY$1, 0), MATCH(E8, DVT_Laboratory!$A$1:$MY$1, 0)), End"&amp;"_Level - Start_Level, 1)) * (1-LAB_COIN_DISCOUNT())), ""Levels Error!""))"),"")</f>
        <v/>
      </c>
      <c r="I8" s="621" t="str">
        <f>IFERROR(__xludf.DUMMYFUNCTION("IFS(E8 = """", """", 
    VLOOKUP(E8, $AD:$AG, 2, false) = VLOOKUP(E8, $AD:$AG, 4, false), ""MAX Level"",
    AND(VLOOKUP(E8, $AD:$AG, 3, false) &lt;&gt; """", VLOOKUP(E8, $AD:$AG, 2, false) = VLOOKUP(E8, $AD:$AG, 3, false)), ""At Target"",
    TRUE,
    IFERRO"&amp;"R(LET(
        Labspeed, IF(E8=""Labs Speed"", 1+'Master Sheet'!$BK$5, LAB_SPEED_TOTAL()),
        Start_Level, IF(C8 = """",
            VLOOKUP(E8, $AD:$AG, 2, false),
            IF(ISBETWEEN(C8, VALUE(VLOOKUP(E8, $AD:$AG, 2, false)), VALUE(VLOOKUP(E8,"&amp;" $AD:$AG, 4, false))), C8, """")),
        End_Level, IF(OR(D8 = """", NOT(ISBETWEEN(D8, VALUE(VLOOKUP(E8, $AD:$AG, 2, false)), VALUE(VLOOKUP(E8, $AD:$AG, 4, false)),0,1))),
            SWITCH($W$38,
                ""Max"", VLOOKUP(E8, $AD:$AG, 4, false)"&amp;",
                ""Target"", IF(VLOOKUP(E8, $AD:$AG, 3, false) &lt;&gt; """", VLOOKUP(E8, $AD:$AG, 3, false), VLOOKUP(E8, $AD:$AG, 4, false))),
            D8),
        SUM(OFFSET(DVT_Laboratory!$A$3, Start_Level , IF(ISNUMBER(SEARCH(""mastery"", E8)), MATCH("&amp;"""Card Mastery"", DVT_Laboratory!$A$1:$MY$1, 0), MATCH(E8, DVT_Laboratory!$A$1:$MY$1, 0)) - 1, End_Level - Start_Level, 1)) /
                (1 * REGEXEXTRACT(F$2, ""[\d.-]+"")) /
                Labspeed), ""Levels Error!""))"),"")</f>
        <v/>
      </c>
      <c r="J8" s="640" t="str">
        <f t="shared" si="4"/>
        <v/>
      </c>
      <c r="K8" s="699"/>
      <c r="L8" s="700"/>
      <c r="M8" s="694"/>
      <c r="N8" s="684" t="str">
        <f>IFERROR(__xludf.DUMMYFUNCTION("IFERROR(IF(P8 = """", """",
    SWITCH($W$37,
        ""Total"", "" "" &amp; FORMAT_NUMBER(P8),
        ""Daily"", LET(Lab_name, IF(REGEXMATCH(M8, ""Mastery""), ""Card Mastery"", M8),
            Level, IF(ISBETWEEN(K8, VLOOKUP(M8, $AD:$AG, 2, FALSE), VLOOKUP"&amp;"(M8, $AD:$AG, 4, FALSE), TRUE, FALSE), K8, VLOOKUP(M8, $AD:$AG, 2, FALSE)),
            IF(LABCOST_SINGLE_ADJUSTED(Lab_name, Level + 1) = 0, ""0 (Max)"",
            "" "" &amp; FORMAT_NUMBER(            
                    LABCOST_SINGLE_ADJUSTED(Lab_name, "&amp;"Level + 1) / 
                    (LABDURATION_SINGLE_ADJUSTED(Lab_name, Level + 1) /
                    (1 * REGEXEXTRACT(N$2, ""[\d.-]+"")))))),
        ""Gem Rush"", LET(
            Labspeed, IF(M8=""Labs Speed"", 1+'Master Sheet'!$BK$5, LAB_SPEED_TO"&amp;"TAL()),
            Start_Level, IF(K8 = """",
                VLOOKUP(M8, $AD:$AG, 2, false),
                IF(ISBETWEEN(K8, VALUE(VLOOKUP(M8, $AD:$AG, 2, false)), VALUE(VLOOKUP(M8, $AD:$AG, 4, false))), K8, """")),
            End_Level, IF(OR(L8 = """&amp;""", NOT(ISBETWEEN(L8, VALUE(VLOOKUP(M8, $AD:$AG, 2, false)), VALUE(VLOOKUP(M8, $AD:$AG, 4, false)),0,1))),
                SWITCH($W$38,
                    ""Max"", VLOOKUP(M8, $AD:$AG, 4, false),
                    ""Target"", IF(VLOOKUP(M8, $AD:$AG, 3"&amp;", false) &lt;&gt; """", VLOOKUP(M8, $AD:$AG, 3, false), VLOOKUP(M8, $AD:$AG, 4, false))),
                    L8),
            SUM(ARRAYFORMULA(TIME_TO_RUSH_GEMS( OFFSET(DVT_Laboratory!$A$3, Start_Level , IF(ISNUMBER(SEARCH(""mastery"", M8)), MATCH(""Card Maste"&amp;"ry"", DVT_Laboratory!$A$1:$LO$1, 0), MATCH(M8, DVT_Laboratory!$A$1:$LO$1, 0)) - 1, End_Level - Start_Level, 1) / Labspeed, IDS_LAB_GODLBOXED_COUNT())))))))"),"")</f>
        <v/>
      </c>
      <c r="O8" s="695" t="str">
        <f t="shared" si="5"/>
        <v/>
      </c>
      <c r="P8" s="668" t="str">
        <f>IFERROR(__xludf.DUMMYFUNCTION("IFS(M8 = """", """", 
    VLOOKUP(M8, $AD:$AG, 2, false) = VLOOKUP(M8, $AD:$AG, 4, false), ""MAX Level"",
    AND(VLOOKUP(M8, $AD:$AG, 3, false) &lt;&gt; """", VLOOKUP(M8, $AD:$AG, 2, false) = VLOOKUP(M8, $AD:$AG, 3, false)), ""At Target"",
    TRUE,
    IFERRO"&amp;"R(LET(Start_Level, IF(K8 = """",
            VLOOKUP(M8, $AD:$AG, 2, false),
            IF(ISBETWEEN(K8, VALUE(VLOOKUP(M8, $AD:$AG, 2, false)), VALUE(VLOOKUP(M8, $AD:$AG, 4, false))), K8, """")),
        End_Level, IF(OR(L8 = """", NOT(ISBETWEEN(L8, VALU"&amp;"E(VLOOKUP(M8, $AD:$AG, 2, false)), VALUE(VLOOKUP(M8, $AD:$AG, 4, false)),0,1))),
            SWITCH($W$38,
                ""Max"", VLOOKUP(M8, $AD:$AG, 4, false),
                ""Target"", IF(VLOOKUP(M8, $AD:$AG, 3, false) &lt;&gt; """", VLOOKUP(M8, $AD:$AG,"&amp;" 3, false), VLOOKUP(M8, $AD:$AG, 4, false))),
            L8),
        SUM(OFFSET(DVT_Laboratory!$A$3, Start_Level , IF(ISNUMBER(SEARCH(""mastery"", M8)), MATCH(""Card Mastery"", DVT_Laboratory!$A$1:$MY$1, 0), MATCH(M8, DVT_Laboratory!$A$1:$MY$1, 0)), End"&amp;"_Level - Start_Level, 1)) * (1-LAB_COIN_DISCOUNT())), ""Levels Error!""))"),"")</f>
        <v/>
      </c>
      <c r="Q8" s="669" t="str">
        <f>IFERROR(__xludf.DUMMYFUNCTION("IFS(M8 = """", """", 
    VLOOKUP(M8, $AD:$AG, 2, false) = VLOOKUP(M8, $AD:$AG, 4, false), ""MAX Level"",
    AND(VLOOKUP(M8, $AD:$AG, 3, false) &lt;&gt; """", VLOOKUP(M8, $AD:$AG, 2, false) = VLOOKUP(M8, $AD:$AG, 3, false)), ""At Target"",
    TRUE,
    IFERRO"&amp;"R(LET(
        Labspeed, IF(M8=""Labs Speed"", 1+'Master Sheet'!$BK$5, LAB_SPEED_TOTAL()),
        Start_Level, IF(K8 = """",
            VLOOKUP(M8, $AD:$AG, 2, false),
            IF(ISBETWEEN(K8, VALUE(VLOOKUP(M8, $AD:$AG, 2, false)), VALUE(VLOOKUP(M8,"&amp;" $AD:$AG, 4, false))), K8, """")),
        End_Level, IF(OR(L8 = """", NOT(ISBETWEEN(L8, VALUE(VLOOKUP(M8, $AD:$AG, 2, false)), VALUE(VLOOKUP(M8, $AD:$AG, 4, false)),0,1))),
            SWITCH($W$38,
                ""Max"", VLOOKUP(M8, $AD:$AG, 4, false)"&amp;",
                ""Target"", IF(VLOOKUP(M8, $AD:$AG, 3, false) &lt;&gt; """", VLOOKUP(M8, $AD:$AG, 3, false), VLOOKUP(M8, $AD:$AG, 4, false))),
            L8),
        SUM(OFFSET(DVT_Laboratory!$A$3, Start_Level , IF(ISNUMBER(SEARCH(""mastery"", M8)), MATCH("&amp;"""Card Mastery"", DVT_Laboratory!$A$1:$MY$1, 0), MATCH(M8, DVT_Laboratory!$A$1:$MY$1, 0)) - 1, End_Level - Start_Level, 1)) /
                (1 * REGEXEXTRACT(N$2, ""[\d.-]+"")) /
                Labspeed), ""Levels Error!""))"),"")</f>
        <v/>
      </c>
      <c r="R8" s="642" t="str">
        <f t="shared" si="6"/>
        <v/>
      </c>
      <c r="S8" s="686"/>
      <c r="T8" s="701"/>
      <c r="U8" s="702"/>
      <c r="V8" s="689" t="str">
        <f>IFERROR(__xludf.DUMMYFUNCTION("IFERROR(IF(X8 = """", """",
    SWITCH($W$37,
        ""Total"", "" "" &amp; FORMAT_NUMBER(X8),
        ""Daily"", LET(Lab_name, IF(REGEXMATCH(U8, ""Mastery""), ""Card Mastery"", U8),
            Level, IF(ISBETWEEN(S8, VLOOKUP(U8, $AD:$AG, 2, FALSE), VLOOKUP"&amp;"(U8, $AD:$AG, 4, FALSE), TRUE, FALSE), S8, VLOOKUP(U8, $AD:$AG, 2, FALSE)),
            IF(LABCOST_SINGLE_ADJUSTED(Lab_name, Level + 1) = 0, ""0 (Max)"",
            "" "" &amp; FORMAT_NUMBER(            
                    LABCOST_SINGLE_ADJUSTED(Lab_name, "&amp;"Level + 1) / 
                    (LABDURATION_SINGLE_ADJUSTED(Lab_name, Level + 1) /
                    (1 * REGEXEXTRACT(V$2, ""[\d.-]+"")))))),
        ""Gem Rush"", LET(
            Labspeed, IF(U8=""Labs Speed"", 1+'Master Sheet'!$BK$5, LAB_SPEED_TO"&amp;"TAL()),
            Start_Level, IF(S8 = """",
                VLOOKUP(U8, $AD:$AG, 2, false),
                IF(ISBETWEEN(S8, VALUE(VLOOKUP(U8, $AD:$AG, 2, false)), VALUE(VLOOKUP(U8, $AD:$AG, 4, false))), S8, """")),
            End_Level, IF(OR(T8 = """&amp;""", NOT(ISBETWEEN(T8, VALUE(VLOOKUP(U8, $AD:$AG, 2, false)), VALUE(VLOOKUP(U8, $AD:$AG, 4, false)),0,1))),
                SWITCH($W$38,
                    ""Max"", VLOOKUP(U8, $AD:$AG, 4, false),
                    ""Target"", IF(VLOOKUP(U8, $AD:$AG, 3"&amp;", false) &lt;&gt; """", VLOOKUP(U8, $AD:$AG, 3, false), VLOOKUP(U8, $AD:$AG, 4, false))),
                    T8),
            SUM(ARRAYFORMULA(TIME_TO_RUSH_GEMS( OFFSET(DVT_Laboratory!$A$3, Start_Level , IF(ISNUMBER(SEARCH(""mastery"", U8)), MATCH(""Card Maste"&amp;"ry"", DVT_Laboratory!$A$1:$LO$1, 0), MATCH(U8, DVT_Laboratory!$A$1:$LO$1, 0)) - 1, End_Level - Start_Level, 1) / Labspeed, IDS_LAB_GODLBOXED_COUNT())))))))"),"")</f>
        <v/>
      </c>
      <c r="W8" s="690" t="str">
        <f t="shared" si="7"/>
        <v/>
      </c>
      <c r="X8" s="630" t="str">
        <f>IFERROR(__xludf.DUMMYFUNCTION("IFS(U8 = """", """", 
    VLOOKUP(U8, $AD:$AG, 2, false) = VLOOKUP(U8, $AD:$AG, 4, false), ""MAX Level"",
    AND(VLOOKUP(U8, $AD:$AG, 3, false) &lt;&gt; """", VLOOKUP(U8, $AD:$AG, 2, false) = VLOOKUP(U8, $AD:$AG, 3, false)), ""At Target"",
    TRUE,
    IFERRO"&amp;"R(LET(Start_Level, IF(S8 = """",
            VLOOKUP(U8, $AD:$AG, 2, false),
            IF(ISBETWEEN(S8, VALUE(VLOOKUP(U8, $AD:$AG, 2, false)), VALUE(VLOOKUP(U8, $AD:$AG, 4, false))), S8, """")),
        End_Level, IF(OR(T8 = """", NOT(ISBETWEEN(T8, VALU"&amp;"E(VLOOKUP(U8, $AD:$AG, 2, false)), VALUE(VLOOKUP(U8, $AD:$AG, 4, false)),0,1))),
            SWITCH($W$38,
                ""Max"", VLOOKUP(U8, $AD:$AG, 4, false),
                ""Target"", IF(VLOOKUP(U8, $AD:$AG, 3, false) &lt;&gt; """", VLOOKUP(U8, $AD:$AG,"&amp;" 3, false), VLOOKUP(U8, $AD:$AG, 4, false))),
            T8),
        SUM(OFFSET(DVT_Laboratory!$A$3, Start_Level , IF(ISNUMBER(SEARCH(""mastery"", U8)), MATCH(""Card Mastery"", DVT_Laboratory!$A$1:$MY$1, 0), MATCH(U8, DVT_Laboratory!$A$1:$MY$1, 0)), End"&amp;"_Level - Start_Level, 1)) * (1-LAB_COIN_DISCOUNT())), ""Levels Error!""))"),"")</f>
        <v/>
      </c>
      <c r="Y8" s="631" t="str">
        <f>IFERROR(__xludf.DUMMYFUNCTION("IFS(U8 = """", """", 
    VLOOKUP(U8, $AD:$AG, 2, false) = VLOOKUP(U8, $AD:$AG, 4, false), ""MAX Level"",
    AND(VLOOKUP(U8, $AD:$AG, 3, false) &lt;&gt; """", VLOOKUP(U8, $AD:$AG, 2, false) = VLOOKUP(U8, $AD:$AG, 3, false)), ""At Target"",
    TRUE,
    IFERRO"&amp;"R(LET(
        Labspeed, IF(U8=""Labs Speed"", 1+'Master Sheet'!$BK$5, LAB_SPEED_TOTAL()),
        Start_Level, IF(S8 = """",
            VLOOKUP(U8, $AD:$AG, 2, false),
            IF(ISBETWEEN(S8, VALUE(VLOOKUP(U8, $AD:$AG, 2, false)), VALUE(VLOOKUP(U8,"&amp;" $AD:$AG, 4, false))), S8, """")),
        End_Level, IF(OR(T8 = """", NOT(ISBETWEEN(T8, VALUE(VLOOKUP(U8, $AD:$AG, 2, false)), VALUE(VLOOKUP(U8, $AD:$AG, 4, false)),0,1))),
            SWITCH($W$38,
                ""Max"", VLOOKUP(U8, $AD:$AG, 4, false)"&amp;",
                ""Target"", IF(VLOOKUP(U8, $AD:$AG, 3, false) &lt;&gt; """", VLOOKUP(U8, $AD:$AG, 3, false), VLOOKUP(U8, $AD:$AG, 4, false))),
            T8),
        SUM(OFFSET(DVT_Laboratory!$A$3, Start_Level , IF(ISNUMBER(SEARCH(""mastery"", U8)), MATCH("&amp;"""Card Mastery"", DVT_Laboratory!$A$1:$MY$1, 0), MATCH(U8, DVT_Laboratory!$A$1:$MY$1, 0)) - 1, End_Level - Start_Level, 1)) /
                (1 * REGEXEXTRACT(V$2, ""[\d.-]+"")) /
                Labspeed), ""Levels Error!""))"),"")</f>
        <v/>
      </c>
      <c r="Z8" s="598"/>
      <c r="AA8" s="644" t="s">
        <v>423</v>
      </c>
      <c r="AB8" s="703" t="s">
        <v>424</v>
      </c>
      <c r="AC8" s="698" t="str">
        <f>IFERROR(__xludf.DUMMYFUNCTION("""COMPUTED_VALUE"""),"Assist Module Bonus - Cannon")</f>
        <v>Assist Module Bonus - Cannon</v>
      </c>
      <c r="AD8" s="704" t="s">
        <v>326</v>
      </c>
      <c r="AE8" s="698">
        <v>0.0</v>
      </c>
      <c r="AF8" s="698"/>
      <c r="AG8" s="698">
        <v>30.0</v>
      </c>
      <c r="AH8" s="634" t="str">
        <f t="shared" si="1"/>
        <v/>
      </c>
      <c r="AI8" s="698"/>
      <c r="AJ8" s="698"/>
      <c r="AK8" s="698"/>
      <c r="AL8" s="698"/>
      <c r="AM8" s="698"/>
      <c r="AN8" s="698"/>
      <c r="AO8" s="698"/>
      <c r="AP8" s="698"/>
      <c r="AQ8" s="698"/>
      <c r="AR8" s="698"/>
      <c r="AS8" s="698"/>
      <c r="AT8" s="698"/>
      <c r="AU8" s="698"/>
      <c r="AV8" s="698"/>
      <c r="AW8" s="698"/>
      <c r="AX8" s="698"/>
      <c r="AY8" s="698"/>
      <c r="AZ8" s="698"/>
      <c r="BA8" s="698"/>
      <c r="BB8" s="698"/>
      <c r="BC8" s="698"/>
      <c r="BD8" s="698"/>
      <c r="BE8" s="698"/>
      <c r="BF8" s="698"/>
      <c r="BG8" s="698"/>
      <c r="BH8" s="698"/>
      <c r="BI8" s="698"/>
      <c r="BJ8" s="698"/>
      <c r="BK8" s="698"/>
      <c r="BL8" s="698"/>
      <c r="BM8" s="698"/>
      <c r="BN8" s="698"/>
      <c r="BO8" s="698"/>
      <c r="BP8" s="698"/>
      <c r="BQ8" s="698"/>
      <c r="BR8" s="698"/>
      <c r="BS8" s="698"/>
      <c r="BT8" s="698"/>
      <c r="BU8" s="698"/>
      <c r="BV8" s="698"/>
      <c r="BW8" s="698"/>
      <c r="BX8" s="698"/>
      <c r="BY8" s="698"/>
      <c r="BZ8" s="698"/>
      <c r="CA8" s="698"/>
      <c r="CB8" s="698"/>
      <c r="CC8" s="698"/>
      <c r="CD8" s="698"/>
      <c r="CE8" s="698"/>
      <c r="CF8" s="698"/>
      <c r="CG8" s="698"/>
      <c r="CH8" s="698"/>
      <c r="CI8" s="698"/>
      <c r="CJ8" s="698"/>
      <c r="CK8" s="698"/>
      <c r="CL8" s="698"/>
      <c r="CM8" s="698"/>
      <c r="CN8" s="698"/>
      <c r="CO8" s="698"/>
      <c r="CP8" s="698"/>
      <c r="CQ8" s="698"/>
      <c r="CR8" s="698"/>
      <c r="CS8" s="698"/>
      <c r="CT8" s="698"/>
      <c r="CU8" s="698"/>
      <c r="CV8" s="698"/>
      <c r="CW8" s="698"/>
      <c r="CX8" s="698"/>
      <c r="CY8" s="698"/>
      <c r="CZ8" s="698"/>
      <c r="DA8" s="698"/>
      <c r="DB8" s="698"/>
      <c r="DC8" s="698"/>
      <c r="DD8" s="698"/>
      <c r="DE8" s="698"/>
      <c r="DF8" s="698"/>
      <c r="DG8" s="698"/>
      <c r="DH8" s="698"/>
      <c r="DI8" s="698"/>
      <c r="DJ8" s="698"/>
      <c r="DK8" s="698"/>
      <c r="DL8" s="698"/>
      <c r="DM8" s="698"/>
      <c r="DN8" s="698"/>
      <c r="DO8" s="698"/>
      <c r="DP8" s="698"/>
      <c r="DQ8" s="698"/>
      <c r="DR8" s="698"/>
      <c r="DS8" s="698"/>
      <c r="DT8" s="698"/>
      <c r="DU8" s="698"/>
      <c r="DV8" s="698"/>
      <c r="DW8" s="698"/>
      <c r="DX8" s="698"/>
      <c r="DY8" s="698"/>
      <c r="DZ8" s="698"/>
      <c r="EA8" s="698"/>
      <c r="EB8" s="698"/>
      <c r="EC8" s="698"/>
      <c r="ED8" s="698"/>
      <c r="EE8" s="698"/>
      <c r="EF8" s="698"/>
      <c r="EG8" s="698"/>
      <c r="EH8" s="698"/>
      <c r="EI8" s="698"/>
      <c r="EJ8" s="698"/>
      <c r="EK8" s="698"/>
      <c r="EL8" s="698"/>
      <c r="EM8" s="698"/>
      <c r="EN8" s="698"/>
      <c r="EO8" s="698"/>
      <c r="EP8" s="698"/>
      <c r="EQ8" s="698"/>
      <c r="ER8" s="698"/>
      <c r="ES8" s="698"/>
      <c r="ET8" s="698"/>
      <c r="EU8" s="698"/>
      <c r="EV8" s="698"/>
      <c r="EW8" s="698"/>
      <c r="EX8" s="698"/>
      <c r="EY8" s="698"/>
      <c r="EZ8" s="698"/>
      <c r="FA8" s="698"/>
      <c r="FB8" s="698"/>
      <c r="FC8" s="698"/>
      <c r="FD8" s="698"/>
      <c r="FE8" s="698"/>
      <c r="FF8" s="698"/>
      <c r="FG8" s="698"/>
      <c r="FH8" s="698"/>
      <c r="FI8" s="698"/>
      <c r="FJ8" s="698"/>
      <c r="FK8" s="698"/>
      <c r="FL8" s="698"/>
      <c r="FM8" s="698"/>
      <c r="FN8" s="698"/>
      <c r="FO8" s="698"/>
      <c r="FP8" s="698"/>
      <c r="FQ8" s="698"/>
      <c r="FR8" s="698"/>
      <c r="FS8" s="698"/>
      <c r="FT8" s="698"/>
      <c r="FU8" s="698"/>
      <c r="FV8" s="698"/>
      <c r="FW8" s="698"/>
      <c r="FX8" s="698"/>
      <c r="FY8" s="698"/>
      <c r="FZ8" s="698"/>
      <c r="GA8" s="698"/>
      <c r="GB8" s="698"/>
      <c r="GC8" s="698"/>
      <c r="GD8" s="698"/>
      <c r="GE8" s="698"/>
      <c r="GF8" s="698"/>
      <c r="GG8" s="698"/>
      <c r="GH8" s="698"/>
      <c r="GI8" s="698"/>
      <c r="GJ8" s="698"/>
      <c r="GK8" s="698"/>
      <c r="GL8" s="698"/>
      <c r="GM8" s="698"/>
      <c r="GN8" s="698"/>
      <c r="GO8" s="698"/>
      <c r="GP8" s="698"/>
      <c r="GQ8" s="698"/>
      <c r="GR8" s="698"/>
      <c r="GS8" s="698"/>
      <c r="GT8" s="698"/>
      <c r="GU8" s="698"/>
      <c r="GV8" s="698"/>
      <c r="GW8" s="698"/>
      <c r="GX8" s="698"/>
      <c r="GY8" s="698"/>
      <c r="GZ8" s="698"/>
      <c r="HA8" s="698"/>
      <c r="HB8" s="698"/>
      <c r="HC8" s="698"/>
      <c r="HD8" s="698"/>
      <c r="HE8" s="698"/>
      <c r="HF8" s="698"/>
      <c r="HG8" s="698"/>
      <c r="HH8" s="698"/>
      <c r="HI8" s="698"/>
      <c r="HJ8" s="698"/>
      <c r="HK8" s="698"/>
      <c r="HL8" s="698"/>
      <c r="HM8" s="698"/>
      <c r="HN8" s="698"/>
      <c r="HO8" s="698"/>
      <c r="HP8" s="698"/>
      <c r="HQ8" s="698"/>
      <c r="HR8" s="698"/>
      <c r="HS8" s="698"/>
      <c r="HT8" s="698"/>
      <c r="HU8" s="698"/>
      <c r="HV8" s="698"/>
      <c r="HW8" s="698"/>
      <c r="HX8" s="698"/>
      <c r="HY8" s="698"/>
      <c r="HZ8" s="698"/>
      <c r="IA8" s="698"/>
      <c r="IB8" s="698"/>
      <c r="IC8" s="698"/>
      <c r="ID8" s="698"/>
      <c r="IE8" s="698"/>
      <c r="IF8" s="698"/>
      <c r="IG8" s="698"/>
      <c r="IH8" s="698"/>
    </row>
    <row r="9">
      <c r="A9" s="598"/>
      <c r="B9" s="614" t="str">
        <f t="shared" si="2"/>
        <v/>
      </c>
      <c r="C9" s="705"/>
      <c r="D9" s="679"/>
      <c r="E9" s="692"/>
      <c r="F9" s="659" t="str">
        <f>IFERROR(__xludf.DUMMYFUNCTION("IFERROR(IF(H9 = """", """",
    SWITCH($W$37,
        ""Total"", "" "" &amp; FORMAT_NUMBER(H9),
        ""Daily"", LET(Lab_name, IF(REGEXMATCH(E9, ""Mastery""), ""Card Mastery"", E9),
            Level, IF(ISBETWEEN(C9, VLOOKUP(E9, $AD:$AG, 2, FALSE), VLOOKUP"&amp;"(E9, $AD:$AG, 4, FALSE), TRUE, FALSE), C9, VLOOKUP(E9, $AD:$AG, 2, FALSE)),
            IF(LABCOST_SINGLE_ADJUSTED(Lab_name, Level + 1) = 0, ""0 (Max)"",
            "" "" &amp; FORMAT_NUMBER(            
                    LABCOST_SINGLE_ADJUSTED(Lab_name, "&amp;"Level + 1) / 
                    (LABDURATION_SINGLE_ADJUSTED(Lab_name, Level + 1) /
                    (1 * REGEXEXTRACT(F$2, ""[\d.-]+"")))))),
        ""Gem Rush"", LET(
            Labspeed, IF(E9=""Labs Speed"", 1+'Master Sheet'!$BK$5, LAB_SPEED_TO"&amp;"TAL()),
            Start_Level, IF(C9 = """",
                VLOOKUP(E9, $AD:$AG, 2, false),
                IF(ISBETWEEN(C9, VALUE(VLOOKUP(E9, $AD:$AG, 2, false)), VALUE(VLOOKUP(E9, $AD:$AG, 4, false))), C9, """")),
            End_Level, IF(OR(D9 = """&amp;""", NOT(ISBETWEEN(D9, VALUE(VLOOKUP(E9, $AD:$AG, 2, false)), VALUE(VLOOKUP(E9, $AD:$AG, 4, false)),0,1))),
                SWITCH($W$38,
                    ""Max"", VLOOKUP(E9, $AD:$AG, 4, false),
                    ""Target"", IF(VLOOKUP(E9, $AD:$AG, 3"&amp;", false) &lt;&gt; """", VLOOKUP(E9, $AD:$AG, 3, false), VLOOKUP(E9, $AD:$AG, 4, false))),
                    D9),
            SUM(ARRAYFORMULA(TIME_TO_RUSH_GEMS( OFFSET(DVT_Laboratory!$A$3, Start_Level , IF(ISNUMBER(SEARCH(""mastery"", E9)), MATCH(""Card Maste"&amp;"ry"", DVT_Laboratory!$A$1:$LO$1, 0), MATCH(E9, DVT_Laboratory!$A$1:$LO$1, 0)) - 1, End_Level - Start_Level, 1) / Labspeed, IDS_LAB_GODLBOXED_COUNT())))))))"),"")</f>
        <v/>
      </c>
      <c r="G9" s="693" t="str">
        <f t="shared" si="3"/>
        <v/>
      </c>
      <c r="H9" s="620" t="str">
        <f>IFERROR(__xludf.DUMMYFUNCTION("IFS(E9 = """", """", 
    VLOOKUP(E9, $AD:$AG, 2, false) = VLOOKUP(E9, $AD:$AG, 4, false), ""MAX Level"",
    AND(VLOOKUP(E9, $AD:$AG, 3, false) &lt;&gt; """", VLOOKUP(E9, $AD:$AG, 2, false) = VLOOKUP(E9, $AD:$AG, 3, false)), ""At Target"",
    TRUE,
    IFERRO"&amp;"R(LET(Start_Level, IF(C9 = """",
            VLOOKUP(E9, $AD:$AG, 2, false),
            IF(ISBETWEEN(C9, VALUE(VLOOKUP(E9, $AD:$AG, 2, false)), VALUE(VLOOKUP(E9, $AD:$AG, 4, false))), C9, """")),
        End_Level, IF(OR(D9 = """", NOT(ISBETWEEN(D9, VALU"&amp;"E(VLOOKUP(E9, $AD:$AG, 2, false)), VALUE(VLOOKUP(E9, $AD:$AG, 4, false)),0,1))),
            SWITCH($W$38,
                ""Max"", VLOOKUP(E9, $AD:$AG, 4, false),
                ""Target"", IF(VLOOKUP(E9, $AD:$AG, 3, false) &lt;&gt; """", VLOOKUP(E9, $AD:$AG,"&amp;" 3, false), VLOOKUP(E9, $AD:$AG, 4, false))),
            D9),
        SUM(OFFSET(DVT_Laboratory!$A$3, Start_Level , IF(ISNUMBER(SEARCH(""mastery"", E9)), MATCH(""Card Mastery"", DVT_Laboratory!$A$1:$MY$1, 0), MATCH(E9, DVT_Laboratory!$A$1:$MY$1, 0)), End"&amp;"_Level - Start_Level, 1)) * (1-LAB_COIN_DISCOUNT())), ""Levels Error!""))"),"")</f>
        <v/>
      </c>
      <c r="I9" s="621" t="str">
        <f>IFERROR(__xludf.DUMMYFUNCTION("IFS(E9 = """", """", 
    VLOOKUP(E9, $AD:$AG, 2, false) = VLOOKUP(E9, $AD:$AG, 4, false), ""MAX Level"",
    AND(VLOOKUP(E9, $AD:$AG, 3, false) &lt;&gt; """", VLOOKUP(E9, $AD:$AG, 2, false) = VLOOKUP(E9, $AD:$AG, 3, false)), ""At Target"",
    TRUE,
    IFERRO"&amp;"R(LET(
        Labspeed, IF(E9=""Labs Speed"", 1+'Master Sheet'!$BK$5, LAB_SPEED_TOTAL()),
        Start_Level, IF(C9 = """",
            VLOOKUP(E9, $AD:$AG, 2, false),
            IF(ISBETWEEN(C9, VALUE(VLOOKUP(E9, $AD:$AG, 2, false)), VALUE(VLOOKUP(E9,"&amp;" $AD:$AG, 4, false))), C9, """")),
        End_Level, IF(OR(D9 = """", NOT(ISBETWEEN(D9, VALUE(VLOOKUP(E9, $AD:$AG, 2, false)), VALUE(VLOOKUP(E9, $AD:$AG, 4, false)),0,1))),
            SWITCH($W$38,
                ""Max"", VLOOKUP(E9, $AD:$AG, 4, false)"&amp;",
                ""Target"", IF(VLOOKUP(E9, $AD:$AG, 3, false) &lt;&gt; """", VLOOKUP(E9, $AD:$AG, 3, false), VLOOKUP(E9, $AD:$AG, 4, false))),
            D9),
        SUM(OFFSET(DVT_Laboratory!$A$3, Start_Level , IF(ISNUMBER(SEARCH(""mastery"", E9)), MATCH("&amp;"""Card Mastery"", DVT_Laboratory!$A$1:$MY$1, 0), MATCH(E9, DVT_Laboratory!$A$1:$MY$1, 0)) - 1, End_Level - Start_Level, 1)) /
                (1 * REGEXEXTRACT(F$2, ""[\d.-]+"")) /
                Labspeed), ""Levels Error!""))"),"")</f>
        <v/>
      </c>
      <c r="J9" s="640" t="str">
        <f t="shared" si="4"/>
        <v/>
      </c>
      <c r="K9" s="699"/>
      <c r="L9" s="700"/>
      <c r="M9" s="706"/>
      <c r="N9" s="707" t="str">
        <f>IFERROR(__xludf.DUMMYFUNCTION("IFERROR(IF(P9 = """", """",
    SWITCH($W$37,
        ""Total"", "" "" &amp; FORMAT_NUMBER(P9),
        ""Daily"", LET(Lab_name, IF(REGEXMATCH(M9, ""Mastery""), ""Card Mastery"", M9),
            Level, IF(ISBETWEEN(K9, VLOOKUP(M9, $AD:$AG, 2, FALSE), VLOOKUP"&amp;"(M9, $AD:$AG, 4, FALSE), TRUE, FALSE), K9, VLOOKUP(M9, $AD:$AG, 2, FALSE)),
            IF(LABCOST_SINGLE_ADJUSTED(Lab_name, Level + 1) = 0, ""0 (Max)"",
            "" "" &amp; FORMAT_NUMBER(            
                    LABCOST_SINGLE_ADJUSTED(Lab_name, "&amp;"Level + 1) / 
                    (LABDURATION_SINGLE_ADJUSTED(Lab_name, Level + 1) /
                    (1 * REGEXEXTRACT(N$2, ""[\d.-]+"")))))),
        ""Gem Rush"", LET(
            Labspeed, IF(M9=""Labs Speed"", 1+'Master Sheet'!$BK$5, LAB_SPEED_TO"&amp;"TAL()),
            Start_Level, IF(K9 = """",
                VLOOKUP(M9, $AD:$AG, 2, false),
                IF(ISBETWEEN(K9, VALUE(VLOOKUP(M9, $AD:$AG, 2, false)), VALUE(VLOOKUP(M9, $AD:$AG, 4, false))), K9, """")),
            End_Level, IF(OR(L9 = """&amp;""", NOT(ISBETWEEN(L9, VALUE(VLOOKUP(M9, $AD:$AG, 2, false)), VALUE(VLOOKUP(M9, $AD:$AG, 4, false)),0,1))),
                SWITCH($W$38,
                    ""Max"", VLOOKUP(M9, $AD:$AG, 4, false),
                    ""Target"", IF(VLOOKUP(M9, $AD:$AG, 3"&amp;", false) &lt;&gt; """", VLOOKUP(M9, $AD:$AG, 3, false), VLOOKUP(M9, $AD:$AG, 4, false))),
                    L9),
            SUM(ARRAYFORMULA(TIME_TO_RUSH_GEMS( OFFSET(DVT_Laboratory!$A$3, Start_Level , IF(ISNUMBER(SEARCH(""mastery"", M9)), MATCH(""Card Maste"&amp;"ry"", DVT_Laboratory!$A$1:$LO$1, 0), MATCH(M9, DVT_Laboratory!$A$1:$LO$1, 0)) - 1, End_Level - Start_Level, 1) / Labspeed, IDS_LAB_GODLBOXED_COUNT())))))))"),"")</f>
        <v/>
      </c>
      <c r="O9" s="695" t="str">
        <f t="shared" si="5"/>
        <v/>
      </c>
      <c r="P9" s="625" t="str">
        <f>IFERROR(__xludf.DUMMYFUNCTION("IFS(M9 = """", """", 
    VLOOKUP(M9, $AD:$AG, 2, false) = VLOOKUP(M9, $AD:$AG, 4, false), ""MAX Level"",
    AND(VLOOKUP(M9, $AD:$AG, 3, false) &lt;&gt; """", VLOOKUP(M9, $AD:$AG, 2, false) = VLOOKUP(M9, $AD:$AG, 3, false)), ""At Target"",
    TRUE,
    IFERRO"&amp;"R(LET(Start_Level, IF(K9 = """",
            VLOOKUP(M9, $AD:$AG, 2, false),
            IF(ISBETWEEN(K9, VALUE(VLOOKUP(M9, $AD:$AG, 2, false)), VALUE(VLOOKUP(M9, $AD:$AG, 4, false))), K9, """")),
        End_Level, IF(OR(L9 = """", NOT(ISBETWEEN(L9, VALU"&amp;"E(VLOOKUP(M9, $AD:$AG, 2, false)), VALUE(VLOOKUP(M9, $AD:$AG, 4, false)),0,1))),
            SWITCH($W$38,
                ""Max"", VLOOKUP(M9, $AD:$AG, 4, false),
                ""Target"", IF(VLOOKUP(M9, $AD:$AG, 3, false) &lt;&gt; """", VLOOKUP(M9, $AD:$AG,"&amp;" 3, false), VLOOKUP(M9, $AD:$AG, 4, false))),
            L9),
        SUM(OFFSET(DVT_Laboratory!$A$3, Start_Level , IF(ISNUMBER(SEARCH(""mastery"", M9)), MATCH(""Card Mastery"", DVT_Laboratory!$A$1:$MY$1, 0), MATCH(M9, DVT_Laboratory!$A$1:$MY$1, 0)), End"&amp;"_Level - Start_Level, 1)) * (1-LAB_COIN_DISCOUNT())), ""Levels Error!""))"),"")</f>
        <v/>
      </c>
      <c r="Q9" s="626" t="str">
        <f>IFERROR(__xludf.DUMMYFUNCTION("IFS(M9 = """", """", 
    VLOOKUP(M9, $AD:$AG, 2, false) = VLOOKUP(M9, $AD:$AG, 4, false), ""MAX Level"",
    AND(VLOOKUP(M9, $AD:$AG, 3, false) &lt;&gt; """", VLOOKUP(M9, $AD:$AG, 2, false) = VLOOKUP(M9, $AD:$AG, 3, false)), ""At Target"",
    TRUE,
    IFERRO"&amp;"R(LET(
        Labspeed, IF(M9=""Labs Speed"", 1+'Master Sheet'!$BK$5, LAB_SPEED_TOTAL()),
        Start_Level, IF(K9 = """",
            VLOOKUP(M9, $AD:$AG, 2, false),
            IF(ISBETWEEN(K9, VALUE(VLOOKUP(M9, $AD:$AG, 2, false)), VALUE(VLOOKUP(M9,"&amp;" $AD:$AG, 4, false))), K9, """")),
        End_Level, IF(OR(L9 = """", NOT(ISBETWEEN(L9, VALUE(VLOOKUP(M9, $AD:$AG, 2, false)), VALUE(VLOOKUP(M9, $AD:$AG, 4, false)),0,1))),
            SWITCH($W$38,
                ""Max"", VLOOKUP(M9, $AD:$AG, 4, false)"&amp;",
                ""Target"", IF(VLOOKUP(M9, $AD:$AG, 3, false) &lt;&gt; """", VLOOKUP(M9, $AD:$AG, 3, false), VLOOKUP(M9, $AD:$AG, 4, false))),
            L9),
        SUM(OFFSET(DVT_Laboratory!$A$3, Start_Level , IF(ISNUMBER(SEARCH(""mastery"", M9)), MATCH("&amp;"""Card Mastery"", DVT_Laboratory!$A$1:$MY$1, 0), MATCH(M9, DVT_Laboratory!$A$1:$MY$1, 0)) - 1, End_Level - Start_Level, 1)) /
                (1 * REGEXEXTRACT(N$2, ""[\d.-]+"")) /
                Labspeed), ""Levels Error!""))"),"")</f>
        <v/>
      </c>
      <c r="R9" s="642" t="str">
        <f t="shared" si="6"/>
        <v/>
      </c>
      <c r="S9" s="686"/>
      <c r="T9" s="687"/>
      <c r="U9" s="702"/>
      <c r="V9" s="689" t="str">
        <f>IFERROR(__xludf.DUMMYFUNCTION("IFERROR(IF(X9 = """", """",
    SWITCH($W$37,
        ""Total"", "" "" &amp; FORMAT_NUMBER(X9),
        ""Daily"", LET(Lab_name, IF(REGEXMATCH(U9, ""Mastery""), ""Card Mastery"", U9),
            Level, IF(ISBETWEEN(S9, VLOOKUP(U9, $AD:$AG, 2, FALSE), VLOOKUP"&amp;"(U9, $AD:$AG, 4, FALSE), TRUE, FALSE), S9, VLOOKUP(U9, $AD:$AG, 2, FALSE)),
            IF(LABCOST_SINGLE_ADJUSTED(Lab_name, Level + 1) = 0, ""0 (Max)"",
            "" "" &amp; FORMAT_NUMBER(            
                    LABCOST_SINGLE_ADJUSTED(Lab_name, "&amp;"Level + 1) / 
                    (LABDURATION_SINGLE_ADJUSTED(Lab_name, Level + 1) /
                    (1 * REGEXEXTRACT(V$2, ""[\d.-]+"")))))),
        ""Gem Rush"", LET(
            Labspeed, IF(U9=""Labs Speed"", 1+'Master Sheet'!$BK$5, LAB_SPEED_TO"&amp;"TAL()),
            Start_Level, IF(S9 = """",
                VLOOKUP(U9, $AD:$AG, 2, false),
                IF(ISBETWEEN(S9, VALUE(VLOOKUP(U9, $AD:$AG, 2, false)), VALUE(VLOOKUP(U9, $AD:$AG, 4, false))), S9, """")),
            End_Level, IF(OR(T9 = """&amp;""", NOT(ISBETWEEN(T9, VALUE(VLOOKUP(U9, $AD:$AG, 2, false)), VALUE(VLOOKUP(U9, $AD:$AG, 4, false)),0,1))),
                SWITCH($W$38,
                    ""Max"", VLOOKUP(U9, $AD:$AG, 4, false),
                    ""Target"", IF(VLOOKUP(U9, $AD:$AG, 3"&amp;", false) &lt;&gt; """", VLOOKUP(U9, $AD:$AG, 3, false), VLOOKUP(U9, $AD:$AG, 4, false))),
                    T9),
            SUM(ARRAYFORMULA(TIME_TO_RUSH_GEMS( OFFSET(DVT_Laboratory!$A$3, Start_Level , IF(ISNUMBER(SEARCH(""mastery"", U9)), MATCH(""Card Maste"&amp;"ry"", DVT_Laboratory!$A$1:$LO$1, 0), MATCH(U9, DVT_Laboratory!$A$1:$LO$1, 0)) - 1, End_Level - Start_Level, 1) / Labspeed, IDS_LAB_GODLBOXED_COUNT())))))))"),"")</f>
        <v/>
      </c>
      <c r="W9" s="690" t="str">
        <f t="shared" si="7"/>
        <v/>
      </c>
      <c r="X9" s="675" t="str">
        <f>IFERROR(__xludf.DUMMYFUNCTION("IFS(U9 = """", """", 
    VLOOKUP(U9, $AD:$AG, 2, false) = VLOOKUP(U9, $AD:$AG, 4, false), ""MAX Level"",
    AND(VLOOKUP(U9, $AD:$AG, 3, false) &lt;&gt; """", VLOOKUP(U9, $AD:$AG, 2, false) = VLOOKUP(U9, $AD:$AG, 3, false)), ""At Target"",
    TRUE,
    IFERRO"&amp;"R(LET(Start_Level, IF(S9 = """",
            VLOOKUP(U9, $AD:$AG, 2, false),
            IF(ISBETWEEN(S9, VALUE(VLOOKUP(U9, $AD:$AG, 2, false)), VALUE(VLOOKUP(U9, $AD:$AG, 4, false))), S9, """")),
        End_Level, IF(OR(T9 = """", NOT(ISBETWEEN(T9, VALU"&amp;"E(VLOOKUP(U9, $AD:$AG, 2, false)), VALUE(VLOOKUP(U9, $AD:$AG, 4, false)),0,1))),
            SWITCH($W$38,
                ""Max"", VLOOKUP(U9, $AD:$AG, 4, false),
                ""Target"", IF(VLOOKUP(U9, $AD:$AG, 3, false) &lt;&gt; """", VLOOKUP(U9, $AD:$AG,"&amp;" 3, false), VLOOKUP(U9, $AD:$AG, 4, false))),
            T9),
        SUM(OFFSET(DVT_Laboratory!$A$3, Start_Level , IF(ISNUMBER(SEARCH(""mastery"", U9)), MATCH(""Card Mastery"", DVT_Laboratory!$A$1:$MY$1, 0), MATCH(U9, DVT_Laboratory!$A$1:$MY$1, 0)), End"&amp;"_Level - Start_Level, 1)) * (1-LAB_COIN_DISCOUNT())), ""Levels Error!""))"),"")</f>
        <v/>
      </c>
      <c r="Y9" s="676" t="str">
        <f>IFERROR(__xludf.DUMMYFUNCTION("IFS(U9 = """", """", 
    VLOOKUP(U9, $AD:$AG, 2, false) = VLOOKUP(U9, $AD:$AG, 4, false), ""MAX Level"",
    AND(VLOOKUP(U9, $AD:$AG, 3, false) &lt;&gt; """", VLOOKUP(U9, $AD:$AG, 2, false) = VLOOKUP(U9, $AD:$AG, 3, false)), ""At Target"",
    TRUE,
    IFERRO"&amp;"R(LET(
        Labspeed, IF(U9=""Labs Speed"", 1+'Master Sheet'!$BK$5, LAB_SPEED_TOTAL()),
        Start_Level, IF(S9 = """",
            VLOOKUP(U9, $AD:$AG, 2, false),
            IF(ISBETWEEN(S9, VALUE(VLOOKUP(U9, $AD:$AG, 2, false)), VALUE(VLOOKUP(U9,"&amp;" $AD:$AG, 4, false))), S9, """")),
        End_Level, IF(OR(T9 = """", NOT(ISBETWEEN(T9, VALUE(VLOOKUP(U9, $AD:$AG, 2, false)), VALUE(VLOOKUP(U9, $AD:$AG, 4, false)),0,1))),
            SWITCH($W$38,
                ""Max"", VLOOKUP(U9, $AD:$AG, 4, false)"&amp;",
                ""Target"", IF(VLOOKUP(U9, $AD:$AG, 3, false) &lt;&gt; """", VLOOKUP(U9, $AD:$AG, 3, false), VLOOKUP(U9, $AD:$AG, 4, false))),
            T9),
        SUM(OFFSET(DVT_Laboratory!$A$3, Start_Level , IF(ISNUMBER(SEARCH(""mastery"", U9)), MATCH("&amp;"""Card Mastery"", DVT_Laboratory!$A$1:$MY$1, 0), MATCH(U9, DVT_Laboratory!$A$1:$MY$1, 0)) - 1, End_Level - Start_Level, 1)) /
                (1 * REGEXEXTRACT(V$2, ""[\d.-]+"")) /
                Labspeed), ""Levels Error!""))"),"")</f>
        <v/>
      </c>
      <c r="Z9" s="598"/>
      <c r="AA9" s="644" t="s">
        <v>425</v>
      </c>
      <c r="AB9" s="708" t="s">
        <v>426</v>
      </c>
      <c r="AC9" s="613" t="str">
        <f>IFERROR(__xludf.DUMMYFUNCTION("""COMPUTED_VALUE"""),"Assist Module Bonus - Core")</f>
        <v>Assist Module Bonus - Core</v>
      </c>
      <c r="AD9" s="655" t="s">
        <v>341</v>
      </c>
      <c r="AE9" s="613">
        <v>0.0</v>
      </c>
      <c r="AF9" s="613"/>
      <c r="AG9" s="613">
        <v>30.0</v>
      </c>
      <c r="AH9" s="634" t="str">
        <f t="shared" si="1"/>
        <v/>
      </c>
      <c r="AI9" s="613"/>
      <c r="AJ9" s="613"/>
      <c r="AK9" s="613"/>
      <c r="AL9" s="613"/>
      <c r="AM9" s="613"/>
      <c r="AN9" s="613"/>
      <c r="AO9" s="613"/>
      <c r="AP9" s="613"/>
      <c r="AQ9" s="613"/>
      <c r="AR9" s="613"/>
      <c r="AS9" s="613"/>
      <c r="AT9" s="613"/>
      <c r="AU9" s="613"/>
      <c r="AV9" s="613"/>
      <c r="AW9" s="613"/>
      <c r="AX9" s="613"/>
      <c r="AY9" s="613"/>
      <c r="AZ9" s="613"/>
      <c r="BA9" s="613"/>
      <c r="BB9" s="613"/>
      <c r="BC9" s="613"/>
      <c r="BD9" s="613"/>
      <c r="BE9" s="613"/>
      <c r="BF9" s="613"/>
      <c r="BG9" s="613"/>
      <c r="BH9" s="613"/>
      <c r="BI9" s="613"/>
      <c r="BJ9" s="613"/>
      <c r="BK9" s="613"/>
      <c r="BL9" s="613"/>
      <c r="BM9" s="613"/>
      <c r="BN9" s="613"/>
      <c r="BO9" s="613"/>
      <c r="BP9" s="613"/>
      <c r="BQ9" s="613"/>
      <c r="BR9" s="613"/>
      <c r="BS9" s="613"/>
      <c r="BT9" s="613"/>
      <c r="BU9" s="613"/>
      <c r="BV9" s="613"/>
      <c r="BW9" s="613"/>
      <c r="BX9" s="613"/>
      <c r="BY9" s="613"/>
      <c r="BZ9" s="613"/>
      <c r="CA9" s="613"/>
      <c r="CB9" s="613"/>
      <c r="CC9" s="613"/>
      <c r="CD9" s="613"/>
      <c r="CE9" s="613"/>
      <c r="CF9" s="613"/>
      <c r="CG9" s="613"/>
      <c r="CH9" s="613"/>
      <c r="CI9" s="613"/>
      <c r="CJ9" s="613"/>
      <c r="CK9" s="613"/>
      <c r="CL9" s="613"/>
      <c r="CM9" s="613"/>
      <c r="CN9" s="613"/>
      <c r="CO9" s="613"/>
      <c r="CP9" s="613"/>
      <c r="CQ9" s="613"/>
      <c r="CR9" s="613"/>
      <c r="CS9" s="613"/>
      <c r="CT9" s="613"/>
      <c r="CU9" s="613"/>
      <c r="CV9" s="613"/>
      <c r="CW9" s="613"/>
      <c r="CX9" s="613"/>
      <c r="CY9" s="613"/>
      <c r="CZ9" s="613"/>
      <c r="DA9" s="613"/>
      <c r="DB9" s="613"/>
      <c r="DC9" s="613"/>
      <c r="DD9" s="613"/>
      <c r="DE9" s="613"/>
      <c r="DF9" s="613"/>
      <c r="DG9" s="613"/>
      <c r="DH9" s="613"/>
      <c r="DI9" s="613"/>
      <c r="DJ9" s="613"/>
      <c r="DK9" s="613"/>
      <c r="DL9" s="613"/>
      <c r="DM9" s="613"/>
      <c r="DN9" s="613"/>
      <c r="DO9" s="613"/>
      <c r="DP9" s="613"/>
      <c r="DQ9" s="613"/>
      <c r="DR9" s="613"/>
      <c r="DS9" s="613"/>
      <c r="DT9" s="613"/>
      <c r="DU9" s="613"/>
      <c r="DV9" s="613"/>
      <c r="DW9" s="613"/>
      <c r="DX9" s="613"/>
      <c r="DY9" s="613"/>
      <c r="DZ9" s="613"/>
      <c r="EA9" s="613"/>
      <c r="EB9" s="613"/>
      <c r="EC9" s="613"/>
      <c r="ED9" s="613"/>
      <c r="EE9" s="613"/>
      <c r="EF9" s="613"/>
      <c r="EG9" s="613"/>
      <c r="EH9" s="613"/>
      <c r="EI9" s="613"/>
      <c r="EJ9" s="613"/>
      <c r="EK9" s="613"/>
      <c r="EL9" s="613"/>
      <c r="EM9" s="613"/>
      <c r="EN9" s="613"/>
      <c r="EO9" s="613"/>
      <c r="EP9" s="613"/>
      <c r="EQ9" s="613"/>
      <c r="ER9" s="613"/>
      <c r="ES9" s="613"/>
      <c r="ET9" s="613"/>
      <c r="EU9" s="613"/>
      <c r="EV9" s="613"/>
      <c r="EW9" s="613"/>
      <c r="EX9" s="613"/>
      <c r="EY9" s="613"/>
      <c r="EZ9" s="613"/>
      <c r="FA9" s="613"/>
      <c r="FB9" s="613"/>
      <c r="FC9" s="613"/>
      <c r="FD9" s="613"/>
      <c r="FE9" s="613"/>
      <c r="FF9" s="613"/>
      <c r="FG9" s="613"/>
      <c r="FH9" s="613"/>
      <c r="FI9" s="613"/>
      <c r="FJ9" s="613"/>
      <c r="FK9" s="613"/>
      <c r="FL9" s="613"/>
      <c r="FM9" s="613"/>
      <c r="FN9" s="613"/>
      <c r="FO9" s="613"/>
      <c r="FP9" s="613"/>
      <c r="FQ9" s="613"/>
      <c r="FR9" s="613"/>
      <c r="FS9" s="613"/>
      <c r="FT9" s="613"/>
      <c r="FU9" s="613"/>
      <c r="FV9" s="613"/>
      <c r="FW9" s="613"/>
      <c r="FX9" s="613"/>
      <c r="FY9" s="613"/>
      <c r="FZ9" s="613"/>
      <c r="GA9" s="613"/>
      <c r="GB9" s="613"/>
      <c r="GC9" s="613"/>
      <c r="GD9" s="613"/>
      <c r="GE9" s="613"/>
      <c r="GF9" s="613"/>
      <c r="GG9" s="613"/>
      <c r="GH9" s="613"/>
      <c r="GI9" s="613"/>
      <c r="GJ9" s="613"/>
      <c r="GK9" s="613"/>
      <c r="GL9" s="613"/>
      <c r="GM9" s="613"/>
      <c r="GN9" s="613"/>
      <c r="GO9" s="613"/>
      <c r="GP9" s="613"/>
      <c r="GQ9" s="613"/>
      <c r="GR9" s="613"/>
      <c r="GS9" s="613"/>
      <c r="GT9" s="613"/>
      <c r="GU9" s="613"/>
      <c r="GV9" s="613"/>
      <c r="GW9" s="613"/>
      <c r="GX9" s="613"/>
      <c r="GY9" s="613"/>
      <c r="GZ9" s="613"/>
      <c r="HA9" s="613"/>
      <c r="HB9" s="613"/>
      <c r="HC9" s="613"/>
      <c r="HD9" s="613"/>
      <c r="HE9" s="613"/>
      <c r="HF9" s="613"/>
      <c r="HG9" s="613"/>
      <c r="HH9" s="613"/>
      <c r="HI9" s="613"/>
      <c r="HJ9" s="613"/>
      <c r="HK9" s="613"/>
      <c r="HL9" s="613"/>
      <c r="HM9" s="613"/>
      <c r="HN9" s="613"/>
      <c r="HO9" s="613"/>
      <c r="HP9" s="613"/>
      <c r="HQ9" s="613"/>
      <c r="HR9" s="613"/>
      <c r="HS9" s="613"/>
      <c r="HT9" s="613"/>
      <c r="HU9" s="613"/>
      <c r="HV9" s="613"/>
      <c r="HW9" s="613"/>
      <c r="HX9" s="613"/>
      <c r="HY9" s="613"/>
      <c r="HZ9" s="613"/>
      <c r="IA9" s="613"/>
      <c r="IB9" s="613"/>
      <c r="IC9" s="613"/>
      <c r="ID9" s="613"/>
      <c r="IE9" s="613"/>
      <c r="IF9" s="613"/>
      <c r="IG9" s="613"/>
      <c r="IH9" s="613"/>
    </row>
    <row r="10">
      <c r="A10" s="598"/>
      <c r="B10" s="614" t="str">
        <f t="shared" si="2"/>
        <v/>
      </c>
      <c r="C10" s="705"/>
      <c r="D10" s="679"/>
      <c r="E10" s="692"/>
      <c r="F10" s="659" t="str">
        <f>IFERROR(__xludf.DUMMYFUNCTION("IFERROR(IF(H10 = """", """",
    SWITCH($W$37,
        ""Total"", "" "" &amp; FORMAT_NUMBER(H10),
        ""Daily"", LET(Lab_name, IF(REGEXMATCH(E10, ""Mastery""), ""Card Mastery"", E10),
            Level, IF(ISBETWEEN(C10, VLOOKUP(E10, $AD:$AG, 2, FALSE), V"&amp;"LOOKUP(E10, $AD:$AG, 4, FALSE), TRUE, FALSE), C10, VLOOKUP(E10, $AD:$AG, 2, FALSE)),
            IF(LABCOST_SINGLE_ADJUSTED(Lab_name, Level + 1) = 0, ""0 (Max)"",
            "" "" &amp; FORMAT_NUMBER(            
                    LABCOST_SINGLE_ADJUSTED(L"&amp;"ab_name, Level + 1) / 
                    (LABDURATION_SINGLE_ADJUSTED(Lab_name, Level + 1) /
                    (1 * REGEXEXTRACT(F$2, ""[\d.-]+"")))))),
        ""Gem Rush"", LET(
            Labspeed, IF(E10=""Labs Speed"", 1+'Master Sheet'!$BK$5, LA"&amp;"B_SPEED_TOTAL()),
            Start_Level, IF(C10 = """",
                VLOOKUP(E10, $AD:$AG, 2, false),
                IF(ISBETWEEN(C10, VALUE(VLOOKUP(E10, $AD:$AG, 2, false)), VALUE(VLOOKUP(E10, $AD:$AG, 4, false))), C10, """")),
            End_Leve"&amp;"l, IF(OR(D10 = """", NOT(ISBETWEEN(D10, VALUE(VLOOKUP(E10, $AD:$AG, 2, false)), VALUE(VLOOKUP(E10, $AD:$AG, 4, false)),0,1))),
                SWITCH($W$38,
                    ""Max"", VLOOKUP(E10, $AD:$AG, 4, false),
                    ""Target"", IF(V"&amp;"LOOKUP(E10, $AD:$AG, 3, false) &lt;&gt; """", VLOOKUP(E10, $AD:$AG, 3, false), VLOOKUP(E10, $AD:$AG, 4, false))),
                    D10),
            SUM(ARRAYFORMULA(TIME_TO_RUSH_GEMS( OFFSET(DVT_Laboratory!$A$3, Start_Level , IF(ISNUMBER(SEARCH(""mastery"","&amp;" E10)), MATCH(""Card Mastery"", DVT_Laboratory!$A$1:$LO$1, 0), MATCH(E10, DVT_Laboratory!$A$1:$LO$1, 0)) - 1, End_Level - Start_Level, 1) / Labspeed, IDS_LAB_GODLBOXED_COUNT())))))))"),"")</f>
        <v/>
      </c>
      <c r="G10" s="693" t="str">
        <f t="shared" si="3"/>
        <v/>
      </c>
      <c r="H10" s="620" t="str">
        <f>IFERROR(__xludf.DUMMYFUNCTION("IFS(E10 = """", """", 
    VLOOKUP(E10, $AD:$AG, 2, false) = VLOOKUP(E10, $AD:$AG, 4, false), ""MAX Level"",
    AND(VLOOKUP(E10, $AD:$AG, 3, false) &lt;&gt; """", VLOOKUP(E10, $AD:$AG, 2, false) = VLOOKUP(E10, $AD:$AG, 3, false)), ""At Target"",
    TRUE,
    "&amp;"IFERROR(LET(Start_Level, IF(C10 = """",
            VLOOKUP(E10, $AD:$AG, 2, false),
            IF(ISBETWEEN(C10, VALUE(VLOOKUP(E10, $AD:$AG, 2, false)), VALUE(VLOOKUP(E10, $AD:$AG, 4, false))), C10, """")),
        End_Level, IF(OR(D10 = """", NOT(ISBET"&amp;"WEEN(D10, VALUE(VLOOKUP(E10, $AD:$AG, 2, false)), VALUE(VLOOKUP(E10, $AD:$AG, 4, false)),0,1))),
            SWITCH($W$38,
                ""Max"", VLOOKUP(E10, $AD:$AG, 4, false),
                ""Target"", IF(VLOOKUP(E10, $AD:$AG, 3, false) &lt;&gt; """", VL"&amp;"OOKUP(E10, $AD:$AG, 3, false), VLOOKUP(E10, $AD:$AG, 4, false))),
            D10),
        SUM(OFFSET(DVT_Laboratory!$A$3, Start_Level , IF(ISNUMBER(SEARCH(""mastery"", E10)), MATCH(""Card Mastery"", DVT_Laboratory!$A$1:$MY$1, 0), MATCH(E10, DVT_Laborato"&amp;"ry!$A$1:$MY$1, 0)), End_Level - Start_Level, 1)) * (1-LAB_COIN_DISCOUNT())), ""Levels Error!""))"),"")</f>
        <v/>
      </c>
      <c r="I10" s="621" t="str">
        <f>IFERROR(__xludf.DUMMYFUNCTION("IFS(E10 = """", """", 
    VLOOKUP(E10, $AD:$AG, 2, false) = VLOOKUP(E10, $AD:$AG, 4, false), ""MAX Level"",
    AND(VLOOKUP(E10, $AD:$AG, 3, false) &lt;&gt; """", VLOOKUP(E10, $AD:$AG, 2, false) = VLOOKUP(E10, $AD:$AG, 3, false)), ""At Target"",
    TRUE,
    "&amp;"IFERROR(LET(
        Labspeed, IF(E10=""Labs Speed"", 1+'Master Sheet'!$BK$5, LAB_SPEED_TOTAL()),
        Start_Level, IF(C10 = """",
            VLOOKUP(E10, $AD:$AG, 2, false),
            IF(ISBETWEEN(C10, VALUE(VLOOKUP(E10, $AD:$AG, 2, false)), VALUE("&amp;"VLOOKUP(E10, $AD:$AG, 4, false))), C10, """")),
        End_Level, IF(OR(D10 = """", NOT(ISBETWEEN(D10, VALUE(VLOOKUP(E10, $AD:$AG, 2, false)), VALUE(VLOOKUP(E10, $AD:$AG, 4, false)),0,1))),
            SWITCH($W$38,
                ""Max"", VLOOKUP(E10, "&amp;"$AD:$AG, 4, false),
                ""Target"", IF(VLOOKUP(E10, $AD:$AG, 3, false) &lt;&gt; """", VLOOKUP(E10, $AD:$AG, 3, false), VLOOKUP(E10, $AD:$AG, 4, false))),
            D10),
        SUM(OFFSET(DVT_Laboratory!$A$3, Start_Level , IF(ISNUMBER(SEARCH(""ma"&amp;"stery"", E10)), MATCH(""Card Mastery"", DVT_Laboratory!$A$1:$MY$1, 0), MATCH(E10, DVT_Laboratory!$A$1:$MY$1, 0)) - 1, End_Level - Start_Level, 1)) /
                (1 * REGEXEXTRACT(F$2, ""[\d.-]+"")) /
                Labspeed), ""Levels Error!""))"),"")</f>
        <v/>
      </c>
      <c r="J10" s="640" t="str">
        <f t="shared" si="4"/>
        <v/>
      </c>
      <c r="K10" s="699"/>
      <c r="L10" s="682"/>
      <c r="M10" s="709"/>
      <c r="N10" s="707" t="str">
        <f>IFERROR(__xludf.DUMMYFUNCTION("IFERROR(IF(P10 = """", """",
    SWITCH($W$37,
        ""Total"", "" "" &amp; FORMAT_NUMBER(P10),
        ""Daily"", LET(Lab_name, IF(REGEXMATCH(M10, ""Mastery""), ""Card Mastery"", M10),
            Level, IF(ISBETWEEN(K10, VLOOKUP(M10, $AD:$AG, 2, FALSE), V"&amp;"LOOKUP(M10, $AD:$AG, 4, FALSE), TRUE, FALSE), K10, VLOOKUP(M10, $AD:$AG, 2, FALSE)),
            IF(LABCOST_SINGLE_ADJUSTED(Lab_name, Level + 1) = 0, ""0 (Max)"",
            "" "" &amp; FORMAT_NUMBER(            
                    LABCOST_SINGLE_ADJUSTED(L"&amp;"ab_name, Level + 1) / 
                    (LABDURATION_SINGLE_ADJUSTED(Lab_name, Level + 1) /
                    (1 * REGEXEXTRACT(N$2, ""[\d.-]+"")))))),
        ""Gem Rush"", LET(
            Labspeed, IF(M10=""Labs Speed"", 1+'Master Sheet'!$BK$5, LA"&amp;"B_SPEED_TOTAL()),
            Start_Level, IF(K10 = """",
                VLOOKUP(M10, $AD:$AG, 2, false),
                IF(ISBETWEEN(K10, VALUE(VLOOKUP(M10, $AD:$AG, 2, false)), VALUE(VLOOKUP(M10, $AD:$AG, 4, false))), K10, """")),
            End_Leve"&amp;"l, IF(OR(L10 = """", NOT(ISBETWEEN(L10, VALUE(VLOOKUP(M10, $AD:$AG, 2, false)), VALUE(VLOOKUP(M10, $AD:$AG, 4, false)),0,1))),
                SWITCH($W$38,
                    ""Max"", VLOOKUP(M10, $AD:$AG, 4, false),
                    ""Target"", IF(V"&amp;"LOOKUP(M10, $AD:$AG, 3, false) &lt;&gt; """", VLOOKUP(M10, $AD:$AG, 3, false), VLOOKUP(M10, $AD:$AG, 4, false))),
                    L10),
            SUM(ARRAYFORMULA(TIME_TO_RUSH_GEMS( OFFSET(DVT_Laboratory!$A$3, Start_Level , IF(ISNUMBER(SEARCH(""mastery"","&amp;" M10)), MATCH(""Card Mastery"", DVT_Laboratory!$A$1:$LO$1, 0), MATCH(M10, DVT_Laboratory!$A$1:$LO$1, 0)) - 1, End_Level - Start_Level, 1) / Labspeed, IDS_LAB_GODLBOXED_COUNT())))))))"),"")</f>
        <v/>
      </c>
      <c r="O10" s="695" t="str">
        <f t="shared" si="5"/>
        <v/>
      </c>
      <c r="P10" s="625" t="str">
        <f>IFERROR(__xludf.DUMMYFUNCTION("IFS(M10 = """", """", 
    VLOOKUP(M10, $AD:$AG, 2, false) = VLOOKUP(M10, $AD:$AG, 4, false), ""MAX Level"",
    AND(VLOOKUP(M10, $AD:$AG, 3, false) &lt;&gt; """", VLOOKUP(M10, $AD:$AG, 2, false) = VLOOKUP(M10, $AD:$AG, 3, false)), ""At Target"",
    TRUE,
    "&amp;"IFERROR(LET(Start_Level, IF(K10 = """",
            VLOOKUP(M10, $AD:$AG, 2, false),
            IF(ISBETWEEN(K10, VALUE(VLOOKUP(M10, $AD:$AG, 2, false)), VALUE(VLOOKUP(M10, $AD:$AG, 4, false))), K10, """")),
        End_Level, IF(OR(L10 = """", NOT(ISBET"&amp;"WEEN(L10, VALUE(VLOOKUP(M10, $AD:$AG, 2, false)), VALUE(VLOOKUP(M10, $AD:$AG, 4, false)),0,1))),
            SWITCH($W$38,
                ""Max"", VLOOKUP(M10, $AD:$AG, 4, false),
                ""Target"", IF(VLOOKUP(M10, $AD:$AG, 3, false) &lt;&gt; """", VL"&amp;"OOKUP(M10, $AD:$AG, 3, false), VLOOKUP(M10, $AD:$AG, 4, false))),
            L10),
        SUM(OFFSET(DVT_Laboratory!$A$3, Start_Level , IF(ISNUMBER(SEARCH(""mastery"", M10)), MATCH(""Card Mastery"", DVT_Laboratory!$A$1:$MY$1, 0), MATCH(M10, DVT_Laborato"&amp;"ry!$A$1:$MY$1, 0)), End_Level - Start_Level, 1)) * (1-LAB_COIN_DISCOUNT())), ""Levels Error!""))"),"")</f>
        <v/>
      </c>
      <c r="Q10" s="626" t="str">
        <f>IFERROR(__xludf.DUMMYFUNCTION("IFS(M10 = """", """", 
    VLOOKUP(M10, $AD:$AG, 2, false) = VLOOKUP(M10, $AD:$AG, 4, false), ""MAX Level"",
    AND(VLOOKUP(M10, $AD:$AG, 3, false) &lt;&gt; """", VLOOKUP(M10, $AD:$AG, 2, false) = VLOOKUP(M10, $AD:$AG, 3, false)), ""At Target"",
    TRUE,
    "&amp;"IFERROR(LET(
        Labspeed, IF(M10=""Labs Speed"", 1+'Master Sheet'!$BK$5, LAB_SPEED_TOTAL()),
        Start_Level, IF(K10 = """",
            VLOOKUP(M10, $AD:$AG, 2, false),
            IF(ISBETWEEN(K10, VALUE(VLOOKUP(M10, $AD:$AG, 2, false)), VALUE("&amp;"VLOOKUP(M10, $AD:$AG, 4, false))), K10, """")),
        End_Level, IF(OR(L10 = """", NOT(ISBETWEEN(L10, VALUE(VLOOKUP(M10, $AD:$AG, 2, false)), VALUE(VLOOKUP(M10, $AD:$AG, 4, false)),0,1))),
            SWITCH($W$38,
                ""Max"", VLOOKUP(M10, "&amp;"$AD:$AG, 4, false),
                ""Target"", IF(VLOOKUP(M10, $AD:$AG, 3, false) &lt;&gt; """", VLOOKUP(M10, $AD:$AG, 3, false), VLOOKUP(M10, $AD:$AG, 4, false))),
            L10),
        SUM(OFFSET(DVT_Laboratory!$A$3, Start_Level , IF(ISNUMBER(SEARCH(""ma"&amp;"stery"", M10)), MATCH(""Card Mastery"", DVT_Laboratory!$A$1:$MY$1, 0), MATCH(M10, DVT_Laboratory!$A$1:$MY$1, 0)) - 1, End_Level - Start_Level, 1)) /
                (1 * REGEXEXTRACT(N$2, ""[\d.-]+"")) /
                Labspeed), ""Levels Error!""))"),"")</f>
        <v/>
      </c>
      <c r="R10" s="642" t="str">
        <f t="shared" si="6"/>
        <v/>
      </c>
      <c r="S10" s="686"/>
      <c r="T10" s="701"/>
      <c r="U10" s="702"/>
      <c r="V10" s="710" t="str">
        <f>IFERROR(__xludf.DUMMYFUNCTION("IFERROR(IF(X10 = """", """",
    SWITCH($W$37,
        ""Total"", "" "" &amp; FORMAT_NUMBER(X10),
        ""Daily"", LET(Lab_name, IF(REGEXMATCH(U10, ""Mastery""), ""Card Mastery"", U10),
            Level, IF(ISBETWEEN(S10, VLOOKUP(U10, $AD:$AG, 2, FALSE), V"&amp;"LOOKUP(U10, $AD:$AG, 4, FALSE), TRUE, FALSE), S10, VLOOKUP(U10, $AD:$AG, 2, FALSE)),
            IF(LABCOST_SINGLE_ADJUSTED(Lab_name, Level + 1) = 0, ""0 (Max)"",
            "" "" &amp; FORMAT_NUMBER(            
                    LABCOST_SINGLE_ADJUSTED(L"&amp;"ab_name, Level + 1) / 
                    (LABDURATION_SINGLE_ADJUSTED(Lab_name, Level + 1) /
                    (1 * REGEXEXTRACT(V$2, ""[\d.-]+"")))))),
        ""Gem Rush"", LET(
            Labspeed, IF(U10=""Labs Speed"", 1+'Master Sheet'!$BK$5, LA"&amp;"B_SPEED_TOTAL()),
            Start_Level, IF(S10 = """",
                VLOOKUP(U10, $AD:$AG, 2, false),
                IF(ISBETWEEN(S10, VALUE(VLOOKUP(U10, $AD:$AG, 2, false)), VALUE(VLOOKUP(U10, $AD:$AG, 4, false))), S10, """")),
            End_Leve"&amp;"l, IF(OR(T10 = """", NOT(ISBETWEEN(T10, VALUE(VLOOKUP(U10, $AD:$AG, 2, false)), VALUE(VLOOKUP(U10, $AD:$AG, 4, false)),0,1))),
                SWITCH($W$38,
                    ""Max"", VLOOKUP(U10, $AD:$AG, 4, false),
                    ""Target"", IF(V"&amp;"LOOKUP(U10, $AD:$AG, 3, false) &lt;&gt; """", VLOOKUP(U10, $AD:$AG, 3, false), VLOOKUP(U10, $AD:$AG, 4, false))),
                    T10),
            SUM(ARRAYFORMULA(TIME_TO_RUSH_GEMS( OFFSET(DVT_Laboratory!$A$3, Start_Level , IF(ISNUMBER(SEARCH(""mastery"","&amp;" U10)), MATCH(""Card Mastery"", DVT_Laboratory!$A$1:$LO$1, 0), MATCH(U10, DVT_Laboratory!$A$1:$LO$1, 0)) - 1, End_Level - Start_Level, 1) / Labspeed, IDS_LAB_GODLBOXED_COUNT())))))))"),"")</f>
        <v/>
      </c>
      <c r="W10" s="690" t="str">
        <f t="shared" si="7"/>
        <v/>
      </c>
      <c r="X10" s="630" t="str">
        <f>IFERROR(__xludf.DUMMYFUNCTION("IFS(U10 = """", """", 
    VLOOKUP(U10, $AD:$AG, 2, false) = VLOOKUP(U10, $AD:$AG, 4, false), ""MAX Level"",
    AND(VLOOKUP(U10, $AD:$AG, 3, false) &lt;&gt; """", VLOOKUP(U10, $AD:$AG, 2, false) = VLOOKUP(U10, $AD:$AG, 3, false)), ""At Target"",
    TRUE,
    "&amp;"IFERROR(LET(Start_Level, IF(S10 = """",
            VLOOKUP(U10, $AD:$AG, 2, false),
            IF(ISBETWEEN(S10, VALUE(VLOOKUP(U10, $AD:$AG, 2, false)), VALUE(VLOOKUP(U10, $AD:$AG, 4, false))), S10, """")),
        End_Level, IF(OR(T10 = """", NOT(ISBET"&amp;"WEEN(T10, VALUE(VLOOKUP(U10, $AD:$AG, 2, false)), VALUE(VLOOKUP(U10, $AD:$AG, 4, false)),0,1))),
            SWITCH($W$38,
                ""Max"", VLOOKUP(U10, $AD:$AG, 4, false),
                ""Target"", IF(VLOOKUP(U10, $AD:$AG, 3, false) &lt;&gt; """", VL"&amp;"OOKUP(U10, $AD:$AG, 3, false), VLOOKUP(U10, $AD:$AG, 4, false))),
            T10),
        SUM(OFFSET(DVT_Laboratory!$A$3, Start_Level , IF(ISNUMBER(SEARCH(""mastery"", U10)), MATCH(""Card Mastery"", DVT_Laboratory!$A$1:$MY$1, 0), MATCH(U10, DVT_Laborato"&amp;"ry!$A$1:$MY$1, 0)), End_Level - Start_Level, 1)) * (1-LAB_COIN_DISCOUNT())), ""Levels Error!""))"),"")</f>
        <v/>
      </c>
      <c r="Y10" s="631" t="str">
        <f>IFERROR(__xludf.DUMMYFUNCTION("IFS(U10 = """", """", 
    VLOOKUP(U10, $AD:$AG, 2, false) = VLOOKUP(U10, $AD:$AG, 4, false), ""MAX Level"",
    AND(VLOOKUP(U10, $AD:$AG, 3, false) &lt;&gt; """", VLOOKUP(U10, $AD:$AG, 2, false) = VLOOKUP(U10, $AD:$AG, 3, false)), ""At Target"",
    TRUE,
    "&amp;"IFERROR(LET(
        Labspeed, IF(U10=""Labs Speed"", 1+'Master Sheet'!$BK$5, LAB_SPEED_TOTAL()),
        Start_Level, IF(S10 = """",
            VLOOKUP(U10, $AD:$AG, 2, false),
            IF(ISBETWEEN(S10, VALUE(VLOOKUP(U10, $AD:$AG, 2, false)), VALUE("&amp;"VLOOKUP(U10, $AD:$AG, 4, false))), S10, """")),
        End_Level, IF(OR(T10 = """", NOT(ISBETWEEN(T10, VALUE(VLOOKUP(U10, $AD:$AG, 2, false)), VALUE(VLOOKUP(U10, $AD:$AG, 4, false)),0,1))),
            SWITCH($W$38,
                ""Max"", VLOOKUP(U10, "&amp;"$AD:$AG, 4, false),
                ""Target"", IF(VLOOKUP(U10, $AD:$AG, 3, false) &lt;&gt; """", VLOOKUP(U10, $AD:$AG, 3, false), VLOOKUP(U10, $AD:$AG, 4, false))),
            T10),
        SUM(OFFSET(DVT_Laboratory!$A$3, Start_Level , IF(ISNUMBER(SEARCH(""ma"&amp;"stery"", U10)), MATCH(""Card Mastery"", DVT_Laboratory!$A$1:$MY$1, 0), MATCH(U10, DVT_Laboratory!$A$1:$MY$1, 0)) - 1, End_Level - Start_Level, 1)) /
                (1 * REGEXEXTRACT(V$2, ""[\d.-]+"")) /
                Labspeed), ""Levels Error!""))"),"")</f>
        <v/>
      </c>
      <c r="Z10" s="598"/>
      <c r="AA10" s="711" t="s">
        <v>427</v>
      </c>
      <c r="AB10" s="712" t="s">
        <v>428</v>
      </c>
      <c r="AC10" s="713" t="str">
        <f>IFERROR(__xludf.DUMMYFUNCTION("""COMPUTED_VALUE"""),"Assist Module Bonus - Generator")</f>
        <v>Assist Module Bonus - Generator</v>
      </c>
      <c r="AD10" s="714" t="s">
        <v>336</v>
      </c>
      <c r="AE10" s="713">
        <v>0.0</v>
      </c>
      <c r="AF10" s="713"/>
      <c r="AG10" s="713">
        <v>30.0</v>
      </c>
      <c r="AH10" s="634" t="str">
        <f t="shared" si="1"/>
        <v/>
      </c>
      <c r="AI10" s="713"/>
      <c r="AJ10" s="713"/>
      <c r="AK10" s="713"/>
      <c r="AL10" s="713"/>
      <c r="AM10" s="713"/>
      <c r="AN10" s="713"/>
      <c r="AO10" s="713"/>
      <c r="AP10" s="713"/>
      <c r="AQ10" s="713"/>
      <c r="AR10" s="713"/>
      <c r="AS10" s="713"/>
      <c r="AT10" s="713"/>
      <c r="AU10" s="713"/>
      <c r="AV10" s="713"/>
      <c r="AW10" s="713"/>
      <c r="AX10" s="713"/>
      <c r="AY10" s="713"/>
      <c r="AZ10" s="713"/>
      <c r="BA10" s="713"/>
      <c r="BB10" s="713"/>
      <c r="BC10" s="713"/>
      <c r="BD10" s="713"/>
      <c r="BE10" s="713"/>
      <c r="BF10" s="713"/>
      <c r="BG10" s="713"/>
      <c r="BH10" s="713"/>
      <c r="BI10" s="713"/>
      <c r="BJ10" s="713"/>
      <c r="BK10" s="713"/>
      <c r="BL10" s="713"/>
      <c r="BM10" s="713"/>
      <c r="BN10" s="713"/>
      <c r="BO10" s="713"/>
      <c r="BP10" s="713"/>
      <c r="BQ10" s="713"/>
      <c r="BR10" s="713"/>
      <c r="BS10" s="713"/>
      <c r="BT10" s="713"/>
      <c r="BU10" s="713"/>
      <c r="BV10" s="713"/>
      <c r="BW10" s="713"/>
      <c r="BX10" s="713"/>
      <c r="BY10" s="713"/>
      <c r="BZ10" s="713"/>
      <c r="CA10" s="713"/>
      <c r="CB10" s="713"/>
      <c r="CC10" s="713"/>
      <c r="CD10" s="713"/>
      <c r="CE10" s="713"/>
      <c r="CF10" s="713"/>
      <c r="CG10" s="713"/>
      <c r="CH10" s="713"/>
      <c r="CI10" s="713"/>
      <c r="CJ10" s="713"/>
      <c r="CK10" s="713"/>
      <c r="CL10" s="713"/>
      <c r="CM10" s="713"/>
      <c r="CN10" s="713"/>
      <c r="CO10" s="713"/>
      <c r="CP10" s="713"/>
      <c r="CQ10" s="713"/>
      <c r="CR10" s="713"/>
      <c r="CS10" s="713"/>
      <c r="CT10" s="713"/>
      <c r="CU10" s="713"/>
      <c r="CV10" s="713"/>
      <c r="CW10" s="713"/>
      <c r="CX10" s="713"/>
      <c r="CY10" s="713"/>
      <c r="CZ10" s="713"/>
      <c r="DA10" s="713"/>
      <c r="DB10" s="713"/>
      <c r="DC10" s="713"/>
      <c r="DD10" s="713"/>
      <c r="DE10" s="713"/>
      <c r="DF10" s="713"/>
      <c r="DG10" s="713"/>
      <c r="DH10" s="713"/>
      <c r="DI10" s="713"/>
      <c r="DJ10" s="713"/>
      <c r="DK10" s="713"/>
      <c r="DL10" s="713"/>
      <c r="DM10" s="713"/>
      <c r="DN10" s="713"/>
      <c r="DO10" s="713"/>
      <c r="DP10" s="713"/>
      <c r="DQ10" s="713"/>
      <c r="DR10" s="713"/>
      <c r="DS10" s="713"/>
      <c r="DT10" s="713"/>
      <c r="DU10" s="713"/>
      <c r="DV10" s="713"/>
      <c r="DW10" s="713"/>
      <c r="DX10" s="713"/>
      <c r="DY10" s="713"/>
      <c r="DZ10" s="713"/>
      <c r="EA10" s="713"/>
      <c r="EB10" s="713"/>
      <c r="EC10" s="713"/>
      <c r="ED10" s="713"/>
      <c r="EE10" s="713"/>
      <c r="EF10" s="713"/>
      <c r="EG10" s="713"/>
      <c r="EH10" s="713"/>
      <c r="EI10" s="713"/>
      <c r="EJ10" s="713"/>
      <c r="EK10" s="713"/>
      <c r="EL10" s="713"/>
      <c r="EM10" s="713"/>
      <c r="EN10" s="713"/>
      <c r="EO10" s="713"/>
      <c r="EP10" s="713"/>
      <c r="EQ10" s="713"/>
      <c r="ER10" s="713"/>
      <c r="ES10" s="713"/>
      <c r="ET10" s="713"/>
      <c r="EU10" s="713"/>
      <c r="EV10" s="713"/>
      <c r="EW10" s="713"/>
      <c r="EX10" s="713"/>
      <c r="EY10" s="713"/>
      <c r="EZ10" s="713"/>
      <c r="FA10" s="713"/>
      <c r="FB10" s="713"/>
      <c r="FC10" s="713"/>
      <c r="FD10" s="713"/>
      <c r="FE10" s="713"/>
      <c r="FF10" s="713"/>
      <c r="FG10" s="713"/>
      <c r="FH10" s="713"/>
      <c r="FI10" s="713"/>
      <c r="FJ10" s="713"/>
      <c r="FK10" s="713"/>
      <c r="FL10" s="713"/>
      <c r="FM10" s="713"/>
      <c r="FN10" s="713"/>
      <c r="FO10" s="713"/>
      <c r="FP10" s="713"/>
      <c r="FQ10" s="713"/>
      <c r="FR10" s="713"/>
      <c r="FS10" s="713"/>
      <c r="FT10" s="713"/>
      <c r="FU10" s="713"/>
      <c r="FV10" s="713"/>
      <c r="FW10" s="713"/>
      <c r="FX10" s="713"/>
      <c r="FY10" s="713"/>
      <c r="FZ10" s="713"/>
      <c r="GA10" s="713"/>
      <c r="GB10" s="713"/>
      <c r="GC10" s="713"/>
      <c r="GD10" s="713"/>
      <c r="GE10" s="713"/>
      <c r="GF10" s="713"/>
      <c r="GG10" s="713"/>
      <c r="GH10" s="713"/>
      <c r="GI10" s="713"/>
      <c r="GJ10" s="713"/>
      <c r="GK10" s="713"/>
      <c r="GL10" s="713"/>
      <c r="GM10" s="713"/>
      <c r="GN10" s="713"/>
      <c r="GO10" s="713"/>
      <c r="GP10" s="713"/>
      <c r="GQ10" s="713"/>
      <c r="GR10" s="713"/>
      <c r="GS10" s="713"/>
      <c r="GT10" s="713"/>
      <c r="GU10" s="713"/>
      <c r="GV10" s="713"/>
      <c r="GW10" s="713"/>
      <c r="GX10" s="713"/>
      <c r="GY10" s="713"/>
      <c r="GZ10" s="713"/>
      <c r="HA10" s="713"/>
      <c r="HB10" s="713"/>
      <c r="HC10" s="713"/>
      <c r="HD10" s="713"/>
      <c r="HE10" s="713"/>
      <c r="HF10" s="713"/>
      <c r="HG10" s="713"/>
      <c r="HH10" s="713"/>
      <c r="HI10" s="713"/>
      <c r="HJ10" s="713"/>
      <c r="HK10" s="713"/>
      <c r="HL10" s="713"/>
      <c r="HM10" s="713"/>
      <c r="HN10" s="713"/>
      <c r="HO10" s="713"/>
      <c r="HP10" s="713"/>
      <c r="HQ10" s="713"/>
      <c r="HR10" s="713"/>
      <c r="HS10" s="713"/>
      <c r="HT10" s="713"/>
      <c r="HU10" s="713"/>
      <c r="HV10" s="713"/>
      <c r="HW10" s="713"/>
      <c r="HX10" s="713"/>
      <c r="HY10" s="713"/>
      <c r="HZ10" s="713"/>
      <c r="IA10" s="713"/>
      <c r="IB10" s="713"/>
      <c r="IC10" s="713"/>
      <c r="ID10" s="713"/>
      <c r="IE10" s="713"/>
      <c r="IF10" s="713"/>
      <c r="IG10" s="713"/>
      <c r="IH10" s="713"/>
    </row>
    <row r="11">
      <c r="A11" s="598"/>
      <c r="B11" s="614" t="str">
        <f t="shared" si="2"/>
        <v/>
      </c>
      <c r="C11" s="705"/>
      <c r="D11" s="679"/>
      <c r="E11" s="692"/>
      <c r="F11" s="659" t="str">
        <f>IFERROR(__xludf.DUMMYFUNCTION("IFERROR(IF(H11 = """", """",
    SWITCH($W$37,
        ""Total"", "" "" &amp; FORMAT_NUMBER(H11),
        ""Daily"", LET(Lab_name, IF(REGEXMATCH(E11, ""Mastery""), ""Card Mastery"", E11),
            Level, IF(ISBETWEEN(C11, VLOOKUP(E11, $AD:$AG, 2, FALSE), V"&amp;"LOOKUP(E11, $AD:$AG, 4, FALSE), TRUE, FALSE), C11, VLOOKUP(E11, $AD:$AG, 2, FALSE)),
            IF(LABCOST_SINGLE_ADJUSTED(Lab_name, Level + 1) = 0, ""0 (Max)"",
            "" "" &amp; FORMAT_NUMBER(            
                    LABCOST_SINGLE_ADJUSTED(L"&amp;"ab_name, Level + 1) / 
                    (LABDURATION_SINGLE_ADJUSTED(Lab_name, Level + 1) /
                    (1 * REGEXEXTRACT(F$2, ""[\d.-]+"")))))),
        ""Gem Rush"", LET(
            Labspeed, IF(E11=""Labs Speed"", 1+'Master Sheet'!$BK$5, LA"&amp;"B_SPEED_TOTAL()),
            Start_Level, IF(C11 = """",
                VLOOKUP(E11, $AD:$AG, 2, false),
                IF(ISBETWEEN(C11, VALUE(VLOOKUP(E11, $AD:$AG, 2, false)), VALUE(VLOOKUP(E11, $AD:$AG, 4, false))), C11, """")),
            End_Leve"&amp;"l, IF(OR(D11 = """", NOT(ISBETWEEN(D11, VALUE(VLOOKUP(E11, $AD:$AG, 2, false)), VALUE(VLOOKUP(E11, $AD:$AG, 4, false)),0,1))),
                SWITCH($W$38,
                    ""Max"", VLOOKUP(E11, $AD:$AG, 4, false),
                    ""Target"", IF(V"&amp;"LOOKUP(E11, $AD:$AG, 3, false) &lt;&gt; """", VLOOKUP(E11, $AD:$AG, 3, false), VLOOKUP(E11, $AD:$AG, 4, false))),
                    D11),
            SUM(ARRAYFORMULA(TIME_TO_RUSH_GEMS( OFFSET(DVT_Laboratory!$A$3, Start_Level , IF(ISNUMBER(SEARCH(""mastery"","&amp;" E11)), MATCH(""Card Mastery"", DVT_Laboratory!$A$1:$LO$1, 0), MATCH(E11, DVT_Laboratory!$A$1:$LO$1, 0)) - 1, End_Level - Start_Level, 1) / Labspeed, IDS_LAB_GODLBOXED_COUNT())))))))"),"")</f>
        <v/>
      </c>
      <c r="G11" s="693" t="str">
        <f t="shared" si="3"/>
        <v/>
      </c>
      <c r="H11" s="620" t="str">
        <f>IFERROR(__xludf.DUMMYFUNCTION("IFS(E11 = """", """", 
    VLOOKUP(E11, $AD:$AG, 2, false) = VLOOKUP(E11, $AD:$AG, 4, false), ""MAX Level"",
    AND(VLOOKUP(E11, $AD:$AG, 3, false) &lt;&gt; """", VLOOKUP(E11, $AD:$AG, 2, false) = VLOOKUP(E11, $AD:$AG, 3, false)), ""At Target"",
    TRUE,
    "&amp;"IFERROR(LET(Start_Level, IF(C11 = """",
            VLOOKUP(E11, $AD:$AG, 2, false),
            IF(ISBETWEEN(C11, VALUE(VLOOKUP(E11, $AD:$AG, 2, false)), VALUE(VLOOKUP(E11, $AD:$AG, 4, false))), C11, """")),
        End_Level, IF(OR(D11 = """", NOT(ISBET"&amp;"WEEN(D11, VALUE(VLOOKUP(E11, $AD:$AG, 2, false)), VALUE(VLOOKUP(E11, $AD:$AG, 4, false)),0,1))),
            SWITCH($W$38,
                ""Max"", VLOOKUP(E11, $AD:$AG, 4, false),
                ""Target"", IF(VLOOKUP(E11, $AD:$AG, 3, false) &lt;&gt; """", VL"&amp;"OOKUP(E11, $AD:$AG, 3, false), VLOOKUP(E11, $AD:$AG, 4, false))),
            D11),
        SUM(OFFSET(DVT_Laboratory!$A$3, Start_Level , IF(ISNUMBER(SEARCH(""mastery"", E11)), MATCH(""Card Mastery"", DVT_Laboratory!$A$1:$MY$1, 0), MATCH(E11, DVT_Laborato"&amp;"ry!$A$1:$MY$1, 0)), End_Level - Start_Level, 1)) * (1-LAB_COIN_DISCOUNT())), ""Levels Error!""))"),"")</f>
        <v/>
      </c>
      <c r="I11" s="621" t="str">
        <f>IFERROR(__xludf.DUMMYFUNCTION("IFS(E11 = """", """", 
    VLOOKUP(E11, $AD:$AG, 2, false) = VLOOKUP(E11, $AD:$AG, 4, false), ""MAX Level"",
    AND(VLOOKUP(E11, $AD:$AG, 3, false) &lt;&gt; """", VLOOKUP(E11, $AD:$AG, 2, false) = VLOOKUP(E11, $AD:$AG, 3, false)), ""At Target"",
    TRUE,
    "&amp;"IFERROR(LET(
        Labspeed, IF(E11=""Labs Speed"", 1+'Master Sheet'!$BK$5, LAB_SPEED_TOTAL()),
        Start_Level, IF(C11 = """",
            VLOOKUP(E11, $AD:$AG, 2, false),
            IF(ISBETWEEN(C11, VALUE(VLOOKUP(E11, $AD:$AG, 2, false)), VALUE("&amp;"VLOOKUP(E11, $AD:$AG, 4, false))), C11, """")),
        End_Level, IF(OR(D11 = """", NOT(ISBETWEEN(D11, VALUE(VLOOKUP(E11, $AD:$AG, 2, false)), VALUE(VLOOKUP(E11, $AD:$AG, 4, false)),0,1))),
            SWITCH($W$38,
                ""Max"", VLOOKUP(E11, "&amp;"$AD:$AG, 4, false),
                ""Target"", IF(VLOOKUP(E11, $AD:$AG, 3, false) &lt;&gt; """", VLOOKUP(E11, $AD:$AG, 3, false), VLOOKUP(E11, $AD:$AG, 4, false))),
            D11),
        SUM(OFFSET(DVT_Laboratory!$A$3, Start_Level , IF(ISNUMBER(SEARCH(""ma"&amp;"stery"", E11)), MATCH(""Card Mastery"", DVT_Laboratory!$A$1:$MY$1, 0), MATCH(E11, DVT_Laboratory!$A$1:$MY$1, 0)) - 1, End_Level - Start_Level, 1)) /
                (1 * REGEXEXTRACT(F$2, ""[\d.-]+"")) /
                Labspeed), ""Levels Error!""))"),"")</f>
        <v/>
      </c>
      <c r="J11" s="640" t="str">
        <f t="shared" si="4"/>
        <v/>
      </c>
      <c r="K11" s="681"/>
      <c r="L11" s="700"/>
      <c r="M11" s="709"/>
      <c r="N11" s="707" t="str">
        <f>IFERROR(__xludf.DUMMYFUNCTION("IFERROR(IF(P11 = """", """",
    SWITCH($W$37,
        ""Total"", "" "" &amp; FORMAT_NUMBER(P11),
        ""Daily"", LET(Lab_name, IF(REGEXMATCH(M11, ""Mastery""), ""Card Mastery"", M11),
            Level, IF(ISBETWEEN(K11, VLOOKUP(M11, $AD:$AG, 2, FALSE), V"&amp;"LOOKUP(M11, $AD:$AG, 4, FALSE), TRUE, FALSE), K11, VLOOKUP(M11, $AD:$AG, 2, FALSE)),
            IF(LABCOST_SINGLE_ADJUSTED(Lab_name, Level + 1) = 0, ""0 (Max)"",
            "" "" &amp; FORMAT_NUMBER(            
                    LABCOST_SINGLE_ADJUSTED(L"&amp;"ab_name, Level + 1) / 
                    (LABDURATION_SINGLE_ADJUSTED(Lab_name, Level + 1) /
                    (1 * REGEXEXTRACT(N$2, ""[\d.-]+"")))))),
        ""Gem Rush"", LET(
            Labspeed, IF(M11=""Labs Speed"", 1+'Master Sheet'!$BK$5, LA"&amp;"B_SPEED_TOTAL()),
            Start_Level, IF(K11 = """",
                VLOOKUP(M11, $AD:$AG, 2, false),
                IF(ISBETWEEN(K11, VALUE(VLOOKUP(M11, $AD:$AG, 2, false)), VALUE(VLOOKUP(M11, $AD:$AG, 4, false))), K11, """")),
            End_Leve"&amp;"l, IF(OR(L11 = """", NOT(ISBETWEEN(L11, VALUE(VLOOKUP(M11, $AD:$AG, 2, false)), VALUE(VLOOKUP(M11, $AD:$AG, 4, false)),0,1))),
                SWITCH($W$38,
                    ""Max"", VLOOKUP(M11, $AD:$AG, 4, false),
                    ""Target"", IF(V"&amp;"LOOKUP(M11, $AD:$AG, 3, false) &lt;&gt; """", VLOOKUP(M11, $AD:$AG, 3, false), VLOOKUP(M11, $AD:$AG, 4, false))),
                    L11),
            SUM(ARRAYFORMULA(TIME_TO_RUSH_GEMS( OFFSET(DVT_Laboratory!$A$3, Start_Level , IF(ISNUMBER(SEARCH(""mastery"","&amp;" M11)), MATCH(""Card Mastery"", DVT_Laboratory!$A$1:$LO$1, 0), MATCH(M11, DVT_Laboratory!$A$1:$LO$1, 0)) - 1, End_Level - Start_Level, 1) / Labspeed, IDS_LAB_GODLBOXED_COUNT())))))))"),"")</f>
        <v/>
      </c>
      <c r="O11" s="695" t="str">
        <f t="shared" si="5"/>
        <v/>
      </c>
      <c r="P11" s="625" t="str">
        <f>IFERROR(__xludf.DUMMYFUNCTION("IFS(M11 = """", """", 
    VLOOKUP(M11, $AD:$AG, 2, false) = VLOOKUP(M11, $AD:$AG, 4, false), ""MAX Level"",
    AND(VLOOKUP(M11, $AD:$AG, 3, false) &lt;&gt; """", VLOOKUP(M11, $AD:$AG, 2, false) = VLOOKUP(M11, $AD:$AG, 3, false)), ""At Target"",
    TRUE,
    "&amp;"IFERROR(LET(Start_Level, IF(K11 = """",
            VLOOKUP(M11, $AD:$AG, 2, false),
            IF(ISBETWEEN(K11, VALUE(VLOOKUP(M11, $AD:$AG, 2, false)), VALUE(VLOOKUP(M11, $AD:$AG, 4, false))), K11, """")),
        End_Level, IF(OR(L11 = """", NOT(ISBET"&amp;"WEEN(L11, VALUE(VLOOKUP(M11, $AD:$AG, 2, false)), VALUE(VLOOKUP(M11, $AD:$AG, 4, false)),0,1))),
            SWITCH($W$38,
                ""Max"", VLOOKUP(M11, $AD:$AG, 4, false),
                ""Target"", IF(VLOOKUP(M11, $AD:$AG, 3, false) &lt;&gt; """", VL"&amp;"OOKUP(M11, $AD:$AG, 3, false), VLOOKUP(M11, $AD:$AG, 4, false))),
            L11),
        SUM(OFFSET(DVT_Laboratory!$A$3, Start_Level , IF(ISNUMBER(SEARCH(""mastery"", M11)), MATCH(""Card Mastery"", DVT_Laboratory!$A$1:$MY$1, 0), MATCH(M11, DVT_Laborato"&amp;"ry!$A$1:$MY$1, 0)), End_Level - Start_Level, 1)) * (1-LAB_COIN_DISCOUNT())), ""Levels Error!""))"),"")</f>
        <v/>
      </c>
      <c r="Q11" s="626" t="str">
        <f>IFERROR(__xludf.DUMMYFUNCTION("IFS(M11 = """", """", 
    VLOOKUP(M11, $AD:$AG, 2, false) = VLOOKUP(M11, $AD:$AG, 4, false), ""MAX Level"",
    AND(VLOOKUP(M11, $AD:$AG, 3, false) &lt;&gt; """", VLOOKUP(M11, $AD:$AG, 2, false) = VLOOKUP(M11, $AD:$AG, 3, false)), ""At Target"",
    TRUE,
    "&amp;"IFERROR(LET(
        Labspeed, IF(M11=""Labs Speed"", 1+'Master Sheet'!$BK$5, LAB_SPEED_TOTAL()),
        Start_Level, IF(K11 = """",
            VLOOKUP(M11, $AD:$AG, 2, false),
            IF(ISBETWEEN(K11, VALUE(VLOOKUP(M11, $AD:$AG, 2, false)), VALUE("&amp;"VLOOKUP(M11, $AD:$AG, 4, false))), K11, """")),
        End_Level, IF(OR(L11 = """", NOT(ISBETWEEN(L11, VALUE(VLOOKUP(M11, $AD:$AG, 2, false)), VALUE(VLOOKUP(M11, $AD:$AG, 4, false)),0,1))),
            SWITCH($W$38,
                ""Max"", VLOOKUP(M11, "&amp;"$AD:$AG, 4, false),
                ""Target"", IF(VLOOKUP(M11, $AD:$AG, 3, false) &lt;&gt; """", VLOOKUP(M11, $AD:$AG, 3, false), VLOOKUP(M11, $AD:$AG, 4, false))),
            L11),
        SUM(OFFSET(DVT_Laboratory!$A$3, Start_Level , IF(ISNUMBER(SEARCH(""ma"&amp;"stery"", M11)), MATCH(""Card Mastery"", DVT_Laboratory!$A$1:$MY$1, 0), MATCH(M11, DVT_Laboratory!$A$1:$MY$1, 0)) - 1, End_Level - Start_Level, 1)) /
                (1 * REGEXEXTRACT(N$2, ""[\d.-]+"")) /
                Labspeed), ""Levels Error!""))"),"")</f>
        <v/>
      </c>
      <c r="R11" s="642" t="str">
        <f t="shared" si="6"/>
        <v/>
      </c>
      <c r="S11" s="686"/>
      <c r="T11" s="701"/>
      <c r="U11" s="715"/>
      <c r="V11" s="710" t="str">
        <f>IFERROR(__xludf.DUMMYFUNCTION("IFERROR(IF(X11 = """", """",
    SWITCH($W$37,
        ""Total"", "" "" &amp; FORMAT_NUMBER(X11),
        ""Daily"", LET(Lab_name, IF(REGEXMATCH(U11, ""Mastery""), ""Card Mastery"", U11),
            Level, IF(ISBETWEEN(S11, VLOOKUP(U11, $AD:$AG, 2, FALSE), V"&amp;"LOOKUP(U11, $AD:$AG, 4, FALSE), TRUE, FALSE), S11, VLOOKUP(U11, $AD:$AG, 2, FALSE)),
            IF(LABCOST_SINGLE_ADJUSTED(Lab_name, Level + 1) = 0, ""0 (Max)"",
            "" "" &amp; FORMAT_NUMBER(            
                    LABCOST_SINGLE_ADJUSTED(L"&amp;"ab_name, Level + 1) / 
                    (LABDURATION_SINGLE_ADJUSTED(Lab_name, Level + 1) /
                    (1 * REGEXEXTRACT(V$2, ""[\d.-]+"")))))),
        ""Gem Rush"", LET(
            Labspeed, IF(U11=""Labs Speed"", 1+'Master Sheet'!$BK$5, LA"&amp;"B_SPEED_TOTAL()),
            Start_Level, IF(S11 = """",
                VLOOKUP(U11, $AD:$AG, 2, false),
                IF(ISBETWEEN(S11, VALUE(VLOOKUP(U11, $AD:$AG, 2, false)), VALUE(VLOOKUP(U11, $AD:$AG, 4, false))), S11, """")),
            End_Leve"&amp;"l, IF(OR(T11 = """", NOT(ISBETWEEN(T11, VALUE(VLOOKUP(U11, $AD:$AG, 2, false)), VALUE(VLOOKUP(U11, $AD:$AG, 4, false)),0,1))),
                SWITCH($W$38,
                    ""Max"", VLOOKUP(U11, $AD:$AG, 4, false),
                    ""Target"", IF(V"&amp;"LOOKUP(U11, $AD:$AG, 3, false) &lt;&gt; """", VLOOKUP(U11, $AD:$AG, 3, false), VLOOKUP(U11, $AD:$AG, 4, false))),
                    T11),
            SUM(ARRAYFORMULA(TIME_TO_RUSH_GEMS( OFFSET(DVT_Laboratory!$A$3, Start_Level , IF(ISNUMBER(SEARCH(""mastery"","&amp;" U11)), MATCH(""Card Mastery"", DVT_Laboratory!$A$1:$LO$1, 0), MATCH(U11, DVT_Laboratory!$A$1:$LO$1, 0)) - 1, End_Level - Start_Level, 1) / Labspeed, IDS_LAB_GODLBOXED_COUNT())))))))"),"")</f>
        <v/>
      </c>
      <c r="W11" s="690" t="str">
        <f t="shared" si="7"/>
        <v/>
      </c>
      <c r="X11" s="675" t="str">
        <f>IFERROR(__xludf.DUMMYFUNCTION("IFS(U11 = """", """", 
    VLOOKUP(U11, $AD:$AG, 2, false) = VLOOKUP(U11, $AD:$AG, 4, false), ""MAX Level"",
    AND(VLOOKUP(U11, $AD:$AG, 3, false) &lt;&gt; """", VLOOKUP(U11, $AD:$AG, 2, false) = VLOOKUP(U11, $AD:$AG, 3, false)), ""At Target"",
    TRUE,
    "&amp;"IFERROR(LET(Start_Level, IF(S11 = """",
            VLOOKUP(U11, $AD:$AG, 2, false),
            IF(ISBETWEEN(S11, VALUE(VLOOKUP(U11, $AD:$AG, 2, false)), VALUE(VLOOKUP(U11, $AD:$AG, 4, false))), S11, """")),
        End_Level, IF(OR(T11 = """", NOT(ISBET"&amp;"WEEN(T11, VALUE(VLOOKUP(U11, $AD:$AG, 2, false)), VALUE(VLOOKUP(U11, $AD:$AG, 4, false)),0,1))),
            SWITCH($W$38,
                ""Max"", VLOOKUP(U11, $AD:$AG, 4, false),
                ""Target"", IF(VLOOKUP(U11, $AD:$AG, 3, false) &lt;&gt; """", VL"&amp;"OOKUP(U11, $AD:$AG, 3, false), VLOOKUP(U11, $AD:$AG, 4, false))),
            T11),
        SUM(OFFSET(DVT_Laboratory!$A$3, Start_Level , IF(ISNUMBER(SEARCH(""mastery"", U11)), MATCH(""Card Mastery"", DVT_Laboratory!$A$1:$MY$1, 0), MATCH(U11, DVT_Laborato"&amp;"ry!$A$1:$MY$1, 0)), End_Level - Start_Level, 1)) * (1-LAB_COIN_DISCOUNT())), ""Levels Error!""))"),"")</f>
        <v/>
      </c>
      <c r="Y11" s="676" t="str">
        <f>IFERROR(__xludf.DUMMYFUNCTION("IFS(U11 = """", """", 
    VLOOKUP(U11, $AD:$AG, 2, false) = VLOOKUP(U11, $AD:$AG, 4, false), ""MAX Level"",
    AND(VLOOKUP(U11, $AD:$AG, 3, false) &lt;&gt; """", VLOOKUP(U11, $AD:$AG, 2, false) = VLOOKUP(U11, $AD:$AG, 3, false)), ""At Target"",
    TRUE,
    "&amp;"IFERROR(LET(
        Labspeed, IF(U11=""Labs Speed"", 1+'Master Sheet'!$BK$5, LAB_SPEED_TOTAL()),
        Start_Level, IF(S11 = """",
            VLOOKUP(U11, $AD:$AG, 2, false),
            IF(ISBETWEEN(S11, VALUE(VLOOKUP(U11, $AD:$AG, 2, false)), VALUE("&amp;"VLOOKUP(U11, $AD:$AG, 4, false))), S11, """")),
        End_Level, IF(OR(T11 = """", NOT(ISBETWEEN(T11, VALUE(VLOOKUP(U11, $AD:$AG, 2, false)), VALUE(VLOOKUP(U11, $AD:$AG, 4, false)),0,1))),
            SWITCH($W$38,
                ""Max"", VLOOKUP(U11, "&amp;"$AD:$AG, 4, false),
                ""Target"", IF(VLOOKUP(U11, $AD:$AG, 3, false) &lt;&gt; """", VLOOKUP(U11, $AD:$AG, 3, false), VLOOKUP(U11, $AD:$AG, 4, false))),
            T11),
        SUM(OFFSET(DVT_Laboratory!$A$3, Start_Level , IF(ISNUMBER(SEARCH(""ma"&amp;"stery"", U11)), MATCH(""Card Mastery"", DVT_Laboratory!$A$1:$MY$1, 0), MATCH(U11, DVT_Laboratory!$A$1:$MY$1, 0)) - 1, End_Level - Start_Level, 1)) /
                (1 * REGEXEXTRACT(V$2, ""[\d.-]+"")) /
                Labspeed), ""Levels Error!""))"),"")</f>
        <v/>
      </c>
      <c r="Z11" s="598"/>
      <c r="AB11" s="716" t="s">
        <v>429</v>
      </c>
      <c r="AC11" s="713" t="str">
        <f>IFERROR(__xludf.DUMMYFUNCTION("""COMPUTED_VALUE"""),"Assist Module Substats - Armor")</f>
        <v>Assist Module Substats - Armor</v>
      </c>
      <c r="AD11" s="714" t="s">
        <v>306</v>
      </c>
      <c r="AE11" s="713">
        <v>0.0</v>
      </c>
      <c r="AF11" s="713"/>
      <c r="AG11" s="713">
        <v>30.0</v>
      </c>
      <c r="AH11" s="634" t="str">
        <f t="shared" si="1"/>
        <v/>
      </c>
      <c r="AI11" s="713"/>
      <c r="AJ11" s="713"/>
      <c r="AK11" s="713"/>
      <c r="AL11" s="713"/>
      <c r="AM11" s="713"/>
      <c r="AN11" s="713"/>
      <c r="AO11" s="713"/>
      <c r="AP11" s="713"/>
      <c r="AQ11" s="713"/>
      <c r="AR11" s="713"/>
      <c r="AS11" s="713"/>
      <c r="AT11" s="713"/>
      <c r="AU11" s="713"/>
      <c r="AV11" s="713"/>
      <c r="AW11" s="713"/>
      <c r="AX11" s="713"/>
      <c r="AY11" s="713"/>
      <c r="AZ11" s="713"/>
      <c r="BA11" s="713"/>
      <c r="BB11" s="713"/>
      <c r="BC11" s="713"/>
      <c r="BD11" s="713"/>
      <c r="BE11" s="713"/>
      <c r="BF11" s="713"/>
      <c r="BG11" s="713"/>
      <c r="BH11" s="713"/>
      <c r="BI11" s="713"/>
      <c r="BJ11" s="713"/>
      <c r="BK11" s="713"/>
      <c r="BL11" s="713"/>
      <c r="BM11" s="713"/>
      <c r="BN11" s="713"/>
      <c r="BO11" s="713"/>
      <c r="BP11" s="713"/>
      <c r="BQ11" s="713"/>
      <c r="BR11" s="713"/>
      <c r="BS11" s="713"/>
      <c r="BT11" s="713"/>
      <c r="BU11" s="713"/>
      <c r="BV11" s="713"/>
      <c r="BW11" s="713"/>
      <c r="BX11" s="713"/>
      <c r="BY11" s="713"/>
      <c r="BZ11" s="713"/>
      <c r="CA11" s="713"/>
      <c r="CB11" s="713"/>
      <c r="CC11" s="713"/>
      <c r="CD11" s="713"/>
      <c r="CE11" s="713"/>
      <c r="CF11" s="713"/>
      <c r="CG11" s="713"/>
      <c r="CH11" s="713"/>
      <c r="CI11" s="713"/>
      <c r="CJ11" s="713"/>
      <c r="CK11" s="713"/>
      <c r="CL11" s="713"/>
      <c r="CM11" s="713"/>
      <c r="CN11" s="713"/>
      <c r="CO11" s="713"/>
      <c r="CP11" s="713"/>
      <c r="CQ11" s="713"/>
      <c r="CR11" s="713"/>
      <c r="CS11" s="713"/>
      <c r="CT11" s="713"/>
      <c r="CU11" s="713"/>
      <c r="CV11" s="713"/>
      <c r="CW11" s="713"/>
      <c r="CX11" s="713"/>
      <c r="CY11" s="713"/>
      <c r="CZ11" s="713"/>
      <c r="DA11" s="713"/>
      <c r="DB11" s="713"/>
      <c r="DC11" s="713"/>
      <c r="DD11" s="713"/>
      <c r="DE11" s="713"/>
      <c r="DF11" s="713"/>
      <c r="DG11" s="713"/>
      <c r="DH11" s="713"/>
      <c r="DI11" s="713"/>
      <c r="DJ11" s="713"/>
      <c r="DK11" s="713"/>
      <c r="DL11" s="713"/>
      <c r="DM11" s="713"/>
      <c r="DN11" s="713"/>
      <c r="DO11" s="713"/>
      <c r="DP11" s="713"/>
      <c r="DQ11" s="713"/>
      <c r="DR11" s="713"/>
      <c r="DS11" s="713"/>
      <c r="DT11" s="713"/>
      <c r="DU11" s="713"/>
      <c r="DV11" s="713"/>
      <c r="DW11" s="713"/>
      <c r="DX11" s="713"/>
      <c r="DY11" s="713"/>
      <c r="DZ11" s="713"/>
      <c r="EA11" s="713"/>
      <c r="EB11" s="713"/>
      <c r="EC11" s="713"/>
      <c r="ED11" s="713"/>
      <c r="EE11" s="713"/>
      <c r="EF11" s="713"/>
      <c r="EG11" s="713"/>
      <c r="EH11" s="713"/>
      <c r="EI11" s="713"/>
      <c r="EJ11" s="713"/>
      <c r="EK11" s="713"/>
      <c r="EL11" s="713"/>
      <c r="EM11" s="713"/>
      <c r="EN11" s="713"/>
      <c r="EO11" s="713"/>
      <c r="EP11" s="713"/>
      <c r="EQ11" s="713"/>
      <c r="ER11" s="713"/>
      <c r="ES11" s="713"/>
      <c r="ET11" s="713"/>
      <c r="EU11" s="713"/>
      <c r="EV11" s="713"/>
      <c r="EW11" s="713"/>
      <c r="EX11" s="713"/>
      <c r="EY11" s="713"/>
      <c r="EZ11" s="713"/>
      <c r="FA11" s="713"/>
      <c r="FB11" s="713"/>
      <c r="FC11" s="713"/>
      <c r="FD11" s="713"/>
      <c r="FE11" s="713"/>
      <c r="FF11" s="713"/>
      <c r="FG11" s="713"/>
      <c r="FH11" s="713"/>
      <c r="FI11" s="713"/>
      <c r="FJ11" s="713"/>
      <c r="FK11" s="713"/>
      <c r="FL11" s="713"/>
      <c r="FM11" s="713"/>
      <c r="FN11" s="713"/>
      <c r="FO11" s="713"/>
      <c r="FP11" s="713"/>
      <c r="FQ11" s="713"/>
      <c r="FR11" s="713"/>
      <c r="FS11" s="713"/>
      <c r="FT11" s="713"/>
      <c r="FU11" s="713"/>
      <c r="FV11" s="713"/>
      <c r="FW11" s="713"/>
      <c r="FX11" s="713"/>
      <c r="FY11" s="713"/>
      <c r="FZ11" s="713"/>
      <c r="GA11" s="713"/>
      <c r="GB11" s="713"/>
      <c r="GC11" s="713"/>
      <c r="GD11" s="713"/>
      <c r="GE11" s="713"/>
      <c r="GF11" s="713"/>
      <c r="GG11" s="713"/>
      <c r="GH11" s="713"/>
      <c r="GI11" s="713"/>
      <c r="GJ11" s="713"/>
      <c r="GK11" s="713"/>
      <c r="GL11" s="713"/>
      <c r="GM11" s="713"/>
      <c r="GN11" s="713"/>
      <c r="GO11" s="713"/>
      <c r="GP11" s="713"/>
      <c r="GQ11" s="713"/>
      <c r="GR11" s="713"/>
      <c r="GS11" s="713"/>
      <c r="GT11" s="713"/>
      <c r="GU11" s="713"/>
      <c r="GV11" s="713"/>
      <c r="GW11" s="713"/>
      <c r="GX11" s="713"/>
      <c r="GY11" s="713"/>
      <c r="GZ11" s="713"/>
      <c r="HA11" s="713"/>
      <c r="HB11" s="713"/>
      <c r="HC11" s="713"/>
      <c r="HD11" s="713"/>
      <c r="HE11" s="713"/>
      <c r="HF11" s="713"/>
      <c r="HG11" s="713"/>
      <c r="HH11" s="713"/>
      <c r="HI11" s="713"/>
      <c r="HJ11" s="713"/>
      <c r="HK11" s="713"/>
      <c r="HL11" s="713"/>
      <c r="HM11" s="713"/>
      <c r="HN11" s="713"/>
      <c r="HO11" s="713"/>
      <c r="HP11" s="713"/>
      <c r="HQ11" s="713"/>
      <c r="HR11" s="713"/>
      <c r="HS11" s="713"/>
      <c r="HT11" s="713"/>
      <c r="HU11" s="713"/>
      <c r="HV11" s="713"/>
      <c r="HW11" s="713"/>
      <c r="HX11" s="713"/>
      <c r="HY11" s="713"/>
      <c r="HZ11" s="713"/>
      <c r="IA11" s="713"/>
      <c r="IB11" s="713"/>
      <c r="IC11" s="713"/>
      <c r="ID11" s="713"/>
      <c r="IE11" s="713"/>
      <c r="IF11" s="713"/>
      <c r="IG11" s="713"/>
      <c r="IH11" s="713"/>
    </row>
    <row r="12">
      <c r="A12" s="598"/>
      <c r="B12" s="614" t="str">
        <f t="shared" si="2"/>
        <v/>
      </c>
      <c r="C12" s="705"/>
      <c r="D12" s="679"/>
      <c r="E12" s="692"/>
      <c r="F12" s="659" t="str">
        <f>IFERROR(__xludf.DUMMYFUNCTION("IFERROR(IF(H12 = """", """",
    SWITCH($W$37,
        ""Total"", "" "" &amp; FORMAT_NUMBER(H12),
        ""Daily"", LET(Lab_name, IF(REGEXMATCH(E12, ""Mastery""), ""Card Mastery"", E12),
            Level, IF(ISBETWEEN(C12, VLOOKUP(E12, $AD:$AG, 2, FALSE), V"&amp;"LOOKUP(E12, $AD:$AG, 4, FALSE), TRUE, FALSE), C12, VLOOKUP(E12, $AD:$AG, 2, FALSE)),
            IF(LABCOST_SINGLE_ADJUSTED(Lab_name, Level + 1) = 0, ""0 (Max)"",
            "" "" &amp; FORMAT_NUMBER(            
                    LABCOST_SINGLE_ADJUSTED(L"&amp;"ab_name, Level + 1) / 
                    (LABDURATION_SINGLE_ADJUSTED(Lab_name, Level + 1) /
                    (1 * REGEXEXTRACT(F$2, ""[\d.-]+"")))))),
        ""Gem Rush"", LET(
            Labspeed, IF(E12=""Labs Speed"", 1+'Master Sheet'!$BK$5, LA"&amp;"B_SPEED_TOTAL()),
            Start_Level, IF(C12 = """",
                VLOOKUP(E12, $AD:$AG, 2, false),
                IF(ISBETWEEN(C12, VALUE(VLOOKUP(E12, $AD:$AG, 2, false)), VALUE(VLOOKUP(E12, $AD:$AG, 4, false))), C12, """")),
            End_Leve"&amp;"l, IF(OR(D12 = """", NOT(ISBETWEEN(D12, VALUE(VLOOKUP(E12, $AD:$AG, 2, false)), VALUE(VLOOKUP(E12, $AD:$AG, 4, false)),0,1))),
                SWITCH($W$38,
                    ""Max"", VLOOKUP(E12, $AD:$AG, 4, false),
                    ""Target"", IF(V"&amp;"LOOKUP(E12, $AD:$AG, 3, false) &lt;&gt; """", VLOOKUP(E12, $AD:$AG, 3, false), VLOOKUP(E12, $AD:$AG, 4, false))),
                    D12),
            SUM(ARRAYFORMULA(TIME_TO_RUSH_GEMS( OFFSET(DVT_Laboratory!$A$3, Start_Level , IF(ISNUMBER(SEARCH(""mastery"","&amp;" E12)), MATCH(""Card Mastery"", DVT_Laboratory!$A$1:$LO$1, 0), MATCH(E12, DVT_Laboratory!$A$1:$LO$1, 0)) - 1, End_Level - Start_Level, 1) / Labspeed, IDS_LAB_GODLBOXED_COUNT())))))))"),"")</f>
        <v/>
      </c>
      <c r="G12" s="693" t="str">
        <f t="shared" si="3"/>
        <v/>
      </c>
      <c r="H12" s="620" t="str">
        <f>IFERROR(__xludf.DUMMYFUNCTION("IFS(E12 = """", """", 
    VLOOKUP(E12, $AD:$AG, 2, false) = VLOOKUP(E12, $AD:$AG, 4, false), ""MAX Level"",
    AND(VLOOKUP(E12, $AD:$AG, 3, false) &lt;&gt; """", VLOOKUP(E12, $AD:$AG, 2, false) = VLOOKUP(E12, $AD:$AG, 3, false)), ""At Target"",
    TRUE,
    "&amp;"IFERROR(LET(Start_Level, IF(C12 = """",
            VLOOKUP(E12, $AD:$AG, 2, false),
            IF(ISBETWEEN(C12, VALUE(VLOOKUP(E12, $AD:$AG, 2, false)), VALUE(VLOOKUP(E12, $AD:$AG, 4, false))), C12, """")),
        End_Level, IF(OR(D12 = """", NOT(ISBET"&amp;"WEEN(D12, VALUE(VLOOKUP(E12, $AD:$AG, 2, false)), VALUE(VLOOKUP(E12, $AD:$AG, 4, false)),0,1))),
            SWITCH($W$38,
                ""Max"", VLOOKUP(E12, $AD:$AG, 4, false),
                ""Target"", IF(VLOOKUP(E12, $AD:$AG, 3, false) &lt;&gt; """", VL"&amp;"OOKUP(E12, $AD:$AG, 3, false), VLOOKUP(E12, $AD:$AG, 4, false))),
            D12),
        SUM(OFFSET(DVT_Laboratory!$A$3, Start_Level , IF(ISNUMBER(SEARCH(""mastery"", E12)), MATCH(""Card Mastery"", DVT_Laboratory!$A$1:$MY$1, 0), MATCH(E12, DVT_Laborato"&amp;"ry!$A$1:$MY$1, 0)), End_Level - Start_Level, 1)) * (1-LAB_COIN_DISCOUNT())), ""Levels Error!""))"),"")</f>
        <v/>
      </c>
      <c r="I12" s="621" t="str">
        <f>IFERROR(__xludf.DUMMYFUNCTION("IFS(E12 = """", """", 
    VLOOKUP(E12, $AD:$AG, 2, false) = VLOOKUP(E12, $AD:$AG, 4, false), ""MAX Level"",
    AND(VLOOKUP(E12, $AD:$AG, 3, false) &lt;&gt; """", VLOOKUP(E12, $AD:$AG, 2, false) = VLOOKUP(E12, $AD:$AG, 3, false)), ""At Target"",
    TRUE,
    "&amp;"IFERROR(LET(
        Labspeed, IF(E12=""Labs Speed"", 1+'Master Sheet'!$BK$5, LAB_SPEED_TOTAL()),
        Start_Level, IF(C12 = """",
            VLOOKUP(E12, $AD:$AG, 2, false),
            IF(ISBETWEEN(C12, VALUE(VLOOKUP(E12, $AD:$AG, 2, false)), VALUE("&amp;"VLOOKUP(E12, $AD:$AG, 4, false))), C12, """")),
        End_Level, IF(OR(D12 = """", NOT(ISBETWEEN(D12, VALUE(VLOOKUP(E12, $AD:$AG, 2, false)), VALUE(VLOOKUP(E12, $AD:$AG, 4, false)),0,1))),
            SWITCH($W$38,
                ""Max"", VLOOKUP(E12, "&amp;"$AD:$AG, 4, false),
                ""Target"", IF(VLOOKUP(E12, $AD:$AG, 3, false) &lt;&gt; """", VLOOKUP(E12, $AD:$AG, 3, false), VLOOKUP(E12, $AD:$AG, 4, false))),
            D12),
        SUM(OFFSET(DVT_Laboratory!$A$3, Start_Level , IF(ISNUMBER(SEARCH(""ma"&amp;"stery"", E12)), MATCH(""Card Mastery"", DVT_Laboratory!$A$1:$MY$1, 0), MATCH(E12, DVT_Laboratory!$A$1:$MY$1, 0)) - 1, End_Level - Start_Level, 1)) /
                (1 * REGEXEXTRACT(F$2, ""[\d.-]+"")) /
                Labspeed), ""Levels Error!""))"),"")</f>
        <v/>
      </c>
      <c r="J12" s="640" t="str">
        <f t="shared" si="4"/>
        <v/>
      </c>
      <c r="K12" s="699"/>
      <c r="L12" s="700"/>
      <c r="M12" s="709"/>
      <c r="N12" s="707" t="str">
        <f>IFERROR(__xludf.DUMMYFUNCTION("IFERROR(IF(P12 = """", """",
    SWITCH($W$37,
        ""Total"", "" "" &amp; FORMAT_NUMBER(P12),
        ""Daily"", LET(Lab_name, IF(REGEXMATCH(M12, ""Mastery""), ""Card Mastery"", M12),
            Level, IF(ISBETWEEN(K12, VLOOKUP(M12, $AD:$AG, 2, FALSE), V"&amp;"LOOKUP(M12, $AD:$AG, 4, FALSE), TRUE, FALSE), K12, VLOOKUP(M12, $AD:$AG, 2, FALSE)),
            IF(LABCOST_SINGLE_ADJUSTED(Lab_name, Level + 1) = 0, ""0 (Max)"",
            "" "" &amp; FORMAT_NUMBER(            
                    LABCOST_SINGLE_ADJUSTED(L"&amp;"ab_name, Level + 1) / 
                    (LABDURATION_SINGLE_ADJUSTED(Lab_name, Level + 1) /
                    (1 * REGEXEXTRACT(N$2, ""[\d.-]+"")))))),
        ""Gem Rush"", LET(
            Labspeed, IF(M12=""Labs Speed"", 1+'Master Sheet'!$BK$5, LA"&amp;"B_SPEED_TOTAL()),
            Start_Level, IF(K12 = """",
                VLOOKUP(M12, $AD:$AG, 2, false),
                IF(ISBETWEEN(K12, VALUE(VLOOKUP(M12, $AD:$AG, 2, false)), VALUE(VLOOKUP(M12, $AD:$AG, 4, false))), K12, """")),
            End_Leve"&amp;"l, IF(OR(L12 = """", NOT(ISBETWEEN(L12, VALUE(VLOOKUP(M12, $AD:$AG, 2, false)), VALUE(VLOOKUP(M12, $AD:$AG, 4, false)),0,1))),
                SWITCH($W$38,
                    ""Max"", VLOOKUP(M12, $AD:$AG, 4, false),
                    ""Target"", IF(V"&amp;"LOOKUP(M12, $AD:$AG, 3, false) &lt;&gt; """", VLOOKUP(M12, $AD:$AG, 3, false), VLOOKUP(M12, $AD:$AG, 4, false))),
                    L12),
            SUM(ARRAYFORMULA(TIME_TO_RUSH_GEMS( OFFSET(DVT_Laboratory!$A$3, Start_Level , IF(ISNUMBER(SEARCH(""mastery"","&amp;" M12)), MATCH(""Card Mastery"", DVT_Laboratory!$A$1:$LO$1, 0), MATCH(M12, DVT_Laboratory!$A$1:$LO$1, 0)) - 1, End_Level - Start_Level, 1) / Labspeed, IDS_LAB_GODLBOXED_COUNT())))))))"),"")</f>
        <v/>
      </c>
      <c r="O12" s="695" t="str">
        <f t="shared" si="5"/>
        <v/>
      </c>
      <c r="P12" s="668" t="str">
        <f>IFERROR(__xludf.DUMMYFUNCTION("IFS(M12 = """", """", 
    VLOOKUP(M12, $AD:$AG, 2, false) = VLOOKUP(M12, $AD:$AG, 4, false), ""MAX Level"",
    AND(VLOOKUP(M12, $AD:$AG, 3, false) &lt;&gt; """", VLOOKUP(M12, $AD:$AG, 2, false) = VLOOKUP(M12, $AD:$AG, 3, false)), ""At Target"",
    TRUE,
    "&amp;"IFERROR(LET(Start_Level, IF(K12 = """",
            VLOOKUP(M12, $AD:$AG, 2, false),
            IF(ISBETWEEN(K12, VALUE(VLOOKUP(M12, $AD:$AG, 2, false)), VALUE(VLOOKUP(M12, $AD:$AG, 4, false))), K12, """")),
        End_Level, IF(OR(L12 = """", NOT(ISBET"&amp;"WEEN(L12, VALUE(VLOOKUP(M12, $AD:$AG, 2, false)), VALUE(VLOOKUP(M12, $AD:$AG, 4, false)),0,1))),
            SWITCH($W$38,
                ""Max"", VLOOKUP(M12, $AD:$AG, 4, false),
                ""Target"", IF(VLOOKUP(M12, $AD:$AG, 3, false) &lt;&gt; """", VL"&amp;"OOKUP(M12, $AD:$AG, 3, false), VLOOKUP(M12, $AD:$AG, 4, false))),
            L12),
        SUM(OFFSET(DVT_Laboratory!$A$3, Start_Level , IF(ISNUMBER(SEARCH(""mastery"", M12)), MATCH(""Card Mastery"", DVT_Laboratory!$A$1:$MY$1, 0), MATCH(M12, DVT_Laborato"&amp;"ry!$A$1:$MY$1, 0)), End_Level - Start_Level, 1)) * (1-LAB_COIN_DISCOUNT())), ""Levels Error!""))"),"")</f>
        <v/>
      </c>
      <c r="Q12" s="669" t="str">
        <f>IFERROR(__xludf.DUMMYFUNCTION("IFS(M12 = """", """", 
    VLOOKUP(M12, $AD:$AG, 2, false) = VLOOKUP(M12, $AD:$AG, 4, false), ""MAX Level"",
    AND(VLOOKUP(M12, $AD:$AG, 3, false) &lt;&gt; """", VLOOKUP(M12, $AD:$AG, 2, false) = VLOOKUP(M12, $AD:$AG, 3, false)), ""At Target"",
    TRUE,
    "&amp;"IFERROR(LET(
        Labspeed, IF(M12=""Labs Speed"", 1+'Master Sheet'!$BK$5, LAB_SPEED_TOTAL()),
        Start_Level, IF(K12 = """",
            VLOOKUP(M12, $AD:$AG, 2, false),
            IF(ISBETWEEN(K12, VALUE(VLOOKUP(M12, $AD:$AG, 2, false)), VALUE("&amp;"VLOOKUP(M12, $AD:$AG, 4, false))), K12, """")),
        End_Level, IF(OR(L12 = """", NOT(ISBETWEEN(L12, VALUE(VLOOKUP(M12, $AD:$AG, 2, false)), VALUE(VLOOKUP(M12, $AD:$AG, 4, false)),0,1))),
            SWITCH($W$38,
                ""Max"", VLOOKUP(M12, "&amp;"$AD:$AG, 4, false),
                ""Target"", IF(VLOOKUP(M12, $AD:$AG, 3, false) &lt;&gt; """", VLOOKUP(M12, $AD:$AG, 3, false), VLOOKUP(M12, $AD:$AG, 4, false))),
            L12),
        SUM(OFFSET(DVT_Laboratory!$A$3, Start_Level , IF(ISNUMBER(SEARCH(""ma"&amp;"stery"", M12)), MATCH(""Card Mastery"", DVT_Laboratory!$A$1:$MY$1, 0), MATCH(M12, DVT_Laboratory!$A$1:$MY$1, 0)) - 1, End_Level - Start_Level, 1)) /
                (1 * REGEXEXTRACT(N$2, ""[\d.-]+"")) /
                Labspeed), ""Levels Error!""))"),"")</f>
        <v/>
      </c>
      <c r="R12" s="642" t="str">
        <f t="shared" si="6"/>
        <v/>
      </c>
      <c r="S12" s="696"/>
      <c r="T12" s="701"/>
      <c r="U12" s="715"/>
      <c r="V12" s="710" t="str">
        <f>IFERROR(__xludf.DUMMYFUNCTION("IFERROR(IF(X12 = """", """",
    SWITCH($W$37,
        ""Total"", "" "" &amp; FORMAT_NUMBER(X12),
        ""Daily"", LET(Lab_name, IF(REGEXMATCH(U12, ""Mastery""), ""Card Mastery"", U12),
            Level, IF(ISBETWEEN(S12, VLOOKUP(U12, $AD:$AG, 2, FALSE), V"&amp;"LOOKUP(U12, $AD:$AG, 4, FALSE), TRUE, FALSE), S12, VLOOKUP(U12, $AD:$AG, 2, FALSE)),
            IF(LABCOST_SINGLE_ADJUSTED(Lab_name, Level + 1) = 0, ""0 (Max)"",
            "" "" &amp; FORMAT_NUMBER(            
                    LABCOST_SINGLE_ADJUSTED(L"&amp;"ab_name, Level + 1) / 
                    (LABDURATION_SINGLE_ADJUSTED(Lab_name, Level + 1) /
                    (1 * REGEXEXTRACT(V$2, ""[\d.-]+"")))))),
        ""Gem Rush"", LET(
            Labspeed, IF(U12=""Labs Speed"", 1+'Master Sheet'!$BK$5, LA"&amp;"B_SPEED_TOTAL()),
            Start_Level, IF(S12 = """",
                VLOOKUP(U12, $AD:$AG, 2, false),
                IF(ISBETWEEN(S12, VALUE(VLOOKUP(U12, $AD:$AG, 2, false)), VALUE(VLOOKUP(U12, $AD:$AG, 4, false))), S12, """")),
            End_Leve"&amp;"l, IF(OR(T12 = """", NOT(ISBETWEEN(T12, VALUE(VLOOKUP(U12, $AD:$AG, 2, false)), VALUE(VLOOKUP(U12, $AD:$AG, 4, false)),0,1))),
                SWITCH($W$38,
                    ""Max"", VLOOKUP(U12, $AD:$AG, 4, false),
                    ""Target"", IF(V"&amp;"LOOKUP(U12, $AD:$AG, 3, false) &lt;&gt; """", VLOOKUP(U12, $AD:$AG, 3, false), VLOOKUP(U12, $AD:$AG, 4, false))),
                    T12),
            SUM(ARRAYFORMULA(TIME_TO_RUSH_GEMS( OFFSET(DVT_Laboratory!$A$3, Start_Level , IF(ISNUMBER(SEARCH(""mastery"","&amp;" U12)), MATCH(""Card Mastery"", DVT_Laboratory!$A$1:$LO$1, 0), MATCH(U12, DVT_Laboratory!$A$1:$LO$1, 0)) - 1, End_Level - Start_Level, 1) / Labspeed, IDS_LAB_GODLBOXED_COUNT())))))))"),"")</f>
        <v/>
      </c>
      <c r="W12" s="690" t="str">
        <f t="shared" si="7"/>
        <v/>
      </c>
      <c r="X12" s="630" t="str">
        <f>IFERROR(__xludf.DUMMYFUNCTION("IFS(U12 = """", """", 
    VLOOKUP(U12, $AD:$AG, 2, false) = VLOOKUP(U12, $AD:$AG, 4, false), ""MAX Level"",
    AND(VLOOKUP(U12, $AD:$AG, 3, false) &lt;&gt; """", VLOOKUP(U12, $AD:$AG, 2, false) = VLOOKUP(U12, $AD:$AG, 3, false)), ""At Target"",
    TRUE,
    "&amp;"IFERROR(LET(Start_Level, IF(S12 = """",
            VLOOKUP(U12, $AD:$AG, 2, false),
            IF(ISBETWEEN(S12, VALUE(VLOOKUP(U12, $AD:$AG, 2, false)), VALUE(VLOOKUP(U12, $AD:$AG, 4, false))), S12, """")),
        End_Level, IF(OR(T12 = """", NOT(ISBET"&amp;"WEEN(T12, VALUE(VLOOKUP(U12, $AD:$AG, 2, false)), VALUE(VLOOKUP(U12, $AD:$AG, 4, false)),0,1))),
            SWITCH($W$38,
                ""Max"", VLOOKUP(U12, $AD:$AG, 4, false),
                ""Target"", IF(VLOOKUP(U12, $AD:$AG, 3, false) &lt;&gt; """", VL"&amp;"OOKUP(U12, $AD:$AG, 3, false), VLOOKUP(U12, $AD:$AG, 4, false))),
            T12),
        SUM(OFFSET(DVT_Laboratory!$A$3, Start_Level , IF(ISNUMBER(SEARCH(""mastery"", U12)), MATCH(""Card Mastery"", DVT_Laboratory!$A$1:$MY$1, 0), MATCH(U12, DVT_Laborato"&amp;"ry!$A$1:$MY$1, 0)), End_Level - Start_Level, 1)) * (1-LAB_COIN_DISCOUNT())), ""Levels Error!""))"),"")</f>
        <v/>
      </c>
      <c r="Y12" s="631" t="str">
        <f>IFERROR(__xludf.DUMMYFUNCTION("IFS(U12 = """", """", 
    VLOOKUP(U12, $AD:$AG, 2, false) = VLOOKUP(U12, $AD:$AG, 4, false), ""MAX Level"",
    AND(VLOOKUP(U12, $AD:$AG, 3, false) &lt;&gt; """", VLOOKUP(U12, $AD:$AG, 2, false) = VLOOKUP(U12, $AD:$AG, 3, false)), ""At Target"",
    TRUE,
    "&amp;"IFERROR(LET(
        Labspeed, IF(U12=""Labs Speed"", 1+'Master Sheet'!$BK$5, LAB_SPEED_TOTAL()),
        Start_Level, IF(S12 = """",
            VLOOKUP(U12, $AD:$AG, 2, false),
            IF(ISBETWEEN(S12, VALUE(VLOOKUP(U12, $AD:$AG, 2, false)), VALUE("&amp;"VLOOKUP(U12, $AD:$AG, 4, false))), S12, """")),
        End_Level, IF(OR(T12 = """", NOT(ISBETWEEN(T12, VALUE(VLOOKUP(U12, $AD:$AG, 2, false)), VALUE(VLOOKUP(U12, $AD:$AG, 4, false)),0,1))),
            SWITCH($W$38,
                ""Max"", VLOOKUP(U12, "&amp;"$AD:$AG, 4, false),
                ""Target"", IF(VLOOKUP(U12, $AD:$AG, 3, false) &lt;&gt; """", VLOOKUP(U12, $AD:$AG, 3, false), VLOOKUP(U12, $AD:$AG, 4, false))),
            T12),
        SUM(OFFSET(DVT_Laboratory!$A$3, Start_Level , IF(ISNUMBER(SEARCH(""ma"&amp;"stery"", U12)), MATCH(""Card Mastery"", DVT_Laboratory!$A$1:$MY$1, 0), MATCH(U12, DVT_Laboratory!$A$1:$MY$1, 0)) - 1, End_Level - Start_Level, 1)) /
                (1 * REGEXEXTRACT(V$2, ""[\d.-]+"")) /
                Labspeed), ""Levels Error!""))"),"")</f>
        <v/>
      </c>
      <c r="Z12" s="598"/>
      <c r="AB12" s="717" t="s">
        <v>430</v>
      </c>
      <c r="AC12" s="713" t="str">
        <f>IFERROR(__xludf.DUMMYFUNCTION("""COMPUTED_VALUE"""),"Assist Module Substats - Cannon")</f>
        <v>Assist Module Substats - Cannon</v>
      </c>
      <c r="AD12" s="714" t="s">
        <v>299</v>
      </c>
      <c r="AE12" s="713">
        <v>0.0</v>
      </c>
      <c r="AF12" s="713"/>
      <c r="AG12" s="713">
        <v>30.0</v>
      </c>
      <c r="AH12" s="634" t="str">
        <f t="shared" si="1"/>
        <v/>
      </c>
      <c r="AI12" s="713"/>
      <c r="AJ12" s="713"/>
      <c r="AK12" s="713"/>
      <c r="AL12" s="713"/>
      <c r="AM12" s="713"/>
      <c r="AN12" s="713"/>
      <c r="AO12" s="713"/>
      <c r="AP12" s="713"/>
      <c r="AQ12" s="713"/>
      <c r="AR12" s="713"/>
      <c r="AS12" s="713"/>
      <c r="AT12" s="713"/>
      <c r="AU12" s="713"/>
      <c r="AV12" s="713"/>
      <c r="AW12" s="713"/>
      <c r="AX12" s="713"/>
      <c r="AY12" s="713"/>
      <c r="AZ12" s="713"/>
      <c r="BA12" s="713"/>
      <c r="BB12" s="713"/>
      <c r="BC12" s="713"/>
      <c r="BD12" s="713"/>
      <c r="BE12" s="713"/>
      <c r="BF12" s="713"/>
      <c r="BG12" s="713"/>
      <c r="BH12" s="713"/>
      <c r="BI12" s="713"/>
      <c r="BJ12" s="713"/>
      <c r="BK12" s="713"/>
      <c r="BL12" s="713"/>
      <c r="BM12" s="713"/>
      <c r="BN12" s="713"/>
      <c r="BO12" s="713"/>
      <c r="BP12" s="713"/>
      <c r="BQ12" s="713"/>
      <c r="BR12" s="713"/>
      <c r="BS12" s="713"/>
      <c r="BT12" s="713"/>
      <c r="BU12" s="713"/>
      <c r="BV12" s="713"/>
      <c r="BW12" s="713"/>
      <c r="BX12" s="713"/>
      <c r="BY12" s="713"/>
      <c r="BZ12" s="713"/>
      <c r="CA12" s="713"/>
      <c r="CB12" s="713"/>
      <c r="CC12" s="713"/>
      <c r="CD12" s="713"/>
      <c r="CE12" s="713"/>
      <c r="CF12" s="713"/>
      <c r="CG12" s="713"/>
      <c r="CH12" s="713"/>
      <c r="CI12" s="713"/>
      <c r="CJ12" s="713"/>
      <c r="CK12" s="713"/>
      <c r="CL12" s="713"/>
      <c r="CM12" s="713"/>
      <c r="CN12" s="713"/>
      <c r="CO12" s="713"/>
      <c r="CP12" s="713"/>
      <c r="CQ12" s="713"/>
      <c r="CR12" s="713"/>
      <c r="CS12" s="713"/>
      <c r="CT12" s="713"/>
      <c r="CU12" s="713"/>
      <c r="CV12" s="713"/>
      <c r="CW12" s="713"/>
      <c r="CX12" s="713"/>
      <c r="CY12" s="713"/>
      <c r="CZ12" s="713"/>
      <c r="DA12" s="713"/>
      <c r="DB12" s="713"/>
      <c r="DC12" s="713"/>
      <c r="DD12" s="713"/>
      <c r="DE12" s="713"/>
      <c r="DF12" s="713"/>
      <c r="DG12" s="713"/>
      <c r="DH12" s="713"/>
      <c r="DI12" s="713"/>
      <c r="DJ12" s="713"/>
      <c r="DK12" s="713"/>
      <c r="DL12" s="713"/>
      <c r="DM12" s="713"/>
      <c r="DN12" s="713"/>
      <c r="DO12" s="713"/>
      <c r="DP12" s="713"/>
      <c r="DQ12" s="713"/>
      <c r="DR12" s="713"/>
      <c r="DS12" s="713"/>
      <c r="DT12" s="713"/>
      <c r="DU12" s="713"/>
      <c r="DV12" s="713"/>
      <c r="DW12" s="713"/>
      <c r="DX12" s="713"/>
      <c r="DY12" s="713"/>
      <c r="DZ12" s="713"/>
      <c r="EA12" s="713"/>
      <c r="EB12" s="713"/>
      <c r="EC12" s="713"/>
      <c r="ED12" s="713"/>
      <c r="EE12" s="713"/>
      <c r="EF12" s="713"/>
      <c r="EG12" s="713"/>
      <c r="EH12" s="713"/>
      <c r="EI12" s="713"/>
      <c r="EJ12" s="713"/>
      <c r="EK12" s="713"/>
      <c r="EL12" s="713"/>
      <c r="EM12" s="713"/>
      <c r="EN12" s="713"/>
      <c r="EO12" s="713"/>
      <c r="EP12" s="713"/>
      <c r="EQ12" s="713"/>
      <c r="ER12" s="713"/>
      <c r="ES12" s="713"/>
      <c r="ET12" s="713"/>
      <c r="EU12" s="713"/>
      <c r="EV12" s="713"/>
      <c r="EW12" s="713"/>
      <c r="EX12" s="713"/>
      <c r="EY12" s="713"/>
      <c r="EZ12" s="713"/>
      <c r="FA12" s="713"/>
      <c r="FB12" s="713"/>
      <c r="FC12" s="713"/>
      <c r="FD12" s="713"/>
      <c r="FE12" s="713"/>
      <c r="FF12" s="713"/>
      <c r="FG12" s="713"/>
      <c r="FH12" s="713"/>
      <c r="FI12" s="713"/>
      <c r="FJ12" s="713"/>
      <c r="FK12" s="713"/>
      <c r="FL12" s="713"/>
      <c r="FM12" s="713"/>
      <c r="FN12" s="713"/>
      <c r="FO12" s="713"/>
      <c r="FP12" s="713"/>
      <c r="FQ12" s="713"/>
      <c r="FR12" s="713"/>
      <c r="FS12" s="713"/>
      <c r="FT12" s="713"/>
      <c r="FU12" s="713"/>
      <c r="FV12" s="713"/>
      <c r="FW12" s="713"/>
      <c r="FX12" s="713"/>
      <c r="FY12" s="713"/>
      <c r="FZ12" s="713"/>
      <c r="GA12" s="713"/>
      <c r="GB12" s="713"/>
      <c r="GC12" s="713"/>
      <c r="GD12" s="713"/>
      <c r="GE12" s="713"/>
      <c r="GF12" s="713"/>
      <c r="GG12" s="713"/>
      <c r="GH12" s="713"/>
      <c r="GI12" s="713"/>
      <c r="GJ12" s="713"/>
      <c r="GK12" s="713"/>
      <c r="GL12" s="713"/>
      <c r="GM12" s="713"/>
      <c r="GN12" s="713"/>
      <c r="GO12" s="713"/>
      <c r="GP12" s="713"/>
      <c r="GQ12" s="713"/>
      <c r="GR12" s="713"/>
      <c r="GS12" s="713"/>
      <c r="GT12" s="713"/>
      <c r="GU12" s="713"/>
      <c r="GV12" s="713"/>
      <c r="GW12" s="713"/>
      <c r="GX12" s="713"/>
      <c r="GY12" s="713"/>
      <c r="GZ12" s="713"/>
      <c r="HA12" s="713"/>
      <c r="HB12" s="713"/>
      <c r="HC12" s="713"/>
      <c r="HD12" s="713"/>
      <c r="HE12" s="713"/>
      <c r="HF12" s="713"/>
      <c r="HG12" s="713"/>
      <c r="HH12" s="713"/>
      <c r="HI12" s="713"/>
      <c r="HJ12" s="713"/>
      <c r="HK12" s="713"/>
      <c r="HL12" s="713"/>
      <c r="HM12" s="713"/>
      <c r="HN12" s="713"/>
      <c r="HO12" s="713"/>
      <c r="HP12" s="713"/>
      <c r="HQ12" s="713"/>
      <c r="HR12" s="713"/>
      <c r="HS12" s="713"/>
      <c r="HT12" s="713"/>
      <c r="HU12" s="713"/>
      <c r="HV12" s="713"/>
      <c r="HW12" s="713"/>
      <c r="HX12" s="713"/>
      <c r="HY12" s="713"/>
      <c r="HZ12" s="713"/>
      <c r="IA12" s="713"/>
      <c r="IB12" s="713"/>
      <c r="IC12" s="713"/>
      <c r="ID12" s="713"/>
      <c r="IE12" s="713"/>
      <c r="IF12" s="713"/>
      <c r="IG12" s="713"/>
      <c r="IH12" s="713"/>
    </row>
    <row r="13">
      <c r="A13" s="598"/>
      <c r="B13" s="614" t="str">
        <f t="shared" si="2"/>
        <v/>
      </c>
      <c r="C13" s="705"/>
      <c r="D13" s="679"/>
      <c r="E13" s="692"/>
      <c r="F13" s="659" t="str">
        <f>IFERROR(__xludf.DUMMYFUNCTION("IFERROR(IF(H13 = """", """",
    SWITCH($W$37,
        ""Total"", "" "" &amp; FORMAT_NUMBER(H13),
        ""Daily"", LET(Lab_name, IF(REGEXMATCH(E13, ""Mastery""), ""Card Mastery"", E13),
            Level, IF(ISBETWEEN(C13, VLOOKUP(E13, $AD:$AG, 2, FALSE), V"&amp;"LOOKUP(E13, $AD:$AG, 4, FALSE), TRUE, FALSE), C13, VLOOKUP(E13, $AD:$AG, 2, FALSE)),
            IF(LABCOST_SINGLE_ADJUSTED(Lab_name, Level + 1) = 0, ""0 (Max)"",
            "" "" &amp; FORMAT_NUMBER(            
                    LABCOST_SINGLE_ADJUSTED(L"&amp;"ab_name, Level + 1) / 
                    (LABDURATION_SINGLE_ADJUSTED(Lab_name, Level + 1) /
                    (1 * REGEXEXTRACT(F$2, ""[\d.-]+"")))))),
        ""Gem Rush"", LET(
            Labspeed, IF(E13=""Labs Speed"", 1+'Master Sheet'!$BK$5, LA"&amp;"B_SPEED_TOTAL()),
            Start_Level, IF(C13 = """",
                VLOOKUP(E13, $AD:$AG, 2, false),
                IF(ISBETWEEN(C13, VALUE(VLOOKUP(E13, $AD:$AG, 2, false)), VALUE(VLOOKUP(E13, $AD:$AG, 4, false))), C13, """")),
            End_Leve"&amp;"l, IF(OR(D13 = """", NOT(ISBETWEEN(D13, VALUE(VLOOKUP(E13, $AD:$AG, 2, false)), VALUE(VLOOKUP(E13, $AD:$AG, 4, false)),0,1))),
                SWITCH($W$38,
                    ""Max"", VLOOKUP(E13, $AD:$AG, 4, false),
                    ""Target"", IF(V"&amp;"LOOKUP(E13, $AD:$AG, 3, false) &lt;&gt; """", VLOOKUP(E13, $AD:$AG, 3, false), VLOOKUP(E13, $AD:$AG, 4, false))),
                    D13),
            SUM(ARRAYFORMULA(TIME_TO_RUSH_GEMS( OFFSET(DVT_Laboratory!$A$3, Start_Level , IF(ISNUMBER(SEARCH(""mastery"","&amp;" E13)), MATCH(""Card Mastery"", DVT_Laboratory!$A$1:$LO$1, 0), MATCH(E13, DVT_Laboratory!$A$1:$LO$1, 0)) - 1, End_Level - Start_Level, 1) / Labspeed, IDS_LAB_GODLBOXED_COUNT())))))))"),"")</f>
        <v/>
      </c>
      <c r="G13" s="693" t="str">
        <f t="shared" si="3"/>
        <v/>
      </c>
      <c r="H13" s="620" t="str">
        <f>IFERROR(__xludf.DUMMYFUNCTION("IFS(E13 = """", """", 
    VLOOKUP(E13, $AD:$AG, 2, false) = VLOOKUP(E13, $AD:$AG, 4, false), ""MAX Level"",
    AND(VLOOKUP(E13, $AD:$AG, 3, false) &lt;&gt; """", VLOOKUP(E13, $AD:$AG, 2, false) = VLOOKUP(E13, $AD:$AG, 3, false)), ""At Target"",
    TRUE,
    "&amp;"IFERROR(LET(Start_Level, IF(C13 = """",
            VLOOKUP(E13, $AD:$AG, 2, false),
            IF(ISBETWEEN(C13, VALUE(VLOOKUP(E13, $AD:$AG, 2, false)), VALUE(VLOOKUP(E13, $AD:$AG, 4, false))), C13, """")),
        End_Level, IF(OR(D13 = """", NOT(ISBET"&amp;"WEEN(D13, VALUE(VLOOKUP(E13, $AD:$AG, 2, false)), VALUE(VLOOKUP(E13, $AD:$AG, 4, false)),0,1))),
            SWITCH($W$38,
                ""Max"", VLOOKUP(E13, $AD:$AG, 4, false),
                ""Target"", IF(VLOOKUP(E13, $AD:$AG, 3, false) &lt;&gt; """", VL"&amp;"OOKUP(E13, $AD:$AG, 3, false), VLOOKUP(E13, $AD:$AG, 4, false))),
            D13),
        SUM(OFFSET(DVT_Laboratory!$A$3, Start_Level , IF(ISNUMBER(SEARCH(""mastery"", E13)), MATCH(""Card Mastery"", DVT_Laboratory!$A$1:$MY$1, 0), MATCH(E13, DVT_Laborato"&amp;"ry!$A$1:$MY$1, 0)), End_Level - Start_Level, 1)) * (1-LAB_COIN_DISCOUNT())), ""Levels Error!""))"),"")</f>
        <v/>
      </c>
      <c r="I13" s="621" t="str">
        <f>IFERROR(__xludf.DUMMYFUNCTION("IFS(E13 = """", """", 
    VLOOKUP(E13, $AD:$AG, 2, false) = VLOOKUP(E13, $AD:$AG, 4, false), ""MAX Level"",
    AND(VLOOKUP(E13, $AD:$AG, 3, false) &lt;&gt; """", VLOOKUP(E13, $AD:$AG, 2, false) = VLOOKUP(E13, $AD:$AG, 3, false)), ""At Target"",
    TRUE,
    "&amp;"IFERROR(LET(
        Labspeed, IF(E13=""Labs Speed"", 1+'Master Sheet'!$BK$5, LAB_SPEED_TOTAL()),
        Start_Level, IF(C13 = """",
            VLOOKUP(E13, $AD:$AG, 2, false),
            IF(ISBETWEEN(C13, VALUE(VLOOKUP(E13, $AD:$AG, 2, false)), VALUE("&amp;"VLOOKUP(E13, $AD:$AG, 4, false))), C13, """")),
        End_Level, IF(OR(D13 = """", NOT(ISBETWEEN(D13, VALUE(VLOOKUP(E13, $AD:$AG, 2, false)), VALUE(VLOOKUP(E13, $AD:$AG, 4, false)),0,1))),
            SWITCH($W$38,
                ""Max"", VLOOKUP(E13, "&amp;"$AD:$AG, 4, false),
                ""Target"", IF(VLOOKUP(E13, $AD:$AG, 3, false) &lt;&gt; """", VLOOKUP(E13, $AD:$AG, 3, false), VLOOKUP(E13, $AD:$AG, 4, false))),
            D13),
        SUM(OFFSET(DVT_Laboratory!$A$3, Start_Level , IF(ISNUMBER(SEARCH(""ma"&amp;"stery"", E13)), MATCH(""Card Mastery"", DVT_Laboratory!$A$1:$MY$1, 0), MATCH(E13, DVT_Laboratory!$A$1:$MY$1, 0)) - 1, End_Level - Start_Level, 1)) /
                (1 * REGEXEXTRACT(F$2, ""[\d.-]+"")) /
                Labspeed), ""Levels Error!""))"),"")</f>
        <v/>
      </c>
      <c r="J13" s="640" t="str">
        <f t="shared" si="4"/>
        <v/>
      </c>
      <c r="K13" s="699"/>
      <c r="L13" s="700"/>
      <c r="M13" s="709"/>
      <c r="N13" s="707" t="str">
        <f>IFERROR(__xludf.DUMMYFUNCTION("IFERROR(IF(P13 = """", """",
    SWITCH($W$37,
        ""Total"", "" "" &amp; FORMAT_NUMBER(P13),
        ""Daily"", LET(Lab_name, IF(REGEXMATCH(M13, ""Mastery""), ""Card Mastery"", M13),
            Level, IF(ISBETWEEN(K13, VLOOKUP(M13, $AD:$AG, 2, FALSE), V"&amp;"LOOKUP(M13, $AD:$AG, 4, FALSE), TRUE, FALSE), K13, VLOOKUP(M13, $AD:$AG, 2, FALSE)),
            IF(LABCOST_SINGLE_ADJUSTED(Lab_name, Level + 1) = 0, ""0 (Max)"",
            "" "" &amp; FORMAT_NUMBER(            
                    LABCOST_SINGLE_ADJUSTED(L"&amp;"ab_name, Level + 1) / 
                    (LABDURATION_SINGLE_ADJUSTED(Lab_name, Level + 1) /
                    (1 * REGEXEXTRACT(N$2, ""[\d.-]+"")))))),
        ""Gem Rush"", LET(
            Labspeed, IF(M13=""Labs Speed"", 1+'Master Sheet'!$BK$5, LA"&amp;"B_SPEED_TOTAL()),
            Start_Level, IF(K13 = """",
                VLOOKUP(M13, $AD:$AG, 2, false),
                IF(ISBETWEEN(K13, VALUE(VLOOKUP(M13, $AD:$AG, 2, false)), VALUE(VLOOKUP(M13, $AD:$AG, 4, false))), K13, """")),
            End_Leve"&amp;"l, IF(OR(L13 = """", NOT(ISBETWEEN(L13, VALUE(VLOOKUP(M13, $AD:$AG, 2, false)), VALUE(VLOOKUP(M13, $AD:$AG, 4, false)),0,1))),
                SWITCH($W$38,
                    ""Max"", VLOOKUP(M13, $AD:$AG, 4, false),
                    ""Target"", IF(V"&amp;"LOOKUP(M13, $AD:$AG, 3, false) &lt;&gt; """", VLOOKUP(M13, $AD:$AG, 3, false), VLOOKUP(M13, $AD:$AG, 4, false))),
                    L13),
            SUM(ARRAYFORMULA(TIME_TO_RUSH_GEMS( OFFSET(DVT_Laboratory!$A$3, Start_Level , IF(ISNUMBER(SEARCH(""mastery"","&amp;" M13)), MATCH(""Card Mastery"", DVT_Laboratory!$A$1:$LO$1, 0), MATCH(M13, DVT_Laboratory!$A$1:$LO$1, 0)) - 1, End_Level - Start_Level, 1) / Labspeed, IDS_LAB_GODLBOXED_COUNT())))))))"),"")</f>
        <v/>
      </c>
      <c r="O13" s="695" t="str">
        <f t="shared" si="5"/>
        <v/>
      </c>
      <c r="P13" s="625" t="str">
        <f>IFERROR(__xludf.DUMMYFUNCTION("IFS(M13 = """", """", 
    VLOOKUP(M13, $AD:$AG, 2, false) = VLOOKUP(M13, $AD:$AG, 4, false), ""MAX Level"",
    AND(VLOOKUP(M13, $AD:$AG, 3, false) &lt;&gt; """", VLOOKUP(M13, $AD:$AG, 2, false) = VLOOKUP(M13, $AD:$AG, 3, false)), ""At Target"",
    TRUE,
    "&amp;"IFERROR(LET(Start_Level, IF(K13 = """",
            VLOOKUP(M13, $AD:$AG, 2, false),
            IF(ISBETWEEN(K13, VALUE(VLOOKUP(M13, $AD:$AG, 2, false)), VALUE(VLOOKUP(M13, $AD:$AG, 4, false))), K13, """")),
        End_Level, IF(OR(L13 = """", NOT(ISBET"&amp;"WEEN(L13, VALUE(VLOOKUP(M13, $AD:$AG, 2, false)), VALUE(VLOOKUP(M13, $AD:$AG, 4, false)),0,1))),
            SWITCH($W$38,
                ""Max"", VLOOKUP(M13, $AD:$AG, 4, false),
                ""Target"", IF(VLOOKUP(M13, $AD:$AG, 3, false) &lt;&gt; """", VL"&amp;"OOKUP(M13, $AD:$AG, 3, false), VLOOKUP(M13, $AD:$AG, 4, false))),
            L13),
        SUM(OFFSET(DVT_Laboratory!$A$3, Start_Level , IF(ISNUMBER(SEARCH(""mastery"", M13)), MATCH(""Card Mastery"", DVT_Laboratory!$A$1:$MY$1, 0), MATCH(M13, DVT_Laborato"&amp;"ry!$A$1:$MY$1, 0)), End_Level - Start_Level, 1)) * (1-LAB_COIN_DISCOUNT())), ""Levels Error!""))"),"")</f>
        <v/>
      </c>
      <c r="Q13" s="626" t="str">
        <f>IFERROR(__xludf.DUMMYFUNCTION("IFS(M13 = """", """", 
    VLOOKUP(M13, $AD:$AG, 2, false) = VLOOKUP(M13, $AD:$AG, 4, false), ""MAX Level"",
    AND(VLOOKUP(M13, $AD:$AG, 3, false) &lt;&gt; """", VLOOKUP(M13, $AD:$AG, 2, false) = VLOOKUP(M13, $AD:$AG, 3, false)), ""At Target"",
    TRUE,
    "&amp;"IFERROR(LET(
        Labspeed, IF(M13=""Labs Speed"", 1+'Master Sheet'!$BK$5, LAB_SPEED_TOTAL()),
        Start_Level, IF(K13 = """",
            VLOOKUP(M13, $AD:$AG, 2, false),
            IF(ISBETWEEN(K13, VALUE(VLOOKUP(M13, $AD:$AG, 2, false)), VALUE("&amp;"VLOOKUP(M13, $AD:$AG, 4, false))), K13, """")),
        End_Level, IF(OR(L13 = """", NOT(ISBETWEEN(L13, VALUE(VLOOKUP(M13, $AD:$AG, 2, false)), VALUE(VLOOKUP(M13, $AD:$AG, 4, false)),0,1))),
            SWITCH($W$38,
                ""Max"", VLOOKUP(M13, "&amp;"$AD:$AG, 4, false),
                ""Target"", IF(VLOOKUP(M13, $AD:$AG, 3, false) &lt;&gt; """", VLOOKUP(M13, $AD:$AG, 3, false), VLOOKUP(M13, $AD:$AG, 4, false))),
            L13),
        SUM(OFFSET(DVT_Laboratory!$A$3, Start_Level , IF(ISNUMBER(SEARCH(""ma"&amp;"stery"", M13)), MATCH(""Card Mastery"", DVT_Laboratory!$A$1:$MY$1, 0), MATCH(M13, DVT_Laboratory!$A$1:$MY$1, 0)) - 1, End_Level - Start_Level, 1)) /
                (1 * REGEXEXTRACT(N$2, ""[\d.-]+"")) /
                Labspeed), ""Levels Error!""))"),"")</f>
        <v/>
      </c>
      <c r="R13" s="642" t="str">
        <f t="shared" si="6"/>
        <v/>
      </c>
      <c r="S13" s="696"/>
      <c r="T13" s="701"/>
      <c r="U13" s="715"/>
      <c r="V13" s="710" t="str">
        <f>IFERROR(__xludf.DUMMYFUNCTION("IFERROR(IF(X13 = """", """",
    SWITCH($W$37,
        ""Total"", "" "" &amp; FORMAT_NUMBER(X13),
        ""Daily"", LET(Lab_name, IF(REGEXMATCH(U13, ""Mastery""), ""Card Mastery"", U13),
            Level, IF(ISBETWEEN(S13, VLOOKUP(U13, $AD:$AG, 2, FALSE), V"&amp;"LOOKUP(U13, $AD:$AG, 4, FALSE), TRUE, FALSE), S13, VLOOKUP(U13, $AD:$AG, 2, FALSE)),
            IF(LABCOST_SINGLE_ADJUSTED(Lab_name, Level + 1) = 0, ""0 (Max)"",
            "" "" &amp; FORMAT_NUMBER(            
                    LABCOST_SINGLE_ADJUSTED(L"&amp;"ab_name, Level + 1) / 
                    (LABDURATION_SINGLE_ADJUSTED(Lab_name, Level + 1) /
                    (1 * REGEXEXTRACT(V$2, ""[\d.-]+"")))))),
        ""Gem Rush"", LET(
            Labspeed, IF(U13=""Labs Speed"", 1+'Master Sheet'!$BK$5, LA"&amp;"B_SPEED_TOTAL()),
            Start_Level, IF(S13 = """",
                VLOOKUP(U13, $AD:$AG, 2, false),
                IF(ISBETWEEN(S13, VALUE(VLOOKUP(U13, $AD:$AG, 2, false)), VALUE(VLOOKUP(U13, $AD:$AG, 4, false))), S13, """")),
            End_Leve"&amp;"l, IF(OR(T13 = """", NOT(ISBETWEEN(T13, VALUE(VLOOKUP(U13, $AD:$AG, 2, false)), VALUE(VLOOKUP(U13, $AD:$AG, 4, false)),0,1))),
                SWITCH($W$38,
                    ""Max"", VLOOKUP(U13, $AD:$AG, 4, false),
                    ""Target"", IF(V"&amp;"LOOKUP(U13, $AD:$AG, 3, false) &lt;&gt; """", VLOOKUP(U13, $AD:$AG, 3, false), VLOOKUP(U13, $AD:$AG, 4, false))),
                    T13),
            SUM(ARRAYFORMULA(TIME_TO_RUSH_GEMS( OFFSET(DVT_Laboratory!$A$3, Start_Level , IF(ISNUMBER(SEARCH(""mastery"","&amp;" U13)), MATCH(""Card Mastery"", DVT_Laboratory!$A$1:$LO$1, 0), MATCH(U13, DVT_Laboratory!$A$1:$LO$1, 0)) - 1, End_Level - Start_Level, 1) / Labspeed, IDS_LAB_GODLBOXED_COUNT())))))))"),"")</f>
        <v/>
      </c>
      <c r="W13" s="690" t="str">
        <f t="shared" si="7"/>
        <v/>
      </c>
      <c r="X13" s="630" t="str">
        <f>IFERROR(__xludf.DUMMYFUNCTION("IFS(U13 = """", """", 
    VLOOKUP(U13, $AD:$AG, 2, false) = VLOOKUP(U13, $AD:$AG, 4, false), ""MAX Level"",
    AND(VLOOKUP(U13, $AD:$AG, 3, false) &lt;&gt; """", VLOOKUP(U13, $AD:$AG, 2, false) = VLOOKUP(U13, $AD:$AG, 3, false)), ""At Target"",
    TRUE,
    "&amp;"IFERROR(LET(Start_Level, IF(S13 = """",
            VLOOKUP(U13, $AD:$AG, 2, false),
            IF(ISBETWEEN(S13, VALUE(VLOOKUP(U13, $AD:$AG, 2, false)), VALUE(VLOOKUP(U13, $AD:$AG, 4, false))), S13, """")),
        End_Level, IF(OR(T13 = """", NOT(ISBET"&amp;"WEEN(T13, VALUE(VLOOKUP(U13, $AD:$AG, 2, false)), VALUE(VLOOKUP(U13, $AD:$AG, 4, false)),0,1))),
            SWITCH($W$38,
                ""Max"", VLOOKUP(U13, $AD:$AG, 4, false),
                ""Target"", IF(VLOOKUP(U13, $AD:$AG, 3, false) &lt;&gt; """", VL"&amp;"OOKUP(U13, $AD:$AG, 3, false), VLOOKUP(U13, $AD:$AG, 4, false))),
            T13),
        SUM(OFFSET(DVT_Laboratory!$A$3, Start_Level , IF(ISNUMBER(SEARCH(""mastery"", U13)), MATCH(""Card Mastery"", DVT_Laboratory!$A$1:$MY$1, 0), MATCH(U13, DVT_Laborato"&amp;"ry!$A$1:$MY$1, 0)), End_Level - Start_Level, 1)) * (1-LAB_COIN_DISCOUNT())), ""Levels Error!""))"),"")</f>
        <v/>
      </c>
      <c r="Y13" s="631" t="str">
        <f>IFERROR(__xludf.DUMMYFUNCTION("IFS(U13 = """", """", 
    VLOOKUP(U13, $AD:$AG, 2, false) = VLOOKUP(U13, $AD:$AG, 4, false), ""MAX Level"",
    AND(VLOOKUP(U13, $AD:$AG, 3, false) &lt;&gt; """", VLOOKUP(U13, $AD:$AG, 2, false) = VLOOKUP(U13, $AD:$AG, 3, false)), ""At Target"",
    TRUE,
    "&amp;"IFERROR(LET(
        Labspeed, IF(U13=""Labs Speed"", 1+'Master Sheet'!$BK$5, LAB_SPEED_TOTAL()),
        Start_Level, IF(S13 = """",
            VLOOKUP(U13, $AD:$AG, 2, false),
            IF(ISBETWEEN(S13, VALUE(VLOOKUP(U13, $AD:$AG, 2, false)), VALUE("&amp;"VLOOKUP(U13, $AD:$AG, 4, false))), S13, """")),
        End_Level, IF(OR(T13 = """", NOT(ISBETWEEN(T13, VALUE(VLOOKUP(U13, $AD:$AG, 2, false)), VALUE(VLOOKUP(U13, $AD:$AG, 4, false)),0,1))),
            SWITCH($W$38,
                ""Max"", VLOOKUP(U13, "&amp;"$AD:$AG, 4, false),
                ""Target"", IF(VLOOKUP(U13, $AD:$AG, 3, false) &lt;&gt; """", VLOOKUP(U13, $AD:$AG, 3, false), VLOOKUP(U13, $AD:$AG, 4, false))),
            T13),
        SUM(OFFSET(DVT_Laboratory!$A$3, Start_Level , IF(ISNUMBER(SEARCH(""ma"&amp;"stery"", U13)), MATCH(""Card Mastery"", DVT_Laboratory!$A$1:$MY$1, 0), MATCH(U13, DVT_Laboratory!$A$1:$MY$1, 0)) - 1, End_Level - Start_Level, 1)) /
                (1 * REGEXEXTRACT(V$2, ""[\d.-]+"")) /
                Labspeed), ""Levels Error!""))"),"")</f>
        <v/>
      </c>
      <c r="Z13" s="598"/>
      <c r="AB13" s="718" t="s">
        <v>431</v>
      </c>
      <c r="AC13" s="713" t="str">
        <f>IFERROR(__xludf.DUMMYFUNCTION("""COMPUTED_VALUE"""),"Assist Module Substats - Core")</f>
        <v>Assist Module Substats - Core</v>
      </c>
      <c r="AD13" s="714" t="s">
        <v>320</v>
      </c>
      <c r="AE13" s="713">
        <v>0.0</v>
      </c>
      <c r="AF13" s="713"/>
      <c r="AG13" s="713">
        <v>30.0</v>
      </c>
      <c r="AH13" s="634" t="str">
        <f t="shared" si="1"/>
        <v/>
      </c>
      <c r="AI13" s="713"/>
      <c r="AJ13" s="713"/>
      <c r="AK13" s="713"/>
      <c r="AL13" s="713"/>
      <c r="AM13" s="713"/>
      <c r="AN13" s="713"/>
      <c r="AO13" s="713"/>
      <c r="AP13" s="713"/>
      <c r="AQ13" s="713"/>
      <c r="AR13" s="713"/>
      <c r="AS13" s="713"/>
      <c r="AT13" s="713"/>
      <c r="AU13" s="713"/>
      <c r="AV13" s="713"/>
      <c r="AW13" s="713"/>
      <c r="AX13" s="713"/>
      <c r="AY13" s="713"/>
      <c r="AZ13" s="713"/>
      <c r="BA13" s="713"/>
      <c r="BB13" s="713"/>
      <c r="BC13" s="713"/>
      <c r="BD13" s="713"/>
      <c r="BE13" s="713"/>
      <c r="BF13" s="713"/>
      <c r="BG13" s="713"/>
      <c r="BH13" s="713"/>
      <c r="BI13" s="713"/>
      <c r="BJ13" s="713"/>
      <c r="BK13" s="713"/>
      <c r="BL13" s="713"/>
      <c r="BM13" s="713"/>
      <c r="BN13" s="713"/>
      <c r="BO13" s="713"/>
      <c r="BP13" s="713"/>
      <c r="BQ13" s="713"/>
      <c r="BR13" s="713"/>
      <c r="BS13" s="713"/>
      <c r="BT13" s="713"/>
      <c r="BU13" s="713"/>
      <c r="BV13" s="713"/>
      <c r="BW13" s="713"/>
      <c r="BX13" s="713"/>
      <c r="BY13" s="713"/>
      <c r="BZ13" s="713"/>
      <c r="CA13" s="713"/>
      <c r="CB13" s="713"/>
      <c r="CC13" s="713"/>
      <c r="CD13" s="713"/>
      <c r="CE13" s="713"/>
      <c r="CF13" s="713"/>
      <c r="CG13" s="713"/>
      <c r="CH13" s="713"/>
      <c r="CI13" s="713"/>
      <c r="CJ13" s="713"/>
      <c r="CK13" s="713"/>
      <c r="CL13" s="713"/>
      <c r="CM13" s="713"/>
      <c r="CN13" s="713"/>
      <c r="CO13" s="713"/>
      <c r="CP13" s="713"/>
      <c r="CQ13" s="713"/>
      <c r="CR13" s="713"/>
      <c r="CS13" s="713"/>
      <c r="CT13" s="713"/>
      <c r="CU13" s="713"/>
      <c r="CV13" s="713"/>
      <c r="CW13" s="713"/>
      <c r="CX13" s="713"/>
      <c r="CY13" s="713"/>
      <c r="CZ13" s="713"/>
      <c r="DA13" s="713"/>
      <c r="DB13" s="713"/>
      <c r="DC13" s="713"/>
      <c r="DD13" s="713"/>
      <c r="DE13" s="713"/>
      <c r="DF13" s="713"/>
      <c r="DG13" s="713"/>
      <c r="DH13" s="713"/>
      <c r="DI13" s="713"/>
      <c r="DJ13" s="713"/>
      <c r="DK13" s="713"/>
      <c r="DL13" s="713"/>
      <c r="DM13" s="713"/>
      <c r="DN13" s="713"/>
      <c r="DO13" s="713"/>
      <c r="DP13" s="713"/>
      <c r="DQ13" s="713"/>
      <c r="DR13" s="713"/>
      <c r="DS13" s="713"/>
      <c r="DT13" s="713"/>
      <c r="DU13" s="713"/>
      <c r="DV13" s="713"/>
      <c r="DW13" s="713"/>
      <c r="DX13" s="713"/>
      <c r="DY13" s="713"/>
      <c r="DZ13" s="713"/>
      <c r="EA13" s="713"/>
      <c r="EB13" s="713"/>
      <c r="EC13" s="713"/>
      <c r="ED13" s="713"/>
      <c r="EE13" s="713"/>
      <c r="EF13" s="713"/>
      <c r="EG13" s="713"/>
      <c r="EH13" s="713"/>
      <c r="EI13" s="713"/>
      <c r="EJ13" s="713"/>
      <c r="EK13" s="713"/>
      <c r="EL13" s="713"/>
      <c r="EM13" s="713"/>
      <c r="EN13" s="713"/>
      <c r="EO13" s="713"/>
      <c r="EP13" s="713"/>
      <c r="EQ13" s="713"/>
      <c r="ER13" s="713"/>
      <c r="ES13" s="713"/>
      <c r="ET13" s="713"/>
      <c r="EU13" s="713"/>
      <c r="EV13" s="713"/>
      <c r="EW13" s="713"/>
      <c r="EX13" s="713"/>
      <c r="EY13" s="713"/>
      <c r="EZ13" s="713"/>
      <c r="FA13" s="713"/>
      <c r="FB13" s="713"/>
      <c r="FC13" s="713"/>
      <c r="FD13" s="713"/>
      <c r="FE13" s="713"/>
      <c r="FF13" s="713"/>
      <c r="FG13" s="713"/>
      <c r="FH13" s="713"/>
      <c r="FI13" s="713"/>
      <c r="FJ13" s="713"/>
      <c r="FK13" s="713"/>
      <c r="FL13" s="713"/>
      <c r="FM13" s="713"/>
      <c r="FN13" s="713"/>
      <c r="FO13" s="713"/>
      <c r="FP13" s="713"/>
      <c r="FQ13" s="713"/>
      <c r="FR13" s="713"/>
      <c r="FS13" s="713"/>
      <c r="FT13" s="713"/>
      <c r="FU13" s="713"/>
      <c r="FV13" s="713"/>
      <c r="FW13" s="713"/>
      <c r="FX13" s="713"/>
      <c r="FY13" s="713"/>
      <c r="FZ13" s="713"/>
      <c r="GA13" s="713"/>
      <c r="GB13" s="713"/>
      <c r="GC13" s="713"/>
      <c r="GD13" s="713"/>
      <c r="GE13" s="713"/>
      <c r="GF13" s="713"/>
      <c r="GG13" s="713"/>
      <c r="GH13" s="713"/>
      <c r="GI13" s="713"/>
      <c r="GJ13" s="713"/>
      <c r="GK13" s="713"/>
      <c r="GL13" s="713"/>
      <c r="GM13" s="713"/>
      <c r="GN13" s="713"/>
      <c r="GO13" s="713"/>
      <c r="GP13" s="713"/>
      <c r="GQ13" s="713"/>
      <c r="GR13" s="713"/>
      <c r="GS13" s="713"/>
      <c r="GT13" s="713"/>
      <c r="GU13" s="713"/>
      <c r="GV13" s="713"/>
      <c r="GW13" s="713"/>
      <c r="GX13" s="713"/>
      <c r="GY13" s="713"/>
      <c r="GZ13" s="713"/>
      <c r="HA13" s="713"/>
      <c r="HB13" s="713"/>
      <c r="HC13" s="713"/>
      <c r="HD13" s="713"/>
      <c r="HE13" s="713"/>
      <c r="HF13" s="713"/>
      <c r="HG13" s="713"/>
      <c r="HH13" s="713"/>
      <c r="HI13" s="713"/>
      <c r="HJ13" s="713"/>
      <c r="HK13" s="713"/>
      <c r="HL13" s="713"/>
      <c r="HM13" s="713"/>
      <c r="HN13" s="713"/>
      <c r="HO13" s="713"/>
      <c r="HP13" s="713"/>
      <c r="HQ13" s="713"/>
      <c r="HR13" s="713"/>
      <c r="HS13" s="713"/>
      <c r="HT13" s="713"/>
      <c r="HU13" s="713"/>
      <c r="HV13" s="713"/>
      <c r="HW13" s="713"/>
      <c r="HX13" s="713"/>
      <c r="HY13" s="713"/>
      <c r="HZ13" s="713"/>
      <c r="IA13" s="713"/>
      <c r="IB13" s="713"/>
      <c r="IC13" s="713"/>
      <c r="ID13" s="713"/>
      <c r="IE13" s="713"/>
      <c r="IF13" s="713"/>
      <c r="IG13" s="713"/>
      <c r="IH13" s="713"/>
    </row>
    <row r="14">
      <c r="A14" s="598"/>
      <c r="B14" s="614" t="str">
        <f t="shared" si="2"/>
        <v/>
      </c>
      <c r="C14" s="705"/>
      <c r="D14" s="679"/>
      <c r="E14" s="692"/>
      <c r="F14" s="659" t="str">
        <f>IFERROR(__xludf.DUMMYFUNCTION("IFERROR(IF(H14 = """", """",
    SWITCH($W$37,
        ""Total"", "" "" &amp; FORMAT_NUMBER(H14),
        ""Daily"", LET(Lab_name, IF(REGEXMATCH(E14, ""Mastery""), ""Card Mastery"", E14),
            Level, IF(ISBETWEEN(C14, VLOOKUP(E14, $AD:$AG, 2, FALSE), V"&amp;"LOOKUP(E14, $AD:$AG, 4, FALSE), TRUE, FALSE), C14, VLOOKUP(E14, $AD:$AG, 2, FALSE)),
            IF(LABCOST_SINGLE_ADJUSTED(Lab_name, Level + 1) = 0, ""0 (Max)"",
            "" "" &amp; FORMAT_NUMBER(            
                    LABCOST_SINGLE_ADJUSTED(L"&amp;"ab_name, Level + 1) / 
                    (LABDURATION_SINGLE_ADJUSTED(Lab_name, Level + 1) /
                    (1 * REGEXEXTRACT(F$2, ""[\d.-]+"")))))),
        ""Gem Rush"", LET(
            Labspeed, IF(E14=""Labs Speed"", 1+'Master Sheet'!$BK$5, LA"&amp;"B_SPEED_TOTAL()),
            Start_Level, IF(C14 = """",
                VLOOKUP(E14, $AD:$AG, 2, false),
                IF(ISBETWEEN(C14, VALUE(VLOOKUP(E14, $AD:$AG, 2, false)), VALUE(VLOOKUP(E14, $AD:$AG, 4, false))), C14, """")),
            End_Leve"&amp;"l, IF(OR(D14 = """", NOT(ISBETWEEN(D14, VALUE(VLOOKUP(E14, $AD:$AG, 2, false)), VALUE(VLOOKUP(E14, $AD:$AG, 4, false)),0,1))),
                SWITCH($W$38,
                    ""Max"", VLOOKUP(E14, $AD:$AG, 4, false),
                    ""Target"", IF(V"&amp;"LOOKUP(E14, $AD:$AG, 3, false) &lt;&gt; """", VLOOKUP(E14, $AD:$AG, 3, false), VLOOKUP(E14, $AD:$AG, 4, false))),
                    D14),
            SUM(ARRAYFORMULA(TIME_TO_RUSH_GEMS( OFFSET(DVT_Laboratory!$A$3, Start_Level , IF(ISNUMBER(SEARCH(""mastery"","&amp;" E14)), MATCH(""Card Mastery"", DVT_Laboratory!$A$1:$LO$1, 0), MATCH(E14, DVT_Laboratory!$A$1:$LO$1, 0)) - 1, End_Level - Start_Level, 1) / Labspeed, IDS_LAB_GODLBOXED_COUNT())))))))"),"")</f>
        <v/>
      </c>
      <c r="G14" s="693" t="str">
        <f t="shared" si="3"/>
        <v/>
      </c>
      <c r="H14" s="620" t="str">
        <f>IFERROR(__xludf.DUMMYFUNCTION("IFS(E14 = """", """", 
    VLOOKUP(E14, $AD:$AG, 2, false) = VLOOKUP(E14, $AD:$AG, 4, false), ""MAX Level"",
    AND(VLOOKUP(E14, $AD:$AG, 3, false) &lt;&gt; """", VLOOKUP(E14, $AD:$AG, 2, false) = VLOOKUP(E14, $AD:$AG, 3, false)), ""At Target"",
    TRUE,
    "&amp;"IFERROR(LET(Start_Level, IF(C14 = """",
            VLOOKUP(E14, $AD:$AG, 2, false),
            IF(ISBETWEEN(C14, VALUE(VLOOKUP(E14, $AD:$AG, 2, false)), VALUE(VLOOKUP(E14, $AD:$AG, 4, false))), C14, """")),
        End_Level, IF(OR(D14 = """", NOT(ISBET"&amp;"WEEN(D14, VALUE(VLOOKUP(E14, $AD:$AG, 2, false)), VALUE(VLOOKUP(E14, $AD:$AG, 4, false)),0,1))),
            SWITCH($W$38,
                ""Max"", VLOOKUP(E14, $AD:$AG, 4, false),
                ""Target"", IF(VLOOKUP(E14, $AD:$AG, 3, false) &lt;&gt; """", VL"&amp;"OOKUP(E14, $AD:$AG, 3, false), VLOOKUP(E14, $AD:$AG, 4, false))),
            D14),
        SUM(OFFSET(DVT_Laboratory!$A$3, Start_Level , IF(ISNUMBER(SEARCH(""mastery"", E14)), MATCH(""Card Mastery"", DVT_Laboratory!$A$1:$MY$1, 0), MATCH(E14, DVT_Laborato"&amp;"ry!$A$1:$MY$1, 0)), End_Level - Start_Level, 1)) * (1-LAB_COIN_DISCOUNT())), ""Levels Error!""))"),"")</f>
        <v/>
      </c>
      <c r="I14" s="621" t="str">
        <f>IFERROR(__xludf.DUMMYFUNCTION("IFS(E14 = """", """", 
    VLOOKUP(E14, $AD:$AG, 2, false) = VLOOKUP(E14, $AD:$AG, 4, false), ""MAX Level"",
    AND(VLOOKUP(E14, $AD:$AG, 3, false) &lt;&gt; """", VLOOKUP(E14, $AD:$AG, 2, false) = VLOOKUP(E14, $AD:$AG, 3, false)), ""At Target"",
    TRUE,
    "&amp;"IFERROR(LET(
        Labspeed, IF(E14=""Labs Speed"", 1+'Master Sheet'!$BK$5, LAB_SPEED_TOTAL()),
        Start_Level, IF(C14 = """",
            VLOOKUP(E14, $AD:$AG, 2, false),
            IF(ISBETWEEN(C14, VALUE(VLOOKUP(E14, $AD:$AG, 2, false)), VALUE("&amp;"VLOOKUP(E14, $AD:$AG, 4, false))), C14, """")),
        End_Level, IF(OR(D14 = """", NOT(ISBETWEEN(D14, VALUE(VLOOKUP(E14, $AD:$AG, 2, false)), VALUE(VLOOKUP(E14, $AD:$AG, 4, false)),0,1))),
            SWITCH($W$38,
                ""Max"", VLOOKUP(E14, "&amp;"$AD:$AG, 4, false),
                ""Target"", IF(VLOOKUP(E14, $AD:$AG, 3, false) &lt;&gt; """", VLOOKUP(E14, $AD:$AG, 3, false), VLOOKUP(E14, $AD:$AG, 4, false))),
            D14),
        SUM(OFFSET(DVT_Laboratory!$A$3, Start_Level , IF(ISNUMBER(SEARCH(""ma"&amp;"stery"", E14)), MATCH(""Card Mastery"", DVT_Laboratory!$A$1:$MY$1, 0), MATCH(E14, DVT_Laboratory!$A$1:$MY$1, 0)) - 1, End_Level - Start_Level, 1)) /
                (1 * REGEXEXTRACT(F$2, ""[\d.-]+"")) /
                Labspeed), ""Levels Error!""))"),"")</f>
        <v/>
      </c>
      <c r="J14" s="640" t="str">
        <f t="shared" si="4"/>
        <v/>
      </c>
      <c r="K14" s="699"/>
      <c r="L14" s="700"/>
      <c r="M14" s="709"/>
      <c r="N14" s="707" t="str">
        <f>IFERROR(__xludf.DUMMYFUNCTION("IFERROR(IF(P14 = """", """",
    SWITCH($W$37,
        ""Total"", "" "" &amp; FORMAT_NUMBER(P14),
        ""Daily"", LET(Lab_name, IF(REGEXMATCH(M14, ""Mastery""), ""Card Mastery"", M14),
            Level, IF(ISBETWEEN(K14, VLOOKUP(M14, $AD:$AG, 2, FALSE), V"&amp;"LOOKUP(M14, $AD:$AG, 4, FALSE), TRUE, FALSE), K14, VLOOKUP(M14, $AD:$AG, 2, FALSE)),
            IF(LABCOST_SINGLE_ADJUSTED(Lab_name, Level + 1) = 0, ""0 (Max)"",
            "" "" &amp; FORMAT_NUMBER(            
                    LABCOST_SINGLE_ADJUSTED(L"&amp;"ab_name, Level + 1) / 
                    (LABDURATION_SINGLE_ADJUSTED(Lab_name, Level + 1) /
                    (1 * REGEXEXTRACT(N$2, ""[\d.-]+"")))))),
        ""Gem Rush"", LET(
            Labspeed, IF(M14=""Labs Speed"", 1+'Master Sheet'!$BK$5, LA"&amp;"B_SPEED_TOTAL()),
            Start_Level, IF(K14 = """",
                VLOOKUP(M14, $AD:$AG, 2, false),
                IF(ISBETWEEN(K14, VALUE(VLOOKUP(M14, $AD:$AG, 2, false)), VALUE(VLOOKUP(M14, $AD:$AG, 4, false))), K14, """")),
            End_Leve"&amp;"l, IF(OR(L14 = """", NOT(ISBETWEEN(L14, VALUE(VLOOKUP(M14, $AD:$AG, 2, false)), VALUE(VLOOKUP(M14, $AD:$AG, 4, false)),0,1))),
                SWITCH($W$38,
                    ""Max"", VLOOKUP(M14, $AD:$AG, 4, false),
                    ""Target"", IF(V"&amp;"LOOKUP(M14, $AD:$AG, 3, false) &lt;&gt; """", VLOOKUP(M14, $AD:$AG, 3, false), VLOOKUP(M14, $AD:$AG, 4, false))),
                    L14),
            SUM(ARRAYFORMULA(TIME_TO_RUSH_GEMS( OFFSET(DVT_Laboratory!$A$3, Start_Level , IF(ISNUMBER(SEARCH(""mastery"","&amp;" M14)), MATCH(""Card Mastery"", DVT_Laboratory!$A$1:$LO$1, 0), MATCH(M14, DVT_Laboratory!$A$1:$LO$1, 0)) - 1, End_Level - Start_Level, 1) / Labspeed, IDS_LAB_GODLBOXED_COUNT())))))))"),"")</f>
        <v/>
      </c>
      <c r="O14" s="695" t="str">
        <f t="shared" si="5"/>
        <v/>
      </c>
      <c r="P14" s="625" t="str">
        <f>IFERROR(__xludf.DUMMYFUNCTION("IFS(M14 = """", """", 
    VLOOKUP(M14, $AD:$AG, 2, false) = VLOOKUP(M14, $AD:$AG, 4, false), ""MAX Level"",
    AND(VLOOKUP(M14, $AD:$AG, 3, false) &lt;&gt; """", VLOOKUP(M14, $AD:$AG, 2, false) = VLOOKUP(M14, $AD:$AG, 3, false)), ""At Target"",
    TRUE,
    "&amp;"IFERROR(LET(Start_Level, IF(K14 = """",
            VLOOKUP(M14, $AD:$AG, 2, false),
            IF(ISBETWEEN(K14, VALUE(VLOOKUP(M14, $AD:$AG, 2, false)), VALUE(VLOOKUP(M14, $AD:$AG, 4, false))), K14, """")),
        End_Level, IF(OR(L14 = """", NOT(ISBET"&amp;"WEEN(L14, VALUE(VLOOKUP(M14, $AD:$AG, 2, false)), VALUE(VLOOKUP(M14, $AD:$AG, 4, false)),0,1))),
            SWITCH($W$38,
                ""Max"", VLOOKUP(M14, $AD:$AG, 4, false),
                ""Target"", IF(VLOOKUP(M14, $AD:$AG, 3, false) &lt;&gt; """", VL"&amp;"OOKUP(M14, $AD:$AG, 3, false), VLOOKUP(M14, $AD:$AG, 4, false))),
            L14),
        SUM(OFFSET(DVT_Laboratory!$A$3, Start_Level , IF(ISNUMBER(SEARCH(""mastery"", M14)), MATCH(""Card Mastery"", DVT_Laboratory!$A$1:$MY$1, 0), MATCH(M14, DVT_Laborato"&amp;"ry!$A$1:$MY$1, 0)), End_Level - Start_Level, 1)) * (1-LAB_COIN_DISCOUNT())), ""Levels Error!""))"),"")</f>
        <v/>
      </c>
      <c r="Q14" s="626" t="str">
        <f>IFERROR(__xludf.DUMMYFUNCTION("IFS(M14 = """", """", 
    VLOOKUP(M14, $AD:$AG, 2, false) = VLOOKUP(M14, $AD:$AG, 4, false), ""MAX Level"",
    AND(VLOOKUP(M14, $AD:$AG, 3, false) &lt;&gt; """", VLOOKUP(M14, $AD:$AG, 2, false) = VLOOKUP(M14, $AD:$AG, 3, false)), ""At Target"",
    TRUE,
    "&amp;"IFERROR(LET(
        Labspeed, IF(M14=""Labs Speed"", 1+'Master Sheet'!$BK$5, LAB_SPEED_TOTAL()),
        Start_Level, IF(K14 = """",
            VLOOKUP(M14, $AD:$AG, 2, false),
            IF(ISBETWEEN(K14, VALUE(VLOOKUP(M14, $AD:$AG, 2, false)), VALUE("&amp;"VLOOKUP(M14, $AD:$AG, 4, false))), K14, """")),
        End_Level, IF(OR(L14 = """", NOT(ISBETWEEN(L14, VALUE(VLOOKUP(M14, $AD:$AG, 2, false)), VALUE(VLOOKUP(M14, $AD:$AG, 4, false)),0,1))),
            SWITCH($W$38,
                ""Max"", VLOOKUP(M14, "&amp;"$AD:$AG, 4, false),
                ""Target"", IF(VLOOKUP(M14, $AD:$AG, 3, false) &lt;&gt; """", VLOOKUP(M14, $AD:$AG, 3, false), VLOOKUP(M14, $AD:$AG, 4, false))),
            L14),
        SUM(OFFSET(DVT_Laboratory!$A$3, Start_Level , IF(ISNUMBER(SEARCH(""ma"&amp;"stery"", M14)), MATCH(""Card Mastery"", DVT_Laboratory!$A$1:$MY$1, 0), MATCH(M14, DVT_Laboratory!$A$1:$MY$1, 0)) - 1, End_Level - Start_Level, 1)) /
                (1 * REGEXEXTRACT(N$2, ""[\d.-]+"")) /
                Labspeed), ""Levels Error!""))"),"")</f>
        <v/>
      </c>
      <c r="R14" s="642" t="str">
        <f t="shared" si="6"/>
        <v/>
      </c>
      <c r="S14" s="696"/>
      <c r="T14" s="701"/>
      <c r="U14" s="715"/>
      <c r="V14" s="710" t="str">
        <f>IFERROR(__xludf.DUMMYFUNCTION("IFERROR(IF(X14 = """", """",
    SWITCH($W$37,
        ""Total"", "" "" &amp; FORMAT_NUMBER(X14),
        ""Daily"", LET(Lab_name, IF(REGEXMATCH(U14, ""Mastery""), ""Card Mastery"", U14),
            Level, IF(ISBETWEEN(S14, VLOOKUP(U14, $AD:$AG, 2, FALSE), V"&amp;"LOOKUP(U14, $AD:$AG, 4, FALSE), TRUE, FALSE), S14, VLOOKUP(U14, $AD:$AG, 2, FALSE)),
            IF(LABCOST_SINGLE_ADJUSTED(Lab_name, Level + 1) = 0, ""0 (Max)"",
            "" "" &amp; FORMAT_NUMBER(            
                    LABCOST_SINGLE_ADJUSTED(L"&amp;"ab_name, Level + 1) / 
                    (LABDURATION_SINGLE_ADJUSTED(Lab_name, Level + 1) /
                    (1 * REGEXEXTRACT(V$2, ""[\d.-]+"")))))),
        ""Gem Rush"", LET(
            Labspeed, IF(U14=""Labs Speed"", 1+'Master Sheet'!$BK$5, LA"&amp;"B_SPEED_TOTAL()),
            Start_Level, IF(S14 = """",
                VLOOKUP(U14, $AD:$AG, 2, false),
                IF(ISBETWEEN(S14, VALUE(VLOOKUP(U14, $AD:$AG, 2, false)), VALUE(VLOOKUP(U14, $AD:$AG, 4, false))), S14, """")),
            End_Leve"&amp;"l, IF(OR(T14 = """", NOT(ISBETWEEN(T14, VALUE(VLOOKUP(U14, $AD:$AG, 2, false)), VALUE(VLOOKUP(U14, $AD:$AG, 4, false)),0,1))),
                SWITCH($W$38,
                    ""Max"", VLOOKUP(U14, $AD:$AG, 4, false),
                    ""Target"", IF(V"&amp;"LOOKUP(U14, $AD:$AG, 3, false) &lt;&gt; """", VLOOKUP(U14, $AD:$AG, 3, false), VLOOKUP(U14, $AD:$AG, 4, false))),
                    T14),
            SUM(ARRAYFORMULA(TIME_TO_RUSH_GEMS( OFFSET(DVT_Laboratory!$A$3, Start_Level , IF(ISNUMBER(SEARCH(""mastery"","&amp;" U14)), MATCH(""Card Mastery"", DVT_Laboratory!$A$1:$LO$1, 0), MATCH(U14, DVT_Laboratory!$A$1:$LO$1, 0)) - 1, End_Level - Start_Level, 1) / Labspeed, IDS_LAB_GODLBOXED_COUNT())))))))"),"")</f>
        <v/>
      </c>
      <c r="W14" s="690" t="str">
        <f t="shared" si="7"/>
        <v/>
      </c>
      <c r="X14" s="630" t="str">
        <f>IFERROR(__xludf.DUMMYFUNCTION("IFS(U14 = """", """", 
    VLOOKUP(U14, $AD:$AG, 2, false) = VLOOKUP(U14, $AD:$AG, 4, false), ""MAX Level"",
    AND(VLOOKUP(U14, $AD:$AG, 3, false) &lt;&gt; """", VLOOKUP(U14, $AD:$AG, 2, false) = VLOOKUP(U14, $AD:$AG, 3, false)), ""At Target"",
    TRUE,
    "&amp;"IFERROR(LET(Start_Level, IF(S14 = """",
            VLOOKUP(U14, $AD:$AG, 2, false),
            IF(ISBETWEEN(S14, VALUE(VLOOKUP(U14, $AD:$AG, 2, false)), VALUE(VLOOKUP(U14, $AD:$AG, 4, false))), S14, """")),
        End_Level, IF(OR(T14 = """", NOT(ISBET"&amp;"WEEN(T14, VALUE(VLOOKUP(U14, $AD:$AG, 2, false)), VALUE(VLOOKUP(U14, $AD:$AG, 4, false)),0,1))),
            SWITCH($W$38,
                ""Max"", VLOOKUP(U14, $AD:$AG, 4, false),
                ""Target"", IF(VLOOKUP(U14, $AD:$AG, 3, false) &lt;&gt; """", VL"&amp;"OOKUP(U14, $AD:$AG, 3, false), VLOOKUP(U14, $AD:$AG, 4, false))),
            T14),
        SUM(OFFSET(DVT_Laboratory!$A$3, Start_Level , IF(ISNUMBER(SEARCH(""mastery"", U14)), MATCH(""Card Mastery"", DVT_Laboratory!$A$1:$MY$1, 0), MATCH(U14, DVT_Laborato"&amp;"ry!$A$1:$MY$1, 0)), End_Level - Start_Level, 1)) * (1-LAB_COIN_DISCOUNT())), ""Levels Error!""))"),"")</f>
        <v/>
      </c>
      <c r="Y14" s="631" t="str">
        <f>IFERROR(__xludf.DUMMYFUNCTION("IFS(U14 = """", """", 
    VLOOKUP(U14, $AD:$AG, 2, false) = VLOOKUP(U14, $AD:$AG, 4, false), ""MAX Level"",
    AND(VLOOKUP(U14, $AD:$AG, 3, false) &lt;&gt; """", VLOOKUP(U14, $AD:$AG, 2, false) = VLOOKUP(U14, $AD:$AG, 3, false)), ""At Target"",
    TRUE,
    "&amp;"IFERROR(LET(
        Labspeed, IF(U14=""Labs Speed"", 1+'Master Sheet'!$BK$5, LAB_SPEED_TOTAL()),
        Start_Level, IF(S14 = """",
            VLOOKUP(U14, $AD:$AG, 2, false),
            IF(ISBETWEEN(S14, VALUE(VLOOKUP(U14, $AD:$AG, 2, false)), VALUE("&amp;"VLOOKUP(U14, $AD:$AG, 4, false))), S14, """")),
        End_Level, IF(OR(T14 = """", NOT(ISBETWEEN(T14, VALUE(VLOOKUP(U14, $AD:$AG, 2, false)), VALUE(VLOOKUP(U14, $AD:$AG, 4, false)),0,1))),
            SWITCH($W$38,
                ""Max"", VLOOKUP(U14, "&amp;"$AD:$AG, 4, false),
                ""Target"", IF(VLOOKUP(U14, $AD:$AG, 3, false) &lt;&gt; """", VLOOKUP(U14, $AD:$AG, 3, false), VLOOKUP(U14, $AD:$AG, 4, false))),
            T14),
        SUM(OFFSET(DVT_Laboratory!$A$3, Start_Level , IF(ISNUMBER(SEARCH(""ma"&amp;"stery"", U14)), MATCH(""Card Mastery"", DVT_Laboratory!$A$1:$MY$1, 0), MATCH(U14, DVT_Laboratory!$A$1:$MY$1, 0)) - 1, End_Level - Start_Level, 1)) /
                (1 * REGEXEXTRACT(V$2, ""[\d.-]+"")) /
                Labspeed), ""Levels Error!""))"),"")</f>
        <v/>
      </c>
      <c r="Z14" s="598"/>
      <c r="AB14" s="719" t="s">
        <v>432</v>
      </c>
      <c r="AC14" s="720" t="str">
        <f>IFERROR(__xludf.DUMMYFUNCTION("""COMPUTED_VALUE"""),"Assist Module Substats - Generator")</f>
        <v>Assist Module Substats - Generator</v>
      </c>
      <c r="AD14" s="721" t="s">
        <v>313</v>
      </c>
      <c r="AE14" s="720">
        <v>0.0</v>
      </c>
      <c r="AF14" s="720"/>
      <c r="AG14" s="720">
        <v>30.0</v>
      </c>
      <c r="AH14" s="634" t="str">
        <f t="shared" si="1"/>
        <v/>
      </c>
      <c r="AI14" s="720"/>
      <c r="AJ14" s="720"/>
      <c r="AK14" s="720"/>
      <c r="AL14" s="720"/>
      <c r="AM14" s="720"/>
      <c r="AN14" s="720"/>
      <c r="AO14" s="720"/>
      <c r="AP14" s="720"/>
      <c r="AQ14" s="720"/>
      <c r="AR14" s="720"/>
      <c r="AS14" s="720"/>
      <c r="AT14" s="720"/>
      <c r="AU14" s="720"/>
      <c r="AV14" s="720"/>
      <c r="AW14" s="720"/>
      <c r="AX14" s="720"/>
      <c r="AY14" s="720"/>
      <c r="AZ14" s="720"/>
      <c r="BA14" s="720"/>
      <c r="BB14" s="720"/>
      <c r="BC14" s="720"/>
      <c r="BD14" s="720"/>
      <c r="BE14" s="720"/>
      <c r="BF14" s="720"/>
      <c r="BG14" s="720"/>
      <c r="BH14" s="720"/>
      <c r="BI14" s="720"/>
      <c r="BJ14" s="720"/>
      <c r="BK14" s="720"/>
      <c r="BL14" s="720"/>
      <c r="BM14" s="720"/>
      <c r="BN14" s="720"/>
      <c r="BO14" s="720"/>
      <c r="BP14" s="720"/>
      <c r="BQ14" s="720"/>
      <c r="BR14" s="720"/>
      <c r="BS14" s="720"/>
      <c r="BT14" s="720"/>
      <c r="BU14" s="720"/>
      <c r="BV14" s="720"/>
      <c r="BW14" s="720"/>
      <c r="BX14" s="720"/>
      <c r="BY14" s="720"/>
      <c r="BZ14" s="720"/>
      <c r="CA14" s="720"/>
      <c r="CB14" s="720"/>
      <c r="CC14" s="720"/>
      <c r="CD14" s="720"/>
      <c r="CE14" s="720"/>
      <c r="CF14" s="720"/>
      <c r="CG14" s="720"/>
      <c r="CH14" s="720"/>
      <c r="CI14" s="720"/>
      <c r="CJ14" s="720"/>
      <c r="CK14" s="720"/>
      <c r="CL14" s="720"/>
      <c r="CM14" s="720"/>
      <c r="CN14" s="720"/>
      <c r="CO14" s="720"/>
      <c r="CP14" s="720"/>
      <c r="CQ14" s="720"/>
      <c r="CR14" s="720"/>
      <c r="CS14" s="720"/>
      <c r="CT14" s="720"/>
      <c r="CU14" s="720"/>
      <c r="CV14" s="720"/>
      <c r="CW14" s="720"/>
      <c r="CX14" s="720"/>
      <c r="CY14" s="720"/>
      <c r="CZ14" s="720"/>
      <c r="DA14" s="720"/>
      <c r="DB14" s="720"/>
      <c r="DC14" s="720"/>
      <c r="DD14" s="720"/>
      <c r="DE14" s="720"/>
      <c r="DF14" s="720"/>
      <c r="DG14" s="720"/>
      <c r="DH14" s="720"/>
      <c r="DI14" s="720"/>
      <c r="DJ14" s="720"/>
      <c r="DK14" s="720"/>
      <c r="DL14" s="720"/>
      <c r="DM14" s="720"/>
      <c r="DN14" s="720"/>
      <c r="DO14" s="720"/>
      <c r="DP14" s="720"/>
      <c r="DQ14" s="720"/>
      <c r="DR14" s="720"/>
      <c r="DS14" s="720"/>
      <c r="DT14" s="720"/>
      <c r="DU14" s="720"/>
      <c r="DV14" s="720"/>
      <c r="DW14" s="720"/>
      <c r="DX14" s="720"/>
      <c r="DY14" s="720"/>
      <c r="DZ14" s="720"/>
      <c r="EA14" s="720"/>
      <c r="EB14" s="720"/>
      <c r="EC14" s="720"/>
      <c r="ED14" s="720"/>
      <c r="EE14" s="720"/>
      <c r="EF14" s="720"/>
      <c r="EG14" s="720"/>
      <c r="EH14" s="720"/>
      <c r="EI14" s="720"/>
      <c r="EJ14" s="720"/>
      <c r="EK14" s="720"/>
      <c r="EL14" s="720"/>
      <c r="EM14" s="720"/>
      <c r="EN14" s="720"/>
      <c r="EO14" s="720"/>
      <c r="EP14" s="720"/>
      <c r="EQ14" s="720"/>
      <c r="ER14" s="720"/>
      <c r="ES14" s="720"/>
      <c r="ET14" s="720"/>
      <c r="EU14" s="720"/>
      <c r="EV14" s="720"/>
      <c r="EW14" s="720"/>
      <c r="EX14" s="720"/>
      <c r="EY14" s="720"/>
      <c r="EZ14" s="720"/>
      <c r="FA14" s="720"/>
      <c r="FB14" s="720"/>
      <c r="FC14" s="720"/>
      <c r="FD14" s="720"/>
      <c r="FE14" s="720"/>
      <c r="FF14" s="720"/>
      <c r="FG14" s="720"/>
      <c r="FH14" s="720"/>
      <c r="FI14" s="720"/>
      <c r="FJ14" s="720"/>
      <c r="FK14" s="720"/>
      <c r="FL14" s="720"/>
      <c r="FM14" s="720"/>
      <c r="FN14" s="720"/>
      <c r="FO14" s="720"/>
      <c r="FP14" s="720"/>
      <c r="FQ14" s="720"/>
      <c r="FR14" s="720"/>
      <c r="FS14" s="720"/>
      <c r="FT14" s="720"/>
      <c r="FU14" s="720"/>
      <c r="FV14" s="720"/>
      <c r="FW14" s="720"/>
      <c r="FX14" s="720"/>
      <c r="FY14" s="720"/>
      <c r="FZ14" s="720"/>
      <c r="GA14" s="720"/>
      <c r="GB14" s="720"/>
      <c r="GC14" s="720"/>
      <c r="GD14" s="720"/>
      <c r="GE14" s="720"/>
      <c r="GF14" s="720"/>
      <c r="GG14" s="720"/>
      <c r="GH14" s="720"/>
      <c r="GI14" s="720"/>
      <c r="GJ14" s="720"/>
      <c r="GK14" s="720"/>
      <c r="GL14" s="720"/>
      <c r="GM14" s="720"/>
      <c r="GN14" s="720"/>
      <c r="GO14" s="720"/>
      <c r="GP14" s="720"/>
      <c r="GQ14" s="720"/>
      <c r="GR14" s="720"/>
      <c r="GS14" s="720"/>
      <c r="GT14" s="720"/>
      <c r="GU14" s="720"/>
      <c r="GV14" s="720"/>
      <c r="GW14" s="720"/>
      <c r="GX14" s="720"/>
      <c r="GY14" s="720"/>
      <c r="GZ14" s="720"/>
      <c r="HA14" s="720"/>
      <c r="HB14" s="720"/>
      <c r="HC14" s="720"/>
      <c r="HD14" s="720"/>
      <c r="HE14" s="720"/>
      <c r="HF14" s="720"/>
      <c r="HG14" s="720"/>
      <c r="HH14" s="720"/>
      <c r="HI14" s="720"/>
      <c r="HJ14" s="720"/>
      <c r="HK14" s="720"/>
      <c r="HL14" s="720"/>
      <c r="HM14" s="720"/>
      <c r="HN14" s="720"/>
      <c r="HO14" s="720"/>
      <c r="HP14" s="720"/>
      <c r="HQ14" s="720"/>
      <c r="HR14" s="720"/>
      <c r="HS14" s="720"/>
      <c r="HT14" s="720"/>
      <c r="HU14" s="720"/>
      <c r="HV14" s="720"/>
      <c r="HW14" s="720"/>
      <c r="HX14" s="720"/>
      <c r="HY14" s="720"/>
      <c r="HZ14" s="720"/>
      <c r="IA14" s="720"/>
      <c r="IB14" s="720"/>
      <c r="IC14" s="720"/>
      <c r="ID14" s="720"/>
      <c r="IE14" s="720"/>
      <c r="IF14" s="720"/>
      <c r="IG14" s="720"/>
      <c r="IH14" s="720"/>
    </row>
    <row r="15" collapsed="1">
      <c r="A15" s="598"/>
      <c r="B15" s="614" t="str">
        <f t="shared" si="2"/>
        <v/>
      </c>
      <c r="C15" s="705"/>
      <c r="D15" s="722"/>
      <c r="E15" s="692"/>
      <c r="F15" s="659" t="str">
        <f>IFERROR(__xludf.DUMMYFUNCTION("IFERROR(IF(H15 = """", """",
    SWITCH($W$37,
        ""Total"", "" "" &amp; FORMAT_NUMBER(H15),
        ""Daily"", LET(Lab_name, IF(REGEXMATCH(E15, ""Mastery""), ""Card Mastery"", E15),
            Level, IF(ISBETWEEN(C15, VLOOKUP(E15, $AD:$AG, 2, FALSE), V"&amp;"LOOKUP(E15, $AD:$AG, 4, FALSE), TRUE, FALSE), C15, VLOOKUP(E15, $AD:$AG, 2, FALSE)),
            IF(LABCOST_SINGLE_ADJUSTED(Lab_name, Level + 1) = 0, ""0 (Max)"",
            "" "" &amp; FORMAT_NUMBER(            
                    LABCOST_SINGLE_ADJUSTED(L"&amp;"ab_name, Level + 1) / 
                    (LABDURATION_SINGLE_ADJUSTED(Lab_name, Level + 1) /
                    (1 * REGEXEXTRACT(F$2, ""[\d.-]+"")))))),
        ""Gem Rush"", LET(
            Labspeed, IF(E15=""Labs Speed"", 1+'Master Sheet'!$BK$5, LA"&amp;"B_SPEED_TOTAL()),
            Start_Level, IF(C15 = """",
                VLOOKUP(E15, $AD:$AG, 2, false),
                IF(ISBETWEEN(C15, VALUE(VLOOKUP(E15, $AD:$AG, 2, false)), VALUE(VLOOKUP(E15, $AD:$AG, 4, false))), C15, """")),
            End_Leve"&amp;"l, IF(OR(D15 = """", NOT(ISBETWEEN(D15, VALUE(VLOOKUP(E15, $AD:$AG, 2, false)), VALUE(VLOOKUP(E15, $AD:$AG, 4, false)),0,1))),
                SWITCH($W$38,
                    ""Max"", VLOOKUP(E15, $AD:$AG, 4, false),
                    ""Target"", IF(V"&amp;"LOOKUP(E15, $AD:$AG, 3, false) &lt;&gt; """", VLOOKUP(E15, $AD:$AG, 3, false), VLOOKUP(E15, $AD:$AG, 4, false))),
                    D15),
            SUM(ARRAYFORMULA(TIME_TO_RUSH_GEMS( OFFSET(DVT_Laboratory!$A$3, Start_Level , IF(ISNUMBER(SEARCH(""mastery"","&amp;" E15)), MATCH(""Card Mastery"", DVT_Laboratory!$A$1:$LO$1, 0), MATCH(E15, DVT_Laboratory!$A$1:$LO$1, 0)) - 1, End_Level - Start_Level, 1) / Labspeed, IDS_LAB_GODLBOXED_COUNT())))))))"),"")</f>
        <v/>
      </c>
      <c r="G15" s="723" t="str">
        <f t="shared" ref="G15:G24" si="8">IFERROR(SWITCH(I15,
"", "",
"MAX Level", "   MAX Level",
"At Target", "   At Target",
"Levels Error!", " Check Levels",
" " &amp; FORMAT_TIME(I15)),"")</f>
        <v/>
      </c>
      <c r="H15" s="620" t="str">
        <f>IFERROR(__xludf.DUMMYFUNCTION("IFS(E15 = """", """", 
    VLOOKUP(E15, $AD:$AG, 2, false) = VLOOKUP(E15, $AD:$AG, 4, false), ""MAX Level"",
    AND(VLOOKUP(E15, $AD:$AG, 3, false) &lt;&gt; """", VLOOKUP(E15, $AD:$AG, 2, false) = VLOOKUP(E15, $AD:$AG, 3, false)), ""At Target"",
    TRUE,
    "&amp;"IFERROR(LET(Start_Level, IF(C15 = """",
            VLOOKUP(E15, $AD:$AG, 2, false),
            IF(ISBETWEEN(C15, VALUE(VLOOKUP(E15, $AD:$AG, 2, false)), VALUE(VLOOKUP(E15, $AD:$AG, 4, false))), C15, """")),
        End_Level, IF(OR(D15 = """", NOT(ISBET"&amp;"WEEN(D15, VALUE(VLOOKUP(E15, $AD:$AG, 2, false)), VALUE(VLOOKUP(E15, $AD:$AG, 4, false)),0,1))),
            SWITCH($W$38,
                ""Max"", VLOOKUP(E15, $AD:$AG, 4, false),
                ""Target"", IF(VLOOKUP(E15, $AD:$AG, 3, false) &lt;&gt; """", VL"&amp;"OOKUP(E15, $AD:$AG, 3, false), VLOOKUP(E15, $AD:$AG, 4, false))),
            D15),
        SUM(OFFSET(DVT_Laboratory!$A$3, Start_Level , IF(ISNUMBER(SEARCH(""mastery"", E15)), MATCH(""Card Mastery"", DVT_Laboratory!$A$1:$MY$1, 0), MATCH(E15, DVT_Laborato"&amp;"ry!$A$1:$MY$1, 0)), End_Level - Start_Level, 1)) * (1-LAB_COIN_DISCOUNT())), ""Levels Error!""))"),"")</f>
        <v/>
      </c>
      <c r="I15" s="621" t="str">
        <f>IFERROR(__xludf.DUMMYFUNCTION("IFS(E15 = """", """", 
    VLOOKUP(E15, $AD:$AG, 2, false) = VLOOKUP(E15, $AD:$AG, 4, false), ""MAX Level"",
    AND(VLOOKUP(E15, $AD:$AG, 3, false) &lt;&gt; """", VLOOKUP(E15, $AD:$AG, 2, false) = VLOOKUP(E15, $AD:$AG, 3, false)), ""At Target"",
    TRUE,
    "&amp;"IFERROR(LET(
        Labspeed, IF(E15=""Labs Speed"", 1+'Master Sheet'!$BK$5, LAB_SPEED_TOTAL()),
        Start_Level, IF(C15 = """",
            VLOOKUP(E15, $AD:$AG, 2, false),
            IF(ISBETWEEN(C15, VALUE(VLOOKUP(E15, $AD:$AG, 2, false)), VALUE("&amp;"VLOOKUP(E15, $AD:$AG, 4, false))), C15, """")),
        End_Level, IF(OR(D15 = """", NOT(ISBETWEEN(D15, VALUE(VLOOKUP(E15, $AD:$AG, 2, false)), VALUE(VLOOKUP(E15, $AD:$AG, 4, false)),0,1))),
            SWITCH($W$38,
                ""Max"", VLOOKUP(E15, "&amp;"$AD:$AG, 4, false),
                ""Target"", IF(VLOOKUP(E15, $AD:$AG, 3, false) &lt;&gt; """", VLOOKUP(E15, $AD:$AG, 3, false), VLOOKUP(E15, $AD:$AG, 4, false))),
            D15),
        SUM(OFFSET(DVT_Laboratory!$A$3, Start_Level , IF(ISNUMBER(SEARCH(""ma"&amp;"stery"", E15)), MATCH(""Card Mastery"", DVT_Laboratory!$A$1:$MY$1, 0), MATCH(E15, DVT_Laboratory!$A$1:$MY$1, 0)) - 1, End_Level - Start_Level, 1)) /
                (1 * REGEXEXTRACT(F$2, ""[\d.-]+"")) /
                Labspeed), ""Levels Error!""))"),"")</f>
        <v/>
      </c>
      <c r="J15" s="640" t="str">
        <f t="shared" si="4"/>
        <v/>
      </c>
      <c r="K15" s="699"/>
      <c r="L15" s="700"/>
      <c r="M15" s="709"/>
      <c r="N15" s="707" t="str">
        <f>IFERROR(__xludf.DUMMYFUNCTION("IFERROR(IF(P15 = """", """",
    SWITCH($W$37,
        ""Total"", "" "" &amp; FORMAT_NUMBER(P15),
        ""Daily"", LET(Lab_name, IF(REGEXMATCH(M15, ""Mastery""), ""Card Mastery"", M15),
            Level, IF(ISBETWEEN(K15, VLOOKUP(M15, $AD:$AG, 2, FALSE), V"&amp;"LOOKUP(M15, $AD:$AG, 4, FALSE), TRUE, FALSE), K15, VLOOKUP(M15, $AD:$AG, 2, FALSE)),
            IF(LABCOST_SINGLE_ADJUSTED(Lab_name, Level + 1) = 0, ""0 (Max)"",
            "" "" &amp; FORMAT_NUMBER(            
                    LABCOST_SINGLE_ADJUSTED(L"&amp;"ab_name, Level + 1) / 
                    (LABDURATION_SINGLE_ADJUSTED(Lab_name, Level + 1) /
                    (1 * REGEXEXTRACT(N$2, ""[\d.-]+"")))))),
        ""Gem Rush"", LET(
            Labspeed, IF(M15=""Labs Speed"", 1+'Master Sheet'!$BK$5, LA"&amp;"B_SPEED_TOTAL()),
            Start_Level, IF(K15 = """",
                VLOOKUP(M15, $AD:$AG, 2, false),
                IF(ISBETWEEN(K15, VALUE(VLOOKUP(M15, $AD:$AG, 2, false)), VALUE(VLOOKUP(M15, $AD:$AG, 4, false))), K15, """")),
            End_Leve"&amp;"l, IF(OR(L15 = """", NOT(ISBETWEEN(L15, VALUE(VLOOKUP(M15, $AD:$AG, 2, false)), VALUE(VLOOKUP(M15, $AD:$AG, 4, false)),0,1))),
                SWITCH($W$38,
                    ""Max"", VLOOKUP(M15, $AD:$AG, 4, false),
                    ""Target"", IF(V"&amp;"LOOKUP(M15, $AD:$AG, 3, false) &lt;&gt; """", VLOOKUP(M15, $AD:$AG, 3, false), VLOOKUP(M15, $AD:$AG, 4, false))),
                    L15),
            SUM(ARRAYFORMULA(TIME_TO_RUSH_GEMS( OFFSET(DVT_Laboratory!$A$3, Start_Level , IF(ISNUMBER(SEARCH(""mastery"","&amp;" M15)), MATCH(""Card Mastery"", DVT_Laboratory!$A$1:$LO$1, 0), MATCH(M15, DVT_Laboratory!$A$1:$LO$1, 0)) - 1, End_Level - Start_Level, 1) / Labspeed, IDS_LAB_GODLBOXED_COUNT())))))))"),"")</f>
        <v/>
      </c>
      <c r="O15" s="724" t="str">
        <f t="shared" ref="O15:O24" si="9">IFERROR(SWITCH(Q15,
"", "",
"MAX Level", "   MAX Level",
"At Target", "   At Target",
"Levels Error!", " Check Levels",
" " &amp; FORMAT_TIME(Q15)),"")</f>
        <v/>
      </c>
      <c r="P15" s="625" t="str">
        <f>IFERROR(__xludf.DUMMYFUNCTION("IFS(M15 = """", """", 
    VLOOKUP(M15, $AD:$AG, 2, false) = VLOOKUP(M15, $AD:$AG, 4, false), ""MAX Level"",
    AND(VLOOKUP(M15, $AD:$AG, 3, false) &lt;&gt; """", VLOOKUP(M15, $AD:$AG, 2, false) = VLOOKUP(M15, $AD:$AG, 3, false)), ""At Target"",
    TRUE,
    "&amp;"IFERROR(LET(Start_Level, IF(K15 = """",
            VLOOKUP(M15, $AD:$AG, 2, false),
            IF(ISBETWEEN(K15, VALUE(VLOOKUP(M15, $AD:$AG, 2, false)), VALUE(VLOOKUP(M15, $AD:$AG, 4, false))), K15, """")),
        End_Level, IF(OR(L15 = """", NOT(ISBET"&amp;"WEEN(L15, VALUE(VLOOKUP(M15, $AD:$AG, 2, false)), VALUE(VLOOKUP(M15, $AD:$AG, 4, false)),0,1))),
            SWITCH($W$38,
                ""Max"", VLOOKUP(M15, $AD:$AG, 4, false),
                ""Target"", IF(VLOOKUP(M15, $AD:$AG, 3, false) &lt;&gt; """", VL"&amp;"OOKUP(M15, $AD:$AG, 3, false), VLOOKUP(M15, $AD:$AG, 4, false))),
            L15),
        SUM(OFFSET(DVT_Laboratory!$A$3, Start_Level , IF(ISNUMBER(SEARCH(""mastery"", M15)), MATCH(""Card Mastery"", DVT_Laboratory!$A$1:$MY$1, 0), MATCH(M15, DVT_Laborato"&amp;"ry!$A$1:$MY$1, 0)), End_Level - Start_Level, 1)) * (1-LAB_COIN_DISCOUNT())), ""Levels Error!""))"),"")</f>
        <v/>
      </c>
      <c r="Q15" s="626" t="str">
        <f>IFERROR(__xludf.DUMMYFUNCTION("IFS(M15 = """", """", 
    VLOOKUP(M15, $AD:$AG, 2, false) = VLOOKUP(M15, $AD:$AG, 4, false), ""MAX Level"",
    AND(VLOOKUP(M15, $AD:$AG, 3, false) &lt;&gt; """", VLOOKUP(M15, $AD:$AG, 2, false) = VLOOKUP(M15, $AD:$AG, 3, false)), ""At Target"",
    TRUE,
    "&amp;"IFERROR(LET(
        Labspeed, IF(M15=""Labs Speed"", 1+'Master Sheet'!$BK$5, LAB_SPEED_TOTAL()),
        Start_Level, IF(K15 = """",
            VLOOKUP(M15, $AD:$AG, 2, false),
            IF(ISBETWEEN(K15, VALUE(VLOOKUP(M15, $AD:$AG, 2, false)), VALUE("&amp;"VLOOKUP(M15, $AD:$AG, 4, false))), K15, """")),
        End_Level, IF(OR(L15 = """", NOT(ISBETWEEN(L15, VALUE(VLOOKUP(M15, $AD:$AG, 2, false)), VALUE(VLOOKUP(M15, $AD:$AG, 4, false)),0,1))),
            SWITCH($W$38,
                ""Max"", VLOOKUP(M15, "&amp;"$AD:$AG, 4, false),
                ""Target"", IF(VLOOKUP(M15, $AD:$AG, 3, false) &lt;&gt; """", VLOOKUP(M15, $AD:$AG, 3, false), VLOOKUP(M15, $AD:$AG, 4, false))),
            L15),
        SUM(OFFSET(DVT_Laboratory!$A$3, Start_Level , IF(ISNUMBER(SEARCH(""ma"&amp;"stery"", M15)), MATCH(""Card Mastery"", DVT_Laboratory!$A$1:$MY$1, 0), MATCH(M15, DVT_Laboratory!$A$1:$MY$1, 0)) - 1, End_Level - Start_Level, 1)) /
                (1 * REGEXEXTRACT(N$2, ""[\d.-]+"")) /
                Labspeed), ""Levels Error!""))"),"")</f>
        <v/>
      </c>
      <c r="R15" s="642" t="str">
        <f t="shared" si="6"/>
        <v/>
      </c>
      <c r="S15" s="696"/>
      <c r="T15" s="687"/>
      <c r="U15" s="715"/>
      <c r="V15" s="710" t="str">
        <f>IFERROR(__xludf.DUMMYFUNCTION("IFERROR(IF(X15 = """", """",
    SWITCH($W$37,
        ""Total"", "" "" &amp; FORMAT_NUMBER(X15),
        ""Daily"", LET(Lab_name, IF(REGEXMATCH(U15, ""Mastery""), ""Card Mastery"", U15),
            Level, IF(ISBETWEEN(S15, VLOOKUP(U15, $AD:$AG, 2, FALSE), V"&amp;"LOOKUP(U15, $AD:$AG, 4, FALSE), TRUE, FALSE), S15, VLOOKUP(U15, $AD:$AG, 2, FALSE)),
            IF(LABCOST_SINGLE_ADJUSTED(Lab_name, Level + 1) = 0, ""0 (Max)"",
            "" "" &amp; FORMAT_NUMBER(            
                    LABCOST_SINGLE_ADJUSTED(L"&amp;"ab_name, Level + 1) / 
                    (LABDURATION_SINGLE_ADJUSTED(Lab_name, Level + 1) /
                    (1 * REGEXEXTRACT(V$2, ""[\d.-]+"")))))),
        ""Gem Rush"", LET(
            Labspeed, IF(U15=""Labs Speed"", 1+'Master Sheet'!$BK$5, LA"&amp;"B_SPEED_TOTAL()),
            Start_Level, IF(S15 = """",
                VLOOKUP(U15, $AD:$AG, 2, false),
                IF(ISBETWEEN(S15, VALUE(VLOOKUP(U15, $AD:$AG, 2, false)), VALUE(VLOOKUP(U15, $AD:$AG, 4, false))), S15, """")),
            End_Leve"&amp;"l, IF(OR(T15 = """", NOT(ISBETWEEN(T15, VALUE(VLOOKUP(U15, $AD:$AG, 2, false)), VALUE(VLOOKUP(U15, $AD:$AG, 4, false)),0,1))),
                SWITCH($W$38,
                    ""Max"", VLOOKUP(U15, $AD:$AG, 4, false),
                    ""Target"", IF(V"&amp;"LOOKUP(U15, $AD:$AG, 3, false) &lt;&gt; """", VLOOKUP(U15, $AD:$AG, 3, false), VLOOKUP(U15, $AD:$AG, 4, false))),
                    T15),
            SUM(ARRAYFORMULA(TIME_TO_RUSH_GEMS( OFFSET(DVT_Laboratory!$A$3, Start_Level , IF(ISNUMBER(SEARCH(""mastery"","&amp;" U15)), MATCH(""Card Mastery"", DVT_Laboratory!$A$1:$LO$1, 0), MATCH(U15, DVT_Laboratory!$A$1:$LO$1, 0)) - 1, End_Level - Start_Level, 1) / Labspeed, IDS_LAB_GODLBOXED_COUNT())))))))"),"")</f>
        <v/>
      </c>
      <c r="W15" s="725" t="str">
        <f t="shared" ref="W15:W24" si="10">IFERROR(SWITCH(Y15,
"", "",
"MAX Level", "   MAX Level",
"At Target", "   At Target",
"Levels Error!", " Check Levels",
" " &amp; FORMAT_TIME(Y15)),"")</f>
        <v/>
      </c>
      <c r="X15" s="630" t="str">
        <f>IFERROR(__xludf.DUMMYFUNCTION("IFS(U15 = """", """", 
    VLOOKUP(U15, $AD:$AG, 2, false) = VLOOKUP(U15, $AD:$AG, 4, false), ""MAX Level"",
    AND(VLOOKUP(U15, $AD:$AG, 3, false) &lt;&gt; """", VLOOKUP(U15, $AD:$AG, 2, false) = VLOOKUP(U15, $AD:$AG, 3, false)), ""At Target"",
    TRUE,
    "&amp;"IFERROR(LET(Start_Level, IF(S15 = """",
            VLOOKUP(U15, $AD:$AG, 2, false),
            IF(ISBETWEEN(S15, VALUE(VLOOKUP(U15, $AD:$AG, 2, false)), VALUE(VLOOKUP(U15, $AD:$AG, 4, false))), S15, """")),
        End_Level, IF(OR(T15 = """", NOT(ISBET"&amp;"WEEN(T15, VALUE(VLOOKUP(U15, $AD:$AG, 2, false)), VALUE(VLOOKUP(U15, $AD:$AG, 4, false)),0,1))),
            SWITCH($W$38,
                ""Max"", VLOOKUP(U15, $AD:$AG, 4, false),
                ""Target"", IF(VLOOKUP(U15, $AD:$AG, 3, false) &lt;&gt; """", VL"&amp;"OOKUP(U15, $AD:$AG, 3, false), VLOOKUP(U15, $AD:$AG, 4, false))),
            T15),
        SUM(OFFSET(DVT_Laboratory!$A$3, Start_Level , IF(ISNUMBER(SEARCH(""mastery"", U15)), MATCH(""Card Mastery"", DVT_Laboratory!$A$1:$MY$1, 0), MATCH(U15, DVT_Laborato"&amp;"ry!$A$1:$MY$1, 0)), End_Level - Start_Level, 1)) * (1-LAB_COIN_DISCOUNT())), ""Levels Error!""))"),"")</f>
        <v/>
      </c>
      <c r="Y15" s="631" t="str">
        <f>IFERROR(__xludf.DUMMYFUNCTION("IFS(U15 = """", """", 
    VLOOKUP(U15, $AD:$AG, 2, false) = VLOOKUP(U15, $AD:$AG, 4, false), ""MAX Level"",
    AND(VLOOKUP(U15, $AD:$AG, 3, false) &lt;&gt; """", VLOOKUP(U15, $AD:$AG, 2, false) = VLOOKUP(U15, $AD:$AG, 3, false)), ""At Target"",
    TRUE,
    "&amp;"IFERROR(LET(
        Labspeed, IF(U15=""Labs Speed"", 1+'Master Sheet'!$BK$5, LAB_SPEED_TOTAL()),
        Start_Level, IF(S15 = """",
            VLOOKUP(U15, $AD:$AG, 2, false),
            IF(ISBETWEEN(S15, VALUE(VLOOKUP(U15, $AD:$AG, 2, false)), VALUE("&amp;"VLOOKUP(U15, $AD:$AG, 4, false))), S15, """")),
        End_Level, IF(OR(T15 = """", NOT(ISBETWEEN(T15, VALUE(VLOOKUP(U15, $AD:$AG, 2, false)), VALUE(VLOOKUP(U15, $AD:$AG, 4, false)),0,1))),
            SWITCH($W$38,
                ""Max"", VLOOKUP(U15, "&amp;"$AD:$AG, 4, false),
                ""Target"", IF(VLOOKUP(U15, $AD:$AG, 3, false) &lt;&gt; """", VLOOKUP(U15, $AD:$AG, 3, false), VLOOKUP(U15, $AD:$AG, 4, false))),
            T15),
        SUM(OFFSET(DVT_Laboratory!$A$3, Start_Level , IF(ISNUMBER(SEARCH(""ma"&amp;"stery"", U15)), MATCH(""Card Mastery"", DVT_Laboratory!$A$1:$MY$1, 0), MATCH(U15, DVT_Laboratory!$A$1:$MY$1, 0)) - 1, End_Level - Start_Level, 1)) /
                (1 * REGEXEXTRACT(V$2, ""[\d.-]+"")) /
                Labspeed), ""Levels Error!""))"),"")</f>
        <v/>
      </c>
      <c r="Z15" s="598"/>
      <c r="AB15" s="726" t="s">
        <v>433</v>
      </c>
      <c r="AC15" s="720" t="str">
        <f>IFERROR(__xludf.DUMMYFUNCTION("""COMPUTED_VALUE"""),"Attack Speed")</f>
        <v>Attack Speed</v>
      </c>
      <c r="AD15" s="720" t="s">
        <v>170</v>
      </c>
      <c r="AE15" s="720">
        <v>75.0</v>
      </c>
      <c r="AF15" s="720"/>
      <c r="AG15" s="720">
        <v>99.0</v>
      </c>
      <c r="AH15" s="634" t="str">
        <f t="shared" si="1"/>
        <v/>
      </c>
      <c r="AI15" s="720"/>
      <c r="AJ15" s="720"/>
      <c r="AK15" s="720"/>
      <c r="AL15" s="720"/>
      <c r="AM15" s="720"/>
      <c r="AN15" s="720"/>
      <c r="AO15" s="720"/>
      <c r="AP15" s="720"/>
      <c r="AQ15" s="720"/>
      <c r="AR15" s="720"/>
      <c r="AS15" s="720"/>
      <c r="AT15" s="720"/>
      <c r="AU15" s="720"/>
      <c r="AV15" s="720"/>
      <c r="AW15" s="720"/>
      <c r="AX15" s="720"/>
      <c r="AY15" s="720"/>
      <c r="AZ15" s="720"/>
      <c r="BA15" s="720"/>
      <c r="BB15" s="720"/>
      <c r="BC15" s="720"/>
      <c r="BD15" s="720"/>
      <c r="BE15" s="720"/>
      <c r="BF15" s="720"/>
      <c r="BG15" s="720"/>
      <c r="BH15" s="720"/>
      <c r="BI15" s="720"/>
      <c r="BJ15" s="720"/>
      <c r="BK15" s="720"/>
      <c r="BL15" s="720"/>
      <c r="BM15" s="720"/>
      <c r="BN15" s="720"/>
      <c r="BO15" s="720"/>
      <c r="BP15" s="720"/>
      <c r="BQ15" s="720"/>
      <c r="BR15" s="720"/>
      <c r="BS15" s="720"/>
      <c r="BT15" s="720"/>
      <c r="BU15" s="720"/>
      <c r="BV15" s="720"/>
      <c r="BW15" s="720"/>
      <c r="BX15" s="720"/>
      <c r="BY15" s="720"/>
      <c r="BZ15" s="720"/>
      <c r="CA15" s="720"/>
      <c r="CB15" s="720"/>
      <c r="CC15" s="720"/>
      <c r="CD15" s="720"/>
      <c r="CE15" s="720"/>
      <c r="CF15" s="720"/>
      <c r="CG15" s="720"/>
      <c r="CH15" s="720"/>
      <c r="CI15" s="720"/>
      <c r="CJ15" s="720"/>
      <c r="CK15" s="720"/>
      <c r="CL15" s="720"/>
      <c r="CM15" s="720"/>
      <c r="CN15" s="720"/>
      <c r="CO15" s="720"/>
      <c r="CP15" s="720"/>
      <c r="CQ15" s="720"/>
      <c r="CR15" s="720"/>
      <c r="CS15" s="720"/>
      <c r="CT15" s="720"/>
      <c r="CU15" s="720"/>
      <c r="CV15" s="720"/>
      <c r="CW15" s="720"/>
      <c r="CX15" s="720"/>
      <c r="CY15" s="720"/>
      <c r="CZ15" s="720"/>
      <c r="DA15" s="720"/>
      <c r="DB15" s="720"/>
      <c r="DC15" s="720"/>
      <c r="DD15" s="720"/>
      <c r="DE15" s="720"/>
      <c r="DF15" s="720"/>
      <c r="DG15" s="720"/>
      <c r="DH15" s="720"/>
      <c r="DI15" s="720"/>
      <c r="DJ15" s="720"/>
      <c r="DK15" s="720"/>
      <c r="DL15" s="720"/>
      <c r="DM15" s="720"/>
      <c r="DN15" s="720"/>
      <c r="DO15" s="720"/>
      <c r="DP15" s="720"/>
      <c r="DQ15" s="720"/>
      <c r="DR15" s="720"/>
      <c r="DS15" s="720"/>
      <c r="DT15" s="720"/>
      <c r="DU15" s="720"/>
      <c r="DV15" s="720"/>
      <c r="DW15" s="720"/>
      <c r="DX15" s="720"/>
      <c r="DY15" s="720"/>
      <c r="DZ15" s="720"/>
      <c r="EA15" s="720"/>
      <c r="EB15" s="720"/>
      <c r="EC15" s="720"/>
      <c r="ED15" s="720"/>
      <c r="EE15" s="720"/>
      <c r="EF15" s="720"/>
      <c r="EG15" s="720"/>
      <c r="EH15" s="720"/>
      <c r="EI15" s="720"/>
      <c r="EJ15" s="720"/>
      <c r="EK15" s="720"/>
      <c r="EL15" s="720"/>
      <c r="EM15" s="720"/>
      <c r="EN15" s="720"/>
      <c r="EO15" s="720"/>
      <c r="EP15" s="720"/>
      <c r="EQ15" s="720"/>
      <c r="ER15" s="720"/>
      <c r="ES15" s="720"/>
      <c r="ET15" s="720"/>
      <c r="EU15" s="720"/>
      <c r="EV15" s="720"/>
      <c r="EW15" s="720"/>
      <c r="EX15" s="720"/>
      <c r="EY15" s="720"/>
      <c r="EZ15" s="720"/>
      <c r="FA15" s="720"/>
      <c r="FB15" s="720"/>
      <c r="FC15" s="720"/>
      <c r="FD15" s="720"/>
      <c r="FE15" s="720"/>
      <c r="FF15" s="720"/>
      <c r="FG15" s="720"/>
      <c r="FH15" s="720"/>
      <c r="FI15" s="720"/>
      <c r="FJ15" s="720"/>
      <c r="FK15" s="720"/>
      <c r="FL15" s="720"/>
      <c r="FM15" s="720"/>
      <c r="FN15" s="720"/>
      <c r="FO15" s="720"/>
      <c r="FP15" s="720"/>
      <c r="FQ15" s="720"/>
      <c r="FR15" s="720"/>
      <c r="FS15" s="720"/>
      <c r="FT15" s="720"/>
      <c r="FU15" s="720"/>
      <c r="FV15" s="720"/>
      <c r="FW15" s="720"/>
      <c r="FX15" s="720"/>
      <c r="FY15" s="720"/>
      <c r="FZ15" s="720"/>
      <c r="GA15" s="720"/>
      <c r="GB15" s="720"/>
      <c r="GC15" s="720"/>
      <c r="GD15" s="720"/>
      <c r="GE15" s="720"/>
      <c r="GF15" s="720"/>
      <c r="GG15" s="720"/>
      <c r="GH15" s="720"/>
      <c r="GI15" s="720"/>
      <c r="GJ15" s="720"/>
      <c r="GK15" s="720"/>
      <c r="GL15" s="720"/>
      <c r="GM15" s="720"/>
      <c r="GN15" s="720"/>
      <c r="GO15" s="720"/>
      <c r="GP15" s="720"/>
      <c r="GQ15" s="720"/>
      <c r="GR15" s="720"/>
      <c r="GS15" s="720"/>
      <c r="GT15" s="720"/>
      <c r="GU15" s="720"/>
      <c r="GV15" s="720"/>
      <c r="GW15" s="720"/>
      <c r="GX15" s="720"/>
      <c r="GY15" s="720"/>
      <c r="GZ15" s="720"/>
      <c r="HA15" s="720"/>
      <c r="HB15" s="720"/>
      <c r="HC15" s="720"/>
      <c r="HD15" s="720"/>
      <c r="HE15" s="720"/>
      <c r="HF15" s="720"/>
      <c r="HG15" s="720"/>
      <c r="HH15" s="720"/>
      <c r="HI15" s="720"/>
      <c r="HJ15" s="720"/>
      <c r="HK15" s="720"/>
      <c r="HL15" s="720"/>
      <c r="HM15" s="720"/>
      <c r="HN15" s="720"/>
      <c r="HO15" s="720"/>
      <c r="HP15" s="720"/>
      <c r="HQ15" s="720"/>
      <c r="HR15" s="720"/>
      <c r="HS15" s="720"/>
      <c r="HT15" s="720"/>
      <c r="HU15" s="720"/>
      <c r="HV15" s="720"/>
      <c r="HW15" s="720"/>
      <c r="HX15" s="720"/>
      <c r="HY15" s="720"/>
      <c r="HZ15" s="720"/>
      <c r="IA15" s="720"/>
      <c r="IB15" s="720"/>
      <c r="IC15" s="720"/>
      <c r="ID15" s="720"/>
      <c r="IE15" s="720"/>
      <c r="IF15" s="720"/>
      <c r="IG15" s="720"/>
      <c r="IH15" s="720"/>
    </row>
    <row r="16" hidden="1" outlineLevel="1">
      <c r="A16" s="598"/>
      <c r="B16" s="614" t="str">
        <f t="shared" si="2"/>
        <v/>
      </c>
      <c r="C16" s="705"/>
      <c r="D16" s="722"/>
      <c r="E16" s="692"/>
      <c r="F16" s="659" t="str">
        <f>IFERROR(__xludf.DUMMYFUNCTION("IFERROR(IF(H16 = """", """",
    SWITCH($W$37,
        ""Total"", "" "" &amp; FORMAT_NUMBER(H16),
        ""Daily"", LET(Lab_name, IF(REGEXMATCH(E16, ""Mastery""), ""Card Mastery"", E16),
            Level, IF(ISBETWEEN(C16, VLOOKUP(E16, $AD:$AG, 2, FALSE), V"&amp;"LOOKUP(E16, $AD:$AG, 4, FALSE), TRUE, FALSE), C16, VLOOKUP(E16, $AD:$AG, 2, FALSE)),
            IF(LABCOST_SINGLE_ADJUSTED(Lab_name, Level + 1) = 0, ""0 (Max)"",
            "" "" &amp; FORMAT_NUMBER(            
                    LABCOST_SINGLE_ADJUSTED(L"&amp;"ab_name, Level + 1) / 
                    (LABDURATION_SINGLE_ADJUSTED(Lab_name, Level + 1) /
                    (1 * REGEXEXTRACT(F$2, ""[\d.-]+"")))))),
        ""Gem Rush"", LET(
            Labspeed, IF(E16=""Labs Speed"", 1+'Master Sheet'!$BK$5, LA"&amp;"B_SPEED_TOTAL()),
            Start_Level, IF(C16 = """",
                VLOOKUP(E16, $AD:$AG, 2, false),
                IF(ISBETWEEN(C16, VALUE(VLOOKUP(E16, $AD:$AG, 2, false)), VALUE(VLOOKUP(E16, $AD:$AG, 4, false))), C16, """")),
            End_Leve"&amp;"l, IF(OR(D16 = """", NOT(ISBETWEEN(D16, VALUE(VLOOKUP(E16, $AD:$AG, 2, false)), VALUE(VLOOKUP(E16, $AD:$AG, 4, false)),0,1))),
                SWITCH($W$38,
                    ""Max"", VLOOKUP(E16, $AD:$AG, 4, false),
                    ""Target"", IF(V"&amp;"LOOKUP(E16, $AD:$AG, 3, false) &lt;&gt; """", VLOOKUP(E16, $AD:$AG, 3, false), VLOOKUP(E16, $AD:$AG, 4, false))),
                    D16),
            SUM(ARRAYFORMULA(TIME_TO_RUSH_GEMS( OFFSET(DVT_Laboratory!$A$3, Start_Level , IF(ISNUMBER(SEARCH(""mastery"","&amp;" E16)), MATCH(""Card Mastery"", DVT_Laboratory!$A$1:$LO$1, 0), MATCH(E16, DVT_Laboratory!$A$1:$LO$1, 0)) - 1, End_Level - Start_Level, 1) / Labspeed)))))))"),"")</f>
        <v/>
      </c>
      <c r="G16" s="723" t="str">
        <f t="shared" si="8"/>
        <v/>
      </c>
      <c r="H16" s="620" t="str">
        <f>IFERROR(__xludf.DUMMYFUNCTION("IFS(E16 = """", """", 
    VLOOKUP(E16, $AD:$AG, 2, false) = VLOOKUP(E16, $AD:$AG, 4, false), ""MAX Level"",
    AND(VLOOKUP(E16, $AD:$AG, 3, false) &lt;&gt; """", VLOOKUP(E16, $AD:$AG, 2, false) = VLOOKUP(E16, $AD:$AG, 3, false)), ""At Target"",
    TRUE,
    "&amp;"IFERROR(LET(Start_Level, IF(C16 = """",
            VLOOKUP(E16, $AD:$AG, 2, false),
            IF(ISBETWEEN(C16, VALUE(VLOOKUP(E16, $AD:$AG, 2, false)), VALUE(VLOOKUP(E16, $AD:$AG, 4, false))), C16, """")),
        End_Level, IF(OR(D16 = """", NOT(ISBET"&amp;"WEEN(D16, VALUE(VLOOKUP(E16, $AD:$AG, 2, false)), VALUE(VLOOKUP(E16, $AD:$AG, 4, false)),0,1))),
            SWITCH($W$38,
                ""Max"", VLOOKUP(E16, $AD:$AG, 4, false),
                ""Target"", IF(VLOOKUP(E16, $AD:$AG, 3, false) &lt;&gt; """", VL"&amp;"OOKUP(E16, $AD:$AG, 3, false), VLOOKUP(E16, $AD:$AG, 4, false))),
            D16),
        SUM(OFFSET(DVT_Laboratory!$A$3, Start_Level , IF(ISNUMBER(SEARCH(""mastery"", E16)), MATCH(""Card Mastery"", DVT_Laboratory!$A$1:$MY$1, 0), MATCH(E16, DVT_Laborato"&amp;"ry!$A$1:$MY$1, 0)), End_Level - Start_Level, 1)) * (1-LAB_COIN_DISCOUNT())), ""Levels Error!""))"),"")</f>
        <v/>
      </c>
      <c r="I16" s="621" t="str">
        <f>IFERROR(__xludf.DUMMYFUNCTION("IFS(E16 = """", """", 
    VLOOKUP(E16, $AD:$AG, 2, false) = VLOOKUP(E16, $AD:$AG, 4, false), ""MAX Level"",
    AND(VLOOKUP(E16, $AD:$AG, 3, false) &lt;&gt; """", VLOOKUP(E16, $AD:$AG, 2, false) = VLOOKUP(E16, $AD:$AG, 3, false)), ""At Target"",
    TRUE,
    "&amp;"IFERROR(LET(
        Labspeed, IF(E16=""Labs Speed"", 1+'Master Sheet'!$BK$5, LAB_SPEED_TOTAL()),
        Start_Level, IF(C16 = """",
            VLOOKUP(E16, $AD:$AG, 2, false),
            IF(ISBETWEEN(C16, VALUE(VLOOKUP(E16, $AD:$AG, 2, false)), VALUE("&amp;"VLOOKUP(E16, $AD:$AG, 4, false))), C16, """")),
        End_Level, IF(OR(D16 = """", NOT(ISBETWEEN(D16, VALUE(VLOOKUP(E16, $AD:$AG, 2, false)), VALUE(VLOOKUP(E16, $AD:$AG, 4, false)),0,1))),
            SWITCH($W$38,
                ""Max"", VLOOKUP(E16, "&amp;"$AD:$AG, 4, false),
                ""Target"", IF(VLOOKUP(E16, $AD:$AG, 3, false) &lt;&gt; """", VLOOKUP(E16, $AD:$AG, 3, false), VLOOKUP(E16, $AD:$AG, 4, false))),
            D16),
        SUM(OFFSET(DVT_Laboratory!$A$3, Start_Level , IF(ISNUMBER(SEARCH(""ma"&amp;"stery"", E16)), MATCH(""Card Mastery"", DVT_Laboratory!$A$1:$MY$1, 0), MATCH(E16, DVT_Laboratory!$A$1:$MY$1, 0)) - 1, End_Level - Start_Level, 1)) /
                (1 * REGEXEXTRACT(F$2, ""[\d.-]+"")) /
                Labspeed), ""Levels Error!""))"),"")</f>
        <v/>
      </c>
      <c r="J16" s="640" t="str">
        <f t="shared" si="4"/>
        <v/>
      </c>
      <c r="K16" s="699"/>
      <c r="L16" s="700"/>
      <c r="M16" s="709"/>
      <c r="N16" s="707" t="str">
        <f>IFERROR(__xludf.DUMMYFUNCTION("IFERROR(IF(P16 = """", """",
    SWITCH($W$37,
        ""Total"", "" "" &amp; FORMAT_NUMBER(P16),
        ""Daily"", LET(Lab_name, IF(REGEXMATCH(M16, ""Mastery""), ""Card Mastery"", M16),
            Level, IF(ISBETWEEN(K16, VLOOKUP(M16, $AD:$AG, 2, FALSE), V"&amp;"LOOKUP(M16, $AD:$AG, 4, FALSE), TRUE, FALSE), K16, VLOOKUP(M16, $AD:$AG, 2, FALSE)),
            IF(LABCOST_SINGLE_ADJUSTED(Lab_name, Level + 1) = 0, ""0 (Max)"",
            "" "" &amp; FORMAT_NUMBER(            
                    LABCOST_SINGLE_ADJUSTED(L"&amp;"ab_name, Level + 1) / 
                    (LABDURATION_SINGLE_ADJUSTED(Lab_name, Level + 1) /
                    (1 * REGEXEXTRACT(N$2, ""[\d.-]+"")))))),
        ""Gem Rush"", LET(
            Labspeed, IF(M16=""Labs Speed"", 1+'Master Sheet'!$BK$5, LA"&amp;"B_SPEED_TOTAL()),
            Start_Level, IF(K16 = """",
                VLOOKUP(M16, $AD:$AG, 2, false),
                IF(ISBETWEEN(K16, VALUE(VLOOKUP(M16, $AD:$AG, 2, false)), VALUE(VLOOKUP(M16, $AD:$AG, 4, false))), K16, """")),
            End_Leve"&amp;"l, IF(OR(L16 = """", NOT(ISBETWEEN(L16, VALUE(VLOOKUP(M16, $AD:$AG, 2, false)), VALUE(VLOOKUP(M16, $AD:$AG, 4, false)),0,1))),
                SWITCH($W$38,
                    ""Max"", VLOOKUP(M16, $AD:$AG, 4, false),
                    ""Target"", IF(V"&amp;"LOOKUP(M16, $AD:$AG, 3, false) &lt;&gt; """", VLOOKUP(M16, $AD:$AG, 3, false), VLOOKUP(M16, $AD:$AG, 4, false))),
                    L16),
            SUM(ARRAYFORMULA(TIME_TO_RUSH_GEMS( OFFSET(DVT_Laboratory!$A$3, Start_Level , IF(ISNUMBER(SEARCH(""mastery"","&amp;" M16)), MATCH(""Card Mastery"", DVT_Laboratory!$A$1:$LO$1, 0), MATCH(M16, DVT_Laboratory!$A$1:$LO$1, 0)) - 1, End_Level - Start_Level, 1) / Labspeed)))))))"),"")</f>
        <v/>
      </c>
      <c r="O16" s="724" t="str">
        <f t="shared" si="9"/>
        <v/>
      </c>
      <c r="P16" s="625" t="str">
        <f>IFERROR(__xludf.DUMMYFUNCTION("IFS(M16 = """", """", 
    VLOOKUP(M16, $AD:$AG, 2, false) = VLOOKUP(M16, $AD:$AG, 4, false), ""MAX Level"",
    AND(VLOOKUP(M16, $AD:$AG, 3, false) &lt;&gt; """", VLOOKUP(M16, $AD:$AG, 2, false) = VLOOKUP(M16, $AD:$AG, 3, false)), ""At Target"",
    TRUE,
    "&amp;"IFERROR(LET(Start_Level, IF(K16 = """",
            VLOOKUP(M16, $AD:$AG, 2, false),
            IF(ISBETWEEN(K16, VALUE(VLOOKUP(M16, $AD:$AG, 2, false)), VALUE(VLOOKUP(M16, $AD:$AG, 4, false))), K16, """")),
        End_Level, IF(OR(L16 = """", NOT(ISBET"&amp;"WEEN(L16, VALUE(VLOOKUP(M16, $AD:$AG, 2, false)), VALUE(VLOOKUP(M16, $AD:$AG, 4, false)),0,1))),
            SWITCH($W$38,
                ""Max"", VLOOKUP(M16, $AD:$AG, 4, false),
                ""Target"", IF(VLOOKUP(M16, $AD:$AG, 3, false) &lt;&gt; """", VL"&amp;"OOKUP(M16, $AD:$AG, 3, false), VLOOKUP(M16, $AD:$AG, 4, false))),
            L16),
        SUM(OFFSET(DVT_Laboratory!$A$3, Start_Level , IF(ISNUMBER(SEARCH(""mastery"", M16)), MATCH(""Card Mastery"", DVT_Laboratory!$A$1:$MY$1, 0), MATCH(M16, DVT_Laborato"&amp;"ry!$A$1:$MY$1, 0)), End_Level - Start_Level, 1)) * (1-LAB_COIN_DISCOUNT())), ""Levels Error!""))"),"")</f>
        <v/>
      </c>
      <c r="Q16" s="626" t="str">
        <f>IFERROR(__xludf.DUMMYFUNCTION("IFS(M16 = """", """", 
    VLOOKUP(M16, $AD:$AG, 2, false) = VLOOKUP(M16, $AD:$AG, 4, false), ""MAX Level"",
    AND(VLOOKUP(M16, $AD:$AG, 3, false) &lt;&gt; """", VLOOKUP(M16, $AD:$AG, 2, false) = VLOOKUP(M16, $AD:$AG, 3, false)), ""At Target"",
    TRUE,
    "&amp;"IFERROR(LET(
        Labspeed, IF(M16=""Labs Speed"", 1+'Master Sheet'!$BK$5, LAB_SPEED_TOTAL()),
        Start_Level, IF(K16 = """",
            VLOOKUP(M16, $AD:$AG, 2, false),
            IF(ISBETWEEN(K16, VALUE(VLOOKUP(M16, $AD:$AG, 2, false)), VALUE("&amp;"VLOOKUP(M16, $AD:$AG, 4, false))), K16, """")),
        End_Level, IF(OR(L16 = """", NOT(ISBETWEEN(L16, VALUE(VLOOKUP(M16, $AD:$AG, 2, false)), VALUE(VLOOKUP(M16, $AD:$AG, 4, false)),0,1))),
            SWITCH($W$38,
                ""Max"", VLOOKUP(M16, "&amp;"$AD:$AG, 4, false),
                ""Target"", IF(VLOOKUP(M16, $AD:$AG, 3, false) &lt;&gt; """", VLOOKUP(M16, $AD:$AG, 3, false), VLOOKUP(M16, $AD:$AG, 4, false))),
            L16),
        SUM(OFFSET(DVT_Laboratory!$A$3, Start_Level , IF(ISNUMBER(SEARCH(""ma"&amp;"stery"", M16)), MATCH(""Card Mastery"", DVT_Laboratory!$A$1:$MY$1, 0), MATCH(M16, DVT_Laboratory!$A$1:$MY$1, 0)) - 1, End_Level - Start_Level, 1)) /
                (1 * REGEXEXTRACT(N$2, ""[\d.-]+"")) /
                Labspeed), ""Levels Error!""))"),"")</f>
        <v/>
      </c>
      <c r="R16" s="642" t="str">
        <f t="shared" si="6"/>
        <v/>
      </c>
      <c r="S16" s="696"/>
      <c r="T16" s="687"/>
      <c r="U16" s="715"/>
      <c r="V16" s="710" t="str">
        <f>IFERROR(__xludf.DUMMYFUNCTION("IFERROR(IF(X16 = """", """",
    SWITCH($W$37,
        ""Total"", "" "" &amp; FORMAT_NUMBER(X16),
        ""Daily"", LET(Lab_name, IF(REGEXMATCH(U16, ""Mastery""), ""Card Mastery"", U16),
            Level, IF(ISBETWEEN(S16, VLOOKUP(U16, $AD:$AG, 2, FALSE), V"&amp;"LOOKUP(U16, $AD:$AG, 4, FALSE), TRUE, FALSE), S16, VLOOKUP(U16, $AD:$AG, 2, FALSE)),
            IF(LABCOST_SINGLE_ADJUSTED(Lab_name, Level + 1) = 0, ""0 (Max)"",
            "" "" &amp; FORMAT_NUMBER(            
                    LABCOST_SINGLE_ADJUSTED(L"&amp;"ab_name, Level + 1) / 
                    (LABDURATION_SINGLE_ADJUSTED(Lab_name, Level + 1) /
                    (1 * REGEXEXTRACT(V$2, ""[\d.-]+"")))))),
        ""Gem Rush"", LET(
            Labspeed, IF(U16=""Labs Speed"", 1+'Master Sheet'!$BK$5, LA"&amp;"B_SPEED_TOTAL()),
            Start_Level, IF(S16 = """",
                VLOOKUP(U16, $AD:$AG, 2, false),
                IF(ISBETWEEN(S16, VALUE(VLOOKUP(U16, $AD:$AG, 2, false)), VALUE(VLOOKUP(U16, $AD:$AG, 4, false))), S16, """")),
            End_Leve"&amp;"l, IF(OR(T16 = """", NOT(ISBETWEEN(T16, VALUE(VLOOKUP(U16, $AD:$AG, 2, false)), VALUE(VLOOKUP(U16, $AD:$AG, 4, false)),0,1))),
                SWITCH($W$38,
                    ""Max"", VLOOKUP(U16, $AD:$AG, 4, false),
                    ""Target"", IF(V"&amp;"LOOKUP(U16, $AD:$AG, 3, false) &lt;&gt; """", VLOOKUP(U16, $AD:$AG, 3, false), VLOOKUP(U16, $AD:$AG, 4, false))),
                    T16),
            SUM(ARRAYFORMULA(TIME_TO_RUSH_GEMS( OFFSET(DVT_Laboratory!$A$3, Start_Level , IF(ISNUMBER(SEARCH(""mastery"","&amp;" U16)), MATCH(""Card Mastery"", DVT_Laboratory!$A$1:$LO$1, 0), MATCH(U16, DVT_Laboratory!$A$1:$LO$1, 0)) - 1, End_Level - Start_Level, 1) / Labspeed)))))))"),"")</f>
        <v/>
      </c>
      <c r="W16" s="725" t="str">
        <f t="shared" si="10"/>
        <v/>
      </c>
      <c r="X16" s="630" t="str">
        <f>IFERROR(__xludf.DUMMYFUNCTION("IFS(U16 = """", """", 
    VLOOKUP(U16, $AD:$AG, 2, false) = VLOOKUP(U16, $AD:$AG, 4, false), ""MAX Level"",
    AND(VLOOKUP(U16, $AD:$AG, 3, false) &lt;&gt; """", VLOOKUP(U16, $AD:$AG, 2, false) = VLOOKUP(U16, $AD:$AG, 3, false)), ""At Target"",
    TRUE,
    "&amp;"IFERROR(LET(Start_Level, IF(S16 = """",
            VLOOKUP(U16, $AD:$AG, 2, false),
            IF(ISBETWEEN(S16, VALUE(VLOOKUP(U16, $AD:$AG, 2, false)), VALUE(VLOOKUP(U16, $AD:$AG, 4, false))), S16, """")),
        End_Level, IF(OR(T16 = """", NOT(ISBET"&amp;"WEEN(T16, VALUE(VLOOKUP(U16, $AD:$AG, 2, false)), VALUE(VLOOKUP(U16, $AD:$AG, 4, false)),0,1))),
            SWITCH($W$38,
                ""Max"", VLOOKUP(U16, $AD:$AG, 4, false),
                ""Target"", IF(VLOOKUP(U16, $AD:$AG, 3, false) &lt;&gt; """", VL"&amp;"OOKUP(U16, $AD:$AG, 3, false), VLOOKUP(U16, $AD:$AG, 4, false))),
            T16),
        SUM(OFFSET(DVT_Laboratory!$A$3, Start_Level , IF(ISNUMBER(SEARCH(""mastery"", U16)), MATCH(""Card Mastery"", DVT_Laboratory!$A$1:$MY$1, 0), MATCH(U16, DVT_Laborato"&amp;"ry!$A$1:$MY$1, 0)), End_Level - Start_Level, 1)) * (1-LAB_COIN_DISCOUNT())), ""Levels Error!""))"),"")</f>
        <v/>
      </c>
      <c r="Y16" s="631" t="str">
        <f>IFERROR(__xludf.DUMMYFUNCTION("IFS(U16 = """", """", 
    VLOOKUP(U16, $AD:$AG, 2, false) = VLOOKUP(U16, $AD:$AG, 4, false), ""MAX Level"",
    AND(VLOOKUP(U16, $AD:$AG, 3, false) &lt;&gt; """", VLOOKUP(U16, $AD:$AG, 2, false) = VLOOKUP(U16, $AD:$AG, 3, false)), ""At Target"",
    TRUE,
    "&amp;"IFERROR(LET(
        Labspeed, IF(U16=""Labs Speed"", 1+'Master Sheet'!$BK$5, LAB_SPEED_TOTAL()),
        Start_Level, IF(S16 = """",
            VLOOKUP(U16, $AD:$AG, 2, false),
            IF(ISBETWEEN(S16, VALUE(VLOOKUP(U16, $AD:$AG, 2, false)), VALUE("&amp;"VLOOKUP(U16, $AD:$AG, 4, false))), S16, """")),
        End_Level, IF(OR(T16 = """", NOT(ISBETWEEN(T16, VALUE(VLOOKUP(U16, $AD:$AG, 2, false)), VALUE(VLOOKUP(U16, $AD:$AG, 4, false)),0,1))),
            SWITCH($W$38,
                ""Max"", VLOOKUP(U16, "&amp;"$AD:$AG, 4, false),
                ""Target"", IF(VLOOKUP(U16, $AD:$AG, 3, false) &lt;&gt; """", VLOOKUP(U16, $AD:$AG, 3, false), VLOOKUP(U16, $AD:$AG, 4, false))),
            T16),
        SUM(OFFSET(DVT_Laboratory!$A$3, Start_Level , IF(ISNUMBER(SEARCH(""ma"&amp;"stery"", U16)), MATCH(""Card Mastery"", DVT_Laboratory!$A$1:$MY$1, 0), MATCH(U16, DVT_Laboratory!$A$1:$MY$1, 0)) - 1, End_Level - Start_Level, 1)) /
                (1 * REGEXEXTRACT(V$2, ""[\d.-]+"")) /
                Labspeed), ""Levels Error!""))"),"")</f>
        <v/>
      </c>
      <c r="Z16" s="598"/>
      <c r="AB16" s="727" t="s">
        <v>434</v>
      </c>
      <c r="AC16" s="721" t="str">
        <f>IFERROR(__xludf.DUMMYFUNCTION("""COMPUTED_VALUE"""),"Attack Speed Mastery")</f>
        <v>Attack Speed Mastery</v>
      </c>
      <c r="AD16" s="721" t="s">
        <v>282</v>
      </c>
      <c r="AE16" s="721">
        <v>0.0</v>
      </c>
      <c r="AF16" s="721"/>
      <c r="AG16" s="721">
        <v>9.0</v>
      </c>
      <c r="AH16" s="634" t="str">
        <f t="shared" si="1"/>
        <v/>
      </c>
      <c r="AI16" s="721"/>
      <c r="AJ16" s="721"/>
      <c r="AK16" s="721"/>
      <c r="AL16" s="721"/>
      <c r="AM16" s="721"/>
      <c r="AN16" s="721"/>
      <c r="AO16" s="721"/>
      <c r="AP16" s="721"/>
      <c r="AQ16" s="721"/>
      <c r="AR16" s="721"/>
      <c r="AS16" s="721"/>
      <c r="AT16" s="721"/>
      <c r="AU16" s="721"/>
      <c r="AV16" s="721"/>
      <c r="AW16" s="721"/>
      <c r="AX16" s="721"/>
      <c r="AY16" s="721"/>
      <c r="AZ16" s="721"/>
      <c r="BA16" s="721"/>
      <c r="BB16" s="721"/>
      <c r="BC16" s="721"/>
      <c r="BD16" s="721"/>
      <c r="BE16" s="721"/>
      <c r="BF16" s="721"/>
      <c r="BG16" s="721"/>
      <c r="BH16" s="721"/>
      <c r="BI16" s="721"/>
      <c r="BJ16" s="721"/>
      <c r="BK16" s="721"/>
      <c r="BL16" s="721"/>
      <c r="BM16" s="721"/>
      <c r="BN16" s="721"/>
      <c r="BO16" s="721"/>
      <c r="BP16" s="721"/>
      <c r="BQ16" s="721"/>
      <c r="BR16" s="721"/>
      <c r="BS16" s="721"/>
      <c r="BT16" s="721"/>
      <c r="BU16" s="721"/>
      <c r="BV16" s="721"/>
      <c r="BW16" s="721"/>
      <c r="BX16" s="721"/>
      <c r="BY16" s="721"/>
      <c r="BZ16" s="721"/>
      <c r="CA16" s="721"/>
      <c r="CB16" s="721"/>
      <c r="CC16" s="721"/>
      <c r="CD16" s="721"/>
      <c r="CE16" s="721"/>
      <c r="CF16" s="721"/>
      <c r="CG16" s="721"/>
      <c r="CH16" s="721"/>
      <c r="CI16" s="721"/>
      <c r="CJ16" s="721"/>
      <c r="CK16" s="721"/>
      <c r="CL16" s="721"/>
      <c r="CM16" s="721"/>
      <c r="CN16" s="721"/>
      <c r="CO16" s="721"/>
      <c r="CP16" s="721"/>
      <c r="CQ16" s="721"/>
      <c r="CR16" s="721"/>
      <c r="CS16" s="721"/>
      <c r="CT16" s="721"/>
      <c r="CU16" s="721"/>
      <c r="CV16" s="721"/>
      <c r="CW16" s="721"/>
      <c r="CX16" s="721"/>
      <c r="CY16" s="721"/>
      <c r="CZ16" s="721"/>
      <c r="DA16" s="721"/>
      <c r="DB16" s="721"/>
      <c r="DC16" s="721"/>
      <c r="DD16" s="721"/>
      <c r="DE16" s="721"/>
      <c r="DF16" s="721"/>
      <c r="DG16" s="721"/>
      <c r="DH16" s="721"/>
      <c r="DI16" s="721"/>
      <c r="DJ16" s="721"/>
      <c r="DK16" s="721"/>
      <c r="DL16" s="721"/>
      <c r="DM16" s="721"/>
      <c r="DN16" s="721"/>
      <c r="DO16" s="721"/>
      <c r="DP16" s="721"/>
      <c r="DQ16" s="721"/>
      <c r="DR16" s="721"/>
      <c r="DS16" s="721"/>
      <c r="DT16" s="721"/>
      <c r="DU16" s="721"/>
      <c r="DV16" s="721"/>
      <c r="DW16" s="721"/>
      <c r="DX16" s="721"/>
      <c r="DY16" s="721"/>
      <c r="DZ16" s="721"/>
      <c r="EA16" s="721"/>
      <c r="EB16" s="721"/>
      <c r="EC16" s="721"/>
      <c r="ED16" s="721"/>
      <c r="EE16" s="721"/>
      <c r="EF16" s="721"/>
      <c r="EG16" s="721"/>
      <c r="EH16" s="721"/>
      <c r="EI16" s="721"/>
      <c r="EJ16" s="721"/>
      <c r="EK16" s="721"/>
      <c r="EL16" s="721"/>
      <c r="EM16" s="721"/>
      <c r="EN16" s="721"/>
      <c r="EO16" s="721"/>
      <c r="EP16" s="721"/>
      <c r="EQ16" s="721"/>
      <c r="ER16" s="721"/>
      <c r="ES16" s="721"/>
      <c r="ET16" s="721"/>
      <c r="EU16" s="721"/>
      <c r="EV16" s="721"/>
      <c r="EW16" s="721"/>
      <c r="EX16" s="721"/>
      <c r="EY16" s="721"/>
      <c r="EZ16" s="721"/>
      <c r="FA16" s="721"/>
      <c r="FB16" s="721"/>
      <c r="FC16" s="721"/>
      <c r="FD16" s="721"/>
      <c r="FE16" s="721"/>
      <c r="FF16" s="721"/>
      <c r="FG16" s="721"/>
      <c r="FH16" s="721"/>
      <c r="FI16" s="721"/>
      <c r="FJ16" s="721"/>
      <c r="FK16" s="721"/>
      <c r="FL16" s="721"/>
      <c r="FM16" s="721"/>
      <c r="FN16" s="721"/>
      <c r="FO16" s="721"/>
      <c r="FP16" s="721"/>
      <c r="FQ16" s="721"/>
      <c r="FR16" s="721"/>
      <c r="FS16" s="721"/>
      <c r="FT16" s="721"/>
      <c r="FU16" s="721"/>
      <c r="FV16" s="721"/>
      <c r="FW16" s="721"/>
      <c r="FX16" s="721"/>
      <c r="FY16" s="721"/>
      <c r="FZ16" s="721"/>
      <c r="GA16" s="721"/>
      <c r="GB16" s="721"/>
      <c r="GC16" s="721"/>
      <c r="GD16" s="721"/>
      <c r="GE16" s="721"/>
      <c r="GF16" s="721"/>
      <c r="GG16" s="721"/>
      <c r="GH16" s="721"/>
      <c r="GI16" s="721"/>
      <c r="GJ16" s="721"/>
      <c r="GK16" s="721"/>
      <c r="GL16" s="721"/>
      <c r="GM16" s="721"/>
      <c r="GN16" s="721"/>
      <c r="GO16" s="721"/>
      <c r="GP16" s="721"/>
      <c r="GQ16" s="721"/>
      <c r="GR16" s="721"/>
      <c r="GS16" s="721"/>
      <c r="GT16" s="721"/>
      <c r="GU16" s="721"/>
      <c r="GV16" s="721"/>
      <c r="GW16" s="721"/>
      <c r="GX16" s="721"/>
      <c r="GY16" s="721"/>
      <c r="GZ16" s="721"/>
      <c r="HA16" s="721"/>
      <c r="HB16" s="721"/>
      <c r="HC16" s="721"/>
      <c r="HD16" s="721"/>
      <c r="HE16" s="721"/>
      <c r="HF16" s="721"/>
      <c r="HG16" s="721"/>
      <c r="HH16" s="721"/>
      <c r="HI16" s="721"/>
      <c r="HJ16" s="721"/>
      <c r="HK16" s="721"/>
      <c r="HL16" s="721"/>
      <c r="HM16" s="721"/>
      <c r="HN16" s="721"/>
      <c r="HO16" s="721"/>
      <c r="HP16" s="721"/>
      <c r="HQ16" s="721"/>
      <c r="HR16" s="721"/>
      <c r="HS16" s="721"/>
      <c r="HT16" s="721"/>
      <c r="HU16" s="721"/>
      <c r="HV16" s="721"/>
      <c r="HW16" s="721"/>
      <c r="HX16" s="721"/>
      <c r="HY16" s="721"/>
      <c r="HZ16" s="721"/>
      <c r="IA16" s="721"/>
      <c r="IB16" s="721"/>
      <c r="IC16" s="721"/>
      <c r="ID16" s="721"/>
      <c r="IE16" s="721"/>
      <c r="IF16" s="721"/>
      <c r="IG16" s="721"/>
      <c r="IH16" s="721"/>
    </row>
    <row r="17" hidden="1" outlineLevel="1">
      <c r="A17" s="598"/>
      <c r="B17" s="614" t="str">
        <f t="shared" si="2"/>
        <v/>
      </c>
      <c r="C17" s="705"/>
      <c r="D17" s="722"/>
      <c r="E17" s="692"/>
      <c r="F17" s="659" t="str">
        <f>IFERROR(__xludf.DUMMYFUNCTION("IFERROR(IF(H17 = """", """",
    SWITCH($W$37,
        ""Total"", "" "" &amp; FORMAT_NUMBER(H17),
        ""Daily"", LET(Lab_name, IF(REGEXMATCH(E17, ""Mastery""), ""Card Mastery"", E17),
            Level, IF(ISBETWEEN(C17, VLOOKUP(E17, $AD:$AG, 2, FALSE), V"&amp;"LOOKUP(E17, $AD:$AG, 4, FALSE), TRUE, FALSE), C17, VLOOKUP(E17, $AD:$AG, 2, FALSE)),
            IF(LABCOST_SINGLE_ADJUSTED(Lab_name, Level + 1) = 0, ""0 (Max)"",
            "" "" &amp; FORMAT_NUMBER(            
                    LABCOST_SINGLE_ADJUSTED(L"&amp;"ab_name, Level + 1) / 
                    (LABDURATION_SINGLE_ADJUSTED(Lab_name, Level + 1) /
                    (1 * REGEXEXTRACT(F$2, ""[\d.-]+"")))))),
        ""Gem Rush"", LET(
            Labspeed, IF(E17=""Labs Speed"", 1+'Master Sheet'!$BK$5, LA"&amp;"B_SPEED_TOTAL()),
            Start_Level, IF(C17 = """",
                VLOOKUP(E17, $AD:$AG, 2, false),
                IF(ISBETWEEN(C17, VALUE(VLOOKUP(E17, $AD:$AG, 2, false)), VALUE(VLOOKUP(E17, $AD:$AG, 4, false))), C17, """")),
            End_Leve"&amp;"l, IF(OR(D17 = """", NOT(ISBETWEEN(D17, VALUE(VLOOKUP(E17, $AD:$AG, 2, false)), VALUE(VLOOKUP(E17, $AD:$AG, 4, false)),0,1))),
                SWITCH($W$38,
                    ""Max"", VLOOKUP(E17, $AD:$AG, 4, false),
                    ""Target"", IF(V"&amp;"LOOKUP(E17, $AD:$AG, 3, false) &lt;&gt; """", VLOOKUP(E17, $AD:$AG, 3, false), VLOOKUP(E17, $AD:$AG, 4, false))),
                    D17),
            SUM(ARRAYFORMULA(TIME_TO_RUSH_GEMS( OFFSET(DVT_Laboratory!$A$3, Start_Level , IF(ISNUMBER(SEARCH(""mastery"","&amp;" E17)), MATCH(""Card Mastery"", DVT_Laboratory!$A$1:$LO$1, 0), MATCH(E17, DVT_Laboratory!$A$1:$LO$1, 0)) - 1, End_Level - Start_Level, 1) / Labspeed)))))))"),"")</f>
        <v/>
      </c>
      <c r="G17" s="723" t="str">
        <f t="shared" si="8"/>
        <v/>
      </c>
      <c r="H17" s="620" t="str">
        <f>IFERROR(__xludf.DUMMYFUNCTION("IFS(E17 = """", """", 
    VLOOKUP(E17, $AD:$AG, 2, false) = VLOOKUP(E17, $AD:$AG, 4, false), ""MAX Level"",
    AND(VLOOKUP(E17, $AD:$AG, 3, false) &lt;&gt; """", VLOOKUP(E17, $AD:$AG, 2, false) = VLOOKUP(E17, $AD:$AG, 3, false)), ""At Target"",
    TRUE,
    "&amp;"IFERROR(LET(Start_Level, IF(C17 = """",
            VLOOKUP(E17, $AD:$AG, 2, false),
            IF(ISBETWEEN(C17, VALUE(VLOOKUP(E17, $AD:$AG, 2, false)), VALUE(VLOOKUP(E17, $AD:$AG, 4, false))), C17, """")),
        End_Level, IF(OR(D17 = """", NOT(ISBET"&amp;"WEEN(D17, VALUE(VLOOKUP(E17, $AD:$AG, 2, false)), VALUE(VLOOKUP(E17, $AD:$AG, 4, false)),0,1))),
            SWITCH($W$38,
                ""Max"", VLOOKUP(E17, $AD:$AG, 4, false),
                ""Target"", IF(VLOOKUP(E17, $AD:$AG, 3, false) &lt;&gt; """", VL"&amp;"OOKUP(E17, $AD:$AG, 3, false), VLOOKUP(E17, $AD:$AG, 4, false))),
            D17),
        SUM(OFFSET(DVT_Laboratory!$A$3, Start_Level , IF(ISNUMBER(SEARCH(""mastery"", E17)), MATCH(""Card Mastery"", DVT_Laboratory!$A$1:$MY$1, 0), MATCH(E17, DVT_Laborato"&amp;"ry!$A$1:$MY$1, 0)), End_Level - Start_Level, 1)) * (1-LAB_COIN_DISCOUNT())), ""Levels Error!""))"),"")</f>
        <v/>
      </c>
      <c r="I17" s="621" t="str">
        <f>IFERROR(__xludf.DUMMYFUNCTION("IFS(E17 = """", """", 
    VLOOKUP(E17, $AD:$AG, 2, false) = VLOOKUP(E17, $AD:$AG, 4, false), ""MAX Level"",
    AND(VLOOKUP(E17, $AD:$AG, 3, false) &lt;&gt; """", VLOOKUP(E17, $AD:$AG, 2, false) = VLOOKUP(E17, $AD:$AG, 3, false)), ""At Target"",
    TRUE,
    "&amp;"IFERROR(LET(
        Labspeed, IF(E17=""Labs Speed"", 1+'Master Sheet'!$BK$5, LAB_SPEED_TOTAL()),
        Start_Level, IF(C17 = """",
            VLOOKUP(E17, $AD:$AG, 2, false),
            IF(ISBETWEEN(C17, VALUE(VLOOKUP(E17, $AD:$AG, 2, false)), VALUE("&amp;"VLOOKUP(E17, $AD:$AG, 4, false))), C17, """")),
        End_Level, IF(OR(D17 = """", NOT(ISBETWEEN(D17, VALUE(VLOOKUP(E17, $AD:$AG, 2, false)), VALUE(VLOOKUP(E17, $AD:$AG, 4, false)),0,1))),
            SWITCH($W$38,
                ""Max"", VLOOKUP(E17, "&amp;"$AD:$AG, 4, false),
                ""Target"", IF(VLOOKUP(E17, $AD:$AG, 3, false) &lt;&gt; """", VLOOKUP(E17, $AD:$AG, 3, false), VLOOKUP(E17, $AD:$AG, 4, false))),
            D17),
        SUM(OFFSET(DVT_Laboratory!$A$3, Start_Level , IF(ISNUMBER(SEARCH(""ma"&amp;"stery"", E17)), MATCH(""Card Mastery"", DVT_Laboratory!$A$1:$MY$1, 0), MATCH(E17, DVT_Laboratory!$A$1:$MY$1, 0)) - 1, End_Level - Start_Level, 1)) /
                (1 * REGEXEXTRACT(F$2, ""[\d.-]+"")) /
                Labspeed), ""Levels Error!""))"),"")</f>
        <v/>
      </c>
      <c r="J17" s="640" t="str">
        <f t="shared" si="4"/>
        <v/>
      </c>
      <c r="K17" s="699"/>
      <c r="L17" s="700"/>
      <c r="M17" s="709"/>
      <c r="N17" s="707" t="str">
        <f>IFERROR(__xludf.DUMMYFUNCTION("IFERROR(IF(P17 = """", """",
    SWITCH($W$37,
        ""Total"", "" "" &amp; FORMAT_NUMBER(P17),
        ""Daily"", LET(Lab_name, IF(REGEXMATCH(M17, ""Mastery""), ""Card Mastery"", M17),
            Level, IF(ISBETWEEN(K17, VLOOKUP(M17, $AD:$AG, 2, FALSE), V"&amp;"LOOKUP(M17, $AD:$AG, 4, FALSE), TRUE, FALSE), K17, VLOOKUP(M17, $AD:$AG, 2, FALSE)),
            IF(LABCOST_SINGLE_ADJUSTED(Lab_name, Level + 1) = 0, ""0 (Max)"",
            "" "" &amp; FORMAT_NUMBER(            
                    LABCOST_SINGLE_ADJUSTED(L"&amp;"ab_name, Level + 1) / 
                    (LABDURATION_SINGLE_ADJUSTED(Lab_name, Level + 1) /
                    (1 * REGEXEXTRACT(N$2, ""[\d.-]+"")))))),
        ""Gem Rush"", LET(
            Labspeed, IF(M17=""Labs Speed"", 1+'Master Sheet'!$BK$5, LA"&amp;"B_SPEED_TOTAL()),
            Start_Level, IF(K17 = """",
                VLOOKUP(M17, $AD:$AG, 2, false),
                IF(ISBETWEEN(K17, VALUE(VLOOKUP(M17, $AD:$AG, 2, false)), VALUE(VLOOKUP(M17, $AD:$AG, 4, false))), K17, """")),
            End_Leve"&amp;"l, IF(OR(L17 = """", NOT(ISBETWEEN(L17, VALUE(VLOOKUP(M17, $AD:$AG, 2, false)), VALUE(VLOOKUP(M17, $AD:$AG, 4, false)),0,1))),
                SWITCH($W$38,
                    ""Max"", VLOOKUP(M17, $AD:$AG, 4, false),
                    ""Target"", IF(V"&amp;"LOOKUP(M17, $AD:$AG, 3, false) &lt;&gt; """", VLOOKUP(M17, $AD:$AG, 3, false), VLOOKUP(M17, $AD:$AG, 4, false))),
                    L17),
            SUM(ARRAYFORMULA(TIME_TO_RUSH_GEMS( OFFSET(DVT_Laboratory!$A$3, Start_Level , IF(ISNUMBER(SEARCH(""mastery"","&amp;" M17)), MATCH(""Card Mastery"", DVT_Laboratory!$A$1:$LO$1, 0), MATCH(M17, DVT_Laboratory!$A$1:$LO$1, 0)) - 1, End_Level - Start_Level, 1) / Labspeed)))))))"),"")</f>
        <v/>
      </c>
      <c r="O17" s="724" t="str">
        <f t="shared" si="9"/>
        <v/>
      </c>
      <c r="P17" s="625" t="str">
        <f>IFERROR(__xludf.DUMMYFUNCTION("IFS(M17 = """", """", 
    VLOOKUP(M17, $AD:$AG, 2, false) = VLOOKUP(M17, $AD:$AG, 4, false), ""MAX Level"",
    AND(VLOOKUP(M17, $AD:$AG, 3, false) &lt;&gt; """", VLOOKUP(M17, $AD:$AG, 2, false) = VLOOKUP(M17, $AD:$AG, 3, false)), ""At Target"",
    TRUE,
    "&amp;"IFERROR(LET(Start_Level, IF(K17 = """",
            VLOOKUP(M17, $AD:$AG, 2, false),
            IF(ISBETWEEN(K17, VALUE(VLOOKUP(M17, $AD:$AG, 2, false)), VALUE(VLOOKUP(M17, $AD:$AG, 4, false))), K17, """")),
        End_Level, IF(OR(L17 = """", NOT(ISBET"&amp;"WEEN(L17, VALUE(VLOOKUP(M17, $AD:$AG, 2, false)), VALUE(VLOOKUP(M17, $AD:$AG, 4, false)),0,1))),
            SWITCH($W$38,
                ""Max"", VLOOKUP(M17, $AD:$AG, 4, false),
                ""Target"", IF(VLOOKUP(M17, $AD:$AG, 3, false) &lt;&gt; """", VL"&amp;"OOKUP(M17, $AD:$AG, 3, false), VLOOKUP(M17, $AD:$AG, 4, false))),
            L17),
        SUM(OFFSET(DVT_Laboratory!$A$3, Start_Level , IF(ISNUMBER(SEARCH(""mastery"", M17)), MATCH(""Card Mastery"", DVT_Laboratory!$A$1:$MY$1, 0), MATCH(M17, DVT_Laborato"&amp;"ry!$A$1:$MY$1, 0)), End_Level - Start_Level, 1)) * (1-LAB_COIN_DISCOUNT())), ""Levels Error!""))"),"")</f>
        <v/>
      </c>
      <c r="Q17" s="626" t="str">
        <f>IFERROR(__xludf.DUMMYFUNCTION("IFS(M17 = """", """", 
    VLOOKUP(M17, $AD:$AG, 2, false) = VLOOKUP(M17, $AD:$AG, 4, false), ""MAX Level"",
    AND(VLOOKUP(M17, $AD:$AG, 3, false) &lt;&gt; """", VLOOKUP(M17, $AD:$AG, 2, false) = VLOOKUP(M17, $AD:$AG, 3, false)), ""At Target"",
    TRUE,
    "&amp;"IFERROR(LET(
        Labspeed, IF(M17=""Labs Speed"", 1+'Master Sheet'!$BK$5, LAB_SPEED_TOTAL()),
        Start_Level, IF(K17 = """",
            VLOOKUP(M17, $AD:$AG, 2, false),
            IF(ISBETWEEN(K17, VALUE(VLOOKUP(M17, $AD:$AG, 2, false)), VALUE("&amp;"VLOOKUP(M17, $AD:$AG, 4, false))), K17, """")),
        End_Level, IF(OR(L17 = """", NOT(ISBETWEEN(L17, VALUE(VLOOKUP(M17, $AD:$AG, 2, false)), VALUE(VLOOKUP(M17, $AD:$AG, 4, false)),0,1))),
            SWITCH($W$38,
                ""Max"", VLOOKUP(M17, "&amp;"$AD:$AG, 4, false),
                ""Target"", IF(VLOOKUP(M17, $AD:$AG, 3, false) &lt;&gt; """", VLOOKUP(M17, $AD:$AG, 3, false), VLOOKUP(M17, $AD:$AG, 4, false))),
            L17),
        SUM(OFFSET(DVT_Laboratory!$A$3, Start_Level , IF(ISNUMBER(SEARCH(""ma"&amp;"stery"", M17)), MATCH(""Card Mastery"", DVT_Laboratory!$A$1:$MY$1, 0), MATCH(M17, DVT_Laboratory!$A$1:$MY$1, 0)) - 1, End_Level - Start_Level, 1)) /
                (1 * REGEXEXTRACT(N$2, ""[\d.-]+"")) /
                Labspeed), ""Levels Error!""))"),"")</f>
        <v/>
      </c>
      <c r="R17" s="642" t="str">
        <f t="shared" si="6"/>
        <v/>
      </c>
      <c r="S17" s="696"/>
      <c r="T17" s="687"/>
      <c r="U17" s="715"/>
      <c r="V17" s="710" t="str">
        <f>IFERROR(__xludf.DUMMYFUNCTION("IFERROR(IF(X17 = """", """",
    SWITCH($W$37,
        ""Total"", "" "" &amp; FORMAT_NUMBER(X17),
        ""Daily"", LET(Lab_name, IF(REGEXMATCH(U17, ""Mastery""), ""Card Mastery"", U17),
            Level, IF(ISBETWEEN(S17, VLOOKUP(U17, $AD:$AG, 2, FALSE), V"&amp;"LOOKUP(U17, $AD:$AG, 4, FALSE), TRUE, FALSE), S17, VLOOKUP(U17, $AD:$AG, 2, FALSE)),
            IF(LABCOST_SINGLE_ADJUSTED(Lab_name, Level + 1) = 0, ""0 (Max)"",
            "" "" &amp; FORMAT_NUMBER(            
                    LABCOST_SINGLE_ADJUSTED(L"&amp;"ab_name, Level + 1) / 
                    (LABDURATION_SINGLE_ADJUSTED(Lab_name, Level + 1) /
                    (1 * REGEXEXTRACT(V$2, ""[\d.-]+"")))))),
        ""Gem Rush"", LET(
            Labspeed, IF(U17=""Labs Speed"", 1+'Master Sheet'!$BK$5, LA"&amp;"B_SPEED_TOTAL()),
            Start_Level, IF(S17 = """",
                VLOOKUP(U17, $AD:$AG, 2, false),
                IF(ISBETWEEN(S17, VALUE(VLOOKUP(U17, $AD:$AG, 2, false)), VALUE(VLOOKUP(U17, $AD:$AG, 4, false))), S17, """")),
            End_Leve"&amp;"l, IF(OR(T17 = """", NOT(ISBETWEEN(T17, VALUE(VLOOKUP(U17, $AD:$AG, 2, false)), VALUE(VLOOKUP(U17, $AD:$AG, 4, false)),0,1))),
                SWITCH($W$38,
                    ""Max"", VLOOKUP(U17, $AD:$AG, 4, false),
                    ""Target"", IF(V"&amp;"LOOKUP(U17, $AD:$AG, 3, false) &lt;&gt; """", VLOOKUP(U17, $AD:$AG, 3, false), VLOOKUP(U17, $AD:$AG, 4, false))),
                    T17),
            SUM(ARRAYFORMULA(TIME_TO_RUSH_GEMS( OFFSET(DVT_Laboratory!$A$3, Start_Level , IF(ISNUMBER(SEARCH(""mastery"","&amp;" U17)), MATCH(""Card Mastery"", DVT_Laboratory!$A$1:$LO$1, 0), MATCH(U17, DVT_Laboratory!$A$1:$LO$1, 0)) - 1, End_Level - Start_Level, 1) / Labspeed)))))))"),"")</f>
        <v/>
      </c>
      <c r="W17" s="725" t="str">
        <f t="shared" si="10"/>
        <v/>
      </c>
      <c r="X17" s="630" t="str">
        <f>IFERROR(__xludf.DUMMYFUNCTION("IFS(U17 = """", """", 
    VLOOKUP(U17, $AD:$AG, 2, false) = VLOOKUP(U17, $AD:$AG, 4, false), ""MAX Level"",
    AND(VLOOKUP(U17, $AD:$AG, 3, false) &lt;&gt; """", VLOOKUP(U17, $AD:$AG, 2, false) = VLOOKUP(U17, $AD:$AG, 3, false)), ""At Target"",
    TRUE,
    "&amp;"IFERROR(LET(Start_Level, IF(S17 = """",
            VLOOKUP(U17, $AD:$AG, 2, false),
            IF(ISBETWEEN(S17, VALUE(VLOOKUP(U17, $AD:$AG, 2, false)), VALUE(VLOOKUP(U17, $AD:$AG, 4, false))), S17, """")),
        End_Level, IF(OR(T17 = """", NOT(ISBET"&amp;"WEEN(T17, VALUE(VLOOKUP(U17, $AD:$AG, 2, false)), VALUE(VLOOKUP(U17, $AD:$AG, 4, false)),0,1))),
            SWITCH($W$38,
                ""Max"", VLOOKUP(U17, $AD:$AG, 4, false),
                ""Target"", IF(VLOOKUP(U17, $AD:$AG, 3, false) &lt;&gt; """", VL"&amp;"OOKUP(U17, $AD:$AG, 3, false), VLOOKUP(U17, $AD:$AG, 4, false))),
            T17),
        SUM(OFFSET(DVT_Laboratory!$A$3, Start_Level , IF(ISNUMBER(SEARCH(""mastery"", U17)), MATCH(""Card Mastery"", DVT_Laboratory!$A$1:$MY$1, 0), MATCH(U17, DVT_Laborato"&amp;"ry!$A$1:$MY$1, 0)), End_Level - Start_Level, 1)) * (1-LAB_COIN_DISCOUNT())), ""Levels Error!""))"),"")</f>
        <v/>
      </c>
      <c r="Y17" s="631" t="str">
        <f>IFERROR(__xludf.DUMMYFUNCTION("IFS(U17 = """", """", 
    VLOOKUP(U17, $AD:$AG, 2, false) = VLOOKUP(U17, $AD:$AG, 4, false), ""MAX Level"",
    AND(VLOOKUP(U17, $AD:$AG, 3, false) &lt;&gt; """", VLOOKUP(U17, $AD:$AG, 2, false) = VLOOKUP(U17, $AD:$AG, 3, false)), ""At Target"",
    TRUE,
    "&amp;"IFERROR(LET(
        Labspeed, IF(U17=""Labs Speed"", 1+'Master Sheet'!$BK$5, LAB_SPEED_TOTAL()),
        Start_Level, IF(S17 = """",
            VLOOKUP(U17, $AD:$AG, 2, false),
            IF(ISBETWEEN(S17, VALUE(VLOOKUP(U17, $AD:$AG, 2, false)), VALUE("&amp;"VLOOKUP(U17, $AD:$AG, 4, false))), S17, """")),
        End_Level, IF(OR(T17 = """", NOT(ISBETWEEN(T17, VALUE(VLOOKUP(U17, $AD:$AG, 2, false)), VALUE(VLOOKUP(U17, $AD:$AG, 4, false)),0,1))),
            SWITCH($W$38,
                ""Max"", VLOOKUP(U17, "&amp;"$AD:$AG, 4, false),
                ""Target"", IF(VLOOKUP(U17, $AD:$AG, 3, false) &lt;&gt; """", VLOOKUP(U17, $AD:$AG, 3, false), VLOOKUP(U17, $AD:$AG, 4, false))),
            T17),
        SUM(OFFSET(DVT_Laboratory!$A$3, Start_Level , IF(ISNUMBER(SEARCH(""ma"&amp;"stery"", U17)), MATCH(""Card Mastery"", DVT_Laboratory!$A$1:$MY$1, 0), MATCH(U17, DVT_Laboratory!$A$1:$MY$1, 0)) - 1, End_Level - Start_Level, 1)) /
                (1 * REGEXEXTRACT(V$2, ""[\d.-]+"")) /
                Labspeed), ""Levels Error!""))"),"")</f>
        <v/>
      </c>
      <c r="Z17" s="598"/>
      <c r="AA17" s="245"/>
      <c r="AB17" s="728" t="s">
        <v>435</v>
      </c>
      <c r="AC17" s="613" t="str">
        <f>IFERROR(__xludf.DUMMYFUNCTION("""COMPUTED_VALUE"""),"Auto Pick Perks")</f>
        <v>Auto Pick Perks</v>
      </c>
      <c r="AD17" s="613" t="s">
        <v>186</v>
      </c>
      <c r="AE17" s="613">
        <v>1.0</v>
      </c>
      <c r="AF17" s="613"/>
      <c r="AG17" s="613">
        <v>1.0</v>
      </c>
      <c r="AH17" s="634" t="str">
        <f t="shared" si="1"/>
        <v/>
      </c>
      <c r="AI17" s="613"/>
      <c r="AJ17" s="613"/>
      <c r="AK17" s="613"/>
      <c r="AL17" s="613"/>
      <c r="AM17" s="613"/>
      <c r="AN17" s="613"/>
      <c r="AO17" s="613"/>
      <c r="AP17" s="613"/>
      <c r="AQ17" s="613"/>
      <c r="AR17" s="613"/>
      <c r="AS17" s="613"/>
      <c r="AT17" s="613"/>
      <c r="AU17" s="613"/>
      <c r="AV17" s="613"/>
      <c r="AW17" s="613"/>
      <c r="AX17" s="613"/>
      <c r="AY17" s="613"/>
      <c r="AZ17" s="613"/>
      <c r="BA17" s="613"/>
      <c r="BB17" s="613"/>
      <c r="BC17" s="613"/>
      <c r="BD17" s="613"/>
      <c r="BE17" s="613"/>
      <c r="BF17" s="613"/>
      <c r="BG17" s="613"/>
      <c r="BH17" s="613"/>
      <c r="BI17" s="613"/>
      <c r="BJ17" s="613"/>
      <c r="BK17" s="613"/>
      <c r="BL17" s="613"/>
      <c r="BM17" s="613"/>
      <c r="BN17" s="613"/>
      <c r="BO17" s="613"/>
      <c r="BP17" s="613"/>
      <c r="BQ17" s="613"/>
      <c r="BR17" s="613"/>
      <c r="BS17" s="613"/>
      <c r="BT17" s="613"/>
      <c r="BU17" s="613"/>
      <c r="BV17" s="613"/>
      <c r="BW17" s="613"/>
      <c r="BX17" s="613"/>
      <c r="BY17" s="613"/>
      <c r="BZ17" s="613"/>
      <c r="CA17" s="613"/>
      <c r="CB17" s="613"/>
      <c r="CC17" s="613"/>
      <c r="CD17" s="613"/>
      <c r="CE17" s="613"/>
      <c r="CF17" s="613"/>
      <c r="CG17" s="613"/>
      <c r="CH17" s="613"/>
      <c r="CI17" s="613"/>
      <c r="CJ17" s="613"/>
      <c r="CK17" s="613"/>
      <c r="CL17" s="613"/>
      <c r="CM17" s="613"/>
      <c r="CN17" s="613"/>
      <c r="CO17" s="613"/>
      <c r="CP17" s="613"/>
      <c r="CQ17" s="613"/>
      <c r="CR17" s="613"/>
      <c r="CS17" s="613"/>
      <c r="CT17" s="613"/>
      <c r="CU17" s="613"/>
      <c r="CV17" s="613"/>
      <c r="CW17" s="613"/>
      <c r="CX17" s="613"/>
      <c r="CY17" s="613"/>
      <c r="CZ17" s="613"/>
      <c r="DA17" s="613"/>
      <c r="DB17" s="613"/>
      <c r="DC17" s="613"/>
      <c r="DD17" s="613"/>
      <c r="DE17" s="613"/>
      <c r="DF17" s="613"/>
      <c r="DG17" s="613"/>
      <c r="DH17" s="613"/>
      <c r="DI17" s="613"/>
      <c r="DJ17" s="613"/>
      <c r="DK17" s="613"/>
      <c r="DL17" s="613"/>
      <c r="DM17" s="613"/>
      <c r="DN17" s="613"/>
      <c r="DO17" s="613"/>
      <c r="DP17" s="613"/>
      <c r="DQ17" s="613"/>
      <c r="DR17" s="613"/>
      <c r="DS17" s="613"/>
      <c r="DT17" s="613"/>
      <c r="DU17" s="613"/>
      <c r="DV17" s="613"/>
      <c r="DW17" s="613"/>
      <c r="DX17" s="613"/>
      <c r="DY17" s="613"/>
      <c r="DZ17" s="613"/>
      <c r="EA17" s="613"/>
      <c r="EB17" s="613"/>
      <c r="EC17" s="613"/>
      <c r="ED17" s="613"/>
      <c r="EE17" s="613"/>
      <c r="EF17" s="613"/>
      <c r="EG17" s="613"/>
      <c r="EH17" s="613"/>
      <c r="EI17" s="613"/>
      <c r="EJ17" s="613"/>
      <c r="EK17" s="613"/>
      <c r="EL17" s="613"/>
      <c r="EM17" s="613"/>
      <c r="EN17" s="613"/>
      <c r="EO17" s="613"/>
      <c r="EP17" s="613"/>
      <c r="EQ17" s="613"/>
      <c r="ER17" s="613"/>
      <c r="ES17" s="613"/>
      <c r="ET17" s="613"/>
      <c r="EU17" s="613"/>
      <c r="EV17" s="613"/>
      <c r="EW17" s="613"/>
      <c r="EX17" s="613"/>
      <c r="EY17" s="613"/>
      <c r="EZ17" s="613"/>
      <c r="FA17" s="613"/>
      <c r="FB17" s="613"/>
      <c r="FC17" s="613"/>
      <c r="FD17" s="613"/>
      <c r="FE17" s="613"/>
      <c r="FF17" s="613"/>
      <c r="FG17" s="613"/>
      <c r="FH17" s="613"/>
      <c r="FI17" s="613"/>
      <c r="FJ17" s="613"/>
      <c r="FK17" s="613"/>
      <c r="FL17" s="613"/>
      <c r="FM17" s="613"/>
      <c r="FN17" s="613"/>
      <c r="FO17" s="613"/>
      <c r="FP17" s="613"/>
      <c r="FQ17" s="613"/>
      <c r="FR17" s="613"/>
      <c r="FS17" s="613"/>
      <c r="FT17" s="613"/>
      <c r="FU17" s="613"/>
      <c r="FV17" s="613"/>
      <c r="FW17" s="613"/>
      <c r="FX17" s="613"/>
      <c r="FY17" s="613"/>
      <c r="FZ17" s="613"/>
      <c r="GA17" s="613"/>
      <c r="GB17" s="613"/>
      <c r="GC17" s="613"/>
      <c r="GD17" s="613"/>
      <c r="GE17" s="613"/>
      <c r="GF17" s="613"/>
      <c r="GG17" s="613"/>
      <c r="GH17" s="613"/>
      <c r="GI17" s="613"/>
      <c r="GJ17" s="613"/>
      <c r="GK17" s="613"/>
      <c r="GL17" s="613"/>
      <c r="GM17" s="613"/>
      <c r="GN17" s="613"/>
      <c r="GO17" s="613"/>
      <c r="GP17" s="613"/>
      <c r="GQ17" s="613"/>
      <c r="GR17" s="613"/>
      <c r="GS17" s="613"/>
      <c r="GT17" s="613"/>
      <c r="GU17" s="613"/>
      <c r="GV17" s="613"/>
      <c r="GW17" s="613"/>
      <c r="GX17" s="613"/>
      <c r="GY17" s="613"/>
      <c r="GZ17" s="613"/>
      <c r="HA17" s="613"/>
      <c r="HB17" s="613"/>
      <c r="HC17" s="613"/>
      <c r="HD17" s="613"/>
      <c r="HE17" s="613"/>
      <c r="HF17" s="613"/>
      <c r="HG17" s="613"/>
      <c r="HH17" s="613"/>
      <c r="HI17" s="613"/>
      <c r="HJ17" s="613"/>
      <c r="HK17" s="613"/>
      <c r="HL17" s="613"/>
      <c r="HM17" s="613"/>
      <c r="HN17" s="613"/>
      <c r="HO17" s="613"/>
      <c r="HP17" s="613"/>
      <c r="HQ17" s="613"/>
      <c r="HR17" s="613"/>
      <c r="HS17" s="613"/>
      <c r="HT17" s="613"/>
      <c r="HU17" s="613"/>
      <c r="HV17" s="613"/>
      <c r="HW17" s="613"/>
      <c r="HX17" s="613"/>
      <c r="HY17" s="613"/>
      <c r="HZ17" s="613"/>
      <c r="IA17" s="613"/>
      <c r="IB17" s="613"/>
      <c r="IC17" s="613"/>
      <c r="ID17" s="613"/>
      <c r="IE17" s="613"/>
      <c r="IF17" s="613"/>
      <c r="IG17" s="613"/>
      <c r="IH17" s="613"/>
    </row>
    <row r="18" hidden="1" outlineLevel="1">
      <c r="A18" s="598"/>
      <c r="B18" s="614" t="str">
        <f t="shared" si="2"/>
        <v/>
      </c>
      <c r="C18" s="705"/>
      <c r="D18" s="722"/>
      <c r="E18" s="692"/>
      <c r="F18" s="659" t="str">
        <f>IFERROR(__xludf.DUMMYFUNCTION("IFERROR(IF(H18 = """", """",
    SWITCH($W$37,
        ""Total"", "" "" &amp; FORMAT_NUMBER(H18),
        ""Daily"", LET(Lab_name, IF(REGEXMATCH(E18, ""Mastery""), ""Card Mastery"", E18),
            Level, IF(ISBETWEEN(C18, VLOOKUP(E18, $AD:$AG, 2, FALSE), V"&amp;"LOOKUP(E18, $AD:$AG, 4, FALSE), TRUE, FALSE), C18, VLOOKUP(E18, $AD:$AG, 2, FALSE)),
            IF(LABCOST_SINGLE_ADJUSTED(Lab_name, Level + 1) = 0, ""0 (Max)"",
            "" "" &amp; FORMAT_NUMBER(            
                    LABCOST_SINGLE_ADJUSTED(L"&amp;"ab_name, Level + 1) / 
                    (LABDURATION_SINGLE_ADJUSTED(Lab_name, Level + 1) /
                    (1 * REGEXEXTRACT(F$2, ""[\d.-]+"")))))),
        ""Gem Rush"", LET(
            Labspeed, IF(E18=""Labs Speed"", 1+'Master Sheet'!$BK$5, LA"&amp;"B_SPEED_TOTAL()),
            Start_Level, IF(C18 = """",
                VLOOKUP(E18, $AD:$AG, 2, false),
                IF(ISBETWEEN(C18, VALUE(VLOOKUP(E18, $AD:$AG, 2, false)), VALUE(VLOOKUP(E18, $AD:$AG, 4, false))), C18, """")),
            End_Leve"&amp;"l, IF(OR(D18 = """", NOT(ISBETWEEN(D18, VALUE(VLOOKUP(E18, $AD:$AG, 2, false)), VALUE(VLOOKUP(E18, $AD:$AG, 4, false)),0,1))),
                SWITCH($W$38,
                    ""Max"", VLOOKUP(E18, $AD:$AG, 4, false),
                    ""Target"", IF(V"&amp;"LOOKUP(E18, $AD:$AG, 3, false) &lt;&gt; """", VLOOKUP(E18, $AD:$AG, 3, false), VLOOKUP(E18, $AD:$AG, 4, false))),
                    D18),
            SUM(ARRAYFORMULA(TIME_TO_RUSH_GEMS( OFFSET(DVT_Laboratory!$A$3, Start_Level , IF(ISNUMBER(SEARCH(""mastery"","&amp;" E18)), MATCH(""Card Mastery"", DVT_Laboratory!$A$1:$LO$1, 0), MATCH(E18, DVT_Laboratory!$A$1:$LO$1, 0)) - 1, End_Level - Start_Level, 1) / Labspeed)))))))"),"")</f>
        <v/>
      </c>
      <c r="G18" s="723" t="str">
        <f t="shared" si="8"/>
        <v/>
      </c>
      <c r="H18" s="620" t="str">
        <f>IFERROR(__xludf.DUMMYFUNCTION("IFS(E18 = """", """", 
    VLOOKUP(E18, $AD:$AG, 2, false) = VLOOKUP(E18, $AD:$AG, 4, false), ""MAX Level"",
    AND(VLOOKUP(E18, $AD:$AG, 3, false) &lt;&gt; """", VLOOKUP(E18, $AD:$AG, 2, false) = VLOOKUP(E18, $AD:$AG, 3, false)), ""At Target"",
    TRUE,
    "&amp;"IFERROR(LET(Start_Level, IF(C18 = """",
            VLOOKUP(E18, $AD:$AG, 2, false),
            IF(ISBETWEEN(C18, VALUE(VLOOKUP(E18, $AD:$AG, 2, false)), VALUE(VLOOKUP(E18, $AD:$AG, 4, false))), C18, """")),
        End_Level, IF(OR(D18 = """", NOT(ISBET"&amp;"WEEN(D18, VALUE(VLOOKUP(E18, $AD:$AG, 2, false)), VALUE(VLOOKUP(E18, $AD:$AG, 4, false)),0,1))),
            SWITCH($W$38,
                ""Max"", VLOOKUP(E18, $AD:$AG, 4, false),
                ""Target"", IF(VLOOKUP(E18, $AD:$AG, 3, false) &lt;&gt; """", VL"&amp;"OOKUP(E18, $AD:$AG, 3, false), VLOOKUP(E18, $AD:$AG, 4, false))),
            D18),
        SUM(OFFSET(DVT_Laboratory!$A$3, Start_Level , IF(ISNUMBER(SEARCH(""mastery"", E18)), MATCH(""Card Mastery"", DVT_Laboratory!$A$1:$MY$1, 0), MATCH(E18, DVT_Laborato"&amp;"ry!$A$1:$MY$1, 0)), End_Level - Start_Level, 1)) * (1-LAB_COIN_DISCOUNT())), ""Levels Error!""))"),"")</f>
        <v/>
      </c>
      <c r="I18" s="621" t="str">
        <f>IFERROR(__xludf.DUMMYFUNCTION("IFS(E18 = """", """", 
    VLOOKUP(E18, $AD:$AG, 2, false) = VLOOKUP(E18, $AD:$AG, 4, false), ""MAX Level"",
    AND(VLOOKUP(E18, $AD:$AG, 3, false) &lt;&gt; """", VLOOKUP(E18, $AD:$AG, 2, false) = VLOOKUP(E18, $AD:$AG, 3, false)), ""At Target"",
    TRUE,
    "&amp;"IFERROR(LET(
        Labspeed, IF(E18=""Labs Speed"", 1+'Master Sheet'!$BK$5, LAB_SPEED_TOTAL()),
        Start_Level, IF(C18 = """",
            VLOOKUP(E18, $AD:$AG, 2, false),
            IF(ISBETWEEN(C18, VALUE(VLOOKUP(E18, $AD:$AG, 2, false)), VALUE("&amp;"VLOOKUP(E18, $AD:$AG, 4, false))), C18, """")),
        End_Level, IF(OR(D18 = """", NOT(ISBETWEEN(D18, VALUE(VLOOKUP(E18, $AD:$AG, 2, false)), VALUE(VLOOKUP(E18, $AD:$AG, 4, false)),0,1))),
            SWITCH($W$38,
                ""Max"", VLOOKUP(E18, "&amp;"$AD:$AG, 4, false),
                ""Target"", IF(VLOOKUP(E18, $AD:$AG, 3, false) &lt;&gt; """", VLOOKUP(E18, $AD:$AG, 3, false), VLOOKUP(E18, $AD:$AG, 4, false))),
            D18),
        SUM(OFFSET(DVT_Laboratory!$A$3, Start_Level , IF(ISNUMBER(SEARCH(""ma"&amp;"stery"", E18)), MATCH(""Card Mastery"", DVT_Laboratory!$A$1:$MY$1, 0), MATCH(E18, DVT_Laboratory!$A$1:$MY$1, 0)) - 1, End_Level - Start_Level, 1)) /
                (1 * REGEXEXTRACT(F$2, ""[\d.-]+"")) /
                Labspeed), ""Levels Error!""))"),"")</f>
        <v/>
      </c>
      <c r="J18" s="640" t="str">
        <f t="shared" si="4"/>
        <v/>
      </c>
      <c r="K18" s="699"/>
      <c r="L18" s="700"/>
      <c r="M18" s="709"/>
      <c r="N18" s="707" t="str">
        <f>IFERROR(__xludf.DUMMYFUNCTION("IFERROR(IF(P18 = """", """",
    SWITCH($W$37,
        ""Total"", "" "" &amp; FORMAT_NUMBER(P18),
        ""Daily"", LET(Lab_name, IF(REGEXMATCH(M18, ""Mastery""), ""Card Mastery"", M18),
            Level, IF(ISBETWEEN(K18, VLOOKUP(M18, $AD:$AG, 2, FALSE), V"&amp;"LOOKUP(M18, $AD:$AG, 4, FALSE), TRUE, FALSE), K18, VLOOKUP(M18, $AD:$AG, 2, FALSE)),
            IF(LABCOST_SINGLE_ADJUSTED(Lab_name, Level + 1) = 0, ""0 (Max)"",
            "" "" &amp; FORMAT_NUMBER(            
                    LABCOST_SINGLE_ADJUSTED(L"&amp;"ab_name, Level + 1) / 
                    (LABDURATION_SINGLE_ADJUSTED(Lab_name, Level + 1) /
                    (1 * REGEXEXTRACT(N$2, ""[\d.-]+"")))))),
        ""Gem Rush"", LET(
            Labspeed, IF(M18=""Labs Speed"", 1+'Master Sheet'!$BK$5, LA"&amp;"B_SPEED_TOTAL()),
            Start_Level, IF(K18 = """",
                VLOOKUP(M18, $AD:$AG, 2, false),
                IF(ISBETWEEN(K18, VALUE(VLOOKUP(M18, $AD:$AG, 2, false)), VALUE(VLOOKUP(M18, $AD:$AG, 4, false))), K18, """")),
            End_Leve"&amp;"l, IF(OR(L18 = """", NOT(ISBETWEEN(L18, VALUE(VLOOKUP(M18, $AD:$AG, 2, false)), VALUE(VLOOKUP(M18, $AD:$AG, 4, false)),0,1))),
                SWITCH($W$38,
                    ""Max"", VLOOKUP(M18, $AD:$AG, 4, false),
                    ""Target"", IF(V"&amp;"LOOKUP(M18, $AD:$AG, 3, false) &lt;&gt; """", VLOOKUP(M18, $AD:$AG, 3, false), VLOOKUP(M18, $AD:$AG, 4, false))),
                    L18),
            SUM(ARRAYFORMULA(TIME_TO_RUSH_GEMS( OFFSET(DVT_Laboratory!$A$3, Start_Level , IF(ISNUMBER(SEARCH(""mastery"","&amp;" M18)), MATCH(""Card Mastery"", DVT_Laboratory!$A$1:$LO$1, 0), MATCH(M18, DVT_Laboratory!$A$1:$LO$1, 0)) - 1, End_Level - Start_Level, 1) / Labspeed)))))))"),"")</f>
        <v/>
      </c>
      <c r="O18" s="724" t="str">
        <f t="shared" si="9"/>
        <v/>
      </c>
      <c r="P18" s="625" t="str">
        <f>IFERROR(__xludf.DUMMYFUNCTION("IFS(M18 = """", """", 
    VLOOKUP(M18, $AD:$AG, 2, false) = VLOOKUP(M18, $AD:$AG, 4, false), ""MAX Level"",
    AND(VLOOKUP(M18, $AD:$AG, 3, false) &lt;&gt; """", VLOOKUP(M18, $AD:$AG, 2, false) = VLOOKUP(M18, $AD:$AG, 3, false)), ""At Target"",
    TRUE,
    "&amp;"IFERROR(LET(Start_Level, IF(K18 = """",
            VLOOKUP(M18, $AD:$AG, 2, false),
            IF(ISBETWEEN(K18, VALUE(VLOOKUP(M18, $AD:$AG, 2, false)), VALUE(VLOOKUP(M18, $AD:$AG, 4, false))), K18, """")),
        End_Level, IF(OR(L18 = """", NOT(ISBET"&amp;"WEEN(L18, VALUE(VLOOKUP(M18, $AD:$AG, 2, false)), VALUE(VLOOKUP(M18, $AD:$AG, 4, false)),0,1))),
            SWITCH($W$38,
                ""Max"", VLOOKUP(M18, $AD:$AG, 4, false),
                ""Target"", IF(VLOOKUP(M18, $AD:$AG, 3, false) &lt;&gt; """", VL"&amp;"OOKUP(M18, $AD:$AG, 3, false), VLOOKUP(M18, $AD:$AG, 4, false))),
            L18),
        SUM(OFFSET(DVT_Laboratory!$A$3, Start_Level , IF(ISNUMBER(SEARCH(""mastery"", M18)), MATCH(""Card Mastery"", DVT_Laboratory!$A$1:$MY$1, 0), MATCH(M18, DVT_Laborato"&amp;"ry!$A$1:$MY$1, 0)), End_Level - Start_Level, 1)) * (1-LAB_COIN_DISCOUNT())), ""Levels Error!""))"),"")</f>
        <v/>
      </c>
      <c r="Q18" s="626" t="str">
        <f>IFERROR(__xludf.DUMMYFUNCTION("IFS(M18 = """", """", 
    VLOOKUP(M18, $AD:$AG, 2, false) = VLOOKUP(M18, $AD:$AG, 4, false), ""MAX Level"",
    AND(VLOOKUP(M18, $AD:$AG, 3, false) &lt;&gt; """", VLOOKUP(M18, $AD:$AG, 2, false) = VLOOKUP(M18, $AD:$AG, 3, false)), ""At Target"",
    TRUE,
    "&amp;"IFERROR(LET(
        Labspeed, IF(M18=""Labs Speed"", 1+'Master Sheet'!$BK$5, LAB_SPEED_TOTAL()),
        Start_Level, IF(K18 = """",
            VLOOKUP(M18, $AD:$AG, 2, false),
            IF(ISBETWEEN(K18, VALUE(VLOOKUP(M18, $AD:$AG, 2, false)), VALUE("&amp;"VLOOKUP(M18, $AD:$AG, 4, false))), K18, """")),
        End_Level, IF(OR(L18 = """", NOT(ISBETWEEN(L18, VALUE(VLOOKUP(M18, $AD:$AG, 2, false)), VALUE(VLOOKUP(M18, $AD:$AG, 4, false)),0,1))),
            SWITCH($W$38,
                ""Max"", VLOOKUP(M18, "&amp;"$AD:$AG, 4, false),
                ""Target"", IF(VLOOKUP(M18, $AD:$AG, 3, false) &lt;&gt; """", VLOOKUP(M18, $AD:$AG, 3, false), VLOOKUP(M18, $AD:$AG, 4, false))),
            L18),
        SUM(OFFSET(DVT_Laboratory!$A$3, Start_Level , IF(ISNUMBER(SEARCH(""ma"&amp;"stery"", M18)), MATCH(""Card Mastery"", DVT_Laboratory!$A$1:$MY$1, 0), MATCH(M18, DVT_Laboratory!$A$1:$MY$1, 0)) - 1, End_Level - Start_Level, 1)) /
                (1 * REGEXEXTRACT(N$2, ""[\d.-]+"")) /
                Labspeed), ""Levels Error!""))"),"")</f>
        <v/>
      </c>
      <c r="R18" s="642" t="str">
        <f t="shared" si="6"/>
        <v/>
      </c>
      <c r="S18" s="696"/>
      <c r="T18" s="687"/>
      <c r="U18" s="715"/>
      <c r="V18" s="710" t="str">
        <f>IFERROR(__xludf.DUMMYFUNCTION("IFERROR(IF(X18 = """", """",
    SWITCH($W$37,
        ""Total"", "" "" &amp; FORMAT_NUMBER(X18),
        ""Daily"", LET(Lab_name, IF(REGEXMATCH(U18, ""Mastery""), ""Card Mastery"", U18),
            Level, IF(ISBETWEEN(S18, VLOOKUP(U18, $AD:$AG, 2, FALSE), V"&amp;"LOOKUP(U18, $AD:$AG, 4, FALSE), TRUE, FALSE), S18, VLOOKUP(U18, $AD:$AG, 2, FALSE)),
            IF(LABCOST_SINGLE_ADJUSTED(Lab_name, Level + 1) = 0, ""0 (Max)"",
            "" "" &amp; FORMAT_NUMBER(            
                    LABCOST_SINGLE_ADJUSTED(L"&amp;"ab_name, Level + 1) / 
                    (LABDURATION_SINGLE_ADJUSTED(Lab_name, Level + 1) /
                    (1 * REGEXEXTRACT(V$2, ""[\d.-]+"")))))),
        ""Gem Rush"", LET(
            Labspeed, IF(U18=""Labs Speed"", 1+'Master Sheet'!$BK$5, LA"&amp;"B_SPEED_TOTAL()),
            Start_Level, IF(S18 = """",
                VLOOKUP(U18, $AD:$AG, 2, false),
                IF(ISBETWEEN(S18, VALUE(VLOOKUP(U18, $AD:$AG, 2, false)), VALUE(VLOOKUP(U18, $AD:$AG, 4, false))), S18, """")),
            End_Leve"&amp;"l, IF(OR(T18 = """", NOT(ISBETWEEN(T18, VALUE(VLOOKUP(U18, $AD:$AG, 2, false)), VALUE(VLOOKUP(U18, $AD:$AG, 4, false)),0,1))),
                SWITCH($W$38,
                    ""Max"", VLOOKUP(U18, $AD:$AG, 4, false),
                    ""Target"", IF(V"&amp;"LOOKUP(U18, $AD:$AG, 3, false) &lt;&gt; """", VLOOKUP(U18, $AD:$AG, 3, false), VLOOKUP(U18, $AD:$AG, 4, false))),
                    T18),
            SUM(ARRAYFORMULA(TIME_TO_RUSH_GEMS( OFFSET(DVT_Laboratory!$A$3, Start_Level , IF(ISNUMBER(SEARCH(""mastery"","&amp;" U18)), MATCH(""Card Mastery"", DVT_Laboratory!$A$1:$LO$1, 0), MATCH(U18, DVT_Laboratory!$A$1:$LO$1, 0)) - 1, End_Level - Start_Level, 1) / Labspeed)))))))"),"")</f>
        <v/>
      </c>
      <c r="W18" s="725" t="str">
        <f t="shared" si="10"/>
        <v/>
      </c>
      <c r="X18" s="630" t="str">
        <f>IFERROR(__xludf.DUMMYFUNCTION("IFS(U18 = """", """", 
    VLOOKUP(U18, $AD:$AG, 2, false) = VLOOKUP(U18, $AD:$AG, 4, false), ""MAX Level"",
    AND(VLOOKUP(U18, $AD:$AG, 3, false) &lt;&gt; """", VLOOKUP(U18, $AD:$AG, 2, false) = VLOOKUP(U18, $AD:$AG, 3, false)), ""At Target"",
    TRUE,
    "&amp;"IFERROR(LET(Start_Level, IF(S18 = """",
            VLOOKUP(U18, $AD:$AG, 2, false),
            IF(ISBETWEEN(S18, VALUE(VLOOKUP(U18, $AD:$AG, 2, false)), VALUE(VLOOKUP(U18, $AD:$AG, 4, false))), S18, """")),
        End_Level, IF(OR(T18 = """", NOT(ISBET"&amp;"WEEN(T18, VALUE(VLOOKUP(U18, $AD:$AG, 2, false)), VALUE(VLOOKUP(U18, $AD:$AG, 4, false)),0,1))),
            SWITCH($W$38,
                ""Max"", VLOOKUP(U18, $AD:$AG, 4, false),
                ""Target"", IF(VLOOKUP(U18, $AD:$AG, 3, false) &lt;&gt; """", VL"&amp;"OOKUP(U18, $AD:$AG, 3, false), VLOOKUP(U18, $AD:$AG, 4, false))),
            T18),
        SUM(OFFSET(DVT_Laboratory!$A$3, Start_Level , IF(ISNUMBER(SEARCH(""mastery"", U18)), MATCH(""Card Mastery"", DVT_Laboratory!$A$1:$MY$1, 0), MATCH(U18, DVT_Laborato"&amp;"ry!$A$1:$MY$1, 0)), End_Level - Start_Level, 1)) * (1-LAB_COIN_DISCOUNT())), ""Levels Error!""))"),"")</f>
        <v/>
      </c>
      <c r="Y18" s="631" t="str">
        <f>IFERROR(__xludf.DUMMYFUNCTION("IFS(U18 = """", """", 
    VLOOKUP(U18, $AD:$AG, 2, false) = VLOOKUP(U18, $AD:$AG, 4, false), ""MAX Level"",
    AND(VLOOKUP(U18, $AD:$AG, 3, false) &lt;&gt; """", VLOOKUP(U18, $AD:$AG, 2, false) = VLOOKUP(U18, $AD:$AG, 3, false)), ""At Target"",
    TRUE,
    "&amp;"IFERROR(LET(
        Labspeed, IF(U18=""Labs Speed"", 1+'Master Sheet'!$BK$5, LAB_SPEED_TOTAL()),
        Start_Level, IF(S18 = """",
            VLOOKUP(U18, $AD:$AG, 2, false),
            IF(ISBETWEEN(S18, VALUE(VLOOKUP(U18, $AD:$AG, 2, false)), VALUE("&amp;"VLOOKUP(U18, $AD:$AG, 4, false))), S18, """")),
        End_Level, IF(OR(T18 = """", NOT(ISBETWEEN(T18, VALUE(VLOOKUP(U18, $AD:$AG, 2, false)), VALUE(VLOOKUP(U18, $AD:$AG, 4, false)),0,1))),
            SWITCH($W$38,
                ""Max"", VLOOKUP(U18, "&amp;"$AD:$AG, 4, false),
                ""Target"", IF(VLOOKUP(U18, $AD:$AG, 3, false) &lt;&gt; """", VLOOKUP(U18, $AD:$AG, 3, false), VLOOKUP(U18, $AD:$AG, 4, false))),
            T18),
        SUM(OFFSET(DVT_Laboratory!$A$3, Start_Level , IF(ISNUMBER(SEARCH(""ma"&amp;"stery"", U18)), MATCH(""Card Mastery"", DVT_Laboratory!$A$1:$MY$1, 0), MATCH(U18, DVT_Laboratory!$A$1:$MY$1, 0)) - 1, End_Level - Start_Level, 1)) /
                (1 * REGEXEXTRACT(V$2, ""[\d.-]+"")) /
                Labspeed), ""Levels Error!""))"),"")</f>
        <v/>
      </c>
      <c r="Z18" s="598"/>
      <c r="AA18" s="245"/>
      <c r="AB18" s="729" t="s">
        <v>436</v>
      </c>
      <c r="AC18" s="613" t="str">
        <f>IFERROR(__xludf.DUMMYFUNCTION("""COMPUTED_VALUE"""),"Auto Pick Ranking")</f>
        <v>Auto Pick Ranking</v>
      </c>
      <c r="AD18" s="613" t="s">
        <v>266</v>
      </c>
      <c r="AE18" s="613">
        <v>12.0</v>
      </c>
      <c r="AF18" s="613"/>
      <c r="AG18" s="613">
        <v>32.0</v>
      </c>
      <c r="AH18" s="634" t="str">
        <f t="shared" si="1"/>
        <v/>
      </c>
      <c r="AI18" s="613"/>
      <c r="AJ18" s="613"/>
      <c r="AK18" s="613"/>
      <c r="AL18" s="613"/>
      <c r="AM18" s="613"/>
      <c r="AN18" s="613"/>
      <c r="AO18" s="613"/>
      <c r="AP18" s="613"/>
      <c r="AQ18" s="613"/>
      <c r="AR18" s="613"/>
      <c r="AS18" s="613"/>
      <c r="AT18" s="613"/>
      <c r="AU18" s="613"/>
      <c r="AV18" s="613"/>
      <c r="AW18" s="613"/>
      <c r="AX18" s="613"/>
      <c r="AY18" s="613"/>
      <c r="AZ18" s="613"/>
      <c r="BA18" s="613"/>
      <c r="BB18" s="613"/>
      <c r="BC18" s="613"/>
      <c r="BD18" s="613"/>
      <c r="BE18" s="613"/>
      <c r="BF18" s="613"/>
      <c r="BG18" s="613"/>
      <c r="BH18" s="613"/>
      <c r="BI18" s="613"/>
      <c r="BJ18" s="613"/>
      <c r="BK18" s="613"/>
      <c r="BL18" s="613"/>
      <c r="BM18" s="613"/>
      <c r="BN18" s="613"/>
      <c r="BO18" s="613"/>
      <c r="BP18" s="613"/>
      <c r="BQ18" s="613"/>
      <c r="BR18" s="613"/>
      <c r="BS18" s="613"/>
      <c r="BT18" s="613"/>
      <c r="BU18" s="613"/>
      <c r="BV18" s="613"/>
      <c r="BW18" s="613"/>
      <c r="BX18" s="613"/>
      <c r="BY18" s="613"/>
      <c r="BZ18" s="613"/>
      <c r="CA18" s="613"/>
      <c r="CB18" s="613"/>
      <c r="CC18" s="613"/>
      <c r="CD18" s="613"/>
      <c r="CE18" s="613"/>
      <c r="CF18" s="613"/>
      <c r="CG18" s="613"/>
      <c r="CH18" s="613"/>
      <c r="CI18" s="613"/>
      <c r="CJ18" s="613"/>
      <c r="CK18" s="613"/>
      <c r="CL18" s="613"/>
      <c r="CM18" s="613"/>
      <c r="CN18" s="613"/>
      <c r="CO18" s="613"/>
      <c r="CP18" s="613"/>
      <c r="CQ18" s="613"/>
      <c r="CR18" s="613"/>
      <c r="CS18" s="613"/>
      <c r="CT18" s="613"/>
      <c r="CU18" s="613"/>
      <c r="CV18" s="613"/>
      <c r="CW18" s="613"/>
      <c r="CX18" s="613"/>
      <c r="CY18" s="613"/>
      <c r="CZ18" s="613"/>
      <c r="DA18" s="613"/>
      <c r="DB18" s="613"/>
      <c r="DC18" s="613"/>
      <c r="DD18" s="613"/>
      <c r="DE18" s="613"/>
      <c r="DF18" s="613"/>
      <c r="DG18" s="613"/>
      <c r="DH18" s="613"/>
      <c r="DI18" s="613"/>
      <c r="DJ18" s="613"/>
      <c r="DK18" s="613"/>
      <c r="DL18" s="613"/>
      <c r="DM18" s="613"/>
      <c r="DN18" s="613"/>
      <c r="DO18" s="613"/>
      <c r="DP18" s="613"/>
      <c r="DQ18" s="613"/>
      <c r="DR18" s="613"/>
      <c r="DS18" s="613"/>
      <c r="DT18" s="613"/>
      <c r="DU18" s="613"/>
      <c r="DV18" s="613"/>
      <c r="DW18" s="613"/>
      <c r="DX18" s="613"/>
      <c r="DY18" s="613"/>
      <c r="DZ18" s="613"/>
      <c r="EA18" s="613"/>
      <c r="EB18" s="613"/>
      <c r="EC18" s="613"/>
      <c r="ED18" s="613"/>
      <c r="EE18" s="613"/>
      <c r="EF18" s="613"/>
      <c r="EG18" s="613"/>
      <c r="EH18" s="613"/>
      <c r="EI18" s="613"/>
      <c r="EJ18" s="613"/>
      <c r="EK18" s="613"/>
      <c r="EL18" s="613"/>
      <c r="EM18" s="613"/>
      <c r="EN18" s="613"/>
      <c r="EO18" s="613"/>
      <c r="EP18" s="613"/>
      <c r="EQ18" s="613"/>
      <c r="ER18" s="613"/>
      <c r="ES18" s="613"/>
      <c r="ET18" s="613"/>
      <c r="EU18" s="613"/>
      <c r="EV18" s="613"/>
      <c r="EW18" s="613"/>
      <c r="EX18" s="613"/>
      <c r="EY18" s="613"/>
      <c r="EZ18" s="613"/>
      <c r="FA18" s="613"/>
      <c r="FB18" s="613"/>
      <c r="FC18" s="613"/>
      <c r="FD18" s="613"/>
      <c r="FE18" s="613"/>
      <c r="FF18" s="613"/>
      <c r="FG18" s="613"/>
      <c r="FH18" s="613"/>
      <c r="FI18" s="613"/>
      <c r="FJ18" s="613"/>
      <c r="FK18" s="613"/>
      <c r="FL18" s="613"/>
      <c r="FM18" s="613"/>
      <c r="FN18" s="613"/>
      <c r="FO18" s="613"/>
      <c r="FP18" s="613"/>
      <c r="FQ18" s="613"/>
      <c r="FR18" s="613"/>
      <c r="FS18" s="613"/>
      <c r="FT18" s="613"/>
      <c r="FU18" s="613"/>
      <c r="FV18" s="613"/>
      <c r="FW18" s="613"/>
      <c r="FX18" s="613"/>
      <c r="FY18" s="613"/>
      <c r="FZ18" s="613"/>
      <c r="GA18" s="613"/>
      <c r="GB18" s="613"/>
      <c r="GC18" s="613"/>
      <c r="GD18" s="613"/>
      <c r="GE18" s="613"/>
      <c r="GF18" s="613"/>
      <c r="GG18" s="613"/>
      <c r="GH18" s="613"/>
      <c r="GI18" s="613"/>
      <c r="GJ18" s="613"/>
      <c r="GK18" s="613"/>
      <c r="GL18" s="613"/>
      <c r="GM18" s="613"/>
      <c r="GN18" s="613"/>
      <c r="GO18" s="613"/>
      <c r="GP18" s="613"/>
      <c r="GQ18" s="613"/>
      <c r="GR18" s="613"/>
      <c r="GS18" s="613"/>
      <c r="GT18" s="613"/>
      <c r="GU18" s="613"/>
      <c r="GV18" s="613"/>
      <c r="GW18" s="613"/>
      <c r="GX18" s="613"/>
      <c r="GY18" s="613"/>
      <c r="GZ18" s="613"/>
      <c r="HA18" s="613"/>
      <c r="HB18" s="613"/>
      <c r="HC18" s="613"/>
      <c r="HD18" s="613"/>
      <c r="HE18" s="613"/>
      <c r="HF18" s="613"/>
      <c r="HG18" s="613"/>
      <c r="HH18" s="613"/>
      <c r="HI18" s="613"/>
      <c r="HJ18" s="613"/>
      <c r="HK18" s="613"/>
      <c r="HL18" s="613"/>
      <c r="HM18" s="613"/>
      <c r="HN18" s="613"/>
      <c r="HO18" s="613"/>
      <c r="HP18" s="613"/>
      <c r="HQ18" s="613"/>
      <c r="HR18" s="613"/>
      <c r="HS18" s="613"/>
      <c r="HT18" s="613"/>
      <c r="HU18" s="613"/>
      <c r="HV18" s="613"/>
      <c r="HW18" s="613"/>
      <c r="HX18" s="613"/>
      <c r="HY18" s="613"/>
      <c r="HZ18" s="613"/>
      <c r="IA18" s="613"/>
      <c r="IB18" s="613"/>
      <c r="IC18" s="613"/>
      <c r="ID18" s="613"/>
      <c r="IE18" s="613"/>
      <c r="IF18" s="613"/>
      <c r="IG18" s="613"/>
      <c r="IH18" s="613"/>
    </row>
    <row r="19" hidden="1" outlineLevel="1">
      <c r="A19" s="598"/>
      <c r="B19" s="614" t="str">
        <f t="shared" si="2"/>
        <v/>
      </c>
      <c r="C19" s="705"/>
      <c r="D19" s="722"/>
      <c r="E19" s="692"/>
      <c r="F19" s="659" t="str">
        <f>IFERROR(__xludf.DUMMYFUNCTION("IFERROR(IF(H19 = """", """",
    SWITCH($W$37,
        ""Total"", "" "" &amp; FORMAT_NUMBER(H19),
        ""Daily"", LET(Lab_name, IF(REGEXMATCH(E19, ""Mastery""), ""Card Mastery"", E19),
            Level, IF(ISBETWEEN(C19, VLOOKUP(E19, $AD:$AG, 2, FALSE), V"&amp;"LOOKUP(E19, $AD:$AG, 4, FALSE), TRUE, FALSE), C19, VLOOKUP(E19, $AD:$AG, 2, FALSE)),
            IF(LABCOST_SINGLE_ADJUSTED(Lab_name, Level + 1) = 0, ""0 (Max)"",
            "" "" &amp; FORMAT_NUMBER(            
                    LABCOST_SINGLE_ADJUSTED(L"&amp;"ab_name, Level + 1) / 
                    (LABDURATION_SINGLE_ADJUSTED(Lab_name, Level + 1) /
                    (1 * REGEXEXTRACT(F$2, ""[\d.-]+"")))))),
        ""Gem Rush"", LET(
            Labspeed, IF(E19=""Labs Speed"", 1+'Master Sheet'!$BK$5, LA"&amp;"B_SPEED_TOTAL()),
            Start_Level, IF(C19 = """",
                VLOOKUP(E19, $AD:$AG, 2, false),
                IF(ISBETWEEN(C19, VALUE(VLOOKUP(E19, $AD:$AG, 2, false)), VALUE(VLOOKUP(E19, $AD:$AG, 4, false))), C19, """")),
            End_Leve"&amp;"l, IF(OR(D19 = """", NOT(ISBETWEEN(D19, VALUE(VLOOKUP(E19, $AD:$AG, 2, false)), VALUE(VLOOKUP(E19, $AD:$AG, 4, false)),0,1))),
                SWITCH($W$38,
                    ""Max"", VLOOKUP(E19, $AD:$AG, 4, false),
                    ""Target"", IF(V"&amp;"LOOKUP(E19, $AD:$AG, 3, false) &lt;&gt; """", VLOOKUP(E19, $AD:$AG, 3, false), VLOOKUP(E19, $AD:$AG, 4, false))),
                    D19),
            SUM(ARRAYFORMULA(TIME_TO_RUSH_GEMS( OFFSET(DVT_Laboratory!$A$3, Start_Level , IF(ISNUMBER(SEARCH(""mastery"","&amp;" E19)), MATCH(""Card Mastery"", DVT_Laboratory!$A$1:$LO$1, 0), MATCH(E19, DVT_Laboratory!$A$1:$LO$1, 0)) - 1, End_Level - Start_Level, 1) / Labspeed)))))))"),"")</f>
        <v/>
      </c>
      <c r="G19" s="723" t="str">
        <f t="shared" si="8"/>
        <v/>
      </c>
      <c r="H19" s="620" t="str">
        <f>IFERROR(__xludf.DUMMYFUNCTION("IFS(E19 = """", """", 
    VLOOKUP(E19, $AD:$AG, 2, false) = VLOOKUP(E19, $AD:$AG, 4, false), ""MAX Level"",
    AND(VLOOKUP(E19, $AD:$AG, 3, false) &lt;&gt; """", VLOOKUP(E19, $AD:$AG, 2, false) = VLOOKUP(E19, $AD:$AG, 3, false)), ""At Target"",
    TRUE,
    "&amp;"IFERROR(LET(Start_Level, IF(C19 = """",
            VLOOKUP(E19, $AD:$AG, 2, false),
            IF(ISBETWEEN(C19, VALUE(VLOOKUP(E19, $AD:$AG, 2, false)), VALUE(VLOOKUP(E19, $AD:$AG, 4, false))), C19, """")),
        End_Level, IF(OR(D19 = """", NOT(ISBET"&amp;"WEEN(D19, VALUE(VLOOKUP(E19, $AD:$AG, 2, false)), VALUE(VLOOKUP(E19, $AD:$AG, 4, false)),0,1))),
            SWITCH($W$38,
                ""Max"", VLOOKUP(E19, $AD:$AG, 4, false),
                ""Target"", IF(VLOOKUP(E19, $AD:$AG, 3, false) &lt;&gt; """", VL"&amp;"OOKUP(E19, $AD:$AG, 3, false), VLOOKUP(E19, $AD:$AG, 4, false))),
            D19),
        SUM(OFFSET(DVT_Laboratory!$A$3, Start_Level , IF(ISNUMBER(SEARCH(""mastery"", E19)), MATCH(""Card Mastery"", DVT_Laboratory!$A$1:$MY$1, 0), MATCH(E19, DVT_Laborato"&amp;"ry!$A$1:$MY$1, 0)), End_Level - Start_Level, 1)) * (1-LAB_COIN_DISCOUNT())), ""Levels Error!""))"),"")</f>
        <v/>
      </c>
      <c r="I19" s="621" t="str">
        <f>IFERROR(__xludf.DUMMYFUNCTION("IFS(E19 = """", """", 
    VLOOKUP(E19, $AD:$AG, 2, false) = VLOOKUP(E19, $AD:$AG, 4, false), ""MAX Level"",
    AND(VLOOKUP(E19, $AD:$AG, 3, false) &lt;&gt; """", VLOOKUP(E19, $AD:$AG, 2, false) = VLOOKUP(E19, $AD:$AG, 3, false)), ""At Target"",
    TRUE,
    "&amp;"IFERROR(LET(
        Labspeed, IF(E19=""Labs Speed"", 1+'Master Sheet'!$BK$5, LAB_SPEED_TOTAL()),
        Start_Level, IF(C19 = """",
            VLOOKUP(E19, $AD:$AG, 2, false),
            IF(ISBETWEEN(C19, VALUE(VLOOKUP(E19, $AD:$AG, 2, false)), VALUE("&amp;"VLOOKUP(E19, $AD:$AG, 4, false))), C19, """")),
        End_Level, IF(OR(D19 = """", NOT(ISBETWEEN(D19, VALUE(VLOOKUP(E19, $AD:$AG, 2, false)), VALUE(VLOOKUP(E19, $AD:$AG, 4, false)),0,1))),
            SWITCH($W$38,
                ""Max"", VLOOKUP(E19, "&amp;"$AD:$AG, 4, false),
                ""Target"", IF(VLOOKUP(E19, $AD:$AG, 3, false) &lt;&gt; """", VLOOKUP(E19, $AD:$AG, 3, false), VLOOKUP(E19, $AD:$AG, 4, false))),
            D19),
        SUM(OFFSET(DVT_Laboratory!$A$3, Start_Level , IF(ISNUMBER(SEARCH(""ma"&amp;"stery"", E19)), MATCH(""Card Mastery"", DVT_Laboratory!$A$1:$MY$1, 0), MATCH(E19, DVT_Laboratory!$A$1:$MY$1, 0)) - 1, End_Level - Start_Level, 1)) /
                (1 * REGEXEXTRACT(F$2, ""[\d.-]+"")) /
                Labspeed), ""Levels Error!""))"),"")</f>
        <v/>
      </c>
      <c r="J19" s="640" t="str">
        <f t="shared" si="4"/>
        <v/>
      </c>
      <c r="K19" s="699"/>
      <c r="L19" s="700"/>
      <c r="M19" s="709"/>
      <c r="N19" s="707" t="str">
        <f>IFERROR(__xludf.DUMMYFUNCTION("IFERROR(IF(P19 = """", """",
    SWITCH($W$37,
        ""Total"", "" "" &amp; FORMAT_NUMBER(P19),
        ""Daily"", LET(Lab_name, IF(REGEXMATCH(M19, ""Mastery""), ""Card Mastery"", M19),
            Level, IF(ISBETWEEN(K19, VLOOKUP(M19, $AD:$AG, 2, FALSE), V"&amp;"LOOKUP(M19, $AD:$AG, 4, FALSE), TRUE, FALSE), K19, VLOOKUP(M19, $AD:$AG, 2, FALSE)),
            IF(LABCOST_SINGLE_ADJUSTED(Lab_name, Level + 1) = 0, ""0 (Max)"",
            "" "" &amp; FORMAT_NUMBER(            
                    LABCOST_SINGLE_ADJUSTED(L"&amp;"ab_name, Level + 1) / 
                    (LABDURATION_SINGLE_ADJUSTED(Lab_name, Level + 1) /
                    (1 * REGEXEXTRACT(N$2, ""[\d.-]+"")))))),
        ""Gem Rush"", LET(
            Labspeed, IF(M19=""Labs Speed"", 1+'Master Sheet'!$BK$5, LA"&amp;"B_SPEED_TOTAL()),
            Start_Level, IF(K19 = """",
                VLOOKUP(M19, $AD:$AG, 2, false),
                IF(ISBETWEEN(K19, VALUE(VLOOKUP(M19, $AD:$AG, 2, false)), VALUE(VLOOKUP(M19, $AD:$AG, 4, false))), K19, """")),
            End_Leve"&amp;"l, IF(OR(L19 = """", NOT(ISBETWEEN(L19, VALUE(VLOOKUP(M19, $AD:$AG, 2, false)), VALUE(VLOOKUP(M19, $AD:$AG, 4, false)),0,1))),
                SWITCH($W$38,
                    ""Max"", VLOOKUP(M19, $AD:$AG, 4, false),
                    ""Target"", IF(V"&amp;"LOOKUP(M19, $AD:$AG, 3, false) &lt;&gt; """", VLOOKUP(M19, $AD:$AG, 3, false), VLOOKUP(M19, $AD:$AG, 4, false))),
                    L19),
            SUM(ARRAYFORMULA(TIME_TO_RUSH_GEMS( OFFSET(DVT_Laboratory!$A$3, Start_Level , IF(ISNUMBER(SEARCH(""mastery"","&amp;" M19)), MATCH(""Card Mastery"", DVT_Laboratory!$A$1:$LO$1, 0), MATCH(M19, DVT_Laboratory!$A$1:$LO$1, 0)) - 1, End_Level - Start_Level, 1) / Labspeed)))))))"),"")</f>
        <v/>
      </c>
      <c r="O19" s="724" t="str">
        <f t="shared" si="9"/>
        <v/>
      </c>
      <c r="P19" s="625" t="str">
        <f>IFERROR(__xludf.DUMMYFUNCTION("IFS(M19 = """", """", 
    VLOOKUP(M19, $AD:$AG, 2, false) = VLOOKUP(M19, $AD:$AG, 4, false), ""MAX Level"",
    AND(VLOOKUP(M19, $AD:$AG, 3, false) &lt;&gt; """", VLOOKUP(M19, $AD:$AG, 2, false) = VLOOKUP(M19, $AD:$AG, 3, false)), ""At Target"",
    TRUE,
    "&amp;"IFERROR(LET(Start_Level, IF(K19 = """",
            VLOOKUP(M19, $AD:$AG, 2, false),
            IF(ISBETWEEN(K19, VALUE(VLOOKUP(M19, $AD:$AG, 2, false)), VALUE(VLOOKUP(M19, $AD:$AG, 4, false))), K19, """")),
        End_Level, IF(OR(L19 = """", NOT(ISBET"&amp;"WEEN(L19, VALUE(VLOOKUP(M19, $AD:$AG, 2, false)), VALUE(VLOOKUP(M19, $AD:$AG, 4, false)),0,1))),
            SWITCH($W$38,
                ""Max"", VLOOKUP(M19, $AD:$AG, 4, false),
                ""Target"", IF(VLOOKUP(M19, $AD:$AG, 3, false) &lt;&gt; """", VL"&amp;"OOKUP(M19, $AD:$AG, 3, false), VLOOKUP(M19, $AD:$AG, 4, false))),
            L19),
        SUM(OFFSET(DVT_Laboratory!$A$3, Start_Level , IF(ISNUMBER(SEARCH(""mastery"", M19)), MATCH(""Card Mastery"", DVT_Laboratory!$A$1:$MY$1, 0), MATCH(M19, DVT_Laborato"&amp;"ry!$A$1:$MY$1, 0)), End_Level - Start_Level, 1)) * (1-LAB_COIN_DISCOUNT())), ""Levels Error!""))"),"")</f>
        <v/>
      </c>
      <c r="Q19" s="626" t="str">
        <f>IFERROR(__xludf.DUMMYFUNCTION("IFS(M19 = """", """", 
    VLOOKUP(M19, $AD:$AG, 2, false) = VLOOKUP(M19, $AD:$AG, 4, false), ""MAX Level"",
    AND(VLOOKUP(M19, $AD:$AG, 3, false) &lt;&gt; """", VLOOKUP(M19, $AD:$AG, 2, false) = VLOOKUP(M19, $AD:$AG, 3, false)), ""At Target"",
    TRUE,
    "&amp;"IFERROR(LET(
        Labspeed, IF(M19=""Labs Speed"", 1+'Master Sheet'!$BK$5, LAB_SPEED_TOTAL()),
        Start_Level, IF(K19 = """",
            VLOOKUP(M19, $AD:$AG, 2, false),
            IF(ISBETWEEN(K19, VALUE(VLOOKUP(M19, $AD:$AG, 2, false)), VALUE("&amp;"VLOOKUP(M19, $AD:$AG, 4, false))), K19, """")),
        End_Level, IF(OR(L19 = """", NOT(ISBETWEEN(L19, VALUE(VLOOKUP(M19, $AD:$AG, 2, false)), VALUE(VLOOKUP(M19, $AD:$AG, 4, false)),0,1))),
            SWITCH($W$38,
                ""Max"", VLOOKUP(M19, "&amp;"$AD:$AG, 4, false),
                ""Target"", IF(VLOOKUP(M19, $AD:$AG, 3, false) &lt;&gt; """", VLOOKUP(M19, $AD:$AG, 3, false), VLOOKUP(M19, $AD:$AG, 4, false))),
            L19),
        SUM(OFFSET(DVT_Laboratory!$A$3, Start_Level , IF(ISNUMBER(SEARCH(""ma"&amp;"stery"", M19)), MATCH(""Card Mastery"", DVT_Laboratory!$A$1:$MY$1, 0), MATCH(M19, DVT_Laboratory!$A$1:$MY$1, 0)) - 1, End_Level - Start_Level, 1)) /
                (1 * REGEXEXTRACT(N$2, ""[\d.-]+"")) /
                Labspeed), ""Levels Error!""))"),"")</f>
        <v/>
      </c>
      <c r="R19" s="642" t="str">
        <f t="shared" si="6"/>
        <v/>
      </c>
      <c r="S19" s="696"/>
      <c r="T19" s="687"/>
      <c r="U19" s="715"/>
      <c r="V19" s="710" t="str">
        <f>IFERROR(__xludf.DUMMYFUNCTION("IFERROR(IF(X19 = """", """",
    SWITCH($W$37,
        ""Total"", "" "" &amp; FORMAT_NUMBER(X19),
        ""Daily"", LET(Lab_name, IF(REGEXMATCH(U19, ""Mastery""), ""Card Mastery"", U19),
            Level, IF(ISBETWEEN(S19, VLOOKUP(U19, $AD:$AG, 2, FALSE), V"&amp;"LOOKUP(U19, $AD:$AG, 4, FALSE), TRUE, FALSE), S19, VLOOKUP(U19, $AD:$AG, 2, FALSE)),
            IF(LABCOST_SINGLE_ADJUSTED(Lab_name, Level + 1) = 0, ""0 (Max)"",
            "" "" &amp; FORMAT_NUMBER(            
                    LABCOST_SINGLE_ADJUSTED(L"&amp;"ab_name, Level + 1) / 
                    (LABDURATION_SINGLE_ADJUSTED(Lab_name, Level + 1) /
                    (1 * REGEXEXTRACT(V$2, ""[\d.-]+"")))))),
        ""Gem Rush"", LET(
            Labspeed, IF(U19=""Labs Speed"", 1+'Master Sheet'!$BK$5, LA"&amp;"B_SPEED_TOTAL()),
            Start_Level, IF(S19 = """",
                VLOOKUP(U19, $AD:$AG, 2, false),
                IF(ISBETWEEN(S19, VALUE(VLOOKUP(U19, $AD:$AG, 2, false)), VALUE(VLOOKUP(U19, $AD:$AG, 4, false))), S19, """")),
            End_Leve"&amp;"l, IF(OR(T19 = """", NOT(ISBETWEEN(T19, VALUE(VLOOKUP(U19, $AD:$AG, 2, false)), VALUE(VLOOKUP(U19, $AD:$AG, 4, false)),0,1))),
                SWITCH($W$38,
                    ""Max"", VLOOKUP(U19, $AD:$AG, 4, false),
                    ""Target"", IF(V"&amp;"LOOKUP(U19, $AD:$AG, 3, false) &lt;&gt; """", VLOOKUP(U19, $AD:$AG, 3, false), VLOOKUP(U19, $AD:$AG, 4, false))),
                    T19),
            SUM(ARRAYFORMULA(TIME_TO_RUSH_GEMS( OFFSET(DVT_Laboratory!$A$3, Start_Level , IF(ISNUMBER(SEARCH(""mastery"","&amp;" U19)), MATCH(""Card Mastery"", DVT_Laboratory!$A$1:$LO$1, 0), MATCH(U19, DVT_Laboratory!$A$1:$LO$1, 0)) - 1, End_Level - Start_Level, 1) / Labspeed)))))))"),"")</f>
        <v/>
      </c>
      <c r="W19" s="725" t="str">
        <f t="shared" si="10"/>
        <v/>
      </c>
      <c r="X19" s="630" t="str">
        <f>IFERROR(__xludf.DUMMYFUNCTION("IFS(U19 = """", """", 
    VLOOKUP(U19, $AD:$AG, 2, false) = VLOOKUP(U19, $AD:$AG, 4, false), ""MAX Level"",
    AND(VLOOKUP(U19, $AD:$AG, 3, false) &lt;&gt; """", VLOOKUP(U19, $AD:$AG, 2, false) = VLOOKUP(U19, $AD:$AG, 3, false)), ""At Target"",
    TRUE,
    "&amp;"IFERROR(LET(Start_Level, IF(S19 = """",
            VLOOKUP(U19, $AD:$AG, 2, false),
            IF(ISBETWEEN(S19, VALUE(VLOOKUP(U19, $AD:$AG, 2, false)), VALUE(VLOOKUP(U19, $AD:$AG, 4, false))), S19, """")),
        End_Level, IF(OR(T19 = """", NOT(ISBET"&amp;"WEEN(T19, VALUE(VLOOKUP(U19, $AD:$AG, 2, false)), VALUE(VLOOKUP(U19, $AD:$AG, 4, false)),0,1))),
            SWITCH($W$38,
                ""Max"", VLOOKUP(U19, $AD:$AG, 4, false),
                ""Target"", IF(VLOOKUP(U19, $AD:$AG, 3, false) &lt;&gt; """", VL"&amp;"OOKUP(U19, $AD:$AG, 3, false), VLOOKUP(U19, $AD:$AG, 4, false))),
            T19),
        SUM(OFFSET(DVT_Laboratory!$A$3, Start_Level , IF(ISNUMBER(SEARCH(""mastery"", U19)), MATCH(""Card Mastery"", DVT_Laboratory!$A$1:$MY$1, 0), MATCH(U19, DVT_Laborato"&amp;"ry!$A$1:$MY$1, 0)), End_Level - Start_Level, 1)) * (1-LAB_COIN_DISCOUNT())), ""Levels Error!""))"),"")</f>
        <v/>
      </c>
      <c r="Y19" s="631" t="str">
        <f>IFERROR(__xludf.DUMMYFUNCTION("IFS(U19 = """", """", 
    VLOOKUP(U19, $AD:$AG, 2, false) = VLOOKUP(U19, $AD:$AG, 4, false), ""MAX Level"",
    AND(VLOOKUP(U19, $AD:$AG, 3, false) &lt;&gt; """", VLOOKUP(U19, $AD:$AG, 2, false) = VLOOKUP(U19, $AD:$AG, 3, false)), ""At Target"",
    TRUE,
    "&amp;"IFERROR(LET(
        Labspeed, IF(U19=""Labs Speed"", 1+'Master Sheet'!$BK$5, LAB_SPEED_TOTAL()),
        Start_Level, IF(S19 = """",
            VLOOKUP(U19, $AD:$AG, 2, false),
            IF(ISBETWEEN(S19, VALUE(VLOOKUP(U19, $AD:$AG, 2, false)), VALUE("&amp;"VLOOKUP(U19, $AD:$AG, 4, false))), S19, """")),
        End_Level, IF(OR(T19 = """", NOT(ISBETWEEN(T19, VALUE(VLOOKUP(U19, $AD:$AG, 2, false)), VALUE(VLOOKUP(U19, $AD:$AG, 4, false)),0,1))),
            SWITCH($W$38,
                ""Max"", VLOOKUP(U19, "&amp;"$AD:$AG, 4, false),
                ""Target"", IF(VLOOKUP(U19, $AD:$AG, 3, false) &lt;&gt; """", VLOOKUP(U19, $AD:$AG, 3, false), VLOOKUP(U19, $AD:$AG, 4, false))),
            T19),
        SUM(OFFSET(DVT_Laboratory!$A$3, Start_Level , IF(ISNUMBER(SEARCH(""ma"&amp;"stery"", U19)), MATCH(""Card Mastery"", DVT_Laboratory!$A$1:$MY$1, 0), MATCH(U19, DVT_Laboratory!$A$1:$MY$1, 0)) - 1, End_Level - Start_Level, 1)) /
                (1 * REGEXEXTRACT(V$2, ""[\d.-]+"")) /
                Labspeed), ""Levels Error!""))"),"")</f>
        <v/>
      </c>
      <c r="Z19" s="598"/>
      <c r="AA19" s="245"/>
      <c r="AB19" s="730" t="s">
        <v>437</v>
      </c>
      <c r="AC19" s="613" t="str">
        <f>IFERROR(__xludf.DUMMYFUNCTION("""COMPUTED_VALUE"""),"Ban Perks")</f>
        <v>Ban Perks</v>
      </c>
      <c r="AD19" s="613" t="s">
        <v>244</v>
      </c>
      <c r="AE19" s="613">
        <v>6.0</v>
      </c>
      <c r="AF19" s="613"/>
      <c r="AG19" s="613">
        <v>8.0</v>
      </c>
      <c r="AH19" s="634" t="str">
        <f t="shared" si="1"/>
        <v/>
      </c>
      <c r="AI19" s="613"/>
      <c r="AJ19" s="613"/>
      <c r="AK19" s="613"/>
      <c r="AL19" s="613"/>
      <c r="AM19" s="613"/>
      <c r="AN19" s="613"/>
      <c r="AO19" s="613"/>
      <c r="AP19" s="613"/>
      <c r="AQ19" s="613"/>
      <c r="AR19" s="613"/>
      <c r="AS19" s="613"/>
      <c r="AT19" s="613"/>
      <c r="AU19" s="613"/>
      <c r="AV19" s="613"/>
      <c r="AW19" s="613"/>
      <c r="AX19" s="613"/>
      <c r="AY19" s="613"/>
      <c r="AZ19" s="613"/>
      <c r="BA19" s="613"/>
      <c r="BB19" s="613"/>
      <c r="BC19" s="613"/>
      <c r="BD19" s="613"/>
      <c r="BE19" s="613"/>
      <c r="BF19" s="613"/>
      <c r="BG19" s="613"/>
      <c r="BH19" s="613"/>
      <c r="BI19" s="613"/>
      <c r="BJ19" s="613"/>
      <c r="BK19" s="613"/>
      <c r="BL19" s="613"/>
      <c r="BM19" s="613"/>
      <c r="BN19" s="613"/>
      <c r="BO19" s="613"/>
      <c r="BP19" s="613"/>
      <c r="BQ19" s="613"/>
      <c r="BR19" s="613"/>
      <c r="BS19" s="613"/>
      <c r="BT19" s="613"/>
      <c r="BU19" s="613"/>
      <c r="BV19" s="613"/>
      <c r="BW19" s="613"/>
      <c r="BX19" s="613"/>
      <c r="BY19" s="613"/>
      <c r="BZ19" s="613"/>
      <c r="CA19" s="613"/>
      <c r="CB19" s="613"/>
      <c r="CC19" s="613"/>
      <c r="CD19" s="613"/>
      <c r="CE19" s="613"/>
      <c r="CF19" s="613"/>
      <c r="CG19" s="613"/>
      <c r="CH19" s="613"/>
      <c r="CI19" s="613"/>
      <c r="CJ19" s="613"/>
      <c r="CK19" s="613"/>
      <c r="CL19" s="613"/>
      <c r="CM19" s="613"/>
      <c r="CN19" s="613"/>
      <c r="CO19" s="613"/>
      <c r="CP19" s="613"/>
      <c r="CQ19" s="613"/>
      <c r="CR19" s="613"/>
      <c r="CS19" s="613"/>
      <c r="CT19" s="613"/>
      <c r="CU19" s="613"/>
      <c r="CV19" s="613"/>
      <c r="CW19" s="613"/>
      <c r="CX19" s="613"/>
      <c r="CY19" s="613"/>
      <c r="CZ19" s="613"/>
      <c r="DA19" s="613"/>
      <c r="DB19" s="613"/>
      <c r="DC19" s="613"/>
      <c r="DD19" s="613"/>
      <c r="DE19" s="613"/>
      <c r="DF19" s="613"/>
      <c r="DG19" s="613"/>
      <c r="DH19" s="613"/>
      <c r="DI19" s="613"/>
      <c r="DJ19" s="613"/>
      <c r="DK19" s="613"/>
      <c r="DL19" s="613"/>
      <c r="DM19" s="613"/>
      <c r="DN19" s="613"/>
      <c r="DO19" s="613"/>
      <c r="DP19" s="613"/>
      <c r="DQ19" s="613"/>
      <c r="DR19" s="613"/>
      <c r="DS19" s="613"/>
      <c r="DT19" s="613"/>
      <c r="DU19" s="613"/>
      <c r="DV19" s="613"/>
      <c r="DW19" s="613"/>
      <c r="DX19" s="613"/>
      <c r="DY19" s="613"/>
      <c r="DZ19" s="613"/>
      <c r="EA19" s="613"/>
      <c r="EB19" s="613"/>
      <c r="EC19" s="613"/>
      <c r="ED19" s="613"/>
      <c r="EE19" s="613"/>
      <c r="EF19" s="613"/>
      <c r="EG19" s="613"/>
      <c r="EH19" s="613"/>
      <c r="EI19" s="613"/>
      <c r="EJ19" s="613"/>
      <c r="EK19" s="613"/>
      <c r="EL19" s="613"/>
      <c r="EM19" s="613"/>
      <c r="EN19" s="613"/>
      <c r="EO19" s="613"/>
      <c r="EP19" s="613"/>
      <c r="EQ19" s="613"/>
      <c r="ER19" s="613"/>
      <c r="ES19" s="613"/>
      <c r="ET19" s="613"/>
      <c r="EU19" s="613"/>
      <c r="EV19" s="613"/>
      <c r="EW19" s="613"/>
      <c r="EX19" s="613"/>
      <c r="EY19" s="613"/>
      <c r="EZ19" s="613"/>
      <c r="FA19" s="613"/>
      <c r="FB19" s="613"/>
      <c r="FC19" s="613"/>
      <c r="FD19" s="613"/>
      <c r="FE19" s="613"/>
      <c r="FF19" s="613"/>
      <c r="FG19" s="613"/>
      <c r="FH19" s="613"/>
      <c r="FI19" s="613"/>
      <c r="FJ19" s="613"/>
      <c r="FK19" s="613"/>
      <c r="FL19" s="613"/>
      <c r="FM19" s="613"/>
      <c r="FN19" s="613"/>
      <c r="FO19" s="613"/>
      <c r="FP19" s="613"/>
      <c r="FQ19" s="613"/>
      <c r="FR19" s="613"/>
      <c r="FS19" s="613"/>
      <c r="FT19" s="613"/>
      <c r="FU19" s="613"/>
      <c r="FV19" s="613"/>
      <c r="FW19" s="613"/>
      <c r="FX19" s="613"/>
      <c r="FY19" s="613"/>
      <c r="FZ19" s="613"/>
      <c r="GA19" s="613"/>
      <c r="GB19" s="613"/>
      <c r="GC19" s="613"/>
      <c r="GD19" s="613"/>
      <c r="GE19" s="613"/>
      <c r="GF19" s="613"/>
      <c r="GG19" s="613"/>
      <c r="GH19" s="613"/>
      <c r="GI19" s="613"/>
      <c r="GJ19" s="613"/>
      <c r="GK19" s="613"/>
      <c r="GL19" s="613"/>
      <c r="GM19" s="613"/>
      <c r="GN19" s="613"/>
      <c r="GO19" s="613"/>
      <c r="GP19" s="613"/>
      <c r="GQ19" s="613"/>
      <c r="GR19" s="613"/>
      <c r="GS19" s="613"/>
      <c r="GT19" s="613"/>
      <c r="GU19" s="613"/>
      <c r="GV19" s="613"/>
      <c r="GW19" s="613"/>
      <c r="GX19" s="613"/>
      <c r="GY19" s="613"/>
      <c r="GZ19" s="613"/>
      <c r="HA19" s="613"/>
      <c r="HB19" s="613"/>
      <c r="HC19" s="613"/>
      <c r="HD19" s="613"/>
      <c r="HE19" s="613"/>
      <c r="HF19" s="613"/>
      <c r="HG19" s="613"/>
      <c r="HH19" s="613"/>
      <c r="HI19" s="613"/>
      <c r="HJ19" s="613"/>
      <c r="HK19" s="613"/>
      <c r="HL19" s="613"/>
      <c r="HM19" s="613"/>
      <c r="HN19" s="613"/>
      <c r="HO19" s="613"/>
      <c r="HP19" s="613"/>
      <c r="HQ19" s="613"/>
      <c r="HR19" s="613"/>
      <c r="HS19" s="613"/>
      <c r="HT19" s="613"/>
      <c r="HU19" s="613"/>
      <c r="HV19" s="613"/>
      <c r="HW19" s="613"/>
      <c r="HX19" s="613"/>
      <c r="HY19" s="613"/>
      <c r="HZ19" s="613"/>
      <c r="IA19" s="613"/>
      <c r="IB19" s="613"/>
      <c r="IC19" s="613"/>
      <c r="ID19" s="613"/>
      <c r="IE19" s="613"/>
      <c r="IF19" s="613"/>
      <c r="IG19" s="613"/>
      <c r="IH19" s="613"/>
    </row>
    <row r="20" hidden="1" outlineLevel="1">
      <c r="A20" s="598"/>
      <c r="B20" s="614" t="str">
        <f t="shared" si="2"/>
        <v/>
      </c>
      <c r="C20" s="705"/>
      <c r="D20" s="722"/>
      <c r="E20" s="692"/>
      <c r="F20" s="659" t="str">
        <f>IFERROR(__xludf.DUMMYFUNCTION("IFERROR(IF(H20 = """", """",
    SWITCH($W$37,
        ""Total"", "" "" &amp; FORMAT_NUMBER(H20),
        ""Daily"", LET(Lab_name, IF(REGEXMATCH(E20, ""Mastery""), ""Card Mastery"", E20),
            Level, IF(ISBETWEEN(C20, VLOOKUP(E20, $AD:$AG, 2, FALSE), V"&amp;"LOOKUP(E20, $AD:$AG, 4, FALSE), TRUE, FALSE), C20, VLOOKUP(E20, $AD:$AG, 2, FALSE)),
            IF(LABCOST_SINGLE_ADJUSTED(Lab_name, Level + 1) = 0, ""0 (Max)"",
            "" "" &amp; FORMAT_NUMBER(            
                    LABCOST_SINGLE_ADJUSTED(L"&amp;"ab_name, Level + 1) / 
                    (LABDURATION_SINGLE_ADJUSTED(Lab_name, Level + 1) /
                    (1 * REGEXEXTRACT(F$2, ""[\d.-]+"")))))),
        ""Gem Rush"", LET(
            Labspeed, IF(E20=""Labs Speed"", 1+'Master Sheet'!$BK$5, LA"&amp;"B_SPEED_TOTAL()),
            Start_Level, IF(C20 = """",
                VLOOKUP(E20, $AD:$AG, 2, false),
                IF(ISBETWEEN(C20, VALUE(VLOOKUP(E20, $AD:$AG, 2, false)), VALUE(VLOOKUP(E20, $AD:$AG, 4, false))), C20, """")),
            End_Leve"&amp;"l, IF(OR(D20 = """", NOT(ISBETWEEN(D20, VALUE(VLOOKUP(E20, $AD:$AG, 2, false)), VALUE(VLOOKUP(E20, $AD:$AG, 4, false)),0,1))),
                SWITCH($W$38,
                    ""Max"", VLOOKUP(E20, $AD:$AG, 4, false),
                    ""Target"", IF(V"&amp;"LOOKUP(E20, $AD:$AG, 3, false) &lt;&gt; """", VLOOKUP(E20, $AD:$AG, 3, false), VLOOKUP(E20, $AD:$AG, 4, false))),
                    D20),
            SUM(ARRAYFORMULA(TIME_TO_RUSH_GEMS( OFFSET(DVT_Laboratory!$A$3, Start_Level , IF(ISNUMBER(SEARCH(""mastery"","&amp;" E20)), MATCH(""Card Mastery"", DVT_Laboratory!$A$1:$LO$1, 0), MATCH(E20, DVT_Laboratory!$A$1:$LO$1, 0)) - 1, End_Level - Start_Level, 1) / Labspeed)))))))"),"")</f>
        <v/>
      </c>
      <c r="G20" s="723" t="str">
        <f t="shared" si="8"/>
        <v/>
      </c>
      <c r="H20" s="620" t="str">
        <f>IFERROR(__xludf.DUMMYFUNCTION("IFS(E20 = """", """", 
    VLOOKUP(E20, $AD:$AG, 2, false) = VLOOKUP(E20, $AD:$AG, 4, false), ""MAX Level"",
    AND(VLOOKUP(E20, $AD:$AG, 3, false) &lt;&gt; """", VLOOKUP(E20, $AD:$AG, 2, false) = VLOOKUP(E20, $AD:$AG, 3, false)), ""At Target"",
    TRUE,
    "&amp;"IFERROR(LET(Start_Level, IF(C20 = """",
            VLOOKUP(E20, $AD:$AG, 2, false),
            IF(ISBETWEEN(C20, VALUE(VLOOKUP(E20, $AD:$AG, 2, false)), VALUE(VLOOKUP(E20, $AD:$AG, 4, false))), C20, """")),
        End_Level, IF(OR(D20 = """", NOT(ISBET"&amp;"WEEN(D20, VALUE(VLOOKUP(E20, $AD:$AG, 2, false)), VALUE(VLOOKUP(E20, $AD:$AG, 4, false)),0,1))),
            SWITCH($W$38,
                ""Max"", VLOOKUP(E20, $AD:$AG, 4, false),
                ""Target"", IF(VLOOKUP(E20, $AD:$AG, 3, false) &lt;&gt; """", VL"&amp;"OOKUP(E20, $AD:$AG, 3, false), VLOOKUP(E20, $AD:$AG, 4, false))),
            D20),
        SUM(OFFSET(DVT_Laboratory!$A$3, Start_Level , IF(ISNUMBER(SEARCH(""mastery"", E20)), MATCH(""Card Mastery"", DVT_Laboratory!$A$1:$MY$1, 0), MATCH(E20, DVT_Laborato"&amp;"ry!$A$1:$MY$1, 0)), End_Level - Start_Level, 1)) * (1-LAB_COIN_DISCOUNT())), ""Levels Error!""))"),"")</f>
        <v/>
      </c>
      <c r="I20" s="621" t="str">
        <f>IFERROR(__xludf.DUMMYFUNCTION("IFS(E20 = """", """", 
    VLOOKUP(E20, $AD:$AG, 2, false) = VLOOKUP(E20, $AD:$AG, 4, false), ""MAX Level"",
    AND(VLOOKUP(E20, $AD:$AG, 3, false) &lt;&gt; """", VLOOKUP(E20, $AD:$AG, 2, false) = VLOOKUP(E20, $AD:$AG, 3, false)), ""At Target"",
    TRUE,
    "&amp;"IFERROR(LET(
        Labspeed, IF(E20=""Labs Speed"", 1+'Master Sheet'!$BK$5, LAB_SPEED_TOTAL()),
        Start_Level, IF(C20 = """",
            VLOOKUP(E20, $AD:$AG, 2, false),
            IF(ISBETWEEN(C20, VALUE(VLOOKUP(E20, $AD:$AG, 2, false)), VALUE("&amp;"VLOOKUP(E20, $AD:$AG, 4, false))), C20, """")),
        End_Level, IF(OR(D20 = """", NOT(ISBETWEEN(D20, VALUE(VLOOKUP(E20, $AD:$AG, 2, false)), VALUE(VLOOKUP(E20, $AD:$AG, 4, false)),0,1))),
            SWITCH($W$38,
                ""Max"", VLOOKUP(E20, "&amp;"$AD:$AG, 4, false),
                ""Target"", IF(VLOOKUP(E20, $AD:$AG, 3, false) &lt;&gt; """", VLOOKUP(E20, $AD:$AG, 3, false), VLOOKUP(E20, $AD:$AG, 4, false))),
            D20),
        SUM(OFFSET(DVT_Laboratory!$A$3, Start_Level , IF(ISNUMBER(SEARCH(""ma"&amp;"stery"", E20)), MATCH(""Card Mastery"", DVT_Laboratory!$A$1:$MY$1, 0), MATCH(E20, DVT_Laboratory!$A$1:$MY$1, 0)) - 1, End_Level - Start_Level, 1)) /
                (1 * REGEXEXTRACT(F$2, ""[\d.-]+"")) /
                Labspeed), ""Levels Error!""))"),"")</f>
        <v/>
      </c>
      <c r="J20" s="640" t="str">
        <f t="shared" si="4"/>
        <v/>
      </c>
      <c r="K20" s="699"/>
      <c r="L20" s="700"/>
      <c r="M20" s="709"/>
      <c r="N20" s="707" t="str">
        <f>IFERROR(__xludf.DUMMYFUNCTION("IFERROR(IF(P20 = """", """",
    SWITCH($W$37,
        ""Total"", "" "" &amp; FORMAT_NUMBER(P20),
        ""Daily"", LET(Lab_name, IF(REGEXMATCH(M20, ""Mastery""), ""Card Mastery"", M20),
            Level, IF(ISBETWEEN(K20, VLOOKUP(M20, $AD:$AG, 2, FALSE), V"&amp;"LOOKUP(M20, $AD:$AG, 4, FALSE), TRUE, FALSE), K20, VLOOKUP(M20, $AD:$AG, 2, FALSE)),
            IF(LABCOST_SINGLE_ADJUSTED(Lab_name, Level + 1) = 0, ""0 (Max)"",
            "" "" &amp; FORMAT_NUMBER(            
                    LABCOST_SINGLE_ADJUSTED(L"&amp;"ab_name, Level + 1) / 
                    (LABDURATION_SINGLE_ADJUSTED(Lab_name, Level + 1) /
                    (1 * REGEXEXTRACT(N$2, ""[\d.-]+"")))))),
        ""Gem Rush"", LET(
            Labspeed, IF(M20=""Labs Speed"", 1+'Master Sheet'!$BK$5, LA"&amp;"B_SPEED_TOTAL()),
            Start_Level, IF(K20 = """",
                VLOOKUP(M20, $AD:$AG, 2, false),
                IF(ISBETWEEN(K20, VALUE(VLOOKUP(M20, $AD:$AG, 2, false)), VALUE(VLOOKUP(M20, $AD:$AG, 4, false))), K20, """")),
            End_Leve"&amp;"l, IF(OR(L20 = """", NOT(ISBETWEEN(L20, VALUE(VLOOKUP(M20, $AD:$AG, 2, false)), VALUE(VLOOKUP(M20, $AD:$AG, 4, false)),0,1))),
                SWITCH($W$38,
                    ""Max"", VLOOKUP(M20, $AD:$AG, 4, false),
                    ""Target"", IF(V"&amp;"LOOKUP(M20, $AD:$AG, 3, false) &lt;&gt; """", VLOOKUP(M20, $AD:$AG, 3, false), VLOOKUP(M20, $AD:$AG, 4, false))),
                    L20),
            SUM(ARRAYFORMULA(TIME_TO_RUSH_GEMS( OFFSET(DVT_Laboratory!$A$3, Start_Level , IF(ISNUMBER(SEARCH(""mastery"","&amp;" M20)), MATCH(""Card Mastery"", DVT_Laboratory!$A$1:$LO$1, 0), MATCH(M20, DVT_Laboratory!$A$1:$LO$1, 0)) - 1, End_Level - Start_Level, 1) / Labspeed)))))))"),"")</f>
        <v/>
      </c>
      <c r="O20" s="724" t="str">
        <f t="shared" si="9"/>
        <v/>
      </c>
      <c r="P20" s="625" t="str">
        <f>IFERROR(__xludf.DUMMYFUNCTION("IFS(M20 = """", """", 
    VLOOKUP(M20, $AD:$AG, 2, false) = VLOOKUP(M20, $AD:$AG, 4, false), ""MAX Level"",
    AND(VLOOKUP(M20, $AD:$AG, 3, false) &lt;&gt; """", VLOOKUP(M20, $AD:$AG, 2, false) = VLOOKUP(M20, $AD:$AG, 3, false)), ""At Target"",
    TRUE,
    "&amp;"IFERROR(LET(Start_Level, IF(K20 = """",
            VLOOKUP(M20, $AD:$AG, 2, false),
            IF(ISBETWEEN(K20, VALUE(VLOOKUP(M20, $AD:$AG, 2, false)), VALUE(VLOOKUP(M20, $AD:$AG, 4, false))), K20, """")),
        End_Level, IF(OR(L20 = """", NOT(ISBET"&amp;"WEEN(L20, VALUE(VLOOKUP(M20, $AD:$AG, 2, false)), VALUE(VLOOKUP(M20, $AD:$AG, 4, false)),0,1))),
            SWITCH($W$38,
                ""Max"", VLOOKUP(M20, $AD:$AG, 4, false),
                ""Target"", IF(VLOOKUP(M20, $AD:$AG, 3, false) &lt;&gt; """", VL"&amp;"OOKUP(M20, $AD:$AG, 3, false), VLOOKUP(M20, $AD:$AG, 4, false))),
            L20),
        SUM(OFFSET(DVT_Laboratory!$A$3, Start_Level , IF(ISNUMBER(SEARCH(""mastery"", M20)), MATCH(""Card Mastery"", DVT_Laboratory!$A$1:$MY$1, 0), MATCH(M20, DVT_Laborato"&amp;"ry!$A$1:$MY$1, 0)), End_Level - Start_Level, 1)) * (1-LAB_COIN_DISCOUNT())), ""Levels Error!""))"),"")</f>
        <v/>
      </c>
      <c r="Q20" s="626" t="str">
        <f>IFERROR(__xludf.DUMMYFUNCTION("IFS(M20 = """", """", 
    VLOOKUP(M20, $AD:$AG, 2, false) = VLOOKUP(M20, $AD:$AG, 4, false), ""MAX Level"",
    AND(VLOOKUP(M20, $AD:$AG, 3, false) &lt;&gt; """", VLOOKUP(M20, $AD:$AG, 2, false) = VLOOKUP(M20, $AD:$AG, 3, false)), ""At Target"",
    TRUE,
    "&amp;"IFERROR(LET(
        Labspeed, IF(M20=""Labs Speed"", 1+'Master Sheet'!$BK$5, LAB_SPEED_TOTAL()),
        Start_Level, IF(K20 = """",
            VLOOKUP(M20, $AD:$AG, 2, false),
            IF(ISBETWEEN(K20, VALUE(VLOOKUP(M20, $AD:$AG, 2, false)), VALUE("&amp;"VLOOKUP(M20, $AD:$AG, 4, false))), K20, """")),
        End_Level, IF(OR(L20 = """", NOT(ISBETWEEN(L20, VALUE(VLOOKUP(M20, $AD:$AG, 2, false)), VALUE(VLOOKUP(M20, $AD:$AG, 4, false)),0,1))),
            SWITCH($W$38,
                ""Max"", VLOOKUP(M20, "&amp;"$AD:$AG, 4, false),
                ""Target"", IF(VLOOKUP(M20, $AD:$AG, 3, false) &lt;&gt; """", VLOOKUP(M20, $AD:$AG, 3, false), VLOOKUP(M20, $AD:$AG, 4, false))),
            L20),
        SUM(OFFSET(DVT_Laboratory!$A$3, Start_Level , IF(ISNUMBER(SEARCH(""ma"&amp;"stery"", M20)), MATCH(""Card Mastery"", DVT_Laboratory!$A$1:$MY$1, 0), MATCH(M20, DVT_Laboratory!$A$1:$MY$1, 0)) - 1, End_Level - Start_Level, 1)) /
                (1 * REGEXEXTRACT(N$2, ""[\d.-]+"")) /
                Labspeed), ""Levels Error!""))"),"")</f>
        <v/>
      </c>
      <c r="R20" s="642" t="str">
        <f t="shared" si="6"/>
        <v/>
      </c>
      <c r="S20" s="696"/>
      <c r="T20" s="687"/>
      <c r="U20" s="715"/>
      <c r="V20" s="710" t="str">
        <f>IFERROR(__xludf.DUMMYFUNCTION("IFERROR(IF(X20 = """", """",
    SWITCH($W$37,
        ""Total"", "" "" &amp; FORMAT_NUMBER(X20),
        ""Daily"", LET(Lab_name, IF(REGEXMATCH(U20, ""Mastery""), ""Card Mastery"", U20),
            Level, IF(ISBETWEEN(S20, VLOOKUP(U20, $AD:$AG, 2, FALSE), V"&amp;"LOOKUP(U20, $AD:$AG, 4, FALSE), TRUE, FALSE), S20, VLOOKUP(U20, $AD:$AG, 2, FALSE)),
            IF(LABCOST_SINGLE_ADJUSTED(Lab_name, Level + 1) = 0, ""0 (Max)"",
            "" "" &amp; FORMAT_NUMBER(            
                    LABCOST_SINGLE_ADJUSTED(L"&amp;"ab_name, Level + 1) / 
                    (LABDURATION_SINGLE_ADJUSTED(Lab_name, Level + 1) /
                    (1 * REGEXEXTRACT(V$2, ""[\d.-]+"")))))),
        ""Gem Rush"", LET(
            Labspeed, IF(U20=""Labs Speed"", 1+'Master Sheet'!$BK$5, LA"&amp;"B_SPEED_TOTAL()),
            Start_Level, IF(S20 = """",
                VLOOKUP(U20, $AD:$AG, 2, false),
                IF(ISBETWEEN(S20, VALUE(VLOOKUP(U20, $AD:$AG, 2, false)), VALUE(VLOOKUP(U20, $AD:$AG, 4, false))), S20, """")),
            End_Leve"&amp;"l, IF(OR(T20 = """", NOT(ISBETWEEN(T20, VALUE(VLOOKUP(U20, $AD:$AG, 2, false)), VALUE(VLOOKUP(U20, $AD:$AG, 4, false)),0,1))),
                SWITCH($W$38,
                    ""Max"", VLOOKUP(U20, $AD:$AG, 4, false),
                    ""Target"", IF(V"&amp;"LOOKUP(U20, $AD:$AG, 3, false) &lt;&gt; """", VLOOKUP(U20, $AD:$AG, 3, false), VLOOKUP(U20, $AD:$AG, 4, false))),
                    T20),
            SUM(ARRAYFORMULA(TIME_TO_RUSH_GEMS( OFFSET(DVT_Laboratory!$A$3, Start_Level , IF(ISNUMBER(SEARCH(""mastery"","&amp;" U20)), MATCH(""Card Mastery"", DVT_Laboratory!$A$1:$LO$1, 0), MATCH(U20, DVT_Laboratory!$A$1:$LO$1, 0)) - 1, End_Level - Start_Level, 1) / Labspeed)))))))"),"")</f>
        <v/>
      </c>
      <c r="W20" s="725" t="str">
        <f t="shared" si="10"/>
        <v/>
      </c>
      <c r="X20" s="630" t="str">
        <f>IFERROR(__xludf.DUMMYFUNCTION("IFS(U20 = """", """", 
    VLOOKUP(U20, $AD:$AG, 2, false) = VLOOKUP(U20, $AD:$AG, 4, false), ""MAX Level"",
    AND(VLOOKUP(U20, $AD:$AG, 3, false) &lt;&gt; """", VLOOKUP(U20, $AD:$AG, 2, false) = VLOOKUP(U20, $AD:$AG, 3, false)), ""At Target"",
    TRUE,
    "&amp;"IFERROR(LET(Start_Level, IF(S20 = """",
            VLOOKUP(U20, $AD:$AG, 2, false),
            IF(ISBETWEEN(S20, VALUE(VLOOKUP(U20, $AD:$AG, 2, false)), VALUE(VLOOKUP(U20, $AD:$AG, 4, false))), S20, """")),
        End_Level, IF(OR(T20 = """", NOT(ISBET"&amp;"WEEN(T20, VALUE(VLOOKUP(U20, $AD:$AG, 2, false)), VALUE(VLOOKUP(U20, $AD:$AG, 4, false)),0,1))),
            SWITCH($W$38,
                ""Max"", VLOOKUP(U20, $AD:$AG, 4, false),
                ""Target"", IF(VLOOKUP(U20, $AD:$AG, 3, false) &lt;&gt; """", VL"&amp;"OOKUP(U20, $AD:$AG, 3, false), VLOOKUP(U20, $AD:$AG, 4, false))),
            T20),
        SUM(OFFSET(DVT_Laboratory!$A$3, Start_Level , IF(ISNUMBER(SEARCH(""mastery"", U20)), MATCH(""Card Mastery"", DVT_Laboratory!$A$1:$MY$1, 0), MATCH(U20, DVT_Laborato"&amp;"ry!$A$1:$MY$1, 0)), End_Level - Start_Level, 1)) * (1-LAB_COIN_DISCOUNT())), ""Levels Error!""))"),"")</f>
        <v/>
      </c>
      <c r="Y20" s="631" t="str">
        <f>IFERROR(__xludf.DUMMYFUNCTION("IFS(U20 = """", """", 
    VLOOKUP(U20, $AD:$AG, 2, false) = VLOOKUP(U20, $AD:$AG, 4, false), ""MAX Level"",
    AND(VLOOKUP(U20, $AD:$AG, 3, false) &lt;&gt; """", VLOOKUP(U20, $AD:$AG, 2, false) = VLOOKUP(U20, $AD:$AG, 3, false)), ""At Target"",
    TRUE,
    "&amp;"IFERROR(LET(
        Labspeed, IF(U20=""Labs Speed"", 1+'Master Sheet'!$BK$5, LAB_SPEED_TOTAL()),
        Start_Level, IF(S20 = """",
            VLOOKUP(U20, $AD:$AG, 2, false),
            IF(ISBETWEEN(S20, VALUE(VLOOKUP(U20, $AD:$AG, 2, false)), VALUE("&amp;"VLOOKUP(U20, $AD:$AG, 4, false))), S20, """")),
        End_Level, IF(OR(T20 = """", NOT(ISBETWEEN(T20, VALUE(VLOOKUP(U20, $AD:$AG, 2, false)), VALUE(VLOOKUP(U20, $AD:$AG, 4, false)),0,1))),
            SWITCH($W$38,
                ""Max"", VLOOKUP(U20, "&amp;"$AD:$AG, 4, false),
                ""Target"", IF(VLOOKUP(U20, $AD:$AG, 3, false) &lt;&gt; """", VLOOKUP(U20, $AD:$AG, 3, false), VLOOKUP(U20, $AD:$AG, 4, false))),
            T20),
        SUM(OFFSET(DVT_Laboratory!$A$3, Start_Level , IF(ISNUMBER(SEARCH(""ma"&amp;"stery"", U20)), MATCH(""Card Mastery"", DVT_Laboratory!$A$1:$MY$1, 0), MATCH(U20, DVT_Laboratory!$A$1:$MY$1, 0)) - 1, End_Level - Start_Level, 1)) /
                (1 * REGEXEXTRACT(V$2, ""[\d.-]+"")) /
                Labspeed), ""Levels Error!""))"),"")</f>
        <v/>
      </c>
      <c r="Z20" s="598"/>
      <c r="AB20" s="731" t="s">
        <v>438</v>
      </c>
      <c r="AC20" s="713" t="str">
        <f>IFERROR(__xludf.DUMMYFUNCTION("""COMPUTED_VALUE"""),"Basic's Ultimate")</f>
        <v>Basic's Ultimate</v>
      </c>
      <c r="AD20" s="732" t="s">
        <v>307</v>
      </c>
      <c r="AE20" s="713">
        <v>0.0</v>
      </c>
      <c r="AF20" s="713"/>
      <c r="AG20" s="713">
        <v>10.0</v>
      </c>
      <c r="AH20" s="634" t="str">
        <f t="shared" si="1"/>
        <v/>
      </c>
      <c r="AI20" s="713"/>
      <c r="AJ20" s="713"/>
      <c r="AK20" s="713"/>
      <c r="AL20" s="713"/>
      <c r="AM20" s="713"/>
      <c r="AN20" s="713"/>
      <c r="AO20" s="713"/>
      <c r="AP20" s="713"/>
      <c r="AQ20" s="713"/>
      <c r="AR20" s="713"/>
      <c r="AS20" s="713"/>
      <c r="AT20" s="713"/>
      <c r="AU20" s="713"/>
      <c r="AV20" s="713"/>
      <c r="AW20" s="713"/>
      <c r="AX20" s="713"/>
      <c r="AY20" s="713"/>
      <c r="AZ20" s="713"/>
      <c r="BA20" s="713"/>
      <c r="BB20" s="713"/>
      <c r="BC20" s="713"/>
      <c r="BD20" s="713"/>
      <c r="BE20" s="713"/>
      <c r="BF20" s="713"/>
      <c r="BG20" s="713"/>
      <c r="BH20" s="713"/>
      <c r="BI20" s="713"/>
      <c r="BJ20" s="713"/>
      <c r="BK20" s="713"/>
      <c r="BL20" s="713"/>
      <c r="BM20" s="713"/>
      <c r="BN20" s="713"/>
      <c r="BO20" s="713"/>
      <c r="BP20" s="713"/>
      <c r="BQ20" s="713"/>
      <c r="BR20" s="713"/>
      <c r="BS20" s="713"/>
      <c r="BT20" s="713"/>
      <c r="BU20" s="713"/>
      <c r="BV20" s="713"/>
      <c r="BW20" s="713"/>
      <c r="BX20" s="713"/>
      <c r="BY20" s="713"/>
      <c r="BZ20" s="713"/>
      <c r="CA20" s="713"/>
      <c r="CB20" s="713"/>
      <c r="CC20" s="713"/>
      <c r="CD20" s="713"/>
      <c r="CE20" s="713"/>
      <c r="CF20" s="713"/>
      <c r="CG20" s="713"/>
      <c r="CH20" s="713"/>
      <c r="CI20" s="713"/>
      <c r="CJ20" s="713"/>
      <c r="CK20" s="713"/>
      <c r="CL20" s="713"/>
      <c r="CM20" s="713"/>
      <c r="CN20" s="713"/>
      <c r="CO20" s="713"/>
      <c r="CP20" s="713"/>
      <c r="CQ20" s="713"/>
      <c r="CR20" s="713"/>
      <c r="CS20" s="713"/>
      <c r="CT20" s="713"/>
      <c r="CU20" s="713"/>
      <c r="CV20" s="713"/>
      <c r="CW20" s="713"/>
      <c r="CX20" s="713"/>
      <c r="CY20" s="713"/>
      <c r="CZ20" s="713"/>
      <c r="DA20" s="713"/>
      <c r="DB20" s="713"/>
      <c r="DC20" s="713"/>
      <c r="DD20" s="713"/>
      <c r="DE20" s="713"/>
      <c r="DF20" s="713"/>
      <c r="DG20" s="713"/>
      <c r="DH20" s="713"/>
      <c r="DI20" s="713"/>
      <c r="DJ20" s="713"/>
      <c r="DK20" s="713"/>
      <c r="DL20" s="713"/>
      <c r="DM20" s="713"/>
      <c r="DN20" s="713"/>
      <c r="DO20" s="713"/>
      <c r="DP20" s="713"/>
      <c r="DQ20" s="713"/>
      <c r="DR20" s="713"/>
      <c r="DS20" s="713"/>
      <c r="DT20" s="713"/>
      <c r="DU20" s="713"/>
      <c r="DV20" s="713"/>
      <c r="DW20" s="713"/>
      <c r="DX20" s="713"/>
      <c r="DY20" s="713"/>
      <c r="DZ20" s="713"/>
      <c r="EA20" s="713"/>
      <c r="EB20" s="713"/>
      <c r="EC20" s="713"/>
      <c r="ED20" s="713"/>
      <c r="EE20" s="713"/>
      <c r="EF20" s="713"/>
      <c r="EG20" s="713"/>
      <c r="EH20" s="713"/>
      <c r="EI20" s="713"/>
      <c r="EJ20" s="713"/>
      <c r="EK20" s="713"/>
      <c r="EL20" s="713"/>
      <c r="EM20" s="713"/>
      <c r="EN20" s="713"/>
      <c r="EO20" s="713"/>
      <c r="EP20" s="713"/>
      <c r="EQ20" s="713"/>
      <c r="ER20" s="713"/>
      <c r="ES20" s="713"/>
      <c r="ET20" s="713"/>
      <c r="EU20" s="713"/>
      <c r="EV20" s="713"/>
      <c r="EW20" s="713"/>
      <c r="EX20" s="713"/>
      <c r="EY20" s="713"/>
      <c r="EZ20" s="713"/>
      <c r="FA20" s="713"/>
      <c r="FB20" s="713"/>
      <c r="FC20" s="713"/>
      <c r="FD20" s="713"/>
      <c r="FE20" s="713"/>
      <c r="FF20" s="713"/>
      <c r="FG20" s="713"/>
      <c r="FH20" s="713"/>
      <c r="FI20" s="713"/>
      <c r="FJ20" s="713"/>
      <c r="FK20" s="713"/>
      <c r="FL20" s="713"/>
      <c r="FM20" s="713"/>
      <c r="FN20" s="713"/>
      <c r="FO20" s="713"/>
      <c r="FP20" s="713"/>
      <c r="FQ20" s="713"/>
      <c r="FR20" s="713"/>
      <c r="FS20" s="713"/>
      <c r="FT20" s="713"/>
      <c r="FU20" s="713"/>
      <c r="FV20" s="713"/>
      <c r="FW20" s="713"/>
      <c r="FX20" s="713"/>
      <c r="FY20" s="713"/>
      <c r="FZ20" s="713"/>
      <c r="GA20" s="713"/>
      <c r="GB20" s="713"/>
      <c r="GC20" s="713"/>
      <c r="GD20" s="713"/>
      <c r="GE20" s="713"/>
      <c r="GF20" s="713"/>
      <c r="GG20" s="713"/>
      <c r="GH20" s="713"/>
      <c r="GI20" s="713"/>
      <c r="GJ20" s="713"/>
      <c r="GK20" s="713"/>
      <c r="GL20" s="713"/>
      <c r="GM20" s="713"/>
      <c r="GN20" s="713"/>
      <c r="GO20" s="713"/>
      <c r="GP20" s="713"/>
      <c r="GQ20" s="713"/>
      <c r="GR20" s="713"/>
      <c r="GS20" s="713"/>
      <c r="GT20" s="713"/>
      <c r="GU20" s="713"/>
      <c r="GV20" s="713"/>
      <c r="GW20" s="713"/>
      <c r="GX20" s="713"/>
      <c r="GY20" s="713"/>
      <c r="GZ20" s="713"/>
      <c r="HA20" s="713"/>
      <c r="HB20" s="713"/>
      <c r="HC20" s="713"/>
      <c r="HD20" s="713"/>
      <c r="HE20" s="713"/>
      <c r="HF20" s="713"/>
      <c r="HG20" s="713"/>
      <c r="HH20" s="713"/>
      <c r="HI20" s="713"/>
      <c r="HJ20" s="713"/>
      <c r="HK20" s="713"/>
      <c r="HL20" s="713"/>
      <c r="HM20" s="713"/>
      <c r="HN20" s="713"/>
      <c r="HO20" s="713"/>
      <c r="HP20" s="713"/>
      <c r="HQ20" s="713"/>
      <c r="HR20" s="713"/>
      <c r="HS20" s="713"/>
      <c r="HT20" s="713"/>
      <c r="HU20" s="713"/>
      <c r="HV20" s="713"/>
      <c r="HW20" s="713"/>
      <c r="HX20" s="713"/>
      <c r="HY20" s="713"/>
      <c r="HZ20" s="713"/>
      <c r="IA20" s="713"/>
      <c r="IB20" s="713"/>
      <c r="IC20" s="713"/>
      <c r="ID20" s="713"/>
      <c r="IE20" s="713"/>
      <c r="IF20" s="713"/>
      <c r="IG20" s="713"/>
      <c r="IH20" s="713"/>
    </row>
    <row r="21" hidden="1" outlineLevel="1">
      <c r="A21" s="598"/>
      <c r="B21" s="614" t="str">
        <f t="shared" si="2"/>
        <v/>
      </c>
      <c r="C21" s="705"/>
      <c r="D21" s="722"/>
      <c r="E21" s="692"/>
      <c r="F21" s="659" t="str">
        <f>IFERROR(__xludf.DUMMYFUNCTION("IFERROR(IF(H21 = """", """",
    SWITCH($W$37,
        ""Total"", "" "" &amp; FORMAT_NUMBER(H21),
        ""Daily"", LET(Lab_name, IF(REGEXMATCH(E21, ""Mastery""), ""Card Mastery"", E21),
            Level, IF(ISBETWEEN(C21, VLOOKUP(E21, $AD:$AG, 2, FALSE), V"&amp;"LOOKUP(E21, $AD:$AG, 4, FALSE), TRUE, FALSE), C21, VLOOKUP(E21, $AD:$AG, 2, FALSE)),
            IF(LABCOST_SINGLE_ADJUSTED(Lab_name, Level + 1) = 0, ""0 (Max)"",
            "" "" &amp; FORMAT_NUMBER(            
                    LABCOST_SINGLE_ADJUSTED(L"&amp;"ab_name, Level + 1) / 
                    (LABDURATION_SINGLE_ADJUSTED(Lab_name, Level + 1) /
                    (1 * REGEXEXTRACT(F$2, ""[\d.-]+"")))))),
        ""Gem Rush"", LET(
            Labspeed, IF(E21=""Labs Speed"", 1+'Master Sheet'!$BK$5, LA"&amp;"B_SPEED_TOTAL()),
            Start_Level, IF(C21 = """",
                VLOOKUP(E21, $AD:$AG, 2, false),
                IF(ISBETWEEN(C21, VALUE(VLOOKUP(E21, $AD:$AG, 2, false)), VALUE(VLOOKUP(E21, $AD:$AG, 4, false))), C21, """")),
            End_Leve"&amp;"l, IF(OR(D21 = """", NOT(ISBETWEEN(D21, VALUE(VLOOKUP(E21, $AD:$AG, 2, false)), VALUE(VLOOKUP(E21, $AD:$AG, 4, false)),0,1))),
                SWITCH($W$38,
                    ""Max"", VLOOKUP(E21, $AD:$AG, 4, false),
                    ""Target"", IF(V"&amp;"LOOKUP(E21, $AD:$AG, 3, false) &lt;&gt; """", VLOOKUP(E21, $AD:$AG, 3, false), VLOOKUP(E21, $AD:$AG, 4, false))),
                    D21),
            SUM(ARRAYFORMULA(TIME_TO_RUSH_GEMS( OFFSET(DVT_Laboratory!$A$3, Start_Level , IF(ISNUMBER(SEARCH(""mastery"","&amp;" E21)), MATCH(""Card Mastery"", DVT_Laboratory!$A$1:$LO$1, 0), MATCH(E21, DVT_Laboratory!$A$1:$LO$1, 0)) - 1, End_Level - Start_Level, 1) / Labspeed)))))))"),"")</f>
        <v/>
      </c>
      <c r="G21" s="723" t="str">
        <f t="shared" si="8"/>
        <v/>
      </c>
      <c r="H21" s="620" t="str">
        <f>IFERROR(__xludf.DUMMYFUNCTION("IFS(E21 = """", """", 
    VLOOKUP(E21, $AD:$AG, 2, false) = VLOOKUP(E21, $AD:$AG, 4, false), ""MAX Level"",
    AND(VLOOKUP(E21, $AD:$AG, 3, false) &lt;&gt; """", VLOOKUP(E21, $AD:$AG, 2, false) = VLOOKUP(E21, $AD:$AG, 3, false)), ""At Target"",
    TRUE,
    "&amp;"IFERROR(LET(Start_Level, IF(C21 = """",
            VLOOKUP(E21, $AD:$AG, 2, false),
            IF(ISBETWEEN(C21, VALUE(VLOOKUP(E21, $AD:$AG, 2, false)), VALUE(VLOOKUP(E21, $AD:$AG, 4, false))), C21, """")),
        End_Level, IF(OR(D21 = """", NOT(ISBET"&amp;"WEEN(D21, VALUE(VLOOKUP(E21, $AD:$AG, 2, false)), VALUE(VLOOKUP(E21, $AD:$AG, 4, false)),0,1))),
            SWITCH($W$38,
                ""Max"", VLOOKUP(E21, $AD:$AG, 4, false),
                ""Target"", IF(VLOOKUP(E21, $AD:$AG, 3, false) &lt;&gt; """", VL"&amp;"OOKUP(E21, $AD:$AG, 3, false), VLOOKUP(E21, $AD:$AG, 4, false))),
            D21),
        SUM(OFFSET(DVT_Laboratory!$A$3, Start_Level , IF(ISNUMBER(SEARCH(""mastery"", E21)), MATCH(""Card Mastery"", DVT_Laboratory!$A$1:$MY$1, 0), MATCH(E21, DVT_Laborato"&amp;"ry!$A$1:$MY$1, 0)), End_Level - Start_Level, 1)) * (1-LAB_COIN_DISCOUNT())), ""Levels Error!""))"),"")</f>
        <v/>
      </c>
      <c r="I21" s="621" t="str">
        <f>IFERROR(__xludf.DUMMYFUNCTION("IFS(E21 = """", """", 
    VLOOKUP(E21, $AD:$AG, 2, false) = VLOOKUP(E21, $AD:$AG, 4, false), ""MAX Level"",
    AND(VLOOKUP(E21, $AD:$AG, 3, false) &lt;&gt; """", VLOOKUP(E21, $AD:$AG, 2, false) = VLOOKUP(E21, $AD:$AG, 3, false)), ""At Target"",
    TRUE,
    "&amp;"IFERROR(LET(
        Labspeed, IF(E21=""Labs Speed"", 1+'Master Sheet'!$BK$5, LAB_SPEED_TOTAL()),
        Start_Level, IF(C21 = """",
            VLOOKUP(E21, $AD:$AG, 2, false),
            IF(ISBETWEEN(C21, VALUE(VLOOKUP(E21, $AD:$AG, 2, false)), VALUE("&amp;"VLOOKUP(E21, $AD:$AG, 4, false))), C21, """")),
        End_Level, IF(OR(D21 = """", NOT(ISBETWEEN(D21, VALUE(VLOOKUP(E21, $AD:$AG, 2, false)), VALUE(VLOOKUP(E21, $AD:$AG, 4, false)),0,1))),
            SWITCH($W$38,
                ""Max"", VLOOKUP(E21, "&amp;"$AD:$AG, 4, false),
                ""Target"", IF(VLOOKUP(E21, $AD:$AG, 3, false) &lt;&gt; """", VLOOKUP(E21, $AD:$AG, 3, false), VLOOKUP(E21, $AD:$AG, 4, false))),
            D21),
        SUM(OFFSET(DVT_Laboratory!$A$3, Start_Level , IF(ISNUMBER(SEARCH(""ma"&amp;"stery"", E21)), MATCH(""Card Mastery"", DVT_Laboratory!$A$1:$MY$1, 0), MATCH(E21, DVT_Laboratory!$A$1:$MY$1, 0)) - 1, End_Level - Start_Level, 1)) /
                (1 * REGEXEXTRACT(F$2, ""[\d.-]+"")) /
                Labspeed), ""Levels Error!""))"),"")</f>
        <v/>
      </c>
      <c r="J21" s="640" t="str">
        <f t="shared" si="4"/>
        <v/>
      </c>
      <c r="K21" s="699"/>
      <c r="L21" s="700"/>
      <c r="M21" s="709"/>
      <c r="N21" s="707" t="str">
        <f>IFERROR(__xludf.DUMMYFUNCTION("IFERROR(IF(P21 = """", """",
    SWITCH($W$37,
        ""Total"", "" "" &amp; FORMAT_NUMBER(P21),
        ""Daily"", LET(Lab_name, IF(REGEXMATCH(M21, ""Mastery""), ""Card Mastery"", M21),
            Level, IF(ISBETWEEN(K21, VLOOKUP(M21, $AD:$AG, 2, FALSE), V"&amp;"LOOKUP(M21, $AD:$AG, 4, FALSE), TRUE, FALSE), K21, VLOOKUP(M21, $AD:$AG, 2, FALSE)),
            IF(LABCOST_SINGLE_ADJUSTED(Lab_name, Level + 1) = 0, ""0 (Max)"",
            "" "" &amp; FORMAT_NUMBER(            
                    LABCOST_SINGLE_ADJUSTED(L"&amp;"ab_name, Level + 1) / 
                    (LABDURATION_SINGLE_ADJUSTED(Lab_name, Level + 1) /
                    (1 * REGEXEXTRACT(N$2, ""[\d.-]+"")))))),
        ""Gem Rush"", LET(
            Labspeed, IF(M21=""Labs Speed"", 1+'Master Sheet'!$BK$5, LA"&amp;"B_SPEED_TOTAL()),
            Start_Level, IF(K21 = """",
                VLOOKUP(M21, $AD:$AG, 2, false),
                IF(ISBETWEEN(K21, VALUE(VLOOKUP(M21, $AD:$AG, 2, false)), VALUE(VLOOKUP(M21, $AD:$AG, 4, false))), K21, """")),
            End_Leve"&amp;"l, IF(OR(L21 = """", NOT(ISBETWEEN(L21, VALUE(VLOOKUP(M21, $AD:$AG, 2, false)), VALUE(VLOOKUP(M21, $AD:$AG, 4, false)),0,1))),
                SWITCH($W$38,
                    ""Max"", VLOOKUP(M21, $AD:$AG, 4, false),
                    ""Target"", IF(V"&amp;"LOOKUP(M21, $AD:$AG, 3, false) &lt;&gt; """", VLOOKUP(M21, $AD:$AG, 3, false), VLOOKUP(M21, $AD:$AG, 4, false))),
                    L21),
            SUM(ARRAYFORMULA(TIME_TO_RUSH_GEMS( OFFSET(DVT_Laboratory!$A$3, Start_Level , IF(ISNUMBER(SEARCH(""mastery"","&amp;" M21)), MATCH(""Card Mastery"", DVT_Laboratory!$A$1:$LO$1, 0), MATCH(M21, DVT_Laboratory!$A$1:$LO$1, 0)) - 1, End_Level - Start_Level, 1) / Labspeed)))))))"),"")</f>
        <v/>
      </c>
      <c r="O21" s="724" t="str">
        <f t="shared" si="9"/>
        <v/>
      </c>
      <c r="P21" s="625" t="str">
        <f>IFERROR(__xludf.DUMMYFUNCTION("IFS(M21 = """", """", 
    VLOOKUP(M21, $AD:$AG, 2, false) = VLOOKUP(M21, $AD:$AG, 4, false), ""MAX Level"",
    AND(VLOOKUP(M21, $AD:$AG, 3, false) &lt;&gt; """", VLOOKUP(M21, $AD:$AG, 2, false) = VLOOKUP(M21, $AD:$AG, 3, false)), ""At Target"",
    TRUE,
    "&amp;"IFERROR(LET(Start_Level, IF(K21 = """",
            VLOOKUP(M21, $AD:$AG, 2, false),
            IF(ISBETWEEN(K21, VALUE(VLOOKUP(M21, $AD:$AG, 2, false)), VALUE(VLOOKUP(M21, $AD:$AG, 4, false))), K21, """")),
        End_Level, IF(OR(L21 = """", NOT(ISBET"&amp;"WEEN(L21, VALUE(VLOOKUP(M21, $AD:$AG, 2, false)), VALUE(VLOOKUP(M21, $AD:$AG, 4, false)),0,1))),
            SWITCH($W$38,
                ""Max"", VLOOKUP(M21, $AD:$AG, 4, false),
                ""Target"", IF(VLOOKUP(M21, $AD:$AG, 3, false) &lt;&gt; """", VL"&amp;"OOKUP(M21, $AD:$AG, 3, false), VLOOKUP(M21, $AD:$AG, 4, false))),
            L21),
        SUM(OFFSET(DVT_Laboratory!$A$3, Start_Level , IF(ISNUMBER(SEARCH(""mastery"", M21)), MATCH(""Card Mastery"", DVT_Laboratory!$A$1:$MY$1, 0), MATCH(M21, DVT_Laborato"&amp;"ry!$A$1:$MY$1, 0)), End_Level - Start_Level, 1)) * (1-LAB_COIN_DISCOUNT())), ""Levels Error!""))"),"")</f>
        <v/>
      </c>
      <c r="Q21" s="626" t="str">
        <f>IFERROR(__xludf.DUMMYFUNCTION("IFS(M21 = """", """", 
    VLOOKUP(M21, $AD:$AG, 2, false) = VLOOKUP(M21, $AD:$AG, 4, false), ""MAX Level"",
    AND(VLOOKUP(M21, $AD:$AG, 3, false) &lt;&gt; """", VLOOKUP(M21, $AD:$AG, 2, false) = VLOOKUP(M21, $AD:$AG, 3, false)), ""At Target"",
    TRUE,
    "&amp;"IFERROR(LET(
        Labspeed, IF(M21=""Labs Speed"", 1+'Master Sheet'!$BK$5, LAB_SPEED_TOTAL()),
        Start_Level, IF(K21 = """",
            VLOOKUP(M21, $AD:$AG, 2, false),
            IF(ISBETWEEN(K21, VALUE(VLOOKUP(M21, $AD:$AG, 2, false)), VALUE("&amp;"VLOOKUP(M21, $AD:$AG, 4, false))), K21, """")),
        End_Level, IF(OR(L21 = """", NOT(ISBETWEEN(L21, VALUE(VLOOKUP(M21, $AD:$AG, 2, false)), VALUE(VLOOKUP(M21, $AD:$AG, 4, false)),0,1))),
            SWITCH($W$38,
                ""Max"", VLOOKUP(M21, "&amp;"$AD:$AG, 4, false),
                ""Target"", IF(VLOOKUP(M21, $AD:$AG, 3, false) &lt;&gt; """", VLOOKUP(M21, $AD:$AG, 3, false), VLOOKUP(M21, $AD:$AG, 4, false))),
            L21),
        SUM(OFFSET(DVT_Laboratory!$A$3, Start_Level , IF(ISNUMBER(SEARCH(""ma"&amp;"stery"", M21)), MATCH(""Card Mastery"", DVT_Laboratory!$A$1:$MY$1, 0), MATCH(M21, DVT_Laboratory!$A$1:$MY$1, 0)) - 1, End_Level - Start_Level, 1)) /
                (1 * REGEXEXTRACT(N$2, ""[\d.-]+"")) /
                Labspeed), ""Levels Error!""))"),"")</f>
        <v/>
      </c>
      <c r="R21" s="642" t="str">
        <f t="shared" si="6"/>
        <v/>
      </c>
      <c r="S21" s="696"/>
      <c r="T21" s="687"/>
      <c r="U21" s="715"/>
      <c r="V21" s="710" t="str">
        <f>IFERROR(__xludf.DUMMYFUNCTION("IFERROR(IF(X21 = """", """",
    SWITCH($W$37,
        ""Total"", "" "" &amp; FORMAT_NUMBER(X21),
        ""Daily"", LET(Lab_name, IF(REGEXMATCH(U21, ""Mastery""), ""Card Mastery"", U21),
            Level, IF(ISBETWEEN(S21, VLOOKUP(U21, $AD:$AG, 2, FALSE), V"&amp;"LOOKUP(U21, $AD:$AG, 4, FALSE), TRUE, FALSE), S21, VLOOKUP(U21, $AD:$AG, 2, FALSE)),
            IF(LABCOST_SINGLE_ADJUSTED(Lab_name, Level + 1) = 0, ""0 (Max)"",
            "" "" &amp; FORMAT_NUMBER(            
                    LABCOST_SINGLE_ADJUSTED(L"&amp;"ab_name, Level + 1) / 
                    (LABDURATION_SINGLE_ADJUSTED(Lab_name, Level + 1) /
                    (1 * REGEXEXTRACT(V$2, ""[\d.-]+"")))))),
        ""Gem Rush"", LET(
            Labspeed, IF(U21=""Labs Speed"", 1+'Master Sheet'!$BK$5, LA"&amp;"B_SPEED_TOTAL()),
            Start_Level, IF(S21 = """",
                VLOOKUP(U21, $AD:$AG, 2, false),
                IF(ISBETWEEN(S21, VALUE(VLOOKUP(U21, $AD:$AG, 2, false)), VALUE(VLOOKUP(U21, $AD:$AG, 4, false))), S21, """")),
            End_Leve"&amp;"l, IF(OR(T21 = """", NOT(ISBETWEEN(T21, VALUE(VLOOKUP(U21, $AD:$AG, 2, false)), VALUE(VLOOKUP(U21, $AD:$AG, 4, false)),0,1))),
                SWITCH($W$38,
                    ""Max"", VLOOKUP(U21, $AD:$AG, 4, false),
                    ""Target"", IF(V"&amp;"LOOKUP(U21, $AD:$AG, 3, false) &lt;&gt; """", VLOOKUP(U21, $AD:$AG, 3, false), VLOOKUP(U21, $AD:$AG, 4, false))),
                    T21),
            SUM(ARRAYFORMULA(TIME_TO_RUSH_GEMS( OFFSET(DVT_Laboratory!$A$3, Start_Level , IF(ISNUMBER(SEARCH(""mastery"","&amp;" U21)), MATCH(""Card Mastery"", DVT_Laboratory!$A$1:$LO$1, 0), MATCH(U21, DVT_Laboratory!$A$1:$LO$1, 0)) - 1, End_Level - Start_Level, 1) / Labspeed)))))))"),"")</f>
        <v/>
      </c>
      <c r="W21" s="725" t="str">
        <f t="shared" si="10"/>
        <v/>
      </c>
      <c r="X21" s="630" t="str">
        <f>IFERROR(__xludf.DUMMYFUNCTION("IFS(U21 = """", """", 
    VLOOKUP(U21, $AD:$AG, 2, false) = VLOOKUP(U21, $AD:$AG, 4, false), ""MAX Level"",
    AND(VLOOKUP(U21, $AD:$AG, 3, false) &lt;&gt; """", VLOOKUP(U21, $AD:$AG, 2, false) = VLOOKUP(U21, $AD:$AG, 3, false)), ""At Target"",
    TRUE,
    "&amp;"IFERROR(LET(Start_Level, IF(S21 = """",
            VLOOKUP(U21, $AD:$AG, 2, false),
            IF(ISBETWEEN(S21, VALUE(VLOOKUP(U21, $AD:$AG, 2, false)), VALUE(VLOOKUP(U21, $AD:$AG, 4, false))), S21, """")),
        End_Level, IF(OR(T21 = """", NOT(ISBET"&amp;"WEEN(T21, VALUE(VLOOKUP(U21, $AD:$AG, 2, false)), VALUE(VLOOKUP(U21, $AD:$AG, 4, false)),0,1))),
            SWITCH($W$38,
                ""Max"", VLOOKUP(U21, $AD:$AG, 4, false),
                ""Target"", IF(VLOOKUP(U21, $AD:$AG, 3, false) &lt;&gt; """", VL"&amp;"OOKUP(U21, $AD:$AG, 3, false), VLOOKUP(U21, $AD:$AG, 4, false))),
            T21),
        SUM(OFFSET(DVT_Laboratory!$A$3, Start_Level , IF(ISNUMBER(SEARCH(""mastery"", U21)), MATCH(""Card Mastery"", DVT_Laboratory!$A$1:$MY$1, 0), MATCH(U21, DVT_Laborato"&amp;"ry!$A$1:$MY$1, 0)), End_Level - Start_Level, 1)) * (1-LAB_COIN_DISCOUNT())), ""Levels Error!""))"),"")</f>
        <v/>
      </c>
      <c r="Y21" s="631" t="str">
        <f>IFERROR(__xludf.DUMMYFUNCTION("IFS(U21 = """", """", 
    VLOOKUP(U21, $AD:$AG, 2, false) = VLOOKUP(U21, $AD:$AG, 4, false), ""MAX Level"",
    AND(VLOOKUP(U21, $AD:$AG, 3, false) &lt;&gt; """", VLOOKUP(U21, $AD:$AG, 2, false) = VLOOKUP(U21, $AD:$AG, 3, false)), ""At Target"",
    TRUE,
    "&amp;"IFERROR(LET(
        Labspeed, IF(U21=""Labs Speed"", 1+'Master Sheet'!$BK$5, LAB_SPEED_TOTAL()),
        Start_Level, IF(S21 = """",
            VLOOKUP(U21, $AD:$AG, 2, false),
            IF(ISBETWEEN(S21, VALUE(VLOOKUP(U21, $AD:$AG, 2, false)), VALUE("&amp;"VLOOKUP(U21, $AD:$AG, 4, false))), S21, """")),
        End_Level, IF(OR(T21 = """", NOT(ISBETWEEN(T21, VALUE(VLOOKUP(U21, $AD:$AG, 2, false)), VALUE(VLOOKUP(U21, $AD:$AG, 4, false)),0,1))),
            SWITCH($W$38,
                ""Max"", VLOOKUP(U21, "&amp;"$AD:$AG, 4, false),
                ""Target"", IF(VLOOKUP(U21, $AD:$AG, 3, false) &lt;&gt; """", VLOOKUP(U21, $AD:$AG, 3, false), VLOOKUP(U21, $AD:$AG, 4, false))),
            T21),
        SUM(OFFSET(DVT_Laboratory!$A$3, Start_Level , IF(ISNUMBER(SEARCH(""ma"&amp;"stery"", U21)), MATCH(""Card Mastery"", DVT_Laboratory!$A$1:$MY$1, 0), MATCH(U21, DVT_Laboratory!$A$1:$MY$1, 0)) - 1, End_Level - Start_Level, 1)) /
                (1 * REGEXEXTRACT(V$2, ""[\d.-]+"")) /
                Labspeed), ""Levels Error!""))"),"")</f>
        <v/>
      </c>
      <c r="Z21" s="598"/>
      <c r="AA21" s="733" t="s">
        <v>439</v>
      </c>
      <c r="AB21" s="734" t="s">
        <v>440</v>
      </c>
      <c r="AC21" s="613" t="str">
        <f>IFERROR(__xludf.DUMMYFUNCTION("""COMPUTED_VALUE"""),"Battle Condition Reduction")</f>
        <v>Battle Condition Reduction</v>
      </c>
      <c r="AD21" s="655" t="s">
        <v>164</v>
      </c>
      <c r="AE21" s="613">
        <v>0.0</v>
      </c>
      <c r="AF21" s="613"/>
      <c r="AG21" s="613">
        <v>10.0</v>
      </c>
      <c r="AH21" s="634" t="str">
        <f t="shared" si="1"/>
        <v/>
      </c>
      <c r="AI21" s="613"/>
      <c r="AJ21" s="613"/>
      <c r="AK21" s="613"/>
      <c r="AL21" s="613"/>
      <c r="AM21" s="613"/>
      <c r="AN21" s="613"/>
      <c r="AO21" s="613"/>
      <c r="AP21" s="613"/>
      <c r="AQ21" s="613"/>
      <c r="AR21" s="613"/>
      <c r="AS21" s="613"/>
      <c r="AT21" s="613"/>
      <c r="AU21" s="613"/>
      <c r="AV21" s="613"/>
      <c r="AW21" s="613"/>
      <c r="AX21" s="613"/>
      <c r="AY21" s="613"/>
      <c r="AZ21" s="613"/>
      <c r="BA21" s="613"/>
      <c r="BB21" s="613"/>
      <c r="BC21" s="613"/>
      <c r="BD21" s="613"/>
      <c r="BE21" s="613"/>
      <c r="BF21" s="613"/>
      <c r="BG21" s="613"/>
      <c r="BH21" s="613"/>
      <c r="BI21" s="613"/>
      <c r="BJ21" s="613"/>
      <c r="BK21" s="613"/>
      <c r="BL21" s="613"/>
      <c r="BM21" s="613"/>
      <c r="BN21" s="613"/>
      <c r="BO21" s="613"/>
      <c r="BP21" s="613"/>
      <c r="BQ21" s="613"/>
      <c r="BR21" s="613"/>
      <c r="BS21" s="613"/>
      <c r="BT21" s="613"/>
      <c r="BU21" s="613"/>
      <c r="BV21" s="613"/>
      <c r="BW21" s="613"/>
      <c r="BX21" s="613"/>
      <c r="BY21" s="613"/>
      <c r="BZ21" s="613"/>
      <c r="CA21" s="613"/>
      <c r="CB21" s="613"/>
      <c r="CC21" s="613"/>
      <c r="CD21" s="613"/>
      <c r="CE21" s="613"/>
      <c r="CF21" s="613"/>
      <c r="CG21" s="613"/>
      <c r="CH21" s="613"/>
      <c r="CI21" s="613"/>
      <c r="CJ21" s="613"/>
      <c r="CK21" s="613"/>
      <c r="CL21" s="613"/>
      <c r="CM21" s="613"/>
      <c r="CN21" s="613"/>
      <c r="CO21" s="613"/>
      <c r="CP21" s="613"/>
      <c r="CQ21" s="613"/>
      <c r="CR21" s="613"/>
      <c r="CS21" s="613"/>
      <c r="CT21" s="613"/>
      <c r="CU21" s="613"/>
      <c r="CV21" s="613"/>
      <c r="CW21" s="613"/>
      <c r="CX21" s="613"/>
      <c r="CY21" s="613"/>
      <c r="CZ21" s="613"/>
      <c r="DA21" s="613"/>
      <c r="DB21" s="613"/>
      <c r="DC21" s="613"/>
      <c r="DD21" s="613"/>
      <c r="DE21" s="613"/>
      <c r="DF21" s="613"/>
      <c r="DG21" s="613"/>
      <c r="DH21" s="613"/>
      <c r="DI21" s="613"/>
      <c r="DJ21" s="613"/>
      <c r="DK21" s="613"/>
      <c r="DL21" s="613"/>
      <c r="DM21" s="613"/>
      <c r="DN21" s="613"/>
      <c r="DO21" s="613"/>
      <c r="DP21" s="613"/>
      <c r="DQ21" s="613"/>
      <c r="DR21" s="613"/>
      <c r="DS21" s="613"/>
      <c r="DT21" s="613"/>
      <c r="DU21" s="613"/>
      <c r="DV21" s="613"/>
      <c r="DW21" s="613"/>
      <c r="DX21" s="613"/>
      <c r="DY21" s="613"/>
      <c r="DZ21" s="613"/>
      <c r="EA21" s="613"/>
      <c r="EB21" s="613"/>
      <c r="EC21" s="613"/>
      <c r="ED21" s="613"/>
      <c r="EE21" s="613"/>
      <c r="EF21" s="613"/>
      <c r="EG21" s="613"/>
      <c r="EH21" s="613"/>
      <c r="EI21" s="613"/>
      <c r="EJ21" s="613"/>
      <c r="EK21" s="613"/>
      <c r="EL21" s="613"/>
      <c r="EM21" s="613"/>
      <c r="EN21" s="613"/>
      <c r="EO21" s="613"/>
      <c r="EP21" s="613"/>
      <c r="EQ21" s="613"/>
      <c r="ER21" s="613"/>
      <c r="ES21" s="613"/>
      <c r="ET21" s="613"/>
      <c r="EU21" s="613"/>
      <c r="EV21" s="613"/>
      <c r="EW21" s="613"/>
      <c r="EX21" s="613"/>
      <c r="EY21" s="613"/>
      <c r="EZ21" s="613"/>
      <c r="FA21" s="613"/>
      <c r="FB21" s="613"/>
      <c r="FC21" s="613"/>
      <c r="FD21" s="613"/>
      <c r="FE21" s="613"/>
      <c r="FF21" s="613"/>
      <c r="FG21" s="613"/>
      <c r="FH21" s="613"/>
      <c r="FI21" s="613"/>
      <c r="FJ21" s="613"/>
      <c r="FK21" s="613"/>
      <c r="FL21" s="613"/>
      <c r="FM21" s="613"/>
      <c r="FN21" s="613"/>
      <c r="FO21" s="613"/>
      <c r="FP21" s="613"/>
      <c r="FQ21" s="613"/>
      <c r="FR21" s="613"/>
      <c r="FS21" s="613"/>
      <c r="FT21" s="613"/>
      <c r="FU21" s="613"/>
      <c r="FV21" s="613"/>
      <c r="FW21" s="613"/>
      <c r="FX21" s="613"/>
      <c r="FY21" s="613"/>
      <c r="FZ21" s="613"/>
      <c r="GA21" s="613"/>
      <c r="GB21" s="613"/>
      <c r="GC21" s="613"/>
      <c r="GD21" s="613"/>
      <c r="GE21" s="613"/>
      <c r="GF21" s="613"/>
      <c r="GG21" s="613"/>
      <c r="GH21" s="613"/>
      <c r="GI21" s="613"/>
      <c r="GJ21" s="613"/>
      <c r="GK21" s="613"/>
      <c r="GL21" s="613"/>
      <c r="GM21" s="613"/>
      <c r="GN21" s="613"/>
      <c r="GO21" s="613"/>
      <c r="GP21" s="613"/>
      <c r="GQ21" s="613"/>
      <c r="GR21" s="613"/>
      <c r="GS21" s="613"/>
      <c r="GT21" s="613"/>
      <c r="GU21" s="613"/>
      <c r="GV21" s="613"/>
      <c r="GW21" s="613"/>
      <c r="GX21" s="613"/>
      <c r="GY21" s="613"/>
      <c r="GZ21" s="613"/>
      <c r="HA21" s="613"/>
      <c r="HB21" s="613"/>
      <c r="HC21" s="613"/>
      <c r="HD21" s="613"/>
      <c r="HE21" s="613"/>
      <c r="HF21" s="613"/>
      <c r="HG21" s="613"/>
      <c r="HH21" s="613"/>
      <c r="HI21" s="613"/>
      <c r="HJ21" s="613"/>
      <c r="HK21" s="613"/>
      <c r="HL21" s="613"/>
      <c r="HM21" s="613"/>
      <c r="HN21" s="613"/>
      <c r="HO21" s="613"/>
      <c r="HP21" s="613"/>
      <c r="HQ21" s="613"/>
      <c r="HR21" s="613"/>
      <c r="HS21" s="613"/>
      <c r="HT21" s="613"/>
      <c r="HU21" s="613"/>
      <c r="HV21" s="613"/>
      <c r="HW21" s="613"/>
      <c r="HX21" s="613"/>
      <c r="HY21" s="613"/>
      <c r="HZ21" s="613"/>
      <c r="IA21" s="613"/>
      <c r="IB21" s="613"/>
      <c r="IC21" s="613"/>
      <c r="ID21" s="613"/>
      <c r="IE21" s="613"/>
      <c r="IF21" s="613"/>
      <c r="IG21" s="613"/>
      <c r="IH21" s="613"/>
    </row>
    <row r="22" hidden="1" outlineLevel="1">
      <c r="A22" s="598"/>
      <c r="B22" s="614" t="str">
        <f t="shared" si="2"/>
        <v/>
      </c>
      <c r="C22" s="705"/>
      <c r="D22" s="722"/>
      <c r="E22" s="692"/>
      <c r="F22" s="659" t="str">
        <f>IFERROR(__xludf.DUMMYFUNCTION("IFERROR(IF(H22 = """", """",
    SWITCH($W$37,
        ""Total"", "" "" &amp; FORMAT_NUMBER(H22),
        ""Daily"", LET(Lab_name, IF(REGEXMATCH(E22, ""Mastery""), ""Card Mastery"", E22),
            Level, IF(ISBETWEEN(C22, VLOOKUP(E22, $AD:$AG, 2, FALSE), V"&amp;"LOOKUP(E22, $AD:$AG, 4, FALSE), TRUE, FALSE), C22, VLOOKUP(E22, $AD:$AG, 2, FALSE)),
            IF(LABCOST_SINGLE_ADJUSTED(Lab_name, Level + 1) = 0, ""0 (Max)"",
            "" "" &amp; FORMAT_NUMBER(            
                    LABCOST_SINGLE_ADJUSTED(L"&amp;"ab_name, Level + 1) / 
                    (LABDURATION_SINGLE_ADJUSTED(Lab_name, Level + 1) /
                    (1 * REGEXEXTRACT(F$2, ""[\d.-]+"")))))),
        ""Gem Rush"", LET(
            Labspeed, IF(E22=""Labs Speed"", 1+'Master Sheet'!$BK$5, LA"&amp;"B_SPEED_TOTAL()),
            Start_Level, IF(C22 = """",
                VLOOKUP(E22, $AD:$AG, 2, false),
                IF(ISBETWEEN(C22, VALUE(VLOOKUP(E22, $AD:$AG, 2, false)), VALUE(VLOOKUP(E22, $AD:$AG, 4, false))), C22, """")),
            End_Leve"&amp;"l, IF(OR(D22 = """", NOT(ISBETWEEN(D22, VALUE(VLOOKUP(E22, $AD:$AG, 2, false)), VALUE(VLOOKUP(E22, $AD:$AG, 4, false)),0,1))),
                SWITCH($W$38,
                    ""Max"", VLOOKUP(E22, $AD:$AG, 4, false),
                    ""Target"", IF(V"&amp;"LOOKUP(E22, $AD:$AG, 3, false) &lt;&gt; """", VLOOKUP(E22, $AD:$AG, 3, false), VLOOKUP(E22, $AD:$AG, 4, false))),
                    D22),
            SUM(ARRAYFORMULA(TIME_TO_RUSH_GEMS( OFFSET(DVT_Laboratory!$A$3, Start_Level , IF(ISNUMBER(SEARCH(""mastery"","&amp;" E22)), MATCH(""Card Mastery"", DVT_Laboratory!$A$1:$LO$1, 0), MATCH(E22, DVT_Laboratory!$A$1:$LO$1, 0)) - 1, End_Level - Start_Level, 1) / Labspeed)))))))"),"")</f>
        <v/>
      </c>
      <c r="G22" s="723" t="str">
        <f t="shared" si="8"/>
        <v/>
      </c>
      <c r="H22" s="620" t="str">
        <f>IFERROR(__xludf.DUMMYFUNCTION("IFS(E22 = """", """", 
    VLOOKUP(E22, $AD:$AG, 2, false) = VLOOKUP(E22, $AD:$AG, 4, false), ""MAX Level"",
    AND(VLOOKUP(E22, $AD:$AG, 3, false) &lt;&gt; """", VLOOKUP(E22, $AD:$AG, 2, false) = VLOOKUP(E22, $AD:$AG, 3, false)), ""At Target"",
    TRUE,
    "&amp;"IFERROR(LET(Start_Level, IF(C22 = """",
            VLOOKUP(E22, $AD:$AG, 2, false),
            IF(ISBETWEEN(C22, VALUE(VLOOKUP(E22, $AD:$AG, 2, false)), VALUE(VLOOKUP(E22, $AD:$AG, 4, false))), C22, """")),
        End_Level, IF(OR(D22 = """", NOT(ISBET"&amp;"WEEN(D22, VALUE(VLOOKUP(E22, $AD:$AG, 2, false)), VALUE(VLOOKUP(E22, $AD:$AG, 4, false)),0,1))),
            SWITCH($W$38,
                ""Max"", VLOOKUP(E22, $AD:$AG, 4, false),
                ""Target"", IF(VLOOKUP(E22, $AD:$AG, 3, false) &lt;&gt; """", VL"&amp;"OOKUP(E22, $AD:$AG, 3, false), VLOOKUP(E22, $AD:$AG, 4, false))),
            D22),
        SUM(OFFSET(DVT_Laboratory!$A$3, Start_Level , IF(ISNUMBER(SEARCH(""mastery"", E22)), MATCH(""Card Mastery"", DVT_Laboratory!$A$1:$MY$1, 0), MATCH(E22, DVT_Laborato"&amp;"ry!$A$1:$MY$1, 0)), End_Level - Start_Level, 1)) * (1-LAB_COIN_DISCOUNT())), ""Levels Error!""))"),"")</f>
        <v/>
      </c>
      <c r="I22" s="621" t="str">
        <f>IFERROR(__xludf.DUMMYFUNCTION("IFS(E22 = """", """", 
    VLOOKUP(E22, $AD:$AG, 2, false) = VLOOKUP(E22, $AD:$AG, 4, false), ""MAX Level"",
    AND(VLOOKUP(E22, $AD:$AG, 3, false) &lt;&gt; """", VLOOKUP(E22, $AD:$AG, 2, false) = VLOOKUP(E22, $AD:$AG, 3, false)), ""At Target"",
    TRUE,
    "&amp;"IFERROR(LET(
        Labspeed, IF(E22=""Labs Speed"", 1+'Master Sheet'!$BK$5, LAB_SPEED_TOTAL()),
        Start_Level, IF(C22 = """",
            VLOOKUP(E22, $AD:$AG, 2, false),
            IF(ISBETWEEN(C22, VALUE(VLOOKUP(E22, $AD:$AG, 2, false)), VALUE("&amp;"VLOOKUP(E22, $AD:$AG, 4, false))), C22, """")),
        End_Level, IF(OR(D22 = """", NOT(ISBETWEEN(D22, VALUE(VLOOKUP(E22, $AD:$AG, 2, false)), VALUE(VLOOKUP(E22, $AD:$AG, 4, false)),0,1))),
            SWITCH($W$38,
                ""Max"", VLOOKUP(E22, "&amp;"$AD:$AG, 4, false),
                ""Target"", IF(VLOOKUP(E22, $AD:$AG, 3, false) &lt;&gt; """", VLOOKUP(E22, $AD:$AG, 3, false), VLOOKUP(E22, $AD:$AG, 4, false))),
            D22),
        SUM(OFFSET(DVT_Laboratory!$A$3, Start_Level , IF(ISNUMBER(SEARCH(""ma"&amp;"stery"", E22)), MATCH(""Card Mastery"", DVT_Laboratory!$A$1:$MY$1, 0), MATCH(E22, DVT_Laboratory!$A$1:$MY$1, 0)) - 1, End_Level - Start_Level, 1)) /
                (1 * REGEXEXTRACT(F$2, ""[\d.-]+"")) /
                Labspeed), ""Levels Error!""))"),"")</f>
        <v/>
      </c>
      <c r="J22" s="640" t="str">
        <f t="shared" si="4"/>
        <v/>
      </c>
      <c r="K22" s="699"/>
      <c r="L22" s="700"/>
      <c r="M22" s="709"/>
      <c r="N22" s="707" t="str">
        <f>IFERROR(__xludf.DUMMYFUNCTION("IFERROR(IF(P22 = """", """",
    SWITCH($W$37,
        ""Total"", "" "" &amp; FORMAT_NUMBER(P22),
        ""Daily"", LET(Lab_name, IF(REGEXMATCH(M22, ""Mastery""), ""Card Mastery"", M22),
            Level, IF(ISBETWEEN(K22, VLOOKUP(M22, $AD:$AG, 2, FALSE), V"&amp;"LOOKUP(M22, $AD:$AG, 4, FALSE), TRUE, FALSE), K22, VLOOKUP(M22, $AD:$AG, 2, FALSE)),
            IF(LABCOST_SINGLE_ADJUSTED(Lab_name, Level + 1) = 0, ""0 (Max)"",
            "" "" &amp; FORMAT_NUMBER(            
                    LABCOST_SINGLE_ADJUSTED(L"&amp;"ab_name, Level + 1) / 
                    (LABDURATION_SINGLE_ADJUSTED(Lab_name, Level + 1) /
                    (1 * REGEXEXTRACT(N$2, ""[\d.-]+"")))))),
        ""Gem Rush"", LET(
            Labspeed, IF(M22=""Labs Speed"", 1+'Master Sheet'!$BK$5, LA"&amp;"B_SPEED_TOTAL()),
            Start_Level, IF(K22 = """",
                VLOOKUP(M22, $AD:$AG, 2, false),
                IF(ISBETWEEN(K22, VALUE(VLOOKUP(M22, $AD:$AG, 2, false)), VALUE(VLOOKUP(M22, $AD:$AG, 4, false))), K22, """")),
            End_Leve"&amp;"l, IF(OR(L22 = """", NOT(ISBETWEEN(L22, VALUE(VLOOKUP(M22, $AD:$AG, 2, false)), VALUE(VLOOKUP(M22, $AD:$AG, 4, false)),0,1))),
                SWITCH($W$38,
                    ""Max"", VLOOKUP(M22, $AD:$AG, 4, false),
                    ""Target"", IF(V"&amp;"LOOKUP(M22, $AD:$AG, 3, false) &lt;&gt; """", VLOOKUP(M22, $AD:$AG, 3, false), VLOOKUP(M22, $AD:$AG, 4, false))),
                    L22),
            SUM(ARRAYFORMULA(TIME_TO_RUSH_GEMS( OFFSET(DVT_Laboratory!$A$3, Start_Level , IF(ISNUMBER(SEARCH(""mastery"","&amp;" M22)), MATCH(""Card Mastery"", DVT_Laboratory!$A$1:$LO$1, 0), MATCH(M22, DVT_Laboratory!$A$1:$LO$1, 0)) - 1, End_Level - Start_Level, 1) / Labspeed)))))))"),"")</f>
        <v/>
      </c>
      <c r="O22" s="724" t="str">
        <f t="shared" si="9"/>
        <v/>
      </c>
      <c r="P22" s="625" t="str">
        <f>IFERROR(__xludf.DUMMYFUNCTION("IFS(M22 = """", """", 
    VLOOKUP(M22, $AD:$AG, 2, false) = VLOOKUP(M22, $AD:$AG, 4, false), ""MAX Level"",
    AND(VLOOKUP(M22, $AD:$AG, 3, false) &lt;&gt; """", VLOOKUP(M22, $AD:$AG, 2, false) = VLOOKUP(M22, $AD:$AG, 3, false)), ""At Target"",
    TRUE,
    "&amp;"IFERROR(LET(Start_Level, IF(K22 = """",
            VLOOKUP(M22, $AD:$AG, 2, false),
            IF(ISBETWEEN(K22, VALUE(VLOOKUP(M22, $AD:$AG, 2, false)), VALUE(VLOOKUP(M22, $AD:$AG, 4, false))), K22, """")),
        End_Level, IF(OR(L22 = """", NOT(ISBET"&amp;"WEEN(L22, VALUE(VLOOKUP(M22, $AD:$AG, 2, false)), VALUE(VLOOKUP(M22, $AD:$AG, 4, false)),0,1))),
            SWITCH($W$38,
                ""Max"", VLOOKUP(M22, $AD:$AG, 4, false),
                ""Target"", IF(VLOOKUP(M22, $AD:$AG, 3, false) &lt;&gt; """", VL"&amp;"OOKUP(M22, $AD:$AG, 3, false), VLOOKUP(M22, $AD:$AG, 4, false))),
            L22),
        SUM(OFFSET(DVT_Laboratory!$A$3, Start_Level , IF(ISNUMBER(SEARCH(""mastery"", M22)), MATCH(""Card Mastery"", DVT_Laboratory!$A$1:$MY$1, 0), MATCH(M22, DVT_Laborato"&amp;"ry!$A$1:$MY$1, 0)), End_Level - Start_Level, 1)) * (1-LAB_COIN_DISCOUNT())), ""Levels Error!""))"),"")</f>
        <v/>
      </c>
      <c r="Q22" s="626" t="str">
        <f>IFERROR(__xludf.DUMMYFUNCTION("IFS(M22 = """", """", 
    VLOOKUP(M22, $AD:$AG, 2, false) = VLOOKUP(M22, $AD:$AG, 4, false), ""MAX Level"",
    AND(VLOOKUP(M22, $AD:$AG, 3, false) &lt;&gt; """", VLOOKUP(M22, $AD:$AG, 2, false) = VLOOKUP(M22, $AD:$AG, 3, false)), ""At Target"",
    TRUE,
    "&amp;"IFERROR(LET(
        Labspeed, IF(M22=""Labs Speed"", 1+'Master Sheet'!$BK$5, LAB_SPEED_TOTAL()),
        Start_Level, IF(K22 = """",
            VLOOKUP(M22, $AD:$AG, 2, false),
            IF(ISBETWEEN(K22, VALUE(VLOOKUP(M22, $AD:$AG, 2, false)), VALUE("&amp;"VLOOKUP(M22, $AD:$AG, 4, false))), K22, """")),
        End_Level, IF(OR(L22 = """", NOT(ISBETWEEN(L22, VALUE(VLOOKUP(M22, $AD:$AG, 2, false)), VALUE(VLOOKUP(M22, $AD:$AG, 4, false)),0,1))),
            SWITCH($W$38,
                ""Max"", VLOOKUP(M22, "&amp;"$AD:$AG, 4, false),
                ""Target"", IF(VLOOKUP(M22, $AD:$AG, 3, false) &lt;&gt; """", VLOOKUP(M22, $AD:$AG, 3, false), VLOOKUP(M22, $AD:$AG, 4, false))),
            L22),
        SUM(OFFSET(DVT_Laboratory!$A$3, Start_Level , IF(ISNUMBER(SEARCH(""ma"&amp;"stery"", M22)), MATCH(""Card Mastery"", DVT_Laboratory!$A$1:$MY$1, 0), MATCH(M22, DVT_Laboratory!$A$1:$MY$1, 0)) - 1, End_Level - Start_Level, 1)) /
                (1 * REGEXEXTRACT(N$2, ""[\d.-]+"")) /
                Labspeed), ""Levels Error!""))"),"")</f>
        <v/>
      </c>
      <c r="R22" s="642" t="str">
        <f t="shared" si="6"/>
        <v/>
      </c>
      <c r="S22" s="696"/>
      <c r="T22" s="687"/>
      <c r="U22" s="715"/>
      <c r="V22" s="710" t="str">
        <f>IFERROR(__xludf.DUMMYFUNCTION("IFERROR(IF(X22 = """", """",
    SWITCH($W$37,
        ""Total"", "" "" &amp; FORMAT_NUMBER(X22),
        ""Daily"", LET(Lab_name, IF(REGEXMATCH(U22, ""Mastery""), ""Card Mastery"", U22),
            Level, IF(ISBETWEEN(S22, VLOOKUP(U22, $AD:$AG, 2, FALSE), V"&amp;"LOOKUP(U22, $AD:$AG, 4, FALSE), TRUE, FALSE), S22, VLOOKUP(U22, $AD:$AG, 2, FALSE)),
            IF(LABCOST_SINGLE_ADJUSTED(Lab_name, Level + 1) = 0, ""0 (Max)"",
            "" "" &amp; FORMAT_NUMBER(            
                    LABCOST_SINGLE_ADJUSTED(L"&amp;"ab_name, Level + 1) / 
                    (LABDURATION_SINGLE_ADJUSTED(Lab_name, Level + 1) /
                    (1 * REGEXEXTRACT(V$2, ""[\d.-]+"")))))),
        ""Gem Rush"", LET(
            Labspeed, IF(U22=""Labs Speed"", 1+'Master Sheet'!$BK$5, LA"&amp;"B_SPEED_TOTAL()),
            Start_Level, IF(S22 = """",
                VLOOKUP(U22, $AD:$AG, 2, false),
                IF(ISBETWEEN(S22, VALUE(VLOOKUP(U22, $AD:$AG, 2, false)), VALUE(VLOOKUP(U22, $AD:$AG, 4, false))), S22, """")),
            End_Leve"&amp;"l, IF(OR(T22 = """", NOT(ISBETWEEN(T22, VALUE(VLOOKUP(U22, $AD:$AG, 2, false)), VALUE(VLOOKUP(U22, $AD:$AG, 4, false)),0,1))),
                SWITCH($W$38,
                    ""Max"", VLOOKUP(U22, $AD:$AG, 4, false),
                    ""Target"", IF(V"&amp;"LOOKUP(U22, $AD:$AG, 3, false) &lt;&gt; """", VLOOKUP(U22, $AD:$AG, 3, false), VLOOKUP(U22, $AD:$AG, 4, false))),
                    T22),
            SUM(ARRAYFORMULA(TIME_TO_RUSH_GEMS( OFFSET(DVT_Laboratory!$A$3, Start_Level , IF(ISNUMBER(SEARCH(""mastery"","&amp;" U22)), MATCH(""Card Mastery"", DVT_Laboratory!$A$1:$LO$1, 0), MATCH(U22, DVT_Laboratory!$A$1:$LO$1, 0)) - 1, End_Level - Start_Level, 1) / Labspeed)))))))"),"")</f>
        <v/>
      </c>
      <c r="W22" s="725" t="str">
        <f t="shared" si="10"/>
        <v/>
      </c>
      <c r="X22" s="630" t="str">
        <f>IFERROR(__xludf.DUMMYFUNCTION("IFS(U22 = """", """", 
    VLOOKUP(U22, $AD:$AG, 2, false) = VLOOKUP(U22, $AD:$AG, 4, false), ""MAX Level"",
    AND(VLOOKUP(U22, $AD:$AG, 3, false) &lt;&gt; """", VLOOKUP(U22, $AD:$AG, 2, false) = VLOOKUP(U22, $AD:$AG, 3, false)), ""At Target"",
    TRUE,
    "&amp;"IFERROR(LET(Start_Level, IF(S22 = """",
            VLOOKUP(U22, $AD:$AG, 2, false),
            IF(ISBETWEEN(S22, VALUE(VLOOKUP(U22, $AD:$AG, 2, false)), VALUE(VLOOKUP(U22, $AD:$AG, 4, false))), S22, """")),
        End_Level, IF(OR(T22 = """", NOT(ISBET"&amp;"WEEN(T22, VALUE(VLOOKUP(U22, $AD:$AG, 2, false)), VALUE(VLOOKUP(U22, $AD:$AG, 4, false)),0,1))),
            SWITCH($W$38,
                ""Max"", VLOOKUP(U22, $AD:$AG, 4, false),
                ""Target"", IF(VLOOKUP(U22, $AD:$AG, 3, false) &lt;&gt; """", VL"&amp;"OOKUP(U22, $AD:$AG, 3, false), VLOOKUP(U22, $AD:$AG, 4, false))),
            T22),
        SUM(OFFSET(DVT_Laboratory!$A$3, Start_Level , IF(ISNUMBER(SEARCH(""mastery"", U22)), MATCH(""Card Mastery"", DVT_Laboratory!$A$1:$MY$1, 0), MATCH(U22, DVT_Laborato"&amp;"ry!$A$1:$MY$1, 0)), End_Level - Start_Level, 1)) * (1-LAB_COIN_DISCOUNT())), ""Levels Error!""))"),"")</f>
        <v/>
      </c>
      <c r="Y22" s="631" t="str">
        <f>IFERROR(__xludf.DUMMYFUNCTION("IFS(U22 = """", """", 
    VLOOKUP(U22, $AD:$AG, 2, false) = VLOOKUP(U22, $AD:$AG, 4, false), ""MAX Level"",
    AND(VLOOKUP(U22, $AD:$AG, 3, false) &lt;&gt; """", VLOOKUP(U22, $AD:$AG, 2, false) = VLOOKUP(U22, $AD:$AG, 3, false)), ""At Target"",
    TRUE,
    "&amp;"IFERROR(LET(
        Labspeed, IF(U22=""Labs Speed"", 1+'Master Sheet'!$BK$5, LAB_SPEED_TOTAL()),
        Start_Level, IF(S22 = """",
            VLOOKUP(U22, $AD:$AG, 2, false),
            IF(ISBETWEEN(S22, VALUE(VLOOKUP(U22, $AD:$AG, 2, false)), VALUE("&amp;"VLOOKUP(U22, $AD:$AG, 4, false))), S22, """")),
        End_Level, IF(OR(T22 = """", NOT(ISBETWEEN(T22, VALUE(VLOOKUP(U22, $AD:$AG, 2, false)), VALUE(VLOOKUP(U22, $AD:$AG, 4, false)),0,1))),
            SWITCH($W$38,
                ""Max"", VLOOKUP(U22, "&amp;"$AD:$AG, 4, false),
                ""Target"", IF(VLOOKUP(U22, $AD:$AG, 3, false) &lt;&gt; """", VLOOKUP(U22, $AD:$AG, 3, false), VLOOKUP(U22, $AD:$AG, 4, false))),
            T22),
        SUM(OFFSET(DVT_Laboratory!$A$3, Start_Level , IF(ISNUMBER(SEARCH(""ma"&amp;"stery"", U22)), MATCH(""Card Mastery"", DVT_Laboratory!$A$1:$MY$1, 0), MATCH(U22, DVT_Laboratory!$A$1:$MY$1, 0)) - 1, End_Level - Start_Level, 1)) /
                (1 * REGEXEXTRACT(V$2, ""[\d.-]+"")) /
                Labspeed), ""Levels Error!""))"),"")</f>
        <v/>
      </c>
      <c r="Z22" s="598"/>
      <c r="AA22" s="735" t="s">
        <v>441</v>
      </c>
      <c r="AB22" s="736" t="s">
        <v>442</v>
      </c>
      <c r="AC22" s="613" t="str">
        <f>IFERROR(__xludf.DUMMYFUNCTION("""COMPUTED_VALUE"""),"Berserker Mastery")</f>
        <v>Berserker Mastery</v>
      </c>
      <c r="AD22" s="655" t="s">
        <v>377</v>
      </c>
      <c r="AE22" s="613">
        <v>0.0</v>
      </c>
      <c r="AF22" s="613"/>
      <c r="AG22" s="613">
        <v>9.0</v>
      </c>
      <c r="AH22" s="737">
        <f>IFERROR(__xludf.DUMMYFUNCTION("IFERROR(IF(C5 = """", SEQUENCE(1, VALUE(VLOOKUP(E5, AD:AG, 4, false)) - VALUE(VLOOKUP(E5, AD:AG, 2, false)), VALUE(VLOOKUP(E5, AD:AG, 2, false)) + 1),
    IF(ISBETWEEN(C5, VALUE(VLOOKUP(E5, AD:AG, 2, false)), VALUE(VLOOKUP(E5, AD:AG, 4, false))),
        "&amp;"SEQUENCE(1, VALUE(VLOOKUP(E5, AD:AG, 4, false)) - C5, C5 + 1),
        """")))"),92.0)</f>
        <v>92</v>
      </c>
      <c r="AI22" s="613">
        <f>IFERROR(__xludf.DUMMYFUNCTION("""COMPUTED_VALUE"""),93.0)</f>
        <v>93</v>
      </c>
      <c r="AJ22" s="613">
        <f>IFERROR(__xludf.DUMMYFUNCTION("""COMPUTED_VALUE"""),94.0)</f>
        <v>94</v>
      </c>
      <c r="AK22" s="613">
        <f>IFERROR(__xludf.DUMMYFUNCTION("""COMPUTED_VALUE"""),95.0)</f>
        <v>95</v>
      </c>
      <c r="AL22" s="613">
        <f>IFERROR(__xludf.DUMMYFUNCTION("""COMPUTED_VALUE"""),96.0)</f>
        <v>96</v>
      </c>
      <c r="AM22" s="613">
        <f>IFERROR(__xludf.DUMMYFUNCTION("""COMPUTED_VALUE"""),97.0)</f>
        <v>97</v>
      </c>
      <c r="AN22" s="613">
        <f>IFERROR(__xludf.DUMMYFUNCTION("""COMPUTED_VALUE"""),98.0)</f>
        <v>98</v>
      </c>
      <c r="AO22" s="613">
        <f>IFERROR(__xludf.DUMMYFUNCTION("""COMPUTED_VALUE"""),99.0)</f>
        <v>99</v>
      </c>
      <c r="AP22" s="613"/>
      <c r="AQ22" s="613"/>
      <c r="AR22" s="613"/>
      <c r="AS22" s="613"/>
      <c r="AT22" s="613"/>
      <c r="AU22" s="613"/>
      <c r="AV22" s="613"/>
      <c r="AW22" s="613"/>
      <c r="AX22" s="613"/>
      <c r="AY22" s="613"/>
      <c r="AZ22" s="613"/>
      <c r="BA22" s="613"/>
      <c r="BB22" s="613"/>
      <c r="BC22" s="613"/>
      <c r="BD22" s="613"/>
      <c r="BE22" s="613"/>
      <c r="BF22" s="613"/>
      <c r="BG22" s="613"/>
      <c r="BH22" s="613"/>
      <c r="BI22" s="613"/>
      <c r="BJ22" s="613"/>
      <c r="BK22" s="613"/>
      <c r="BL22" s="613"/>
      <c r="BM22" s="613"/>
      <c r="BN22" s="613"/>
      <c r="BO22" s="613"/>
      <c r="BP22" s="613"/>
      <c r="BQ22" s="613"/>
      <c r="BR22" s="613"/>
      <c r="BS22" s="613"/>
      <c r="BT22" s="613"/>
      <c r="BU22" s="613"/>
      <c r="BV22" s="613"/>
      <c r="BW22" s="613"/>
      <c r="BX22" s="613"/>
      <c r="BY22" s="613"/>
      <c r="BZ22" s="613"/>
      <c r="CA22" s="613"/>
      <c r="CB22" s="613"/>
      <c r="CC22" s="613"/>
      <c r="CD22" s="613"/>
      <c r="CE22" s="613"/>
      <c r="CF22" s="613"/>
      <c r="CG22" s="613"/>
      <c r="CH22" s="613"/>
      <c r="CI22" s="613"/>
      <c r="CJ22" s="613"/>
      <c r="CK22" s="613"/>
      <c r="CL22" s="613"/>
      <c r="CM22" s="613"/>
      <c r="CN22" s="613"/>
      <c r="CO22" s="613"/>
      <c r="CP22" s="613"/>
      <c r="CQ22" s="613"/>
      <c r="CR22" s="613"/>
      <c r="CS22" s="613"/>
      <c r="CT22" s="613"/>
      <c r="CU22" s="613"/>
      <c r="CV22" s="613"/>
      <c r="CW22" s="613"/>
      <c r="CX22" s="613"/>
      <c r="CY22" s="613"/>
      <c r="CZ22" s="613"/>
      <c r="DA22" s="613"/>
      <c r="DB22" s="613"/>
      <c r="DC22" s="613"/>
      <c r="DD22" s="613"/>
      <c r="DE22" s="613"/>
      <c r="DF22" s="613"/>
      <c r="DG22" s="613"/>
      <c r="DH22" s="613"/>
      <c r="DI22" s="613"/>
      <c r="DJ22" s="613"/>
      <c r="DK22" s="613"/>
      <c r="DL22" s="613"/>
      <c r="DM22" s="613"/>
      <c r="DN22" s="613"/>
      <c r="DO22" s="613"/>
      <c r="DP22" s="613"/>
      <c r="DQ22" s="613"/>
      <c r="DR22" s="613"/>
      <c r="DS22" s="613"/>
      <c r="DT22" s="613"/>
      <c r="DU22" s="613"/>
      <c r="DV22" s="613"/>
      <c r="DW22" s="613"/>
      <c r="DX22" s="613"/>
      <c r="DY22" s="613"/>
      <c r="DZ22" s="613"/>
      <c r="EA22" s="613"/>
      <c r="EB22" s="613"/>
      <c r="EC22" s="613"/>
      <c r="ED22" s="613"/>
      <c r="EE22" s="613"/>
      <c r="EF22" s="613"/>
      <c r="EG22" s="613"/>
      <c r="EH22" s="613"/>
      <c r="EI22" s="613"/>
      <c r="EJ22" s="613"/>
      <c r="EK22" s="613"/>
      <c r="EL22" s="613"/>
      <c r="EM22" s="613"/>
      <c r="EN22" s="613"/>
      <c r="EO22" s="613"/>
      <c r="EP22" s="613"/>
      <c r="EQ22" s="613"/>
      <c r="ER22" s="613"/>
      <c r="ES22" s="613"/>
      <c r="ET22" s="613"/>
      <c r="EU22" s="613"/>
      <c r="EV22" s="613"/>
      <c r="EW22" s="613"/>
      <c r="EX22" s="613"/>
      <c r="EY22" s="613"/>
      <c r="EZ22" s="613"/>
      <c r="FA22" s="613"/>
      <c r="FB22" s="613"/>
      <c r="FC22" s="613"/>
      <c r="FD22" s="613"/>
      <c r="FE22" s="613"/>
      <c r="FF22" s="613"/>
      <c r="FG22" s="613"/>
      <c r="FH22" s="613"/>
      <c r="FI22" s="613"/>
      <c r="FJ22" s="613"/>
      <c r="FK22" s="613"/>
      <c r="FL22" s="613"/>
      <c r="FM22" s="613"/>
      <c r="FN22" s="613"/>
      <c r="FO22" s="613"/>
      <c r="FP22" s="613"/>
      <c r="FQ22" s="613"/>
      <c r="FR22" s="613"/>
      <c r="FS22" s="613"/>
      <c r="FT22" s="613"/>
      <c r="FU22" s="613"/>
      <c r="FV22" s="613"/>
      <c r="FW22" s="613"/>
      <c r="FX22" s="613"/>
      <c r="FY22" s="613"/>
      <c r="FZ22" s="613"/>
      <c r="GA22" s="613"/>
      <c r="GB22" s="613"/>
      <c r="GC22" s="613"/>
      <c r="GD22" s="613"/>
      <c r="GE22" s="613"/>
      <c r="GF22" s="613"/>
      <c r="GG22" s="613"/>
      <c r="GH22" s="613"/>
      <c r="GI22" s="613"/>
      <c r="GJ22" s="613"/>
      <c r="GK22" s="613"/>
      <c r="GL22" s="613"/>
      <c r="GM22" s="613"/>
      <c r="GN22" s="613"/>
      <c r="GO22" s="613"/>
      <c r="GP22" s="613"/>
      <c r="GQ22" s="613"/>
      <c r="GR22" s="613"/>
      <c r="GS22" s="613"/>
      <c r="GT22" s="613"/>
      <c r="GU22" s="613"/>
      <c r="GV22" s="613"/>
      <c r="GW22" s="613"/>
      <c r="GX22" s="613"/>
      <c r="GY22" s="613"/>
      <c r="GZ22" s="613"/>
      <c r="HA22" s="613"/>
      <c r="HB22" s="613"/>
      <c r="HC22" s="613"/>
      <c r="HD22" s="613"/>
      <c r="HE22" s="613"/>
      <c r="HF22" s="613"/>
      <c r="HG22" s="613"/>
      <c r="HH22" s="613"/>
      <c r="HI22" s="613"/>
      <c r="HJ22" s="613"/>
      <c r="HK22" s="613"/>
      <c r="HL22" s="613"/>
      <c r="HM22" s="613"/>
      <c r="HN22" s="613"/>
      <c r="HO22" s="613"/>
      <c r="HP22" s="613"/>
      <c r="HQ22" s="613"/>
      <c r="HR22" s="613"/>
      <c r="HS22" s="613"/>
      <c r="HT22" s="613"/>
      <c r="HU22" s="613"/>
      <c r="HV22" s="613"/>
      <c r="HW22" s="613"/>
      <c r="HX22" s="613"/>
      <c r="HY22" s="613"/>
      <c r="HZ22" s="613"/>
      <c r="IA22" s="613"/>
      <c r="IB22" s="613"/>
      <c r="IC22" s="613"/>
      <c r="ID22" s="613"/>
      <c r="IE22" s="613"/>
      <c r="IF22" s="613"/>
      <c r="IG22" s="613"/>
      <c r="IH22" s="613"/>
    </row>
    <row r="23" hidden="1" outlineLevel="1">
      <c r="A23" s="598"/>
      <c r="B23" s="614" t="str">
        <f t="shared" si="2"/>
        <v/>
      </c>
      <c r="C23" s="705"/>
      <c r="D23" s="722"/>
      <c r="E23" s="692"/>
      <c r="F23" s="659" t="str">
        <f>IFERROR(__xludf.DUMMYFUNCTION("IFERROR(IF(H23 = """", """",
    SWITCH($W$37,
        ""Total"", "" "" &amp; FORMAT_NUMBER(H23),
        ""Daily"", LET(Lab_name, IF(REGEXMATCH(E23, ""Mastery""), ""Card Mastery"", E23),
            Level, IF(ISBETWEEN(C23, VLOOKUP(E23, $AD:$AG, 2, FALSE), V"&amp;"LOOKUP(E23, $AD:$AG, 4, FALSE), TRUE, FALSE), C23, VLOOKUP(E23, $AD:$AG, 2, FALSE)),
            IF(LABCOST_SINGLE_ADJUSTED(Lab_name, Level + 1) = 0, ""0 (Max)"",
            "" "" &amp; FORMAT_NUMBER(            
                    LABCOST_SINGLE_ADJUSTED(L"&amp;"ab_name, Level + 1) / 
                    (LABDURATION_SINGLE_ADJUSTED(Lab_name, Level + 1) /
                    (1 * REGEXEXTRACT(F$2, ""[\d.-]+"")))))),
        ""Gem Rush"", LET(
            Labspeed, IF(E23=""Labs Speed"", 1+'Master Sheet'!$BK$5, LA"&amp;"B_SPEED_TOTAL()),
            Start_Level, IF(C23 = """",
                VLOOKUP(E23, $AD:$AG, 2, false),
                IF(ISBETWEEN(C23, VALUE(VLOOKUP(E23, $AD:$AG, 2, false)), VALUE(VLOOKUP(E23, $AD:$AG, 4, false))), C23, """")),
            End_Leve"&amp;"l, IF(OR(D23 = """", NOT(ISBETWEEN(D23, VALUE(VLOOKUP(E23, $AD:$AG, 2, false)), VALUE(VLOOKUP(E23, $AD:$AG, 4, false)),0,1))),
                SWITCH($W$38,
                    ""Max"", VLOOKUP(E23, $AD:$AG, 4, false),
                    ""Target"", IF(V"&amp;"LOOKUP(E23, $AD:$AG, 3, false) &lt;&gt; """", VLOOKUP(E23, $AD:$AG, 3, false), VLOOKUP(E23, $AD:$AG, 4, false))),
                    D23),
            SUM(ARRAYFORMULA(TIME_TO_RUSH_GEMS( OFFSET(DVT_Laboratory!$A$3, Start_Level , IF(ISNUMBER(SEARCH(""mastery"","&amp;" E23)), MATCH(""Card Mastery"", DVT_Laboratory!$A$1:$LO$1, 0), MATCH(E23, DVT_Laboratory!$A$1:$LO$1, 0)) - 1, End_Level - Start_Level, 1) / Labspeed)))))))"),"")</f>
        <v/>
      </c>
      <c r="G23" s="723" t="str">
        <f t="shared" si="8"/>
        <v/>
      </c>
      <c r="H23" s="620" t="str">
        <f>IFERROR(__xludf.DUMMYFUNCTION("IFS(E23 = """", """", 
    VLOOKUP(E23, $AD:$AG, 2, false) = VLOOKUP(E23, $AD:$AG, 4, false), ""MAX Level"",
    AND(VLOOKUP(E23, $AD:$AG, 3, false) &lt;&gt; """", VLOOKUP(E23, $AD:$AG, 2, false) = VLOOKUP(E23, $AD:$AG, 3, false)), ""At Target"",
    TRUE,
    "&amp;"IFERROR(LET(Start_Level, IF(C23 = """",
            VLOOKUP(E23, $AD:$AG, 2, false),
            IF(ISBETWEEN(C23, VALUE(VLOOKUP(E23, $AD:$AG, 2, false)), VALUE(VLOOKUP(E23, $AD:$AG, 4, false))), C23, """")),
        End_Level, IF(OR(D23 = """", NOT(ISBET"&amp;"WEEN(D23, VALUE(VLOOKUP(E23, $AD:$AG, 2, false)), VALUE(VLOOKUP(E23, $AD:$AG, 4, false)),0,1))),
            SWITCH($W$38,
                ""Max"", VLOOKUP(E23, $AD:$AG, 4, false),
                ""Target"", IF(VLOOKUP(E23, $AD:$AG, 3, false) &lt;&gt; """", VL"&amp;"OOKUP(E23, $AD:$AG, 3, false), VLOOKUP(E23, $AD:$AG, 4, false))),
            D23),
        SUM(OFFSET(DVT_Laboratory!$A$3, Start_Level , IF(ISNUMBER(SEARCH(""mastery"", E23)), MATCH(""Card Mastery"", DVT_Laboratory!$A$1:$MY$1, 0), MATCH(E23, DVT_Laborato"&amp;"ry!$A$1:$MY$1, 0)), End_Level - Start_Level, 1)) * (1-LAB_COIN_DISCOUNT())), ""Levels Error!""))"),"")</f>
        <v/>
      </c>
      <c r="I23" s="621" t="str">
        <f>IFERROR(__xludf.DUMMYFUNCTION("IFS(E23 = """", """", 
    VLOOKUP(E23, $AD:$AG, 2, false) = VLOOKUP(E23, $AD:$AG, 4, false), ""MAX Level"",
    AND(VLOOKUP(E23, $AD:$AG, 3, false) &lt;&gt; """", VLOOKUP(E23, $AD:$AG, 2, false) = VLOOKUP(E23, $AD:$AG, 3, false)), ""At Target"",
    TRUE,
    "&amp;"IFERROR(LET(
        Labspeed, IF(E23=""Labs Speed"", 1+'Master Sheet'!$BK$5, LAB_SPEED_TOTAL()),
        Start_Level, IF(C23 = """",
            VLOOKUP(E23, $AD:$AG, 2, false),
            IF(ISBETWEEN(C23, VALUE(VLOOKUP(E23, $AD:$AG, 2, false)), VALUE("&amp;"VLOOKUP(E23, $AD:$AG, 4, false))), C23, """")),
        End_Level, IF(OR(D23 = """", NOT(ISBETWEEN(D23, VALUE(VLOOKUP(E23, $AD:$AG, 2, false)), VALUE(VLOOKUP(E23, $AD:$AG, 4, false)),0,1))),
            SWITCH($W$38,
                ""Max"", VLOOKUP(E23, "&amp;"$AD:$AG, 4, false),
                ""Target"", IF(VLOOKUP(E23, $AD:$AG, 3, false) &lt;&gt; """", VLOOKUP(E23, $AD:$AG, 3, false), VLOOKUP(E23, $AD:$AG, 4, false))),
            D23),
        SUM(OFFSET(DVT_Laboratory!$A$3, Start_Level , IF(ISNUMBER(SEARCH(""ma"&amp;"stery"", E23)), MATCH(""Card Mastery"", DVT_Laboratory!$A$1:$MY$1, 0), MATCH(E23, DVT_Laboratory!$A$1:$MY$1, 0)) - 1, End_Level - Start_Level, 1)) /
                (1 * REGEXEXTRACT(F$2, ""[\d.-]+"")) /
                Labspeed), ""Levels Error!""))"),"")</f>
        <v/>
      </c>
      <c r="J23" s="640" t="str">
        <f t="shared" si="4"/>
        <v/>
      </c>
      <c r="K23" s="699"/>
      <c r="L23" s="700"/>
      <c r="M23" s="709"/>
      <c r="N23" s="707" t="str">
        <f>IFERROR(__xludf.DUMMYFUNCTION("IFERROR(IF(P23 = """", """",
    SWITCH($W$37,
        ""Total"", "" "" &amp; FORMAT_NUMBER(P23),
        ""Daily"", LET(Lab_name, IF(REGEXMATCH(M23, ""Mastery""), ""Card Mastery"", M23),
            Level, IF(ISBETWEEN(K23, VLOOKUP(M23, $AD:$AG, 2, FALSE), V"&amp;"LOOKUP(M23, $AD:$AG, 4, FALSE), TRUE, FALSE), K23, VLOOKUP(M23, $AD:$AG, 2, FALSE)),
            IF(LABCOST_SINGLE_ADJUSTED(Lab_name, Level + 1) = 0, ""0 (Max)"",
            "" "" &amp; FORMAT_NUMBER(            
                    LABCOST_SINGLE_ADJUSTED(L"&amp;"ab_name, Level + 1) / 
                    (LABDURATION_SINGLE_ADJUSTED(Lab_name, Level + 1) /
                    (1 * REGEXEXTRACT(N$2, ""[\d.-]+"")))))),
        ""Gem Rush"", LET(
            Labspeed, IF(M23=""Labs Speed"", 1+'Master Sheet'!$BK$5, LA"&amp;"B_SPEED_TOTAL()),
            Start_Level, IF(K23 = """",
                VLOOKUP(M23, $AD:$AG, 2, false),
                IF(ISBETWEEN(K23, VALUE(VLOOKUP(M23, $AD:$AG, 2, false)), VALUE(VLOOKUP(M23, $AD:$AG, 4, false))), K23, """")),
            End_Leve"&amp;"l, IF(OR(L23 = """", NOT(ISBETWEEN(L23, VALUE(VLOOKUP(M23, $AD:$AG, 2, false)), VALUE(VLOOKUP(M23, $AD:$AG, 4, false)),0,1))),
                SWITCH($W$38,
                    ""Max"", VLOOKUP(M23, $AD:$AG, 4, false),
                    ""Target"", IF(V"&amp;"LOOKUP(M23, $AD:$AG, 3, false) &lt;&gt; """", VLOOKUP(M23, $AD:$AG, 3, false), VLOOKUP(M23, $AD:$AG, 4, false))),
                    L23),
            SUM(ARRAYFORMULA(TIME_TO_RUSH_GEMS( OFFSET(DVT_Laboratory!$A$3, Start_Level , IF(ISNUMBER(SEARCH(""mastery"","&amp;" M23)), MATCH(""Card Mastery"", DVT_Laboratory!$A$1:$LO$1, 0), MATCH(M23, DVT_Laboratory!$A$1:$LO$1, 0)) - 1, End_Level - Start_Level, 1) / Labspeed)))))))"),"")</f>
        <v/>
      </c>
      <c r="O23" s="724" t="str">
        <f t="shared" si="9"/>
        <v/>
      </c>
      <c r="P23" s="625" t="str">
        <f>IFERROR(__xludf.DUMMYFUNCTION("IFS(M23 = """", """", 
    VLOOKUP(M23, $AD:$AG, 2, false) = VLOOKUP(M23, $AD:$AG, 4, false), ""MAX Level"",
    AND(VLOOKUP(M23, $AD:$AG, 3, false) &lt;&gt; """", VLOOKUP(M23, $AD:$AG, 2, false) = VLOOKUP(M23, $AD:$AG, 3, false)), ""At Target"",
    TRUE,
    "&amp;"IFERROR(LET(Start_Level, IF(K23 = """",
            VLOOKUP(M23, $AD:$AG, 2, false),
            IF(ISBETWEEN(K23, VALUE(VLOOKUP(M23, $AD:$AG, 2, false)), VALUE(VLOOKUP(M23, $AD:$AG, 4, false))), K23, """")),
        End_Level, IF(OR(L23 = """", NOT(ISBET"&amp;"WEEN(L23, VALUE(VLOOKUP(M23, $AD:$AG, 2, false)), VALUE(VLOOKUP(M23, $AD:$AG, 4, false)),0,1))),
            SWITCH($W$38,
                ""Max"", VLOOKUP(M23, $AD:$AG, 4, false),
                ""Target"", IF(VLOOKUP(M23, $AD:$AG, 3, false) &lt;&gt; """", VL"&amp;"OOKUP(M23, $AD:$AG, 3, false), VLOOKUP(M23, $AD:$AG, 4, false))),
            L23),
        SUM(OFFSET(DVT_Laboratory!$A$3, Start_Level , IF(ISNUMBER(SEARCH(""mastery"", M23)), MATCH(""Card Mastery"", DVT_Laboratory!$A$1:$MY$1, 0), MATCH(M23, DVT_Laborato"&amp;"ry!$A$1:$MY$1, 0)), End_Level - Start_Level, 1)) * (1-LAB_COIN_DISCOUNT())), ""Levels Error!""))"),"")</f>
        <v/>
      </c>
      <c r="Q23" s="626" t="str">
        <f>IFERROR(__xludf.DUMMYFUNCTION("IFS(M23 = """", """", 
    VLOOKUP(M23, $AD:$AG, 2, false) = VLOOKUP(M23, $AD:$AG, 4, false), ""MAX Level"",
    AND(VLOOKUP(M23, $AD:$AG, 3, false) &lt;&gt; """", VLOOKUP(M23, $AD:$AG, 2, false) = VLOOKUP(M23, $AD:$AG, 3, false)), ""At Target"",
    TRUE,
    "&amp;"IFERROR(LET(
        Labspeed, IF(M23=""Labs Speed"", 1+'Master Sheet'!$BK$5, LAB_SPEED_TOTAL()),
        Start_Level, IF(K23 = """",
            VLOOKUP(M23, $AD:$AG, 2, false),
            IF(ISBETWEEN(K23, VALUE(VLOOKUP(M23, $AD:$AG, 2, false)), VALUE("&amp;"VLOOKUP(M23, $AD:$AG, 4, false))), K23, """")),
        End_Level, IF(OR(L23 = """", NOT(ISBETWEEN(L23, VALUE(VLOOKUP(M23, $AD:$AG, 2, false)), VALUE(VLOOKUP(M23, $AD:$AG, 4, false)),0,1))),
            SWITCH($W$38,
                ""Max"", VLOOKUP(M23, "&amp;"$AD:$AG, 4, false),
                ""Target"", IF(VLOOKUP(M23, $AD:$AG, 3, false) &lt;&gt; """", VLOOKUP(M23, $AD:$AG, 3, false), VLOOKUP(M23, $AD:$AG, 4, false))),
            L23),
        SUM(OFFSET(DVT_Laboratory!$A$3, Start_Level , IF(ISNUMBER(SEARCH(""ma"&amp;"stery"", M23)), MATCH(""Card Mastery"", DVT_Laboratory!$A$1:$MY$1, 0), MATCH(M23, DVT_Laboratory!$A$1:$MY$1, 0)) - 1, End_Level - Start_Level, 1)) /
                (1 * REGEXEXTRACT(N$2, ""[\d.-]+"")) /
                Labspeed), ""Levels Error!""))"),"")</f>
        <v/>
      </c>
      <c r="R23" s="642" t="str">
        <f t="shared" si="6"/>
        <v/>
      </c>
      <c r="S23" s="696"/>
      <c r="T23" s="687"/>
      <c r="U23" s="715"/>
      <c r="V23" s="710" t="str">
        <f>IFERROR(__xludf.DUMMYFUNCTION("IFERROR(IF(X23 = """", """",
    SWITCH($W$37,
        ""Total"", "" "" &amp; FORMAT_NUMBER(X23),
        ""Daily"", LET(Lab_name, IF(REGEXMATCH(U23, ""Mastery""), ""Card Mastery"", U23),
            Level, IF(ISBETWEEN(S23, VLOOKUP(U23, $AD:$AG, 2, FALSE), V"&amp;"LOOKUP(U23, $AD:$AG, 4, FALSE), TRUE, FALSE), S23, VLOOKUP(U23, $AD:$AG, 2, FALSE)),
            IF(LABCOST_SINGLE_ADJUSTED(Lab_name, Level + 1) = 0, ""0 (Max)"",
            "" "" &amp; FORMAT_NUMBER(            
                    LABCOST_SINGLE_ADJUSTED(L"&amp;"ab_name, Level + 1) / 
                    (LABDURATION_SINGLE_ADJUSTED(Lab_name, Level + 1) /
                    (1 * REGEXEXTRACT(V$2, ""[\d.-]+"")))))),
        ""Gem Rush"", LET(
            Labspeed, IF(U23=""Labs Speed"", 1+'Master Sheet'!$BK$5, LA"&amp;"B_SPEED_TOTAL()),
            Start_Level, IF(S23 = """",
                VLOOKUP(U23, $AD:$AG, 2, false),
                IF(ISBETWEEN(S23, VALUE(VLOOKUP(U23, $AD:$AG, 2, false)), VALUE(VLOOKUP(U23, $AD:$AG, 4, false))), S23, """")),
            End_Leve"&amp;"l, IF(OR(T23 = """", NOT(ISBETWEEN(T23, VALUE(VLOOKUP(U23, $AD:$AG, 2, false)), VALUE(VLOOKUP(U23, $AD:$AG, 4, false)),0,1))),
                SWITCH($W$38,
                    ""Max"", VLOOKUP(U23, $AD:$AG, 4, false),
                    ""Target"", IF(V"&amp;"LOOKUP(U23, $AD:$AG, 3, false) &lt;&gt; """", VLOOKUP(U23, $AD:$AG, 3, false), VLOOKUP(U23, $AD:$AG, 4, false))),
                    T23),
            SUM(ARRAYFORMULA(TIME_TO_RUSH_GEMS( OFFSET(DVT_Laboratory!$A$3, Start_Level , IF(ISNUMBER(SEARCH(""mastery"","&amp;" U23)), MATCH(""Card Mastery"", DVT_Laboratory!$A$1:$LO$1, 0), MATCH(U23, DVT_Laboratory!$A$1:$LO$1, 0)) - 1, End_Level - Start_Level, 1) / Labspeed)))))))"),"")</f>
        <v/>
      </c>
      <c r="W23" s="725" t="str">
        <f t="shared" si="10"/>
        <v/>
      </c>
      <c r="X23" s="630" t="str">
        <f>IFERROR(__xludf.DUMMYFUNCTION("IFS(U23 = """", """", 
    VLOOKUP(U23, $AD:$AG, 2, false) = VLOOKUP(U23, $AD:$AG, 4, false), ""MAX Level"",
    AND(VLOOKUP(U23, $AD:$AG, 3, false) &lt;&gt; """", VLOOKUP(U23, $AD:$AG, 2, false) = VLOOKUP(U23, $AD:$AG, 3, false)), ""At Target"",
    TRUE,
    "&amp;"IFERROR(LET(Start_Level, IF(S23 = """",
            VLOOKUP(U23, $AD:$AG, 2, false),
            IF(ISBETWEEN(S23, VALUE(VLOOKUP(U23, $AD:$AG, 2, false)), VALUE(VLOOKUP(U23, $AD:$AG, 4, false))), S23, """")),
        End_Level, IF(OR(T23 = """", NOT(ISBET"&amp;"WEEN(T23, VALUE(VLOOKUP(U23, $AD:$AG, 2, false)), VALUE(VLOOKUP(U23, $AD:$AG, 4, false)),0,1))),
            SWITCH($W$38,
                ""Max"", VLOOKUP(U23, $AD:$AG, 4, false),
                ""Target"", IF(VLOOKUP(U23, $AD:$AG, 3, false) &lt;&gt; """", VL"&amp;"OOKUP(U23, $AD:$AG, 3, false), VLOOKUP(U23, $AD:$AG, 4, false))),
            T23),
        SUM(OFFSET(DVT_Laboratory!$A$3, Start_Level , IF(ISNUMBER(SEARCH(""mastery"", U23)), MATCH(""Card Mastery"", DVT_Laboratory!$A$1:$MY$1, 0), MATCH(U23, DVT_Laborato"&amp;"ry!$A$1:$MY$1, 0)), End_Level - Start_Level, 1)) * (1-LAB_COIN_DISCOUNT())), ""Levels Error!""))"),"")</f>
        <v/>
      </c>
      <c r="Y23" s="631" t="str">
        <f>IFERROR(__xludf.DUMMYFUNCTION("IFS(U23 = """", """", 
    VLOOKUP(U23, $AD:$AG, 2, false) = VLOOKUP(U23, $AD:$AG, 4, false), ""MAX Level"",
    AND(VLOOKUP(U23, $AD:$AG, 3, false) &lt;&gt; """", VLOOKUP(U23, $AD:$AG, 2, false) = VLOOKUP(U23, $AD:$AG, 3, false)), ""At Target"",
    TRUE,
    "&amp;"IFERROR(LET(
        Labspeed, IF(U23=""Labs Speed"", 1+'Master Sheet'!$BK$5, LAB_SPEED_TOTAL()),
        Start_Level, IF(S23 = """",
            VLOOKUP(U23, $AD:$AG, 2, false),
            IF(ISBETWEEN(S23, VALUE(VLOOKUP(U23, $AD:$AG, 2, false)), VALUE("&amp;"VLOOKUP(U23, $AD:$AG, 4, false))), S23, """")),
        End_Level, IF(OR(T23 = """", NOT(ISBETWEEN(T23, VALUE(VLOOKUP(U23, $AD:$AG, 2, false)), VALUE(VLOOKUP(U23, $AD:$AG, 4, false)),0,1))),
            SWITCH($W$38,
                ""Max"", VLOOKUP(U23, "&amp;"$AD:$AG, 4, false),
                ""Target"", IF(VLOOKUP(U23, $AD:$AG, 3, false) &lt;&gt; """", VLOOKUP(U23, $AD:$AG, 3, false), VLOOKUP(U23, $AD:$AG, 4, false))),
            T23),
        SUM(OFFSET(DVT_Laboratory!$A$3, Start_Level , IF(ISNUMBER(SEARCH(""ma"&amp;"stery"", U23)), MATCH(""Card Mastery"", DVT_Laboratory!$A$1:$MY$1, 0), MATCH(U23, DVT_Laboratory!$A$1:$MY$1, 0)) - 1, End_Level - Start_Level, 1)) /
                (1 * REGEXEXTRACT(V$2, ""[\d.-]+"")) /
                Labspeed), ""Levels Error!""))"),"")</f>
        <v/>
      </c>
      <c r="Z23" s="598"/>
      <c r="AA23" s="738" t="s">
        <v>443</v>
      </c>
      <c r="AB23" s="739" t="s">
        <v>444</v>
      </c>
      <c r="AC23" s="613" t="str">
        <f>IFERROR(__xludf.DUMMYFUNCTION("""COMPUTED_VALUE"""),"Black Hole Coin Bonus")</f>
        <v>Black Hole Coin Bonus</v>
      </c>
      <c r="AD23" s="613" t="s">
        <v>356</v>
      </c>
      <c r="AE23" s="613">
        <v>20.0</v>
      </c>
      <c r="AF23" s="613"/>
      <c r="AG23" s="613">
        <v>20.0</v>
      </c>
      <c r="AH23" s="737" t="str">
        <f>IFERROR(__xludf.DUMMYFUNCTION("IFERROR(IF(C6 = """", SEQUENCE(1, VALUE(VLOOKUP(E6, AD:AG, 4, false)) - VALUE(VLOOKUP(E6, AD:AG, 2, false)), VALUE(VLOOKUP(E6, AD:AG, 2, false)) + 1),
    IF(ISBETWEEN(C6, VALUE(VLOOKUP(E6, AD:AG, 2, false)), VALUE(VLOOKUP(E6, AD:AG, 4, false))),
        "&amp;"SEQUENCE(1, VALUE(VLOOKUP(E6, AD:AG, 4, false)) - C6, C6 + 1),
        """")))"),"")</f>
        <v/>
      </c>
      <c r="AI23" s="613"/>
      <c r="AJ23" s="613"/>
      <c r="AK23" s="613"/>
      <c r="AL23" s="613"/>
      <c r="AM23" s="613"/>
      <c r="AN23" s="613"/>
      <c r="AO23" s="613"/>
      <c r="AP23" s="613"/>
      <c r="AQ23" s="613"/>
      <c r="AR23" s="613"/>
      <c r="AS23" s="613"/>
      <c r="AT23" s="613"/>
      <c r="AU23" s="613"/>
      <c r="AV23" s="613"/>
      <c r="AW23" s="613"/>
      <c r="AX23" s="613"/>
      <c r="AY23" s="613"/>
      <c r="AZ23" s="613"/>
      <c r="BA23" s="613"/>
      <c r="BB23" s="613"/>
      <c r="BC23" s="613"/>
      <c r="BD23" s="613"/>
      <c r="BE23" s="613"/>
      <c r="BF23" s="613"/>
      <c r="BG23" s="613"/>
      <c r="BH23" s="613"/>
      <c r="BI23" s="613"/>
      <c r="BJ23" s="613"/>
      <c r="BK23" s="613"/>
      <c r="BL23" s="613"/>
      <c r="BM23" s="613"/>
      <c r="BN23" s="613"/>
      <c r="BO23" s="613"/>
      <c r="BP23" s="613"/>
      <c r="BQ23" s="613"/>
      <c r="BR23" s="613"/>
      <c r="BS23" s="613"/>
      <c r="BT23" s="613"/>
      <c r="BU23" s="613"/>
      <c r="BV23" s="613"/>
      <c r="BW23" s="613"/>
      <c r="BX23" s="613"/>
      <c r="BY23" s="613"/>
      <c r="BZ23" s="613"/>
      <c r="CA23" s="613"/>
      <c r="CB23" s="613"/>
      <c r="CC23" s="613"/>
      <c r="CD23" s="613"/>
      <c r="CE23" s="613"/>
      <c r="CF23" s="613"/>
      <c r="CG23" s="613"/>
      <c r="CH23" s="613"/>
      <c r="CI23" s="613"/>
      <c r="CJ23" s="613"/>
      <c r="CK23" s="613"/>
      <c r="CL23" s="613"/>
      <c r="CM23" s="613"/>
      <c r="CN23" s="613"/>
      <c r="CO23" s="613"/>
      <c r="CP23" s="613"/>
      <c r="CQ23" s="613"/>
      <c r="CR23" s="613"/>
      <c r="CS23" s="613"/>
      <c r="CT23" s="613"/>
      <c r="CU23" s="613"/>
      <c r="CV23" s="613"/>
      <c r="CW23" s="613"/>
      <c r="CX23" s="613"/>
      <c r="CY23" s="613"/>
      <c r="CZ23" s="613"/>
      <c r="DA23" s="613"/>
      <c r="DB23" s="613"/>
      <c r="DC23" s="613"/>
      <c r="DD23" s="613"/>
      <c r="DE23" s="613"/>
      <c r="DF23" s="613"/>
      <c r="DG23" s="613"/>
      <c r="DH23" s="613"/>
      <c r="DI23" s="613"/>
      <c r="DJ23" s="613"/>
      <c r="DK23" s="613"/>
      <c r="DL23" s="613"/>
      <c r="DM23" s="613"/>
      <c r="DN23" s="613"/>
      <c r="DO23" s="613"/>
      <c r="DP23" s="613"/>
      <c r="DQ23" s="613"/>
      <c r="DR23" s="613"/>
      <c r="DS23" s="613"/>
      <c r="DT23" s="613"/>
      <c r="DU23" s="613"/>
      <c r="DV23" s="613"/>
      <c r="DW23" s="613"/>
      <c r="DX23" s="613"/>
      <c r="DY23" s="613"/>
      <c r="DZ23" s="613"/>
      <c r="EA23" s="613"/>
      <c r="EB23" s="613"/>
      <c r="EC23" s="613"/>
      <c r="ED23" s="613"/>
      <c r="EE23" s="613"/>
      <c r="EF23" s="613"/>
      <c r="EG23" s="613"/>
      <c r="EH23" s="613"/>
      <c r="EI23" s="613"/>
      <c r="EJ23" s="613"/>
      <c r="EK23" s="613"/>
      <c r="EL23" s="613"/>
      <c r="EM23" s="613"/>
      <c r="EN23" s="613"/>
      <c r="EO23" s="613"/>
      <c r="EP23" s="613"/>
      <c r="EQ23" s="613"/>
      <c r="ER23" s="613"/>
      <c r="ES23" s="613"/>
      <c r="ET23" s="613"/>
      <c r="EU23" s="613"/>
      <c r="EV23" s="613"/>
      <c r="EW23" s="613"/>
      <c r="EX23" s="613"/>
      <c r="EY23" s="613"/>
      <c r="EZ23" s="613"/>
      <c r="FA23" s="613"/>
      <c r="FB23" s="613"/>
      <c r="FC23" s="613"/>
      <c r="FD23" s="613"/>
      <c r="FE23" s="613"/>
      <c r="FF23" s="613"/>
      <c r="FG23" s="613"/>
      <c r="FH23" s="613"/>
      <c r="FI23" s="613"/>
      <c r="FJ23" s="613"/>
      <c r="FK23" s="613"/>
      <c r="FL23" s="613"/>
      <c r="FM23" s="613"/>
      <c r="FN23" s="613"/>
      <c r="FO23" s="613"/>
      <c r="FP23" s="613"/>
      <c r="FQ23" s="613"/>
      <c r="FR23" s="613"/>
      <c r="FS23" s="613"/>
      <c r="FT23" s="613"/>
      <c r="FU23" s="613"/>
      <c r="FV23" s="613"/>
      <c r="FW23" s="613"/>
      <c r="FX23" s="613"/>
      <c r="FY23" s="613"/>
      <c r="FZ23" s="613"/>
      <c r="GA23" s="613"/>
      <c r="GB23" s="613"/>
      <c r="GC23" s="613"/>
      <c r="GD23" s="613"/>
      <c r="GE23" s="613"/>
      <c r="GF23" s="613"/>
      <c r="GG23" s="613"/>
      <c r="GH23" s="613"/>
      <c r="GI23" s="613"/>
      <c r="GJ23" s="613"/>
      <c r="GK23" s="613"/>
      <c r="GL23" s="613"/>
      <c r="GM23" s="613"/>
      <c r="GN23" s="613"/>
      <c r="GO23" s="613"/>
      <c r="GP23" s="613"/>
      <c r="GQ23" s="613"/>
      <c r="GR23" s="613"/>
      <c r="GS23" s="613"/>
      <c r="GT23" s="613"/>
      <c r="GU23" s="613"/>
      <c r="GV23" s="613"/>
      <c r="GW23" s="613"/>
      <c r="GX23" s="613"/>
      <c r="GY23" s="613"/>
      <c r="GZ23" s="613"/>
      <c r="HA23" s="613"/>
      <c r="HB23" s="613"/>
      <c r="HC23" s="613"/>
      <c r="HD23" s="613"/>
      <c r="HE23" s="613"/>
      <c r="HF23" s="613"/>
      <c r="HG23" s="613"/>
      <c r="HH23" s="613"/>
      <c r="HI23" s="613"/>
      <c r="HJ23" s="613"/>
      <c r="HK23" s="613"/>
      <c r="HL23" s="613"/>
      <c r="HM23" s="613"/>
      <c r="HN23" s="613"/>
      <c r="HO23" s="613"/>
      <c r="HP23" s="613"/>
      <c r="HQ23" s="613"/>
      <c r="HR23" s="613"/>
      <c r="HS23" s="613"/>
      <c r="HT23" s="613"/>
      <c r="HU23" s="613"/>
      <c r="HV23" s="613"/>
      <c r="HW23" s="613"/>
      <c r="HX23" s="613"/>
      <c r="HY23" s="613"/>
      <c r="HZ23" s="613"/>
      <c r="IA23" s="613"/>
      <c r="IB23" s="613"/>
      <c r="IC23" s="613"/>
      <c r="ID23" s="613"/>
      <c r="IE23" s="613"/>
      <c r="IF23" s="613"/>
      <c r="IG23" s="613"/>
      <c r="IH23" s="613"/>
    </row>
    <row r="24" hidden="1" outlineLevel="1">
      <c r="A24" s="598"/>
      <c r="B24" s="614" t="str">
        <f t="shared" si="2"/>
        <v/>
      </c>
      <c r="C24" s="740"/>
      <c r="D24" s="741"/>
      <c r="E24" s="742"/>
      <c r="F24" s="659" t="str">
        <f>IFERROR(__xludf.DUMMYFUNCTION("IFERROR(IF(H24 = """", """",
    SWITCH($W$37,
        ""Total"", "" "" &amp; FORMAT_NUMBER(H24),
        ""Daily"", LET(Lab_name, IF(REGEXMATCH(E24, ""Mastery""), ""Card Mastery"", E24),
            Level, IF(ISBETWEEN(C24, VLOOKUP(E24, $AD:$AG, 2, FALSE), V"&amp;"LOOKUP(E24, $AD:$AG, 4, FALSE), TRUE, FALSE), C24, VLOOKUP(E24, $AD:$AG, 2, FALSE)),
            IF(LABCOST_SINGLE_ADJUSTED(Lab_name, Level + 1) = 0, ""0 (Max)"",
            "" "" &amp; FORMAT_NUMBER(            
                    LABCOST_SINGLE_ADJUSTED(L"&amp;"ab_name, Level + 1) / 
                    (LABDURATION_SINGLE_ADJUSTED(Lab_name, Level + 1) /
                    (1 * REGEXEXTRACT(F$2, ""[\d.-]+"")))))),
        ""Gem Rush"", LET(
            Labspeed, IF(E24=""Labs Speed"", 1+'Master Sheet'!$BK$5, LA"&amp;"B_SPEED_TOTAL()),
            Start_Level, IF(C24 = """",
                VLOOKUP(E24, $AD:$AG, 2, false),
                IF(ISBETWEEN(C24, VALUE(VLOOKUP(E24, $AD:$AG, 2, false)), VALUE(VLOOKUP(E24, $AD:$AG, 4, false))), C24, """")),
            End_Leve"&amp;"l, IF(OR(D24 = """", NOT(ISBETWEEN(D24, VALUE(VLOOKUP(E24, $AD:$AG, 2, false)), VALUE(VLOOKUP(E24, $AD:$AG, 4, false)),0,1))),
                SWITCH($W$38,
                    ""Max"", VLOOKUP(E24, $AD:$AG, 4, false),
                    ""Target"", IF(V"&amp;"LOOKUP(E24, $AD:$AG, 3, false) &lt;&gt; """", VLOOKUP(E24, $AD:$AG, 3, false), VLOOKUP(E24, $AD:$AG, 4, false))),
                    D24),
            SUM(ARRAYFORMULA(TIME_TO_RUSH_GEMS( OFFSET(DVT_Laboratory!$A$3, Start_Level , IF(ISNUMBER(SEARCH(""mastery"","&amp;" E24)), MATCH(""Card Mastery"", DVT_Laboratory!$A$1:$LO$1, 0), MATCH(E24, DVT_Laboratory!$A$1:$LO$1, 0)) - 1, End_Level - Start_Level, 1) / Labspeed)))))))"),"")</f>
        <v/>
      </c>
      <c r="G24" s="743" t="str">
        <f t="shared" si="8"/>
        <v/>
      </c>
      <c r="H24" s="620" t="str">
        <f>IFERROR(__xludf.DUMMYFUNCTION("IFS(E24 = """", """", 
    VLOOKUP(E24, $AD:$AG, 2, false) = VLOOKUP(E24, $AD:$AG, 4, false), ""MAX Level"",
    AND(VLOOKUP(E24, $AD:$AG, 3, false) &lt;&gt; """", VLOOKUP(E24, $AD:$AG, 2, false) = VLOOKUP(E24, $AD:$AG, 3, false)), ""At Target"",
    TRUE,
    "&amp;"IFERROR(LET(Start_Level, IF(C24 = """",
            VLOOKUP(E24, $AD:$AG, 2, false),
            IF(ISBETWEEN(C24, VALUE(VLOOKUP(E24, $AD:$AG, 2, false)), VALUE(VLOOKUP(E24, $AD:$AG, 4, false))), C24, """")),
        End_Level, IF(OR(D24 = """", NOT(ISBET"&amp;"WEEN(D24, VALUE(VLOOKUP(E24, $AD:$AG, 2, false)), VALUE(VLOOKUP(E24, $AD:$AG, 4, false)),0,1))),
            SWITCH($W$38,
                ""Max"", VLOOKUP(E24, $AD:$AG, 4, false),
                ""Target"", IF(VLOOKUP(E24, $AD:$AG, 3, false) &lt;&gt; """", VL"&amp;"OOKUP(E24, $AD:$AG, 3, false), VLOOKUP(E24, $AD:$AG, 4, false))),
            D24),
        SUM(OFFSET(DVT_Laboratory!$A$3, Start_Level , IF(ISNUMBER(SEARCH(""mastery"", E24)), MATCH(""Card Mastery"", DVT_Laboratory!$A$1:$MY$1, 0), MATCH(E24, DVT_Laborato"&amp;"ry!$A$1:$MY$1, 0)), End_Level - Start_Level, 1)) * (1-LAB_COIN_DISCOUNT())), ""Levels Error!""))"),"")</f>
        <v/>
      </c>
      <c r="I24" s="621" t="str">
        <f>IFERROR(__xludf.DUMMYFUNCTION("IFS(E24 = """", """", 
    VLOOKUP(E24, $AD:$AG, 2, false) = VLOOKUP(E24, $AD:$AG, 4, false), ""MAX Level"",
    AND(VLOOKUP(E24, $AD:$AG, 3, false) &lt;&gt; """", VLOOKUP(E24, $AD:$AG, 2, false) = VLOOKUP(E24, $AD:$AG, 3, false)), ""At Target"",
    TRUE,
    "&amp;"IFERROR(LET(
        Labspeed, IF(E24=""Labs Speed"", 1+'Master Sheet'!$BK$5, LAB_SPEED_TOTAL()),
        Start_Level, IF(C24 = """",
            VLOOKUP(E24, $AD:$AG, 2, false),
            IF(ISBETWEEN(C24, VALUE(VLOOKUP(E24, $AD:$AG, 2, false)), VALUE("&amp;"VLOOKUP(E24, $AD:$AG, 4, false))), C24, """")),
        End_Level, IF(OR(D24 = """", NOT(ISBETWEEN(D24, VALUE(VLOOKUP(E24, $AD:$AG, 2, false)), VALUE(VLOOKUP(E24, $AD:$AG, 4, false)),0,1))),
            SWITCH($W$38,
                ""Max"", VLOOKUP(E24, "&amp;"$AD:$AG, 4, false),
                ""Target"", IF(VLOOKUP(E24, $AD:$AG, 3, false) &lt;&gt; """", VLOOKUP(E24, $AD:$AG, 3, false), VLOOKUP(E24, $AD:$AG, 4, false))),
            D24),
        SUM(OFFSET(DVT_Laboratory!$A$3, Start_Level , IF(ISNUMBER(SEARCH(""ma"&amp;"stery"", E24)), MATCH(""Card Mastery"", DVT_Laboratory!$A$1:$MY$1, 0), MATCH(E24, DVT_Laboratory!$A$1:$MY$1, 0)) - 1, End_Level - Start_Level, 1)) /
                (1 * REGEXEXTRACT(F$2, ""[\d.-]+"")) /
                Labspeed), ""Levels Error!""))"),"")</f>
        <v/>
      </c>
      <c r="J24" s="640" t="str">
        <f t="shared" si="4"/>
        <v/>
      </c>
      <c r="K24" s="744"/>
      <c r="L24" s="745"/>
      <c r="M24" s="746"/>
      <c r="N24" s="747" t="str">
        <f>IFERROR(__xludf.DUMMYFUNCTION("IFERROR(IF(P24 = """", """",
    SWITCH($W$37,
        ""Total"", "" "" &amp; FORMAT_NUMBER(P24),
        ""Daily"", LET(Lab_name, IF(REGEXMATCH(M24, ""Mastery""), ""Card Mastery"", M24),
            Level, IF(ISBETWEEN(K24, VLOOKUP(M24, $AD:$AG, 2, FALSE), V"&amp;"LOOKUP(M24, $AD:$AG, 4, FALSE), TRUE, FALSE), K24, VLOOKUP(M24, $AD:$AG, 2, FALSE)),
            IF(LABCOST_SINGLE_ADJUSTED(Lab_name, Level + 1) = 0, ""0 (Max)"",
            "" "" &amp; FORMAT_NUMBER(            
                    LABCOST_SINGLE_ADJUSTED(L"&amp;"ab_name, Level + 1) / 
                    (LABDURATION_SINGLE_ADJUSTED(Lab_name, Level + 1) /
                    (1 * REGEXEXTRACT(N$2, ""[\d.-]+"")))))),
        ""Gem Rush"", LET(
            Labspeed, IF(M24=""Labs Speed"", 1+'Master Sheet'!$BK$5, LA"&amp;"B_SPEED_TOTAL()),
            Start_Level, IF(K24 = """",
                VLOOKUP(M24, $AD:$AG, 2, false),
                IF(ISBETWEEN(K24, VALUE(VLOOKUP(M24, $AD:$AG, 2, false)), VALUE(VLOOKUP(M24, $AD:$AG, 4, false))), K24, """")),
            End_Leve"&amp;"l, IF(OR(L24 = """", NOT(ISBETWEEN(L24, VALUE(VLOOKUP(M24, $AD:$AG, 2, false)), VALUE(VLOOKUP(M24, $AD:$AG, 4, false)),0,1))),
                SWITCH($W$38,
                    ""Max"", VLOOKUP(M24, $AD:$AG, 4, false),
                    ""Target"", IF(V"&amp;"LOOKUP(M24, $AD:$AG, 3, false) &lt;&gt; """", VLOOKUP(M24, $AD:$AG, 3, false), VLOOKUP(M24, $AD:$AG, 4, false))),
                    L24),
            SUM(ARRAYFORMULA(TIME_TO_RUSH_GEMS( OFFSET(DVT_Laboratory!$A$3, Start_Level , IF(ISNUMBER(SEARCH(""mastery"","&amp;" M24)), MATCH(""Card Mastery"", DVT_Laboratory!$A$1:$LO$1, 0), MATCH(M24, DVT_Laboratory!$A$1:$LO$1, 0)) - 1, End_Level - Start_Level, 1) / Labspeed)))))))"),"")</f>
        <v/>
      </c>
      <c r="O24" s="748" t="str">
        <f t="shared" si="9"/>
        <v/>
      </c>
      <c r="P24" s="625" t="str">
        <f>IFERROR(__xludf.DUMMYFUNCTION("IFS(M24 = """", """", 
    VLOOKUP(M24, $AD:$AG, 2, false) = VLOOKUP(M24, $AD:$AG, 4, false), ""MAX Level"",
    AND(VLOOKUP(M24, $AD:$AG, 3, false) &lt;&gt; """", VLOOKUP(M24, $AD:$AG, 2, false) = VLOOKUP(M24, $AD:$AG, 3, false)), ""At Target"",
    TRUE,
    "&amp;"IFERROR(LET(Start_Level, IF(K24 = """",
            VLOOKUP(M24, $AD:$AG, 2, false),
            IF(ISBETWEEN(K24, VALUE(VLOOKUP(M24, $AD:$AG, 2, false)), VALUE(VLOOKUP(M24, $AD:$AG, 4, false))), K24, """")),
        End_Level, IF(OR(L24 = """", NOT(ISBET"&amp;"WEEN(L24, VALUE(VLOOKUP(M24, $AD:$AG, 2, false)), VALUE(VLOOKUP(M24, $AD:$AG, 4, false)),0,1))),
            SWITCH($W$38,
                ""Max"", VLOOKUP(M24, $AD:$AG, 4, false),
                ""Target"", IF(VLOOKUP(M24, $AD:$AG, 3, false) &lt;&gt; """", VL"&amp;"OOKUP(M24, $AD:$AG, 3, false), VLOOKUP(M24, $AD:$AG, 4, false))),
            L24),
        SUM(OFFSET(DVT_Laboratory!$A$3, Start_Level , IF(ISNUMBER(SEARCH(""mastery"", M24)), MATCH(""Card Mastery"", DVT_Laboratory!$A$1:$MY$1, 0), MATCH(M24, DVT_Laborato"&amp;"ry!$A$1:$MY$1, 0)), End_Level - Start_Level, 1)) * (1-LAB_COIN_DISCOUNT())), ""Levels Error!""))"),"")</f>
        <v/>
      </c>
      <c r="Q24" s="626" t="str">
        <f>IFERROR(__xludf.DUMMYFUNCTION("IFS(M24 = """", """", 
    VLOOKUP(M24, $AD:$AG, 2, false) = VLOOKUP(M24, $AD:$AG, 4, false), ""MAX Level"",
    AND(VLOOKUP(M24, $AD:$AG, 3, false) &lt;&gt; """", VLOOKUP(M24, $AD:$AG, 2, false) = VLOOKUP(M24, $AD:$AG, 3, false)), ""At Target"",
    TRUE,
    "&amp;"IFERROR(LET(
        Labspeed, IF(M24=""Labs Speed"", 1+'Master Sheet'!$BK$5, LAB_SPEED_TOTAL()),
        Start_Level, IF(K24 = """",
            VLOOKUP(M24, $AD:$AG, 2, false),
            IF(ISBETWEEN(K24, VALUE(VLOOKUP(M24, $AD:$AG, 2, false)), VALUE("&amp;"VLOOKUP(M24, $AD:$AG, 4, false))), K24, """")),
        End_Level, IF(OR(L24 = """", NOT(ISBETWEEN(L24, VALUE(VLOOKUP(M24, $AD:$AG, 2, false)), VALUE(VLOOKUP(M24, $AD:$AG, 4, false)),0,1))),
            SWITCH($W$38,
                ""Max"", VLOOKUP(M24, "&amp;"$AD:$AG, 4, false),
                ""Target"", IF(VLOOKUP(M24, $AD:$AG, 3, false) &lt;&gt; """", VLOOKUP(M24, $AD:$AG, 3, false), VLOOKUP(M24, $AD:$AG, 4, false))),
            L24),
        SUM(OFFSET(DVT_Laboratory!$A$3, Start_Level , IF(ISNUMBER(SEARCH(""ma"&amp;"stery"", M24)), MATCH(""Card Mastery"", DVT_Laboratory!$A$1:$MY$1, 0), MATCH(M24, DVT_Laboratory!$A$1:$MY$1, 0)) - 1, End_Level - Start_Level, 1)) /
                (1 * REGEXEXTRACT(N$2, ""[\d.-]+"")) /
                Labspeed), ""Levels Error!""))"),"")</f>
        <v/>
      </c>
      <c r="R24" s="642" t="str">
        <f t="shared" si="6"/>
        <v/>
      </c>
      <c r="S24" s="749"/>
      <c r="T24" s="750"/>
      <c r="U24" s="751"/>
      <c r="V24" s="752" t="str">
        <f>IFERROR(__xludf.DUMMYFUNCTION("IFERROR(IF(X24 = """", """",
    SWITCH($W$37,
        ""Total"", "" "" &amp; FORMAT_NUMBER(X24),
        ""Daily"", LET(Lab_name, IF(REGEXMATCH(U24, ""Mastery""), ""Card Mastery"", U24),
            Level, IF(ISBETWEEN(S24, VLOOKUP(U24, $AD:$AG, 2, FALSE), V"&amp;"LOOKUP(U24, $AD:$AG, 4, FALSE), TRUE, FALSE), S24, VLOOKUP(U24, $AD:$AG, 2, FALSE)),
            IF(LABCOST_SINGLE_ADJUSTED(Lab_name, Level + 1) = 0, ""0 (Max)"",
            "" "" &amp; FORMAT_NUMBER(            
                    LABCOST_SINGLE_ADJUSTED(L"&amp;"ab_name, Level + 1) / 
                    (LABDURATION_SINGLE_ADJUSTED(Lab_name, Level + 1) /
                    (1 * REGEXEXTRACT(V$2, ""[\d.-]+"")))))),
        ""Gem Rush"", LET(
            Labspeed, IF(U24=""Labs Speed"", 1+'Master Sheet'!$BK$5, LA"&amp;"B_SPEED_TOTAL()),
            Start_Level, IF(S24 = """",
                VLOOKUP(U24, $AD:$AG, 2, false),
                IF(ISBETWEEN(S24, VALUE(VLOOKUP(U24, $AD:$AG, 2, false)), VALUE(VLOOKUP(U24, $AD:$AG, 4, false))), S24, """")),
            End_Leve"&amp;"l, IF(OR(T24 = """", NOT(ISBETWEEN(T24, VALUE(VLOOKUP(U24, $AD:$AG, 2, false)), VALUE(VLOOKUP(U24, $AD:$AG, 4, false)),0,1))),
                SWITCH($W$38,
                    ""Max"", VLOOKUP(U24, $AD:$AG, 4, false),
                    ""Target"", IF(V"&amp;"LOOKUP(U24, $AD:$AG, 3, false) &lt;&gt; """", VLOOKUP(U24, $AD:$AG, 3, false), VLOOKUP(U24, $AD:$AG, 4, false))),
                    T24),
            SUM(ARRAYFORMULA(TIME_TO_RUSH_GEMS( OFFSET(DVT_Laboratory!$A$3, Start_Level , IF(ISNUMBER(SEARCH(""mastery"","&amp;" U24)), MATCH(""Card Mastery"", DVT_Laboratory!$A$1:$LO$1, 0), MATCH(U24, DVT_Laboratory!$A$1:$LO$1, 0)) - 1, End_Level - Start_Level, 1) / Labspeed)))))))"),"")</f>
        <v/>
      </c>
      <c r="W24" s="753" t="str">
        <f t="shared" si="10"/>
        <v/>
      </c>
      <c r="X24" s="630" t="str">
        <f>IFERROR(__xludf.DUMMYFUNCTION("IFS(U24 = """", """", 
    VLOOKUP(U24, $AD:$AG, 2, false) = VLOOKUP(U24, $AD:$AG, 4, false), ""MAX Level"",
    AND(VLOOKUP(U24, $AD:$AG, 3, false) &lt;&gt; """", VLOOKUP(U24, $AD:$AG, 2, false) = VLOOKUP(U24, $AD:$AG, 3, false)), ""At Target"",
    TRUE,
    "&amp;"IFERROR(LET(Start_Level, IF(S24 = """",
            VLOOKUP(U24, $AD:$AG, 2, false),
            IF(ISBETWEEN(S24, VALUE(VLOOKUP(U24, $AD:$AG, 2, false)), VALUE(VLOOKUP(U24, $AD:$AG, 4, false))), S24, """")),
        End_Level, IF(OR(T24 = """", NOT(ISBET"&amp;"WEEN(T24, VALUE(VLOOKUP(U24, $AD:$AG, 2, false)), VALUE(VLOOKUP(U24, $AD:$AG, 4, false)),0,1))),
            SWITCH($W$38,
                ""Max"", VLOOKUP(U24, $AD:$AG, 4, false),
                ""Target"", IF(VLOOKUP(U24, $AD:$AG, 3, false) &lt;&gt; """", VL"&amp;"OOKUP(U24, $AD:$AG, 3, false), VLOOKUP(U24, $AD:$AG, 4, false))),
            T24),
        SUM(OFFSET(DVT_Laboratory!$A$3, Start_Level , IF(ISNUMBER(SEARCH(""mastery"", U24)), MATCH(""Card Mastery"", DVT_Laboratory!$A$1:$MY$1, 0), MATCH(U24, DVT_Laborato"&amp;"ry!$A$1:$MY$1, 0)), End_Level - Start_Level, 1)) * (1-LAB_COIN_DISCOUNT())), ""Levels Error!""))"),"")</f>
        <v/>
      </c>
      <c r="Y24" s="631" t="str">
        <f>IFERROR(__xludf.DUMMYFUNCTION("IFS(U24 = """", """", 
    VLOOKUP(U24, $AD:$AG, 2, false) = VLOOKUP(U24, $AD:$AG, 4, false), ""MAX Level"",
    AND(VLOOKUP(U24, $AD:$AG, 3, false) &lt;&gt; """", VLOOKUP(U24, $AD:$AG, 2, false) = VLOOKUP(U24, $AD:$AG, 3, false)), ""At Target"",
    TRUE,
    "&amp;"IFERROR(LET(
        Labspeed, IF(U24=""Labs Speed"", 1+'Master Sheet'!$BK$5, LAB_SPEED_TOTAL()),
        Start_Level, IF(S24 = """",
            VLOOKUP(U24, $AD:$AG, 2, false),
            IF(ISBETWEEN(S24, VALUE(VLOOKUP(U24, $AD:$AG, 2, false)), VALUE("&amp;"VLOOKUP(U24, $AD:$AG, 4, false))), S24, """")),
        End_Level, IF(OR(T24 = """", NOT(ISBETWEEN(T24, VALUE(VLOOKUP(U24, $AD:$AG, 2, false)), VALUE(VLOOKUP(U24, $AD:$AG, 4, false)),0,1))),
            SWITCH($W$38,
                ""Max"", VLOOKUP(U24, "&amp;"$AD:$AG, 4, false),
                ""Target"", IF(VLOOKUP(U24, $AD:$AG, 3, false) &lt;&gt; """", VLOOKUP(U24, $AD:$AG, 3, false), VLOOKUP(U24, $AD:$AG, 4, false))),
            T24),
        SUM(OFFSET(DVT_Laboratory!$A$3, Start_Level , IF(ISNUMBER(SEARCH(""ma"&amp;"stery"", U24)), MATCH(""Card Mastery"", DVT_Laboratory!$A$1:$MY$1, 0), MATCH(U24, DVT_Laboratory!$A$1:$MY$1, 0)) - 1, End_Level - Start_Level, 1)) /
                (1 * REGEXEXTRACT(V$2, ""[\d.-]+"")) /
                Labspeed), ""Levels Error!""))"),"")</f>
        <v/>
      </c>
      <c r="Z24" s="598"/>
      <c r="AA24" s="754" t="s">
        <v>445</v>
      </c>
      <c r="AB24" s="755" t="s">
        <v>446</v>
      </c>
      <c r="AC24" s="613" t="str">
        <f>IFERROR(__xludf.DUMMYFUNCTION("""COMPUTED_VALUE"""),"Black Hole Damage")</f>
        <v>Black Hole Damage</v>
      </c>
      <c r="AD24" s="613" t="s">
        <v>352</v>
      </c>
      <c r="AE24" s="613">
        <v>10.0</v>
      </c>
      <c r="AF24" s="613"/>
      <c r="AG24" s="613">
        <v>10.0</v>
      </c>
      <c r="AH24" s="737" t="str">
        <f>IFERROR(__xludf.DUMMYFUNCTION("IFERROR(IF(C7 = """", SEQUENCE(1, VALUE(VLOOKUP(E7, AD:AG, 4, false)) - VALUE(VLOOKUP(E7, AD:AG, 2, false)), VALUE(VLOOKUP(E7, AD:AG, 2, false)) + 1),
    IF(ISBETWEEN(C7, VALUE(VLOOKUP(E7, AD:AG, 2, false)), VALUE(VLOOKUP(E7, AD:AG, 4, false))),
        "&amp;"SEQUENCE(1, VALUE(VLOOKUP(E7, AD:AG, 4, false)) - C7, C7 + 1),
        """")))"),"")</f>
        <v/>
      </c>
      <c r="AI24" s="613"/>
      <c r="AJ24" s="613"/>
      <c r="AK24" s="613"/>
      <c r="AL24" s="613"/>
      <c r="AM24" s="613"/>
      <c r="AN24" s="613"/>
      <c r="AO24" s="613"/>
      <c r="AP24" s="613"/>
      <c r="AQ24" s="613"/>
      <c r="AR24" s="613"/>
      <c r="AS24" s="613"/>
      <c r="AT24" s="613"/>
      <c r="AU24" s="613"/>
      <c r="AV24" s="613"/>
      <c r="AW24" s="613"/>
      <c r="AX24" s="613"/>
      <c r="AY24" s="613"/>
      <c r="AZ24" s="613"/>
      <c r="BA24" s="613"/>
      <c r="BB24" s="613"/>
      <c r="BC24" s="613"/>
      <c r="BD24" s="613"/>
      <c r="BE24" s="613"/>
      <c r="BF24" s="613"/>
      <c r="BG24" s="613"/>
      <c r="BH24" s="613"/>
      <c r="BI24" s="613"/>
      <c r="BJ24" s="613"/>
      <c r="BK24" s="613"/>
      <c r="BL24" s="613"/>
      <c r="BM24" s="613"/>
      <c r="BN24" s="613"/>
      <c r="BO24" s="613"/>
      <c r="BP24" s="613"/>
      <c r="BQ24" s="613"/>
      <c r="BR24" s="613"/>
      <c r="BS24" s="613"/>
      <c r="BT24" s="613"/>
      <c r="BU24" s="613"/>
      <c r="BV24" s="613"/>
      <c r="BW24" s="613"/>
      <c r="BX24" s="613"/>
      <c r="BY24" s="613"/>
      <c r="BZ24" s="613"/>
      <c r="CA24" s="613"/>
      <c r="CB24" s="613"/>
      <c r="CC24" s="613"/>
      <c r="CD24" s="613"/>
      <c r="CE24" s="613"/>
      <c r="CF24" s="613"/>
      <c r="CG24" s="613"/>
      <c r="CH24" s="613"/>
      <c r="CI24" s="613"/>
      <c r="CJ24" s="613"/>
      <c r="CK24" s="613"/>
      <c r="CL24" s="613"/>
      <c r="CM24" s="613"/>
      <c r="CN24" s="613"/>
      <c r="CO24" s="613"/>
      <c r="CP24" s="613"/>
      <c r="CQ24" s="613"/>
      <c r="CR24" s="613"/>
      <c r="CS24" s="613"/>
      <c r="CT24" s="613"/>
      <c r="CU24" s="613"/>
      <c r="CV24" s="613"/>
      <c r="CW24" s="613"/>
      <c r="CX24" s="613"/>
      <c r="CY24" s="613"/>
      <c r="CZ24" s="613"/>
      <c r="DA24" s="613"/>
      <c r="DB24" s="613"/>
      <c r="DC24" s="613"/>
      <c r="DD24" s="613"/>
      <c r="DE24" s="613"/>
      <c r="DF24" s="613"/>
      <c r="DG24" s="613"/>
      <c r="DH24" s="613"/>
      <c r="DI24" s="613"/>
      <c r="DJ24" s="613"/>
      <c r="DK24" s="613"/>
      <c r="DL24" s="613"/>
      <c r="DM24" s="613"/>
      <c r="DN24" s="613"/>
      <c r="DO24" s="613"/>
      <c r="DP24" s="613"/>
      <c r="DQ24" s="613"/>
      <c r="DR24" s="613"/>
      <c r="DS24" s="613"/>
      <c r="DT24" s="613"/>
      <c r="DU24" s="613"/>
      <c r="DV24" s="613"/>
      <c r="DW24" s="613"/>
      <c r="DX24" s="613"/>
      <c r="DY24" s="613"/>
      <c r="DZ24" s="613"/>
      <c r="EA24" s="613"/>
      <c r="EB24" s="613"/>
      <c r="EC24" s="613"/>
      <c r="ED24" s="613"/>
      <c r="EE24" s="613"/>
      <c r="EF24" s="613"/>
      <c r="EG24" s="613"/>
      <c r="EH24" s="613"/>
      <c r="EI24" s="613"/>
      <c r="EJ24" s="613"/>
      <c r="EK24" s="613"/>
      <c r="EL24" s="613"/>
      <c r="EM24" s="613"/>
      <c r="EN24" s="613"/>
      <c r="EO24" s="613"/>
      <c r="EP24" s="613"/>
      <c r="EQ24" s="613"/>
      <c r="ER24" s="613"/>
      <c r="ES24" s="613"/>
      <c r="ET24" s="613"/>
      <c r="EU24" s="613"/>
      <c r="EV24" s="613"/>
      <c r="EW24" s="613"/>
      <c r="EX24" s="613"/>
      <c r="EY24" s="613"/>
      <c r="EZ24" s="613"/>
      <c r="FA24" s="613"/>
      <c r="FB24" s="613"/>
      <c r="FC24" s="613"/>
      <c r="FD24" s="613"/>
      <c r="FE24" s="613"/>
      <c r="FF24" s="613"/>
      <c r="FG24" s="613"/>
      <c r="FH24" s="613"/>
      <c r="FI24" s="613"/>
      <c r="FJ24" s="613"/>
      <c r="FK24" s="613"/>
      <c r="FL24" s="613"/>
      <c r="FM24" s="613"/>
      <c r="FN24" s="613"/>
      <c r="FO24" s="613"/>
      <c r="FP24" s="613"/>
      <c r="FQ24" s="613"/>
      <c r="FR24" s="613"/>
      <c r="FS24" s="613"/>
      <c r="FT24" s="613"/>
      <c r="FU24" s="613"/>
      <c r="FV24" s="613"/>
      <c r="FW24" s="613"/>
      <c r="FX24" s="613"/>
      <c r="FY24" s="613"/>
      <c r="FZ24" s="613"/>
      <c r="GA24" s="613"/>
      <c r="GB24" s="613"/>
      <c r="GC24" s="613"/>
      <c r="GD24" s="613"/>
      <c r="GE24" s="613"/>
      <c r="GF24" s="613"/>
      <c r="GG24" s="613"/>
      <c r="GH24" s="613"/>
      <c r="GI24" s="613"/>
      <c r="GJ24" s="613"/>
      <c r="GK24" s="613"/>
      <c r="GL24" s="613"/>
      <c r="GM24" s="613"/>
      <c r="GN24" s="613"/>
      <c r="GO24" s="613"/>
      <c r="GP24" s="613"/>
      <c r="GQ24" s="613"/>
      <c r="GR24" s="613"/>
      <c r="GS24" s="613"/>
      <c r="GT24" s="613"/>
      <c r="GU24" s="613"/>
      <c r="GV24" s="613"/>
      <c r="GW24" s="613"/>
      <c r="GX24" s="613"/>
      <c r="GY24" s="613"/>
      <c r="GZ24" s="613"/>
      <c r="HA24" s="613"/>
      <c r="HB24" s="613"/>
      <c r="HC24" s="613"/>
      <c r="HD24" s="613"/>
      <c r="HE24" s="613"/>
      <c r="HF24" s="613"/>
      <c r="HG24" s="613"/>
      <c r="HH24" s="613"/>
      <c r="HI24" s="613"/>
      <c r="HJ24" s="613"/>
      <c r="HK24" s="613"/>
      <c r="HL24" s="613"/>
      <c r="HM24" s="613"/>
      <c r="HN24" s="613"/>
      <c r="HO24" s="613"/>
      <c r="HP24" s="613"/>
      <c r="HQ24" s="613"/>
      <c r="HR24" s="613"/>
      <c r="HS24" s="613"/>
      <c r="HT24" s="613"/>
      <c r="HU24" s="613"/>
      <c r="HV24" s="613"/>
      <c r="HW24" s="613"/>
      <c r="HX24" s="613"/>
      <c r="HY24" s="613"/>
      <c r="HZ24" s="613"/>
      <c r="IA24" s="613"/>
      <c r="IB24" s="613"/>
      <c r="IC24" s="613"/>
      <c r="ID24" s="613"/>
      <c r="IE24" s="613"/>
      <c r="IF24" s="613"/>
      <c r="IG24" s="613"/>
      <c r="IH24" s="613"/>
    </row>
    <row r="25" ht="22.5" customHeight="1">
      <c r="A25" s="598"/>
      <c r="B25" s="756"/>
      <c r="C25" s="757" t="str">
        <f>IFERROR(__xludf.DUMMYFUNCTION("IFERROR(SPARKLINE(IF($W39 = ""Top"", I5:I25, SORT(I5:I25, ROW(I5:I25), FALSE)), {""charttype"", ""bar""; ""max"", 28;""nan"", ""ignore""; ARRAYFORMULA({""Color"" &amp; SEQUENCE(20), ARRAYFORMULA(TOCOL(SPLIT(REPT($AB32:$AB36 &amp; "","", 4), "",""),,TRUE))})}), """&amp;"Add labs to begin tracking."")"),"")</f>
        <v/>
      </c>
      <c r="H25" s="758"/>
      <c r="I25" s="759"/>
      <c r="J25" s="760"/>
      <c r="K25" s="761" t="str">
        <f>IFERROR(__xludf.DUMMYFUNCTION("IFERROR(SPARKLINE(IF($W39 = ""Top"", Q5:Q25, SORT(Q5:Q25, ROW(Q5:Q25), FALSE)), {""charttype"", ""bar""; ""max"", 28;""nan"", ""ignore""; ARRAYFORMULA({""Color"" &amp; SEQUENCE(20), ARRAYFORMULA(TOCOL(SPLIT(REPT($AB26:$AB30 &amp; "","", 4), "",""),,TRUE))})}), """&amp;"Add labs to begin tracking."")"),"")</f>
        <v/>
      </c>
      <c r="P25" s="762"/>
      <c r="Q25" s="763"/>
      <c r="R25" s="764"/>
      <c r="S25" s="761" t="str">
        <f>IFERROR(__xludf.DUMMYFUNCTION("IFERROR(SPARKLINE(IF($W39 = ""Top"", Y5:Y25, SORT(Y5:Y25, ROW(Y5:Y25), FALSE)), {""charttype"", ""bar""; ""max"", 28;""nan"", ""ignore""; ARRAYFORMULA({""Color"" &amp; SEQUENCE(20), ARRAYFORMULA(TOCOL(SPLIT(REPT($AB20:$AB24 &amp; "","", 4), "",""),,TRUE))})}), """&amp;"Add labs to begin tracking."")"),"")</f>
        <v/>
      </c>
      <c r="W25" s="765"/>
      <c r="X25" s="766"/>
      <c r="Y25" s="767"/>
      <c r="Z25" s="598"/>
      <c r="AA25" s="768"/>
      <c r="AB25" s="769" t="s">
        <v>447</v>
      </c>
      <c r="AC25" s="613" t="str">
        <f>IFERROR(__xludf.DUMMYFUNCTION("""COMPUTED_VALUE"""),"Black Hole Disable Ranged Enemies")</f>
        <v>Black Hole Disable Ranged Enemies</v>
      </c>
      <c r="AD25" s="613" t="s">
        <v>362</v>
      </c>
      <c r="AE25" s="613">
        <v>1.0</v>
      </c>
      <c r="AF25" s="613"/>
      <c r="AG25" s="613">
        <v>1.0</v>
      </c>
      <c r="AH25" s="737" t="str">
        <f>IFERROR(__xludf.DUMMYFUNCTION("IFERROR(IF(C8 = """", SEQUENCE(1, VALUE(VLOOKUP(E8, AD:AG, 4, false)) - VALUE(VLOOKUP(E8, AD:AG, 2, false)), VALUE(VLOOKUP(E8, AD:AG, 2, false)) + 1),
    IF(ISBETWEEN(C8, VALUE(VLOOKUP(E8, AD:AG, 2, false)), VALUE(VLOOKUP(E8, AD:AG, 4, false))),
        "&amp;"SEQUENCE(1, VALUE(VLOOKUP(E8, AD:AG, 4, false)) - C8, C8 + 1),
        """")))"),"")</f>
        <v/>
      </c>
      <c r="AI25" s="613"/>
      <c r="AJ25" s="613"/>
      <c r="AK25" s="613"/>
      <c r="AL25" s="613"/>
      <c r="AM25" s="613"/>
      <c r="AN25" s="613"/>
      <c r="AO25" s="613"/>
      <c r="AP25" s="613"/>
      <c r="AQ25" s="613"/>
      <c r="AR25" s="613"/>
      <c r="AS25" s="613"/>
      <c r="AT25" s="613"/>
      <c r="AU25" s="613"/>
      <c r="AV25" s="613"/>
      <c r="AW25" s="613"/>
      <c r="AX25" s="613"/>
      <c r="AY25" s="613"/>
      <c r="AZ25" s="613"/>
      <c r="BA25" s="613"/>
      <c r="BB25" s="613"/>
      <c r="BC25" s="613"/>
      <c r="BD25" s="613"/>
      <c r="BE25" s="613"/>
      <c r="BF25" s="613"/>
      <c r="BG25" s="613"/>
      <c r="BH25" s="613"/>
      <c r="BI25" s="613"/>
      <c r="BJ25" s="613"/>
      <c r="BK25" s="613"/>
      <c r="BL25" s="613"/>
      <c r="BM25" s="613"/>
      <c r="BN25" s="613"/>
      <c r="BO25" s="613"/>
      <c r="BP25" s="613"/>
      <c r="BQ25" s="613"/>
      <c r="BR25" s="613"/>
      <c r="BS25" s="613"/>
      <c r="BT25" s="613"/>
      <c r="BU25" s="613"/>
      <c r="BV25" s="613"/>
      <c r="BW25" s="613"/>
      <c r="BX25" s="613"/>
      <c r="BY25" s="613"/>
      <c r="BZ25" s="613"/>
      <c r="CA25" s="613"/>
      <c r="CB25" s="613"/>
      <c r="CC25" s="613"/>
      <c r="CD25" s="613"/>
      <c r="CE25" s="613"/>
      <c r="CF25" s="613"/>
      <c r="CG25" s="613"/>
      <c r="CH25" s="613"/>
      <c r="CI25" s="613"/>
      <c r="CJ25" s="613"/>
      <c r="CK25" s="613"/>
      <c r="CL25" s="613"/>
      <c r="CM25" s="613"/>
      <c r="CN25" s="613"/>
      <c r="CO25" s="613"/>
      <c r="CP25" s="613"/>
      <c r="CQ25" s="613"/>
      <c r="CR25" s="613"/>
      <c r="CS25" s="613"/>
      <c r="CT25" s="613"/>
      <c r="CU25" s="613"/>
      <c r="CV25" s="613"/>
      <c r="CW25" s="613"/>
      <c r="CX25" s="613"/>
      <c r="CY25" s="613"/>
      <c r="CZ25" s="613"/>
      <c r="DA25" s="613"/>
      <c r="DB25" s="613"/>
      <c r="DC25" s="613"/>
      <c r="DD25" s="613"/>
      <c r="DE25" s="613"/>
      <c r="DF25" s="613"/>
      <c r="DG25" s="613"/>
      <c r="DH25" s="613"/>
      <c r="DI25" s="613"/>
      <c r="DJ25" s="613"/>
      <c r="DK25" s="613"/>
      <c r="DL25" s="613"/>
      <c r="DM25" s="613"/>
      <c r="DN25" s="613"/>
      <c r="DO25" s="613"/>
      <c r="DP25" s="613"/>
      <c r="DQ25" s="613"/>
      <c r="DR25" s="613"/>
      <c r="DS25" s="613"/>
      <c r="DT25" s="613"/>
      <c r="DU25" s="613"/>
      <c r="DV25" s="613"/>
      <c r="DW25" s="613"/>
      <c r="DX25" s="613"/>
      <c r="DY25" s="613"/>
      <c r="DZ25" s="613"/>
      <c r="EA25" s="613"/>
      <c r="EB25" s="613"/>
      <c r="EC25" s="613"/>
      <c r="ED25" s="613"/>
      <c r="EE25" s="613"/>
      <c r="EF25" s="613"/>
      <c r="EG25" s="613"/>
      <c r="EH25" s="613"/>
      <c r="EI25" s="613"/>
      <c r="EJ25" s="613"/>
      <c r="EK25" s="613"/>
      <c r="EL25" s="613"/>
      <c r="EM25" s="613"/>
      <c r="EN25" s="613"/>
      <c r="EO25" s="613"/>
      <c r="EP25" s="613"/>
      <c r="EQ25" s="613"/>
      <c r="ER25" s="613"/>
      <c r="ES25" s="613"/>
      <c r="ET25" s="613"/>
      <c r="EU25" s="613"/>
      <c r="EV25" s="613"/>
      <c r="EW25" s="613"/>
      <c r="EX25" s="613"/>
      <c r="EY25" s="613"/>
      <c r="EZ25" s="613"/>
      <c r="FA25" s="613"/>
      <c r="FB25" s="613"/>
      <c r="FC25" s="613"/>
      <c r="FD25" s="613"/>
      <c r="FE25" s="613"/>
      <c r="FF25" s="613"/>
      <c r="FG25" s="613"/>
      <c r="FH25" s="613"/>
      <c r="FI25" s="613"/>
      <c r="FJ25" s="613"/>
      <c r="FK25" s="613"/>
      <c r="FL25" s="613"/>
      <c r="FM25" s="613"/>
      <c r="FN25" s="613"/>
      <c r="FO25" s="613"/>
      <c r="FP25" s="613"/>
      <c r="FQ25" s="613"/>
      <c r="FR25" s="613"/>
      <c r="FS25" s="613"/>
      <c r="FT25" s="613"/>
      <c r="FU25" s="613"/>
      <c r="FV25" s="613"/>
      <c r="FW25" s="613"/>
      <c r="FX25" s="613"/>
      <c r="FY25" s="613"/>
      <c r="FZ25" s="613"/>
      <c r="GA25" s="613"/>
      <c r="GB25" s="613"/>
      <c r="GC25" s="613"/>
      <c r="GD25" s="613"/>
      <c r="GE25" s="613"/>
      <c r="GF25" s="613"/>
      <c r="GG25" s="613"/>
      <c r="GH25" s="613"/>
      <c r="GI25" s="613"/>
      <c r="GJ25" s="613"/>
      <c r="GK25" s="613"/>
      <c r="GL25" s="613"/>
      <c r="GM25" s="613"/>
      <c r="GN25" s="613"/>
      <c r="GO25" s="613"/>
      <c r="GP25" s="613"/>
      <c r="GQ25" s="613"/>
      <c r="GR25" s="613"/>
      <c r="GS25" s="613"/>
      <c r="GT25" s="613"/>
      <c r="GU25" s="613"/>
      <c r="GV25" s="613"/>
      <c r="GW25" s="613"/>
      <c r="GX25" s="613"/>
      <c r="GY25" s="613"/>
      <c r="GZ25" s="613"/>
      <c r="HA25" s="613"/>
      <c r="HB25" s="613"/>
      <c r="HC25" s="613"/>
      <c r="HD25" s="613"/>
      <c r="HE25" s="613"/>
      <c r="HF25" s="613"/>
      <c r="HG25" s="613"/>
      <c r="HH25" s="613"/>
      <c r="HI25" s="613"/>
      <c r="HJ25" s="613"/>
      <c r="HK25" s="613"/>
      <c r="HL25" s="613"/>
      <c r="HM25" s="613"/>
      <c r="HN25" s="613"/>
      <c r="HO25" s="613"/>
      <c r="HP25" s="613"/>
      <c r="HQ25" s="613"/>
      <c r="HR25" s="613"/>
      <c r="HS25" s="613"/>
      <c r="HT25" s="613"/>
      <c r="HU25" s="613"/>
      <c r="HV25" s="613"/>
      <c r="HW25" s="613"/>
      <c r="HX25" s="613"/>
      <c r="HY25" s="613"/>
      <c r="HZ25" s="613"/>
      <c r="IA25" s="613"/>
      <c r="IB25" s="613"/>
      <c r="IC25" s="613"/>
      <c r="ID25" s="613"/>
      <c r="IE25" s="613"/>
      <c r="IF25" s="613"/>
      <c r="IG25" s="613"/>
      <c r="IH25" s="613"/>
    </row>
    <row r="26" ht="18.0" customHeight="1">
      <c r="A26" s="598"/>
      <c r="B26" s="770"/>
      <c r="C26" s="771" t="s">
        <v>448</v>
      </c>
      <c r="D26" s="636"/>
      <c r="E26" s="636"/>
      <c r="F26" s="636"/>
      <c r="G26" s="637"/>
      <c r="H26" s="772"/>
      <c r="I26" s="773"/>
      <c r="J26" s="774"/>
      <c r="K26" s="775" t="s">
        <v>448</v>
      </c>
      <c r="L26" s="636"/>
      <c r="M26" s="636"/>
      <c r="N26" s="636"/>
      <c r="O26" s="637"/>
      <c r="P26" s="772"/>
      <c r="Q26" s="776"/>
      <c r="R26" s="777"/>
      <c r="S26" s="778" t="s">
        <v>448</v>
      </c>
      <c r="T26" s="636"/>
      <c r="U26" s="636"/>
      <c r="V26" s="636"/>
      <c r="W26" s="637"/>
      <c r="X26" s="779"/>
      <c r="Y26" s="780"/>
      <c r="Z26" s="598"/>
      <c r="AA26" s="781"/>
      <c r="AB26" s="782" t="s">
        <v>449</v>
      </c>
      <c r="AC26" s="713" t="str">
        <f>IFERROR(__xludf.DUMMYFUNCTION("""COMPUTED_VALUE"""),"Boss Attack")</f>
        <v>Boss Attack</v>
      </c>
      <c r="AD26" s="713" t="s">
        <v>283</v>
      </c>
      <c r="AE26" s="713">
        <v>0.0</v>
      </c>
      <c r="AF26" s="713"/>
      <c r="AG26" s="713">
        <v>30.0</v>
      </c>
      <c r="AH26" s="737" t="str">
        <f>IFERROR(__xludf.DUMMYFUNCTION("IFERROR(IF(C9 = """", SEQUENCE(1, VALUE(VLOOKUP(E9, AD:AG, 4, false)) - VALUE(VLOOKUP(E9, AD:AG, 2, false)), VALUE(VLOOKUP(E9, AD:AG, 2, false)) + 1),
    IF(ISBETWEEN(C9, VALUE(VLOOKUP(E9, AD:AG, 2, false)), VALUE(VLOOKUP(E9, AD:AG, 4, false))),
        "&amp;"SEQUENCE(1, VALUE(VLOOKUP(E9, AD:AG, 4, false)) - C9, C9 + 1),
        """")))"),"")</f>
        <v/>
      </c>
      <c r="AI26" s="713"/>
      <c r="AJ26" s="713"/>
      <c r="AK26" s="713"/>
      <c r="AL26" s="713"/>
      <c r="AM26" s="713"/>
      <c r="AN26" s="713"/>
      <c r="AO26" s="713"/>
      <c r="AP26" s="713"/>
      <c r="AQ26" s="713"/>
      <c r="AR26" s="713"/>
      <c r="AS26" s="713"/>
      <c r="AT26" s="713"/>
      <c r="AU26" s="713"/>
      <c r="AV26" s="713"/>
      <c r="AW26" s="713"/>
      <c r="AX26" s="713"/>
      <c r="AY26" s="713"/>
      <c r="AZ26" s="713"/>
      <c r="BA26" s="713"/>
      <c r="BB26" s="713"/>
      <c r="BC26" s="713"/>
      <c r="BD26" s="713"/>
      <c r="BE26" s="713"/>
      <c r="BF26" s="713"/>
      <c r="BG26" s="713"/>
      <c r="BH26" s="713"/>
      <c r="BI26" s="713"/>
      <c r="BJ26" s="713"/>
      <c r="BK26" s="713"/>
      <c r="BL26" s="713"/>
      <c r="BM26" s="713"/>
      <c r="BN26" s="713"/>
      <c r="BO26" s="713"/>
      <c r="BP26" s="713"/>
      <c r="BQ26" s="713"/>
      <c r="BR26" s="713"/>
      <c r="BS26" s="713"/>
      <c r="BT26" s="713"/>
      <c r="BU26" s="713"/>
      <c r="BV26" s="713"/>
      <c r="BW26" s="713"/>
      <c r="BX26" s="713"/>
      <c r="BY26" s="713"/>
      <c r="BZ26" s="713"/>
      <c r="CA26" s="713"/>
      <c r="CB26" s="713"/>
      <c r="CC26" s="713"/>
      <c r="CD26" s="713"/>
      <c r="CE26" s="713"/>
      <c r="CF26" s="713"/>
      <c r="CG26" s="713"/>
      <c r="CH26" s="713"/>
      <c r="CI26" s="713"/>
      <c r="CJ26" s="713"/>
      <c r="CK26" s="713"/>
      <c r="CL26" s="713"/>
      <c r="CM26" s="713"/>
      <c r="CN26" s="713"/>
      <c r="CO26" s="713"/>
      <c r="CP26" s="713"/>
      <c r="CQ26" s="713"/>
      <c r="CR26" s="713"/>
      <c r="CS26" s="713"/>
      <c r="CT26" s="713"/>
      <c r="CU26" s="713"/>
      <c r="CV26" s="713"/>
      <c r="CW26" s="713"/>
      <c r="CX26" s="713"/>
      <c r="CY26" s="713"/>
      <c r="CZ26" s="713"/>
      <c r="DA26" s="713"/>
      <c r="DB26" s="713"/>
      <c r="DC26" s="713"/>
      <c r="DD26" s="713"/>
      <c r="DE26" s="713"/>
      <c r="DF26" s="713"/>
      <c r="DG26" s="713"/>
      <c r="DH26" s="713"/>
      <c r="DI26" s="713"/>
      <c r="DJ26" s="713"/>
      <c r="DK26" s="713"/>
      <c r="DL26" s="713"/>
      <c r="DM26" s="713"/>
      <c r="DN26" s="713"/>
      <c r="DO26" s="713"/>
      <c r="DP26" s="713"/>
      <c r="DQ26" s="713"/>
      <c r="DR26" s="713"/>
      <c r="DS26" s="713"/>
      <c r="DT26" s="713"/>
      <c r="DU26" s="713"/>
      <c r="DV26" s="713"/>
      <c r="DW26" s="713"/>
      <c r="DX26" s="713"/>
      <c r="DY26" s="713"/>
      <c r="DZ26" s="713"/>
      <c r="EA26" s="713"/>
      <c r="EB26" s="713"/>
      <c r="EC26" s="713"/>
      <c r="ED26" s="713"/>
      <c r="EE26" s="713"/>
      <c r="EF26" s="713"/>
      <c r="EG26" s="713"/>
      <c r="EH26" s="713"/>
      <c r="EI26" s="713"/>
      <c r="EJ26" s="713"/>
      <c r="EK26" s="713"/>
      <c r="EL26" s="713"/>
      <c r="EM26" s="713"/>
      <c r="EN26" s="713"/>
      <c r="EO26" s="713"/>
      <c r="EP26" s="713"/>
      <c r="EQ26" s="713"/>
      <c r="ER26" s="713"/>
      <c r="ES26" s="713"/>
      <c r="ET26" s="713"/>
      <c r="EU26" s="713"/>
      <c r="EV26" s="713"/>
      <c r="EW26" s="713"/>
      <c r="EX26" s="713"/>
      <c r="EY26" s="713"/>
      <c r="EZ26" s="713"/>
      <c r="FA26" s="713"/>
      <c r="FB26" s="713"/>
      <c r="FC26" s="713"/>
      <c r="FD26" s="713"/>
      <c r="FE26" s="713"/>
      <c r="FF26" s="713"/>
      <c r="FG26" s="713"/>
      <c r="FH26" s="713"/>
      <c r="FI26" s="713"/>
      <c r="FJ26" s="713"/>
      <c r="FK26" s="713"/>
      <c r="FL26" s="713"/>
      <c r="FM26" s="713"/>
      <c r="FN26" s="713"/>
      <c r="FO26" s="713"/>
      <c r="FP26" s="713"/>
      <c r="FQ26" s="713"/>
      <c r="FR26" s="713"/>
      <c r="FS26" s="713"/>
      <c r="FT26" s="713"/>
      <c r="FU26" s="713"/>
      <c r="FV26" s="713"/>
      <c r="FW26" s="713"/>
      <c r="FX26" s="713"/>
      <c r="FY26" s="713"/>
      <c r="FZ26" s="713"/>
      <c r="GA26" s="713"/>
      <c r="GB26" s="713"/>
      <c r="GC26" s="713"/>
      <c r="GD26" s="713"/>
      <c r="GE26" s="713"/>
      <c r="GF26" s="713"/>
      <c r="GG26" s="713"/>
      <c r="GH26" s="713"/>
      <c r="GI26" s="713"/>
      <c r="GJ26" s="713"/>
      <c r="GK26" s="713"/>
      <c r="GL26" s="713"/>
      <c r="GM26" s="713"/>
      <c r="GN26" s="713"/>
      <c r="GO26" s="713"/>
      <c r="GP26" s="713"/>
      <c r="GQ26" s="713"/>
      <c r="GR26" s="713"/>
      <c r="GS26" s="713"/>
      <c r="GT26" s="713"/>
      <c r="GU26" s="713"/>
      <c r="GV26" s="713"/>
      <c r="GW26" s="713"/>
      <c r="GX26" s="713"/>
      <c r="GY26" s="713"/>
      <c r="GZ26" s="713"/>
      <c r="HA26" s="713"/>
      <c r="HB26" s="713"/>
      <c r="HC26" s="713"/>
      <c r="HD26" s="713"/>
      <c r="HE26" s="713"/>
      <c r="HF26" s="713"/>
      <c r="HG26" s="713"/>
      <c r="HH26" s="713"/>
      <c r="HI26" s="713"/>
      <c r="HJ26" s="713"/>
      <c r="HK26" s="713"/>
      <c r="HL26" s="713"/>
      <c r="HM26" s="713"/>
      <c r="HN26" s="713"/>
      <c r="HO26" s="713"/>
      <c r="HP26" s="713"/>
      <c r="HQ26" s="713"/>
      <c r="HR26" s="713"/>
      <c r="HS26" s="713"/>
      <c r="HT26" s="713"/>
      <c r="HU26" s="713"/>
      <c r="HV26" s="713"/>
      <c r="HW26" s="713"/>
      <c r="HX26" s="713"/>
      <c r="HY26" s="713"/>
      <c r="HZ26" s="713"/>
      <c r="IA26" s="713"/>
      <c r="IB26" s="713"/>
      <c r="IC26" s="713"/>
      <c r="ID26" s="713"/>
      <c r="IE26" s="713"/>
      <c r="IF26" s="713"/>
      <c r="IG26" s="713"/>
      <c r="IH26" s="713"/>
    </row>
    <row r="27" ht="22.5" customHeight="1">
      <c r="A27" s="598"/>
      <c r="B27" s="598"/>
      <c r="C27" s="591"/>
      <c r="D27" s="591"/>
      <c r="E27" s="591"/>
      <c r="F27" s="591"/>
      <c r="G27" s="591"/>
      <c r="H27" s="783"/>
      <c r="I27" s="784"/>
      <c r="J27" s="591"/>
      <c r="K27" s="591"/>
      <c r="L27" s="591"/>
      <c r="M27" s="591"/>
      <c r="N27" s="591"/>
      <c r="O27" s="591"/>
      <c r="P27" s="783"/>
      <c r="Q27" s="784"/>
      <c r="R27" s="591"/>
      <c r="S27" s="591"/>
      <c r="T27" s="591"/>
      <c r="U27" s="591"/>
      <c r="V27" s="591"/>
      <c r="W27" s="591"/>
      <c r="X27" s="785"/>
      <c r="Y27" s="786"/>
      <c r="Z27" s="787"/>
      <c r="AA27" s="781"/>
      <c r="AB27" s="788" t="s">
        <v>450</v>
      </c>
      <c r="AC27" s="713" t="str">
        <f>IFERROR(__xludf.DUMMYFUNCTION("""COMPUTED_VALUE"""),"Boss Health")</f>
        <v>Boss Health</v>
      </c>
      <c r="AD27" s="713" t="s">
        <v>275</v>
      </c>
      <c r="AE27" s="713">
        <v>0.0</v>
      </c>
      <c r="AF27" s="713"/>
      <c r="AG27" s="713">
        <v>30.0</v>
      </c>
      <c r="AH27" s="737" t="str">
        <f>IFERROR(__xludf.DUMMYFUNCTION("IFERROR(IF(C10 = """", SEQUENCE(1, VALUE(VLOOKUP(E10, AD:AG, 4, false)) - VALUE(VLOOKUP(E10, AD:AG, 2, false)), VALUE(VLOOKUP(E10, AD:AG, 2, false)) + 1),
    IF(ISBETWEEN(C10, VALUE(VLOOKUP(E10, AD:AG, 2, false)), VALUE(VLOOKUP(E10, AD:AG, 4, false))),
 "&amp;"       SEQUENCE(1, VALUE(VLOOKUP(E10, AD:AG, 4, false)) - C10, C10 + 1),
        """")))"),"")</f>
        <v/>
      </c>
      <c r="AI27" s="713"/>
      <c r="AJ27" s="713"/>
      <c r="AK27" s="713"/>
      <c r="AL27" s="713"/>
      <c r="AM27" s="713"/>
      <c r="AN27" s="713"/>
      <c r="AO27" s="713"/>
      <c r="AP27" s="713"/>
      <c r="AQ27" s="713"/>
      <c r="AR27" s="713"/>
      <c r="AS27" s="713"/>
      <c r="AT27" s="713"/>
      <c r="AU27" s="713"/>
      <c r="AV27" s="713"/>
      <c r="AW27" s="713"/>
      <c r="AX27" s="713"/>
      <c r="AY27" s="713"/>
      <c r="AZ27" s="713"/>
      <c r="BA27" s="713"/>
      <c r="BB27" s="713"/>
      <c r="BC27" s="713"/>
      <c r="BD27" s="713"/>
      <c r="BE27" s="713"/>
      <c r="BF27" s="713"/>
      <c r="BG27" s="713"/>
      <c r="BH27" s="713"/>
      <c r="BI27" s="713"/>
      <c r="BJ27" s="713"/>
      <c r="BK27" s="713"/>
      <c r="BL27" s="713"/>
      <c r="BM27" s="713"/>
      <c r="BN27" s="713"/>
      <c r="BO27" s="713"/>
      <c r="BP27" s="713"/>
      <c r="BQ27" s="713"/>
      <c r="BR27" s="713"/>
      <c r="BS27" s="713"/>
      <c r="BT27" s="713"/>
      <c r="BU27" s="713"/>
      <c r="BV27" s="713"/>
      <c r="BW27" s="713"/>
      <c r="BX27" s="713"/>
      <c r="BY27" s="713"/>
      <c r="BZ27" s="713"/>
      <c r="CA27" s="713"/>
      <c r="CB27" s="713"/>
      <c r="CC27" s="713"/>
      <c r="CD27" s="713"/>
      <c r="CE27" s="713"/>
      <c r="CF27" s="713"/>
      <c r="CG27" s="713"/>
      <c r="CH27" s="713"/>
      <c r="CI27" s="713"/>
      <c r="CJ27" s="713"/>
      <c r="CK27" s="713"/>
      <c r="CL27" s="713"/>
      <c r="CM27" s="713"/>
      <c r="CN27" s="713"/>
      <c r="CO27" s="713"/>
      <c r="CP27" s="713"/>
      <c r="CQ27" s="713"/>
      <c r="CR27" s="713"/>
      <c r="CS27" s="713"/>
      <c r="CT27" s="713"/>
      <c r="CU27" s="713"/>
      <c r="CV27" s="713"/>
      <c r="CW27" s="713"/>
      <c r="CX27" s="713"/>
      <c r="CY27" s="713"/>
      <c r="CZ27" s="713"/>
      <c r="DA27" s="713"/>
      <c r="DB27" s="713"/>
      <c r="DC27" s="713"/>
      <c r="DD27" s="713"/>
      <c r="DE27" s="713"/>
      <c r="DF27" s="713"/>
      <c r="DG27" s="713"/>
      <c r="DH27" s="713"/>
      <c r="DI27" s="713"/>
      <c r="DJ27" s="713"/>
      <c r="DK27" s="713"/>
      <c r="DL27" s="713"/>
      <c r="DM27" s="713"/>
      <c r="DN27" s="713"/>
      <c r="DO27" s="713"/>
      <c r="DP27" s="713"/>
      <c r="DQ27" s="713"/>
      <c r="DR27" s="713"/>
      <c r="DS27" s="713"/>
      <c r="DT27" s="713"/>
      <c r="DU27" s="713"/>
      <c r="DV27" s="713"/>
      <c r="DW27" s="713"/>
      <c r="DX27" s="713"/>
      <c r="DY27" s="713"/>
      <c r="DZ27" s="713"/>
      <c r="EA27" s="713"/>
      <c r="EB27" s="713"/>
      <c r="EC27" s="713"/>
      <c r="ED27" s="713"/>
      <c r="EE27" s="713"/>
      <c r="EF27" s="713"/>
      <c r="EG27" s="713"/>
      <c r="EH27" s="713"/>
      <c r="EI27" s="713"/>
      <c r="EJ27" s="713"/>
      <c r="EK27" s="713"/>
      <c r="EL27" s="713"/>
      <c r="EM27" s="713"/>
      <c r="EN27" s="713"/>
      <c r="EO27" s="713"/>
      <c r="EP27" s="713"/>
      <c r="EQ27" s="713"/>
      <c r="ER27" s="713"/>
      <c r="ES27" s="713"/>
      <c r="ET27" s="713"/>
      <c r="EU27" s="713"/>
      <c r="EV27" s="713"/>
      <c r="EW27" s="713"/>
      <c r="EX27" s="713"/>
      <c r="EY27" s="713"/>
      <c r="EZ27" s="713"/>
      <c r="FA27" s="713"/>
      <c r="FB27" s="713"/>
      <c r="FC27" s="713"/>
      <c r="FD27" s="713"/>
      <c r="FE27" s="713"/>
      <c r="FF27" s="713"/>
      <c r="FG27" s="713"/>
      <c r="FH27" s="713"/>
      <c r="FI27" s="713"/>
      <c r="FJ27" s="713"/>
      <c r="FK27" s="713"/>
      <c r="FL27" s="713"/>
      <c r="FM27" s="713"/>
      <c r="FN27" s="713"/>
      <c r="FO27" s="713"/>
      <c r="FP27" s="713"/>
      <c r="FQ27" s="713"/>
      <c r="FR27" s="713"/>
      <c r="FS27" s="713"/>
      <c r="FT27" s="713"/>
      <c r="FU27" s="713"/>
      <c r="FV27" s="713"/>
      <c r="FW27" s="713"/>
      <c r="FX27" s="713"/>
      <c r="FY27" s="713"/>
      <c r="FZ27" s="713"/>
      <c r="GA27" s="713"/>
      <c r="GB27" s="713"/>
      <c r="GC27" s="713"/>
      <c r="GD27" s="713"/>
      <c r="GE27" s="713"/>
      <c r="GF27" s="713"/>
      <c r="GG27" s="713"/>
      <c r="GH27" s="713"/>
      <c r="GI27" s="713"/>
      <c r="GJ27" s="713"/>
      <c r="GK27" s="713"/>
      <c r="GL27" s="713"/>
      <c r="GM27" s="713"/>
      <c r="GN27" s="713"/>
      <c r="GO27" s="713"/>
      <c r="GP27" s="713"/>
      <c r="GQ27" s="713"/>
      <c r="GR27" s="713"/>
      <c r="GS27" s="713"/>
      <c r="GT27" s="713"/>
      <c r="GU27" s="713"/>
      <c r="GV27" s="713"/>
      <c r="GW27" s="713"/>
      <c r="GX27" s="713"/>
      <c r="GY27" s="713"/>
      <c r="GZ27" s="713"/>
      <c r="HA27" s="713"/>
      <c r="HB27" s="713"/>
      <c r="HC27" s="713"/>
      <c r="HD27" s="713"/>
      <c r="HE27" s="713"/>
      <c r="HF27" s="713"/>
      <c r="HG27" s="713"/>
      <c r="HH27" s="713"/>
      <c r="HI27" s="713"/>
      <c r="HJ27" s="713"/>
      <c r="HK27" s="713"/>
      <c r="HL27" s="713"/>
      <c r="HM27" s="713"/>
      <c r="HN27" s="713"/>
      <c r="HO27" s="713"/>
      <c r="HP27" s="713"/>
      <c r="HQ27" s="713"/>
      <c r="HR27" s="713"/>
      <c r="HS27" s="713"/>
      <c r="HT27" s="713"/>
      <c r="HU27" s="713"/>
      <c r="HV27" s="713"/>
      <c r="HW27" s="713"/>
      <c r="HX27" s="713"/>
      <c r="HY27" s="713"/>
      <c r="HZ27" s="713"/>
      <c r="IA27" s="713"/>
      <c r="IB27" s="713"/>
      <c r="IC27" s="713"/>
      <c r="ID27" s="713"/>
      <c r="IE27" s="713"/>
      <c r="IF27" s="713"/>
      <c r="IG27" s="713"/>
      <c r="IH27" s="713"/>
    </row>
    <row r="28" ht="22.5" customHeight="1">
      <c r="A28" s="598"/>
      <c r="B28" s="789" t="str">
        <f t="array" ref="B28:C28">{"", "Lab Four"}</f>
        <v/>
      </c>
      <c r="C28" s="790" t="s">
        <v>451</v>
      </c>
      <c r="D28" s="616"/>
      <c r="E28" s="617"/>
      <c r="F28" s="791" t="s">
        <v>409</v>
      </c>
      <c r="G28" s="617"/>
      <c r="H28" s="792"/>
      <c r="I28" s="793"/>
      <c r="J28" s="794" t="str">
        <f t="array" ref="J28:K28">{"", "Lab Five"}</f>
        <v/>
      </c>
      <c r="K28" s="795" t="s">
        <v>452</v>
      </c>
      <c r="L28" s="616"/>
      <c r="M28" s="617"/>
      <c r="N28" s="796" t="s">
        <v>409</v>
      </c>
      <c r="O28" s="617"/>
      <c r="P28" s="797"/>
      <c r="Q28" s="798"/>
      <c r="R28" s="598"/>
      <c r="S28" s="600"/>
      <c r="T28" s="799" t="s">
        <v>453</v>
      </c>
      <c r="U28" s="616"/>
      <c r="V28" s="616"/>
      <c r="W28" s="617"/>
      <c r="X28" s="800"/>
      <c r="Y28" s="786"/>
      <c r="Z28" s="801"/>
      <c r="AA28" s="802"/>
      <c r="AB28" s="803" t="s">
        <v>454</v>
      </c>
      <c r="AC28" s="804" t="str">
        <f>IFERROR(__xludf.DUMMYFUNCTION("""COMPUTED_VALUE"""),"Boss's Ultimate")</f>
        <v>Boss's Ultimate</v>
      </c>
      <c r="AD28" s="805" t="s">
        <v>300</v>
      </c>
      <c r="AE28" s="804">
        <v>0.0</v>
      </c>
      <c r="AF28" s="804"/>
      <c r="AG28" s="804">
        <v>10.0</v>
      </c>
      <c r="AH28" s="806" t="str">
        <f>IFERROR(__xludf.DUMMYFUNCTION("IFERROR(IF(C11 = """", SEQUENCE(1, VALUE(VLOOKUP(E11, AD:AG, 4, false)) - VALUE(VLOOKUP(E11, AD:AG, 2, false)), VALUE(VLOOKUP(E11, AD:AG, 2, false)) + 1),
    IF(ISBETWEEN(C11, VALUE(VLOOKUP(E11, AD:AG, 2, false)), VALUE(VLOOKUP(E11, AD:AG, 4, false))),
 "&amp;"       SEQUENCE(1, VALUE(VLOOKUP(E11, AD:AG, 4, false)) - C11, C11 + 1),
        """")))"),"")</f>
        <v/>
      </c>
      <c r="AI28" s="804"/>
      <c r="AJ28" s="804"/>
      <c r="AK28" s="804"/>
      <c r="AL28" s="804"/>
      <c r="AM28" s="804"/>
      <c r="AN28" s="804"/>
      <c r="AO28" s="804"/>
      <c r="AP28" s="804"/>
      <c r="AQ28" s="804"/>
      <c r="AR28" s="804"/>
      <c r="AS28" s="804"/>
      <c r="AT28" s="804"/>
      <c r="AU28" s="804"/>
      <c r="AV28" s="804"/>
      <c r="AW28" s="804"/>
      <c r="AX28" s="804"/>
      <c r="AY28" s="804"/>
      <c r="AZ28" s="804"/>
      <c r="BA28" s="804"/>
      <c r="BB28" s="804"/>
      <c r="BC28" s="804"/>
      <c r="BD28" s="804"/>
      <c r="BE28" s="804"/>
      <c r="BF28" s="804"/>
      <c r="BG28" s="804"/>
      <c r="BH28" s="804"/>
      <c r="BI28" s="804"/>
      <c r="BJ28" s="804"/>
      <c r="BK28" s="804"/>
      <c r="BL28" s="804"/>
      <c r="BM28" s="804"/>
      <c r="BN28" s="804"/>
      <c r="BO28" s="804"/>
      <c r="BP28" s="804"/>
      <c r="BQ28" s="804"/>
      <c r="BR28" s="804"/>
      <c r="BS28" s="804"/>
      <c r="BT28" s="804"/>
      <c r="BU28" s="804"/>
      <c r="BV28" s="804"/>
      <c r="BW28" s="804"/>
      <c r="BX28" s="804"/>
      <c r="BY28" s="804"/>
      <c r="BZ28" s="804"/>
      <c r="CA28" s="804"/>
      <c r="CB28" s="804"/>
      <c r="CC28" s="804"/>
      <c r="CD28" s="804"/>
      <c r="CE28" s="804"/>
      <c r="CF28" s="804"/>
      <c r="CG28" s="804"/>
      <c r="CH28" s="804"/>
      <c r="CI28" s="804"/>
      <c r="CJ28" s="804"/>
      <c r="CK28" s="804"/>
      <c r="CL28" s="804"/>
      <c r="CM28" s="804"/>
      <c r="CN28" s="804"/>
      <c r="CO28" s="804"/>
      <c r="CP28" s="804"/>
      <c r="CQ28" s="804"/>
      <c r="CR28" s="804"/>
      <c r="CS28" s="804"/>
      <c r="CT28" s="804"/>
      <c r="CU28" s="804"/>
      <c r="CV28" s="804"/>
      <c r="CW28" s="804"/>
      <c r="CX28" s="804"/>
      <c r="CY28" s="804"/>
      <c r="CZ28" s="804"/>
      <c r="DA28" s="804"/>
      <c r="DB28" s="804"/>
      <c r="DC28" s="804"/>
      <c r="DD28" s="804"/>
      <c r="DE28" s="804"/>
      <c r="DF28" s="804"/>
      <c r="DG28" s="804"/>
      <c r="DH28" s="804"/>
      <c r="DI28" s="804"/>
      <c r="DJ28" s="804"/>
      <c r="DK28" s="804"/>
      <c r="DL28" s="804"/>
      <c r="DM28" s="804"/>
      <c r="DN28" s="804"/>
      <c r="DO28" s="804"/>
      <c r="DP28" s="804"/>
      <c r="DQ28" s="804"/>
      <c r="DR28" s="804"/>
      <c r="DS28" s="804"/>
      <c r="DT28" s="804"/>
      <c r="DU28" s="804"/>
      <c r="DV28" s="804"/>
      <c r="DW28" s="804"/>
      <c r="DX28" s="804"/>
      <c r="DY28" s="804"/>
      <c r="DZ28" s="804"/>
      <c r="EA28" s="804"/>
      <c r="EB28" s="804"/>
      <c r="EC28" s="804"/>
      <c r="ED28" s="804"/>
      <c r="EE28" s="804"/>
      <c r="EF28" s="804"/>
      <c r="EG28" s="804"/>
      <c r="EH28" s="804"/>
      <c r="EI28" s="804"/>
      <c r="EJ28" s="804"/>
      <c r="EK28" s="804"/>
      <c r="EL28" s="804"/>
      <c r="EM28" s="804"/>
      <c r="EN28" s="804"/>
      <c r="EO28" s="804"/>
      <c r="EP28" s="804"/>
      <c r="EQ28" s="804"/>
      <c r="ER28" s="804"/>
      <c r="ES28" s="804"/>
      <c r="ET28" s="804"/>
      <c r="EU28" s="804"/>
      <c r="EV28" s="804"/>
      <c r="EW28" s="804"/>
      <c r="EX28" s="804"/>
      <c r="EY28" s="804"/>
      <c r="EZ28" s="804"/>
      <c r="FA28" s="804"/>
      <c r="FB28" s="804"/>
      <c r="FC28" s="804"/>
      <c r="FD28" s="804"/>
      <c r="FE28" s="804"/>
      <c r="FF28" s="804"/>
      <c r="FG28" s="804"/>
      <c r="FH28" s="804"/>
      <c r="FI28" s="804"/>
      <c r="FJ28" s="804"/>
      <c r="FK28" s="804"/>
      <c r="FL28" s="804"/>
      <c r="FM28" s="804"/>
      <c r="FN28" s="804"/>
      <c r="FO28" s="804"/>
      <c r="FP28" s="804"/>
      <c r="FQ28" s="804"/>
      <c r="FR28" s="804"/>
      <c r="FS28" s="804"/>
      <c r="FT28" s="804"/>
      <c r="FU28" s="804"/>
      <c r="FV28" s="804"/>
      <c r="FW28" s="804"/>
      <c r="FX28" s="804"/>
      <c r="FY28" s="804"/>
      <c r="FZ28" s="804"/>
      <c r="GA28" s="804"/>
      <c r="GB28" s="804"/>
      <c r="GC28" s="804"/>
      <c r="GD28" s="804"/>
      <c r="GE28" s="804"/>
      <c r="GF28" s="804"/>
      <c r="GG28" s="804"/>
      <c r="GH28" s="804"/>
      <c r="GI28" s="804"/>
      <c r="GJ28" s="804"/>
      <c r="GK28" s="804"/>
      <c r="GL28" s="804"/>
      <c r="GM28" s="804"/>
      <c r="GN28" s="804"/>
      <c r="GO28" s="804"/>
      <c r="GP28" s="804"/>
      <c r="GQ28" s="804"/>
      <c r="GR28" s="804"/>
      <c r="GS28" s="804"/>
      <c r="GT28" s="804"/>
      <c r="GU28" s="804"/>
      <c r="GV28" s="804"/>
      <c r="GW28" s="804"/>
      <c r="GX28" s="804"/>
      <c r="GY28" s="804"/>
      <c r="GZ28" s="804"/>
      <c r="HA28" s="804"/>
      <c r="HB28" s="804"/>
      <c r="HC28" s="804"/>
      <c r="HD28" s="804"/>
      <c r="HE28" s="804"/>
      <c r="HF28" s="804"/>
      <c r="HG28" s="804"/>
      <c r="HH28" s="804"/>
      <c r="HI28" s="804"/>
      <c r="HJ28" s="804"/>
      <c r="HK28" s="804"/>
      <c r="HL28" s="804"/>
      <c r="HM28" s="804"/>
      <c r="HN28" s="804"/>
      <c r="HO28" s="804"/>
      <c r="HP28" s="804"/>
      <c r="HQ28" s="804"/>
      <c r="HR28" s="804"/>
      <c r="HS28" s="804"/>
      <c r="HT28" s="804"/>
      <c r="HU28" s="804"/>
      <c r="HV28" s="804"/>
      <c r="HW28" s="804"/>
      <c r="HX28" s="804"/>
      <c r="HY28" s="804"/>
      <c r="HZ28" s="804"/>
      <c r="IA28" s="804"/>
      <c r="IB28" s="804"/>
      <c r="IC28" s="804"/>
      <c r="ID28" s="804"/>
      <c r="IE28" s="804"/>
      <c r="IF28" s="804"/>
      <c r="IG28" s="804"/>
      <c r="IH28" s="804"/>
    </row>
    <row r="29" ht="15.75" customHeight="1">
      <c r="A29" s="598"/>
      <c r="B29" s="807"/>
      <c r="C29" s="635"/>
      <c r="D29" s="636"/>
      <c r="E29" s="637"/>
      <c r="F29" s="808" t="str">
        <f>FORMAT_NUMBER(SUM(H31:H50))</f>
        <v>19.22 T</v>
      </c>
      <c r="G29" s="808" t="str">
        <f>IFS(
OR(SUM(I$31:I$51) &gt;= 1, SUM(I$31:I$51) = 0),
    ROUND(SUM(I$31:I$51), 1) &amp; " Days",
    SUM(I$31:I$51) &lt; 1,
        ROUNDDOWN(SUM(I$31:I$51)*24, 2) &amp; " Hours")   </f>
        <v>7.7 Days</v>
      </c>
      <c r="H29" s="792"/>
      <c r="I29" s="793"/>
      <c r="J29" s="809"/>
      <c r="K29" s="635"/>
      <c r="L29" s="636"/>
      <c r="M29" s="637"/>
      <c r="N29" s="810" t="str">
        <f>FORMAT_NUMBER(SUM(P31:P50))</f>
        <v>43.15 M</v>
      </c>
      <c r="O29" s="810" t="str">
        <f>IFS(
OR(SUM(Q$31:Q$51) &gt;= 1, SUM(Q$31:Q$51) = 0),
    ROUND(SUM(Q$31:Q$51), 1) &amp; " Days",
    SUM(Q$31:Q$51) &lt; 1,
        ROUNDDOWN(SUM(Q$31:Q$51)*24, 2) &amp; " Hours")   </f>
        <v>41.4 Days</v>
      </c>
      <c r="P29" s="797"/>
      <c r="Q29" s="798"/>
      <c r="R29" s="598" t="str">
        <f t="array" ref="R29:T29">{"", "", IFERROR(SWITCH($W39, 
    "", "",
    "Top", INDEX(E5:E24, MATCH(TRUE, E5:E24 &lt;&gt; "", 0)),
    "Bottom",  INDEX(E5:E24, MATCH(, 0/(E5:E24 &lt;&gt; "")))),"")}</f>
        <v/>
      </c>
      <c r="S29" s="600" t="s">
        <v>455</v>
      </c>
      <c r="T29" s="811" t="s">
        <v>238</v>
      </c>
      <c r="U29" s="812"/>
      <c r="V29" s="812"/>
      <c r="W29" s="813" t="str">
        <f t="shared" ref="W29:W33" si="11">IF(T29 &lt;&gt; "", IF(X29 = 0, "0 (Max Level)", FORMAT_NUMBER(X29)), "")</f>
        <v>8.7 M</v>
      </c>
      <c r="X29" s="814">
        <f>IFERROR(__xludf.DUMMYFUNCTION("IFERROR(LET(
    Lab_name, IF(REGEXMATCH(T29, ""Mastery""), ""Card Mastery"", T29),
    Level, VLOOKUP(T29, AD:AG, 2, FALSE),
    LABCOST_SINGLE_ADJUSTED(Lab_name,
            (Level + 1)) / 
        (LABDURATION_SINGLE_ADJUSTED(Lab_name, 
            Lev"&amp;"el + 1) /
                (1 * REGEXEXTRACT(F$2, ""[\d.-]+"")))))"),8702662.569479354)</f>
        <v>8702662.569</v>
      </c>
      <c r="Y29" s="786"/>
      <c r="Z29" s="598"/>
      <c r="AA29" s="781"/>
      <c r="AB29" s="815" t="s">
        <v>456</v>
      </c>
      <c r="AC29" s="713" t="str">
        <f>IFERROR(__xludf.DUMMYFUNCTION("""COMPUTED_VALUE"""),"Buy Multiplier")</f>
        <v>Buy Multiplier</v>
      </c>
      <c r="AD29" s="816" t="s">
        <v>249</v>
      </c>
      <c r="AE29" s="713">
        <v>4.0</v>
      </c>
      <c r="AF29" s="713"/>
      <c r="AG29" s="713">
        <v>4.0</v>
      </c>
      <c r="AH29" s="737" t="str">
        <f>IFERROR(__xludf.DUMMYFUNCTION("IFERROR(IF(C12 = """", SEQUENCE(1, VALUE(VLOOKUP(E12, AD:AG, 4, false)) - VALUE(VLOOKUP(E12, AD:AG, 2, false)), VALUE(VLOOKUP(E12, AD:AG, 2, false)) + 1),
    IF(ISBETWEEN(C12, VALUE(VLOOKUP(E12, AD:AG, 2, false)), VALUE(VLOOKUP(E12, AD:AG, 4, false))),
 "&amp;"       SEQUENCE(1, VALUE(VLOOKUP(E12, AD:AG, 4, false)) - C12, C12 + 1),
        """")))"),"")</f>
        <v/>
      </c>
      <c r="AI29" s="713"/>
      <c r="AJ29" s="713"/>
      <c r="AK29" s="713"/>
      <c r="AL29" s="713"/>
      <c r="AM29" s="713"/>
      <c r="AN29" s="713"/>
      <c r="AO29" s="713"/>
      <c r="AP29" s="713"/>
      <c r="AQ29" s="713"/>
      <c r="AR29" s="713"/>
      <c r="AS29" s="713"/>
      <c r="AT29" s="713"/>
      <c r="AU29" s="713"/>
      <c r="AV29" s="713"/>
      <c r="AW29" s="713"/>
      <c r="AX29" s="713"/>
      <c r="AY29" s="713"/>
      <c r="AZ29" s="713"/>
      <c r="BA29" s="713"/>
      <c r="BB29" s="713"/>
      <c r="BC29" s="713"/>
      <c r="BD29" s="713"/>
      <c r="BE29" s="713"/>
      <c r="BF29" s="713"/>
      <c r="BG29" s="713"/>
      <c r="BH29" s="713"/>
      <c r="BI29" s="713"/>
      <c r="BJ29" s="713"/>
      <c r="BK29" s="713"/>
      <c r="BL29" s="713"/>
      <c r="BM29" s="713"/>
      <c r="BN29" s="713"/>
      <c r="BO29" s="713"/>
      <c r="BP29" s="713"/>
      <c r="BQ29" s="713"/>
      <c r="BR29" s="713"/>
      <c r="BS29" s="713"/>
      <c r="BT29" s="713"/>
      <c r="BU29" s="713"/>
      <c r="BV29" s="713"/>
      <c r="BW29" s="713"/>
      <c r="BX29" s="713"/>
      <c r="BY29" s="713"/>
      <c r="BZ29" s="713"/>
      <c r="CA29" s="713"/>
      <c r="CB29" s="713"/>
      <c r="CC29" s="713"/>
      <c r="CD29" s="713"/>
      <c r="CE29" s="713"/>
      <c r="CF29" s="713"/>
      <c r="CG29" s="713"/>
      <c r="CH29" s="713"/>
      <c r="CI29" s="713"/>
      <c r="CJ29" s="713"/>
      <c r="CK29" s="713"/>
      <c r="CL29" s="713"/>
      <c r="CM29" s="713"/>
      <c r="CN29" s="713"/>
      <c r="CO29" s="713"/>
      <c r="CP29" s="713"/>
      <c r="CQ29" s="713"/>
      <c r="CR29" s="713"/>
      <c r="CS29" s="713"/>
      <c r="CT29" s="713"/>
      <c r="CU29" s="713"/>
      <c r="CV29" s="713"/>
      <c r="CW29" s="713"/>
      <c r="CX29" s="713"/>
      <c r="CY29" s="713"/>
      <c r="CZ29" s="713"/>
      <c r="DA29" s="713"/>
      <c r="DB29" s="713"/>
      <c r="DC29" s="713"/>
      <c r="DD29" s="713"/>
      <c r="DE29" s="713"/>
      <c r="DF29" s="713"/>
      <c r="DG29" s="713"/>
      <c r="DH29" s="713"/>
      <c r="DI29" s="713"/>
      <c r="DJ29" s="713"/>
      <c r="DK29" s="713"/>
      <c r="DL29" s="713"/>
      <c r="DM29" s="713"/>
      <c r="DN29" s="713"/>
      <c r="DO29" s="713"/>
      <c r="DP29" s="713"/>
      <c r="DQ29" s="713"/>
      <c r="DR29" s="713"/>
      <c r="DS29" s="713"/>
      <c r="DT29" s="713"/>
      <c r="DU29" s="713"/>
      <c r="DV29" s="713"/>
      <c r="DW29" s="713"/>
      <c r="DX29" s="713"/>
      <c r="DY29" s="713"/>
      <c r="DZ29" s="713"/>
      <c r="EA29" s="713"/>
      <c r="EB29" s="713"/>
      <c r="EC29" s="713"/>
      <c r="ED29" s="713"/>
      <c r="EE29" s="713"/>
      <c r="EF29" s="713"/>
      <c r="EG29" s="713"/>
      <c r="EH29" s="713"/>
      <c r="EI29" s="713"/>
      <c r="EJ29" s="713"/>
      <c r="EK29" s="713"/>
      <c r="EL29" s="713"/>
      <c r="EM29" s="713"/>
      <c r="EN29" s="713"/>
      <c r="EO29" s="713"/>
      <c r="EP29" s="713"/>
      <c r="EQ29" s="713"/>
      <c r="ER29" s="713"/>
      <c r="ES29" s="713"/>
      <c r="ET29" s="713"/>
      <c r="EU29" s="713"/>
      <c r="EV29" s="713"/>
      <c r="EW29" s="713"/>
      <c r="EX29" s="713"/>
      <c r="EY29" s="713"/>
      <c r="EZ29" s="713"/>
      <c r="FA29" s="713"/>
      <c r="FB29" s="713"/>
      <c r="FC29" s="713"/>
      <c r="FD29" s="713"/>
      <c r="FE29" s="713"/>
      <c r="FF29" s="713"/>
      <c r="FG29" s="713"/>
      <c r="FH29" s="713"/>
      <c r="FI29" s="713"/>
      <c r="FJ29" s="713"/>
      <c r="FK29" s="713"/>
      <c r="FL29" s="713"/>
      <c r="FM29" s="713"/>
      <c r="FN29" s="713"/>
      <c r="FO29" s="713"/>
      <c r="FP29" s="713"/>
      <c r="FQ29" s="713"/>
      <c r="FR29" s="713"/>
      <c r="FS29" s="713"/>
      <c r="FT29" s="713"/>
      <c r="FU29" s="713"/>
      <c r="FV29" s="713"/>
      <c r="FW29" s="713"/>
      <c r="FX29" s="713"/>
      <c r="FY29" s="713"/>
      <c r="FZ29" s="713"/>
      <c r="GA29" s="713"/>
      <c r="GB29" s="713"/>
      <c r="GC29" s="713"/>
      <c r="GD29" s="713"/>
      <c r="GE29" s="713"/>
      <c r="GF29" s="713"/>
      <c r="GG29" s="713"/>
      <c r="GH29" s="713"/>
      <c r="GI29" s="713"/>
      <c r="GJ29" s="713"/>
      <c r="GK29" s="713"/>
      <c r="GL29" s="713"/>
      <c r="GM29" s="713"/>
      <c r="GN29" s="713"/>
      <c r="GO29" s="713"/>
      <c r="GP29" s="713"/>
      <c r="GQ29" s="713"/>
      <c r="GR29" s="713"/>
      <c r="GS29" s="713"/>
      <c r="GT29" s="713"/>
      <c r="GU29" s="713"/>
      <c r="GV29" s="713"/>
      <c r="GW29" s="713"/>
      <c r="GX29" s="713"/>
      <c r="GY29" s="713"/>
      <c r="GZ29" s="713"/>
      <c r="HA29" s="713"/>
      <c r="HB29" s="713"/>
      <c r="HC29" s="713"/>
      <c r="HD29" s="713"/>
      <c r="HE29" s="713"/>
      <c r="HF29" s="713"/>
      <c r="HG29" s="713"/>
      <c r="HH29" s="713"/>
      <c r="HI29" s="713"/>
      <c r="HJ29" s="713"/>
      <c r="HK29" s="713"/>
      <c r="HL29" s="713"/>
      <c r="HM29" s="713"/>
      <c r="HN29" s="713"/>
      <c r="HO29" s="713"/>
      <c r="HP29" s="713"/>
      <c r="HQ29" s="713"/>
      <c r="HR29" s="713"/>
      <c r="HS29" s="713"/>
      <c r="HT29" s="713"/>
      <c r="HU29" s="713"/>
      <c r="HV29" s="713"/>
      <c r="HW29" s="713"/>
      <c r="HX29" s="713"/>
      <c r="HY29" s="713"/>
      <c r="HZ29" s="713"/>
      <c r="IA29" s="713"/>
      <c r="IB29" s="713"/>
      <c r="IC29" s="713"/>
      <c r="ID29" s="713"/>
      <c r="IE29" s="713"/>
      <c r="IF29" s="713"/>
      <c r="IG29" s="713"/>
      <c r="IH29" s="713"/>
    </row>
    <row r="30">
      <c r="A30" s="598"/>
      <c r="B30" s="807" t="str">
        <f t="array" ref="B30:E30">{"Start/End", "  Start", "  End", "Lab Name"}</f>
        <v>Start/End</v>
      </c>
      <c r="C30" s="817" t="s">
        <v>415</v>
      </c>
      <c r="D30" s="817" t="s">
        <v>416</v>
      </c>
      <c r="E30" s="817" t="s">
        <v>404</v>
      </c>
      <c r="F30" s="818" t="str">
        <f>SWITCH($W$37, "Total", "Total Coins",
    "Daily", "Daily Coins",
    "Gem Rush", "Gem Rush")</f>
        <v>Total Coins</v>
      </c>
      <c r="G30" s="819" t="str">
        <f>SWITCH($V$41, "Show Time", "Lab Duration",
    "Show Date", "End Date",
    "Show Running Date", "Running End")</f>
        <v>Lab Duration</v>
      </c>
      <c r="H30" s="792"/>
      <c r="I30" s="793"/>
      <c r="J30" s="809" t="str">
        <f t="array" ref="J30:M30">{"Start/End", "  Start", "  End", "Lab Name"}</f>
        <v>Start/End</v>
      </c>
      <c r="K30" s="820" t="s">
        <v>415</v>
      </c>
      <c r="L30" s="821" t="s">
        <v>416</v>
      </c>
      <c r="M30" s="821" t="s">
        <v>404</v>
      </c>
      <c r="N30" s="822" t="str">
        <f>SWITCH($W$37, "Total", "Total Coins",
    "Daily", "Daily Coins",
    "Gem Rush", "Gem Rush")</f>
        <v>Total Coins</v>
      </c>
      <c r="O30" s="822" t="str">
        <f>SWITCH($V$41, "Show Time", "Lab Duration",
    "Show Date", "End Date",
    "Show Running Date", "Running End")</f>
        <v>Lab Duration</v>
      </c>
      <c r="P30" s="797"/>
      <c r="Q30" s="798"/>
      <c r="R30" s="598" t="str">
        <f t="array" ref="R30:T30">{"", "", IFERROR(SWITCH($W39, 
    "", "",
    "Top", INDEX(M5:M24, MATCH(TRUE, M5:M24 &lt;&gt; "", 0)),
    "Bottom",  INDEX(M5:M24, MATCH(, 0/(M5:M24 &lt;&gt; "")))),"")}</f>
        <v/>
      </c>
      <c r="S30" s="600" t="s">
        <v>455</v>
      </c>
      <c r="T30" s="823" t="s">
        <v>187</v>
      </c>
      <c r="W30" s="748" t="str">
        <f t="shared" si="11"/>
        <v>58.28 B</v>
      </c>
      <c r="X30" s="814">
        <f>IFERROR(__xludf.DUMMYFUNCTION("IFERROR(LET(
    Lab_name, IF(REGEXMATCH(T30, ""Mastery""), ""Card Mastery"", T30),
    Level, VLOOKUP(T30, AD:AG, 2, FALSE),
    LABCOST_SINGLE_ADJUSTED(Lab_name,
            (Level + 1)) / 
        (LABDURATION_SINGLE_ADJUSTED(Lab_name, 
            Lev"&amp;"el + 1) /
                (1 * REGEXEXTRACT(N$2, ""[\d.-]+"")))))"),5.827654140599103E10)</f>
        <v>58276541406</v>
      </c>
      <c r="Y30" s="786"/>
      <c r="Z30" s="787"/>
      <c r="AA30" s="781"/>
      <c r="AB30" s="824" t="s">
        <v>457</v>
      </c>
      <c r="AC30" s="713" t="str">
        <f>IFERROR(__xludf.DUMMYFUNCTION("""COMPUTED_VALUE"""),"Cannon Effect Bans")</f>
        <v>Cannon Effect Bans</v>
      </c>
      <c r="AD30" s="825" t="s">
        <v>268</v>
      </c>
      <c r="AE30" s="713">
        <v>0.0</v>
      </c>
      <c r="AF30" s="713"/>
      <c r="AG30" s="713">
        <v>4.0</v>
      </c>
      <c r="AH30" s="737" t="str">
        <f>IFERROR(__xludf.DUMMYFUNCTION("IFERROR(IF(C13 = """", SEQUENCE(1, VALUE(VLOOKUP(E13, AD:AG, 4, false)) - VALUE(VLOOKUP(E13, AD:AG, 2, false)), VALUE(VLOOKUP(E13, AD:AG, 2, false)) + 1),
    IF(ISBETWEEN(C13, VALUE(VLOOKUP(E13, AD:AG, 2, false)), VALUE(VLOOKUP(E13, AD:AG, 4, false))),
 "&amp;"       SEQUENCE(1, VALUE(VLOOKUP(E13, AD:AG, 4, false)) - C13, C13 + 1),
        """")))"),"")</f>
        <v/>
      </c>
      <c r="AI30" s="713"/>
      <c r="AJ30" s="713"/>
      <c r="AK30" s="713"/>
      <c r="AL30" s="713"/>
      <c r="AM30" s="713"/>
      <c r="AN30" s="713"/>
      <c r="AO30" s="713"/>
      <c r="AP30" s="713"/>
      <c r="AQ30" s="713"/>
      <c r="AR30" s="713"/>
      <c r="AS30" s="713"/>
      <c r="AT30" s="713"/>
      <c r="AU30" s="713"/>
      <c r="AV30" s="713"/>
      <c r="AW30" s="713"/>
      <c r="AX30" s="713"/>
      <c r="AY30" s="713"/>
      <c r="AZ30" s="713"/>
      <c r="BA30" s="713"/>
      <c r="BB30" s="713"/>
      <c r="BC30" s="713"/>
      <c r="BD30" s="713"/>
      <c r="BE30" s="713"/>
      <c r="BF30" s="713"/>
      <c r="BG30" s="713"/>
      <c r="BH30" s="713"/>
      <c r="BI30" s="713"/>
      <c r="BJ30" s="713"/>
      <c r="BK30" s="713"/>
      <c r="BL30" s="713"/>
      <c r="BM30" s="713"/>
      <c r="BN30" s="713"/>
      <c r="BO30" s="713"/>
      <c r="BP30" s="713"/>
      <c r="BQ30" s="713"/>
      <c r="BR30" s="713"/>
      <c r="BS30" s="713"/>
      <c r="BT30" s="713"/>
      <c r="BU30" s="713"/>
      <c r="BV30" s="713"/>
      <c r="BW30" s="713"/>
      <c r="BX30" s="713"/>
      <c r="BY30" s="713"/>
      <c r="BZ30" s="713"/>
      <c r="CA30" s="713"/>
      <c r="CB30" s="713"/>
      <c r="CC30" s="713"/>
      <c r="CD30" s="713"/>
      <c r="CE30" s="713"/>
      <c r="CF30" s="713"/>
      <c r="CG30" s="713"/>
      <c r="CH30" s="713"/>
      <c r="CI30" s="713"/>
      <c r="CJ30" s="713"/>
      <c r="CK30" s="713"/>
      <c r="CL30" s="713"/>
      <c r="CM30" s="713"/>
      <c r="CN30" s="713"/>
      <c r="CO30" s="713"/>
      <c r="CP30" s="713"/>
      <c r="CQ30" s="713"/>
      <c r="CR30" s="713"/>
      <c r="CS30" s="713"/>
      <c r="CT30" s="713"/>
      <c r="CU30" s="713"/>
      <c r="CV30" s="713"/>
      <c r="CW30" s="713"/>
      <c r="CX30" s="713"/>
      <c r="CY30" s="713"/>
      <c r="CZ30" s="713"/>
      <c r="DA30" s="713"/>
      <c r="DB30" s="713"/>
      <c r="DC30" s="713"/>
      <c r="DD30" s="713"/>
      <c r="DE30" s="713"/>
      <c r="DF30" s="713"/>
      <c r="DG30" s="713"/>
      <c r="DH30" s="713"/>
      <c r="DI30" s="713"/>
      <c r="DJ30" s="713"/>
      <c r="DK30" s="713"/>
      <c r="DL30" s="713"/>
      <c r="DM30" s="713"/>
      <c r="DN30" s="713"/>
      <c r="DO30" s="713"/>
      <c r="DP30" s="713"/>
      <c r="DQ30" s="713"/>
      <c r="DR30" s="713"/>
      <c r="DS30" s="713"/>
      <c r="DT30" s="713"/>
      <c r="DU30" s="713"/>
      <c r="DV30" s="713"/>
      <c r="DW30" s="713"/>
      <c r="DX30" s="713"/>
      <c r="DY30" s="713"/>
      <c r="DZ30" s="713"/>
      <c r="EA30" s="713"/>
      <c r="EB30" s="713"/>
      <c r="EC30" s="713"/>
      <c r="ED30" s="713"/>
      <c r="EE30" s="713"/>
      <c r="EF30" s="713"/>
      <c r="EG30" s="713"/>
      <c r="EH30" s="713"/>
      <c r="EI30" s="713"/>
      <c r="EJ30" s="713"/>
      <c r="EK30" s="713"/>
      <c r="EL30" s="713"/>
      <c r="EM30" s="713"/>
      <c r="EN30" s="713"/>
      <c r="EO30" s="713"/>
      <c r="EP30" s="713"/>
      <c r="EQ30" s="713"/>
      <c r="ER30" s="713"/>
      <c r="ES30" s="713"/>
      <c r="ET30" s="713"/>
      <c r="EU30" s="713"/>
      <c r="EV30" s="713"/>
      <c r="EW30" s="713"/>
      <c r="EX30" s="713"/>
      <c r="EY30" s="713"/>
      <c r="EZ30" s="713"/>
      <c r="FA30" s="713"/>
      <c r="FB30" s="713"/>
      <c r="FC30" s="713"/>
      <c r="FD30" s="713"/>
      <c r="FE30" s="713"/>
      <c r="FF30" s="713"/>
      <c r="FG30" s="713"/>
      <c r="FH30" s="713"/>
      <c r="FI30" s="713"/>
      <c r="FJ30" s="713"/>
      <c r="FK30" s="713"/>
      <c r="FL30" s="713"/>
      <c r="FM30" s="713"/>
      <c r="FN30" s="713"/>
      <c r="FO30" s="713"/>
      <c r="FP30" s="713"/>
      <c r="FQ30" s="713"/>
      <c r="FR30" s="713"/>
      <c r="FS30" s="713"/>
      <c r="FT30" s="713"/>
      <c r="FU30" s="713"/>
      <c r="FV30" s="713"/>
      <c r="FW30" s="713"/>
      <c r="FX30" s="713"/>
      <c r="FY30" s="713"/>
      <c r="FZ30" s="713"/>
      <c r="GA30" s="713"/>
      <c r="GB30" s="713"/>
      <c r="GC30" s="713"/>
      <c r="GD30" s="713"/>
      <c r="GE30" s="713"/>
      <c r="GF30" s="713"/>
      <c r="GG30" s="713"/>
      <c r="GH30" s="713"/>
      <c r="GI30" s="713"/>
      <c r="GJ30" s="713"/>
      <c r="GK30" s="713"/>
      <c r="GL30" s="713"/>
      <c r="GM30" s="713"/>
      <c r="GN30" s="713"/>
      <c r="GO30" s="713"/>
      <c r="GP30" s="713"/>
      <c r="GQ30" s="713"/>
      <c r="GR30" s="713"/>
      <c r="GS30" s="713"/>
      <c r="GT30" s="713"/>
      <c r="GU30" s="713"/>
      <c r="GV30" s="713"/>
      <c r="GW30" s="713"/>
      <c r="GX30" s="713"/>
      <c r="GY30" s="713"/>
      <c r="GZ30" s="713"/>
      <c r="HA30" s="713"/>
      <c r="HB30" s="713"/>
      <c r="HC30" s="713"/>
      <c r="HD30" s="713"/>
      <c r="HE30" s="713"/>
      <c r="HF30" s="713"/>
      <c r="HG30" s="713"/>
      <c r="HH30" s="713"/>
      <c r="HI30" s="713"/>
      <c r="HJ30" s="713"/>
      <c r="HK30" s="713"/>
      <c r="HL30" s="713"/>
      <c r="HM30" s="713"/>
      <c r="HN30" s="713"/>
      <c r="HO30" s="713"/>
      <c r="HP30" s="713"/>
      <c r="HQ30" s="713"/>
      <c r="HR30" s="713"/>
      <c r="HS30" s="713"/>
      <c r="HT30" s="713"/>
      <c r="HU30" s="713"/>
      <c r="HV30" s="713"/>
      <c r="HW30" s="713"/>
      <c r="HX30" s="713"/>
      <c r="HY30" s="713"/>
      <c r="HZ30" s="713"/>
      <c r="IA30" s="713"/>
      <c r="IB30" s="713"/>
      <c r="IC30" s="713"/>
      <c r="ID30" s="713"/>
      <c r="IE30" s="713"/>
      <c r="IF30" s="713"/>
      <c r="IG30" s="713"/>
      <c r="IH30" s="713"/>
    </row>
    <row r="31" ht="15.75" customHeight="1">
      <c r="A31" s="598"/>
      <c r="B31" s="807" t="str">
        <f t="shared" ref="B31:B50" si="12">IF(E31 = "", "", {"Lab Levels", VLOOKUP(E31, $AD:$AG, 2, FALSE), IF(OR(VLOOKUP(E31, $AD:$AG, 3, FALSE) = "", $W$38 = "Max"), VLOOKUP(E31, $AD:$AG, 4, FALSE), VLOOKUP(E31, $AD:$AG, 3, FALSE))})</f>
        <v>Lab Levels</v>
      </c>
      <c r="C31" s="826">
        <v>23.0</v>
      </c>
      <c r="D31" s="827">
        <v>30.0</v>
      </c>
      <c r="E31" s="828" t="s">
        <v>224</v>
      </c>
      <c r="F31" s="829" t="str">
        <f>IFERROR(__xludf.DUMMYFUNCTION("IFERROR(IF(H31 = """", """",
    SWITCH($W$37,
        ""Total"", "" "" &amp; FORMAT_NUMBER(H31),
        ""Daily"", LET(Lab_name, IF(REGEXMATCH(E31, ""Mastery""), ""Card Mastery"", E31),
            Level, IF(ISBETWEEN(C31, VLOOKUP(E31, $AD:$AG, 2, FALSE), V"&amp;"LOOKUP(E31, $AD:$AG, 4, FALSE), TRUE, FALSE), C31, VLOOKUP(E31, $AD:$AG, 2, FALSE)),
            IF(LABCOST_SINGLE_ADJUSTED(Lab_name, Level + 1) = 0, ""0 (Max)"",
            "" "" &amp; FORMAT_NUMBER(            
                    LABCOST_SINGLE_ADJUSTED(L"&amp;"ab_name, Level + 1) / 
                    (LABDURATION_SINGLE_ADJUSTED(Lab_name, Level + 1) /
                    (1 * REGEXEXTRACT(F$28, ""[\d.-]+"")))))),
        ""Gem Rush"", LET(
            Labspeed, IF(E31=""Labs Speed"", 1+'Master Sheet'!$BK$5, L"&amp;"AB_SPEED_TOTAL()),
            Start_Level, IF(C31 = """",
                VLOOKUP(E31, $AD:$AG, 2, false),
                IF(ISBETWEEN(C31, VALUE(VLOOKUP(E31, $AD:$AG, 2, false)), VALUE(VLOOKUP(E31, $AD:$AG, 4, false))), C31, """")),
            End_Lev"&amp;"el, IF(OR(D31 = """", NOT(ISBETWEEN(D31, VALUE(VLOOKUP(E31, $AD:$AG, 2, false)), VALUE(VLOOKUP(E31, $AD:$AG, 4, false)),0,1))),
                SWITCH($W$38,
                    ""Max"", VLOOKUP(E31, $AD:$AG, 4, false),
                    ""Target"", IF("&amp;"VLOOKUP(E31, $AD:$AG, 3, false) &lt;&gt; """", VLOOKUP(E31, $AD:$AG, 3, false), VLOOKUP(E31, $AD:$AG, 4, false))),
                    D31),
            SUM(ARRAYFORMULA(TIME_TO_RUSH_GEMS( OFFSET(DVT_Laboratory!$A$3, Start_Level , IF(ISNUMBER(SEARCH(""mastery"""&amp;", E31)), MATCH(""Card Mastery"", DVT_Laboratory!$A$1:$LO$1, 0), MATCH(E31, DVT_Laboratory!$A$1:$LO$1, 0)) - 1, End_Level - Start_Level, 1) / Labspeed, IDS_LAB_GODLBOXED_COUNT())))))))")," 19.22 T")</f>
        <v> 19.22 T</v>
      </c>
      <c r="G31" s="830" t="str">
        <f t="shared" ref="G31:G40" si="13">IFERROR(SWITCH(I31,
"", "",
"MAX Level", "   MAX Level",
"At Target", "   At Target",
"Levels Error!", " Check Levels",
" " &amp; SWITCH($V$41, "Show Time", FORMAT_TIME(I31), "Show Date", TEXT(NOW()+I31,"dd/mm/yy hh:mm"), "Show Running Date", TEXT(NOW()+SUM(I$31:I31),"dd/mm/yy hh:mm"))),"")</f>
        <v> 7d 16h 13m</v>
      </c>
      <c r="H31" s="831">
        <f>IFERROR(__xludf.DUMMYFUNCTION("IFS(E31 = """", """", 
    VLOOKUP(E31, $AD:$AG, 2, false) = VLOOKUP(E31, $AD:$AG, 4, false), ""MAX Level"",
    AND(VLOOKUP(E31, $AD:$AG, 3, false) &lt;&gt; """", VLOOKUP(E31, $AD:$AG, 2, false) = VLOOKUP(E31, $AD:$AG, 3, false)), ""At Target"",
    TRUE,
    "&amp;"IFERROR(LET(Start_Level, IF(C31 = """",
            VLOOKUP(E31, $AD:$AG, 2, false),
            IF(ISBETWEEN(C31, VALUE(VLOOKUP(E31, $AD:$AG, 2, false)), VALUE(VLOOKUP(E31, $AD:$AG, 4, false))), C31, """")),
        End_Level, IF(OR(D31 = """", NOT(ISBET"&amp;"WEEN(D31, VALUE(VLOOKUP(E31, $AD:$AG, 2, false)), VALUE(VLOOKUP(E31, $AD:$AG, 4, false)),0,1))),
            SWITCH($W$38,
                ""Max"", VLOOKUP(E31, $AD:$AG, 4, false),
                ""Target"", IF(VLOOKUP(E31, $AD:$AG, 3, false) &lt;&gt; """", VL"&amp;"OOKUP(E31, $AD:$AG, 3, false), VLOOKUP(E31, $AD:$AG, 4, false))),
            D31),
        SUM(OFFSET(DVT_Laboratory!$A$3, Start_Level , IF(ISNUMBER(SEARCH(""mastery"", E31)), MATCH(""Card Mastery"", DVT_Laboratory!$A$1:$MY$1, 0), MATCH(E31, DVT_Laborato"&amp;"ry!$A$1:$MY$1, 0)), End_Level - Start_Level, 1)) * (1-LAB_COIN_DISCOUNT())), ""Levels Error!""))"),1.921544E13)</f>
        <v>19215440000000</v>
      </c>
      <c r="I31" s="832">
        <f>IFERROR(__xludf.DUMMYFUNCTION("IFS(E31 = """", """", 
    VLOOKUP(E31, $AD:$AG, 2, false) = VLOOKUP(E31, $AD:$AG, 4, false), ""MAX Level"",
    AND(VLOOKUP(E31, $AD:$AG, 3, false) &lt;&gt; """", VLOOKUP(E31, $AD:$AG, 2, false) = VLOOKUP(E31, $AD:$AG, 3, false)), ""At Target"",
    TRUE,
    "&amp;"IFERROR(LET(
        Labspeed, IF(E31=""Labs Speed"", 1+'Master Sheet'!$BK$5, LAB_SPEED_TOTAL()),
        Start_Level, IF(C31 = """",
            VLOOKUP(E31, $AD:$AG, 2, false),
            IF(ISBETWEEN(C31, VALUE(VLOOKUP(E31, $AD:$AG, 2, false)), VALUE("&amp;"VLOOKUP(E31, $AD:$AG, 4, false))), C31, """")),
        End_Level, IF(OR(D31 = """", NOT(ISBETWEEN(D31, VALUE(VLOOKUP(E31, $AD:$AG, 2, false)), VALUE(VLOOKUP(E31, $AD:$AG, 4, false)),0,1))),
            SWITCH($W$38,
                ""Max"", VLOOKUP(E31, "&amp;"$AD:$AG, 4, false),
                ""Target"", IF(VLOOKUP(E31, $AD:$AG, 3, false) &lt;&gt; """", VLOOKUP(E31, $AD:$AG, 3, false), VLOOKUP(E31, $AD:$AG, 4, false))),
            D31),
        SUM(OFFSET(DVT_Laboratory!$A$3, Start_Level , IF(ISNUMBER(SEARCH(""ma"&amp;"stery"", E31)), MATCH(""Card Mastery"", DVT_Laboratory!$A$1:$MY$1, 0), MATCH(E31, DVT_Laboratory!$A$1:$MY$1, 0)) - 1, End_Level - Start_Level, 1)) /
                (1 * REGEXEXTRACT(F$28, ""[\d.-]+"")) /
                Labspeed), ""Levels Error!""))"),7.675762696052262)</f>
        <v>7.675762696</v>
      </c>
      <c r="J31" s="809" t="str">
        <f t="shared" ref="J31:J50" si="14">IF(M31 = "", "", {"Lab Levels", VLOOKUP(M31, $AD:$AG, 2, FALSE), IF(OR(VLOOKUP(M31, $AD:$AG, 3, FALSE) = "", $W$38 = "Max"), VLOOKUP(M31, $AD:$AG, 4, FALSE), VLOOKUP(M31, $AD:$AG, 3, FALSE))})</f>
        <v>Lab Levels</v>
      </c>
      <c r="K31" s="833">
        <v>83.0</v>
      </c>
      <c r="L31" s="834">
        <v>99.0</v>
      </c>
      <c r="M31" s="835" t="s">
        <v>181</v>
      </c>
      <c r="N31" s="836" t="str">
        <f>IFERROR(__xludf.DUMMYFUNCTION("IFERROR(IF(P31 = """", """",
    SWITCH($W$37,
        ""Total"", "" "" &amp; FORMAT_NUMBER(P31),
        ""Daily"", LET(Lab_name, IF(REGEXMATCH(M31, ""Mastery""), ""Card Mastery"", M31),
            Level, IF(ISBETWEEN(K31, VLOOKUP(M31, $AD:$AG, 2, FALSE), V"&amp;"LOOKUP(M31, $AD:$AG, 4, FALSE), TRUE, FALSE), K31, VLOOKUP(M31, $AD:$AG, 2, FALSE)),
            IF(LABCOST_SINGLE_ADJUSTED(Lab_name, Level + 1) = 0, ""0 (Max)"",
            "" "" &amp; FORMAT_NUMBER(            
                    LABCOST_SINGLE_ADJUSTED(L"&amp;"ab_name, Level + 1) / 
                    (LABDURATION_SINGLE_ADJUSTED(Lab_name, Level + 1) /
                    (1 * REGEXEXTRACT(N$28, ""[\d.-]+"")))))),
        ""Gem Rush"", LET(
            Labspeed, IF(M31=""Labs Speed"", 1+'Master Sheet'!$BK$5, L"&amp;"AB_SPEED_TOTAL()),
            Start_Level, IF(K31 = """",
                VLOOKUP(M31, $AD:$AG, 2, false),
                IF(ISBETWEEN(K31, VALUE(VLOOKUP(M31, $AD:$AG, 2, false)), VALUE(VLOOKUP(M31, $AD:$AG, 4, false))), K31, """")),
            End_Lev"&amp;"el, IF(OR(L31 = """", NOT(ISBETWEEN(L31, VALUE(VLOOKUP(M31, $AD:$AG, 2, false)), VALUE(VLOOKUP(M31, $AD:$AG, 4, false)),0,1))),
                SWITCH($W$38,
                    ""Max"", VLOOKUP(M31, $AD:$AG, 4, false),
                    ""Target"", IF("&amp;"VLOOKUP(M31, $AD:$AG, 3, false) &lt;&gt; """", VLOOKUP(M31, $AD:$AG, 3, false), VLOOKUP(M31, $AD:$AG, 4, false))),
                    L31),
            SUM(ARRAYFORMULA(TIME_TO_RUSH_GEMS( OFFSET(DVT_Laboratory!$A$3, Start_Level , IF(ISNUMBER(SEARCH(""mastery"""&amp;", M31)), MATCH(""Card Mastery"", DVT_Laboratory!$A$1:$LO$1, 0), MATCH(M31, DVT_Laboratory!$A$1:$LO$1, 0)) - 1, End_Level - Start_Level, 1) / Labspeed, IDS_LAB_GODLBOXED_COUNT())))))))")," 43.15 M")</f>
        <v> 43.15 M</v>
      </c>
      <c r="O31" s="837" t="str">
        <f t="shared" ref="O31:O40" si="15">IFERROR(SWITCH(Q31,
"", "",
"MAX Level", "   MAX Level",
"At Target", "   At Target",
"Levels Error!", " Check Levels",
" " &amp; SWITCH($V$41, "Show Time", FORMAT_TIME(Q31), "Show Date", TEXT(NOW()+Q31,"dd/mm/yy hh:mm"), "Show Running Date", TEXT(NOW()+SUM(Q$31:Q31),"dd/mm/yy hh:mm"))),"")</f>
        <v> 41d  9h 40m</v>
      </c>
      <c r="P31" s="838">
        <f>IFERROR(__xludf.DUMMYFUNCTION("IFS(M31 = """", """", 
    VLOOKUP(M31, $AD:$AG, 2, false) = VLOOKUP(M31, $AD:$AG, 4, false), ""MAX Level"",
    AND(VLOOKUP(M31, $AD:$AG, 3, false) &lt;&gt; """", VLOOKUP(M31, $AD:$AG, 2, false) = VLOOKUP(M31, $AD:$AG, 3, false)), ""At Target"",
    TRUE,
    "&amp;"IFERROR(LET(Start_Level, IF(K31 = """",
            VLOOKUP(M31, $AD:$AG, 2, false),
            IF(ISBETWEEN(K31, VALUE(VLOOKUP(M31, $AD:$AG, 2, false)), VALUE(VLOOKUP(M31, $AD:$AG, 4, false))), K31, """")),
        End_Level, IF(OR(L31 = """", NOT(ISBET"&amp;"WEEN(L31, VALUE(VLOOKUP(M31, $AD:$AG, 2, false)), VALUE(VLOOKUP(M31, $AD:$AG, 4, false)),0,1))),
            SWITCH($W$38,
                ""Max"", VLOOKUP(M31, $AD:$AG, 4, false),
                ""Target"", IF(VLOOKUP(M31, $AD:$AG, 3, false) &lt;&gt; """", VL"&amp;"OOKUP(M31, $AD:$AG, 3, false), VLOOKUP(M31, $AD:$AG, 4, false))),
            L31),
        SUM(OFFSET(DVT_Laboratory!$A$3, Start_Level , IF(ISNUMBER(SEARCH(""mastery"", M31)), MATCH(""Card Mastery"", DVT_Laboratory!$A$1:$MY$1, 0), MATCH(M31, DVT_Laborato"&amp;"ry!$A$1:$MY$1, 0)), End_Level - Start_Level, 1)) * (1-LAB_COIN_DISCOUNT())), ""Levels Error!""))"),4.315116E7)</f>
        <v>43151160</v>
      </c>
      <c r="Q31" s="839">
        <f>IFERROR(__xludf.DUMMYFUNCTION("IFS(M31 = """", """", 
    VLOOKUP(M31, $AD:$AG, 2, false) = VLOOKUP(M31, $AD:$AG, 4, false), ""MAX Level"",
    AND(VLOOKUP(M31, $AD:$AG, 3, false) &lt;&gt; """", VLOOKUP(M31, $AD:$AG, 2, false) = VLOOKUP(M31, $AD:$AG, 3, false)), ""At Target"",
    TRUE,
    "&amp;"IFERROR(LET(
        Labspeed, IF(M31=""Labs Speed"", 1+'Master Sheet'!$BK$5, LAB_SPEED_TOTAL()),
        Start_Level, IF(K31 = """",
            VLOOKUP(M31, $AD:$AG, 2, false),
            IF(ISBETWEEN(K31, VALUE(VLOOKUP(M31, $AD:$AG, 2, false)), VALUE("&amp;"VLOOKUP(M31, $AD:$AG, 4, false))), K31, """")),
        End_Level, IF(OR(L31 = """", NOT(ISBETWEEN(L31, VALUE(VLOOKUP(M31, $AD:$AG, 2, false)), VALUE(VLOOKUP(M31, $AD:$AG, 4, false)),0,1))),
            SWITCH($W$38,
                ""Max"", VLOOKUP(M31, "&amp;"$AD:$AG, 4, false),
                ""Target"", IF(VLOOKUP(M31, $AD:$AG, 3, false) &lt;&gt; """", VLOOKUP(M31, $AD:$AG, 3, false), VLOOKUP(M31, $AD:$AG, 4, false))),
            L31),
        SUM(OFFSET(DVT_Laboratory!$A$3, Start_Level , IF(ISNUMBER(SEARCH(""ma"&amp;"stery"", M31)), MATCH(""Card Mastery"", DVT_Laboratory!$A$1:$MY$1, 0), MATCH(M31, DVT_Laboratory!$A$1:$MY$1, 0)) - 1, End_Level - Start_Level, 1)) /
                (1 * REGEXEXTRACT(N$28, ""[\d.-]+"")) /
                Labspeed), ""Levels Error!""))"),41.402801079505494)</f>
        <v>41.40280108</v>
      </c>
      <c r="R31" s="598" t="str">
        <f t="array" ref="R31:T31">{"", "", IFERROR(SWITCH($W39, 
    "", "",
    "Top", INDEX(U5:U24, MATCH(TRUE, U5:U24 &lt;&gt; "", 0)),
    "Bottom",  INDEX(U5:U24, MATCH(, 0/(U5:U24 &lt;&gt; "")))),"")}</f>
        <v/>
      </c>
      <c r="S31" s="600" t="s">
        <v>455</v>
      </c>
      <c r="T31" s="840" t="s">
        <v>245</v>
      </c>
      <c r="U31" s="841"/>
      <c r="V31" s="841"/>
      <c r="W31" s="753" t="str">
        <f t="shared" si="11"/>
        <v>5.47 T</v>
      </c>
      <c r="X31" s="814">
        <f>IFERROR(__xludf.DUMMYFUNCTION("IFERROR(LET(
    Lab_name, IF(REGEXMATCH(T31, ""Mastery""), ""Card Mastery"", T31),
    Level, VLOOKUP(T31, AD:AG, 2, FALSE),
    LABCOST_SINGLE_ADJUSTED(Lab_name,
            (Level + 1)) / 
        (LABDURATION_SINGLE_ADJUSTED(Lab_name, 
            Lev"&amp;"el + 1) /
                (1 * REGEXEXTRACT(V$2, ""[\d.-]+"")))))"),5.466968943422242E12)</f>
        <v>5466968943422</v>
      </c>
      <c r="Y31" s="786"/>
      <c r="Z31" s="787"/>
      <c r="AA31" s="781"/>
      <c r="AB31" s="842" t="s">
        <v>458</v>
      </c>
      <c r="AC31" s="713" t="str">
        <f>IFERROR(__xludf.DUMMYFUNCTION("""COMPUTED_VALUE"""),"Card Presets")</f>
        <v>Card Presets</v>
      </c>
      <c r="AD31" s="816" t="s">
        <v>278</v>
      </c>
      <c r="AE31" s="713">
        <v>1.0</v>
      </c>
      <c r="AF31" s="713"/>
      <c r="AG31" s="713">
        <v>1.0</v>
      </c>
      <c r="AH31" s="737" t="str">
        <f>IFERROR(__xludf.DUMMYFUNCTION("IFERROR(IF(C14 = """", SEQUENCE(1, VALUE(VLOOKUP(E14, AD:AG, 4, false)) - VALUE(VLOOKUP(E14, AD:AG, 2, false)), VALUE(VLOOKUP(E14, AD:AG, 2, false)) + 1),
    IF(ISBETWEEN(C14, VALUE(VLOOKUP(E14, AD:AG, 2, false)), VALUE(VLOOKUP(E14, AD:AG, 4, false))),
 "&amp;"       SEQUENCE(1, VALUE(VLOOKUP(E14, AD:AG, 4, false)) - C14, C14 + 1),
        """")))"),"")</f>
        <v/>
      </c>
      <c r="AI31" s="713"/>
      <c r="AJ31" s="713"/>
      <c r="AK31" s="713"/>
      <c r="AL31" s="713"/>
      <c r="AM31" s="713"/>
      <c r="AN31" s="713"/>
      <c r="AO31" s="713"/>
      <c r="AP31" s="713"/>
      <c r="AQ31" s="713"/>
      <c r="AR31" s="713"/>
      <c r="AS31" s="713"/>
      <c r="AT31" s="713"/>
      <c r="AU31" s="713"/>
      <c r="AV31" s="713"/>
      <c r="AW31" s="713"/>
      <c r="AX31" s="713"/>
      <c r="AY31" s="713"/>
      <c r="AZ31" s="713"/>
      <c r="BA31" s="713"/>
      <c r="BB31" s="713"/>
      <c r="BC31" s="713"/>
      <c r="BD31" s="713"/>
      <c r="BE31" s="713"/>
      <c r="BF31" s="713"/>
      <c r="BG31" s="713"/>
      <c r="BH31" s="713"/>
      <c r="BI31" s="713"/>
      <c r="BJ31" s="713"/>
      <c r="BK31" s="713"/>
      <c r="BL31" s="713"/>
      <c r="BM31" s="713"/>
      <c r="BN31" s="713"/>
      <c r="BO31" s="713"/>
      <c r="BP31" s="713"/>
      <c r="BQ31" s="713"/>
      <c r="BR31" s="713"/>
      <c r="BS31" s="713"/>
      <c r="BT31" s="713"/>
      <c r="BU31" s="713"/>
      <c r="BV31" s="713"/>
      <c r="BW31" s="713"/>
      <c r="BX31" s="713"/>
      <c r="BY31" s="713"/>
      <c r="BZ31" s="713"/>
      <c r="CA31" s="713"/>
      <c r="CB31" s="713"/>
      <c r="CC31" s="713"/>
      <c r="CD31" s="713"/>
      <c r="CE31" s="713"/>
      <c r="CF31" s="713"/>
      <c r="CG31" s="713"/>
      <c r="CH31" s="713"/>
      <c r="CI31" s="713"/>
      <c r="CJ31" s="713"/>
      <c r="CK31" s="713"/>
      <c r="CL31" s="713"/>
      <c r="CM31" s="713"/>
      <c r="CN31" s="713"/>
      <c r="CO31" s="713"/>
      <c r="CP31" s="713"/>
      <c r="CQ31" s="713"/>
      <c r="CR31" s="713"/>
      <c r="CS31" s="713"/>
      <c r="CT31" s="713"/>
      <c r="CU31" s="713"/>
      <c r="CV31" s="713"/>
      <c r="CW31" s="713"/>
      <c r="CX31" s="713"/>
      <c r="CY31" s="713"/>
      <c r="CZ31" s="713"/>
      <c r="DA31" s="713"/>
      <c r="DB31" s="713"/>
      <c r="DC31" s="713"/>
      <c r="DD31" s="713"/>
      <c r="DE31" s="713"/>
      <c r="DF31" s="713"/>
      <c r="DG31" s="713"/>
      <c r="DH31" s="713"/>
      <c r="DI31" s="713"/>
      <c r="DJ31" s="713"/>
      <c r="DK31" s="713"/>
      <c r="DL31" s="713"/>
      <c r="DM31" s="713"/>
      <c r="DN31" s="713"/>
      <c r="DO31" s="713"/>
      <c r="DP31" s="713"/>
      <c r="DQ31" s="713"/>
      <c r="DR31" s="713"/>
      <c r="DS31" s="713"/>
      <c r="DT31" s="713"/>
      <c r="DU31" s="713"/>
      <c r="DV31" s="713"/>
      <c r="DW31" s="713"/>
      <c r="DX31" s="713"/>
      <c r="DY31" s="713"/>
      <c r="DZ31" s="713"/>
      <c r="EA31" s="713"/>
      <c r="EB31" s="713"/>
      <c r="EC31" s="713"/>
      <c r="ED31" s="713"/>
      <c r="EE31" s="713"/>
      <c r="EF31" s="713"/>
      <c r="EG31" s="713"/>
      <c r="EH31" s="713"/>
      <c r="EI31" s="713"/>
      <c r="EJ31" s="713"/>
      <c r="EK31" s="713"/>
      <c r="EL31" s="713"/>
      <c r="EM31" s="713"/>
      <c r="EN31" s="713"/>
      <c r="EO31" s="713"/>
      <c r="EP31" s="713"/>
      <c r="EQ31" s="713"/>
      <c r="ER31" s="713"/>
      <c r="ES31" s="713"/>
      <c r="ET31" s="713"/>
      <c r="EU31" s="713"/>
      <c r="EV31" s="713"/>
      <c r="EW31" s="713"/>
      <c r="EX31" s="713"/>
      <c r="EY31" s="713"/>
      <c r="EZ31" s="713"/>
      <c r="FA31" s="713"/>
      <c r="FB31" s="713"/>
      <c r="FC31" s="713"/>
      <c r="FD31" s="713"/>
      <c r="FE31" s="713"/>
      <c r="FF31" s="713"/>
      <c r="FG31" s="713"/>
      <c r="FH31" s="713"/>
      <c r="FI31" s="713"/>
      <c r="FJ31" s="713"/>
      <c r="FK31" s="713"/>
      <c r="FL31" s="713"/>
      <c r="FM31" s="713"/>
      <c r="FN31" s="713"/>
      <c r="FO31" s="713"/>
      <c r="FP31" s="713"/>
      <c r="FQ31" s="713"/>
      <c r="FR31" s="713"/>
      <c r="FS31" s="713"/>
      <c r="FT31" s="713"/>
      <c r="FU31" s="713"/>
      <c r="FV31" s="713"/>
      <c r="FW31" s="713"/>
      <c r="FX31" s="713"/>
      <c r="FY31" s="713"/>
      <c r="FZ31" s="713"/>
      <c r="GA31" s="713"/>
      <c r="GB31" s="713"/>
      <c r="GC31" s="713"/>
      <c r="GD31" s="713"/>
      <c r="GE31" s="713"/>
      <c r="GF31" s="713"/>
      <c r="GG31" s="713"/>
      <c r="GH31" s="713"/>
      <c r="GI31" s="713"/>
      <c r="GJ31" s="713"/>
      <c r="GK31" s="713"/>
      <c r="GL31" s="713"/>
      <c r="GM31" s="713"/>
      <c r="GN31" s="713"/>
      <c r="GO31" s="713"/>
      <c r="GP31" s="713"/>
      <c r="GQ31" s="713"/>
      <c r="GR31" s="713"/>
      <c r="GS31" s="713"/>
      <c r="GT31" s="713"/>
      <c r="GU31" s="713"/>
      <c r="GV31" s="713"/>
      <c r="GW31" s="713"/>
      <c r="GX31" s="713"/>
      <c r="GY31" s="713"/>
      <c r="GZ31" s="713"/>
      <c r="HA31" s="713"/>
      <c r="HB31" s="713"/>
      <c r="HC31" s="713"/>
      <c r="HD31" s="713"/>
      <c r="HE31" s="713"/>
      <c r="HF31" s="713"/>
      <c r="HG31" s="713"/>
      <c r="HH31" s="713"/>
      <c r="HI31" s="713"/>
      <c r="HJ31" s="713"/>
      <c r="HK31" s="713"/>
      <c r="HL31" s="713"/>
      <c r="HM31" s="713"/>
      <c r="HN31" s="713"/>
      <c r="HO31" s="713"/>
      <c r="HP31" s="713"/>
      <c r="HQ31" s="713"/>
      <c r="HR31" s="713"/>
      <c r="HS31" s="713"/>
      <c r="HT31" s="713"/>
      <c r="HU31" s="713"/>
      <c r="HV31" s="713"/>
      <c r="HW31" s="713"/>
      <c r="HX31" s="713"/>
      <c r="HY31" s="713"/>
      <c r="HZ31" s="713"/>
      <c r="IA31" s="713"/>
      <c r="IB31" s="713"/>
      <c r="IC31" s="713"/>
      <c r="ID31" s="713"/>
      <c r="IE31" s="713"/>
      <c r="IF31" s="713"/>
      <c r="IG31" s="713"/>
      <c r="IH31" s="713"/>
    </row>
    <row r="32" ht="15.75" customHeight="1">
      <c r="A32" s="598"/>
      <c r="B32" s="807" t="str">
        <f t="shared" si="12"/>
        <v/>
      </c>
      <c r="C32" s="843"/>
      <c r="D32" s="844"/>
      <c r="E32" s="828"/>
      <c r="F32" s="845" t="str">
        <f>IFERROR(__xludf.DUMMYFUNCTION("IFERROR(IF(H32 = """", """",
    SWITCH($W$37,
        ""Total"", "" "" &amp; FORMAT_NUMBER(H32),
        ""Daily"", LET(Lab_name, IF(REGEXMATCH(E32, ""Mastery""), ""Card Mastery"", E32),
            Level, IF(ISBETWEEN(C32, VLOOKUP(E32, $AD:$AG, 2, FALSE), V"&amp;"LOOKUP(E32, $AD:$AG, 4, FALSE), TRUE, FALSE), C32, VLOOKUP(E32, $AD:$AG, 2, FALSE)),
            IF(LABCOST_SINGLE_ADJUSTED(Lab_name, Level + 1) = 0, ""0 (Max)"",
            "" "" &amp; FORMAT_NUMBER(            
                    LABCOST_SINGLE_ADJUSTED(L"&amp;"ab_name, Level + 1) / 
                    (LABDURATION_SINGLE_ADJUSTED(Lab_name, Level + 1) /
                    (1 * REGEXEXTRACT(F$28, ""[\d.-]+"")))))),
        ""Gem Rush"", LET(
            Labspeed, IF(E32=""Labs Speed"", 1+'Master Sheet'!$BK$5, L"&amp;"AB_SPEED_TOTAL()),
            Start_Level, IF(C32 = """",
                VLOOKUP(E32, $AD:$AG, 2, false),
                IF(ISBETWEEN(C32, VALUE(VLOOKUP(E32, $AD:$AG, 2, false)), VALUE(VLOOKUP(E32, $AD:$AG, 4, false))), C32, """")),
            End_Lev"&amp;"el, IF(OR(D32 = """", NOT(ISBETWEEN(D32, VALUE(VLOOKUP(E32, $AD:$AG, 2, false)), VALUE(VLOOKUP(E32, $AD:$AG, 4, false)),0,1))),
                SWITCH($W$38,
                    ""Max"", VLOOKUP(E32, $AD:$AG, 4, false),
                    ""Target"", IF("&amp;"VLOOKUP(E32, $AD:$AG, 3, false) &lt;&gt; """", VLOOKUP(E32, $AD:$AG, 3, false), VLOOKUP(E32, $AD:$AG, 4, false))),
                    D32),
            SUM(ARRAYFORMULA(TIME_TO_RUSH_GEMS( OFFSET(DVT_Laboratory!$A$3, Start_Level , IF(ISNUMBER(SEARCH(""mastery"""&amp;", E32)), MATCH(""Card Mastery"", DVT_Laboratory!$A$1:$LO$1, 0), MATCH(E32, DVT_Laboratory!$A$1:$LO$1, 0)) - 1, End_Level - Start_Level, 1) / Labspeed, IDS_LAB_GODLBOXED_COUNT())))))))"),"")</f>
        <v/>
      </c>
      <c r="G32" s="846" t="str">
        <f t="shared" si="13"/>
        <v/>
      </c>
      <c r="H32" s="831" t="str">
        <f>IFERROR(__xludf.DUMMYFUNCTION("IFS(E32 = """", """", 
    VLOOKUP(E32, $AD:$AG, 2, false) = VLOOKUP(E32, $AD:$AG, 4, false), ""MAX Level"",
    AND(VLOOKUP(E32, $AD:$AG, 3, false) &lt;&gt; """", VLOOKUP(E32, $AD:$AG, 2, false) = VLOOKUP(E32, $AD:$AG, 3, false)), ""At Target"",
    TRUE,
    "&amp;"IFERROR(LET(Start_Level, IF(C32 = """",
            VLOOKUP(E32, $AD:$AG, 2, false),
            IF(ISBETWEEN(C32, VALUE(VLOOKUP(E32, $AD:$AG, 2, false)), VALUE(VLOOKUP(E32, $AD:$AG, 4, false))), C32, """")),
        End_Level, IF(OR(D32 = """", NOT(ISBET"&amp;"WEEN(D32, VALUE(VLOOKUP(E32, $AD:$AG, 2, false)), VALUE(VLOOKUP(E32, $AD:$AG, 4, false)),0,1))),
            SWITCH($W$38,
                ""Max"", VLOOKUP(E32, $AD:$AG, 4, false),
                ""Target"", IF(VLOOKUP(E32, $AD:$AG, 3, false) &lt;&gt; """", VL"&amp;"OOKUP(E32, $AD:$AG, 3, false), VLOOKUP(E32, $AD:$AG, 4, false))),
            D32),
        SUM(OFFSET(DVT_Laboratory!$A$3, Start_Level , IF(ISNUMBER(SEARCH(""mastery"", E32)), MATCH(""Card Mastery"", DVT_Laboratory!$A$1:$MY$1, 0), MATCH(E32, DVT_Laborato"&amp;"ry!$A$1:$MY$1, 0)), End_Level - Start_Level, 1)) * (1-LAB_COIN_DISCOUNT())), ""Levels Error!""))"),"")</f>
        <v/>
      </c>
      <c r="I32" s="832" t="str">
        <f>IFERROR(__xludf.DUMMYFUNCTION("IFS(E32 = """", """", 
    VLOOKUP(E32, $AD:$AG, 2, false) = VLOOKUP(E32, $AD:$AG, 4, false), ""MAX Level"",
    AND(VLOOKUP(E32, $AD:$AG, 3, false) &lt;&gt; """", VLOOKUP(E32, $AD:$AG, 2, false) = VLOOKUP(E32, $AD:$AG, 3, false)), ""At Target"",
    TRUE,
    "&amp;"IFERROR(LET(
        Labspeed, IF(E32=""Labs Speed"", 1+'Master Sheet'!$BK$5, LAB_SPEED_TOTAL()),
        Start_Level, IF(C32 = """",
            VLOOKUP(E32, $AD:$AG, 2, false),
            IF(ISBETWEEN(C32, VALUE(VLOOKUP(E32, $AD:$AG, 2, false)), VALUE("&amp;"VLOOKUP(E32, $AD:$AG, 4, false))), C32, """")),
        End_Level, IF(OR(D32 = """", NOT(ISBETWEEN(D32, VALUE(VLOOKUP(E32, $AD:$AG, 2, false)), VALUE(VLOOKUP(E32, $AD:$AG, 4, false)),0,1))),
            SWITCH($W$38,
                ""Max"", VLOOKUP(E32, "&amp;"$AD:$AG, 4, false),
                ""Target"", IF(VLOOKUP(E32, $AD:$AG, 3, false) &lt;&gt; """", VLOOKUP(E32, $AD:$AG, 3, false), VLOOKUP(E32, $AD:$AG, 4, false))),
            D32),
        SUM(OFFSET(DVT_Laboratory!$A$3, Start_Level , IF(ISNUMBER(SEARCH(""ma"&amp;"stery"", E32)), MATCH(""Card Mastery"", DVT_Laboratory!$A$1:$MY$1, 0), MATCH(E32, DVT_Laboratory!$A$1:$MY$1, 0)) - 1, End_Level - Start_Level, 1)) /
                (1 * REGEXEXTRACT(F$28, ""[\d.-]+"")) /
                Labspeed), ""Levels Error!""))"),"")</f>
        <v/>
      </c>
      <c r="J32" s="809" t="str">
        <f t="shared" si="14"/>
        <v/>
      </c>
      <c r="K32" s="847"/>
      <c r="L32" s="848"/>
      <c r="M32" s="835"/>
      <c r="N32" s="849" t="str">
        <f>IFERROR(__xludf.DUMMYFUNCTION("IFERROR(IF(P32 = """", """",
    SWITCH($W$37,
        ""Total"", "" "" &amp; FORMAT_NUMBER(P32),
        ""Daily"", LET(Lab_name, IF(REGEXMATCH(M32, ""Mastery""), ""Card Mastery"", M32),
            Level, IF(ISBETWEEN(K32, VLOOKUP(M32, $AD:$AG, 2, FALSE), V"&amp;"LOOKUP(M32, $AD:$AG, 4, FALSE), TRUE, FALSE), K32, VLOOKUP(M32, $AD:$AG, 2, FALSE)),
            IF(LABCOST_SINGLE_ADJUSTED(Lab_name, Level + 1) = 0, ""0 (Max)"",
            "" "" &amp; FORMAT_NUMBER(            
                    LABCOST_SINGLE_ADJUSTED(L"&amp;"ab_name, Level + 1) / 
                    (LABDURATION_SINGLE_ADJUSTED(Lab_name, Level + 1) /
                    (1 * REGEXEXTRACT(N$28, ""[\d.-]+"")))))),
        ""Gem Rush"", LET(
            Labspeed, IF(M32=""Labs Speed"", 1+'Master Sheet'!$BK$5, L"&amp;"AB_SPEED_TOTAL()),
            Start_Level, IF(K32 = """",
                VLOOKUP(M32, $AD:$AG, 2, false),
                IF(ISBETWEEN(K32, VALUE(VLOOKUP(M32, $AD:$AG, 2, false)), VALUE(VLOOKUP(M32, $AD:$AG, 4, false))), K32, """")),
            End_Lev"&amp;"el, IF(OR(L32 = """", NOT(ISBETWEEN(L32, VALUE(VLOOKUP(M32, $AD:$AG, 2, false)), VALUE(VLOOKUP(M32, $AD:$AG, 4, false)),0,1))),
                SWITCH($W$38,
                    ""Max"", VLOOKUP(M32, $AD:$AG, 4, false),
                    ""Target"", IF("&amp;"VLOOKUP(M32, $AD:$AG, 3, false) &lt;&gt; """", VLOOKUP(M32, $AD:$AG, 3, false), VLOOKUP(M32, $AD:$AG, 4, false))),
                    L32),
            SUM(ARRAYFORMULA(TIME_TO_RUSH_GEMS( OFFSET(DVT_Laboratory!$A$3, Start_Level , IF(ISNUMBER(SEARCH(""mastery"""&amp;", M32)), MATCH(""Card Mastery"", DVT_Laboratory!$A$1:$LO$1, 0), MATCH(M32, DVT_Laboratory!$A$1:$LO$1, 0)) - 1, End_Level - Start_Level, 1) / Labspeed, IDS_LAB_GODLBOXED_COUNT())))))))"),"")</f>
        <v/>
      </c>
      <c r="O32" s="850" t="str">
        <f t="shared" si="15"/>
        <v/>
      </c>
      <c r="P32" s="838" t="str">
        <f>IFERROR(__xludf.DUMMYFUNCTION("IFS(M32 = """", """", 
    VLOOKUP(M32, $AD:$AG, 2, false) = VLOOKUP(M32, $AD:$AG, 4, false), ""MAX Level"",
    AND(VLOOKUP(M32, $AD:$AG, 3, false) &lt;&gt; """", VLOOKUP(M32, $AD:$AG, 2, false) = VLOOKUP(M32, $AD:$AG, 3, false)), ""At Target"",
    TRUE,
    "&amp;"IFERROR(LET(Start_Level, IF(K32 = """",
            VLOOKUP(M32, $AD:$AG, 2, false),
            IF(ISBETWEEN(K32, VALUE(VLOOKUP(M32, $AD:$AG, 2, false)), VALUE(VLOOKUP(M32, $AD:$AG, 4, false))), K32, """")),
        End_Level, IF(OR(L32 = """", NOT(ISBET"&amp;"WEEN(L32, VALUE(VLOOKUP(M32, $AD:$AG, 2, false)), VALUE(VLOOKUP(M32, $AD:$AG, 4, false)),0,1))),
            SWITCH($W$38,
                ""Max"", VLOOKUP(M32, $AD:$AG, 4, false),
                ""Target"", IF(VLOOKUP(M32, $AD:$AG, 3, false) &lt;&gt; """", VL"&amp;"OOKUP(M32, $AD:$AG, 3, false), VLOOKUP(M32, $AD:$AG, 4, false))),
            L32),
        SUM(OFFSET(DVT_Laboratory!$A$3, Start_Level , IF(ISNUMBER(SEARCH(""mastery"", M32)), MATCH(""Card Mastery"", DVT_Laboratory!$A$1:$MY$1, 0), MATCH(M32, DVT_Laborato"&amp;"ry!$A$1:$MY$1, 0)), End_Level - Start_Level, 1)) * (1-LAB_COIN_DISCOUNT())), ""Levels Error!""))"),"")</f>
        <v/>
      </c>
      <c r="Q32" s="839" t="str">
        <f>IFERROR(__xludf.DUMMYFUNCTION("IFS(M32 = """", """", 
    VLOOKUP(M32, $AD:$AG, 2, false) = VLOOKUP(M32, $AD:$AG, 4, false), ""MAX Level"",
    AND(VLOOKUP(M32, $AD:$AG, 3, false) &lt;&gt; """", VLOOKUP(M32, $AD:$AG, 2, false) = VLOOKUP(M32, $AD:$AG, 3, false)), ""At Target"",
    TRUE,
    "&amp;"IFERROR(LET(
        Labspeed, IF(M32=""Labs Speed"", 1+'Master Sheet'!$BK$5, LAB_SPEED_TOTAL()),
        Start_Level, IF(K32 = """",
            VLOOKUP(M32, $AD:$AG, 2, false),
            IF(ISBETWEEN(K32, VALUE(VLOOKUP(M32, $AD:$AG, 2, false)), VALUE("&amp;"VLOOKUP(M32, $AD:$AG, 4, false))), K32, """")),
        End_Level, IF(OR(L32 = """", NOT(ISBETWEEN(L32, VALUE(VLOOKUP(M32, $AD:$AG, 2, false)), VALUE(VLOOKUP(M32, $AD:$AG, 4, false)),0,1))),
            SWITCH($W$38,
                ""Max"", VLOOKUP(M32, "&amp;"$AD:$AG, 4, false),
                ""Target"", IF(VLOOKUP(M32, $AD:$AG, 3, false) &lt;&gt; """", VLOOKUP(M32, $AD:$AG, 3, false), VLOOKUP(M32, $AD:$AG, 4, false))),
            L32),
        SUM(OFFSET(DVT_Laboratory!$A$3, Start_Level , IF(ISNUMBER(SEARCH(""ma"&amp;"stery"", M32)), MATCH(""Card Mastery"", DVT_Laboratory!$A$1:$MY$1, 0), MATCH(M32, DVT_Laboratory!$A$1:$MY$1, 0)) - 1, End_Level - Start_Level, 1)) /
                (1 * REGEXEXTRACT(N$28, ""[\d.-]+"")) /
                Labspeed), ""Levels Error!""))"),"")</f>
        <v/>
      </c>
      <c r="R32" s="598" t="str">
        <f t="array" ref="R32:T32">{"", "", IFERROR(SWITCH($W39, 
    "", "",
    "Top", INDEX(E31:E50, MATCH(TRUE, E31:E50 &lt;&gt; "", 0)),
    "Bottom",  INDEX(E31:E50, MATCH(, 0/(E31:E50 &lt;&gt; "")))),"")}</f>
        <v/>
      </c>
      <c r="S32" s="600" t="s">
        <v>455</v>
      </c>
      <c r="T32" s="851" t="s">
        <v>224</v>
      </c>
      <c r="U32" s="852"/>
      <c r="V32" s="852"/>
      <c r="W32" s="853" t="str">
        <f t="shared" si="11"/>
        <v>2.27 T</v>
      </c>
      <c r="X32" s="814">
        <f>IFERROR(__xludf.DUMMYFUNCTION("IFERROR(LET(
    Lab_name, IF(REGEXMATCH(T32, ""Mastery""), ""Card Mastery"", T32),
    Level, VLOOKUP(T32, AD:AG, 2, FALSE),
    LABCOST_SINGLE_ADJUSTED(Lab_name,
            (Level + 1)) / 
        (LABDURATION_SINGLE_ADJUSTED(Lab_name, 
            Lev"&amp;"el + 1) /
                (1 * REGEXEXTRACT(F$28, ""[\d.-]+"")))))"),2.268449896620173E12)</f>
        <v>2268449896620</v>
      </c>
      <c r="Y32" s="786"/>
      <c r="Z32" s="787"/>
      <c r="AA32" s="781"/>
      <c r="AB32" s="854" t="s">
        <v>459</v>
      </c>
      <c r="AC32" s="713" t="str">
        <f>IFERROR(__xludf.DUMMYFUNCTION("""COMPUTED_VALUE"""),"Cash / Wave")</f>
        <v>Cash / Wave</v>
      </c>
      <c r="AD32" s="816" t="s">
        <v>172</v>
      </c>
      <c r="AE32" s="713">
        <v>8.0</v>
      </c>
      <c r="AF32" s="713"/>
      <c r="AG32" s="713">
        <v>99.0</v>
      </c>
      <c r="AH32" s="737" t="str">
        <f>IFERROR(__xludf.DUMMYFUNCTION("IFERROR(IF(C15 = """", SEQUENCE(1, VALUE(VLOOKUP(E15, AD:AG, 4, false)) - VALUE(VLOOKUP(E15, AD:AG, 2, false)), VALUE(VLOOKUP(E15, AD:AG, 2, false)) + 1),
    IF(ISBETWEEN(C15, VALUE(VLOOKUP(E15, AD:AG, 2, false)), VALUE(VLOOKUP(E15, AD:AG, 4, false))),
 "&amp;"       SEQUENCE(1, VALUE(VLOOKUP(E15, AD:AG, 4, false)) - C15, C15 + 1),
        """")))"),"")</f>
        <v/>
      </c>
      <c r="AI32" s="713"/>
      <c r="AJ32" s="713"/>
      <c r="AK32" s="713"/>
      <c r="AL32" s="713"/>
      <c r="AM32" s="713"/>
      <c r="AN32" s="713"/>
      <c r="AO32" s="713"/>
      <c r="AP32" s="713"/>
      <c r="AQ32" s="713"/>
      <c r="AR32" s="713"/>
      <c r="AS32" s="713"/>
      <c r="AT32" s="713"/>
      <c r="AU32" s="713"/>
      <c r="AV32" s="713"/>
      <c r="AW32" s="713"/>
      <c r="AX32" s="713"/>
      <c r="AY32" s="713"/>
      <c r="AZ32" s="713"/>
      <c r="BA32" s="713"/>
      <c r="BB32" s="713"/>
      <c r="BC32" s="713"/>
      <c r="BD32" s="713"/>
      <c r="BE32" s="713"/>
      <c r="BF32" s="713"/>
      <c r="BG32" s="713"/>
      <c r="BH32" s="713"/>
      <c r="BI32" s="713"/>
      <c r="BJ32" s="713"/>
      <c r="BK32" s="713"/>
      <c r="BL32" s="713"/>
      <c r="BM32" s="713"/>
      <c r="BN32" s="713"/>
      <c r="BO32" s="713"/>
      <c r="BP32" s="713"/>
      <c r="BQ32" s="713"/>
      <c r="BR32" s="713"/>
      <c r="BS32" s="713"/>
      <c r="BT32" s="713"/>
      <c r="BU32" s="713"/>
      <c r="BV32" s="713"/>
      <c r="BW32" s="713"/>
      <c r="BX32" s="713"/>
      <c r="BY32" s="713"/>
      <c r="BZ32" s="713"/>
      <c r="CA32" s="713"/>
      <c r="CB32" s="713"/>
      <c r="CC32" s="713"/>
      <c r="CD32" s="713"/>
      <c r="CE32" s="713"/>
      <c r="CF32" s="713"/>
      <c r="CG32" s="713"/>
      <c r="CH32" s="713"/>
      <c r="CI32" s="713"/>
      <c r="CJ32" s="713"/>
      <c r="CK32" s="713"/>
      <c r="CL32" s="713"/>
      <c r="CM32" s="713"/>
      <c r="CN32" s="713"/>
      <c r="CO32" s="713"/>
      <c r="CP32" s="713"/>
      <c r="CQ32" s="713"/>
      <c r="CR32" s="713"/>
      <c r="CS32" s="713"/>
      <c r="CT32" s="713"/>
      <c r="CU32" s="713"/>
      <c r="CV32" s="713"/>
      <c r="CW32" s="713"/>
      <c r="CX32" s="713"/>
      <c r="CY32" s="713"/>
      <c r="CZ32" s="713"/>
      <c r="DA32" s="713"/>
      <c r="DB32" s="713"/>
      <c r="DC32" s="713"/>
      <c r="DD32" s="713"/>
      <c r="DE32" s="713"/>
      <c r="DF32" s="713"/>
      <c r="DG32" s="713"/>
      <c r="DH32" s="713"/>
      <c r="DI32" s="713"/>
      <c r="DJ32" s="713"/>
      <c r="DK32" s="713"/>
      <c r="DL32" s="713"/>
      <c r="DM32" s="713"/>
      <c r="DN32" s="713"/>
      <c r="DO32" s="713"/>
      <c r="DP32" s="713"/>
      <c r="DQ32" s="713"/>
      <c r="DR32" s="713"/>
      <c r="DS32" s="713"/>
      <c r="DT32" s="713"/>
      <c r="DU32" s="713"/>
      <c r="DV32" s="713"/>
      <c r="DW32" s="713"/>
      <c r="DX32" s="713"/>
      <c r="DY32" s="713"/>
      <c r="DZ32" s="713"/>
      <c r="EA32" s="713"/>
      <c r="EB32" s="713"/>
      <c r="EC32" s="713"/>
      <c r="ED32" s="713"/>
      <c r="EE32" s="713"/>
      <c r="EF32" s="713"/>
      <c r="EG32" s="713"/>
      <c r="EH32" s="713"/>
      <c r="EI32" s="713"/>
      <c r="EJ32" s="713"/>
      <c r="EK32" s="713"/>
      <c r="EL32" s="713"/>
      <c r="EM32" s="713"/>
      <c r="EN32" s="713"/>
      <c r="EO32" s="713"/>
      <c r="EP32" s="713"/>
      <c r="EQ32" s="713"/>
      <c r="ER32" s="713"/>
      <c r="ES32" s="713"/>
      <c r="ET32" s="713"/>
      <c r="EU32" s="713"/>
      <c r="EV32" s="713"/>
      <c r="EW32" s="713"/>
      <c r="EX32" s="713"/>
      <c r="EY32" s="713"/>
      <c r="EZ32" s="713"/>
      <c r="FA32" s="713"/>
      <c r="FB32" s="713"/>
      <c r="FC32" s="713"/>
      <c r="FD32" s="713"/>
      <c r="FE32" s="713"/>
      <c r="FF32" s="713"/>
      <c r="FG32" s="713"/>
      <c r="FH32" s="713"/>
      <c r="FI32" s="713"/>
      <c r="FJ32" s="713"/>
      <c r="FK32" s="713"/>
      <c r="FL32" s="713"/>
      <c r="FM32" s="713"/>
      <c r="FN32" s="713"/>
      <c r="FO32" s="713"/>
      <c r="FP32" s="713"/>
      <c r="FQ32" s="713"/>
      <c r="FR32" s="713"/>
      <c r="FS32" s="713"/>
      <c r="FT32" s="713"/>
      <c r="FU32" s="713"/>
      <c r="FV32" s="713"/>
      <c r="FW32" s="713"/>
      <c r="FX32" s="713"/>
      <c r="FY32" s="713"/>
      <c r="FZ32" s="713"/>
      <c r="GA32" s="713"/>
      <c r="GB32" s="713"/>
      <c r="GC32" s="713"/>
      <c r="GD32" s="713"/>
      <c r="GE32" s="713"/>
      <c r="GF32" s="713"/>
      <c r="GG32" s="713"/>
      <c r="GH32" s="713"/>
      <c r="GI32" s="713"/>
      <c r="GJ32" s="713"/>
      <c r="GK32" s="713"/>
      <c r="GL32" s="713"/>
      <c r="GM32" s="713"/>
      <c r="GN32" s="713"/>
      <c r="GO32" s="713"/>
      <c r="GP32" s="713"/>
      <c r="GQ32" s="713"/>
      <c r="GR32" s="713"/>
      <c r="GS32" s="713"/>
      <c r="GT32" s="713"/>
      <c r="GU32" s="713"/>
      <c r="GV32" s="713"/>
      <c r="GW32" s="713"/>
      <c r="GX32" s="713"/>
      <c r="GY32" s="713"/>
      <c r="GZ32" s="713"/>
      <c r="HA32" s="713"/>
      <c r="HB32" s="713"/>
      <c r="HC32" s="713"/>
      <c r="HD32" s="713"/>
      <c r="HE32" s="713"/>
      <c r="HF32" s="713"/>
      <c r="HG32" s="713"/>
      <c r="HH32" s="713"/>
      <c r="HI32" s="713"/>
      <c r="HJ32" s="713"/>
      <c r="HK32" s="713"/>
      <c r="HL32" s="713"/>
      <c r="HM32" s="713"/>
      <c r="HN32" s="713"/>
      <c r="HO32" s="713"/>
      <c r="HP32" s="713"/>
      <c r="HQ32" s="713"/>
      <c r="HR32" s="713"/>
      <c r="HS32" s="713"/>
      <c r="HT32" s="713"/>
      <c r="HU32" s="713"/>
      <c r="HV32" s="713"/>
      <c r="HW32" s="713"/>
      <c r="HX32" s="713"/>
      <c r="HY32" s="713"/>
      <c r="HZ32" s="713"/>
      <c r="IA32" s="713"/>
      <c r="IB32" s="713"/>
      <c r="IC32" s="713"/>
      <c r="ID32" s="713"/>
      <c r="IE32" s="713"/>
      <c r="IF32" s="713"/>
      <c r="IG32" s="713"/>
      <c r="IH32" s="713"/>
    </row>
    <row r="33" ht="15.75" customHeight="1">
      <c r="A33" s="598"/>
      <c r="B33" s="807" t="str">
        <f t="shared" si="12"/>
        <v/>
      </c>
      <c r="C33" s="855"/>
      <c r="D33" s="844"/>
      <c r="E33" s="828"/>
      <c r="F33" s="845" t="str">
        <f>IFERROR(__xludf.DUMMYFUNCTION("IFERROR(IF(H33 = """", """",
    SWITCH($W$37,
        ""Total"", "" "" &amp; FORMAT_NUMBER(H33),
        ""Daily"", LET(Lab_name, IF(REGEXMATCH(E33, ""Mastery""), ""Card Mastery"", E33),
            Level, IF(ISBETWEEN(C33, VLOOKUP(E33, $AD:$AG, 2, FALSE), V"&amp;"LOOKUP(E33, $AD:$AG, 4, FALSE), TRUE, FALSE), C33, VLOOKUP(E33, $AD:$AG, 2, FALSE)),
            IF(LABCOST_SINGLE_ADJUSTED(Lab_name, Level + 1) = 0, ""0 (Max)"",
            "" "" &amp; FORMAT_NUMBER(            
                    LABCOST_SINGLE_ADJUSTED(L"&amp;"ab_name, Level + 1) / 
                    (LABDURATION_SINGLE_ADJUSTED(Lab_name, Level + 1) /
                    (1 * REGEXEXTRACT(F$28, ""[\d.-]+"")))))),
        ""Gem Rush"", LET(
            Labspeed, IF(E33=""Labs Speed"", 1+'Master Sheet'!$BK$5, L"&amp;"AB_SPEED_TOTAL()),
            Start_Level, IF(C33 = """",
                VLOOKUP(E33, $AD:$AG, 2, false),
                IF(ISBETWEEN(C33, VALUE(VLOOKUP(E33, $AD:$AG, 2, false)), VALUE(VLOOKUP(E33, $AD:$AG, 4, false))), C33, """")),
            End_Lev"&amp;"el, IF(OR(D33 = """", NOT(ISBETWEEN(D33, VALUE(VLOOKUP(E33, $AD:$AG, 2, false)), VALUE(VLOOKUP(E33, $AD:$AG, 4, false)),0,1))),
                SWITCH($W$38,
                    ""Max"", VLOOKUP(E33, $AD:$AG, 4, false),
                    ""Target"", IF("&amp;"VLOOKUP(E33, $AD:$AG, 3, false) &lt;&gt; """", VLOOKUP(E33, $AD:$AG, 3, false), VLOOKUP(E33, $AD:$AG, 4, false))),
                    D33),
            SUM(ARRAYFORMULA(TIME_TO_RUSH_GEMS( OFFSET(DVT_Laboratory!$A$3, Start_Level , IF(ISNUMBER(SEARCH(""mastery"""&amp;", E33)), MATCH(""Card Mastery"", DVT_Laboratory!$A$1:$LO$1, 0), MATCH(E33, DVT_Laboratory!$A$1:$LO$1, 0)) - 1, End_Level - Start_Level, 1) / Labspeed, IDS_LAB_GODLBOXED_COUNT())))))))"),"")</f>
        <v/>
      </c>
      <c r="G33" s="856" t="str">
        <f t="shared" si="13"/>
        <v/>
      </c>
      <c r="H33" s="792" t="str">
        <f>IFERROR(__xludf.DUMMYFUNCTION("IFS(E33 = """", """", 
    VLOOKUP(E33, $AD:$AG, 2, false) = VLOOKUP(E33, $AD:$AG, 4, false), ""MAX Level"",
    AND(VLOOKUP(E33, $AD:$AG, 3, false) &lt;&gt; """", VLOOKUP(E33, $AD:$AG, 2, false) = VLOOKUP(E33, $AD:$AG, 3, false)), ""At Target"",
    TRUE,
    "&amp;"IFERROR(LET(Start_Level, IF(C33 = """",
            VLOOKUP(E33, $AD:$AG, 2, false),
            IF(ISBETWEEN(C33, VALUE(VLOOKUP(E33, $AD:$AG, 2, false)), VALUE(VLOOKUP(E33, $AD:$AG, 4, false))), C33, """")),
        End_Level, IF(OR(D33 = """", NOT(ISBET"&amp;"WEEN(D33, VALUE(VLOOKUP(E33, $AD:$AG, 2, false)), VALUE(VLOOKUP(E33, $AD:$AG, 4, false)),0,1))),
            SWITCH($W$38,
                ""Max"", VLOOKUP(E33, $AD:$AG, 4, false),
                ""Target"", IF(VLOOKUP(E33, $AD:$AG, 3, false) &lt;&gt; """", VL"&amp;"OOKUP(E33, $AD:$AG, 3, false), VLOOKUP(E33, $AD:$AG, 4, false))),
            D33),
        SUM(OFFSET(DVT_Laboratory!$A$3, Start_Level , IF(ISNUMBER(SEARCH(""mastery"", E33)), MATCH(""Card Mastery"", DVT_Laboratory!$A$1:$MY$1, 0), MATCH(E33, DVT_Laborato"&amp;"ry!$A$1:$MY$1, 0)), End_Level - Start_Level, 1)) * (1-LAB_COIN_DISCOUNT())), ""Levels Error!""))"),"")</f>
        <v/>
      </c>
      <c r="I33" s="832" t="str">
        <f>IFERROR(__xludf.DUMMYFUNCTION("IFS(E33 = """", """", 
    VLOOKUP(E33, $AD:$AG, 2, false) = VLOOKUP(E33, $AD:$AG, 4, false), ""MAX Level"",
    AND(VLOOKUP(E33, $AD:$AG, 3, false) &lt;&gt; """", VLOOKUP(E33, $AD:$AG, 2, false) = VLOOKUP(E33, $AD:$AG, 3, false)), ""At Target"",
    TRUE,
    "&amp;"IFERROR(LET(
        Labspeed, IF(E33=""Labs Speed"", 1+'Master Sheet'!$BK$5, LAB_SPEED_TOTAL()),
        Start_Level, IF(C33 = """",
            VLOOKUP(E33, $AD:$AG, 2, false),
            IF(ISBETWEEN(C33, VALUE(VLOOKUP(E33, $AD:$AG, 2, false)), VALUE("&amp;"VLOOKUP(E33, $AD:$AG, 4, false))), C33, """")),
        End_Level, IF(OR(D33 = """", NOT(ISBETWEEN(D33, VALUE(VLOOKUP(E33, $AD:$AG, 2, false)), VALUE(VLOOKUP(E33, $AD:$AG, 4, false)),0,1))),
            SWITCH($W$38,
                ""Max"", VLOOKUP(E33, "&amp;"$AD:$AG, 4, false),
                ""Target"", IF(VLOOKUP(E33, $AD:$AG, 3, false) &lt;&gt; """", VLOOKUP(E33, $AD:$AG, 3, false), VLOOKUP(E33, $AD:$AG, 4, false))),
            D33),
        SUM(OFFSET(DVT_Laboratory!$A$3, Start_Level , IF(ISNUMBER(SEARCH(""ma"&amp;"stery"", E33)), MATCH(""Card Mastery"", DVT_Laboratory!$A$1:$MY$1, 0), MATCH(E33, DVT_Laboratory!$A$1:$MY$1, 0)) - 1, End_Level - Start_Level, 1)) /
                (1 * REGEXEXTRACT(F$28, ""[\d.-]+"")) /
                Labspeed), ""Levels Error!""))"),"")</f>
        <v/>
      </c>
      <c r="J33" s="809" t="str">
        <f t="shared" si="14"/>
        <v/>
      </c>
      <c r="K33" s="847"/>
      <c r="L33" s="848"/>
      <c r="M33" s="835"/>
      <c r="N33" s="849" t="str">
        <f>IFERROR(__xludf.DUMMYFUNCTION("IFERROR(IF(P33 = """", """",
    SWITCH($W$37,
        ""Total"", "" "" &amp; FORMAT_NUMBER(P33),
        ""Daily"", LET(Lab_name, IF(REGEXMATCH(M33, ""Mastery""), ""Card Mastery"", M33),
            Level, IF(ISBETWEEN(K33, VLOOKUP(M33, $AD:$AG, 2, FALSE), V"&amp;"LOOKUP(M33, $AD:$AG, 4, FALSE), TRUE, FALSE), K33, VLOOKUP(M33, $AD:$AG, 2, FALSE)),
            IF(LABCOST_SINGLE_ADJUSTED(Lab_name, Level + 1) = 0, ""0 (Max)"",
            "" "" &amp; FORMAT_NUMBER(            
                    LABCOST_SINGLE_ADJUSTED(L"&amp;"ab_name, Level + 1) / 
                    (LABDURATION_SINGLE_ADJUSTED(Lab_name, Level + 1) /
                    (1 * REGEXEXTRACT(N$28, ""[\d.-]+"")))))),
        ""Gem Rush"", LET(
            Labspeed, IF(M33=""Labs Speed"", 1+'Master Sheet'!$BK$5, L"&amp;"AB_SPEED_TOTAL()),
            Start_Level, IF(K33 = """",
                VLOOKUP(M33, $AD:$AG, 2, false),
                IF(ISBETWEEN(K33, VALUE(VLOOKUP(M33, $AD:$AG, 2, false)), VALUE(VLOOKUP(M33, $AD:$AG, 4, false))), K33, """")),
            End_Lev"&amp;"el, IF(OR(L33 = """", NOT(ISBETWEEN(L33, VALUE(VLOOKUP(M33, $AD:$AG, 2, false)), VALUE(VLOOKUP(M33, $AD:$AG, 4, false)),0,1))),
                SWITCH($W$38,
                    ""Max"", VLOOKUP(M33, $AD:$AG, 4, false),
                    ""Target"", IF("&amp;"VLOOKUP(M33, $AD:$AG, 3, false) &lt;&gt; """", VLOOKUP(M33, $AD:$AG, 3, false), VLOOKUP(M33, $AD:$AG, 4, false))),
                    L33),
            SUM(ARRAYFORMULA(TIME_TO_RUSH_GEMS( OFFSET(DVT_Laboratory!$A$3, Start_Level , IF(ISNUMBER(SEARCH(""mastery"""&amp;", M33)), MATCH(""Card Mastery"", DVT_Laboratory!$A$1:$LO$1, 0), MATCH(M33, DVT_Laboratory!$A$1:$LO$1, 0)) - 1, End_Level - Start_Level, 1) / Labspeed, IDS_LAB_GODLBOXED_COUNT())))))))"),"")</f>
        <v/>
      </c>
      <c r="O33" s="850" t="str">
        <f t="shared" si="15"/>
        <v/>
      </c>
      <c r="P33" s="838" t="str">
        <f>IFERROR(__xludf.DUMMYFUNCTION("IFS(M33 = """", """", 
    VLOOKUP(M33, $AD:$AG, 2, false) = VLOOKUP(M33, $AD:$AG, 4, false), ""MAX Level"",
    AND(VLOOKUP(M33, $AD:$AG, 3, false) &lt;&gt; """", VLOOKUP(M33, $AD:$AG, 2, false) = VLOOKUP(M33, $AD:$AG, 3, false)), ""At Target"",
    TRUE,
    "&amp;"IFERROR(LET(Start_Level, IF(K33 = """",
            VLOOKUP(M33, $AD:$AG, 2, false),
            IF(ISBETWEEN(K33, VALUE(VLOOKUP(M33, $AD:$AG, 2, false)), VALUE(VLOOKUP(M33, $AD:$AG, 4, false))), K33, """")),
        End_Level, IF(OR(L33 = """", NOT(ISBET"&amp;"WEEN(L33, VALUE(VLOOKUP(M33, $AD:$AG, 2, false)), VALUE(VLOOKUP(M33, $AD:$AG, 4, false)),0,1))),
            SWITCH($W$38,
                ""Max"", VLOOKUP(M33, $AD:$AG, 4, false),
                ""Target"", IF(VLOOKUP(M33, $AD:$AG, 3, false) &lt;&gt; """", VL"&amp;"OOKUP(M33, $AD:$AG, 3, false), VLOOKUP(M33, $AD:$AG, 4, false))),
            L33),
        SUM(OFFSET(DVT_Laboratory!$A$3, Start_Level , IF(ISNUMBER(SEARCH(""mastery"", M33)), MATCH(""Card Mastery"", DVT_Laboratory!$A$1:$MY$1, 0), MATCH(M33, DVT_Laborato"&amp;"ry!$A$1:$MY$1, 0)), End_Level - Start_Level, 1)) * (1-LAB_COIN_DISCOUNT())), ""Levels Error!""))"),"")</f>
        <v/>
      </c>
      <c r="Q33" s="839" t="str">
        <f>IFERROR(__xludf.DUMMYFUNCTION("IFS(M33 = """", """", 
    VLOOKUP(M33, $AD:$AG, 2, false) = VLOOKUP(M33, $AD:$AG, 4, false), ""MAX Level"",
    AND(VLOOKUP(M33, $AD:$AG, 3, false) &lt;&gt; """", VLOOKUP(M33, $AD:$AG, 2, false) = VLOOKUP(M33, $AD:$AG, 3, false)), ""At Target"",
    TRUE,
    "&amp;"IFERROR(LET(
        Labspeed, IF(M33=""Labs Speed"", 1+'Master Sheet'!$BK$5, LAB_SPEED_TOTAL()),
        Start_Level, IF(K33 = """",
            VLOOKUP(M33, $AD:$AG, 2, false),
            IF(ISBETWEEN(K33, VALUE(VLOOKUP(M33, $AD:$AG, 2, false)), VALUE("&amp;"VLOOKUP(M33, $AD:$AG, 4, false))), K33, """")),
        End_Level, IF(OR(L33 = """", NOT(ISBETWEEN(L33, VALUE(VLOOKUP(M33, $AD:$AG, 2, false)), VALUE(VLOOKUP(M33, $AD:$AG, 4, false)),0,1))),
            SWITCH($W$38,
                ""Max"", VLOOKUP(M33, "&amp;"$AD:$AG, 4, false),
                ""Target"", IF(VLOOKUP(M33, $AD:$AG, 3, false) &lt;&gt; """", VLOOKUP(M33, $AD:$AG, 3, false), VLOOKUP(M33, $AD:$AG, 4, false))),
            L33),
        SUM(OFFSET(DVT_Laboratory!$A$3, Start_Level , IF(ISNUMBER(SEARCH(""ma"&amp;"stery"", M33)), MATCH(""Card Mastery"", DVT_Laboratory!$A$1:$MY$1, 0), MATCH(M33, DVT_Laboratory!$A$1:$MY$1, 0)) - 1, End_Level - Start_Level, 1)) /
                (1 * REGEXEXTRACT(N$28, ""[\d.-]+"")) /
                Labspeed), ""Levels Error!""))"),"")</f>
        <v/>
      </c>
      <c r="R33" s="598" t="str">
        <f t="array" ref="R33:T33">{"", "", IFERROR(SWITCH($W39, 
    "", "",
    "Top", INDEX(M31:M50, MATCH(TRUE, M31:M50 &lt;&gt; "", 0)),
    "Bottom",  INDEX(M31:M50, MATCH(, 0/(M31:M50 &lt;&gt; "")))),"")}</f>
        <v/>
      </c>
      <c r="S33" s="600" t="s">
        <v>455</v>
      </c>
      <c r="T33" s="857" t="s">
        <v>181</v>
      </c>
      <c r="U33" s="858"/>
      <c r="V33" s="858"/>
      <c r="W33" s="859" t="str">
        <f t="shared" si="11"/>
        <v>1.04 M</v>
      </c>
      <c r="X33" s="814">
        <f>IFERROR(__xludf.DUMMYFUNCTION("IFERROR(LET(
    Lab_name, IF(REGEXMATCH(T33, ""Mastery""), ""Card Mastery"", T33),
    Level, VLOOKUP(T33, AD:AG, 2, FALSE),
    LABCOST_SINGLE_ADJUSTED(Lab_name,
            (Level + 1)) / 
        (LABDURATION_SINGLE_ADJUSTED(Lab_name, 
            Lev"&amp;"el + 1) /
                (1 * REGEXEXTRACT(N$28, ""[\d.-]+"")))))"),1040787.6580439727)</f>
        <v>1040787.658</v>
      </c>
      <c r="Y33" s="786"/>
      <c r="Z33" s="598"/>
      <c r="AA33" s="781"/>
      <c r="AB33" s="860" t="s">
        <v>460</v>
      </c>
      <c r="AC33" s="713" t="str">
        <f>IFERROR(__xludf.DUMMYFUNCTION("""COMPUTED_VALUE"""),"Cash Bonus")</f>
        <v>Cash Bonus</v>
      </c>
      <c r="AD33" s="816" t="s">
        <v>157</v>
      </c>
      <c r="AE33" s="713">
        <v>33.0</v>
      </c>
      <c r="AF33" s="713"/>
      <c r="AG33" s="713">
        <v>99.0</v>
      </c>
      <c r="AH33" s="737" t="str">
        <f>IFERROR(__xludf.DUMMYFUNCTION("IFERROR(IF(C16 = """", SEQUENCE(1, VALUE(VLOOKUP(E16, AD:AG, 4, false)) - VALUE(VLOOKUP(E16, AD:AG, 2, false)), VALUE(VLOOKUP(E16, AD:AG, 2, false)) + 1),
    IF(ISBETWEEN(C16, VALUE(VLOOKUP(E16, AD:AG, 2, false)), VALUE(VLOOKUP(E16, AD:AG, 4, false))),
 "&amp;"       SEQUENCE(1, VALUE(VLOOKUP(E16, AD:AG, 4, false)) - C16, C16 + 1),
        """")))"),"")</f>
        <v/>
      </c>
      <c r="AI33" s="713"/>
      <c r="AJ33" s="713"/>
      <c r="AK33" s="713"/>
      <c r="AL33" s="713"/>
      <c r="AM33" s="713"/>
      <c r="AN33" s="713"/>
      <c r="AO33" s="713"/>
      <c r="AP33" s="713"/>
      <c r="AQ33" s="713"/>
      <c r="AR33" s="713"/>
      <c r="AS33" s="713"/>
      <c r="AT33" s="713"/>
      <c r="AU33" s="713"/>
      <c r="AV33" s="713"/>
      <c r="AW33" s="713"/>
      <c r="AX33" s="713"/>
      <c r="AY33" s="713"/>
      <c r="AZ33" s="713"/>
      <c r="BA33" s="713"/>
      <c r="BB33" s="713"/>
      <c r="BC33" s="713"/>
      <c r="BD33" s="713"/>
      <c r="BE33" s="713"/>
      <c r="BF33" s="713"/>
      <c r="BG33" s="713"/>
      <c r="BH33" s="713"/>
      <c r="BI33" s="713"/>
      <c r="BJ33" s="713"/>
      <c r="BK33" s="713"/>
      <c r="BL33" s="713"/>
      <c r="BM33" s="713"/>
      <c r="BN33" s="713"/>
      <c r="BO33" s="713"/>
      <c r="BP33" s="713"/>
      <c r="BQ33" s="713"/>
      <c r="BR33" s="713"/>
      <c r="BS33" s="713"/>
      <c r="BT33" s="713"/>
      <c r="BU33" s="713"/>
      <c r="BV33" s="713"/>
      <c r="BW33" s="713"/>
      <c r="BX33" s="713"/>
      <c r="BY33" s="713"/>
      <c r="BZ33" s="713"/>
      <c r="CA33" s="713"/>
      <c r="CB33" s="713"/>
      <c r="CC33" s="713"/>
      <c r="CD33" s="713"/>
      <c r="CE33" s="713"/>
      <c r="CF33" s="713"/>
      <c r="CG33" s="713"/>
      <c r="CH33" s="713"/>
      <c r="CI33" s="713"/>
      <c r="CJ33" s="713"/>
      <c r="CK33" s="713"/>
      <c r="CL33" s="713"/>
      <c r="CM33" s="713"/>
      <c r="CN33" s="713"/>
      <c r="CO33" s="713"/>
      <c r="CP33" s="713"/>
      <c r="CQ33" s="713"/>
      <c r="CR33" s="713"/>
      <c r="CS33" s="713"/>
      <c r="CT33" s="713"/>
      <c r="CU33" s="713"/>
      <c r="CV33" s="713"/>
      <c r="CW33" s="713"/>
      <c r="CX33" s="713"/>
      <c r="CY33" s="713"/>
      <c r="CZ33" s="713"/>
      <c r="DA33" s="713"/>
      <c r="DB33" s="713"/>
      <c r="DC33" s="713"/>
      <c r="DD33" s="713"/>
      <c r="DE33" s="713"/>
      <c r="DF33" s="713"/>
      <c r="DG33" s="713"/>
      <c r="DH33" s="713"/>
      <c r="DI33" s="713"/>
      <c r="DJ33" s="713"/>
      <c r="DK33" s="713"/>
      <c r="DL33" s="713"/>
      <c r="DM33" s="713"/>
      <c r="DN33" s="713"/>
      <c r="DO33" s="713"/>
      <c r="DP33" s="713"/>
      <c r="DQ33" s="713"/>
      <c r="DR33" s="713"/>
      <c r="DS33" s="713"/>
      <c r="DT33" s="713"/>
      <c r="DU33" s="713"/>
      <c r="DV33" s="713"/>
      <c r="DW33" s="713"/>
      <c r="DX33" s="713"/>
      <c r="DY33" s="713"/>
      <c r="DZ33" s="713"/>
      <c r="EA33" s="713"/>
      <c r="EB33" s="713"/>
      <c r="EC33" s="713"/>
      <c r="ED33" s="713"/>
      <c r="EE33" s="713"/>
      <c r="EF33" s="713"/>
      <c r="EG33" s="713"/>
      <c r="EH33" s="713"/>
      <c r="EI33" s="713"/>
      <c r="EJ33" s="713"/>
      <c r="EK33" s="713"/>
      <c r="EL33" s="713"/>
      <c r="EM33" s="713"/>
      <c r="EN33" s="713"/>
      <c r="EO33" s="713"/>
      <c r="EP33" s="713"/>
      <c r="EQ33" s="713"/>
      <c r="ER33" s="713"/>
      <c r="ES33" s="713"/>
      <c r="ET33" s="713"/>
      <c r="EU33" s="713"/>
      <c r="EV33" s="713"/>
      <c r="EW33" s="713"/>
      <c r="EX33" s="713"/>
      <c r="EY33" s="713"/>
      <c r="EZ33" s="713"/>
      <c r="FA33" s="713"/>
      <c r="FB33" s="713"/>
      <c r="FC33" s="713"/>
      <c r="FD33" s="713"/>
      <c r="FE33" s="713"/>
      <c r="FF33" s="713"/>
      <c r="FG33" s="713"/>
      <c r="FH33" s="713"/>
      <c r="FI33" s="713"/>
      <c r="FJ33" s="713"/>
      <c r="FK33" s="713"/>
      <c r="FL33" s="713"/>
      <c r="FM33" s="713"/>
      <c r="FN33" s="713"/>
      <c r="FO33" s="713"/>
      <c r="FP33" s="713"/>
      <c r="FQ33" s="713"/>
      <c r="FR33" s="713"/>
      <c r="FS33" s="713"/>
      <c r="FT33" s="713"/>
      <c r="FU33" s="713"/>
      <c r="FV33" s="713"/>
      <c r="FW33" s="713"/>
      <c r="FX33" s="713"/>
      <c r="FY33" s="713"/>
      <c r="FZ33" s="713"/>
      <c r="GA33" s="713"/>
      <c r="GB33" s="713"/>
      <c r="GC33" s="713"/>
      <c r="GD33" s="713"/>
      <c r="GE33" s="713"/>
      <c r="GF33" s="713"/>
      <c r="GG33" s="713"/>
      <c r="GH33" s="713"/>
      <c r="GI33" s="713"/>
      <c r="GJ33" s="713"/>
      <c r="GK33" s="713"/>
      <c r="GL33" s="713"/>
      <c r="GM33" s="713"/>
      <c r="GN33" s="713"/>
      <c r="GO33" s="713"/>
      <c r="GP33" s="713"/>
      <c r="GQ33" s="713"/>
      <c r="GR33" s="713"/>
      <c r="GS33" s="713"/>
      <c r="GT33" s="713"/>
      <c r="GU33" s="713"/>
      <c r="GV33" s="713"/>
      <c r="GW33" s="713"/>
      <c r="GX33" s="713"/>
      <c r="GY33" s="713"/>
      <c r="GZ33" s="713"/>
      <c r="HA33" s="713"/>
      <c r="HB33" s="713"/>
      <c r="HC33" s="713"/>
      <c r="HD33" s="713"/>
      <c r="HE33" s="713"/>
      <c r="HF33" s="713"/>
      <c r="HG33" s="713"/>
      <c r="HH33" s="713"/>
      <c r="HI33" s="713"/>
      <c r="HJ33" s="713"/>
      <c r="HK33" s="713"/>
      <c r="HL33" s="713"/>
      <c r="HM33" s="713"/>
      <c r="HN33" s="713"/>
      <c r="HO33" s="713"/>
      <c r="HP33" s="713"/>
      <c r="HQ33" s="713"/>
      <c r="HR33" s="713"/>
      <c r="HS33" s="713"/>
      <c r="HT33" s="713"/>
      <c r="HU33" s="713"/>
      <c r="HV33" s="713"/>
      <c r="HW33" s="713"/>
      <c r="HX33" s="713"/>
      <c r="HY33" s="713"/>
      <c r="HZ33" s="713"/>
      <c r="IA33" s="713"/>
      <c r="IB33" s="713"/>
      <c r="IC33" s="713"/>
      <c r="ID33" s="713"/>
      <c r="IE33" s="713"/>
      <c r="IF33" s="713"/>
      <c r="IG33" s="713"/>
      <c r="IH33" s="713"/>
    </row>
    <row r="34">
      <c r="A34" s="598"/>
      <c r="B34" s="807" t="str">
        <f t="shared" si="12"/>
        <v/>
      </c>
      <c r="C34" s="855"/>
      <c r="D34" s="844"/>
      <c r="E34" s="828"/>
      <c r="F34" s="845" t="str">
        <f>IFERROR(__xludf.DUMMYFUNCTION("IFERROR(IF(H34 = """", """",
    SWITCH($W$37,
        ""Total"", "" "" &amp; FORMAT_NUMBER(H34),
        ""Daily"", LET(Lab_name, IF(REGEXMATCH(E34, ""Mastery""), ""Card Mastery"", E34),
            Level, IF(ISBETWEEN(C34, VLOOKUP(E34, $AD:$AG, 2, FALSE), V"&amp;"LOOKUP(E34, $AD:$AG, 4, FALSE), TRUE, FALSE), C34, VLOOKUP(E34, $AD:$AG, 2, FALSE)),
            IF(LABCOST_SINGLE_ADJUSTED(Lab_name, Level + 1) = 0, ""0 (Max)"",
            "" "" &amp; FORMAT_NUMBER(            
                    LABCOST_SINGLE_ADJUSTED(L"&amp;"ab_name, Level + 1) / 
                    (LABDURATION_SINGLE_ADJUSTED(Lab_name, Level + 1) /
                    (1 * REGEXEXTRACT(F$28, ""[\d.-]+"")))))),
        ""Gem Rush"", LET(
            Labspeed, IF(E34=""Labs Speed"", 1+'Master Sheet'!$BK$5, L"&amp;"AB_SPEED_TOTAL()),
            Start_Level, IF(C34 = """",
                VLOOKUP(E34, $AD:$AG, 2, false),
                IF(ISBETWEEN(C34, VALUE(VLOOKUP(E34, $AD:$AG, 2, false)), VALUE(VLOOKUP(E34, $AD:$AG, 4, false))), C34, """")),
            End_Lev"&amp;"el, IF(OR(D34 = """", NOT(ISBETWEEN(D34, VALUE(VLOOKUP(E34, $AD:$AG, 2, false)), VALUE(VLOOKUP(E34, $AD:$AG, 4, false)),0,1))),
                SWITCH($W$38,
                    ""Max"", VLOOKUP(E34, $AD:$AG, 4, false),
                    ""Target"", IF("&amp;"VLOOKUP(E34, $AD:$AG, 3, false) &lt;&gt; """", VLOOKUP(E34, $AD:$AG, 3, false), VLOOKUP(E34, $AD:$AG, 4, false))),
                    D34),
            SUM(ARRAYFORMULA(TIME_TO_RUSH_GEMS( OFFSET(DVT_Laboratory!$A$3, Start_Level , IF(ISNUMBER(SEARCH(""mastery"""&amp;", E34)), MATCH(""Card Mastery"", DVT_Laboratory!$A$1:$LO$1, 0), MATCH(E34, DVT_Laboratory!$A$1:$LO$1, 0)) - 1, End_Level - Start_Level, 1) / Labspeed, IDS_LAB_GODLBOXED_COUNT())))))))"),"")</f>
        <v/>
      </c>
      <c r="G34" s="856" t="str">
        <f t="shared" si="13"/>
        <v/>
      </c>
      <c r="H34" s="792" t="str">
        <f>IFERROR(__xludf.DUMMYFUNCTION("IFS(E34 = """", """", 
    VLOOKUP(E34, $AD:$AG, 2, false) = VLOOKUP(E34, $AD:$AG, 4, false), ""MAX Level"",
    AND(VLOOKUP(E34, $AD:$AG, 3, false) &lt;&gt; """", VLOOKUP(E34, $AD:$AG, 2, false) = VLOOKUP(E34, $AD:$AG, 3, false)), ""At Target"",
    TRUE,
    "&amp;"IFERROR(LET(Start_Level, IF(C34 = """",
            VLOOKUP(E34, $AD:$AG, 2, false),
            IF(ISBETWEEN(C34, VALUE(VLOOKUP(E34, $AD:$AG, 2, false)), VALUE(VLOOKUP(E34, $AD:$AG, 4, false))), C34, """")),
        End_Level, IF(OR(D34 = """", NOT(ISBET"&amp;"WEEN(D34, VALUE(VLOOKUP(E34, $AD:$AG, 2, false)), VALUE(VLOOKUP(E34, $AD:$AG, 4, false)),0,1))),
            SWITCH($W$38,
                ""Max"", VLOOKUP(E34, $AD:$AG, 4, false),
                ""Target"", IF(VLOOKUP(E34, $AD:$AG, 3, false) &lt;&gt; """", VL"&amp;"OOKUP(E34, $AD:$AG, 3, false), VLOOKUP(E34, $AD:$AG, 4, false))),
            D34),
        SUM(OFFSET(DVT_Laboratory!$A$3, Start_Level , IF(ISNUMBER(SEARCH(""mastery"", E34)), MATCH(""Card Mastery"", DVT_Laboratory!$A$1:$MY$1, 0), MATCH(E34, DVT_Laborato"&amp;"ry!$A$1:$MY$1, 0)), End_Level - Start_Level, 1)) * (1-LAB_COIN_DISCOUNT())), ""Levels Error!""))"),"")</f>
        <v/>
      </c>
      <c r="I34" s="832" t="str">
        <f>IFERROR(__xludf.DUMMYFUNCTION("IFS(E34 = """", """", 
    VLOOKUP(E34, $AD:$AG, 2, false) = VLOOKUP(E34, $AD:$AG, 4, false), ""MAX Level"",
    AND(VLOOKUP(E34, $AD:$AG, 3, false) &lt;&gt; """", VLOOKUP(E34, $AD:$AG, 2, false) = VLOOKUP(E34, $AD:$AG, 3, false)), ""At Target"",
    TRUE,
    "&amp;"IFERROR(LET(
        Labspeed, IF(E34=""Labs Speed"", 1+'Master Sheet'!$BK$5, LAB_SPEED_TOTAL()),
        Start_Level, IF(C34 = """",
            VLOOKUP(E34, $AD:$AG, 2, false),
            IF(ISBETWEEN(C34, VALUE(VLOOKUP(E34, $AD:$AG, 2, false)), VALUE("&amp;"VLOOKUP(E34, $AD:$AG, 4, false))), C34, """")),
        End_Level, IF(OR(D34 = """", NOT(ISBETWEEN(D34, VALUE(VLOOKUP(E34, $AD:$AG, 2, false)), VALUE(VLOOKUP(E34, $AD:$AG, 4, false)),0,1))),
            SWITCH($W$38,
                ""Max"", VLOOKUP(E34, "&amp;"$AD:$AG, 4, false),
                ""Target"", IF(VLOOKUP(E34, $AD:$AG, 3, false) &lt;&gt; """", VLOOKUP(E34, $AD:$AG, 3, false), VLOOKUP(E34, $AD:$AG, 4, false))),
            D34),
        SUM(OFFSET(DVT_Laboratory!$A$3, Start_Level , IF(ISNUMBER(SEARCH(""ma"&amp;"stery"", E34)), MATCH(""Card Mastery"", DVT_Laboratory!$A$1:$MY$1, 0), MATCH(E34, DVT_Laboratory!$A$1:$MY$1, 0)) - 1, End_Level - Start_Level, 1)) /
                (1 * REGEXEXTRACT(F$28, ""[\d.-]+"")) /
                Labspeed), ""Levels Error!""))"),"")</f>
        <v/>
      </c>
      <c r="J34" s="809" t="str">
        <f t="shared" si="14"/>
        <v/>
      </c>
      <c r="K34" s="861"/>
      <c r="L34" s="848"/>
      <c r="M34" s="835"/>
      <c r="N34" s="849" t="str">
        <f>IFERROR(__xludf.DUMMYFUNCTION("IFERROR(IF(P34 = """", """",
    SWITCH($W$37,
        ""Total"", "" "" &amp; FORMAT_NUMBER(P34),
        ""Daily"", LET(Lab_name, IF(REGEXMATCH(M34, ""Mastery""), ""Card Mastery"", M34),
            Level, IF(ISBETWEEN(K34, VLOOKUP(M34, $AD:$AG, 2, FALSE), V"&amp;"LOOKUP(M34, $AD:$AG, 4, FALSE), TRUE, FALSE), K34, VLOOKUP(M34, $AD:$AG, 2, FALSE)),
            IF(LABCOST_SINGLE_ADJUSTED(Lab_name, Level + 1) = 0, ""0 (Max)"",
            "" "" &amp; FORMAT_NUMBER(            
                    LABCOST_SINGLE_ADJUSTED(L"&amp;"ab_name, Level + 1) / 
                    (LABDURATION_SINGLE_ADJUSTED(Lab_name, Level + 1) /
                    (1 * REGEXEXTRACT(N$28, ""[\d.-]+"")))))),
        ""Gem Rush"", LET(
            Labspeed, IF(M34=""Labs Speed"", 1+'Master Sheet'!$BK$5, L"&amp;"AB_SPEED_TOTAL()),
            Start_Level, IF(K34 = """",
                VLOOKUP(M34, $AD:$AG, 2, false),
                IF(ISBETWEEN(K34, VALUE(VLOOKUP(M34, $AD:$AG, 2, false)), VALUE(VLOOKUP(M34, $AD:$AG, 4, false))), K34, """")),
            End_Lev"&amp;"el, IF(OR(L34 = """", NOT(ISBETWEEN(L34, VALUE(VLOOKUP(M34, $AD:$AG, 2, false)), VALUE(VLOOKUP(M34, $AD:$AG, 4, false)),0,1))),
                SWITCH($W$38,
                    ""Max"", VLOOKUP(M34, $AD:$AG, 4, false),
                    ""Target"", IF("&amp;"VLOOKUP(M34, $AD:$AG, 3, false) &lt;&gt; """", VLOOKUP(M34, $AD:$AG, 3, false), VLOOKUP(M34, $AD:$AG, 4, false))),
                    L34),
            SUM(ARRAYFORMULA(TIME_TO_RUSH_GEMS( OFFSET(DVT_Laboratory!$A$3, Start_Level , IF(ISNUMBER(SEARCH(""mastery"""&amp;", M34)), MATCH(""Card Mastery"", DVT_Laboratory!$A$1:$LO$1, 0), MATCH(M34, DVT_Laboratory!$A$1:$LO$1, 0)) - 1, End_Level - Start_Level, 1) / Labspeed, IDS_LAB_GODLBOXED_COUNT())))))))"),"")</f>
        <v/>
      </c>
      <c r="O34" s="850" t="str">
        <f t="shared" si="15"/>
        <v/>
      </c>
      <c r="P34" s="838" t="str">
        <f>IFERROR(__xludf.DUMMYFUNCTION("IFS(M34 = """", """", 
    VLOOKUP(M34, $AD:$AG, 2, false) = VLOOKUP(M34, $AD:$AG, 4, false), ""MAX Level"",
    AND(VLOOKUP(M34, $AD:$AG, 3, false) &lt;&gt; """", VLOOKUP(M34, $AD:$AG, 2, false) = VLOOKUP(M34, $AD:$AG, 3, false)), ""At Target"",
    TRUE,
    "&amp;"IFERROR(LET(Start_Level, IF(K34 = """",
            VLOOKUP(M34, $AD:$AG, 2, false),
            IF(ISBETWEEN(K34, VALUE(VLOOKUP(M34, $AD:$AG, 2, false)), VALUE(VLOOKUP(M34, $AD:$AG, 4, false))), K34, """")),
        End_Level, IF(OR(L34 = """", NOT(ISBET"&amp;"WEEN(L34, VALUE(VLOOKUP(M34, $AD:$AG, 2, false)), VALUE(VLOOKUP(M34, $AD:$AG, 4, false)),0,1))),
            SWITCH($W$38,
                ""Max"", VLOOKUP(M34, $AD:$AG, 4, false),
                ""Target"", IF(VLOOKUP(M34, $AD:$AG, 3, false) &lt;&gt; """", VL"&amp;"OOKUP(M34, $AD:$AG, 3, false), VLOOKUP(M34, $AD:$AG, 4, false))),
            L34),
        SUM(OFFSET(DVT_Laboratory!$A$3, Start_Level , IF(ISNUMBER(SEARCH(""mastery"", M34)), MATCH(""Card Mastery"", DVT_Laboratory!$A$1:$MY$1, 0), MATCH(M34, DVT_Laborato"&amp;"ry!$A$1:$MY$1, 0)), End_Level - Start_Level, 1)) * (1-LAB_COIN_DISCOUNT())), ""Levels Error!""))"),"")</f>
        <v/>
      </c>
      <c r="Q34" s="839" t="str">
        <f>IFERROR(__xludf.DUMMYFUNCTION("IFS(M34 = """", """", 
    VLOOKUP(M34, $AD:$AG, 2, false) = VLOOKUP(M34, $AD:$AG, 4, false), ""MAX Level"",
    AND(VLOOKUP(M34, $AD:$AG, 3, false) &lt;&gt; """", VLOOKUP(M34, $AD:$AG, 2, false) = VLOOKUP(M34, $AD:$AG, 3, false)), ""At Target"",
    TRUE,
    "&amp;"IFERROR(LET(
        Labspeed, IF(M34=""Labs Speed"", 1+'Master Sheet'!$BK$5, LAB_SPEED_TOTAL()),
        Start_Level, IF(K34 = """",
            VLOOKUP(M34, $AD:$AG, 2, false),
            IF(ISBETWEEN(K34, VALUE(VLOOKUP(M34, $AD:$AG, 2, false)), VALUE("&amp;"VLOOKUP(M34, $AD:$AG, 4, false))), K34, """")),
        End_Level, IF(OR(L34 = """", NOT(ISBETWEEN(L34, VALUE(VLOOKUP(M34, $AD:$AG, 2, false)), VALUE(VLOOKUP(M34, $AD:$AG, 4, false)),0,1))),
            SWITCH($W$38,
                ""Max"", VLOOKUP(M34, "&amp;"$AD:$AG, 4, false),
                ""Target"", IF(VLOOKUP(M34, $AD:$AG, 3, false) &lt;&gt; """", VLOOKUP(M34, $AD:$AG, 3, false), VLOOKUP(M34, $AD:$AG, 4, false))),
            L34),
        SUM(OFFSET(DVT_Laboratory!$A$3, Start_Level , IF(ISNUMBER(SEARCH(""ma"&amp;"stery"", M34)), MATCH(""Card Mastery"", DVT_Laboratory!$A$1:$MY$1, 0), MATCH(M34, DVT_Laboratory!$A$1:$MY$1, 0)) - 1, End_Level - Start_Level, 1)) /
                (1 * REGEXEXTRACT(N$28, ""[\d.-]+"")) /
                Labspeed), ""Levels Error!""))"),"")</f>
        <v/>
      </c>
      <c r="R34" s="598"/>
      <c r="S34" s="600"/>
      <c r="T34" s="862"/>
      <c r="U34" s="863" t="s">
        <v>461</v>
      </c>
      <c r="V34" s="864"/>
      <c r="W34" s="865" t="str">
        <f>IFERROR(FORMAT_NUMBER(SUM(X29:X33)),"")</f>
        <v>7.79 T</v>
      </c>
      <c r="X34" s="866" t="str">
        <f>IFERROR(LABCOST_SINGLE_ADJUSTED(U34,
        (VLOOKUP(U34, BJ:BM, 2, FALSE) + 1)) / 
    (LABDURATION_SINGLE_ADJUSTED(U34, 
        VLOOKUP(U34, BJ:BM, 2, FALSE) + 1) /
            VLOOKUP(V$2,$AQ$2:$AR$9, 2, false)),"")</f>
        <v/>
      </c>
      <c r="Y34" s="786"/>
      <c r="Z34" s="598"/>
      <c r="AA34" s="781"/>
      <c r="AB34" s="867" t="s">
        <v>462</v>
      </c>
      <c r="AC34" s="713" t="str">
        <f>IFERROR(__xludf.DUMMYFUNCTION("""COMPUTED_VALUE"""),"Cash Mastery")</f>
        <v>Cash Mastery</v>
      </c>
      <c r="AD34" s="825" t="s">
        <v>311</v>
      </c>
      <c r="AE34" s="713">
        <v>1.0</v>
      </c>
      <c r="AF34" s="713"/>
      <c r="AG34" s="713">
        <v>9.0</v>
      </c>
      <c r="AH34" s="737" t="str">
        <f>IFERROR(__xludf.DUMMYFUNCTION("IFERROR(IF(C17 = """", SEQUENCE(1, VALUE(VLOOKUP(E17, AD:AG, 4, false)) - VALUE(VLOOKUP(E17, AD:AG, 2, false)), VALUE(VLOOKUP(E17, AD:AG, 2, false)) + 1),
    IF(ISBETWEEN(C17, VALUE(VLOOKUP(E17, AD:AG, 2, false)), VALUE(VLOOKUP(E17, AD:AG, 4, false))),
 "&amp;"       SEQUENCE(1, VALUE(VLOOKUP(E17, AD:AG, 4, false)) - C17, C17 + 1),
        """")))"),"")</f>
        <v/>
      </c>
      <c r="AI34" s="713"/>
      <c r="AJ34" s="713"/>
      <c r="AK34" s="713"/>
      <c r="AL34" s="713"/>
      <c r="AM34" s="713"/>
      <c r="AN34" s="713"/>
      <c r="AO34" s="713"/>
      <c r="AP34" s="713"/>
      <c r="AQ34" s="713"/>
      <c r="AR34" s="713"/>
      <c r="AS34" s="713"/>
      <c r="AT34" s="713"/>
      <c r="AU34" s="713"/>
      <c r="AV34" s="713"/>
      <c r="AW34" s="713"/>
      <c r="AX34" s="713"/>
      <c r="AY34" s="713"/>
      <c r="AZ34" s="713"/>
      <c r="BA34" s="713"/>
      <c r="BB34" s="713"/>
      <c r="BC34" s="713"/>
      <c r="BD34" s="713"/>
      <c r="BE34" s="713"/>
      <c r="BF34" s="713"/>
      <c r="BG34" s="713"/>
      <c r="BH34" s="713"/>
      <c r="BI34" s="713"/>
      <c r="BJ34" s="713"/>
      <c r="BK34" s="713"/>
      <c r="BL34" s="713"/>
      <c r="BM34" s="713"/>
      <c r="BN34" s="713"/>
      <c r="BO34" s="713"/>
      <c r="BP34" s="713"/>
      <c r="BQ34" s="713"/>
      <c r="BR34" s="713"/>
      <c r="BS34" s="713"/>
      <c r="BT34" s="713"/>
      <c r="BU34" s="713"/>
      <c r="BV34" s="713"/>
      <c r="BW34" s="713"/>
      <c r="BX34" s="713"/>
      <c r="BY34" s="713"/>
      <c r="BZ34" s="713"/>
      <c r="CA34" s="713"/>
      <c r="CB34" s="713"/>
      <c r="CC34" s="713"/>
      <c r="CD34" s="713"/>
      <c r="CE34" s="713"/>
      <c r="CF34" s="713"/>
      <c r="CG34" s="713"/>
      <c r="CH34" s="713"/>
      <c r="CI34" s="713"/>
      <c r="CJ34" s="713"/>
      <c r="CK34" s="713"/>
      <c r="CL34" s="713"/>
      <c r="CM34" s="713"/>
      <c r="CN34" s="713"/>
      <c r="CO34" s="713"/>
      <c r="CP34" s="713"/>
      <c r="CQ34" s="713"/>
      <c r="CR34" s="713"/>
      <c r="CS34" s="713"/>
      <c r="CT34" s="713"/>
      <c r="CU34" s="713"/>
      <c r="CV34" s="713"/>
      <c r="CW34" s="713"/>
      <c r="CX34" s="713"/>
      <c r="CY34" s="713"/>
      <c r="CZ34" s="713"/>
      <c r="DA34" s="713"/>
      <c r="DB34" s="713"/>
      <c r="DC34" s="713"/>
      <c r="DD34" s="713"/>
      <c r="DE34" s="713"/>
      <c r="DF34" s="713"/>
      <c r="DG34" s="713"/>
      <c r="DH34" s="713"/>
      <c r="DI34" s="713"/>
      <c r="DJ34" s="713"/>
      <c r="DK34" s="713"/>
      <c r="DL34" s="713"/>
      <c r="DM34" s="713"/>
      <c r="DN34" s="713"/>
      <c r="DO34" s="713"/>
      <c r="DP34" s="713"/>
      <c r="DQ34" s="713"/>
      <c r="DR34" s="713"/>
      <c r="DS34" s="713"/>
      <c r="DT34" s="713"/>
      <c r="DU34" s="713"/>
      <c r="DV34" s="713"/>
      <c r="DW34" s="713"/>
      <c r="DX34" s="713"/>
      <c r="DY34" s="713"/>
      <c r="DZ34" s="713"/>
      <c r="EA34" s="713"/>
      <c r="EB34" s="713"/>
      <c r="EC34" s="713"/>
      <c r="ED34" s="713"/>
      <c r="EE34" s="713"/>
      <c r="EF34" s="713"/>
      <c r="EG34" s="713"/>
      <c r="EH34" s="713"/>
      <c r="EI34" s="713"/>
      <c r="EJ34" s="713"/>
      <c r="EK34" s="713"/>
      <c r="EL34" s="713"/>
      <c r="EM34" s="713"/>
      <c r="EN34" s="713"/>
      <c r="EO34" s="713"/>
      <c r="EP34" s="713"/>
      <c r="EQ34" s="713"/>
      <c r="ER34" s="713"/>
      <c r="ES34" s="713"/>
      <c r="ET34" s="713"/>
      <c r="EU34" s="713"/>
      <c r="EV34" s="713"/>
      <c r="EW34" s="713"/>
      <c r="EX34" s="713"/>
      <c r="EY34" s="713"/>
      <c r="EZ34" s="713"/>
      <c r="FA34" s="713"/>
      <c r="FB34" s="713"/>
      <c r="FC34" s="713"/>
      <c r="FD34" s="713"/>
      <c r="FE34" s="713"/>
      <c r="FF34" s="713"/>
      <c r="FG34" s="713"/>
      <c r="FH34" s="713"/>
      <c r="FI34" s="713"/>
      <c r="FJ34" s="713"/>
      <c r="FK34" s="713"/>
      <c r="FL34" s="713"/>
      <c r="FM34" s="713"/>
      <c r="FN34" s="713"/>
      <c r="FO34" s="713"/>
      <c r="FP34" s="713"/>
      <c r="FQ34" s="713"/>
      <c r="FR34" s="713"/>
      <c r="FS34" s="713"/>
      <c r="FT34" s="713"/>
      <c r="FU34" s="713"/>
      <c r="FV34" s="713"/>
      <c r="FW34" s="713"/>
      <c r="FX34" s="713"/>
      <c r="FY34" s="713"/>
      <c r="FZ34" s="713"/>
      <c r="GA34" s="713"/>
      <c r="GB34" s="713"/>
      <c r="GC34" s="713"/>
      <c r="GD34" s="713"/>
      <c r="GE34" s="713"/>
      <c r="GF34" s="713"/>
      <c r="GG34" s="713"/>
      <c r="GH34" s="713"/>
      <c r="GI34" s="713"/>
      <c r="GJ34" s="713"/>
      <c r="GK34" s="713"/>
      <c r="GL34" s="713"/>
      <c r="GM34" s="713"/>
      <c r="GN34" s="713"/>
      <c r="GO34" s="713"/>
      <c r="GP34" s="713"/>
      <c r="GQ34" s="713"/>
      <c r="GR34" s="713"/>
      <c r="GS34" s="713"/>
      <c r="GT34" s="713"/>
      <c r="GU34" s="713"/>
      <c r="GV34" s="713"/>
      <c r="GW34" s="713"/>
      <c r="GX34" s="713"/>
      <c r="GY34" s="713"/>
      <c r="GZ34" s="713"/>
      <c r="HA34" s="713"/>
      <c r="HB34" s="713"/>
      <c r="HC34" s="713"/>
      <c r="HD34" s="713"/>
      <c r="HE34" s="713"/>
      <c r="HF34" s="713"/>
      <c r="HG34" s="713"/>
      <c r="HH34" s="713"/>
      <c r="HI34" s="713"/>
      <c r="HJ34" s="713"/>
      <c r="HK34" s="713"/>
      <c r="HL34" s="713"/>
      <c r="HM34" s="713"/>
      <c r="HN34" s="713"/>
      <c r="HO34" s="713"/>
      <c r="HP34" s="713"/>
      <c r="HQ34" s="713"/>
      <c r="HR34" s="713"/>
      <c r="HS34" s="713"/>
      <c r="HT34" s="713"/>
      <c r="HU34" s="713"/>
      <c r="HV34" s="713"/>
      <c r="HW34" s="713"/>
      <c r="HX34" s="713"/>
      <c r="HY34" s="713"/>
      <c r="HZ34" s="713"/>
      <c r="IA34" s="713"/>
      <c r="IB34" s="713"/>
      <c r="IC34" s="713"/>
      <c r="ID34" s="713"/>
      <c r="IE34" s="713"/>
      <c r="IF34" s="713"/>
      <c r="IG34" s="713"/>
      <c r="IH34" s="713"/>
    </row>
    <row r="35">
      <c r="A35" s="598"/>
      <c r="B35" s="807" t="str">
        <f t="shared" si="12"/>
        <v/>
      </c>
      <c r="C35" s="855"/>
      <c r="D35" s="844"/>
      <c r="E35" s="828"/>
      <c r="F35" s="845" t="str">
        <f>IFERROR(__xludf.DUMMYFUNCTION("IFERROR(IF(H35 = """", """",
    SWITCH($W$37,
        ""Total"", "" "" &amp; FORMAT_NUMBER(H35),
        ""Daily"", LET(Lab_name, IF(REGEXMATCH(E35, ""Mastery""), ""Card Mastery"", E35),
            Level, IF(ISBETWEEN(C35, VLOOKUP(E35, $AD:$AG, 2, FALSE), V"&amp;"LOOKUP(E35, $AD:$AG, 4, FALSE), TRUE, FALSE), C35, VLOOKUP(E35, $AD:$AG, 2, FALSE)),
            IF(LABCOST_SINGLE_ADJUSTED(Lab_name, Level + 1) = 0, ""0 (Max)"",
            "" "" &amp; FORMAT_NUMBER(            
                    LABCOST_SINGLE_ADJUSTED(L"&amp;"ab_name, Level + 1) / 
                    (LABDURATION_SINGLE_ADJUSTED(Lab_name, Level + 1) /
                    (1 * REGEXEXTRACT(F$28, ""[\d.-]+"")))))),
        ""Gem Rush"", LET(
            Labspeed, IF(E35=""Labs Speed"", 1+'Master Sheet'!$BK$5, L"&amp;"AB_SPEED_TOTAL()),
            Start_Level, IF(C35 = """",
                VLOOKUP(E35, $AD:$AG, 2, false),
                IF(ISBETWEEN(C35, VALUE(VLOOKUP(E35, $AD:$AG, 2, false)), VALUE(VLOOKUP(E35, $AD:$AG, 4, false))), C35, """")),
            End_Lev"&amp;"el, IF(OR(D35 = """", NOT(ISBETWEEN(D35, VALUE(VLOOKUP(E35, $AD:$AG, 2, false)), VALUE(VLOOKUP(E35, $AD:$AG, 4, false)),0,1))),
                SWITCH($W$38,
                    ""Max"", VLOOKUP(E35, $AD:$AG, 4, false),
                    ""Target"", IF("&amp;"VLOOKUP(E35, $AD:$AG, 3, false) &lt;&gt; """", VLOOKUP(E35, $AD:$AG, 3, false), VLOOKUP(E35, $AD:$AG, 4, false))),
                    D35),
            SUM(ARRAYFORMULA(TIME_TO_RUSH_GEMS( OFFSET(DVT_Laboratory!$A$3, Start_Level , IF(ISNUMBER(SEARCH(""mastery"""&amp;", E35)), MATCH(""Card Mastery"", DVT_Laboratory!$A$1:$LO$1, 0), MATCH(E35, DVT_Laboratory!$A$1:$LO$1, 0)) - 1, End_Level - Start_Level, 1) / Labspeed, IDS_LAB_GODLBOXED_COUNT())))))))"),"")</f>
        <v/>
      </c>
      <c r="G35" s="856" t="str">
        <f t="shared" si="13"/>
        <v/>
      </c>
      <c r="H35" s="792" t="str">
        <f>IFERROR(__xludf.DUMMYFUNCTION("IFS(E35 = """", """", 
    VLOOKUP(E35, $AD:$AG, 2, false) = VLOOKUP(E35, $AD:$AG, 4, false), ""MAX Level"",
    AND(VLOOKUP(E35, $AD:$AG, 3, false) &lt;&gt; """", VLOOKUP(E35, $AD:$AG, 2, false) = VLOOKUP(E35, $AD:$AG, 3, false)), ""At Target"",
    TRUE,
    "&amp;"IFERROR(LET(Start_Level, IF(C35 = """",
            VLOOKUP(E35, $AD:$AG, 2, false),
            IF(ISBETWEEN(C35, VALUE(VLOOKUP(E35, $AD:$AG, 2, false)), VALUE(VLOOKUP(E35, $AD:$AG, 4, false))), C35, """")),
        End_Level, IF(OR(D35 = """", NOT(ISBET"&amp;"WEEN(D35, VALUE(VLOOKUP(E35, $AD:$AG, 2, false)), VALUE(VLOOKUP(E35, $AD:$AG, 4, false)),0,1))),
            SWITCH($W$38,
                ""Max"", VLOOKUP(E35, $AD:$AG, 4, false),
                ""Target"", IF(VLOOKUP(E35, $AD:$AG, 3, false) &lt;&gt; """", VL"&amp;"OOKUP(E35, $AD:$AG, 3, false), VLOOKUP(E35, $AD:$AG, 4, false))),
            D35),
        SUM(OFFSET(DVT_Laboratory!$A$3, Start_Level , IF(ISNUMBER(SEARCH(""mastery"", E35)), MATCH(""Card Mastery"", DVT_Laboratory!$A$1:$MY$1, 0), MATCH(E35, DVT_Laborato"&amp;"ry!$A$1:$MY$1, 0)), End_Level - Start_Level, 1)) * (1-LAB_COIN_DISCOUNT())), ""Levels Error!""))"),"")</f>
        <v/>
      </c>
      <c r="I35" s="832" t="str">
        <f>IFERROR(__xludf.DUMMYFUNCTION("IFS(E35 = """", """", 
    VLOOKUP(E35, $AD:$AG, 2, false) = VLOOKUP(E35, $AD:$AG, 4, false), ""MAX Level"",
    AND(VLOOKUP(E35, $AD:$AG, 3, false) &lt;&gt; """", VLOOKUP(E35, $AD:$AG, 2, false) = VLOOKUP(E35, $AD:$AG, 3, false)), ""At Target"",
    TRUE,
    "&amp;"IFERROR(LET(
        Labspeed, IF(E35=""Labs Speed"", 1+'Master Sheet'!$BK$5, LAB_SPEED_TOTAL()),
        Start_Level, IF(C35 = """",
            VLOOKUP(E35, $AD:$AG, 2, false),
            IF(ISBETWEEN(C35, VALUE(VLOOKUP(E35, $AD:$AG, 2, false)), VALUE("&amp;"VLOOKUP(E35, $AD:$AG, 4, false))), C35, """")),
        End_Level, IF(OR(D35 = """", NOT(ISBETWEEN(D35, VALUE(VLOOKUP(E35, $AD:$AG, 2, false)), VALUE(VLOOKUP(E35, $AD:$AG, 4, false)),0,1))),
            SWITCH($W$38,
                ""Max"", VLOOKUP(E35, "&amp;"$AD:$AG, 4, false),
                ""Target"", IF(VLOOKUP(E35, $AD:$AG, 3, false) &lt;&gt; """", VLOOKUP(E35, $AD:$AG, 3, false), VLOOKUP(E35, $AD:$AG, 4, false))),
            D35),
        SUM(OFFSET(DVT_Laboratory!$A$3, Start_Level , IF(ISNUMBER(SEARCH(""ma"&amp;"stery"", E35)), MATCH(""Card Mastery"", DVT_Laboratory!$A$1:$MY$1, 0), MATCH(E35, DVT_Laboratory!$A$1:$MY$1, 0)) - 1, End_Level - Start_Level, 1)) /
                (1 * REGEXEXTRACT(F$28, ""[\d.-]+"")) /
                Labspeed), ""Levels Error!""))"),"")</f>
        <v/>
      </c>
      <c r="J35" s="809" t="str">
        <f t="shared" si="14"/>
        <v/>
      </c>
      <c r="K35" s="861"/>
      <c r="L35" s="848"/>
      <c r="M35" s="835"/>
      <c r="N35" s="849" t="str">
        <f>IFERROR(__xludf.DUMMYFUNCTION("IFERROR(IF(P35 = """", """",
    SWITCH($W$37,
        ""Total"", "" "" &amp; FORMAT_NUMBER(P35),
        ""Daily"", LET(Lab_name, IF(REGEXMATCH(M35, ""Mastery""), ""Card Mastery"", M35),
            Level, IF(ISBETWEEN(K35, VLOOKUP(M35, $AD:$AG, 2, FALSE), V"&amp;"LOOKUP(M35, $AD:$AG, 4, FALSE), TRUE, FALSE), K35, VLOOKUP(M35, $AD:$AG, 2, FALSE)),
            IF(LABCOST_SINGLE_ADJUSTED(Lab_name, Level + 1) = 0, ""0 (Max)"",
            "" "" &amp; FORMAT_NUMBER(            
                    LABCOST_SINGLE_ADJUSTED(L"&amp;"ab_name, Level + 1) / 
                    (LABDURATION_SINGLE_ADJUSTED(Lab_name, Level + 1) /
                    (1 * REGEXEXTRACT(N$28, ""[\d.-]+"")))))),
        ""Gem Rush"", LET(
            Labspeed, IF(M35=""Labs Speed"", 1+'Master Sheet'!$BK$5, L"&amp;"AB_SPEED_TOTAL()),
            Start_Level, IF(K35 = """",
                VLOOKUP(M35, $AD:$AG, 2, false),
                IF(ISBETWEEN(K35, VALUE(VLOOKUP(M35, $AD:$AG, 2, false)), VALUE(VLOOKUP(M35, $AD:$AG, 4, false))), K35, """")),
            End_Lev"&amp;"el, IF(OR(L35 = """", NOT(ISBETWEEN(L35, VALUE(VLOOKUP(M35, $AD:$AG, 2, false)), VALUE(VLOOKUP(M35, $AD:$AG, 4, false)),0,1))),
                SWITCH($W$38,
                    ""Max"", VLOOKUP(M35, $AD:$AG, 4, false),
                    ""Target"", IF("&amp;"VLOOKUP(M35, $AD:$AG, 3, false) &lt;&gt; """", VLOOKUP(M35, $AD:$AG, 3, false), VLOOKUP(M35, $AD:$AG, 4, false))),
                    L35),
            SUM(ARRAYFORMULA(TIME_TO_RUSH_GEMS( OFFSET(DVT_Laboratory!$A$3, Start_Level , IF(ISNUMBER(SEARCH(""mastery"""&amp;", M35)), MATCH(""Card Mastery"", DVT_Laboratory!$A$1:$LO$1, 0), MATCH(M35, DVT_Laboratory!$A$1:$LO$1, 0)) - 1, End_Level - Start_Level, 1) / Labspeed, IDS_LAB_GODLBOXED_COUNT())))))))"),"")</f>
        <v/>
      </c>
      <c r="O35" s="850" t="str">
        <f t="shared" si="15"/>
        <v/>
      </c>
      <c r="P35" s="838" t="str">
        <f>IFERROR(__xludf.DUMMYFUNCTION("IFS(M35 = """", """", 
    VLOOKUP(M35, $AD:$AG, 2, false) = VLOOKUP(M35, $AD:$AG, 4, false), ""MAX Level"",
    AND(VLOOKUP(M35, $AD:$AG, 3, false) &lt;&gt; """", VLOOKUP(M35, $AD:$AG, 2, false) = VLOOKUP(M35, $AD:$AG, 3, false)), ""At Target"",
    TRUE,
    "&amp;"IFERROR(LET(Start_Level, IF(K35 = """",
            VLOOKUP(M35, $AD:$AG, 2, false),
            IF(ISBETWEEN(K35, VALUE(VLOOKUP(M35, $AD:$AG, 2, false)), VALUE(VLOOKUP(M35, $AD:$AG, 4, false))), K35, """")),
        End_Level, IF(OR(L35 = """", NOT(ISBET"&amp;"WEEN(L35, VALUE(VLOOKUP(M35, $AD:$AG, 2, false)), VALUE(VLOOKUP(M35, $AD:$AG, 4, false)),0,1))),
            SWITCH($W$38,
                ""Max"", VLOOKUP(M35, $AD:$AG, 4, false),
                ""Target"", IF(VLOOKUP(M35, $AD:$AG, 3, false) &lt;&gt; """", VL"&amp;"OOKUP(M35, $AD:$AG, 3, false), VLOOKUP(M35, $AD:$AG, 4, false))),
            L35),
        SUM(OFFSET(DVT_Laboratory!$A$3, Start_Level , IF(ISNUMBER(SEARCH(""mastery"", M35)), MATCH(""Card Mastery"", DVT_Laboratory!$A$1:$MY$1, 0), MATCH(M35, DVT_Laborato"&amp;"ry!$A$1:$MY$1, 0)), End_Level - Start_Level, 1)) * (1-LAB_COIN_DISCOUNT())), ""Levels Error!""))"),"")</f>
        <v/>
      </c>
      <c r="Q35" s="839" t="str">
        <f>IFERROR(__xludf.DUMMYFUNCTION("IFS(M35 = """", """", 
    VLOOKUP(M35, $AD:$AG, 2, false) = VLOOKUP(M35, $AD:$AG, 4, false), ""MAX Level"",
    AND(VLOOKUP(M35, $AD:$AG, 3, false) &lt;&gt; """", VLOOKUP(M35, $AD:$AG, 2, false) = VLOOKUP(M35, $AD:$AG, 3, false)), ""At Target"",
    TRUE,
    "&amp;"IFERROR(LET(
        Labspeed, IF(M35=""Labs Speed"", 1+'Master Sheet'!$BK$5, LAB_SPEED_TOTAL()),
        Start_Level, IF(K35 = """",
            VLOOKUP(M35, $AD:$AG, 2, false),
            IF(ISBETWEEN(K35, VALUE(VLOOKUP(M35, $AD:$AG, 2, false)), VALUE("&amp;"VLOOKUP(M35, $AD:$AG, 4, false))), K35, """")),
        End_Level, IF(OR(L35 = """", NOT(ISBETWEEN(L35, VALUE(VLOOKUP(M35, $AD:$AG, 2, false)), VALUE(VLOOKUP(M35, $AD:$AG, 4, false)),0,1))),
            SWITCH($W$38,
                ""Max"", VLOOKUP(M35, "&amp;"$AD:$AG, 4, false),
                ""Target"", IF(VLOOKUP(M35, $AD:$AG, 3, false) &lt;&gt; """", VLOOKUP(M35, $AD:$AG, 3, false), VLOOKUP(M35, $AD:$AG, 4, false))),
            L35),
        SUM(OFFSET(DVT_Laboratory!$A$3, Start_Level , IF(ISNUMBER(SEARCH(""ma"&amp;"stery"", M35)), MATCH(""Card Mastery"", DVT_Laboratory!$A$1:$MY$1, 0), MATCH(M35, DVT_Laboratory!$A$1:$MY$1, 0)) - 1, End_Level - Start_Level, 1)) /
                (1 * REGEXEXTRACT(N$28, ""[\d.-]+"")) /
                Labspeed), ""Levels Error!""))"),"")</f>
        <v/>
      </c>
      <c r="R35" s="598"/>
      <c r="S35" s="600"/>
      <c r="T35" s="868"/>
      <c r="U35" s="635"/>
      <c r="V35" s="869"/>
      <c r="W35" s="870"/>
      <c r="X35" s="871"/>
      <c r="Y35" s="786"/>
      <c r="Z35" s="598"/>
      <c r="AA35" s="781"/>
      <c r="AB35" s="872" t="s">
        <v>463</v>
      </c>
      <c r="AC35" s="713" t="str">
        <f>IFERROR(__xludf.DUMMYFUNCTION("""COMPUTED_VALUE"""),"Chain Lightning Shock")</f>
        <v>Chain Lightning Shock</v>
      </c>
      <c r="AD35" s="816" t="s">
        <v>296</v>
      </c>
      <c r="AE35" s="713">
        <v>1.0</v>
      </c>
      <c r="AF35" s="713"/>
      <c r="AG35" s="713">
        <v>1.0</v>
      </c>
      <c r="AH35" s="737" t="str">
        <f>IFERROR(__xludf.DUMMYFUNCTION("IFERROR(IF(C18 = """", SEQUENCE(1, VALUE(VLOOKUP(E18, AD:AG, 4, false)) - VALUE(VLOOKUP(E18, AD:AG, 2, false)), VALUE(VLOOKUP(E18, AD:AG, 2, false)) + 1),
    IF(ISBETWEEN(C18, VALUE(VLOOKUP(E18, AD:AG, 2, false)), VALUE(VLOOKUP(E18, AD:AG, 4, false))),
 "&amp;"       SEQUENCE(1, VALUE(VLOOKUP(E18, AD:AG, 4, false)) - C18, C18 + 1),
        """")))"),"")</f>
        <v/>
      </c>
      <c r="AI35" s="713"/>
      <c r="AJ35" s="713"/>
      <c r="AK35" s="713"/>
      <c r="AL35" s="713"/>
      <c r="AM35" s="713"/>
      <c r="AN35" s="713"/>
      <c r="AO35" s="713"/>
      <c r="AP35" s="713"/>
      <c r="AQ35" s="713"/>
      <c r="AR35" s="713"/>
      <c r="AS35" s="713"/>
      <c r="AT35" s="713"/>
      <c r="AU35" s="713"/>
      <c r="AV35" s="713"/>
      <c r="AW35" s="713"/>
      <c r="AX35" s="713"/>
      <c r="AY35" s="713"/>
      <c r="AZ35" s="713"/>
      <c r="BA35" s="713"/>
      <c r="BB35" s="713"/>
      <c r="BC35" s="713"/>
      <c r="BD35" s="713"/>
      <c r="BE35" s="713"/>
      <c r="BF35" s="713"/>
      <c r="BG35" s="713"/>
      <c r="BH35" s="713"/>
      <c r="BI35" s="713"/>
      <c r="BJ35" s="713"/>
      <c r="BK35" s="713"/>
      <c r="BL35" s="713"/>
      <c r="BM35" s="713"/>
      <c r="BN35" s="713"/>
      <c r="BO35" s="713"/>
      <c r="BP35" s="713"/>
      <c r="BQ35" s="713"/>
      <c r="BR35" s="713"/>
      <c r="BS35" s="713"/>
      <c r="BT35" s="713"/>
      <c r="BU35" s="713"/>
      <c r="BV35" s="713"/>
      <c r="BW35" s="713"/>
      <c r="BX35" s="713"/>
      <c r="BY35" s="713"/>
      <c r="BZ35" s="713"/>
      <c r="CA35" s="713"/>
      <c r="CB35" s="713"/>
      <c r="CC35" s="713"/>
      <c r="CD35" s="713"/>
      <c r="CE35" s="713"/>
      <c r="CF35" s="713"/>
      <c r="CG35" s="713"/>
      <c r="CH35" s="713"/>
      <c r="CI35" s="713"/>
      <c r="CJ35" s="713"/>
      <c r="CK35" s="713"/>
      <c r="CL35" s="713"/>
      <c r="CM35" s="713"/>
      <c r="CN35" s="713"/>
      <c r="CO35" s="713"/>
      <c r="CP35" s="713"/>
      <c r="CQ35" s="713"/>
      <c r="CR35" s="713"/>
      <c r="CS35" s="713"/>
      <c r="CT35" s="713"/>
      <c r="CU35" s="713"/>
      <c r="CV35" s="713"/>
      <c r="CW35" s="713"/>
      <c r="CX35" s="713"/>
      <c r="CY35" s="713"/>
      <c r="CZ35" s="713"/>
      <c r="DA35" s="713"/>
      <c r="DB35" s="713"/>
      <c r="DC35" s="713"/>
      <c r="DD35" s="713"/>
      <c r="DE35" s="713"/>
      <c r="DF35" s="713"/>
      <c r="DG35" s="713"/>
      <c r="DH35" s="713"/>
      <c r="DI35" s="713"/>
      <c r="DJ35" s="713"/>
      <c r="DK35" s="713"/>
      <c r="DL35" s="713"/>
      <c r="DM35" s="713"/>
      <c r="DN35" s="713"/>
      <c r="DO35" s="713"/>
      <c r="DP35" s="713"/>
      <c r="DQ35" s="713"/>
      <c r="DR35" s="713"/>
      <c r="DS35" s="713"/>
      <c r="DT35" s="713"/>
      <c r="DU35" s="713"/>
      <c r="DV35" s="713"/>
      <c r="DW35" s="713"/>
      <c r="DX35" s="713"/>
      <c r="DY35" s="713"/>
      <c r="DZ35" s="713"/>
      <c r="EA35" s="713"/>
      <c r="EB35" s="713"/>
      <c r="EC35" s="713"/>
      <c r="ED35" s="713"/>
      <c r="EE35" s="713"/>
      <c r="EF35" s="713"/>
      <c r="EG35" s="713"/>
      <c r="EH35" s="713"/>
      <c r="EI35" s="713"/>
      <c r="EJ35" s="713"/>
      <c r="EK35" s="713"/>
      <c r="EL35" s="713"/>
      <c r="EM35" s="713"/>
      <c r="EN35" s="713"/>
      <c r="EO35" s="713"/>
      <c r="EP35" s="713"/>
      <c r="EQ35" s="713"/>
      <c r="ER35" s="713"/>
      <c r="ES35" s="713"/>
      <c r="ET35" s="713"/>
      <c r="EU35" s="713"/>
      <c r="EV35" s="713"/>
      <c r="EW35" s="713"/>
      <c r="EX35" s="713"/>
      <c r="EY35" s="713"/>
      <c r="EZ35" s="713"/>
      <c r="FA35" s="713"/>
      <c r="FB35" s="713"/>
      <c r="FC35" s="713"/>
      <c r="FD35" s="713"/>
      <c r="FE35" s="713"/>
      <c r="FF35" s="713"/>
      <c r="FG35" s="713"/>
      <c r="FH35" s="713"/>
      <c r="FI35" s="713"/>
      <c r="FJ35" s="713"/>
      <c r="FK35" s="713"/>
      <c r="FL35" s="713"/>
      <c r="FM35" s="713"/>
      <c r="FN35" s="713"/>
      <c r="FO35" s="713"/>
      <c r="FP35" s="713"/>
      <c r="FQ35" s="713"/>
      <c r="FR35" s="713"/>
      <c r="FS35" s="713"/>
      <c r="FT35" s="713"/>
      <c r="FU35" s="713"/>
      <c r="FV35" s="713"/>
      <c r="FW35" s="713"/>
      <c r="FX35" s="713"/>
      <c r="FY35" s="713"/>
      <c r="FZ35" s="713"/>
      <c r="GA35" s="713"/>
      <c r="GB35" s="713"/>
      <c r="GC35" s="713"/>
      <c r="GD35" s="713"/>
      <c r="GE35" s="713"/>
      <c r="GF35" s="713"/>
      <c r="GG35" s="713"/>
      <c r="GH35" s="713"/>
      <c r="GI35" s="713"/>
      <c r="GJ35" s="713"/>
      <c r="GK35" s="713"/>
      <c r="GL35" s="713"/>
      <c r="GM35" s="713"/>
      <c r="GN35" s="713"/>
      <c r="GO35" s="713"/>
      <c r="GP35" s="713"/>
      <c r="GQ35" s="713"/>
      <c r="GR35" s="713"/>
      <c r="GS35" s="713"/>
      <c r="GT35" s="713"/>
      <c r="GU35" s="713"/>
      <c r="GV35" s="713"/>
      <c r="GW35" s="713"/>
      <c r="GX35" s="713"/>
      <c r="GY35" s="713"/>
      <c r="GZ35" s="713"/>
      <c r="HA35" s="713"/>
      <c r="HB35" s="713"/>
      <c r="HC35" s="713"/>
      <c r="HD35" s="713"/>
      <c r="HE35" s="713"/>
      <c r="HF35" s="713"/>
      <c r="HG35" s="713"/>
      <c r="HH35" s="713"/>
      <c r="HI35" s="713"/>
      <c r="HJ35" s="713"/>
      <c r="HK35" s="713"/>
      <c r="HL35" s="713"/>
      <c r="HM35" s="713"/>
      <c r="HN35" s="713"/>
      <c r="HO35" s="713"/>
      <c r="HP35" s="713"/>
      <c r="HQ35" s="713"/>
      <c r="HR35" s="713"/>
      <c r="HS35" s="713"/>
      <c r="HT35" s="713"/>
      <c r="HU35" s="713"/>
      <c r="HV35" s="713"/>
      <c r="HW35" s="713"/>
      <c r="HX35" s="713"/>
      <c r="HY35" s="713"/>
      <c r="HZ35" s="713"/>
      <c r="IA35" s="713"/>
      <c r="IB35" s="713"/>
      <c r="IC35" s="713"/>
      <c r="ID35" s="713"/>
      <c r="IE35" s="713"/>
      <c r="IF35" s="713"/>
      <c r="IG35" s="713"/>
      <c r="IH35" s="713"/>
    </row>
    <row r="36">
      <c r="A36" s="598"/>
      <c r="B36" s="807" t="str">
        <f t="shared" si="12"/>
        <v/>
      </c>
      <c r="C36" s="843"/>
      <c r="D36" s="844"/>
      <c r="E36" s="828"/>
      <c r="F36" s="845" t="str">
        <f>IFERROR(__xludf.DUMMYFUNCTION("IFERROR(IF(H36 = """", """",
    SWITCH($W$37,
        ""Total"", "" "" &amp; FORMAT_NUMBER(H36),
        ""Daily"", LET(Lab_name, IF(REGEXMATCH(E36, ""Mastery""), ""Card Mastery"", E36),
            Level, IF(ISBETWEEN(C36, VLOOKUP(E36, $AD:$AG, 2, FALSE), V"&amp;"LOOKUP(E36, $AD:$AG, 4, FALSE), TRUE, FALSE), C36, VLOOKUP(E36, $AD:$AG, 2, FALSE)),
            IF(LABCOST_SINGLE_ADJUSTED(Lab_name, Level + 1) = 0, ""0 (Max)"",
            "" "" &amp; FORMAT_NUMBER(            
                    LABCOST_SINGLE_ADJUSTED(L"&amp;"ab_name, Level + 1) / 
                    (LABDURATION_SINGLE_ADJUSTED(Lab_name, Level + 1) /
                    (1 * REGEXEXTRACT(F$28, ""[\d.-]+"")))))),
        ""Gem Rush"", LET(
            Labspeed, IF(E36=""Labs Speed"", 1+'Master Sheet'!$BK$5, L"&amp;"AB_SPEED_TOTAL()),
            Start_Level, IF(C36 = """",
                VLOOKUP(E36, $AD:$AG, 2, false),
                IF(ISBETWEEN(C36, VALUE(VLOOKUP(E36, $AD:$AG, 2, false)), VALUE(VLOOKUP(E36, $AD:$AG, 4, false))), C36, """")),
            End_Lev"&amp;"el, IF(OR(D36 = """", NOT(ISBETWEEN(D36, VALUE(VLOOKUP(E36, $AD:$AG, 2, false)), VALUE(VLOOKUP(E36, $AD:$AG, 4, false)),0,1))),
                SWITCH($W$38,
                    ""Max"", VLOOKUP(E36, $AD:$AG, 4, false),
                    ""Target"", IF("&amp;"VLOOKUP(E36, $AD:$AG, 3, false) &lt;&gt; """", VLOOKUP(E36, $AD:$AG, 3, false), VLOOKUP(E36, $AD:$AG, 4, false))),
                    D36),
            SUM(ARRAYFORMULA(TIME_TO_RUSH_GEMS( OFFSET(DVT_Laboratory!$A$3, Start_Level , IF(ISNUMBER(SEARCH(""mastery"""&amp;", E36)), MATCH(""Card Mastery"", DVT_Laboratory!$A$1:$LO$1, 0), MATCH(E36, DVT_Laboratory!$A$1:$LO$1, 0)) - 1, End_Level - Start_Level, 1) / Labspeed, IDS_LAB_GODLBOXED_COUNT())))))))"),"")</f>
        <v/>
      </c>
      <c r="G36" s="856" t="str">
        <f t="shared" si="13"/>
        <v/>
      </c>
      <c r="H36" s="792" t="str">
        <f>IFERROR(__xludf.DUMMYFUNCTION("IFS(E36 = """", """", 
    VLOOKUP(E36, $AD:$AG, 2, false) = VLOOKUP(E36, $AD:$AG, 4, false), ""MAX Level"",
    AND(VLOOKUP(E36, $AD:$AG, 3, false) &lt;&gt; """", VLOOKUP(E36, $AD:$AG, 2, false) = VLOOKUP(E36, $AD:$AG, 3, false)), ""At Target"",
    TRUE,
    "&amp;"IFERROR(LET(Start_Level, IF(C36 = """",
            VLOOKUP(E36, $AD:$AG, 2, false),
            IF(ISBETWEEN(C36, VALUE(VLOOKUP(E36, $AD:$AG, 2, false)), VALUE(VLOOKUP(E36, $AD:$AG, 4, false))), C36, """")),
        End_Level, IF(OR(D36 = """", NOT(ISBET"&amp;"WEEN(D36, VALUE(VLOOKUP(E36, $AD:$AG, 2, false)), VALUE(VLOOKUP(E36, $AD:$AG, 4, false)),0,1))),
            SWITCH($W$38,
                ""Max"", VLOOKUP(E36, $AD:$AG, 4, false),
                ""Target"", IF(VLOOKUP(E36, $AD:$AG, 3, false) &lt;&gt; """", VL"&amp;"OOKUP(E36, $AD:$AG, 3, false), VLOOKUP(E36, $AD:$AG, 4, false))),
            D36),
        SUM(OFFSET(DVT_Laboratory!$A$3, Start_Level , IF(ISNUMBER(SEARCH(""mastery"", E36)), MATCH(""Card Mastery"", DVT_Laboratory!$A$1:$MY$1, 0), MATCH(E36, DVT_Laborato"&amp;"ry!$A$1:$MY$1, 0)), End_Level - Start_Level, 1)) * (1-LAB_COIN_DISCOUNT())), ""Levels Error!""))"),"")</f>
        <v/>
      </c>
      <c r="I36" s="832" t="str">
        <f>IFERROR(__xludf.DUMMYFUNCTION("IFS(E36 = """", """", 
    VLOOKUP(E36, $AD:$AG, 2, false) = VLOOKUP(E36, $AD:$AG, 4, false), ""MAX Level"",
    AND(VLOOKUP(E36, $AD:$AG, 3, false) &lt;&gt; """", VLOOKUP(E36, $AD:$AG, 2, false) = VLOOKUP(E36, $AD:$AG, 3, false)), ""At Target"",
    TRUE,
    "&amp;"IFERROR(LET(
        Labspeed, IF(E36=""Labs Speed"", 1+'Master Sheet'!$BK$5, LAB_SPEED_TOTAL()),
        Start_Level, IF(C36 = """",
            VLOOKUP(E36, $AD:$AG, 2, false),
            IF(ISBETWEEN(C36, VALUE(VLOOKUP(E36, $AD:$AG, 2, false)), VALUE("&amp;"VLOOKUP(E36, $AD:$AG, 4, false))), C36, """")),
        End_Level, IF(OR(D36 = """", NOT(ISBETWEEN(D36, VALUE(VLOOKUP(E36, $AD:$AG, 2, false)), VALUE(VLOOKUP(E36, $AD:$AG, 4, false)),0,1))),
            SWITCH($W$38,
                ""Max"", VLOOKUP(E36, "&amp;"$AD:$AG, 4, false),
                ""Target"", IF(VLOOKUP(E36, $AD:$AG, 3, false) &lt;&gt; """", VLOOKUP(E36, $AD:$AG, 3, false), VLOOKUP(E36, $AD:$AG, 4, false))),
            D36),
        SUM(OFFSET(DVT_Laboratory!$A$3, Start_Level , IF(ISNUMBER(SEARCH(""ma"&amp;"stery"", E36)), MATCH(""Card Mastery"", DVT_Laboratory!$A$1:$MY$1, 0), MATCH(E36, DVT_Laboratory!$A$1:$MY$1, 0)) - 1, End_Level - Start_Level, 1)) /
                (1 * REGEXEXTRACT(F$28, ""[\d.-]+"")) /
                Labspeed), ""Levels Error!""))"),"")</f>
        <v/>
      </c>
      <c r="J36" s="809" t="str">
        <f t="shared" si="14"/>
        <v/>
      </c>
      <c r="K36" s="861"/>
      <c r="L36" s="873"/>
      <c r="M36" s="835"/>
      <c r="N36" s="849" t="str">
        <f>IFERROR(__xludf.DUMMYFUNCTION("IFERROR(IF(P36 = """", """",
    SWITCH($W$37,
        ""Total"", "" "" &amp; FORMAT_NUMBER(P36),
        ""Daily"", LET(Lab_name, IF(REGEXMATCH(M36, ""Mastery""), ""Card Mastery"", M36),
            Level, IF(ISBETWEEN(K36, VLOOKUP(M36, $AD:$AG, 2, FALSE), V"&amp;"LOOKUP(M36, $AD:$AG, 4, FALSE), TRUE, FALSE), K36, VLOOKUP(M36, $AD:$AG, 2, FALSE)),
            IF(LABCOST_SINGLE_ADJUSTED(Lab_name, Level + 1) = 0, ""0 (Max)"",
            "" "" &amp; FORMAT_NUMBER(            
                    LABCOST_SINGLE_ADJUSTED(L"&amp;"ab_name, Level + 1) / 
                    (LABDURATION_SINGLE_ADJUSTED(Lab_name, Level + 1) /
                    (1 * REGEXEXTRACT(N$28, ""[\d.-]+"")))))),
        ""Gem Rush"", LET(
            Labspeed, IF(M36=""Labs Speed"", 1+'Master Sheet'!$BK$5, L"&amp;"AB_SPEED_TOTAL()),
            Start_Level, IF(K36 = """",
                VLOOKUP(M36, $AD:$AG, 2, false),
                IF(ISBETWEEN(K36, VALUE(VLOOKUP(M36, $AD:$AG, 2, false)), VALUE(VLOOKUP(M36, $AD:$AG, 4, false))), K36, """")),
            End_Lev"&amp;"el, IF(OR(L36 = """", NOT(ISBETWEEN(L36, VALUE(VLOOKUP(M36, $AD:$AG, 2, false)), VALUE(VLOOKUP(M36, $AD:$AG, 4, false)),0,1))),
                SWITCH($W$38,
                    ""Max"", VLOOKUP(M36, $AD:$AG, 4, false),
                    ""Target"", IF("&amp;"VLOOKUP(M36, $AD:$AG, 3, false) &lt;&gt; """", VLOOKUP(M36, $AD:$AG, 3, false), VLOOKUP(M36, $AD:$AG, 4, false))),
                    L36),
            SUM(ARRAYFORMULA(TIME_TO_RUSH_GEMS( OFFSET(DVT_Laboratory!$A$3, Start_Level , IF(ISNUMBER(SEARCH(""mastery"""&amp;", M36)), MATCH(""Card Mastery"", DVT_Laboratory!$A$1:$LO$1, 0), MATCH(M36, DVT_Laboratory!$A$1:$LO$1, 0)) - 1, End_Level - Start_Level, 1) / Labspeed, IDS_LAB_GODLBOXED_COUNT())))))))"),"")</f>
        <v/>
      </c>
      <c r="O36" s="850" t="str">
        <f t="shared" si="15"/>
        <v/>
      </c>
      <c r="P36" s="838" t="str">
        <f>IFERROR(__xludf.DUMMYFUNCTION("IFS(M36 = """", """", 
    VLOOKUP(M36, $AD:$AG, 2, false) = VLOOKUP(M36, $AD:$AG, 4, false), ""MAX Level"",
    AND(VLOOKUP(M36, $AD:$AG, 3, false) &lt;&gt; """", VLOOKUP(M36, $AD:$AG, 2, false) = VLOOKUP(M36, $AD:$AG, 3, false)), ""At Target"",
    TRUE,
    "&amp;"IFERROR(LET(Start_Level, IF(K36 = """",
            VLOOKUP(M36, $AD:$AG, 2, false),
            IF(ISBETWEEN(K36, VALUE(VLOOKUP(M36, $AD:$AG, 2, false)), VALUE(VLOOKUP(M36, $AD:$AG, 4, false))), K36, """")),
        End_Level, IF(OR(L36 = """", NOT(ISBET"&amp;"WEEN(L36, VALUE(VLOOKUP(M36, $AD:$AG, 2, false)), VALUE(VLOOKUP(M36, $AD:$AG, 4, false)),0,1))),
            SWITCH($W$38,
                ""Max"", VLOOKUP(M36, $AD:$AG, 4, false),
                ""Target"", IF(VLOOKUP(M36, $AD:$AG, 3, false) &lt;&gt; """", VL"&amp;"OOKUP(M36, $AD:$AG, 3, false), VLOOKUP(M36, $AD:$AG, 4, false))),
            L36),
        SUM(OFFSET(DVT_Laboratory!$A$3, Start_Level , IF(ISNUMBER(SEARCH(""mastery"", M36)), MATCH(""Card Mastery"", DVT_Laboratory!$A$1:$MY$1, 0), MATCH(M36, DVT_Laborato"&amp;"ry!$A$1:$MY$1, 0)), End_Level - Start_Level, 1)) * (1-LAB_COIN_DISCOUNT())), ""Levels Error!""))"),"")</f>
        <v/>
      </c>
      <c r="Q36" s="839" t="str">
        <f>IFERROR(__xludf.DUMMYFUNCTION("IFS(M36 = """", """", 
    VLOOKUP(M36, $AD:$AG, 2, false) = VLOOKUP(M36, $AD:$AG, 4, false), ""MAX Level"",
    AND(VLOOKUP(M36, $AD:$AG, 3, false) &lt;&gt; """", VLOOKUP(M36, $AD:$AG, 2, false) = VLOOKUP(M36, $AD:$AG, 3, false)), ""At Target"",
    TRUE,
    "&amp;"IFERROR(LET(
        Labspeed, IF(M36=""Labs Speed"", 1+'Master Sheet'!$BK$5, LAB_SPEED_TOTAL()),
        Start_Level, IF(K36 = """",
            VLOOKUP(M36, $AD:$AG, 2, false),
            IF(ISBETWEEN(K36, VALUE(VLOOKUP(M36, $AD:$AG, 2, false)), VALUE("&amp;"VLOOKUP(M36, $AD:$AG, 4, false))), K36, """")),
        End_Level, IF(OR(L36 = """", NOT(ISBETWEEN(L36, VALUE(VLOOKUP(M36, $AD:$AG, 2, false)), VALUE(VLOOKUP(M36, $AD:$AG, 4, false)),0,1))),
            SWITCH($W$38,
                ""Max"", VLOOKUP(M36, "&amp;"$AD:$AG, 4, false),
                ""Target"", IF(VLOOKUP(M36, $AD:$AG, 3, false) &lt;&gt; """", VLOOKUP(M36, $AD:$AG, 3, false), VLOOKUP(M36, $AD:$AG, 4, false))),
            L36),
        SUM(OFFSET(DVT_Laboratory!$A$3, Start_Level , IF(ISNUMBER(SEARCH(""ma"&amp;"stery"", M36)), MATCH(""Card Mastery"", DVT_Laboratory!$A$1:$MY$1, 0), MATCH(M36, DVT_Laboratory!$A$1:$MY$1, 0)) - 1, End_Level - Start_Level, 1)) /
                (1 * REGEXEXTRACT(N$28, ""[\d.-]+"")) /
                Labspeed), ""Levels Error!""))"),"")</f>
        <v/>
      </c>
      <c r="R36" s="598"/>
      <c r="S36" s="600"/>
      <c r="T36" s="874"/>
      <c r="U36" s="874"/>
      <c r="V36" s="874"/>
      <c r="W36" s="874"/>
      <c r="X36" s="785"/>
      <c r="Y36" s="786"/>
      <c r="Z36" s="598"/>
      <c r="AA36" s="781"/>
      <c r="AB36" s="875" t="s">
        <v>464</v>
      </c>
      <c r="AC36" s="713" t="str">
        <f>IFERROR(__xludf.DUMMYFUNCTION("""COMPUTED_VALUE"""),"Chain Thunder")</f>
        <v>Chain Thunder</v>
      </c>
      <c r="AD36" s="816" t="s">
        <v>370</v>
      </c>
      <c r="AE36" s="713">
        <v>12.0</v>
      </c>
      <c r="AF36" s="713"/>
      <c r="AG36" s="713">
        <v>30.0</v>
      </c>
      <c r="AH36" s="737" t="str">
        <f>IFERROR(__xludf.DUMMYFUNCTION("IFERROR(IF(C19 = """", SEQUENCE(1, VALUE(VLOOKUP(E19, AD:AG, 4, false)) - VALUE(VLOOKUP(E19, AD:AG, 2, false)), VALUE(VLOOKUP(E19, AD:AG, 2, false)) + 1),
    IF(ISBETWEEN(C19, VALUE(VLOOKUP(E19, AD:AG, 2, false)), VALUE(VLOOKUP(E19, AD:AG, 4, false))),
 "&amp;"       SEQUENCE(1, VALUE(VLOOKUP(E19, AD:AG, 4, false)) - C19, C19 + 1),
        """")))"),"")</f>
        <v/>
      </c>
      <c r="AI36" s="713"/>
      <c r="AJ36" s="713"/>
      <c r="AK36" s="713"/>
      <c r="AL36" s="713"/>
      <c r="AM36" s="713"/>
      <c r="AN36" s="713"/>
      <c r="AO36" s="713"/>
      <c r="AP36" s="713"/>
      <c r="AQ36" s="713"/>
      <c r="AR36" s="713"/>
      <c r="AS36" s="713"/>
      <c r="AT36" s="713"/>
      <c r="AU36" s="713"/>
      <c r="AV36" s="713"/>
      <c r="AW36" s="713"/>
      <c r="AX36" s="713"/>
      <c r="AY36" s="713"/>
      <c r="AZ36" s="713"/>
      <c r="BA36" s="713"/>
      <c r="BB36" s="713"/>
      <c r="BC36" s="713"/>
      <c r="BD36" s="713"/>
      <c r="BE36" s="713"/>
      <c r="BF36" s="713"/>
      <c r="BG36" s="713"/>
      <c r="BH36" s="713"/>
      <c r="BI36" s="713"/>
      <c r="BJ36" s="713"/>
      <c r="BK36" s="713"/>
      <c r="BL36" s="713"/>
      <c r="BM36" s="713"/>
      <c r="BN36" s="713"/>
      <c r="BO36" s="713"/>
      <c r="BP36" s="713"/>
      <c r="BQ36" s="713"/>
      <c r="BR36" s="713"/>
      <c r="BS36" s="713"/>
      <c r="BT36" s="713"/>
      <c r="BU36" s="713"/>
      <c r="BV36" s="713"/>
      <c r="BW36" s="713"/>
      <c r="BX36" s="713"/>
      <c r="BY36" s="713"/>
      <c r="BZ36" s="713"/>
      <c r="CA36" s="713"/>
      <c r="CB36" s="713"/>
      <c r="CC36" s="713"/>
      <c r="CD36" s="713"/>
      <c r="CE36" s="713"/>
      <c r="CF36" s="713"/>
      <c r="CG36" s="713"/>
      <c r="CH36" s="713"/>
      <c r="CI36" s="713"/>
      <c r="CJ36" s="713"/>
      <c r="CK36" s="713"/>
      <c r="CL36" s="713"/>
      <c r="CM36" s="713"/>
      <c r="CN36" s="713"/>
      <c r="CO36" s="713"/>
      <c r="CP36" s="713"/>
      <c r="CQ36" s="713"/>
      <c r="CR36" s="713"/>
      <c r="CS36" s="713"/>
      <c r="CT36" s="713"/>
      <c r="CU36" s="713"/>
      <c r="CV36" s="713"/>
      <c r="CW36" s="713"/>
      <c r="CX36" s="713"/>
      <c r="CY36" s="713"/>
      <c r="CZ36" s="713"/>
      <c r="DA36" s="713"/>
      <c r="DB36" s="713"/>
      <c r="DC36" s="713"/>
      <c r="DD36" s="713"/>
      <c r="DE36" s="713"/>
      <c r="DF36" s="713"/>
      <c r="DG36" s="713"/>
      <c r="DH36" s="713"/>
      <c r="DI36" s="713"/>
      <c r="DJ36" s="713"/>
      <c r="DK36" s="713"/>
      <c r="DL36" s="713"/>
      <c r="DM36" s="713"/>
      <c r="DN36" s="713"/>
      <c r="DO36" s="713"/>
      <c r="DP36" s="713"/>
      <c r="DQ36" s="713"/>
      <c r="DR36" s="713"/>
      <c r="DS36" s="713"/>
      <c r="DT36" s="713"/>
      <c r="DU36" s="713"/>
      <c r="DV36" s="713"/>
      <c r="DW36" s="713"/>
      <c r="DX36" s="713"/>
      <c r="DY36" s="713"/>
      <c r="DZ36" s="713"/>
      <c r="EA36" s="713"/>
      <c r="EB36" s="713"/>
      <c r="EC36" s="713"/>
      <c r="ED36" s="713"/>
      <c r="EE36" s="713"/>
      <c r="EF36" s="713"/>
      <c r="EG36" s="713"/>
      <c r="EH36" s="713"/>
      <c r="EI36" s="713"/>
      <c r="EJ36" s="713"/>
      <c r="EK36" s="713"/>
      <c r="EL36" s="713"/>
      <c r="EM36" s="713"/>
      <c r="EN36" s="713"/>
      <c r="EO36" s="713"/>
      <c r="EP36" s="713"/>
      <c r="EQ36" s="713"/>
      <c r="ER36" s="713"/>
      <c r="ES36" s="713"/>
      <c r="ET36" s="713"/>
      <c r="EU36" s="713"/>
      <c r="EV36" s="713"/>
      <c r="EW36" s="713"/>
      <c r="EX36" s="713"/>
      <c r="EY36" s="713"/>
      <c r="EZ36" s="713"/>
      <c r="FA36" s="713"/>
      <c r="FB36" s="713"/>
      <c r="FC36" s="713"/>
      <c r="FD36" s="713"/>
      <c r="FE36" s="713"/>
      <c r="FF36" s="713"/>
      <c r="FG36" s="713"/>
      <c r="FH36" s="713"/>
      <c r="FI36" s="713"/>
      <c r="FJ36" s="713"/>
      <c r="FK36" s="713"/>
      <c r="FL36" s="713"/>
      <c r="FM36" s="713"/>
      <c r="FN36" s="713"/>
      <c r="FO36" s="713"/>
      <c r="FP36" s="713"/>
      <c r="FQ36" s="713"/>
      <c r="FR36" s="713"/>
      <c r="FS36" s="713"/>
      <c r="FT36" s="713"/>
      <c r="FU36" s="713"/>
      <c r="FV36" s="713"/>
      <c r="FW36" s="713"/>
      <c r="FX36" s="713"/>
      <c r="FY36" s="713"/>
      <c r="FZ36" s="713"/>
      <c r="GA36" s="713"/>
      <c r="GB36" s="713"/>
      <c r="GC36" s="713"/>
      <c r="GD36" s="713"/>
      <c r="GE36" s="713"/>
      <c r="GF36" s="713"/>
      <c r="GG36" s="713"/>
      <c r="GH36" s="713"/>
      <c r="GI36" s="713"/>
      <c r="GJ36" s="713"/>
      <c r="GK36" s="713"/>
      <c r="GL36" s="713"/>
      <c r="GM36" s="713"/>
      <c r="GN36" s="713"/>
      <c r="GO36" s="713"/>
      <c r="GP36" s="713"/>
      <c r="GQ36" s="713"/>
      <c r="GR36" s="713"/>
      <c r="GS36" s="713"/>
      <c r="GT36" s="713"/>
      <c r="GU36" s="713"/>
      <c r="GV36" s="713"/>
      <c r="GW36" s="713"/>
      <c r="GX36" s="713"/>
      <c r="GY36" s="713"/>
      <c r="GZ36" s="713"/>
      <c r="HA36" s="713"/>
      <c r="HB36" s="713"/>
      <c r="HC36" s="713"/>
      <c r="HD36" s="713"/>
      <c r="HE36" s="713"/>
      <c r="HF36" s="713"/>
      <c r="HG36" s="713"/>
      <c r="HH36" s="713"/>
      <c r="HI36" s="713"/>
      <c r="HJ36" s="713"/>
      <c r="HK36" s="713"/>
      <c r="HL36" s="713"/>
      <c r="HM36" s="713"/>
      <c r="HN36" s="713"/>
      <c r="HO36" s="713"/>
      <c r="HP36" s="713"/>
      <c r="HQ36" s="713"/>
      <c r="HR36" s="713"/>
      <c r="HS36" s="713"/>
      <c r="HT36" s="713"/>
      <c r="HU36" s="713"/>
      <c r="HV36" s="713"/>
      <c r="HW36" s="713"/>
      <c r="HX36" s="713"/>
      <c r="HY36" s="713"/>
      <c r="HZ36" s="713"/>
      <c r="IA36" s="713"/>
      <c r="IB36" s="713"/>
      <c r="IC36" s="713"/>
      <c r="ID36" s="713"/>
      <c r="IE36" s="713"/>
      <c r="IF36" s="713"/>
      <c r="IG36" s="713"/>
      <c r="IH36" s="713"/>
    </row>
    <row r="37">
      <c r="A37" s="598"/>
      <c r="B37" s="807" t="str">
        <f t="shared" si="12"/>
        <v/>
      </c>
      <c r="C37" s="855"/>
      <c r="D37" s="844"/>
      <c r="E37" s="828"/>
      <c r="F37" s="845" t="str">
        <f>IFERROR(__xludf.DUMMYFUNCTION("IFERROR(IF(H37 = """", """",
    SWITCH($W$37,
        ""Total"", "" "" &amp; FORMAT_NUMBER(H37),
        ""Daily"", LET(Lab_name, IF(REGEXMATCH(E37, ""Mastery""), ""Card Mastery"", E37),
            Level, IF(ISBETWEEN(C37, VLOOKUP(E37, $AD:$AG, 2, FALSE), V"&amp;"LOOKUP(E37, $AD:$AG, 4, FALSE), TRUE, FALSE), C37, VLOOKUP(E37, $AD:$AG, 2, FALSE)),
            IF(LABCOST_SINGLE_ADJUSTED(Lab_name, Level + 1) = 0, ""0 (Max)"",
            "" "" &amp; FORMAT_NUMBER(            
                    LABCOST_SINGLE_ADJUSTED(L"&amp;"ab_name, Level + 1) / 
                    (LABDURATION_SINGLE_ADJUSTED(Lab_name, Level + 1) /
                    (1 * REGEXEXTRACT(F$28, ""[\d.-]+"")))))),
        ""Gem Rush"", LET(
            Labspeed, IF(E37=""Labs Speed"", 1+'Master Sheet'!$BK$5, L"&amp;"AB_SPEED_TOTAL()),
            Start_Level, IF(C37 = """",
                VLOOKUP(E37, $AD:$AG, 2, false),
                IF(ISBETWEEN(C37, VALUE(VLOOKUP(E37, $AD:$AG, 2, false)), VALUE(VLOOKUP(E37, $AD:$AG, 4, false))), C37, """")),
            End_Lev"&amp;"el, IF(OR(D37 = """", NOT(ISBETWEEN(D37, VALUE(VLOOKUP(E37, $AD:$AG, 2, false)), VALUE(VLOOKUP(E37, $AD:$AG, 4, false)),0,1))),
                SWITCH($W$38,
                    ""Max"", VLOOKUP(E37, $AD:$AG, 4, false),
                    ""Target"", IF("&amp;"VLOOKUP(E37, $AD:$AG, 3, false) &lt;&gt; """", VLOOKUP(E37, $AD:$AG, 3, false), VLOOKUP(E37, $AD:$AG, 4, false))),
                    D37),
            SUM(ARRAYFORMULA(TIME_TO_RUSH_GEMS( OFFSET(DVT_Laboratory!$A$3, Start_Level , IF(ISNUMBER(SEARCH(""mastery"""&amp;", E37)), MATCH(""Card Mastery"", DVT_Laboratory!$A$1:$LO$1, 0), MATCH(E37, DVT_Laboratory!$A$1:$LO$1, 0)) - 1, End_Level - Start_Level, 1) / Labspeed, IDS_LAB_GODLBOXED_COUNT())))))))"),"")</f>
        <v/>
      </c>
      <c r="G37" s="856" t="str">
        <f t="shared" si="13"/>
        <v/>
      </c>
      <c r="H37" s="831" t="str">
        <f>IFERROR(__xludf.DUMMYFUNCTION("IFS(E37 = """", """", 
    VLOOKUP(E37, $AD:$AG, 2, false) = VLOOKUP(E37, $AD:$AG, 4, false), ""MAX Level"",
    AND(VLOOKUP(E37, $AD:$AG, 3, false) &lt;&gt; """", VLOOKUP(E37, $AD:$AG, 2, false) = VLOOKUP(E37, $AD:$AG, 3, false)), ""At Target"",
    TRUE,
    "&amp;"IFERROR(LET(Start_Level, IF(C37 = """",
            VLOOKUP(E37, $AD:$AG, 2, false),
            IF(ISBETWEEN(C37, VALUE(VLOOKUP(E37, $AD:$AG, 2, false)), VALUE(VLOOKUP(E37, $AD:$AG, 4, false))), C37, """")),
        End_Level, IF(OR(D37 = """", NOT(ISBET"&amp;"WEEN(D37, VALUE(VLOOKUP(E37, $AD:$AG, 2, false)), VALUE(VLOOKUP(E37, $AD:$AG, 4, false)),0,1))),
            SWITCH($W$38,
                ""Max"", VLOOKUP(E37, $AD:$AG, 4, false),
                ""Target"", IF(VLOOKUP(E37, $AD:$AG, 3, false) &lt;&gt; """", VL"&amp;"OOKUP(E37, $AD:$AG, 3, false), VLOOKUP(E37, $AD:$AG, 4, false))),
            D37),
        SUM(OFFSET(DVT_Laboratory!$A$3, Start_Level , IF(ISNUMBER(SEARCH(""mastery"", E37)), MATCH(""Card Mastery"", DVT_Laboratory!$A$1:$MY$1, 0), MATCH(E37, DVT_Laborato"&amp;"ry!$A$1:$MY$1, 0)), End_Level - Start_Level, 1)) * (1-LAB_COIN_DISCOUNT())), ""Levels Error!""))"),"")</f>
        <v/>
      </c>
      <c r="I37" s="832" t="str">
        <f>IFERROR(__xludf.DUMMYFUNCTION("IFS(E37 = """", """", 
    VLOOKUP(E37, $AD:$AG, 2, false) = VLOOKUP(E37, $AD:$AG, 4, false), ""MAX Level"",
    AND(VLOOKUP(E37, $AD:$AG, 3, false) &lt;&gt; """", VLOOKUP(E37, $AD:$AG, 2, false) = VLOOKUP(E37, $AD:$AG, 3, false)), ""At Target"",
    TRUE,
    "&amp;"IFERROR(LET(
        Labspeed, IF(E37=""Labs Speed"", 1+'Master Sheet'!$BK$5, LAB_SPEED_TOTAL()),
        Start_Level, IF(C37 = """",
            VLOOKUP(E37, $AD:$AG, 2, false),
            IF(ISBETWEEN(C37, VALUE(VLOOKUP(E37, $AD:$AG, 2, false)), VALUE("&amp;"VLOOKUP(E37, $AD:$AG, 4, false))), C37, """")),
        End_Level, IF(OR(D37 = """", NOT(ISBETWEEN(D37, VALUE(VLOOKUP(E37, $AD:$AG, 2, false)), VALUE(VLOOKUP(E37, $AD:$AG, 4, false)),0,1))),
            SWITCH($W$38,
                ""Max"", VLOOKUP(E37, "&amp;"$AD:$AG, 4, false),
                ""Target"", IF(VLOOKUP(E37, $AD:$AG, 3, false) &lt;&gt; """", VLOOKUP(E37, $AD:$AG, 3, false), VLOOKUP(E37, $AD:$AG, 4, false))),
            D37),
        SUM(OFFSET(DVT_Laboratory!$A$3, Start_Level , IF(ISNUMBER(SEARCH(""ma"&amp;"stery"", E37)), MATCH(""Card Mastery"", DVT_Laboratory!$A$1:$MY$1, 0), MATCH(E37, DVT_Laboratory!$A$1:$MY$1, 0)) - 1, End_Level - Start_Level, 1)) /
                (1 * REGEXEXTRACT(F$28, ""[\d.-]+"")) /
                Labspeed), ""Levels Error!""))"),"")</f>
        <v/>
      </c>
      <c r="J37" s="809" t="str">
        <f t="shared" si="14"/>
        <v/>
      </c>
      <c r="K37" s="861"/>
      <c r="L37" s="873"/>
      <c r="M37" s="835"/>
      <c r="N37" s="849" t="str">
        <f>IFERROR(__xludf.DUMMYFUNCTION("IFERROR(IF(P37 = """", """",
    SWITCH($W$37,
        ""Total"", "" "" &amp; FORMAT_NUMBER(P37),
        ""Daily"", LET(Lab_name, IF(REGEXMATCH(M37, ""Mastery""), ""Card Mastery"", M37),
            Level, IF(ISBETWEEN(K37, VLOOKUP(M37, $AD:$AG, 2, FALSE), V"&amp;"LOOKUP(M37, $AD:$AG, 4, FALSE), TRUE, FALSE), K37, VLOOKUP(M37, $AD:$AG, 2, FALSE)),
            IF(LABCOST_SINGLE_ADJUSTED(Lab_name, Level + 1) = 0, ""0 (Max)"",
            "" "" &amp; FORMAT_NUMBER(            
                    LABCOST_SINGLE_ADJUSTED(L"&amp;"ab_name, Level + 1) / 
                    (LABDURATION_SINGLE_ADJUSTED(Lab_name, Level + 1) /
                    (1 * REGEXEXTRACT(N$28, ""[\d.-]+"")))))),
        ""Gem Rush"", LET(
            Labspeed, IF(M37=""Labs Speed"", 1+'Master Sheet'!$BK$5, L"&amp;"AB_SPEED_TOTAL()),
            Start_Level, IF(K37 = """",
                VLOOKUP(M37, $AD:$AG, 2, false),
                IF(ISBETWEEN(K37, VALUE(VLOOKUP(M37, $AD:$AG, 2, false)), VALUE(VLOOKUP(M37, $AD:$AG, 4, false))), K37, """")),
            End_Lev"&amp;"el, IF(OR(L37 = """", NOT(ISBETWEEN(L37, VALUE(VLOOKUP(M37, $AD:$AG, 2, false)), VALUE(VLOOKUP(M37, $AD:$AG, 4, false)),0,1))),
                SWITCH($W$38,
                    ""Max"", VLOOKUP(M37, $AD:$AG, 4, false),
                    ""Target"", IF("&amp;"VLOOKUP(M37, $AD:$AG, 3, false) &lt;&gt; """", VLOOKUP(M37, $AD:$AG, 3, false), VLOOKUP(M37, $AD:$AG, 4, false))),
                    L37),
            SUM(ARRAYFORMULA(TIME_TO_RUSH_GEMS( OFFSET(DVT_Laboratory!$A$3, Start_Level , IF(ISNUMBER(SEARCH(""mastery"""&amp;", M37)), MATCH(""Card Mastery"", DVT_Laboratory!$A$1:$LO$1, 0), MATCH(M37, DVT_Laboratory!$A$1:$LO$1, 0)) - 1, End_Level - Start_Level, 1) / Labspeed, IDS_LAB_GODLBOXED_COUNT())))))))"),"")</f>
        <v/>
      </c>
      <c r="O37" s="850" t="str">
        <f t="shared" si="15"/>
        <v/>
      </c>
      <c r="P37" s="797" t="str">
        <f>IFERROR(__xludf.DUMMYFUNCTION("IFS(M37 = """", """", 
    VLOOKUP(M37, $AD:$AG, 2, false) = VLOOKUP(M37, $AD:$AG, 4, false), ""MAX Level"",
    AND(VLOOKUP(M37, $AD:$AG, 3, false) &lt;&gt; """", VLOOKUP(M37, $AD:$AG, 2, false) = VLOOKUP(M37, $AD:$AG, 3, false)), ""At Target"",
    TRUE,
    "&amp;"IFERROR(LET(Start_Level, IF(K37 = """",
            VLOOKUP(M37, $AD:$AG, 2, false),
            IF(ISBETWEEN(K37, VALUE(VLOOKUP(M37, $AD:$AG, 2, false)), VALUE(VLOOKUP(M37, $AD:$AG, 4, false))), K37, """")),
        End_Level, IF(OR(L37 = """", NOT(ISBET"&amp;"WEEN(L37, VALUE(VLOOKUP(M37, $AD:$AG, 2, false)), VALUE(VLOOKUP(M37, $AD:$AG, 4, false)),0,1))),
            SWITCH($W$38,
                ""Max"", VLOOKUP(M37, $AD:$AG, 4, false),
                ""Target"", IF(VLOOKUP(M37, $AD:$AG, 3, false) &lt;&gt; """", VL"&amp;"OOKUP(M37, $AD:$AG, 3, false), VLOOKUP(M37, $AD:$AG, 4, false))),
            L37),
        SUM(OFFSET(DVT_Laboratory!$A$3, Start_Level , IF(ISNUMBER(SEARCH(""mastery"", M37)), MATCH(""Card Mastery"", DVT_Laboratory!$A$1:$MY$1, 0), MATCH(M37, DVT_Laborato"&amp;"ry!$A$1:$MY$1, 0)), End_Level - Start_Level, 1)) * (1-LAB_COIN_DISCOUNT())), ""Levels Error!""))"),"")</f>
        <v/>
      </c>
      <c r="Q37" s="839" t="str">
        <f>IFERROR(__xludf.DUMMYFUNCTION("IFS(M37 = """", """", 
    VLOOKUP(M37, $AD:$AG, 2, false) = VLOOKUP(M37, $AD:$AG, 4, false), ""MAX Level"",
    AND(VLOOKUP(M37, $AD:$AG, 3, false) &lt;&gt; """", VLOOKUP(M37, $AD:$AG, 2, false) = VLOOKUP(M37, $AD:$AG, 3, false)), ""At Target"",
    TRUE,
    "&amp;"IFERROR(LET(
        Labspeed, IF(M37=""Labs Speed"", 1+'Master Sheet'!$BK$5, LAB_SPEED_TOTAL()),
        Start_Level, IF(K37 = """",
            VLOOKUP(M37, $AD:$AG, 2, false),
            IF(ISBETWEEN(K37, VALUE(VLOOKUP(M37, $AD:$AG, 2, false)), VALUE("&amp;"VLOOKUP(M37, $AD:$AG, 4, false))), K37, """")),
        End_Level, IF(OR(L37 = """", NOT(ISBETWEEN(L37, VALUE(VLOOKUP(M37, $AD:$AG, 2, false)), VALUE(VLOOKUP(M37, $AD:$AG, 4, false)),0,1))),
            SWITCH($W$38,
                ""Max"", VLOOKUP(M37, "&amp;"$AD:$AG, 4, false),
                ""Target"", IF(VLOOKUP(M37, $AD:$AG, 3, false) &lt;&gt; """", VLOOKUP(M37, $AD:$AG, 3, false), VLOOKUP(M37, $AD:$AG, 4, false))),
            L37),
        SUM(OFFSET(DVT_Laboratory!$A$3, Start_Level , IF(ISNUMBER(SEARCH(""ma"&amp;"stery"", M37)), MATCH(""Card Mastery"", DVT_Laboratory!$A$1:$MY$1, 0), MATCH(M37, DVT_Laboratory!$A$1:$MY$1, 0)) - 1, End_Level - Start_Level, 1)) /
                (1 * REGEXEXTRACT(N$28, ""[\d.-]+"")) /
                Labspeed), ""Levels Error!""))"),"")</f>
        <v/>
      </c>
      <c r="R37" s="598"/>
      <c r="S37" s="594"/>
      <c r="T37" s="876" t="s">
        <v>465</v>
      </c>
      <c r="U37" s="877" t="str">
        <f>SWITCH(W37,
    "Total", "Showing Total Lab Coin Costs. →",
    "Daily", "Showing Est. Daily Coin Costs. →",
    "Gem Rush", "Showing Gem Rush Costs. →")</f>
        <v>Showing Total Lab Coin Costs. →</v>
      </c>
      <c r="V37" s="878"/>
      <c r="W37" s="879" t="s">
        <v>466</v>
      </c>
      <c r="X37" s="785"/>
      <c r="Y37" s="786"/>
      <c r="Z37" s="598"/>
      <c r="AA37" s="781"/>
      <c r="AB37" s="880" t="s">
        <v>467</v>
      </c>
      <c r="AC37" s="713" t="str">
        <f>IFERROR(__xludf.DUMMYFUNCTION("""COMPUTED_VALUE"""),"Chrono Field Damage Reduction")</f>
        <v>Chrono Field Damage Reduction</v>
      </c>
      <c r="AD37" s="816" t="s">
        <v>219</v>
      </c>
      <c r="AE37" s="713">
        <v>1.0</v>
      </c>
      <c r="AF37" s="713"/>
      <c r="AG37" s="713">
        <v>1.0</v>
      </c>
      <c r="AH37" s="737" t="str">
        <f>IFERROR(__xludf.DUMMYFUNCTION("IFERROR(IF(C20 = """", SEQUENCE(1, VALUE(VLOOKUP(E20, AD:AG, 4, false)) - VALUE(VLOOKUP(E20, AD:AG, 2, false)), VALUE(VLOOKUP(E20, AD:AG, 2, false)) + 1),
    IF(ISBETWEEN(C20, VALUE(VLOOKUP(E20, AD:AG, 2, false)), VALUE(VLOOKUP(E20, AD:AG, 4, false))),
 "&amp;"       SEQUENCE(1, VALUE(VLOOKUP(E20, AD:AG, 4, false)) - C20, C20 + 1),
        """")))"),"")</f>
        <v/>
      </c>
      <c r="AI37" s="713"/>
      <c r="AJ37" s="713"/>
      <c r="AK37" s="713"/>
      <c r="AL37" s="713"/>
      <c r="AM37" s="713"/>
      <c r="AN37" s="713"/>
      <c r="AO37" s="713"/>
      <c r="AP37" s="713"/>
      <c r="AQ37" s="713"/>
      <c r="AR37" s="713"/>
      <c r="AS37" s="713"/>
      <c r="AT37" s="713"/>
      <c r="AU37" s="713"/>
      <c r="AV37" s="713"/>
      <c r="AW37" s="713"/>
      <c r="AX37" s="713"/>
      <c r="AY37" s="713"/>
      <c r="AZ37" s="713"/>
      <c r="BA37" s="713"/>
      <c r="BB37" s="713"/>
      <c r="BC37" s="713"/>
      <c r="BD37" s="713"/>
      <c r="BE37" s="713"/>
      <c r="BF37" s="713"/>
      <c r="BG37" s="713"/>
      <c r="BH37" s="713"/>
      <c r="BI37" s="713"/>
      <c r="BJ37" s="713"/>
      <c r="BK37" s="713"/>
      <c r="BL37" s="713"/>
      <c r="BM37" s="713"/>
      <c r="BN37" s="713"/>
      <c r="BO37" s="713"/>
      <c r="BP37" s="713"/>
      <c r="BQ37" s="713"/>
      <c r="BR37" s="713"/>
      <c r="BS37" s="713"/>
      <c r="BT37" s="713"/>
      <c r="BU37" s="713"/>
      <c r="BV37" s="713"/>
      <c r="BW37" s="713"/>
      <c r="BX37" s="713"/>
      <c r="BY37" s="713"/>
      <c r="BZ37" s="713"/>
      <c r="CA37" s="713"/>
      <c r="CB37" s="713"/>
      <c r="CC37" s="713"/>
      <c r="CD37" s="713"/>
      <c r="CE37" s="713"/>
      <c r="CF37" s="713"/>
      <c r="CG37" s="713"/>
      <c r="CH37" s="713"/>
      <c r="CI37" s="713"/>
      <c r="CJ37" s="713"/>
      <c r="CK37" s="713"/>
      <c r="CL37" s="713"/>
      <c r="CM37" s="713"/>
      <c r="CN37" s="713"/>
      <c r="CO37" s="713"/>
      <c r="CP37" s="713"/>
      <c r="CQ37" s="713"/>
      <c r="CR37" s="713"/>
      <c r="CS37" s="713"/>
      <c r="CT37" s="713"/>
      <c r="CU37" s="713"/>
      <c r="CV37" s="713"/>
      <c r="CW37" s="713"/>
      <c r="CX37" s="713"/>
      <c r="CY37" s="713"/>
      <c r="CZ37" s="713"/>
      <c r="DA37" s="713"/>
      <c r="DB37" s="713"/>
      <c r="DC37" s="713"/>
      <c r="DD37" s="713"/>
      <c r="DE37" s="713"/>
      <c r="DF37" s="713"/>
      <c r="DG37" s="713"/>
      <c r="DH37" s="713"/>
      <c r="DI37" s="713"/>
      <c r="DJ37" s="713"/>
      <c r="DK37" s="713"/>
      <c r="DL37" s="713"/>
      <c r="DM37" s="713"/>
      <c r="DN37" s="713"/>
      <c r="DO37" s="713"/>
      <c r="DP37" s="713"/>
      <c r="DQ37" s="713"/>
      <c r="DR37" s="713"/>
      <c r="DS37" s="713"/>
      <c r="DT37" s="713"/>
      <c r="DU37" s="713"/>
      <c r="DV37" s="713"/>
      <c r="DW37" s="713"/>
      <c r="DX37" s="713"/>
      <c r="DY37" s="713"/>
      <c r="DZ37" s="713"/>
      <c r="EA37" s="713"/>
      <c r="EB37" s="713"/>
      <c r="EC37" s="713"/>
      <c r="ED37" s="713"/>
      <c r="EE37" s="713"/>
      <c r="EF37" s="713"/>
      <c r="EG37" s="713"/>
      <c r="EH37" s="713"/>
      <c r="EI37" s="713"/>
      <c r="EJ37" s="713"/>
      <c r="EK37" s="713"/>
      <c r="EL37" s="713"/>
      <c r="EM37" s="713"/>
      <c r="EN37" s="713"/>
      <c r="EO37" s="713"/>
      <c r="EP37" s="713"/>
      <c r="EQ37" s="713"/>
      <c r="ER37" s="713"/>
      <c r="ES37" s="713"/>
      <c r="ET37" s="713"/>
      <c r="EU37" s="713"/>
      <c r="EV37" s="713"/>
      <c r="EW37" s="713"/>
      <c r="EX37" s="713"/>
      <c r="EY37" s="713"/>
      <c r="EZ37" s="713"/>
      <c r="FA37" s="713"/>
      <c r="FB37" s="713"/>
      <c r="FC37" s="713"/>
      <c r="FD37" s="713"/>
      <c r="FE37" s="713"/>
      <c r="FF37" s="713"/>
      <c r="FG37" s="713"/>
      <c r="FH37" s="713"/>
      <c r="FI37" s="713"/>
      <c r="FJ37" s="713"/>
      <c r="FK37" s="713"/>
      <c r="FL37" s="713"/>
      <c r="FM37" s="713"/>
      <c r="FN37" s="713"/>
      <c r="FO37" s="713"/>
      <c r="FP37" s="713"/>
      <c r="FQ37" s="713"/>
      <c r="FR37" s="713"/>
      <c r="FS37" s="713"/>
      <c r="FT37" s="713"/>
      <c r="FU37" s="713"/>
      <c r="FV37" s="713"/>
      <c r="FW37" s="713"/>
      <c r="FX37" s="713"/>
      <c r="FY37" s="713"/>
      <c r="FZ37" s="713"/>
      <c r="GA37" s="713"/>
      <c r="GB37" s="713"/>
      <c r="GC37" s="713"/>
      <c r="GD37" s="713"/>
      <c r="GE37" s="713"/>
      <c r="GF37" s="713"/>
      <c r="GG37" s="713"/>
      <c r="GH37" s="713"/>
      <c r="GI37" s="713"/>
      <c r="GJ37" s="713"/>
      <c r="GK37" s="713"/>
      <c r="GL37" s="713"/>
      <c r="GM37" s="713"/>
      <c r="GN37" s="713"/>
      <c r="GO37" s="713"/>
      <c r="GP37" s="713"/>
      <c r="GQ37" s="713"/>
      <c r="GR37" s="713"/>
      <c r="GS37" s="713"/>
      <c r="GT37" s="713"/>
      <c r="GU37" s="713"/>
      <c r="GV37" s="713"/>
      <c r="GW37" s="713"/>
      <c r="GX37" s="713"/>
      <c r="GY37" s="713"/>
      <c r="GZ37" s="713"/>
      <c r="HA37" s="713"/>
      <c r="HB37" s="713"/>
      <c r="HC37" s="713"/>
      <c r="HD37" s="713"/>
      <c r="HE37" s="713"/>
      <c r="HF37" s="713"/>
      <c r="HG37" s="713"/>
      <c r="HH37" s="713"/>
      <c r="HI37" s="713"/>
      <c r="HJ37" s="713"/>
      <c r="HK37" s="713"/>
      <c r="HL37" s="713"/>
      <c r="HM37" s="713"/>
      <c r="HN37" s="713"/>
      <c r="HO37" s="713"/>
      <c r="HP37" s="713"/>
      <c r="HQ37" s="713"/>
      <c r="HR37" s="713"/>
      <c r="HS37" s="713"/>
      <c r="HT37" s="713"/>
      <c r="HU37" s="713"/>
      <c r="HV37" s="713"/>
      <c r="HW37" s="713"/>
      <c r="HX37" s="713"/>
      <c r="HY37" s="713"/>
      <c r="HZ37" s="713"/>
      <c r="IA37" s="713"/>
      <c r="IB37" s="713"/>
      <c r="IC37" s="713"/>
      <c r="ID37" s="713"/>
      <c r="IE37" s="713"/>
      <c r="IF37" s="713"/>
      <c r="IG37" s="713"/>
      <c r="IH37" s="713"/>
    </row>
    <row r="38">
      <c r="A38" s="598"/>
      <c r="B38" s="807" t="str">
        <f t="shared" si="12"/>
        <v/>
      </c>
      <c r="C38" s="855"/>
      <c r="D38" s="881"/>
      <c r="E38" s="828"/>
      <c r="F38" s="845" t="str">
        <f>IFERROR(__xludf.DUMMYFUNCTION("IFERROR(IF(H38 = """", """",
    SWITCH($W$37,
        ""Total"", "" "" &amp; FORMAT_NUMBER(H38),
        ""Daily"", LET(Lab_name, IF(REGEXMATCH(E38, ""Mastery""), ""Card Mastery"", E38),
            Level, IF(ISBETWEEN(C38, VLOOKUP(E38, $AD:$AG, 2, FALSE), V"&amp;"LOOKUP(E38, $AD:$AG, 4, FALSE), TRUE, FALSE), C38, VLOOKUP(E38, $AD:$AG, 2, FALSE)),
            IF(LABCOST_SINGLE_ADJUSTED(Lab_name, Level + 1) = 0, ""0 (Max)"",
            "" "" &amp; FORMAT_NUMBER(            
                    LABCOST_SINGLE_ADJUSTED(L"&amp;"ab_name, Level + 1) / 
                    (LABDURATION_SINGLE_ADJUSTED(Lab_name, Level + 1) /
                    (1 * REGEXEXTRACT(F$28, ""[\d.-]+"")))))),
        ""Gem Rush"", LET(
            Labspeed, IF(E38=""Labs Speed"", 1+'Master Sheet'!$BK$5, L"&amp;"AB_SPEED_TOTAL()),
            Start_Level, IF(C38 = """",
                VLOOKUP(E38, $AD:$AG, 2, false),
                IF(ISBETWEEN(C38, VALUE(VLOOKUP(E38, $AD:$AG, 2, false)), VALUE(VLOOKUP(E38, $AD:$AG, 4, false))), C38, """")),
            End_Lev"&amp;"el, IF(OR(D38 = """", NOT(ISBETWEEN(D38, VALUE(VLOOKUP(E38, $AD:$AG, 2, false)), VALUE(VLOOKUP(E38, $AD:$AG, 4, false)),0,1))),
                SWITCH($W$38,
                    ""Max"", VLOOKUP(E38, $AD:$AG, 4, false),
                    ""Target"", IF("&amp;"VLOOKUP(E38, $AD:$AG, 3, false) &lt;&gt; """", VLOOKUP(E38, $AD:$AG, 3, false), VLOOKUP(E38, $AD:$AG, 4, false))),
                    D38),
            SUM(ARRAYFORMULA(TIME_TO_RUSH_GEMS( OFFSET(DVT_Laboratory!$A$3, Start_Level , IF(ISNUMBER(SEARCH(""mastery"""&amp;", E38)), MATCH(""Card Mastery"", DVT_Laboratory!$A$1:$LO$1, 0), MATCH(E38, DVT_Laboratory!$A$1:$LO$1, 0)) - 1, End_Level - Start_Level, 1) / Labspeed, IDS_LAB_GODLBOXED_COUNT())))))))"),"")</f>
        <v/>
      </c>
      <c r="G38" s="856" t="str">
        <f t="shared" si="13"/>
        <v/>
      </c>
      <c r="H38" s="792" t="str">
        <f>IFERROR(__xludf.DUMMYFUNCTION("IFS(E38 = """", """", 
    VLOOKUP(E38, $AD:$AG, 2, false) = VLOOKUP(E38, $AD:$AG, 4, false), ""MAX Level"",
    AND(VLOOKUP(E38, $AD:$AG, 3, false) &lt;&gt; """", VLOOKUP(E38, $AD:$AG, 2, false) = VLOOKUP(E38, $AD:$AG, 3, false)), ""At Target"",
    TRUE,
    "&amp;"IFERROR(LET(Start_Level, IF(C38 = """",
            VLOOKUP(E38, $AD:$AG, 2, false),
            IF(ISBETWEEN(C38, VALUE(VLOOKUP(E38, $AD:$AG, 2, false)), VALUE(VLOOKUP(E38, $AD:$AG, 4, false))), C38, """")),
        End_Level, IF(OR(D38 = """", NOT(ISBET"&amp;"WEEN(D38, VALUE(VLOOKUP(E38, $AD:$AG, 2, false)), VALUE(VLOOKUP(E38, $AD:$AG, 4, false)),0,1))),
            SWITCH($W$38,
                ""Max"", VLOOKUP(E38, $AD:$AG, 4, false),
                ""Target"", IF(VLOOKUP(E38, $AD:$AG, 3, false) &lt;&gt; """", VL"&amp;"OOKUP(E38, $AD:$AG, 3, false), VLOOKUP(E38, $AD:$AG, 4, false))),
            D38),
        SUM(OFFSET(DVT_Laboratory!$A$3, Start_Level , IF(ISNUMBER(SEARCH(""mastery"", E38)), MATCH(""Card Mastery"", DVT_Laboratory!$A$1:$MY$1, 0), MATCH(E38, DVT_Laborato"&amp;"ry!$A$1:$MY$1, 0)), End_Level - Start_Level, 1)) * (1-LAB_COIN_DISCOUNT())), ""Levels Error!""))"),"")</f>
        <v/>
      </c>
      <c r="I38" s="832" t="str">
        <f>IFERROR(__xludf.DUMMYFUNCTION("IFS(E38 = """", """", 
    VLOOKUP(E38, $AD:$AG, 2, false) = VLOOKUP(E38, $AD:$AG, 4, false), ""MAX Level"",
    AND(VLOOKUP(E38, $AD:$AG, 3, false) &lt;&gt; """", VLOOKUP(E38, $AD:$AG, 2, false) = VLOOKUP(E38, $AD:$AG, 3, false)), ""At Target"",
    TRUE,
    "&amp;"IFERROR(LET(
        Labspeed, IF(E38=""Labs Speed"", 1+'Master Sheet'!$BK$5, LAB_SPEED_TOTAL()),
        Start_Level, IF(C38 = """",
            VLOOKUP(E38, $AD:$AG, 2, false),
            IF(ISBETWEEN(C38, VALUE(VLOOKUP(E38, $AD:$AG, 2, false)), VALUE("&amp;"VLOOKUP(E38, $AD:$AG, 4, false))), C38, """")),
        End_Level, IF(OR(D38 = """", NOT(ISBETWEEN(D38, VALUE(VLOOKUP(E38, $AD:$AG, 2, false)), VALUE(VLOOKUP(E38, $AD:$AG, 4, false)),0,1))),
            SWITCH($W$38,
                ""Max"", VLOOKUP(E38, "&amp;"$AD:$AG, 4, false),
                ""Target"", IF(VLOOKUP(E38, $AD:$AG, 3, false) &lt;&gt; """", VLOOKUP(E38, $AD:$AG, 3, false), VLOOKUP(E38, $AD:$AG, 4, false))),
            D38),
        SUM(OFFSET(DVT_Laboratory!$A$3, Start_Level , IF(ISNUMBER(SEARCH(""ma"&amp;"stery"", E38)), MATCH(""Card Mastery"", DVT_Laboratory!$A$1:$MY$1, 0), MATCH(E38, DVT_Laboratory!$A$1:$MY$1, 0)) - 1, End_Level - Start_Level, 1)) /
                (1 * REGEXEXTRACT(F$28, ""[\d.-]+"")) /
                Labspeed), ""Levels Error!""))"),"")</f>
        <v/>
      </c>
      <c r="J38" s="809" t="str">
        <f t="shared" si="14"/>
        <v/>
      </c>
      <c r="K38" s="861"/>
      <c r="L38" s="873"/>
      <c r="M38" s="835"/>
      <c r="N38" s="849" t="str">
        <f>IFERROR(__xludf.DUMMYFUNCTION("IFERROR(IF(P38 = """", """",
    SWITCH($W$37,
        ""Total"", "" "" &amp; FORMAT_NUMBER(P38),
        ""Daily"", LET(Lab_name, IF(REGEXMATCH(M38, ""Mastery""), ""Card Mastery"", M38),
            Level, IF(ISBETWEEN(K38, VLOOKUP(M38, $AD:$AG, 2, FALSE), V"&amp;"LOOKUP(M38, $AD:$AG, 4, FALSE), TRUE, FALSE), K38, VLOOKUP(M38, $AD:$AG, 2, FALSE)),
            IF(LABCOST_SINGLE_ADJUSTED(Lab_name, Level + 1) = 0, ""0 (Max)"",
            "" "" &amp; FORMAT_NUMBER(            
                    LABCOST_SINGLE_ADJUSTED(L"&amp;"ab_name, Level + 1) / 
                    (LABDURATION_SINGLE_ADJUSTED(Lab_name, Level + 1) /
                    (1 * REGEXEXTRACT(N$28, ""[\d.-]+"")))))),
        ""Gem Rush"", LET(
            Labspeed, IF(M38=""Labs Speed"", 1+'Master Sheet'!$BK$5, L"&amp;"AB_SPEED_TOTAL()),
            Start_Level, IF(K38 = """",
                VLOOKUP(M38, $AD:$AG, 2, false),
                IF(ISBETWEEN(K38, VALUE(VLOOKUP(M38, $AD:$AG, 2, false)), VALUE(VLOOKUP(M38, $AD:$AG, 4, false))), K38, """")),
            End_Lev"&amp;"el, IF(OR(L38 = """", NOT(ISBETWEEN(L38, VALUE(VLOOKUP(M38, $AD:$AG, 2, false)), VALUE(VLOOKUP(M38, $AD:$AG, 4, false)),0,1))),
                SWITCH($W$38,
                    ""Max"", VLOOKUP(M38, $AD:$AG, 4, false),
                    ""Target"", IF("&amp;"VLOOKUP(M38, $AD:$AG, 3, false) &lt;&gt; """", VLOOKUP(M38, $AD:$AG, 3, false), VLOOKUP(M38, $AD:$AG, 4, false))),
                    L38),
            SUM(ARRAYFORMULA(TIME_TO_RUSH_GEMS( OFFSET(DVT_Laboratory!$A$3, Start_Level , IF(ISNUMBER(SEARCH(""mastery"""&amp;", M38)), MATCH(""Card Mastery"", DVT_Laboratory!$A$1:$LO$1, 0), MATCH(M38, DVT_Laboratory!$A$1:$LO$1, 0)) - 1, End_Level - Start_Level, 1) / Labspeed, IDS_LAB_GODLBOXED_COUNT())))))))"),"")</f>
        <v/>
      </c>
      <c r="O38" s="850" t="str">
        <f t="shared" si="15"/>
        <v/>
      </c>
      <c r="P38" s="797" t="str">
        <f>IFERROR(__xludf.DUMMYFUNCTION("IFS(M38 = """", """", 
    VLOOKUP(M38, $AD:$AG, 2, false) = VLOOKUP(M38, $AD:$AG, 4, false), ""MAX Level"",
    AND(VLOOKUP(M38, $AD:$AG, 3, false) &lt;&gt; """", VLOOKUP(M38, $AD:$AG, 2, false) = VLOOKUP(M38, $AD:$AG, 3, false)), ""At Target"",
    TRUE,
    "&amp;"IFERROR(LET(Start_Level, IF(K38 = """",
            VLOOKUP(M38, $AD:$AG, 2, false),
            IF(ISBETWEEN(K38, VALUE(VLOOKUP(M38, $AD:$AG, 2, false)), VALUE(VLOOKUP(M38, $AD:$AG, 4, false))), K38, """")),
        End_Level, IF(OR(L38 = """", NOT(ISBET"&amp;"WEEN(L38, VALUE(VLOOKUP(M38, $AD:$AG, 2, false)), VALUE(VLOOKUP(M38, $AD:$AG, 4, false)),0,1))),
            SWITCH($W$38,
                ""Max"", VLOOKUP(M38, $AD:$AG, 4, false),
                ""Target"", IF(VLOOKUP(M38, $AD:$AG, 3, false) &lt;&gt; """", VL"&amp;"OOKUP(M38, $AD:$AG, 3, false), VLOOKUP(M38, $AD:$AG, 4, false))),
            L38),
        SUM(OFFSET(DVT_Laboratory!$A$3, Start_Level , IF(ISNUMBER(SEARCH(""mastery"", M38)), MATCH(""Card Mastery"", DVT_Laboratory!$A$1:$MY$1, 0), MATCH(M38, DVT_Laborato"&amp;"ry!$A$1:$MY$1, 0)), End_Level - Start_Level, 1)) * (1-LAB_COIN_DISCOUNT())), ""Levels Error!""))"),"")</f>
        <v/>
      </c>
      <c r="Q38" s="839" t="str">
        <f>IFERROR(__xludf.DUMMYFUNCTION("IFS(M38 = """", """", 
    VLOOKUP(M38, $AD:$AG, 2, false) = VLOOKUP(M38, $AD:$AG, 4, false), ""MAX Level"",
    AND(VLOOKUP(M38, $AD:$AG, 3, false) &lt;&gt; """", VLOOKUP(M38, $AD:$AG, 2, false) = VLOOKUP(M38, $AD:$AG, 3, false)), ""At Target"",
    TRUE,
    "&amp;"IFERROR(LET(
        Labspeed, IF(M38=""Labs Speed"", 1+'Master Sheet'!$BK$5, LAB_SPEED_TOTAL()),
        Start_Level, IF(K38 = """",
            VLOOKUP(M38, $AD:$AG, 2, false),
            IF(ISBETWEEN(K38, VALUE(VLOOKUP(M38, $AD:$AG, 2, false)), VALUE("&amp;"VLOOKUP(M38, $AD:$AG, 4, false))), K38, """")),
        End_Level, IF(OR(L38 = """", NOT(ISBETWEEN(L38, VALUE(VLOOKUP(M38, $AD:$AG, 2, false)), VALUE(VLOOKUP(M38, $AD:$AG, 4, false)),0,1))),
            SWITCH($W$38,
                ""Max"", VLOOKUP(M38, "&amp;"$AD:$AG, 4, false),
                ""Target"", IF(VLOOKUP(M38, $AD:$AG, 3, false) &lt;&gt; """", VLOOKUP(M38, $AD:$AG, 3, false), VLOOKUP(M38, $AD:$AG, 4, false))),
            L38),
        SUM(OFFSET(DVT_Laboratory!$A$3, Start_Level , IF(ISNUMBER(SEARCH(""ma"&amp;"stery"", M38)), MATCH(""Card Mastery"", DVT_Laboratory!$A$1:$MY$1, 0), MATCH(M38, DVT_Laboratory!$A$1:$MY$1, 0)) - 1, End_Level - Start_Level, 1)) /
                (1 * REGEXEXTRACT(N$28, ""[\d.-]+"")) /
                Labspeed), ""Levels Error!""))"),"")</f>
        <v/>
      </c>
      <c r="R38" s="598"/>
      <c r="S38" s="594"/>
      <c r="T38" s="882"/>
      <c r="U38" s="883" t="s">
        <v>468</v>
      </c>
      <c r="V38" s="884"/>
      <c r="W38" s="885" t="s">
        <v>147</v>
      </c>
      <c r="X38" s="785"/>
      <c r="Y38" s="786"/>
      <c r="Z38" s="598"/>
      <c r="AA38" s="781"/>
      <c r="AB38" s="886" t="s">
        <v>469</v>
      </c>
      <c r="AC38" s="713" t="str">
        <f>IFERROR(__xludf.DUMMYFUNCTION("""COMPUTED_VALUE"""),"Chrono Field Duration")</f>
        <v>Chrono Field Duration</v>
      </c>
      <c r="AD38" s="816" t="s">
        <v>201</v>
      </c>
      <c r="AE38" s="713">
        <v>30.0</v>
      </c>
      <c r="AF38" s="713"/>
      <c r="AG38" s="713">
        <v>30.0</v>
      </c>
      <c r="AH38" s="737" t="str">
        <f>IFERROR(__xludf.DUMMYFUNCTION("IFERROR(IF(C21 = """", SEQUENCE(1, VALUE(VLOOKUP(E21, AD:AG, 4, false)) - VALUE(VLOOKUP(E21, AD:AG, 2, false)), VALUE(VLOOKUP(E21, AD:AG, 2, false)) + 1),
    IF(ISBETWEEN(C21, VALUE(VLOOKUP(E21, AD:AG, 2, false)), VALUE(VLOOKUP(E21, AD:AG, 4, false))),
 "&amp;"       SEQUENCE(1, VALUE(VLOOKUP(E21, AD:AG, 4, false)) - C21, C21 + 1),
        """")))"),"")</f>
        <v/>
      </c>
      <c r="AI38" s="713"/>
      <c r="AJ38" s="713"/>
      <c r="AK38" s="713"/>
      <c r="AL38" s="713"/>
      <c r="AM38" s="713"/>
      <c r="AN38" s="713"/>
      <c r="AO38" s="713"/>
      <c r="AP38" s="713"/>
      <c r="AQ38" s="713"/>
      <c r="AR38" s="713"/>
      <c r="AS38" s="713"/>
      <c r="AT38" s="713"/>
      <c r="AU38" s="713"/>
      <c r="AV38" s="713"/>
      <c r="AW38" s="713"/>
      <c r="AX38" s="713"/>
      <c r="AY38" s="713"/>
      <c r="AZ38" s="713"/>
      <c r="BA38" s="713"/>
      <c r="BB38" s="713"/>
      <c r="BC38" s="713"/>
      <c r="BD38" s="713"/>
      <c r="BE38" s="713"/>
      <c r="BF38" s="713"/>
      <c r="BG38" s="713"/>
      <c r="BH38" s="713"/>
      <c r="BI38" s="713"/>
      <c r="BJ38" s="713"/>
      <c r="BK38" s="713"/>
      <c r="BL38" s="713"/>
      <c r="BM38" s="713"/>
      <c r="BN38" s="713"/>
      <c r="BO38" s="713"/>
      <c r="BP38" s="713"/>
      <c r="BQ38" s="713"/>
      <c r="BR38" s="713"/>
      <c r="BS38" s="713"/>
      <c r="BT38" s="713"/>
      <c r="BU38" s="713"/>
      <c r="BV38" s="713"/>
      <c r="BW38" s="713"/>
      <c r="BX38" s="713"/>
      <c r="BY38" s="713"/>
      <c r="BZ38" s="713"/>
      <c r="CA38" s="713"/>
      <c r="CB38" s="713"/>
      <c r="CC38" s="713"/>
      <c r="CD38" s="713"/>
      <c r="CE38" s="713"/>
      <c r="CF38" s="713"/>
      <c r="CG38" s="713"/>
      <c r="CH38" s="713"/>
      <c r="CI38" s="713"/>
      <c r="CJ38" s="713"/>
      <c r="CK38" s="713"/>
      <c r="CL38" s="713"/>
      <c r="CM38" s="713"/>
      <c r="CN38" s="713"/>
      <c r="CO38" s="713"/>
      <c r="CP38" s="713"/>
      <c r="CQ38" s="713"/>
      <c r="CR38" s="713"/>
      <c r="CS38" s="713"/>
      <c r="CT38" s="713"/>
      <c r="CU38" s="713"/>
      <c r="CV38" s="713"/>
      <c r="CW38" s="713"/>
      <c r="CX38" s="713"/>
      <c r="CY38" s="713"/>
      <c r="CZ38" s="713"/>
      <c r="DA38" s="713"/>
      <c r="DB38" s="713"/>
      <c r="DC38" s="713"/>
      <c r="DD38" s="713"/>
      <c r="DE38" s="713"/>
      <c r="DF38" s="713"/>
      <c r="DG38" s="713"/>
      <c r="DH38" s="713"/>
      <c r="DI38" s="713"/>
      <c r="DJ38" s="713"/>
      <c r="DK38" s="713"/>
      <c r="DL38" s="713"/>
      <c r="DM38" s="713"/>
      <c r="DN38" s="713"/>
      <c r="DO38" s="713"/>
      <c r="DP38" s="713"/>
      <c r="DQ38" s="713"/>
      <c r="DR38" s="713"/>
      <c r="DS38" s="713"/>
      <c r="DT38" s="713"/>
      <c r="DU38" s="713"/>
      <c r="DV38" s="713"/>
      <c r="DW38" s="713"/>
      <c r="DX38" s="713"/>
      <c r="DY38" s="713"/>
      <c r="DZ38" s="713"/>
      <c r="EA38" s="713"/>
      <c r="EB38" s="713"/>
      <c r="EC38" s="713"/>
      <c r="ED38" s="713"/>
      <c r="EE38" s="713"/>
      <c r="EF38" s="713"/>
      <c r="EG38" s="713"/>
      <c r="EH38" s="713"/>
      <c r="EI38" s="713"/>
      <c r="EJ38" s="713"/>
      <c r="EK38" s="713"/>
      <c r="EL38" s="713"/>
      <c r="EM38" s="713"/>
      <c r="EN38" s="713"/>
      <c r="EO38" s="713"/>
      <c r="EP38" s="713"/>
      <c r="EQ38" s="713"/>
      <c r="ER38" s="713"/>
      <c r="ES38" s="713"/>
      <c r="ET38" s="713"/>
      <c r="EU38" s="713"/>
      <c r="EV38" s="713"/>
      <c r="EW38" s="713"/>
      <c r="EX38" s="713"/>
      <c r="EY38" s="713"/>
      <c r="EZ38" s="713"/>
      <c r="FA38" s="713"/>
      <c r="FB38" s="713"/>
      <c r="FC38" s="713"/>
      <c r="FD38" s="713"/>
      <c r="FE38" s="713"/>
      <c r="FF38" s="713"/>
      <c r="FG38" s="713"/>
      <c r="FH38" s="713"/>
      <c r="FI38" s="713"/>
      <c r="FJ38" s="713"/>
      <c r="FK38" s="713"/>
      <c r="FL38" s="713"/>
      <c r="FM38" s="713"/>
      <c r="FN38" s="713"/>
      <c r="FO38" s="713"/>
      <c r="FP38" s="713"/>
      <c r="FQ38" s="713"/>
      <c r="FR38" s="713"/>
      <c r="FS38" s="713"/>
      <c r="FT38" s="713"/>
      <c r="FU38" s="713"/>
      <c r="FV38" s="713"/>
      <c r="FW38" s="713"/>
      <c r="FX38" s="713"/>
      <c r="FY38" s="713"/>
      <c r="FZ38" s="713"/>
      <c r="GA38" s="713"/>
      <c r="GB38" s="713"/>
      <c r="GC38" s="713"/>
      <c r="GD38" s="713"/>
      <c r="GE38" s="713"/>
      <c r="GF38" s="713"/>
      <c r="GG38" s="713"/>
      <c r="GH38" s="713"/>
      <c r="GI38" s="713"/>
      <c r="GJ38" s="713"/>
      <c r="GK38" s="713"/>
      <c r="GL38" s="713"/>
      <c r="GM38" s="713"/>
      <c r="GN38" s="713"/>
      <c r="GO38" s="713"/>
      <c r="GP38" s="713"/>
      <c r="GQ38" s="713"/>
      <c r="GR38" s="713"/>
      <c r="GS38" s="713"/>
      <c r="GT38" s="713"/>
      <c r="GU38" s="713"/>
      <c r="GV38" s="713"/>
      <c r="GW38" s="713"/>
      <c r="GX38" s="713"/>
      <c r="GY38" s="713"/>
      <c r="GZ38" s="713"/>
      <c r="HA38" s="713"/>
      <c r="HB38" s="713"/>
      <c r="HC38" s="713"/>
      <c r="HD38" s="713"/>
      <c r="HE38" s="713"/>
      <c r="HF38" s="713"/>
      <c r="HG38" s="713"/>
      <c r="HH38" s="713"/>
      <c r="HI38" s="713"/>
      <c r="HJ38" s="713"/>
      <c r="HK38" s="713"/>
      <c r="HL38" s="713"/>
      <c r="HM38" s="713"/>
      <c r="HN38" s="713"/>
      <c r="HO38" s="713"/>
      <c r="HP38" s="713"/>
      <c r="HQ38" s="713"/>
      <c r="HR38" s="713"/>
      <c r="HS38" s="713"/>
      <c r="HT38" s="713"/>
      <c r="HU38" s="713"/>
      <c r="HV38" s="713"/>
      <c r="HW38" s="713"/>
      <c r="HX38" s="713"/>
      <c r="HY38" s="713"/>
      <c r="HZ38" s="713"/>
      <c r="IA38" s="713"/>
      <c r="IB38" s="713"/>
      <c r="IC38" s="713"/>
      <c r="ID38" s="713"/>
      <c r="IE38" s="713"/>
      <c r="IF38" s="713"/>
      <c r="IG38" s="713"/>
      <c r="IH38" s="713"/>
    </row>
    <row r="39">
      <c r="A39" s="598"/>
      <c r="B39" s="807" t="str">
        <f t="shared" si="12"/>
        <v/>
      </c>
      <c r="C39" s="855"/>
      <c r="D39" s="881"/>
      <c r="E39" s="828"/>
      <c r="F39" s="845" t="str">
        <f>IFERROR(__xludf.DUMMYFUNCTION("IFERROR(IF(H39 = """", """",
    SWITCH($W$37,
        ""Total"", "" "" &amp; FORMAT_NUMBER(H39),
        ""Daily"", LET(Lab_name, IF(REGEXMATCH(E39, ""Mastery""), ""Card Mastery"", E39),
            Level, IF(ISBETWEEN(C39, VLOOKUP(E39, $AD:$AG, 2, FALSE), V"&amp;"LOOKUP(E39, $AD:$AG, 4, FALSE), TRUE, FALSE), C39, VLOOKUP(E39, $AD:$AG, 2, FALSE)),
            IF(LABCOST_SINGLE_ADJUSTED(Lab_name, Level + 1) = 0, ""0 (Max)"",
            "" "" &amp; FORMAT_NUMBER(            
                    LABCOST_SINGLE_ADJUSTED(L"&amp;"ab_name, Level + 1) / 
                    (LABDURATION_SINGLE_ADJUSTED(Lab_name, Level + 1) /
                    (1 * REGEXEXTRACT(F$28, ""[\d.-]+"")))))),
        ""Gem Rush"", LET(
            Labspeed, IF(E39=""Labs Speed"", 1+'Master Sheet'!$BK$5, L"&amp;"AB_SPEED_TOTAL()),
            Start_Level, IF(C39 = """",
                VLOOKUP(E39, $AD:$AG, 2, false),
                IF(ISBETWEEN(C39, VALUE(VLOOKUP(E39, $AD:$AG, 2, false)), VALUE(VLOOKUP(E39, $AD:$AG, 4, false))), C39, """")),
            End_Lev"&amp;"el, IF(OR(D39 = """", NOT(ISBETWEEN(D39, VALUE(VLOOKUP(E39, $AD:$AG, 2, false)), VALUE(VLOOKUP(E39, $AD:$AG, 4, false)),0,1))),
                SWITCH($W$38,
                    ""Max"", VLOOKUP(E39, $AD:$AG, 4, false),
                    ""Target"", IF("&amp;"VLOOKUP(E39, $AD:$AG, 3, false) &lt;&gt; """", VLOOKUP(E39, $AD:$AG, 3, false), VLOOKUP(E39, $AD:$AG, 4, false))),
                    D39),
            SUM(ARRAYFORMULA(TIME_TO_RUSH_GEMS( OFFSET(DVT_Laboratory!$A$3, Start_Level , IF(ISNUMBER(SEARCH(""mastery"""&amp;", E39)), MATCH(""Card Mastery"", DVT_Laboratory!$A$1:$LO$1, 0), MATCH(E39, DVT_Laboratory!$A$1:$LO$1, 0)) - 1, End_Level - Start_Level, 1) / Labspeed, IDS_LAB_GODLBOXED_COUNT())))))))"),"")</f>
        <v/>
      </c>
      <c r="G39" s="856" t="str">
        <f t="shared" si="13"/>
        <v/>
      </c>
      <c r="H39" s="831" t="str">
        <f>IFERROR(__xludf.DUMMYFUNCTION("IFS(E39 = """", """", 
    VLOOKUP(E39, $AD:$AG, 2, false) = VLOOKUP(E39, $AD:$AG, 4, false), ""MAX Level"",
    AND(VLOOKUP(E39, $AD:$AG, 3, false) &lt;&gt; """", VLOOKUP(E39, $AD:$AG, 2, false) = VLOOKUP(E39, $AD:$AG, 3, false)), ""At Target"",
    TRUE,
    "&amp;"IFERROR(LET(Start_Level, IF(C39 = """",
            VLOOKUP(E39, $AD:$AG, 2, false),
            IF(ISBETWEEN(C39, VALUE(VLOOKUP(E39, $AD:$AG, 2, false)), VALUE(VLOOKUP(E39, $AD:$AG, 4, false))), C39, """")),
        End_Level, IF(OR(D39 = """", NOT(ISBET"&amp;"WEEN(D39, VALUE(VLOOKUP(E39, $AD:$AG, 2, false)), VALUE(VLOOKUP(E39, $AD:$AG, 4, false)),0,1))),
            SWITCH($W$38,
                ""Max"", VLOOKUP(E39, $AD:$AG, 4, false),
                ""Target"", IF(VLOOKUP(E39, $AD:$AG, 3, false) &lt;&gt; """", VL"&amp;"OOKUP(E39, $AD:$AG, 3, false), VLOOKUP(E39, $AD:$AG, 4, false))),
            D39),
        SUM(OFFSET(DVT_Laboratory!$A$3, Start_Level , IF(ISNUMBER(SEARCH(""mastery"", E39)), MATCH(""Card Mastery"", DVT_Laboratory!$A$1:$MY$1, 0), MATCH(E39, DVT_Laborato"&amp;"ry!$A$1:$MY$1, 0)), End_Level - Start_Level, 1)) * (1-LAB_COIN_DISCOUNT())), ""Levels Error!""))"),"")</f>
        <v/>
      </c>
      <c r="I39" s="832" t="str">
        <f>IFERROR(__xludf.DUMMYFUNCTION("IFS(E39 = """", """", 
    VLOOKUP(E39, $AD:$AG, 2, false) = VLOOKUP(E39, $AD:$AG, 4, false), ""MAX Level"",
    AND(VLOOKUP(E39, $AD:$AG, 3, false) &lt;&gt; """", VLOOKUP(E39, $AD:$AG, 2, false) = VLOOKUP(E39, $AD:$AG, 3, false)), ""At Target"",
    TRUE,
    "&amp;"IFERROR(LET(
        Labspeed, IF(E39=""Labs Speed"", 1+'Master Sheet'!$BK$5, LAB_SPEED_TOTAL()),
        Start_Level, IF(C39 = """",
            VLOOKUP(E39, $AD:$AG, 2, false),
            IF(ISBETWEEN(C39, VALUE(VLOOKUP(E39, $AD:$AG, 2, false)), VALUE("&amp;"VLOOKUP(E39, $AD:$AG, 4, false))), C39, """")),
        End_Level, IF(OR(D39 = """", NOT(ISBETWEEN(D39, VALUE(VLOOKUP(E39, $AD:$AG, 2, false)), VALUE(VLOOKUP(E39, $AD:$AG, 4, false)),0,1))),
            SWITCH($W$38,
                ""Max"", VLOOKUP(E39, "&amp;"$AD:$AG, 4, false),
                ""Target"", IF(VLOOKUP(E39, $AD:$AG, 3, false) &lt;&gt; """", VLOOKUP(E39, $AD:$AG, 3, false), VLOOKUP(E39, $AD:$AG, 4, false))),
            D39),
        SUM(OFFSET(DVT_Laboratory!$A$3, Start_Level , IF(ISNUMBER(SEARCH(""ma"&amp;"stery"", E39)), MATCH(""Card Mastery"", DVT_Laboratory!$A$1:$MY$1, 0), MATCH(E39, DVT_Laboratory!$A$1:$MY$1, 0)) - 1, End_Level - Start_Level, 1)) /
                (1 * REGEXEXTRACT(F$28, ""[\d.-]+"")) /
                Labspeed), ""Levels Error!""))"),"")</f>
        <v/>
      </c>
      <c r="J39" s="809" t="str">
        <f t="shared" si="14"/>
        <v/>
      </c>
      <c r="K39" s="861"/>
      <c r="L39" s="873"/>
      <c r="M39" s="835"/>
      <c r="N39" s="849" t="str">
        <f>IFERROR(__xludf.DUMMYFUNCTION("IFERROR(IF(P39 = """", """",
    SWITCH($W$37,
        ""Total"", "" "" &amp; FORMAT_NUMBER(P39),
        ""Daily"", LET(Lab_name, IF(REGEXMATCH(M39, ""Mastery""), ""Card Mastery"", M39),
            Level, IF(ISBETWEEN(K39, VLOOKUP(M39, $AD:$AG, 2, FALSE), V"&amp;"LOOKUP(M39, $AD:$AG, 4, FALSE), TRUE, FALSE), K39, VLOOKUP(M39, $AD:$AG, 2, FALSE)),
            IF(LABCOST_SINGLE_ADJUSTED(Lab_name, Level + 1) = 0, ""0 (Max)"",
            "" "" &amp; FORMAT_NUMBER(            
                    LABCOST_SINGLE_ADJUSTED(L"&amp;"ab_name, Level + 1) / 
                    (LABDURATION_SINGLE_ADJUSTED(Lab_name, Level + 1) /
                    (1 * REGEXEXTRACT(N$28, ""[\d.-]+"")))))),
        ""Gem Rush"", LET(
            Labspeed, IF(M39=""Labs Speed"", 1+'Master Sheet'!$BK$5, L"&amp;"AB_SPEED_TOTAL()),
            Start_Level, IF(K39 = """",
                VLOOKUP(M39, $AD:$AG, 2, false),
                IF(ISBETWEEN(K39, VALUE(VLOOKUP(M39, $AD:$AG, 2, false)), VALUE(VLOOKUP(M39, $AD:$AG, 4, false))), K39, """")),
            End_Lev"&amp;"el, IF(OR(L39 = """", NOT(ISBETWEEN(L39, VALUE(VLOOKUP(M39, $AD:$AG, 2, false)), VALUE(VLOOKUP(M39, $AD:$AG, 4, false)),0,1))),
                SWITCH($W$38,
                    ""Max"", VLOOKUP(M39, $AD:$AG, 4, false),
                    ""Target"", IF("&amp;"VLOOKUP(M39, $AD:$AG, 3, false) &lt;&gt; """", VLOOKUP(M39, $AD:$AG, 3, false), VLOOKUP(M39, $AD:$AG, 4, false))),
                    L39),
            SUM(ARRAYFORMULA(TIME_TO_RUSH_GEMS( OFFSET(DVT_Laboratory!$A$3, Start_Level , IF(ISNUMBER(SEARCH(""mastery"""&amp;", M39)), MATCH(""Card Mastery"", DVT_Laboratory!$A$1:$LO$1, 0), MATCH(M39, DVT_Laboratory!$A$1:$LO$1, 0)) - 1, End_Level - Start_Level, 1) / Labspeed, IDS_LAB_GODLBOXED_COUNT())))))))"),"")</f>
        <v/>
      </c>
      <c r="O39" s="850" t="str">
        <f t="shared" si="15"/>
        <v/>
      </c>
      <c r="P39" s="797" t="str">
        <f>IFERROR(__xludf.DUMMYFUNCTION("IFS(M39 = """", """", 
    VLOOKUP(M39, $AD:$AG, 2, false) = VLOOKUP(M39, $AD:$AG, 4, false), ""MAX Level"",
    AND(VLOOKUP(M39, $AD:$AG, 3, false) &lt;&gt; """", VLOOKUP(M39, $AD:$AG, 2, false) = VLOOKUP(M39, $AD:$AG, 3, false)), ""At Target"",
    TRUE,
    "&amp;"IFERROR(LET(Start_Level, IF(K39 = """",
            VLOOKUP(M39, $AD:$AG, 2, false),
            IF(ISBETWEEN(K39, VALUE(VLOOKUP(M39, $AD:$AG, 2, false)), VALUE(VLOOKUP(M39, $AD:$AG, 4, false))), K39, """")),
        End_Level, IF(OR(L39 = """", NOT(ISBET"&amp;"WEEN(L39, VALUE(VLOOKUP(M39, $AD:$AG, 2, false)), VALUE(VLOOKUP(M39, $AD:$AG, 4, false)),0,1))),
            SWITCH($W$38,
                ""Max"", VLOOKUP(M39, $AD:$AG, 4, false),
                ""Target"", IF(VLOOKUP(M39, $AD:$AG, 3, false) &lt;&gt; """", VL"&amp;"OOKUP(M39, $AD:$AG, 3, false), VLOOKUP(M39, $AD:$AG, 4, false))),
            L39),
        SUM(OFFSET(DVT_Laboratory!$A$3, Start_Level , IF(ISNUMBER(SEARCH(""mastery"", M39)), MATCH(""Card Mastery"", DVT_Laboratory!$A$1:$MY$1, 0), MATCH(M39, DVT_Laborato"&amp;"ry!$A$1:$MY$1, 0)), End_Level - Start_Level, 1)) * (1-LAB_COIN_DISCOUNT())), ""Levels Error!""))"),"")</f>
        <v/>
      </c>
      <c r="Q39" s="839" t="str">
        <f>IFERROR(__xludf.DUMMYFUNCTION("IFS(M39 = """", """", 
    VLOOKUP(M39, $AD:$AG, 2, false) = VLOOKUP(M39, $AD:$AG, 4, false), ""MAX Level"",
    AND(VLOOKUP(M39, $AD:$AG, 3, false) &lt;&gt; """", VLOOKUP(M39, $AD:$AG, 2, false) = VLOOKUP(M39, $AD:$AG, 3, false)), ""At Target"",
    TRUE,
    "&amp;"IFERROR(LET(
        Labspeed, IF(M39=""Labs Speed"", 1+'Master Sheet'!$BK$5, LAB_SPEED_TOTAL()),
        Start_Level, IF(K39 = """",
            VLOOKUP(M39, $AD:$AG, 2, false),
            IF(ISBETWEEN(K39, VALUE(VLOOKUP(M39, $AD:$AG, 2, false)), VALUE("&amp;"VLOOKUP(M39, $AD:$AG, 4, false))), K39, """")),
        End_Level, IF(OR(L39 = """", NOT(ISBETWEEN(L39, VALUE(VLOOKUP(M39, $AD:$AG, 2, false)), VALUE(VLOOKUP(M39, $AD:$AG, 4, false)),0,1))),
            SWITCH($W$38,
                ""Max"", VLOOKUP(M39, "&amp;"$AD:$AG, 4, false),
                ""Target"", IF(VLOOKUP(M39, $AD:$AG, 3, false) &lt;&gt; """", VLOOKUP(M39, $AD:$AG, 3, false), VLOOKUP(M39, $AD:$AG, 4, false))),
            L39),
        SUM(OFFSET(DVT_Laboratory!$A$3, Start_Level , IF(ISNUMBER(SEARCH(""ma"&amp;"stery"", M39)), MATCH(""Card Mastery"", DVT_Laboratory!$A$1:$MY$1, 0), MATCH(M39, DVT_Laboratory!$A$1:$MY$1, 0)) - 1, End_Level - Start_Level, 1)) /
                (1 * REGEXEXTRACT(N$28, ""[\d.-]+"")) /
                Labspeed), ""Levels Error!""))"),"")</f>
        <v/>
      </c>
      <c r="R39" s="598"/>
      <c r="S39" s="594"/>
      <c r="T39" s="882"/>
      <c r="U39" s="887" t="s">
        <v>470</v>
      </c>
      <c r="V39" s="884"/>
      <c r="W39" s="888" t="s">
        <v>471</v>
      </c>
      <c r="X39" s="785"/>
      <c r="Y39" s="786"/>
      <c r="Z39" s="598"/>
      <c r="AA39" s="781"/>
      <c r="AB39" s="889" t="s">
        <v>472</v>
      </c>
      <c r="AC39" s="713" t="str">
        <f>IFERROR(__xludf.DUMMYFUNCTION("""COMPUTED_VALUE"""),"Chrono Field Range")</f>
        <v>Chrono Field Range</v>
      </c>
      <c r="AD39" s="816" t="s">
        <v>338</v>
      </c>
      <c r="AE39" s="713">
        <v>17.0</v>
      </c>
      <c r="AF39" s="713"/>
      <c r="AG39" s="713">
        <v>20.0</v>
      </c>
      <c r="AH39" s="737" t="str">
        <f>IFERROR(__xludf.DUMMYFUNCTION("IFERROR(IF(C22 = """", SEQUENCE(1, VALUE(VLOOKUP(E22, AD:AG, 4, false)) - VALUE(VLOOKUP(E22, AD:AG, 2, false)), VALUE(VLOOKUP(E22, AD:AG, 2, false)) + 1),
    IF(ISBETWEEN(C22, VALUE(VLOOKUP(E22, AD:AG, 2, false)), VALUE(VLOOKUP(E22, AD:AG, 4, false))),
 "&amp;"       SEQUENCE(1, VALUE(VLOOKUP(E22, AD:AG, 4, false)) - C22, C22 + 1),
        """")))"),"")</f>
        <v/>
      </c>
      <c r="AI39" s="713"/>
      <c r="AJ39" s="713"/>
      <c r="AK39" s="713"/>
      <c r="AL39" s="713"/>
      <c r="AM39" s="713"/>
      <c r="AN39" s="713"/>
      <c r="AO39" s="713"/>
      <c r="AP39" s="713"/>
      <c r="AQ39" s="713"/>
      <c r="AR39" s="713"/>
      <c r="AS39" s="713"/>
      <c r="AT39" s="713"/>
      <c r="AU39" s="713"/>
      <c r="AV39" s="713"/>
      <c r="AW39" s="713"/>
      <c r="AX39" s="713"/>
      <c r="AY39" s="713"/>
      <c r="AZ39" s="713"/>
      <c r="BA39" s="713"/>
      <c r="BB39" s="713"/>
      <c r="BC39" s="713"/>
      <c r="BD39" s="713"/>
      <c r="BE39" s="713"/>
      <c r="BF39" s="713"/>
      <c r="BG39" s="713"/>
      <c r="BH39" s="713"/>
      <c r="BI39" s="713"/>
      <c r="BJ39" s="713"/>
      <c r="BK39" s="713"/>
      <c r="BL39" s="713"/>
      <c r="BM39" s="713"/>
      <c r="BN39" s="713"/>
      <c r="BO39" s="713"/>
      <c r="BP39" s="713"/>
      <c r="BQ39" s="713"/>
      <c r="BR39" s="713"/>
      <c r="BS39" s="713"/>
      <c r="BT39" s="713"/>
      <c r="BU39" s="713"/>
      <c r="BV39" s="713"/>
      <c r="BW39" s="713"/>
      <c r="BX39" s="713"/>
      <c r="BY39" s="713"/>
      <c r="BZ39" s="713"/>
      <c r="CA39" s="713"/>
      <c r="CB39" s="713"/>
      <c r="CC39" s="713"/>
      <c r="CD39" s="713"/>
      <c r="CE39" s="713"/>
      <c r="CF39" s="713"/>
      <c r="CG39" s="713"/>
      <c r="CH39" s="713"/>
      <c r="CI39" s="713"/>
      <c r="CJ39" s="713"/>
      <c r="CK39" s="713"/>
      <c r="CL39" s="713"/>
      <c r="CM39" s="713"/>
      <c r="CN39" s="713"/>
      <c r="CO39" s="713"/>
      <c r="CP39" s="713"/>
      <c r="CQ39" s="713"/>
      <c r="CR39" s="713"/>
      <c r="CS39" s="713"/>
      <c r="CT39" s="713"/>
      <c r="CU39" s="713"/>
      <c r="CV39" s="713"/>
      <c r="CW39" s="713"/>
      <c r="CX39" s="713"/>
      <c r="CY39" s="713"/>
      <c r="CZ39" s="713"/>
      <c r="DA39" s="713"/>
      <c r="DB39" s="713"/>
      <c r="DC39" s="713"/>
      <c r="DD39" s="713"/>
      <c r="DE39" s="713"/>
      <c r="DF39" s="713"/>
      <c r="DG39" s="713"/>
      <c r="DH39" s="713"/>
      <c r="DI39" s="713"/>
      <c r="DJ39" s="713"/>
      <c r="DK39" s="713"/>
      <c r="DL39" s="713"/>
      <c r="DM39" s="713"/>
      <c r="DN39" s="713"/>
      <c r="DO39" s="713"/>
      <c r="DP39" s="713"/>
      <c r="DQ39" s="713"/>
      <c r="DR39" s="713"/>
      <c r="DS39" s="713"/>
      <c r="DT39" s="713"/>
      <c r="DU39" s="713"/>
      <c r="DV39" s="713"/>
      <c r="DW39" s="713"/>
      <c r="DX39" s="713"/>
      <c r="DY39" s="713"/>
      <c r="DZ39" s="713"/>
      <c r="EA39" s="713"/>
      <c r="EB39" s="713"/>
      <c r="EC39" s="713"/>
      <c r="ED39" s="713"/>
      <c r="EE39" s="713"/>
      <c r="EF39" s="713"/>
      <c r="EG39" s="713"/>
      <c r="EH39" s="713"/>
      <c r="EI39" s="713"/>
      <c r="EJ39" s="713"/>
      <c r="EK39" s="713"/>
      <c r="EL39" s="713"/>
      <c r="EM39" s="713"/>
      <c r="EN39" s="713"/>
      <c r="EO39" s="713"/>
      <c r="EP39" s="713"/>
      <c r="EQ39" s="713"/>
      <c r="ER39" s="713"/>
      <c r="ES39" s="713"/>
      <c r="ET39" s="713"/>
      <c r="EU39" s="713"/>
      <c r="EV39" s="713"/>
      <c r="EW39" s="713"/>
      <c r="EX39" s="713"/>
      <c r="EY39" s="713"/>
      <c r="EZ39" s="713"/>
      <c r="FA39" s="713"/>
      <c r="FB39" s="713"/>
      <c r="FC39" s="713"/>
      <c r="FD39" s="713"/>
      <c r="FE39" s="713"/>
      <c r="FF39" s="713"/>
      <c r="FG39" s="713"/>
      <c r="FH39" s="713"/>
      <c r="FI39" s="713"/>
      <c r="FJ39" s="713"/>
      <c r="FK39" s="713"/>
      <c r="FL39" s="713"/>
      <c r="FM39" s="713"/>
      <c r="FN39" s="713"/>
      <c r="FO39" s="713"/>
      <c r="FP39" s="713"/>
      <c r="FQ39" s="713"/>
      <c r="FR39" s="713"/>
      <c r="FS39" s="713"/>
      <c r="FT39" s="713"/>
      <c r="FU39" s="713"/>
      <c r="FV39" s="713"/>
      <c r="FW39" s="713"/>
      <c r="FX39" s="713"/>
      <c r="FY39" s="713"/>
      <c r="FZ39" s="713"/>
      <c r="GA39" s="713"/>
      <c r="GB39" s="713"/>
      <c r="GC39" s="713"/>
      <c r="GD39" s="713"/>
      <c r="GE39" s="713"/>
      <c r="GF39" s="713"/>
      <c r="GG39" s="713"/>
      <c r="GH39" s="713"/>
      <c r="GI39" s="713"/>
      <c r="GJ39" s="713"/>
      <c r="GK39" s="713"/>
      <c r="GL39" s="713"/>
      <c r="GM39" s="713"/>
      <c r="GN39" s="713"/>
      <c r="GO39" s="713"/>
      <c r="GP39" s="713"/>
      <c r="GQ39" s="713"/>
      <c r="GR39" s="713"/>
      <c r="GS39" s="713"/>
      <c r="GT39" s="713"/>
      <c r="GU39" s="713"/>
      <c r="GV39" s="713"/>
      <c r="GW39" s="713"/>
      <c r="GX39" s="713"/>
      <c r="GY39" s="713"/>
      <c r="GZ39" s="713"/>
      <c r="HA39" s="713"/>
      <c r="HB39" s="713"/>
      <c r="HC39" s="713"/>
      <c r="HD39" s="713"/>
      <c r="HE39" s="713"/>
      <c r="HF39" s="713"/>
      <c r="HG39" s="713"/>
      <c r="HH39" s="713"/>
      <c r="HI39" s="713"/>
      <c r="HJ39" s="713"/>
      <c r="HK39" s="713"/>
      <c r="HL39" s="713"/>
      <c r="HM39" s="713"/>
      <c r="HN39" s="713"/>
      <c r="HO39" s="713"/>
      <c r="HP39" s="713"/>
      <c r="HQ39" s="713"/>
      <c r="HR39" s="713"/>
      <c r="HS39" s="713"/>
      <c r="HT39" s="713"/>
      <c r="HU39" s="713"/>
      <c r="HV39" s="713"/>
      <c r="HW39" s="713"/>
      <c r="HX39" s="713"/>
      <c r="HY39" s="713"/>
      <c r="HZ39" s="713"/>
      <c r="IA39" s="713"/>
      <c r="IB39" s="713"/>
      <c r="IC39" s="713"/>
      <c r="ID39" s="713"/>
      <c r="IE39" s="713"/>
      <c r="IF39" s="713"/>
      <c r="IG39" s="713"/>
      <c r="IH39" s="713"/>
    </row>
    <row r="40">
      <c r="A40" s="598"/>
      <c r="B40" s="807" t="str">
        <f t="shared" si="12"/>
        <v/>
      </c>
      <c r="C40" s="855"/>
      <c r="D40" s="881"/>
      <c r="E40" s="828"/>
      <c r="F40" s="845" t="str">
        <f>IFERROR(__xludf.DUMMYFUNCTION("IFERROR(IF(H40 = """", """",
    SWITCH($W$37,
        ""Total"", "" "" &amp; FORMAT_NUMBER(H40),
        ""Daily"", LET(Lab_name, IF(REGEXMATCH(E40, ""Mastery""), ""Card Mastery"", E40),
            Level, IF(ISBETWEEN(C40, VLOOKUP(E40, $AD:$AG, 2, FALSE), V"&amp;"LOOKUP(E40, $AD:$AG, 4, FALSE), TRUE, FALSE), C40, VLOOKUP(E40, $AD:$AG, 2, FALSE)),
            IF(LABCOST_SINGLE_ADJUSTED(Lab_name, Level + 1) = 0, ""0 (Max)"",
            "" "" &amp; FORMAT_NUMBER(            
                    LABCOST_SINGLE_ADJUSTED(L"&amp;"ab_name, Level + 1) / 
                    (LABDURATION_SINGLE_ADJUSTED(Lab_name, Level + 1) /
                    (1 * REGEXEXTRACT(F$28, ""[\d.-]+"")))))),
        ""Gem Rush"", LET(
            Labspeed, IF(E40=""Labs Speed"", 1+'Master Sheet'!$BK$5, L"&amp;"AB_SPEED_TOTAL()),
            Start_Level, IF(C40 = """",
                VLOOKUP(E40, $AD:$AG, 2, false),
                IF(ISBETWEEN(C40, VALUE(VLOOKUP(E40, $AD:$AG, 2, false)), VALUE(VLOOKUP(E40, $AD:$AG, 4, false))), C40, """")),
            End_Lev"&amp;"el, IF(OR(D40 = """", NOT(ISBETWEEN(D40, VALUE(VLOOKUP(E40, $AD:$AG, 2, false)), VALUE(VLOOKUP(E40, $AD:$AG, 4, false)),0,1))),
                SWITCH($W$38,
                    ""Max"", VLOOKUP(E40, $AD:$AG, 4, false),
                    ""Target"", IF("&amp;"VLOOKUP(E40, $AD:$AG, 3, false) &lt;&gt; """", VLOOKUP(E40, $AD:$AG, 3, false), VLOOKUP(E40, $AD:$AG, 4, false))),
                    D40),
            SUM(ARRAYFORMULA(TIME_TO_RUSH_GEMS( OFFSET(DVT_Laboratory!$A$3, Start_Level , IF(ISNUMBER(SEARCH(""mastery"""&amp;", E40)), MATCH(""Card Mastery"", DVT_Laboratory!$A$1:$LO$1, 0), MATCH(E40, DVT_Laboratory!$A$1:$LO$1, 0)) - 1, End_Level - Start_Level, 1) / Labspeed, IDS_LAB_GODLBOXED_COUNT())))))))"),"")</f>
        <v/>
      </c>
      <c r="G40" s="856" t="str">
        <f t="shared" si="13"/>
        <v/>
      </c>
      <c r="H40" s="831" t="str">
        <f>IFERROR(__xludf.DUMMYFUNCTION("IFS(E40 = """", """", 
    VLOOKUP(E40, $AD:$AG, 2, false) = VLOOKUP(E40, $AD:$AG, 4, false), ""MAX Level"",
    AND(VLOOKUP(E40, $AD:$AG, 3, false) &lt;&gt; """", VLOOKUP(E40, $AD:$AG, 2, false) = VLOOKUP(E40, $AD:$AG, 3, false)), ""At Target"",
    TRUE,
    "&amp;"IFERROR(LET(Start_Level, IF(C40 = """",
            VLOOKUP(E40, $AD:$AG, 2, false),
            IF(ISBETWEEN(C40, VALUE(VLOOKUP(E40, $AD:$AG, 2, false)), VALUE(VLOOKUP(E40, $AD:$AG, 4, false))), C40, """")),
        End_Level, IF(OR(D40 = """", NOT(ISBET"&amp;"WEEN(D40, VALUE(VLOOKUP(E40, $AD:$AG, 2, false)), VALUE(VLOOKUP(E40, $AD:$AG, 4, false)),0,1))),
            SWITCH($W$38,
                ""Max"", VLOOKUP(E40, $AD:$AG, 4, false),
                ""Target"", IF(VLOOKUP(E40, $AD:$AG, 3, false) &lt;&gt; """", VL"&amp;"OOKUP(E40, $AD:$AG, 3, false), VLOOKUP(E40, $AD:$AG, 4, false))),
            D40),
        SUM(OFFSET(DVT_Laboratory!$A$3, Start_Level , IF(ISNUMBER(SEARCH(""mastery"", E40)), MATCH(""Card Mastery"", DVT_Laboratory!$A$1:$MY$1, 0), MATCH(E40, DVT_Laborato"&amp;"ry!$A$1:$MY$1, 0)), End_Level - Start_Level, 1)) * (1-LAB_COIN_DISCOUNT())), ""Levels Error!""))"),"")</f>
        <v/>
      </c>
      <c r="I40" s="832" t="str">
        <f>IFERROR(__xludf.DUMMYFUNCTION("IFS(E40 = """", """", 
    VLOOKUP(E40, $AD:$AG, 2, false) = VLOOKUP(E40, $AD:$AG, 4, false), ""MAX Level"",
    AND(VLOOKUP(E40, $AD:$AG, 3, false) &lt;&gt; """", VLOOKUP(E40, $AD:$AG, 2, false) = VLOOKUP(E40, $AD:$AG, 3, false)), ""At Target"",
    TRUE,
    "&amp;"IFERROR(LET(
        Labspeed, IF(E40=""Labs Speed"", 1+'Master Sheet'!$BK$5, LAB_SPEED_TOTAL()),
        Start_Level, IF(C40 = """",
            VLOOKUP(E40, $AD:$AG, 2, false),
            IF(ISBETWEEN(C40, VALUE(VLOOKUP(E40, $AD:$AG, 2, false)), VALUE("&amp;"VLOOKUP(E40, $AD:$AG, 4, false))), C40, """")),
        End_Level, IF(OR(D40 = """", NOT(ISBETWEEN(D40, VALUE(VLOOKUP(E40, $AD:$AG, 2, false)), VALUE(VLOOKUP(E40, $AD:$AG, 4, false)),0,1))),
            SWITCH($W$38,
                ""Max"", VLOOKUP(E40, "&amp;"$AD:$AG, 4, false),
                ""Target"", IF(VLOOKUP(E40, $AD:$AG, 3, false) &lt;&gt; """", VLOOKUP(E40, $AD:$AG, 3, false), VLOOKUP(E40, $AD:$AG, 4, false))),
            D40),
        SUM(OFFSET(DVT_Laboratory!$A$3, Start_Level , IF(ISNUMBER(SEARCH(""ma"&amp;"stery"", E40)), MATCH(""Card Mastery"", DVT_Laboratory!$A$1:$MY$1, 0), MATCH(E40, DVT_Laboratory!$A$1:$MY$1, 0)) - 1, End_Level - Start_Level, 1)) /
                (1 * REGEXEXTRACT(F$28, ""[\d.-]+"")) /
                Labspeed), ""Levels Error!""))"),"")</f>
        <v/>
      </c>
      <c r="J40" s="809" t="str">
        <f t="shared" si="14"/>
        <v/>
      </c>
      <c r="K40" s="861"/>
      <c r="L40" s="873"/>
      <c r="M40" s="835"/>
      <c r="N40" s="849" t="str">
        <f>IFERROR(__xludf.DUMMYFUNCTION("IFERROR(IF(P40 = """", """",
    SWITCH($W$37,
        ""Total"", "" "" &amp; FORMAT_NUMBER(P40),
        ""Daily"", LET(Lab_name, IF(REGEXMATCH(M40, ""Mastery""), ""Card Mastery"", M40),
            Level, IF(ISBETWEEN(K40, VLOOKUP(M40, $AD:$AG, 2, FALSE), V"&amp;"LOOKUP(M40, $AD:$AG, 4, FALSE), TRUE, FALSE), K40, VLOOKUP(M40, $AD:$AG, 2, FALSE)),
            IF(LABCOST_SINGLE_ADJUSTED(Lab_name, Level + 1) = 0, ""0 (Max)"",
            "" "" &amp; FORMAT_NUMBER(            
                    LABCOST_SINGLE_ADJUSTED(L"&amp;"ab_name, Level + 1) / 
                    (LABDURATION_SINGLE_ADJUSTED(Lab_name, Level + 1) /
                    (1 * REGEXEXTRACT(N$28, ""[\d.-]+"")))))),
        ""Gem Rush"", LET(
            Labspeed, IF(M40=""Labs Speed"", 1+'Master Sheet'!$BK$5, L"&amp;"AB_SPEED_TOTAL()),
            Start_Level, IF(K40 = """",
                VLOOKUP(M40, $AD:$AG, 2, false),
                IF(ISBETWEEN(K40, VALUE(VLOOKUP(M40, $AD:$AG, 2, false)), VALUE(VLOOKUP(M40, $AD:$AG, 4, false))), K40, """")),
            End_Lev"&amp;"el, IF(OR(L40 = """", NOT(ISBETWEEN(L40, VALUE(VLOOKUP(M40, $AD:$AG, 2, false)), VALUE(VLOOKUP(M40, $AD:$AG, 4, false)),0,1))),
                SWITCH($W$38,
                    ""Max"", VLOOKUP(M40, $AD:$AG, 4, false),
                    ""Target"", IF("&amp;"VLOOKUP(M40, $AD:$AG, 3, false) &lt;&gt; """", VLOOKUP(M40, $AD:$AG, 3, false), VLOOKUP(M40, $AD:$AG, 4, false))),
                    L40),
            SUM(ARRAYFORMULA(TIME_TO_RUSH_GEMS( OFFSET(DVT_Laboratory!$A$3, Start_Level , IF(ISNUMBER(SEARCH(""mastery"""&amp;", M40)), MATCH(""Card Mastery"", DVT_Laboratory!$A$1:$LO$1, 0), MATCH(M40, DVT_Laboratory!$A$1:$LO$1, 0)) - 1, End_Level - Start_Level, 1) / Labspeed, IDS_LAB_GODLBOXED_COUNT())))))))"),"")</f>
        <v/>
      </c>
      <c r="O40" s="850" t="str">
        <f t="shared" si="15"/>
        <v/>
      </c>
      <c r="P40" s="797" t="str">
        <f>IFERROR(__xludf.DUMMYFUNCTION("IFS(M40 = """", """", 
    VLOOKUP(M40, $AD:$AG, 2, false) = VLOOKUP(M40, $AD:$AG, 4, false), ""MAX Level"",
    AND(VLOOKUP(M40, $AD:$AG, 3, false) &lt;&gt; """", VLOOKUP(M40, $AD:$AG, 2, false) = VLOOKUP(M40, $AD:$AG, 3, false)), ""At Target"",
    TRUE,
    "&amp;"IFERROR(LET(Start_Level, IF(K40 = """",
            VLOOKUP(M40, $AD:$AG, 2, false),
            IF(ISBETWEEN(K40, VALUE(VLOOKUP(M40, $AD:$AG, 2, false)), VALUE(VLOOKUP(M40, $AD:$AG, 4, false))), K40, """")),
        End_Level, IF(OR(L40 = """", NOT(ISBET"&amp;"WEEN(L40, VALUE(VLOOKUP(M40, $AD:$AG, 2, false)), VALUE(VLOOKUP(M40, $AD:$AG, 4, false)),0,1))),
            SWITCH($W$38,
                ""Max"", VLOOKUP(M40, $AD:$AG, 4, false),
                ""Target"", IF(VLOOKUP(M40, $AD:$AG, 3, false) &lt;&gt; """", VL"&amp;"OOKUP(M40, $AD:$AG, 3, false), VLOOKUP(M40, $AD:$AG, 4, false))),
            L40),
        SUM(OFFSET(DVT_Laboratory!$A$3, Start_Level , IF(ISNUMBER(SEARCH(""mastery"", M40)), MATCH(""Card Mastery"", DVT_Laboratory!$A$1:$MY$1, 0), MATCH(M40, DVT_Laborato"&amp;"ry!$A$1:$MY$1, 0)), End_Level - Start_Level, 1)) * (1-LAB_COIN_DISCOUNT())), ""Levels Error!""))"),"")</f>
        <v/>
      </c>
      <c r="Q40" s="839" t="str">
        <f>IFERROR(__xludf.DUMMYFUNCTION("IFS(M40 = """", """", 
    VLOOKUP(M40, $AD:$AG, 2, false) = VLOOKUP(M40, $AD:$AG, 4, false), ""MAX Level"",
    AND(VLOOKUP(M40, $AD:$AG, 3, false) &lt;&gt; """", VLOOKUP(M40, $AD:$AG, 2, false) = VLOOKUP(M40, $AD:$AG, 3, false)), ""At Target"",
    TRUE,
    "&amp;"IFERROR(LET(
        Labspeed, IF(M40=""Labs Speed"", 1+'Master Sheet'!$BK$5, LAB_SPEED_TOTAL()),
        Start_Level, IF(K40 = """",
            VLOOKUP(M40, $AD:$AG, 2, false),
            IF(ISBETWEEN(K40, VALUE(VLOOKUP(M40, $AD:$AG, 2, false)), VALUE("&amp;"VLOOKUP(M40, $AD:$AG, 4, false))), K40, """")),
        End_Level, IF(OR(L40 = """", NOT(ISBETWEEN(L40, VALUE(VLOOKUP(M40, $AD:$AG, 2, false)), VALUE(VLOOKUP(M40, $AD:$AG, 4, false)),0,1))),
            SWITCH($W$38,
                ""Max"", VLOOKUP(M40, "&amp;"$AD:$AG, 4, false),
                ""Target"", IF(VLOOKUP(M40, $AD:$AG, 3, false) &lt;&gt; """", VLOOKUP(M40, $AD:$AG, 3, false), VLOOKUP(M40, $AD:$AG, 4, false))),
            L40),
        SUM(OFFSET(DVT_Laboratory!$A$3, Start_Level , IF(ISNUMBER(SEARCH(""ma"&amp;"stery"", M40)), MATCH(""Card Mastery"", DVT_Laboratory!$A$1:$MY$1, 0), MATCH(M40, DVT_Laboratory!$A$1:$MY$1, 0)) - 1, End_Level - Start_Level, 1)) /
                (1 * REGEXEXTRACT(N$28, ""[\d.-]+"")) /
                Labspeed), ""Levels Error!""))"),"")</f>
        <v/>
      </c>
      <c r="R40" s="598"/>
      <c r="S40" s="594"/>
      <c r="T40" s="882"/>
      <c r="U40" s="890" t="str">
        <f>SWITCH(V40,
"", "Showing All Labs →",
"Show All", "Showing All Labs →",
"Completed", "Hiding Labs →",
"Completed &amp; Target", "Hiding Labs →")</f>
        <v>Showing All Labs →</v>
      </c>
      <c r="V40" s="891" t="s">
        <v>473</v>
      </c>
      <c r="W40" s="892"/>
      <c r="X40" s="785"/>
      <c r="Y40" s="786"/>
      <c r="Z40" s="598"/>
      <c r="AA40" s="781"/>
      <c r="AB40" s="893" t="s">
        <v>474</v>
      </c>
      <c r="AC40" s="713" t="str">
        <f>IFERROR(__xludf.DUMMYFUNCTION("""COMPUTED_VALUE"""),"Chrono Field Reduction %")</f>
        <v>Chrono Field Reduction %</v>
      </c>
      <c r="AD40" s="816" t="s">
        <v>231</v>
      </c>
      <c r="AE40" s="713">
        <v>20.0</v>
      </c>
      <c r="AF40" s="713"/>
      <c r="AG40" s="713">
        <v>30.0</v>
      </c>
      <c r="AH40" s="737" t="str">
        <f>IFERROR(__xludf.DUMMYFUNCTION("IFERROR(IF(C23 = """", SEQUENCE(1, VALUE(VLOOKUP(E23, AD:AG, 4, false)) - VALUE(VLOOKUP(E23, AD:AG, 2, false)), VALUE(VLOOKUP(E23, AD:AG, 2, false)) + 1),
    IF(ISBETWEEN(C23, VALUE(VLOOKUP(E23, AD:AG, 2, false)), VALUE(VLOOKUP(E23, AD:AG, 4, false))),
 "&amp;"       SEQUENCE(1, VALUE(VLOOKUP(E23, AD:AG, 4, false)) - C23, C23 + 1),
        """")))"),"")</f>
        <v/>
      </c>
      <c r="AI40" s="713"/>
      <c r="AJ40" s="713"/>
      <c r="AK40" s="713"/>
      <c r="AL40" s="713"/>
      <c r="AM40" s="713"/>
      <c r="AN40" s="713"/>
      <c r="AO40" s="713"/>
      <c r="AP40" s="713"/>
      <c r="AQ40" s="713"/>
      <c r="AR40" s="713"/>
      <c r="AS40" s="713"/>
      <c r="AT40" s="713"/>
      <c r="AU40" s="713"/>
      <c r="AV40" s="713"/>
      <c r="AW40" s="713"/>
      <c r="AX40" s="713"/>
      <c r="AY40" s="713"/>
      <c r="AZ40" s="713"/>
      <c r="BA40" s="713"/>
      <c r="BB40" s="713"/>
      <c r="BC40" s="713"/>
      <c r="BD40" s="713"/>
      <c r="BE40" s="713"/>
      <c r="BF40" s="713"/>
      <c r="BG40" s="713"/>
      <c r="BH40" s="713"/>
      <c r="BI40" s="713"/>
      <c r="BJ40" s="713"/>
      <c r="BK40" s="713"/>
      <c r="BL40" s="713"/>
      <c r="BM40" s="713"/>
      <c r="BN40" s="713"/>
      <c r="BO40" s="713"/>
      <c r="BP40" s="713"/>
      <c r="BQ40" s="713"/>
      <c r="BR40" s="713"/>
      <c r="BS40" s="713"/>
      <c r="BT40" s="713"/>
      <c r="BU40" s="713"/>
      <c r="BV40" s="713"/>
      <c r="BW40" s="713"/>
      <c r="BX40" s="713"/>
      <c r="BY40" s="713"/>
      <c r="BZ40" s="713"/>
      <c r="CA40" s="713"/>
      <c r="CB40" s="713"/>
      <c r="CC40" s="713"/>
      <c r="CD40" s="713"/>
      <c r="CE40" s="713"/>
      <c r="CF40" s="713"/>
      <c r="CG40" s="713"/>
      <c r="CH40" s="713"/>
      <c r="CI40" s="713"/>
      <c r="CJ40" s="713"/>
      <c r="CK40" s="713"/>
      <c r="CL40" s="713"/>
      <c r="CM40" s="713"/>
      <c r="CN40" s="713"/>
      <c r="CO40" s="713"/>
      <c r="CP40" s="713"/>
      <c r="CQ40" s="713"/>
      <c r="CR40" s="713"/>
      <c r="CS40" s="713"/>
      <c r="CT40" s="713"/>
      <c r="CU40" s="713"/>
      <c r="CV40" s="713"/>
      <c r="CW40" s="713"/>
      <c r="CX40" s="713"/>
      <c r="CY40" s="713"/>
      <c r="CZ40" s="713"/>
      <c r="DA40" s="713"/>
      <c r="DB40" s="713"/>
      <c r="DC40" s="713"/>
      <c r="DD40" s="713"/>
      <c r="DE40" s="713"/>
      <c r="DF40" s="713"/>
      <c r="DG40" s="713"/>
      <c r="DH40" s="713"/>
      <c r="DI40" s="713"/>
      <c r="DJ40" s="713"/>
      <c r="DK40" s="713"/>
      <c r="DL40" s="713"/>
      <c r="DM40" s="713"/>
      <c r="DN40" s="713"/>
      <c r="DO40" s="713"/>
      <c r="DP40" s="713"/>
      <c r="DQ40" s="713"/>
      <c r="DR40" s="713"/>
      <c r="DS40" s="713"/>
      <c r="DT40" s="713"/>
      <c r="DU40" s="713"/>
      <c r="DV40" s="713"/>
      <c r="DW40" s="713"/>
      <c r="DX40" s="713"/>
      <c r="DY40" s="713"/>
      <c r="DZ40" s="713"/>
      <c r="EA40" s="713"/>
      <c r="EB40" s="713"/>
      <c r="EC40" s="713"/>
      <c r="ED40" s="713"/>
      <c r="EE40" s="713"/>
      <c r="EF40" s="713"/>
      <c r="EG40" s="713"/>
      <c r="EH40" s="713"/>
      <c r="EI40" s="713"/>
      <c r="EJ40" s="713"/>
      <c r="EK40" s="713"/>
      <c r="EL40" s="713"/>
      <c r="EM40" s="713"/>
      <c r="EN40" s="713"/>
      <c r="EO40" s="713"/>
      <c r="EP40" s="713"/>
      <c r="EQ40" s="713"/>
      <c r="ER40" s="713"/>
      <c r="ES40" s="713"/>
      <c r="ET40" s="713"/>
      <c r="EU40" s="713"/>
      <c r="EV40" s="713"/>
      <c r="EW40" s="713"/>
      <c r="EX40" s="713"/>
      <c r="EY40" s="713"/>
      <c r="EZ40" s="713"/>
      <c r="FA40" s="713"/>
      <c r="FB40" s="713"/>
      <c r="FC40" s="713"/>
      <c r="FD40" s="713"/>
      <c r="FE40" s="713"/>
      <c r="FF40" s="713"/>
      <c r="FG40" s="713"/>
      <c r="FH40" s="713"/>
      <c r="FI40" s="713"/>
      <c r="FJ40" s="713"/>
      <c r="FK40" s="713"/>
      <c r="FL40" s="713"/>
      <c r="FM40" s="713"/>
      <c r="FN40" s="713"/>
      <c r="FO40" s="713"/>
      <c r="FP40" s="713"/>
      <c r="FQ40" s="713"/>
      <c r="FR40" s="713"/>
      <c r="FS40" s="713"/>
      <c r="FT40" s="713"/>
      <c r="FU40" s="713"/>
      <c r="FV40" s="713"/>
      <c r="FW40" s="713"/>
      <c r="FX40" s="713"/>
      <c r="FY40" s="713"/>
      <c r="FZ40" s="713"/>
      <c r="GA40" s="713"/>
      <c r="GB40" s="713"/>
      <c r="GC40" s="713"/>
      <c r="GD40" s="713"/>
      <c r="GE40" s="713"/>
      <c r="GF40" s="713"/>
      <c r="GG40" s="713"/>
      <c r="GH40" s="713"/>
      <c r="GI40" s="713"/>
      <c r="GJ40" s="713"/>
      <c r="GK40" s="713"/>
      <c r="GL40" s="713"/>
      <c r="GM40" s="713"/>
      <c r="GN40" s="713"/>
      <c r="GO40" s="713"/>
      <c r="GP40" s="713"/>
      <c r="GQ40" s="713"/>
      <c r="GR40" s="713"/>
      <c r="GS40" s="713"/>
      <c r="GT40" s="713"/>
      <c r="GU40" s="713"/>
      <c r="GV40" s="713"/>
      <c r="GW40" s="713"/>
      <c r="GX40" s="713"/>
      <c r="GY40" s="713"/>
      <c r="GZ40" s="713"/>
      <c r="HA40" s="713"/>
      <c r="HB40" s="713"/>
      <c r="HC40" s="713"/>
      <c r="HD40" s="713"/>
      <c r="HE40" s="713"/>
      <c r="HF40" s="713"/>
      <c r="HG40" s="713"/>
      <c r="HH40" s="713"/>
      <c r="HI40" s="713"/>
      <c r="HJ40" s="713"/>
      <c r="HK40" s="713"/>
      <c r="HL40" s="713"/>
      <c r="HM40" s="713"/>
      <c r="HN40" s="713"/>
      <c r="HO40" s="713"/>
      <c r="HP40" s="713"/>
      <c r="HQ40" s="713"/>
      <c r="HR40" s="713"/>
      <c r="HS40" s="713"/>
      <c r="HT40" s="713"/>
      <c r="HU40" s="713"/>
      <c r="HV40" s="713"/>
      <c r="HW40" s="713"/>
      <c r="HX40" s="713"/>
      <c r="HY40" s="713"/>
      <c r="HZ40" s="713"/>
      <c r="IA40" s="713"/>
      <c r="IB40" s="713"/>
      <c r="IC40" s="713"/>
      <c r="ID40" s="713"/>
      <c r="IE40" s="713"/>
      <c r="IF40" s="713"/>
      <c r="IG40" s="713"/>
      <c r="IH40" s="713"/>
    </row>
    <row r="41" collapsed="1">
      <c r="A41" s="598"/>
      <c r="B41" s="807" t="str">
        <f t="shared" si="12"/>
        <v/>
      </c>
      <c r="C41" s="855"/>
      <c r="D41" s="881"/>
      <c r="E41" s="894"/>
      <c r="F41" s="895" t="str">
        <f>IFERROR(__xludf.DUMMYFUNCTION("IFERROR(IF(H41 = """", """",
    SWITCH($W$37,
        ""Total"", "" "" &amp; FORMAT_NUMBER(H41),
        ""Daily"", LET(Lab_name, IF(REGEXMATCH(E41, ""Mastery""), ""Card Mastery"", E41),
            Level, IF(ISBETWEEN(C41, VLOOKUP(E41, $AD:$AG, 2, FALSE), V"&amp;"LOOKUP(E41, $AD:$AG, 4, FALSE), TRUE, FALSE), C41, VLOOKUP(E41, $AD:$AG, 2, FALSE)),
            IF(LABCOST_SINGLE_ADJUSTED(Lab_name, Level + 1) = 0, ""0 (Max)"",
            "" "" &amp; FORMAT_NUMBER(            
                    LABCOST_SINGLE_ADJUSTED(L"&amp;"ab_name, Level + 1) / 
                    (LABDURATION_SINGLE_ADJUSTED(Lab_name, Level + 1) /
                    (1 * REGEXEXTRACT(F$28, ""[\d.-]+"")))))),
        ""Gem Rush"", LET(
            Labspeed, IF(E41=""Labs Speed"", 1+'Master Sheet'!$BK$5, L"&amp;"AB_SPEED_TOTAL()),
            Start_Level, IF(C41 = """",
                VLOOKUP(E41, $AD:$AG, 2, false),
                IF(ISBETWEEN(C41, VALUE(VLOOKUP(E41, $AD:$AG, 2, false)), VALUE(VLOOKUP(E41, $AD:$AG, 4, false))), C41, """")),
            End_Lev"&amp;"el, IF(OR(D41 = """", NOT(ISBETWEEN(D41, VALUE(VLOOKUP(E41, $AD:$AG, 2, false)), VALUE(VLOOKUP(E41, $AD:$AG, 4, false)),0,1))),
                SWITCH($W$38,
                    ""Max"", VLOOKUP(E41, $AD:$AG, 4, false),
                    ""Target"", IF("&amp;"VLOOKUP(E41, $AD:$AG, 3, false) &lt;&gt; """", VLOOKUP(E41, $AD:$AG, 3, false), VLOOKUP(E41, $AD:$AG, 4, false))),
                    D41),
            SUM(ARRAYFORMULA(TIME_TO_RUSH_GEMS( OFFSET(DVT_Laboratory!$A$3, Start_Level , IF(ISNUMBER(SEARCH(""mastery"""&amp;", E41)), MATCH(""Card Mastery"", DVT_Laboratory!$A$1:$LO$1, 0), MATCH(E41, DVT_Laboratory!$A$1:$LO$1, 0)) - 1, End_Level - Start_Level, 1) / Labspeed, IDS_LAB_GODLBOXED_COUNT())))))))"),"")</f>
        <v/>
      </c>
      <c r="G41" s="896" t="str">
        <f t="shared" ref="G41:G50" si="16">IFERROR(SWITCH(I41,
"", "",
"MAX Level", "   MAX Level",
"At Target", "   At Target",
"Levels Error!", " Check Levels",
" " &amp; FORMAT_TIME(I41)),"")</f>
        <v/>
      </c>
      <c r="H41" s="792" t="str">
        <f>IFERROR(__xludf.DUMMYFUNCTION("IFS(E41 = """", """", 
    VLOOKUP(E41, $AD:$AG, 2, false) = VLOOKUP(E41, $AD:$AG, 4, false), ""MAX Level"",
    AND(VLOOKUP(E41, $AD:$AG, 3, false) &lt;&gt; """", VLOOKUP(E41, $AD:$AG, 2, false) = VLOOKUP(E41, $AD:$AG, 3, false)), ""At Target"",
    TRUE,
    "&amp;"IFERROR(LET(Start_Level, IF(C41 = """",
            VLOOKUP(E41, $AD:$AG, 2, false),
            IF(ISBETWEEN(C41, VALUE(VLOOKUP(E41, $AD:$AG, 2, false)), VALUE(VLOOKUP(E41, $AD:$AG, 4, false))), C41, """")),
        End_Level, IF(OR(D41 = """", NOT(ISBET"&amp;"WEEN(D41, VALUE(VLOOKUP(E41, $AD:$AG, 2, false)), VALUE(VLOOKUP(E41, $AD:$AG, 4, false)),0,1))),
            SWITCH($W$38,
                ""Max"", VLOOKUP(E41, $AD:$AG, 4, false),
                ""Target"", IF(VLOOKUP(E41, $AD:$AG, 3, false) &lt;&gt; """", VL"&amp;"OOKUP(E41, $AD:$AG, 3, false), VLOOKUP(E41, $AD:$AG, 4, false))),
            D41),
        SUM(OFFSET(DVT_Laboratory!$A$3, Start_Level , IF(ISNUMBER(SEARCH(""mastery"", E41)), MATCH(""Card Mastery"", DVT_Laboratory!$A$1:$MY$1, 0), MATCH(E41, DVT_Laborato"&amp;"ry!$A$1:$MY$1, 0)), End_Level - Start_Level, 1)) * (1-LAB_COIN_DISCOUNT())), ""Levels Error!""))"),"")</f>
        <v/>
      </c>
      <c r="I41" s="832" t="str">
        <f>IFERROR(__xludf.DUMMYFUNCTION("IFS(E41 = """", """", 
    VLOOKUP(E41, $AD:$AG, 2, false) = VLOOKUP(E41, $AD:$AG, 4, false), ""MAX Level"",
    AND(VLOOKUP(E41, $AD:$AG, 3, false) &lt;&gt; """", VLOOKUP(E41, $AD:$AG, 2, false) = VLOOKUP(E41, $AD:$AG, 3, false)), ""At Target"",
    TRUE,
    "&amp;"IFERROR(LET(
        Labspeed, IF(E41=""Labs Speed"", 1+'Master Sheet'!$BK$5, LAB_SPEED_TOTAL()),
        Start_Level, IF(C41 = """",
            VLOOKUP(E41, $AD:$AG, 2, false),
            IF(ISBETWEEN(C41, VALUE(VLOOKUP(E41, $AD:$AG, 2, false)), VALUE("&amp;"VLOOKUP(E41, $AD:$AG, 4, false))), C41, """")),
        End_Level, IF(OR(D41 = """", NOT(ISBETWEEN(D41, VALUE(VLOOKUP(E41, $AD:$AG, 2, false)), VALUE(VLOOKUP(E41, $AD:$AG, 4, false)),0,1))),
            SWITCH($W$38,
                ""Max"", VLOOKUP(E41, "&amp;"$AD:$AG, 4, false),
                ""Target"", IF(VLOOKUP(E41, $AD:$AG, 3, false) &lt;&gt; """", VLOOKUP(E41, $AD:$AG, 3, false), VLOOKUP(E41, $AD:$AG, 4, false))),
            D41),
        SUM(OFFSET(DVT_Laboratory!$A$3, Start_Level , IF(ISNUMBER(SEARCH(""ma"&amp;"stery"", E41)), MATCH(""Card Mastery"", DVT_Laboratory!$A$1:$MY$1, 0), MATCH(E41, DVT_Laboratory!$A$1:$MY$1, 0)) - 1, End_Level - Start_Level, 1)) /
                (1 * REGEXEXTRACT(F$28, ""[\d.-]+"")) /
                Labspeed), ""Levels Error!""))"),"")</f>
        <v/>
      </c>
      <c r="J41" s="809" t="str">
        <f t="shared" si="14"/>
        <v/>
      </c>
      <c r="K41" s="861"/>
      <c r="L41" s="873"/>
      <c r="M41" s="835"/>
      <c r="N41" s="849" t="str">
        <f>IFERROR(__xludf.DUMMYFUNCTION("IFERROR(IF(P41 = """", """",
    SWITCH($W$37,
        ""Total"", "" "" &amp; FORMAT_NUMBER(P41),
        ""Daily"", LET(Lab_name, IF(REGEXMATCH(M41, ""Mastery""), ""Card Mastery"", M41),
            Level, IF(ISBETWEEN(K41, VLOOKUP(M41, $AD:$AG, 2, FALSE), V"&amp;"LOOKUP(M41, $AD:$AG, 4, FALSE), TRUE, FALSE), K41, VLOOKUP(M41, $AD:$AG, 2, FALSE)),
            IF(LABCOST_SINGLE_ADJUSTED(Lab_name, Level + 1) = 0, ""0 (Max)"",
            "" "" &amp; FORMAT_NUMBER(            
                    LABCOST_SINGLE_ADJUSTED(L"&amp;"ab_name, Level + 1) / 
                    (LABDURATION_SINGLE_ADJUSTED(Lab_name, Level + 1) /
                    (1 * REGEXEXTRACT(N$28, ""[\d.-]+"")))))),
        ""Gem Rush"", LET(
            Labspeed, IF(M41=""Labs Speed"", 1+'Master Sheet'!$BK$5, L"&amp;"AB_SPEED_TOTAL()),
            Start_Level, IF(K41 = """",
                VLOOKUP(M41, $AD:$AG, 2, false),
                IF(ISBETWEEN(K41, VALUE(VLOOKUP(M41, $AD:$AG, 2, false)), VALUE(VLOOKUP(M41, $AD:$AG, 4, false))), K41, """")),
            End_Lev"&amp;"el, IF(OR(L41 = """", NOT(ISBETWEEN(L41, VALUE(VLOOKUP(M41, $AD:$AG, 2, false)), VALUE(VLOOKUP(M41, $AD:$AG, 4, false)),0,1))),
                SWITCH($W$38,
                    ""Max"", VLOOKUP(M41, $AD:$AG, 4, false),
                    ""Target"", IF("&amp;"VLOOKUP(M41, $AD:$AG, 3, false) &lt;&gt; """", VLOOKUP(M41, $AD:$AG, 3, false), VLOOKUP(M41, $AD:$AG, 4, false))),
                    L41),
            SUM(ARRAYFORMULA(TIME_TO_RUSH_GEMS( OFFSET(DVT_Laboratory!$A$3, Start_Level , IF(ISNUMBER(SEARCH(""mastery"""&amp;", M41)), MATCH(""Card Mastery"", DVT_Laboratory!$A$1:$LO$1, 0), MATCH(M41, DVT_Laboratory!$A$1:$LO$1, 0)) - 1, End_Level - Start_Level, 1) / Labspeed, IDS_LAB_GODLBOXED_COUNT())))))))"),"")</f>
        <v/>
      </c>
      <c r="O41" s="897" t="str">
        <f t="shared" ref="O41:O50" si="17">IFERROR(SWITCH(Q41,
"", "",
"MAX Level", "   MAX Level",
"At Target", "   At Target",
"Levels Error!", " Check Levels",
" " &amp; FORMAT_TIME(Q41)),"")</f>
        <v/>
      </c>
      <c r="P41" s="797" t="str">
        <f>IFERROR(__xludf.DUMMYFUNCTION("IFS(M41 = """", """", 
    VLOOKUP(M41, $AD:$AG, 2, false) = VLOOKUP(M41, $AD:$AG, 4, false), ""MAX Level"",
    AND(VLOOKUP(M41, $AD:$AG, 3, false) &lt;&gt; """", VLOOKUP(M41, $AD:$AG, 2, false) = VLOOKUP(M41, $AD:$AG, 3, false)), ""At Target"",
    TRUE,
    "&amp;"IFERROR(LET(Start_Level, IF(K41 = """",
            VLOOKUP(M41, $AD:$AG, 2, false),
            IF(ISBETWEEN(K41, VALUE(VLOOKUP(M41, $AD:$AG, 2, false)), VALUE(VLOOKUP(M41, $AD:$AG, 4, false))), K41, """")),
        End_Level, IF(OR(L41 = """", NOT(ISBET"&amp;"WEEN(L41, VALUE(VLOOKUP(M41, $AD:$AG, 2, false)), VALUE(VLOOKUP(M41, $AD:$AG, 4, false)),0,1))),
            SWITCH($W$38,
                ""Max"", VLOOKUP(M41, $AD:$AG, 4, false),
                ""Target"", IF(VLOOKUP(M41, $AD:$AG, 3, false) &lt;&gt; """", VL"&amp;"OOKUP(M41, $AD:$AG, 3, false), VLOOKUP(M41, $AD:$AG, 4, false))),
            L41),
        SUM(OFFSET(DVT_Laboratory!$A$3, Start_Level , IF(ISNUMBER(SEARCH(""mastery"", M41)), MATCH(""Card Mastery"", DVT_Laboratory!$A$1:$MY$1, 0), MATCH(M41, DVT_Laborato"&amp;"ry!$A$1:$MY$1, 0)), End_Level - Start_Level, 1)) * (1-LAB_COIN_DISCOUNT())), ""Levels Error!""))"),"")</f>
        <v/>
      </c>
      <c r="Q41" s="839" t="str">
        <f>IFERROR(__xludf.DUMMYFUNCTION("IFS(M41 = """", """", 
    VLOOKUP(M41, $AD:$AG, 2, false) = VLOOKUP(M41, $AD:$AG, 4, false), ""MAX Level"",
    AND(VLOOKUP(M41, $AD:$AG, 3, false) &lt;&gt; """", VLOOKUP(M41, $AD:$AG, 2, false) = VLOOKUP(M41, $AD:$AG, 3, false)), ""At Target"",
    TRUE,
    "&amp;"IFERROR(LET(
        Labspeed, IF(M41=""Labs Speed"", 1+'Master Sheet'!$BK$5, LAB_SPEED_TOTAL()),
        Start_Level, IF(K41 = """",
            VLOOKUP(M41, $AD:$AG, 2, false),
            IF(ISBETWEEN(K41, VALUE(VLOOKUP(M41, $AD:$AG, 2, false)), VALUE("&amp;"VLOOKUP(M41, $AD:$AG, 4, false))), K41, """")),
        End_Level, IF(OR(L41 = """", NOT(ISBETWEEN(L41, VALUE(VLOOKUP(M41, $AD:$AG, 2, false)), VALUE(VLOOKUP(M41, $AD:$AG, 4, false)),0,1))),
            SWITCH($W$38,
                ""Max"", VLOOKUP(M41, "&amp;"$AD:$AG, 4, false),
                ""Target"", IF(VLOOKUP(M41, $AD:$AG, 3, false) &lt;&gt; """", VLOOKUP(M41, $AD:$AG, 3, false), VLOOKUP(M41, $AD:$AG, 4, false))),
            L41),
        SUM(OFFSET(DVT_Laboratory!$A$3, Start_Level , IF(ISNUMBER(SEARCH(""ma"&amp;"stery"", M41)), MATCH(""Card Mastery"", DVT_Laboratory!$A$1:$MY$1, 0), MATCH(M41, DVT_Laboratory!$A$1:$MY$1, 0)) - 1, End_Level - Start_Level, 1)) /
                (1 * REGEXEXTRACT(N$28, ""[\d.-]+"")) /
                Labspeed), ""Levels Error!""))"),"")</f>
        <v/>
      </c>
      <c r="R41" s="598"/>
      <c r="S41" s="594"/>
      <c r="T41" s="635"/>
      <c r="U41" s="898" t="str">
        <f>SWITCH(V41,
"", "Select one →",
"Show Date", "Showing Dates →",
"Show Running Date", "Showing Running Date →",
"Show Time", "Showing Time →")</f>
        <v>Showing Time →</v>
      </c>
      <c r="V41" s="899" t="s">
        <v>475</v>
      </c>
      <c r="W41" s="900"/>
      <c r="X41" s="785"/>
      <c r="Y41" s="786"/>
      <c r="Z41" s="598"/>
      <c r="AA41" s="781"/>
      <c r="AB41" s="901" t="s">
        <v>476</v>
      </c>
      <c r="AC41" s="713" t="str">
        <f>IFERROR(__xludf.DUMMYFUNCTION("""COMPUTED_VALUE"""),"Coins / Kill Bonus")</f>
        <v>Coins / Kill Bonus</v>
      </c>
      <c r="AD41" s="816" t="s">
        <v>183</v>
      </c>
      <c r="AE41" s="713">
        <v>87.0</v>
      </c>
      <c r="AF41" s="713"/>
      <c r="AG41" s="713">
        <v>99.0</v>
      </c>
      <c r="AH41" s="737" t="str">
        <f>IFERROR(__xludf.DUMMYFUNCTION("IFERROR(IF(C24 = """", SEQUENCE(1, VALUE(VLOOKUP(E24, AD:AG, 4, false)) - VALUE(VLOOKUP(E24, AD:AG, 2, false)), VALUE(VLOOKUP(E24, AD:AG, 2, false)) + 1),
    IF(ISBETWEEN(C24, VALUE(VLOOKUP(E24, AD:AG, 2, false)), VALUE(VLOOKUP(E24, AD:AG, 4, false))),
 "&amp;"       SEQUENCE(1, VALUE(VLOOKUP(E24, AD:AG, 4, false)) - C24, C24 + 1),
        """")))"),"")</f>
        <v/>
      </c>
      <c r="AI41" s="713"/>
      <c r="AJ41" s="713"/>
      <c r="AK41" s="713"/>
      <c r="AL41" s="713"/>
      <c r="AM41" s="713"/>
      <c r="AN41" s="713"/>
      <c r="AO41" s="713"/>
      <c r="AP41" s="713"/>
      <c r="AQ41" s="713"/>
      <c r="AR41" s="713"/>
      <c r="AS41" s="713"/>
      <c r="AT41" s="713"/>
      <c r="AU41" s="713"/>
      <c r="AV41" s="713"/>
      <c r="AW41" s="713"/>
      <c r="AX41" s="713"/>
      <c r="AY41" s="713"/>
      <c r="AZ41" s="713"/>
      <c r="BA41" s="713"/>
      <c r="BB41" s="713"/>
      <c r="BC41" s="713"/>
      <c r="BD41" s="713"/>
      <c r="BE41" s="713"/>
      <c r="BF41" s="713"/>
      <c r="BG41" s="713"/>
      <c r="BH41" s="713"/>
      <c r="BI41" s="713"/>
      <c r="BJ41" s="713"/>
      <c r="BK41" s="713"/>
      <c r="BL41" s="713"/>
      <c r="BM41" s="713"/>
      <c r="BN41" s="713"/>
      <c r="BO41" s="713"/>
      <c r="BP41" s="713"/>
      <c r="BQ41" s="713"/>
      <c r="BR41" s="713"/>
      <c r="BS41" s="713"/>
      <c r="BT41" s="713"/>
      <c r="BU41" s="713"/>
      <c r="BV41" s="713"/>
      <c r="BW41" s="713"/>
      <c r="BX41" s="713"/>
      <c r="BY41" s="713"/>
      <c r="BZ41" s="713"/>
      <c r="CA41" s="713"/>
      <c r="CB41" s="713"/>
      <c r="CC41" s="713"/>
      <c r="CD41" s="713"/>
      <c r="CE41" s="713"/>
      <c r="CF41" s="713"/>
      <c r="CG41" s="713"/>
      <c r="CH41" s="713"/>
      <c r="CI41" s="713"/>
      <c r="CJ41" s="713"/>
      <c r="CK41" s="713"/>
      <c r="CL41" s="713"/>
      <c r="CM41" s="713"/>
      <c r="CN41" s="713"/>
      <c r="CO41" s="713"/>
      <c r="CP41" s="713"/>
      <c r="CQ41" s="713"/>
      <c r="CR41" s="713"/>
      <c r="CS41" s="713"/>
      <c r="CT41" s="713"/>
      <c r="CU41" s="713"/>
      <c r="CV41" s="713"/>
      <c r="CW41" s="713"/>
      <c r="CX41" s="713"/>
      <c r="CY41" s="713"/>
      <c r="CZ41" s="713"/>
      <c r="DA41" s="713"/>
      <c r="DB41" s="713"/>
      <c r="DC41" s="713"/>
      <c r="DD41" s="713"/>
      <c r="DE41" s="713"/>
      <c r="DF41" s="713"/>
      <c r="DG41" s="713"/>
      <c r="DH41" s="713"/>
      <c r="DI41" s="713"/>
      <c r="DJ41" s="713"/>
      <c r="DK41" s="713"/>
      <c r="DL41" s="713"/>
      <c r="DM41" s="713"/>
      <c r="DN41" s="713"/>
      <c r="DO41" s="713"/>
      <c r="DP41" s="713"/>
      <c r="DQ41" s="713"/>
      <c r="DR41" s="713"/>
      <c r="DS41" s="713"/>
      <c r="DT41" s="713"/>
      <c r="DU41" s="713"/>
      <c r="DV41" s="713"/>
      <c r="DW41" s="713"/>
      <c r="DX41" s="713"/>
      <c r="DY41" s="713"/>
      <c r="DZ41" s="713"/>
      <c r="EA41" s="713"/>
      <c r="EB41" s="713"/>
      <c r="EC41" s="713"/>
      <c r="ED41" s="713"/>
      <c r="EE41" s="713"/>
      <c r="EF41" s="713"/>
      <c r="EG41" s="713"/>
      <c r="EH41" s="713"/>
      <c r="EI41" s="713"/>
      <c r="EJ41" s="713"/>
      <c r="EK41" s="713"/>
      <c r="EL41" s="713"/>
      <c r="EM41" s="713"/>
      <c r="EN41" s="713"/>
      <c r="EO41" s="713"/>
      <c r="EP41" s="713"/>
      <c r="EQ41" s="713"/>
      <c r="ER41" s="713"/>
      <c r="ES41" s="713"/>
      <c r="ET41" s="713"/>
      <c r="EU41" s="713"/>
      <c r="EV41" s="713"/>
      <c r="EW41" s="713"/>
      <c r="EX41" s="713"/>
      <c r="EY41" s="713"/>
      <c r="EZ41" s="713"/>
      <c r="FA41" s="713"/>
      <c r="FB41" s="713"/>
      <c r="FC41" s="713"/>
      <c r="FD41" s="713"/>
      <c r="FE41" s="713"/>
      <c r="FF41" s="713"/>
      <c r="FG41" s="713"/>
      <c r="FH41" s="713"/>
      <c r="FI41" s="713"/>
      <c r="FJ41" s="713"/>
      <c r="FK41" s="713"/>
      <c r="FL41" s="713"/>
      <c r="FM41" s="713"/>
      <c r="FN41" s="713"/>
      <c r="FO41" s="713"/>
      <c r="FP41" s="713"/>
      <c r="FQ41" s="713"/>
      <c r="FR41" s="713"/>
      <c r="FS41" s="713"/>
      <c r="FT41" s="713"/>
      <c r="FU41" s="713"/>
      <c r="FV41" s="713"/>
      <c r="FW41" s="713"/>
      <c r="FX41" s="713"/>
      <c r="FY41" s="713"/>
      <c r="FZ41" s="713"/>
      <c r="GA41" s="713"/>
      <c r="GB41" s="713"/>
      <c r="GC41" s="713"/>
      <c r="GD41" s="713"/>
      <c r="GE41" s="713"/>
      <c r="GF41" s="713"/>
      <c r="GG41" s="713"/>
      <c r="GH41" s="713"/>
      <c r="GI41" s="713"/>
      <c r="GJ41" s="713"/>
      <c r="GK41" s="713"/>
      <c r="GL41" s="713"/>
      <c r="GM41" s="713"/>
      <c r="GN41" s="713"/>
      <c r="GO41" s="713"/>
      <c r="GP41" s="713"/>
      <c r="GQ41" s="713"/>
      <c r="GR41" s="713"/>
      <c r="GS41" s="713"/>
      <c r="GT41" s="713"/>
      <c r="GU41" s="713"/>
      <c r="GV41" s="713"/>
      <c r="GW41" s="713"/>
      <c r="GX41" s="713"/>
      <c r="GY41" s="713"/>
      <c r="GZ41" s="713"/>
      <c r="HA41" s="713"/>
      <c r="HB41" s="713"/>
      <c r="HC41" s="713"/>
      <c r="HD41" s="713"/>
      <c r="HE41" s="713"/>
      <c r="HF41" s="713"/>
      <c r="HG41" s="713"/>
      <c r="HH41" s="713"/>
      <c r="HI41" s="713"/>
      <c r="HJ41" s="713"/>
      <c r="HK41" s="713"/>
      <c r="HL41" s="713"/>
      <c r="HM41" s="713"/>
      <c r="HN41" s="713"/>
      <c r="HO41" s="713"/>
      <c r="HP41" s="713"/>
      <c r="HQ41" s="713"/>
      <c r="HR41" s="713"/>
      <c r="HS41" s="713"/>
      <c r="HT41" s="713"/>
      <c r="HU41" s="713"/>
      <c r="HV41" s="713"/>
      <c r="HW41" s="713"/>
      <c r="HX41" s="713"/>
      <c r="HY41" s="713"/>
      <c r="HZ41" s="713"/>
      <c r="IA41" s="713"/>
      <c r="IB41" s="713"/>
      <c r="IC41" s="713"/>
      <c r="ID41" s="713"/>
      <c r="IE41" s="713"/>
      <c r="IF41" s="713"/>
      <c r="IG41" s="713"/>
      <c r="IH41" s="713"/>
    </row>
    <row r="42" hidden="1" outlineLevel="1">
      <c r="A42" s="598"/>
      <c r="B42" s="807" t="str">
        <f t="shared" si="12"/>
        <v/>
      </c>
      <c r="C42" s="855"/>
      <c r="D42" s="881"/>
      <c r="E42" s="894"/>
      <c r="F42" s="895" t="str">
        <f>IFERROR(__xludf.DUMMYFUNCTION("IFERROR(IF(H42 = """", """",
    SWITCH($W$37,
        ""Total"", "" "" &amp; FORMAT_NUMBER(H42),
        ""Daily"", LET(Lab_name, IF(REGEXMATCH(E42, ""Mastery""), ""Card Mastery"", E42),
            Level, IF(ISBETWEEN(C42, VLOOKUP(E42, $AD:$AG, 2, FALSE), V"&amp;"LOOKUP(E42, $AD:$AG, 4, FALSE), TRUE, FALSE), C42, VLOOKUP(E42, $AD:$AG, 2, FALSE)),
            IF(LABCOST_SINGLE_ADJUSTED(Lab_name, Level + 1) = 0, ""0 (Max)"",
            "" "" &amp; FORMAT_NUMBER(            
                    LABCOST_SINGLE_ADJUSTED(L"&amp;"ab_name, Level + 1) / 
                    (LABDURATION_SINGLE_ADJUSTED(Lab_name, Level + 1) /
                    (1 * REGEXEXTRACT(F$28, ""[\d.-]+"")))))),
        ""Gem Rush"", LET(
            Labspeed, IF(E42=""Labs Speed"", 1+'Master Sheet'!$BK$5, L"&amp;"AB_SPEED_TOTAL()),
            Start_Level, IF(C42 = """",
                VLOOKUP(E42, $AD:$AG, 2, false),
                IF(ISBETWEEN(C42, VALUE(VLOOKUP(E42, $AD:$AG, 2, false)), VALUE(VLOOKUP(E42, $AD:$AG, 4, false))), C42, """")),
            End_Lev"&amp;"el, IF(OR(D42 = """", NOT(ISBETWEEN(D42, VALUE(VLOOKUP(E42, $AD:$AG, 2, false)), VALUE(VLOOKUP(E42, $AD:$AG, 4, false)),0,1))),
                SWITCH($W$38,
                    ""Max"", VLOOKUP(E42, $AD:$AG, 4, false),
                    ""Target"", IF("&amp;"VLOOKUP(E42, $AD:$AG, 3, false) &lt;&gt; """", VLOOKUP(E42, $AD:$AG, 3, false), VLOOKUP(E42, $AD:$AG, 4, false))),
                    D42),
            SUM(ARRAYFORMULA(TIME_TO_RUSH_GEMS( OFFSET(DVT_Laboratory!$A$3, Start_Level , IF(ISNUMBER(SEARCH(""mastery"""&amp;", E42)), MATCH(""Card Mastery"", DVT_Laboratory!$A$1:$LO$1, 0), MATCH(E42, DVT_Laboratory!$A$1:$LO$1, 0)) - 1, End_Level - Start_Level, 1) / Labspeed)))))))"),"")</f>
        <v/>
      </c>
      <c r="G42" s="896" t="str">
        <f t="shared" si="16"/>
        <v/>
      </c>
      <c r="H42" s="792" t="str">
        <f>IFERROR(__xludf.DUMMYFUNCTION("IFS(E42 = """", """", 
    VLOOKUP(E42, $AD:$AG, 2, false) = VLOOKUP(E42, $AD:$AG, 4, false), ""MAX Level"",
    AND(VLOOKUP(E42, $AD:$AG, 3, false) &lt;&gt; """", VLOOKUP(E42, $AD:$AG, 2, false) = VLOOKUP(E42, $AD:$AG, 3, false)), ""At Target"",
    TRUE,
    "&amp;"IFERROR(LET(Start_Level, IF(C42 = """",
            VLOOKUP(E42, $AD:$AG, 2, false),
            IF(ISBETWEEN(C42, VALUE(VLOOKUP(E42, $AD:$AG, 2, false)), VALUE(VLOOKUP(E42, $AD:$AG, 4, false))), C42, """")),
        End_Level, IF(OR(D42 = """", NOT(ISBET"&amp;"WEEN(D42, VALUE(VLOOKUP(E42, $AD:$AG, 2, false)), VALUE(VLOOKUP(E42, $AD:$AG, 4, false)),0,1))),
            SWITCH($W$38,
                ""Max"", VLOOKUP(E42, $AD:$AG, 4, false),
                ""Target"", IF(VLOOKUP(E42, $AD:$AG, 3, false) &lt;&gt; """", VL"&amp;"OOKUP(E42, $AD:$AG, 3, false), VLOOKUP(E42, $AD:$AG, 4, false))),
            D42),
        SUM(OFFSET(DVT_Laboratory!$A$3, Start_Level , IF(ISNUMBER(SEARCH(""mastery"", E42)), MATCH(""Card Mastery"", DVT_Laboratory!$A$1:$MY$1, 0), MATCH(E42, DVT_Laborato"&amp;"ry!$A$1:$MY$1, 0)), End_Level - Start_Level, 1)) * (1-LAB_COIN_DISCOUNT())), ""Levels Error!""))"),"")</f>
        <v/>
      </c>
      <c r="I42" s="793" t="str">
        <f>IFERROR(__xludf.DUMMYFUNCTION("IFS(E42 = """", """", 
    VLOOKUP(E42, $AD:$AG, 2, false) = VLOOKUP(E42, $AD:$AG, 4, false), ""MAX Level"",
    AND(VLOOKUP(E42, $AD:$AG, 3, false) &lt;&gt; """", VLOOKUP(E42, $AD:$AG, 2, false) = VLOOKUP(E42, $AD:$AG, 3, false)), ""At Target"",
    TRUE,
    "&amp;"IFERROR(LET(
        Labspeed, IF(E42=""Labs Speed"", 1+'Master Sheet'!$BK$5, LAB_SPEED_TOTAL()),
        Start_Level, IF(C42 = """",
            VLOOKUP(E42, $AD:$AG, 2, false),
            IF(ISBETWEEN(C42, VALUE(VLOOKUP(E42, $AD:$AG, 2, false)), VALUE("&amp;"VLOOKUP(E42, $AD:$AG, 4, false))), C42, """")),
        End_Level, IF(OR(D42 = """", NOT(ISBETWEEN(D42, VALUE(VLOOKUP(E42, $AD:$AG, 2, false)), VALUE(VLOOKUP(E42, $AD:$AG, 4, false)),0,1))),
            SWITCH($W$38,
                ""Max"", VLOOKUP(E42, "&amp;"$AD:$AG, 4, false),
                ""Target"", IF(VLOOKUP(E42, $AD:$AG, 3, false) &lt;&gt; """", VLOOKUP(E42, $AD:$AG, 3, false), VLOOKUP(E42, $AD:$AG, 4, false))),
            D42),
        SUM(OFFSET(DVT_Laboratory!$A$3, Start_Level , IF(ISNUMBER(SEARCH(""ma"&amp;"stery"", E42)), MATCH(""Card Mastery"", DVT_Laboratory!$A$1:$MY$1, 0), MATCH(E42, DVT_Laboratory!$A$1:$MY$1, 0)) - 1, End_Level - Start_Level, 1)) /
                (1 * REGEXEXTRACT(F$2, ""[\d.-]+"")) /
                Labspeed), ""Levels Error!""))"),"")</f>
        <v/>
      </c>
      <c r="J42" s="809" t="str">
        <f t="shared" si="14"/>
        <v/>
      </c>
      <c r="K42" s="861"/>
      <c r="L42" s="873"/>
      <c r="M42" s="835"/>
      <c r="N42" s="849" t="str">
        <f>IFERROR(__xludf.DUMMYFUNCTION("IFERROR(IF(P42 = """", """",
    SWITCH($W$37,
        ""Total"", "" "" &amp; FORMAT_NUMBER(P42),
        ""Daily"", LET(Lab_name, IF(REGEXMATCH(M42, ""Mastery""), ""Card Mastery"", M42),
            Level, IF(ISBETWEEN(K42, VLOOKUP(M42, $AD:$AG, 2, FALSE), V"&amp;"LOOKUP(M42, $AD:$AG, 4, FALSE), TRUE, FALSE), K42, VLOOKUP(M42, $AD:$AG, 2, FALSE)),
            IF(LABCOST_SINGLE_ADJUSTED(Lab_name, Level + 1) = 0, ""0 (Max)"",
            "" "" &amp; FORMAT_NUMBER(            
                    LABCOST_SINGLE_ADJUSTED(L"&amp;"ab_name, Level + 1) / 
                    (LABDURATION_SINGLE_ADJUSTED(Lab_name, Level + 1) /
                    (1 * REGEXEXTRACT(N$28, ""[\d.-]+"")))))),
        ""Gem Rush"", LET(
            Labspeed, IF(M42=""Labs Speed"", 1+'Master Sheet'!$BK$5, L"&amp;"AB_SPEED_TOTAL()),
            Start_Level, IF(K42 = """",
                VLOOKUP(M42, $AD:$AG, 2, false),
                IF(ISBETWEEN(K42, VALUE(VLOOKUP(M42, $AD:$AG, 2, false)), VALUE(VLOOKUP(M42, $AD:$AG, 4, false))), K42, """")),
            End_Lev"&amp;"el, IF(OR(L42 = """", NOT(ISBETWEEN(L42, VALUE(VLOOKUP(M42, $AD:$AG, 2, false)), VALUE(VLOOKUP(M42, $AD:$AG, 4, false)),0,1))),
                SWITCH($W$38,
                    ""Max"", VLOOKUP(M42, $AD:$AG, 4, false),
                    ""Target"", IF("&amp;"VLOOKUP(M42, $AD:$AG, 3, false) &lt;&gt; """", VLOOKUP(M42, $AD:$AG, 3, false), VLOOKUP(M42, $AD:$AG, 4, false))),
                    L42),
            SUM(ARRAYFORMULA(TIME_TO_RUSH_GEMS( OFFSET(DVT_Laboratory!$A$3, Start_Level , IF(ISNUMBER(SEARCH(""mastery"""&amp;", M42)), MATCH(""Card Mastery"", DVT_Laboratory!$A$1:$LO$1, 0), MATCH(M42, DVT_Laboratory!$A$1:$LO$1, 0)) - 1, End_Level - Start_Level, 1) / Labspeed)))))))"),"")</f>
        <v/>
      </c>
      <c r="O42" s="897" t="str">
        <f t="shared" si="17"/>
        <v/>
      </c>
      <c r="P42" s="797" t="str">
        <f>IFERROR(__xludf.DUMMYFUNCTION("IFS(M42 = """", """", 
    VLOOKUP(M42, $AD:$AG, 2, false) = VLOOKUP(M42, $AD:$AG, 4, false), ""MAX Level"",
    AND(VLOOKUP(M42, $AD:$AG, 3, false) &lt;&gt; """", VLOOKUP(M42, $AD:$AG, 2, false) = VLOOKUP(M42, $AD:$AG, 3, false)), ""At Target"",
    TRUE,
    "&amp;"IFERROR(LET(Start_Level, IF(K42 = """",
            VLOOKUP(M42, $AD:$AG, 2, false),
            IF(ISBETWEEN(K42, VALUE(VLOOKUP(M42, $AD:$AG, 2, false)), VALUE(VLOOKUP(M42, $AD:$AG, 4, false))), K42, """")),
        End_Level, IF(OR(L42 = """", NOT(ISBET"&amp;"WEEN(L42, VALUE(VLOOKUP(M42, $AD:$AG, 2, false)), VALUE(VLOOKUP(M42, $AD:$AG, 4, false)),0,1))),
            SWITCH($W$38,
                ""Max"", VLOOKUP(M42, $AD:$AG, 4, false),
                ""Target"", IF(VLOOKUP(M42, $AD:$AG, 3, false) &lt;&gt; """", VL"&amp;"OOKUP(M42, $AD:$AG, 3, false), VLOOKUP(M42, $AD:$AG, 4, false))),
            L42),
        SUM(OFFSET(DVT_Laboratory!$A$3, Start_Level , IF(ISNUMBER(SEARCH(""mastery"", M42)), MATCH(""Card Mastery"", DVT_Laboratory!$A$1:$MY$1, 0), MATCH(M42, DVT_Laborato"&amp;"ry!$A$1:$MY$1, 0)), End_Level - Start_Level, 1)) * (1-LAB_COIN_DISCOUNT())), ""Levels Error!""))"),"")</f>
        <v/>
      </c>
      <c r="Q42" s="798" t="str">
        <f>IFERROR(__xludf.DUMMYFUNCTION("IFS(M42 = """", """", 
    VLOOKUP(M42, $AD:$AG, 2, false) = VLOOKUP(M42, $AD:$AG, 4, false), ""MAX Level"",
    AND(VLOOKUP(M42, $AD:$AG, 3, false) &lt;&gt; """", VLOOKUP(M42, $AD:$AG, 2, false) = VLOOKUP(M42, $AD:$AG, 3, false)), ""At Target"",
    TRUE,
    "&amp;"IFERROR(LET(
        Labspeed, IF(M42=""Labs Speed"", 1+'Master Sheet'!$BK$5, LAB_SPEED_TOTAL()),
        Start_Level, IF(K42 = """",
            VLOOKUP(M42, $AD:$AG, 2, false),
            IF(ISBETWEEN(K42, VALUE(VLOOKUP(M42, $AD:$AG, 2, false)), VALUE("&amp;"VLOOKUP(M42, $AD:$AG, 4, false))), K42, """")),
        End_Level, IF(OR(L42 = """", NOT(ISBETWEEN(L42, VALUE(VLOOKUP(M42, $AD:$AG, 2, false)), VALUE(VLOOKUP(M42, $AD:$AG, 4, false)),0,1))),
            SWITCH($W$38,
                ""Max"", VLOOKUP(M42, "&amp;"$AD:$AG, 4, false),
                ""Target"", IF(VLOOKUP(M42, $AD:$AG, 3, false) &lt;&gt; """", VLOOKUP(M42, $AD:$AG, 3, false), VLOOKUP(M42, $AD:$AG, 4, false))),
            L42),
        SUM(OFFSET(DVT_Laboratory!$A$3, Start_Level , IF(ISNUMBER(SEARCH(""ma"&amp;"stery"", M42)), MATCH(""Card Mastery"", DVT_Laboratory!$A$1:$MY$1, 0), MATCH(M42, DVT_Laboratory!$A$1:$MY$1, 0)) - 1, End_Level - Start_Level, 1)) /
                (1 * REGEXEXTRACT(N$2, ""[\d.-]+"")) /
                Labspeed), ""Levels Error!""))"),"")</f>
        <v/>
      </c>
      <c r="R42" s="598"/>
      <c r="S42" s="594"/>
      <c r="T42" s="874"/>
      <c r="U42" s="902"/>
      <c r="V42" s="902"/>
      <c r="W42" s="902"/>
      <c r="X42" s="785"/>
      <c r="Y42" s="786"/>
      <c r="Z42" s="598"/>
      <c r="AA42" s="781"/>
      <c r="AB42" s="903" t="s">
        <v>477</v>
      </c>
      <c r="AC42" s="713" t="str">
        <f>IFERROR(__xludf.DUMMYFUNCTION("""COMPUTED_VALUE"""),"Coins / Wave")</f>
        <v>Coins / Wave</v>
      </c>
      <c r="AD42" s="816" t="s">
        <v>199</v>
      </c>
      <c r="AE42" s="713">
        <v>6.0</v>
      </c>
      <c r="AF42" s="713"/>
      <c r="AG42" s="713">
        <v>99.0</v>
      </c>
      <c r="AI42" s="713"/>
      <c r="AJ42" s="713"/>
      <c r="AK42" s="713"/>
      <c r="AL42" s="713"/>
      <c r="AM42" s="713"/>
      <c r="AN42" s="713"/>
      <c r="AO42" s="713"/>
      <c r="AP42" s="713"/>
      <c r="AQ42" s="713"/>
      <c r="AR42" s="713"/>
      <c r="AS42" s="713"/>
      <c r="AT42" s="713"/>
      <c r="AU42" s="713"/>
      <c r="AV42" s="713"/>
      <c r="AW42" s="713"/>
      <c r="AX42" s="713"/>
      <c r="AY42" s="713"/>
      <c r="AZ42" s="713"/>
      <c r="BA42" s="713"/>
      <c r="BB42" s="713"/>
      <c r="BC42" s="713"/>
      <c r="BD42" s="713"/>
      <c r="BE42" s="713"/>
      <c r="BF42" s="713"/>
      <c r="BG42" s="713"/>
      <c r="BH42" s="713"/>
      <c r="BI42" s="713"/>
      <c r="BJ42" s="713"/>
      <c r="BK42" s="713"/>
      <c r="BL42" s="713"/>
      <c r="BM42" s="713"/>
      <c r="BN42" s="713"/>
      <c r="BO42" s="713"/>
      <c r="BP42" s="713"/>
      <c r="BQ42" s="713"/>
      <c r="BR42" s="713"/>
      <c r="BS42" s="713"/>
      <c r="BT42" s="713"/>
      <c r="BU42" s="713"/>
      <c r="BV42" s="713"/>
      <c r="BW42" s="713"/>
      <c r="BX42" s="713"/>
      <c r="BY42" s="713"/>
      <c r="BZ42" s="713"/>
      <c r="CA42" s="713"/>
      <c r="CB42" s="713"/>
      <c r="CC42" s="713"/>
      <c r="CD42" s="713"/>
      <c r="CE42" s="713"/>
      <c r="CF42" s="713"/>
      <c r="CG42" s="713"/>
      <c r="CH42" s="713"/>
      <c r="CI42" s="713"/>
      <c r="CJ42" s="713"/>
      <c r="CK42" s="713"/>
      <c r="CL42" s="713"/>
      <c r="CM42" s="713"/>
      <c r="CN42" s="713"/>
      <c r="CO42" s="713"/>
      <c r="CP42" s="713"/>
      <c r="CQ42" s="713"/>
      <c r="CR42" s="713"/>
      <c r="CS42" s="713"/>
      <c r="CT42" s="713"/>
      <c r="CU42" s="713"/>
      <c r="CV42" s="713"/>
      <c r="CW42" s="713"/>
      <c r="CX42" s="713"/>
      <c r="CY42" s="713"/>
      <c r="CZ42" s="713"/>
      <c r="DA42" s="713"/>
      <c r="DB42" s="713"/>
      <c r="DC42" s="713"/>
      <c r="DD42" s="713"/>
      <c r="DE42" s="713"/>
      <c r="DF42" s="713"/>
      <c r="DG42" s="713"/>
      <c r="DH42" s="713"/>
      <c r="DI42" s="713"/>
      <c r="DJ42" s="713"/>
      <c r="DK42" s="713"/>
      <c r="DL42" s="713"/>
      <c r="DM42" s="713"/>
      <c r="DN42" s="713"/>
      <c r="DO42" s="713"/>
      <c r="DP42" s="713"/>
      <c r="DQ42" s="713"/>
      <c r="DR42" s="713"/>
      <c r="DS42" s="713"/>
      <c r="DT42" s="713"/>
      <c r="DU42" s="713"/>
      <c r="DV42" s="713"/>
      <c r="DW42" s="713"/>
      <c r="DX42" s="713"/>
      <c r="DY42" s="713"/>
      <c r="DZ42" s="713"/>
      <c r="EA42" s="713"/>
      <c r="EB42" s="713"/>
      <c r="EC42" s="713"/>
      <c r="ED42" s="713"/>
      <c r="EE42" s="713"/>
      <c r="EF42" s="713"/>
      <c r="EG42" s="713"/>
      <c r="EH42" s="713"/>
      <c r="EI42" s="713"/>
      <c r="EJ42" s="713"/>
      <c r="EK42" s="713"/>
      <c r="EL42" s="713"/>
      <c r="EM42" s="713"/>
      <c r="EN42" s="713"/>
      <c r="EO42" s="713"/>
      <c r="EP42" s="713"/>
      <c r="EQ42" s="713"/>
      <c r="ER42" s="713"/>
      <c r="ES42" s="713"/>
      <c r="ET42" s="713"/>
      <c r="EU42" s="713"/>
      <c r="EV42" s="713"/>
      <c r="EW42" s="713"/>
      <c r="EX42" s="713"/>
      <c r="EY42" s="713"/>
      <c r="EZ42" s="713"/>
      <c r="FA42" s="713"/>
      <c r="FB42" s="713"/>
      <c r="FC42" s="713"/>
      <c r="FD42" s="713"/>
      <c r="FE42" s="713"/>
      <c r="FF42" s="713"/>
      <c r="FG42" s="713"/>
      <c r="FH42" s="713"/>
      <c r="FI42" s="713"/>
      <c r="FJ42" s="713"/>
      <c r="FK42" s="713"/>
      <c r="FL42" s="713"/>
      <c r="FM42" s="713"/>
      <c r="FN42" s="713"/>
      <c r="FO42" s="713"/>
      <c r="FP42" s="713"/>
      <c r="FQ42" s="713"/>
      <c r="FR42" s="713"/>
      <c r="FS42" s="713"/>
      <c r="FT42" s="713"/>
      <c r="FU42" s="713"/>
      <c r="FV42" s="713"/>
      <c r="FW42" s="713"/>
      <c r="FX42" s="713"/>
      <c r="FY42" s="713"/>
      <c r="FZ42" s="713"/>
      <c r="GA42" s="713"/>
      <c r="GB42" s="713"/>
      <c r="GC42" s="713"/>
      <c r="GD42" s="713"/>
      <c r="GE42" s="713"/>
      <c r="GF42" s="713"/>
      <c r="GG42" s="713"/>
      <c r="GH42" s="713"/>
      <c r="GI42" s="713"/>
      <c r="GJ42" s="713"/>
      <c r="GK42" s="713"/>
      <c r="GL42" s="713"/>
      <c r="GM42" s="713"/>
      <c r="GN42" s="713"/>
      <c r="GO42" s="713"/>
      <c r="GP42" s="713"/>
      <c r="GQ42" s="713"/>
      <c r="GR42" s="713"/>
      <c r="GS42" s="713"/>
      <c r="GT42" s="713"/>
      <c r="GU42" s="713"/>
      <c r="GV42" s="713"/>
      <c r="GW42" s="713"/>
      <c r="GX42" s="713"/>
      <c r="GY42" s="713"/>
      <c r="GZ42" s="713"/>
      <c r="HA42" s="713"/>
      <c r="HB42" s="713"/>
      <c r="HC42" s="713"/>
      <c r="HD42" s="713"/>
      <c r="HE42" s="713"/>
      <c r="HF42" s="713"/>
      <c r="HG42" s="713"/>
      <c r="HH42" s="713"/>
      <c r="HI42" s="713"/>
      <c r="HJ42" s="713"/>
      <c r="HK42" s="713"/>
      <c r="HL42" s="713"/>
      <c r="HM42" s="713"/>
      <c r="HN42" s="713"/>
      <c r="HO42" s="713"/>
      <c r="HP42" s="713"/>
      <c r="HQ42" s="713"/>
      <c r="HR42" s="713"/>
      <c r="HS42" s="713"/>
      <c r="HT42" s="713"/>
      <c r="HU42" s="713"/>
      <c r="HV42" s="713"/>
      <c r="HW42" s="713"/>
      <c r="HX42" s="713"/>
      <c r="HY42" s="713"/>
      <c r="HZ42" s="713"/>
      <c r="IA42" s="713"/>
      <c r="IB42" s="713"/>
      <c r="IC42" s="713"/>
      <c r="ID42" s="713"/>
      <c r="IE42" s="713"/>
      <c r="IF42" s="713"/>
      <c r="IG42" s="713"/>
      <c r="IH42" s="713"/>
    </row>
    <row r="43" hidden="1" outlineLevel="1">
      <c r="A43" s="598"/>
      <c r="B43" s="807" t="str">
        <f t="shared" si="12"/>
        <v/>
      </c>
      <c r="C43" s="855"/>
      <c r="D43" s="881"/>
      <c r="E43" s="894"/>
      <c r="F43" s="895" t="str">
        <f>IFERROR(__xludf.DUMMYFUNCTION("IFERROR(IF(H43 = """", """",
    SWITCH($W$37,
        ""Total"", "" "" &amp; FORMAT_NUMBER(H43),
        ""Daily"", LET(Lab_name, IF(REGEXMATCH(E43, ""Mastery""), ""Card Mastery"", E43),
            Level, IF(ISBETWEEN(C43, VLOOKUP(E43, $AD:$AG, 2, FALSE), V"&amp;"LOOKUP(E43, $AD:$AG, 4, FALSE), TRUE, FALSE), C43, VLOOKUP(E43, $AD:$AG, 2, FALSE)),
            IF(LABCOST_SINGLE_ADJUSTED(Lab_name, Level + 1) = 0, ""0 (Max)"",
            "" "" &amp; FORMAT_NUMBER(            
                    LABCOST_SINGLE_ADJUSTED(L"&amp;"ab_name, Level + 1) / 
                    (LABDURATION_SINGLE_ADJUSTED(Lab_name, Level + 1) /
                    (1 * REGEXEXTRACT(F$28, ""[\d.-]+"")))))),
        ""Gem Rush"", LET(
            Labspeed, IF(E43=""Labs Speed"", 1+'Master Sheet'!$BK$5, L"&amp;"AB_SPEED_TOTAL()),
            Start_Level, IF(C43 = """",
                VLOOKUP(E43, $AD:$AG, 2, false),
                IF(ISBETWEEN(C43, VALUE(VLOOKUP(E43, $AD:$AG, 2, false)), VALUE(VLOOKUP(E43, $AD:$AG, 4, false))), C43, """")),
            End_Lev"&amp;"el, IF(OR(D43 = """", NOT(ISBETWEEN(D43, VALUE(VLOOKUP(E43, $AD:$AG, 2, false)), VALUE(VLOOKUP(E43, $AD:$AG, 4, false)),0,1))),
                SWITCH($W$38,
                    ""Max"", VLOOKUP(E43, $AD:$AG, 4, false),
                    ""Target"", IF("&amp;"VLOOKUP(E43, $AD:$AG, 3, false) &lt;&gt; """", VLOOKUP(E43, $AD:$AG, 3, false), VLOOKUP(E43, $AD:$AG, 4, false))),
                    D43),
            SUM(ARRAYFORMULA(TIME_TO_RUSH_GEMS( OFFSET(DVT_Laboratory!$A$3, Start_Level , IF(ISNUMBER(SEARCH(""mastery"""&amp;", E43)), MATCH(""Card Mastery"", DVT_Laboratory!$A$1:$LO$1, 0), MATCH(E43, DVT_Laboratory!$A$1:$LO$1, 0)) - 1, End_Level - Start_Level, 1) / Labspeed)))))))"),"")</f>
        <v/>
      </c>
      <c r="G43" s="896" t="str">
        <f t="shared" si="16"/>
        <v/>
      </c>
      <c r="H43" s="792" t="str">
        <f>IFERROR(__xludf.DUMMYFUNCTION("IFS(E43 = """", """", 
    VLOOKUP(E43, $AD:$AG, 2, false) = VLOOKUP(E43, $AD:$AG, 4, false), ""MAX Level"",
    AND(VLOOKUP(E43, $AD:$AG, 3, false) &lt;&gt; """", VLOOKUP(E43, $AD:$AG, 2, false) = VLOOKUP(E43, $AD:$AG, 3, false)), ""At Target"",
    TRUE,
    "&amp;"IFERROR(LET(Start_Level, IF(C43 = """",
            VLOOKUP(E43, $AD:$AG, 2, false),
            IF(ISBETWEEN(C43, VALUE(VLOOKUP(E43, $AD:$AG, 2, false)), VALUE(VLOOKUP(E43, $AD:$AG, 4, false))), C43, """")),
        End_Level, IF(OR(D43 = """", NOT(ISBET"&amp;"WEEN(D43, VALUE(VLOOKUP(E43, $AD:$AG, 2, false)), VALUE(VLOOKUP(E43, $AD:$AG, 4, false)),0,1))),
            SWITCH($W$38,
                ""Max"", VLOOKUP(E43, $AD:$AG, 4, false),
                ""Target"", IF(VLOOKUP(E43, $AD:$AG, 3, false) &lt;&gt; """", VL"&amp;"OOKUP(E43, $AD:$AG, 3, false), VLOOKUP(E43, $AD:$AG, 4, false))),
            D43),
        SUM(OFFSET(DVT_Laboratory!$A$3, Start_Level , IF(ISNUMBER(SEARCH(""mastery"", E43)), MATCH(""Card Mastery"", DVT_Laboratory!$A$1:$MY$1, 0), MATCH(E43, DVT_Laborato"&amp;"ry!$A$1:$MY$1, 0)), End_Level - Start_Level, 1)) * (1-LAB_COIN_DISCOUNT())), ""Levels Error!""))"),"")</f>
        <v/>
      </c>
      <c r="I43" s="793" t="str">
        <f>IFERROR(__xludf.DUMMYFUNCTION("IFS(E43 = """", """", 
    VLOOKUP(E43, $AD:$AG, 2, false) = VLOOKUP(E43, $AD:$AG, 4, false), ""MAX Level"",
    AND(VLOOKUP(E43, $AD:$AG, 3, false) &lt;&gt; """", VLOOKUP(E43, $AD:$AG, 2, false) = VLOOKUP(E43, $AD:$AG, 3, false)), ""At Target"",
    TRUE,
    "&amp;"IFERROR(LET(
        Labspeed, IF(E43=""Labs Speed"", 1+'Master Sheet'!$BK$5, LAB_SPEED_TOTAL()),
        Start_Level, IF(C43 = """",
            VLOOKUP(E43, $AD:$AG, 2, false),
            IF(ISBETWEEN(C43, VALUE(VLOOKUP(E43, $AD:$AG, 2, false)), VALUE("&amp;"VLOOKUP(E43, $AD:$AG, 4, false))), C43, """")),
        End_Level, IF(OR(D43 = """", NOT(ISBETWEEN(D43, VALUE(VLOOKUP(E43, $AD:$AG, 2, false)), VALUE(VLOOKUP(E43, $AD:$AG, 4, false)),0,1))),
            SWITCH($W$38,
                ""Max"", VLOOKUP(E43, "&amp;"$AD:$AG, 4, false),
                ""Target"", IF(VLOOKUP(E43, $AD:$AG, 3, false) &lt;&gt; """", VLOOKUP(E43, $AD:$AG, 3, false), VLOOKUP(E43, $AD:$AG, 4, false))),
            D43),
        SUM(OFFSET(DVT_Laboratory!$A$3, Start_Level , IF(ISNUMBER(SEARCH(""ma"&amp;"stery"", E43)), MATCH(""Card Mastery"", DVT_Laboratory!$A$1:$MY$1, 0), MATCH(E43, DVT_Laboratory!$A$1:$MY$1, 0)) - 1, End_Level - Start_Level, 1)) /
                (1 * REGEXEXTRACT(F$2, ""[\d.-]+"")) /
                Labspeed), ""Levels Error!""))"),"")</f>
        <v/>
      </c>
      <c r="J43" s="809" t="str">
        <f t="shared" si="14"/>
        <v/>
      </c>
      <c r="K43" s="861"/>
      <c r="L43" s="873"/>
      <c r="M43" s="835"/>
      <c r="N43" s="849" t="str">
        <f>IFERROR(__xludf.DUMMYFUNCTION("IFERROR(IF(P43 = """", """",
    SWITCH($W$37,
        ""Total"", "" "" &amp; FORMAT_NUMBER(P43),
        ""Daily"", LET(Lab_name, IF(REGEXMATCH(M43, ""Mastery""), ""Card Mastery"", M43),
            Level, IF(ISBETWEEN(K43, VLOOKUP(M43, $AD:$AG, 2, FALSE), V"&amp;"LOOKUP(M43, $AD:$AG, 4, FALSE), TRUE, FALSE), K43, VLOOKUP(M43, $AD:$AG, 2, FALSE)),
            IF(LABCOST_SINGLE_ADJUSTED(Lab_name, Level + 1) = 0, ""0 (Max)"",
            "" "" &amp; FORMAT_NUMBER(            
                    LABCOST_SINGLE_ADJUSTED(L"&amp;"ab_name, Level + 1) / 
                    (LABDURATION_SINGLE_ADJUSTED(Lab_name, Level + 1) /
                    (1 * REGEXEXTRACT(N$28, ""[\d.-]+"")))))),
        ""Gem Rush"", LET(
            Labspeed, IF(M43=""Labs Speed"", 1+'Master Sheet'!$BK$5, L"&amp;"AB_SPEED_TOTAL()),
            Start_Level, IF(K43 = """",
                VLOOKUP(M43, $AD:$AG, 2, false),
                IF(ISBETWEEN(K43, VALUE(VLOOKUP(M43, $AD:$AG, 2, false)), VALUE(VLOOKUP(M43, $AD:$AG, 4, false))), K43, """")),
            End_Lev"&amp;"el, IF(OR(L43 = """", NOT(ISBETWEEN(L43, VALUE(VLOOKUP(M43, $AD:$AG, 2, false)), VALUE(VLOOKUP(M43, $AD:$AG, 4, false)),0,1))),
                SWITCH($W$38,
                    ""Max"", VLOOKUP(M43, $AD:$AG, 4, false),
                    ""Target"", IF("&amp;"VLOOKUP(M43, $AD:$AG, 3, false) &lt;&gt; """", VLOOKUP(M43, $AD:$AG, 3, false), VLOOKUP(M43, $AD:$AG, 4, false))),
                    L43),
            SUM(ARRAYFORMULA(TIME_TO_RUSH_GEMS( OFFSET(DVT_Laboratory!$A$3, Start_Level , IF(ISNUMBER(SEARCH(""mastery"""&amp;", M43)), MATCH(""Card Mastery"", DVT_Laboratory!$A$1:$LO$1, 0), MATCH(M43, DVT_Laboratory!$A$1:$LO$1, 0)) - 1, End_Level - Start_Level, 1) / Labspeed)))))))"),"")</f>
        <v/>
      </c>
      <c r="O43" s="897" t="str">
        <f t="shared" si="17"/>
        <v/>
      </c>
      <c r="P43" s="797" t="str">
        <f>IFERROR(__xludf.DUMMYFUNCTION("IFS(M43 = """", """", 
    VLOOKUP(M43, $AD:$AG, 2, false) = VLOOKUP(M43, $AD:$AG, 4, false), ""MAX Level"",
    AND(VLOOKUP(M43, $AD:$AG, 3, false) &lt;&gt; """", VLOOKUP(M43, $AD:$AG, 2, false) = VLOOKUP(M43, $AD:$AG, 3, false)), ""At Target"",
    TRUE,
    "&amp;"IFERROR(LET(Start_Level, IF(K43 = """",
            VLOOKUP(M43, $AD:$AG, 2, false),
            IF(ISBETWEEN(K43, VALUE(VLOOKUP(M43, $AD:$AG, 2, false)), VALUE(VLOOKUP(M43, $AD:$AG, 4, false))), K43, """")),
        End_Level, IF(OR(L43 = """", NOT(ISBET"&amp;"WEEN(L43, VALUE(VLOOKUP(M43, $AD:$AG, 2, false)), VALUE(VLOOKUP(M43, $AD:$AG, 4, false)),0,1))),
            SWITCH($W$38,
                ""Max"", VLOOKUP(M43, $AD:$AG, 4, false),
                ""Target"", IF(VLOOKUP(M43, $AD:$AG, 3, false) &lt;&gt; """", VL"&amp;"OOKUP(M43, $AD:$AG, 3, false), VLOOKUP(M43, $AD:$AG, 4, false))),
            L43),
        SUM(OFFSET(DVT_Laboratory!$A$3, Start_Level , IF(ISNUMBER(SEARCH(""mastery"", M43)), MATCH(""Card Mastery"", DVT_Laboratory!$A$1:$MY$1, 0), MATCH(M43, DVT_Laborato"&amp;"ry!$A$1:$MY$1, 0)), End_Level - Start_Level, 1)) * (1-LAB_COIN_DISCOUNT())), ""Levels Error!""))"),"")</f>
        <v/>
      </c>
      <c r="Q43" s="798" t="str">
        <f>IFERROR(__xludf.DUMMYFUNCTION("IFS(M43 = """", """", 
    VLOOKUP(M43, $AD:$AG, 2, false) = VLOOKUP(M43, $AD:$AG, 4, false), ""MAX Level"",
    AND(VLOOKUP(M43, $AD:$AG, 3, false) &lt;&gt; """", VLOOKUP(M43, $AD:$AG, 2, false) = VLOOKUP(M43, $AD:$AG, 3, false)), ""At Target"",
    TRUE,
    "&amp;"IFERROR(LET(
        Labspeed, IF(M43=""Labs Speed"", 1+'Master Sheet'!$BK$5, LAB_SPEED_TOTAL()),
        Start_Level, IF(K43 = """",
            VLOOKUP(M43, $AD:$AG, 2, false),
            IF(ISBETWEEN(K43, VALUE(VLOOKUP(M43, $AD:$AG, 2, false)), VALUE("&amp;"VLOOKUP(M43, $AD:$AG, 4, false))), K43, """")),
        End_Level, IF(OR(L43 = """", NOT(ISBETWEEN(L43, VALUE(VLOOKUP(M43, $AD:$AG, 2, false)), VALUE(VLOOKUP(M43, $AD:$AG, 4, false)),0,1))),
            SWITCH($W$38,
                ""Max"", VLOOKUP(M43, "&amp;"$AD:$AG, 4, false),
                ""Target"", IF(VLOOKUP(M43, $AD:$AG, 3, false) &lt;&gt; """", VLOOKUP(M43, $AD:$AG, 3, false), VLOOKUP(M43, $AD:$AG, 4, false))),
            L43),
        SUM(OFFSET(DVT_Laboratory!$A$3, Start_Level , IF(ISNUMBER(SEARCH(""ma"&amp;"stery"", M43)), MATCH(""Card Mastery"", DVT_Laboratory!$A$1:$MY$1, 0), MATCH(M43, DVT_Laboratory!$A$1:$MY$1, 0)) - 1, End_Level - Start_Level, 1)) /
                (1 * REGEXEXTRACT(N$2, ""[\d.-]+"")) /
                Labspeed), ""Levels Error!""))"),"")</f>
        <v/>
      </c>
      <c r="R43" s="598"/>
      <c r="S43" s="594"/>
      <c r="T43" s="591"/>
      <c r="U43" s="904"/>
      <c r="V43" s="904"/>
      <c r="W43" s="904"/>
      <c r="X43" s="785"/>
      <c r="Y43" s="786"/>
      <c r="Z43" s="598"/>
      <c r="AA43" s="781"/>
      <c r="AB43" s="905" t="s">
        <v>478</v>
      </c>
      <c r="AC43" s="713" t="str">
        <f>IFERROR(__xludf.DUMMYFUNCTION("""COMPUTED_VALUE"""),"Coins Mastery")</f>
        <v>Coins Mastery</v>
      </c>
      <c r="AD43" s="825" t="s">
        <v>318</v>
      </c>
      <c r="AE43" s="713">
        <v>0.0</v>
      </c>
      <c r="AF43" s="713"/>
      <c r="AG43" s="713">
        <v>9.0</v>
      </c>
      <c r="AI43" s="713"/>
      <c r="AJ43" s="713"/>
      <c r="AK43" s="713"/>
      <c r="AL43" s="713"/>
      <c r="AM43" s="713"/>
      <c r="AN43" s="713"/>
      <c r="AO43" s="713"/>
      <c r="AP43" s="713"/>
      <c r="AQ43" s="713"/>
      <c r="AR43" s="713"/>
      <c r="AS43" s="713"/>
      <c r="AT43" s="713"/>
      <c r="AU43" s="713"/>
      <c r="AV43" s="713"/>
      <c r="AW43" s="713"/>
      <c r="AX43" s="713"/>
      <c r="AY43" s="713"/>
      <c r="AZ43" s="713"/>
      <c r="BA43" s="713"/>
      <c r="BB43" s="713"/>
      <c r="BC43" s="713"/>
      <c r="BD43" s="713"/>
      <c r="BE43" s="713"/>
      <c r="BF43" s="713"/>
      <c r="BG43" s="713"/>
      <c r="BH43" s="713"/>
      <c r="BI43" s="713"/>
      <c r="BJ43" s="713"/>
      <c r="BK43" s="713"/>
      <c r="BL43" s="713"/>
      <c r="BM43" s="713"/>
      <c r="BN43" s="713"/>
      <c r="BO43" s="713"/>
      <c r="BP43" s="713"/>
      <c r="BQ43" s="713"/>
      <c r="BR43" s="713"/>
      <c r="BS43" s="713"/>
      <c r="BT43" s="713"/>
      <c r="BU43" s="713"/>
      <c r="BV43" s="713"/>
      <c r="BW43" s="713"/>
      <c r="BX43" s="713"/>
      <c r="BY43" s="713"/>
      <c r="BZ43" s="713"/>
      <c r="CA43" s="713"/>
      <c r="CB43" s="713"/>
      <c r="CC43" s="713"/>
      <c r="CD43" s="713"/>
      <c r="CE43" s="713"/>
      <c r="CF43" s="713"/>
      <c r="CG43" s="713"/>
      <c r="CH43" s="713"/>
      <c r="CI43" s="713"/>
      <c r="CJ43" s="713"/>
      <c r="CK43" s="713"/>
      <c r="CL43" s="713"/>
      <c r="CM43" s="713"/>
      <c r="CN43" s="713"/>
      <c r="CO43" s="713"/>
      <c r="CP43" s="713"/>
      <c r="CQ43" s="713"/>
      <c r="CR43" s="713"/>
      <c r="CS43" s="713"/>
      <c r="CT43" s="713"/>
      <c r="CU43" s="713"/>
      <c r="CV43" s="713"/>
      <c r="CW43" s="713"/>
      <c r="CX43" s="713"/>
      <c r="CY43" s="713"/>
      <c r="CZ43" s="713"/>
      <c r="DA43" s="713"/>
      <c r="DB43" s="713"/>
      <c r="DC43" s="713"/>
      <c r="DD43" s="713"/>
      <c r="DE43" s="713"/>
      <c r="DF43" s="713"/>
      <c r="DG43" s="713"/>
      <c r="DH43" s="713"/>
      <c r="DI43" s="713"/>
      <c r="DJ43" s="713"/>
      <c r="DK43" s="713"/>
      <c r="DL43" s="713"/>
      <c r="DM43" s="713"/>
      <c r="DN43" s="713"/>
      <c r="DO43" s="713"/>
      <c r="DP43" s="713"/>
      <c r="DQ43" s="713"/>
      <c r="DR43" s="713"/>
      <c r="DS43" s="713"/>
      <c r="DT43" s="713"/>
      <c r="DU43" s="713"/>
      <c r="DV43" s="713"/>
      <c r="DW43" s="713"/>
      <c r="DX43" s="713"/>
      <c r="DY43" s="713"/>
      <c r="DZ43" s="713"/>
      <c r="EA43" s="713"/>
      <c r="EB43" s="713"/>
      <c r="EC43" s="713"/>
      <c r="ED43" s="713"/>
      <c r="EE43" s="713"/>
      <c r="EF43" s="713"/>
      <c r="EG43" s="713"/>
      <c r="EH43" s="713"/>
      <c r="EI43" s="713"/>
      <c r="EJ43" s="713"/>
      <c r="EK43" s="713"/>
      <c r="EL43" s="713"/>
      <c r="EM43" s="713"/>
      <c r="EN43" s="713"/>
      <c r="EO43" s="713"/>
      <c r="EP43" s="713"/>
      <c r="EQ43" s="713"/>
      <c r="ER43" s="713"/>
      <c r="ES43" s="713"/>
      <c r="ET43" s="713"/>
      <c r="EU43" s="713"/>
      <c r="EV43" s="713"/>
      <c r="EW43" s="713"/>
      <c r="EX43" s="713"/>
      <c r="EY43" s="713"/>
      <c r="EZ43" s="713"/>
      <c r="FA43" s="713"/>
      <c r="FB43" s="713"/>
      <c r="FC43" s="713"/>
      <c r="FD43" s="713"/>
      <c r="FE43" s="713"/>
      <c r="FF43" s="713"/>
      <c r="FG43" s="713"/>
      <c r="FH43" s="713"/>
      <c r="FI43" s="713"/>
      <c r="FJ43" s="713"/>
      <c r="FK43" s="713"/>
      <c r="FL43" s="713"/>
      <c r="FM43" s="713"/>
      <c r="FN43" s="713"/>
      <c r="FO43" s="713"/>
      <c r="FP43" s="713"/>
      <c r="FQ43" s="713"/>
      <c r="FR43" s="713"/>
      <c r="FS43" s="713"/>
      <c r="FT43" s="713"/>
      <c r="FU43" s="713"/>
      <c r="FV43" s="713"/>
      <c r="FW43" s="713"/>
      <c r="FX43" s="713"/>
      <c r="FY43" s="713"/>
      <c r="FZ43" s="713"/>
      <c r="GA43" s="713"/>
      <c r="GB43" s="713"/>
      <c r="GC43" s="713"/>
      <c r="GD43" s="713"/>
      <c r="GE43" s="713"/>
      <c r="GF43" s="713"/>
      <c r="GG43" s="713"/>
      <c r="GH43" s="713"/>
      <c r="GI43" s="713"/>
      <c r="GJ43" s="713"/>
      <c r="GK43" s="713"/>
      <c r="GL43" s="713"/>
      <c r="GM43" s="713"/>
      <c r="GN43" s="713"/>
      <c r="GO43" s="713"/>
      <c r="GP43" s="713"/>
      <c r="GQ43" s="713"/>
      <c r="GR43" s="713"/>
      <c r="GS43" s="713"/>
      <c r="GT43" s="713"/>
      <c r="GU43" s="713"/>
      <c r="GV43" s="713"/>
      <c r="GW43" s="713"/>
      <c r="GX43" s="713"/>
      <c r="GY43" s="713"/>
      <c r="GZ43" s="713"/>
      <c r="HA43" s="713"/>
      <c r="HB43" s="713"/>
      <c r="HC43" s="713"/>
      <c r="HD43" s="713"/>
      <c r="HE43" s="713"/>
      <c r="HF43" s="713"/>
      <c r="HG43" s="713"/>
      <c r="HH43" s="713"/>
      <c r="HI43" s="713"/>
      <c r="HJ43" s="713"/>
      <c r="HK43" s="713"/>
      <c r="HL43" s="713"/>
      <c r="HM43" s="713"/>
      <c r="HN43" s="713"/>
      <c r="HO43" s="713"/>
      <c r="HP43" s="713"/>
      <c r="HQ43" s="713"/>
      <c r="HR43" s="713"/>
      <c r="HS43" s="713"/>
      <c r="HT43" s="713"/>
      <c r="HU43" s="713"/>
      <c r="HV43" s="713"/>
      <c r="HW43" s="713"/>
      <c r="HX43" s="713"/>
      <c r="HY43" s="713"/>
      <c r="HZ43" s="713"/>
      <c r="IA43" s="713"/>
      <c r="IB43" s="713"/>
      <c r="IC43" s="713"/>
      <c r="ID43" s="713"/>
      <c r="IE43" s="713"/>
      <c r="IF43" s="713"/>
      <c r="IG43" s="713"/>
      <c r="IH43" s="713"/>
    </row>
    <row r="44" hidden="1" outlineLevel="1">
      <c r="A44" s="598"/>
      <c r="B44" s="807" t="str">
        <f t="shared" si="12"/>
        <v/>
      </c>
      <c r="C44" s="855"/>
      <c r="D44" s="881"/>
      <c r="E44" s="894"/>
      <c r="F44" s="895" t="str">
        <f>IFERROR(__xludf.DUMMYFUNCTION("IFERROR(IF(H44 = """", """",
    SWITCH($W$37,
        ""Total"", "" "" &amp; FORMAT_NUMBER(H44),
        ""Daily"", LET(Lab_name, IF(REGEXMATCH(E44, ""Mastery""), ""Card Mastery"", E44),
            Level, IF(ISBETWEEN(C44, VLOOKUP(E44, $AD:$AG, 2, FALSE), V"&amp;"LOOKUP(E44, $AD:$AG, 4, FALSE), TRUE, FALSE), C44, VLOOKUP(E44, $AD:$AG, 2, FALSE)),
            IF(LABCOST_SINGLE_ADJUSTED(Lab_name, Level + 1) = 0, ""0 (Max)"",
            "" "" &amp; FORMAT_NUMBER(            
                    LABCOST_SINGLE_ADJUSTED(L"&amp;"ab_name, Level + 1) / 
                    (LABDURATION_SINGLE_ADJUSTED(Lab_name, Level + 1) /
                    (1 * REGEXEXTRACT(F$28, ""[\d.-]+"")))))),
        ""Gem Rush"", LET(
            Labspeed, IF(E44=""Labs Speed"", 1+'Master Sheet'!$BK$5, L"&amp;"AB_SPEED_TOTAL()),
            Start_Level, IF(C44 = """",
                VLOOKUP(E44, $AD:$AG, 2, false),
                IF(ISBETWEEN(C44, VALUE(VLOOKUP(E44, $AD:$AG, 2, false)), VALUE(VLOOKUP(E44, $AD:$AG, 4, false))), C44, """")),
            End_Lev"&amp;"el, IF(OR(D44 = """", NOT(ISBETWEEN(D44, VALUE(VLOOKUP(E44, $AD:$AG, 2, false)), VALUE(VLOOKUP(E44, $AD:$AG, 4, false)),0,1))),
                SWITCH($W$38,
                    ""Max"", VLOOKUP(E44, $AD:$AG, 4, false),
                    ""Target"", IF("&amp;"VLOOKUP(E44, $AD:$AG, 3, false) &lt;&gt; """", VLOOKUP(E44, $AD:$AG, 3, false), VLOOKUP(E44, $AD:$AG, 4, false))),
                    D44),
            SUM(ARRAYFORMULA(TIME_TO_RUSH_GEMS( OFFSET(DVT_Laboratory!$A$3, Start_Level , IF(ISNUMBER(SEARCH(""mastery"""&amp;", E44)), MATCH(""Card Mastery"", DVT_Laboratory!$A$1:$LO$1, 0), MATCH(E44, DVT_Laboratory!$A$1:$LO$1, 0)) - 1, End_Level - Start_Level, 1) / Labspeed)))))))"),"")</f>
        <v/>
      </c>
      <c r="G44" s="896" t="str">
        <f t="shared" si="16"/>
        <v/>
      </c>
      <c r="H44" s="792" t="str">
        <f>IFERROR(__xludf.DUMMYFUNCTION("IFS(E44 = """", """", 
    VLOOKUP(E44, $AD:$AG, 2, false) = VLOOKUP(E44, $AD:$AG, 4, false), ""MAX Level"",
    AND(VLOOKUP(E44, $AD:$AG, 3, false) &lt;&gt; """", VLOOKUP(E44, $AD:$AG, 2, false) = VLOOKUP(E44, $AD:$AG, 3, false)), ""At Target"",
    TRUE,
    "&amp;"IFERROR(LET(Start_Level, IF(C44 = """",
            VLOOKUP(E44, $AD:$AG, 2, false),
            IF(ISBETWEEN(C44, VALUE(VLOOKUP(E44, $AD:$AG, 2, false)), VALUE(VLOOKUP(E44, $AD:$AG, 4, false))), C44, """")),
        End_Level, IF(OR(D44 = """", NOT(ISBET"&amp;"WEEN(D44, VALUE(VLOOKUP(E44, $AD:$AG, 2, false)), VALUE(VLOOKUP(E44, $AD:$AG, 4, false)),0,1))),
            SWITCH($W$38,
                ""Max"", VLOOKUP(E44, $AD:$AG, 4, false),
                ""Target"", IF(VLOOKUP(E44, $AD:$AG, 3, false) &lt;&gt; """", VL"&amp;"OOKUP(E44, $AD:$AG, 3, false), VLOOKUP(E44, $AD:$AG, 4, false))),
            D44),
        SUM(OFFSET(DVT_Laboratory!$A$3, Start_Level , IF(ISNUMBER(SEARCH(""mastery"", E44)), MATCH(""Card Mastery"", DVT_Laboratory!$A$1:$MY$1, 0), MATCH(E44, DVT_Laborato"&amp;"ry!$A$1:$MY$1, 0)), End_Level - Start_Level, 1)) * (1-LAB_COIN_DISCOUNT())), ""Levels Error!""))"),"")</f>
        <v/>
      </c>
      <c r="I44" s="793" t="str">
        <f>IFERROR(__xludf.DUMMYFUNCTION("IFS(E44 = """", """", 
    VLOOKUP(E44, $AD:$AG, 2, false) = VLOOKUP(E44, $AD:$AG, 4, false), ""MAX Level"",
    AND(VLOOKUP(E44, $AD:$AG, 3, false) &lt;&gt; """", VLOOKUP(E44, $AD:$AG, 2, false) = VLOOKUP(E44, $AD:$AG, 3, false)), ""At Target"",
    TRUE,
    "&amp;"IFERROR(LET(
        Labspeed, IF(E44=""Labs Speed"", 1+'Master Sheet'!$BK$5, LAB_SPEED_TOTAL()),
        Start_Level, IF(C44 = """",
            VLOOKUP(E44, $AD:$AG, 2, false),
            IF(ISBETWEEN(C44, VALUE(VLOOKUP(E44, $AD:$AG, 2, false)), VALUE("&amp;"VLOOKUP(E44, $AD:$AG, 4, false))), C44, """")),
        End_Level, IF(OR(D44 = """", NOT(ISBETWEEN(D44, VALUE(VLOOKUP(E44, $AD:$AG, 2, false)), VALUE(VLOOKUP(E44, $AD:$AG, 4, false)),0,1))),
            SWITCH($W$38,
                ""Max"", VLOOKUP(E44, "&amp;"$AD:$AG, 4, false),
                ""Target"", IF(VLOOKUP(E44, $AD:$AG, 3, false) &lt;&gt; """", VLOOKUP(E44, $AD:$AG, 3, false), VLOOKUP(E44, $AD:$AG, 4, false))),
            D44),
        SUM(OFFSET(DVT_Laboratory!$A$3, Start_Level , IF(ISNUMBER(SEARCH(""ma"&amp;"stery"", E44)), MATCH(""Card Mastery"", DVT_Laboratory!$A$1:$MY$1, 0), MATCH(E44, DVT_Laboratory!$A$1:$MY$1, 0)) - 1, End_Level - Start_Level, 1)) /
                (1 * REGEXEXTRACT(F$2, ""[\d.-]+"")) /
                Labspeed), ""Levels Error!""))"),"")</f>
        <v/>
      </c>
      <c r="J44" s="809" t="str">
        <f t="shared" si="14"/>
        <v/>
      </c>
      <c r="K44" s="861"/>
      <c r="L44" s="873"/>
      <c r="M44" s="835"/>
      <c r="N44" s="849" t="str">
        <f>IFERROR(__xludf.DUMMYFUNCTION("IFERROR(IF(P44 = """", """",
    SWITCH($W$37,
        ""Total"", "" "" &amp; FORMAT_NUMBER(P44),
        ""Daily"", LET(Lab_name, IF(REGEXMATCH(M44, ""Mastery""), ""Card Mastery"", M44),
            Level, IF(ISBETWEEN(K44, VLOOKUP(M44, $AD:$AG, 2, FALSE), V"&amp;"LOOKUP(M44, $AD:$AG, 4, FALSE), TRUE, FALSE), K44, VLOOKUP(M44, $AD:$AG, 2, FALSE)),
            IF(LABCOST_SINGLE_ADJUSTED(Lab_name, Level + 1) = 0, ""0 (Max)"",
            "" "" &amp; FORMAT_NUMBER(            
                    LABCOST_SINGLE_ADJUSTED(L"&amp;"ab_name, Level + 1) / 
                    (LABDURATION_SINGLE_ADJUSTED(Lab_name, Level + 1) /
                    (1 * REGEXEXTRACT(N$28, ""[\d.-]+"")))))),
        ""Gem Rush"", LET(
            Labspeed, IF(M44=""Labs Speed"", 1+'Master Sheet'!$BK$5, L"&amp;"AB_SPEED_TOTAL()),
            Start_Level, IF(K44 = """",
                VLOOKUP(M44, $AD:$AG, 2, false),
                IF(ISBETWEEN(K44, VALUE(VLOOKUP(M44, $AD:$AG, 2, false)), VALUE(VLOOKUP(M44, $AD:$AG, 4, false))), K44, """")),
            End_Lev"&amp;"el, IF(OR(L44 = """", NOT(ISBETWEEN(L44, VALUE(VLOOKUP(M44, $AD:$AG, 2, false)), VALUE(VLOOKUP(M44, $AD:$AG, 4, false)),0,1))),
                SWITCH($W$38,
                    ""Max"", VLOOKUP(M44, $AD:$AG, 4, false),
                    ""Target"", IF("&amp;"VLOOKUP(M44, $AD:$AG, 3, false) &lt;&gt; """", VLOOKUP(M44, $AD:$AG, 3, false), VLOOKUP(M44, $AD:$AG, 4, false))),
                    L44),
            SUM(ARRAYFORMULA(TIME_TO_RUSH_GEMS( OFFSET(DVT_Laboratory!$A$3, Start_Level , IF(ISNUMBER(SEARCH(""mastery"""&amp;", M44)), MATCH(""Card Mastery"", DVT_Laboratory!$A$1:$LO$1, 0), MATCH(M44, DVT_Laboratory!$A$1:$LO$1, 0)) - 1, End_Level - Start_Level, 1) / Labspeed)))))))"),"")</f>
        <v/>
      </c>
      <c r="O44" s="897" t="str">
        <f t="shared" si="17"/>
        <v/>
      </c>
      <c r="P44" s="797" t="str">
        <f>IFERROR(__xludf.DUMMYFUNCTION("IFS(M44 = """", """", 
    VLOOKUP(M44, $AD:$AG, 2, false) = VLOOKUP(M44, $AD:$AG, 4, false), ""MAX Level"",
    AND(VLOOKUP(M44, $AD:$AG, 3, false) &lt;&gt; """", VLOOKUP(M44, $AD:$AG, 2, false) = VLOOKUP(M44, $AD:$AG, 3, false)), ""At Target"",
    TRUE,
    "&amp;"IFERROR(LET(Start_Level, IF(K44 = """",
            VLOOKUP(M44, $AD:$AG, 2, false),
            IF(ISBETWEEN(K44, VALUE(VLOOKUP(M44, $AD:$AG, 2, false)), VALUE(VLOOKUP(M44, $AD:$AG, 4, false))), K44, """")),
        End_Level, IF(OR(L44 = """", NOT(ISBET"&amp;"WEEN(L44, VALUE(VLOOKUP(M44, $AD:$AG, 2, false)), VALUE(VLOOKUP(M44, $AD:$AG, 4, false)),0,1))),
            SWITCH($W$38,
                ""Max"", VLOOKUP(M44, $AD:$AG, 4, false),
                ""Target"", IF(VLOOKUP(M44, $AD:$AG, 3, false) &lt;&gt; """", VL"&amp;"OOKUP(M44, $AD:$AG, 3, false), VLOOKUP(M44, $AD:$AG, 4, false))),
            L44),
        SUM(OFFSET(DVT_Laboratory!$A$3, Start_Level , IF(ISNUMBER(SEARCH(""mastery"", M44)), MATCH(""Card Mastery"", DVT_Laboratory!$A$1:$MY$1, 0), MATCH(M44, DVT_Laborato"&amp;"ry!$A$1:$MY$1, 0)), End_Level - Start_Level, 1)) * (1-LAB_COIN_DISCOUNT())), ""Levels Error!""))"),"")</f>
        <v/>
      </c>
      <c r="Q44" s="798" t="str">
        <f>IFERROR(__xludf.DUMMYFUNCTION("IFS(M44 = """", """", 
    VLOOKUP(M44, $AD:$AG, 2, false) = VLOOKUP(M44, $AD:$AG, 4, false), ""MAX Level"",
    AND(VLOOKUP(M44, $AD:$AG, 3, false) &lt;&gt; """", VLOOKUP(M44, $AD:$AG, 2, false) = VLOOKUP(M44, $AD:$AG, 3, false)), ""At Target"",
    TRUE,
    "&amp;"IFERROR(LET(
        Labspeed, IF(M44=""Labs Speed"", 1+'Master Sheet'!$BK$5, LAB_SPEED_TOTAL()),
        Start_Level, IF(K44 = """",
            VLOOKUP(M44, $AD:$AG, 2, false),
            IF(ISBETWEEN(K44, VALUE(VLOOKUP(M44, $AD:$AG, 2, false)), VALUE("&amp;"VLOOKUP(M44, $AD:$AG, 4, false))), K44, """")),
        End_Level, IF(OR(L44 = """", NOT(ISBETWEEN(L44, VALUE(VLOOKUP(M44, $AD:$AG, 2, false)), VALUE(VLOOKUP(M44, $AD:$AG, 4, false)),0,1))),
            SWITCH($W$38,
                ""Max"", VLOOKUP(M44, "&amp;"$AD:$AG, 4, false),
                ""Target"", IF(VLOOKUP(M44, $AD:$AG, 3, false) &lt;&gt; """", VLOOKUP(M44, $AD:$AG, 3, false), VLOOKUP(M44, $AD:$AG, 4, false))),
            L44),
        SUM(OFFSET(DVT_Laboratory!$A$3, Start_Level , IF(ISNUMBER(SEARCH(""ma"&amp;"stery"", M44)), MATCH(""Card Mastery"", DVT_Laboratory!$A$1:$MY$1, 0), MATCH(M44, DVT_Laboratory!$A$1:$MY$1, 0)) - 1, End_Level - Start_Level, 1)) /
                (1 * REGEXEXTRACT(N$2, ""[\d.-]+"")) /
                Labspeed), ""Levels Error!""))"),"")</f>
        <v/>
      </c>
      <c r="R44" s="598"/>
      <c r="S44" s="594"/>
      <c r="T44" s="591"/>
      <c r="U44" s="904"/>
      <c r="V44" s="904"/>
      <c r="W44" s="904"/>
      <c r="X44" s="785"/>
      <c r="Y44" s="786"/>
      <c r="Z44" s="598"/>
      <c r="AA44" s="781"/>
      <c r="AB44" s="906" t="s">
        <v>479</v>
      </c>
      <c r="AC44" s="713" t="str">
        <f>IFERROR(__xludf.DUMMYFUNCTION("""COMPUTED_VALUE"""),"Common Drop Chance")</f>
        <v>Common Drop Chance</v>
      </c>
      <c r="AD44" s="816" t="s">
        <v>163</v>
      </c>
      <c r="AE44" s="713">
        <v>10.0</v>
      </c>
      <c r="AF44" s="713"/>
      <c r="AG44" s="713">
        <v>10.0</v>
      </c>
      <c r="AH44" s="907">
        <f t="shared" ref="AH44:AH63" si="18">IFERROR(SEQUENCE(1, VALUE(VLOOKUP(M5, AD:AG, 4, false)) - VALUE(VLOOKUP(M5, AD:AG, 2, false)), VLOOKUP(M5, AD:AG, 2, false)),"")</f>
        <v>21</v>
      </c>
      <c r="AI44" s="713">
        <v>22.0</v>
      </c>
      <c r="AJ44" s="713">
        <v>23.0</v>
      </c>
      <c r="AK44" s="713">
        <v>24.0</v>
      </c>
      <c r="AL44" s="713"/>
      <c r="AM44" s="713"/>
      <c r="AN44" s="713"/>
      <c r="AO44" s="713"/>
      <c r="AP44" s="713"/>
      <c r="AQ44" s="713"/>
      <c r="AR44" s="713"/>
      <c r="AS44" s="713"/>
      <c r="AT44" s="713"/>
      <c r="AU44" s="713"/>
      <c r="AV44" s="713"/>
      <c r="AW44" s="713"/>
      <c r="AX44" s="713"/>
      <c r="AY44" s="713"/>
      <c r="AZ44" s="713"/>
      <c r="BA44" s="713"/>
      <c r="BB44" s="713"/>
      <c r="BC44" s="713"/>
      <c r="BD44" s="713"/>
      <c r="BE44" s="713"/>
      <c r="BF44" s="713"/>
      <c r="BG44" s="713"/>
      <c r="BH44" s="713"/>
      <c r="BI44" s="713"/>
      <c r="BJ44" s="713"/>
      <c r="BK44" s="713"/>
      <c r="BL44" s="713"/>
      <c r="BM44" s="713"/>
      <c r="BN44" s="713"/>
      <c r="BO44" s="713"/>
      <c r="BP44" s="713"/>
      <c r="BQ44" s="713"/>
      <c r="BR44" s="713"/>
      <c r="BS44" s="713"/>
      <c r="BT44" s="713"/>
      <c r="BU44" s="713"/>
      <c r="BV44" s="713"/>
      <c r="BW44" s="713"/>
      <c r="BX44" s="713"/>
      <c r="BY44" s="713"/>
      <c r="BZ44" s="713"/>
      <c r="CA44" s="713"/>
      <c r="CB44" s="713"/>
      <c r="CC44" s="713"/>
      <c r="CD44" s="713"/>
      <c r="CE44" s="713"/>
      <c r="CF44" s="713"/>
      <c r="CG44" s="713"/>
      <c r="CH44" s="713"/>
      <c r="CI44" s="713"/>
      <c r="CJ44" s="713"/>
      <c r="CK44" s="713"/>
      <c r="CL44" s="713"/>
      <c r="CM44" s="713"/>
      <c r="CN44" s="713"/>
      <c r="CO44" s="713"/>
      <c r="CP44" s="713"/>
      <c r="CQ44" s="713"/>
      <c r="CR44" s="713"/>
      <c r="CS44" s="713"/>
      <c r="CT44" s="713"/>
      <c r="CU44" s="713"/>
      <c r="CV44" s="713"/>
      <c r="CW44" s="713"/>
      <c r="CX44" s="713"/>
      <c r="CY44" s="713"/>
      <c r="CZ44" s="713"/>
      <c r="DA44" s="713"/>
      <c r="DB44" s="713"/>
      <c r="DC44" s="713"/>
      <c r="DD44" s="713"/>
      <c r="DE44" s="713"/>
      <c r="DF44" s="713"/>
      <c r="DG44" s="713"/>
      <c r="DH44" s="713"/>
      <c r="DI44" s="713"/>
      <c r="DJ44" s="713"/>
      <c r="DK44" s="713"/>
      <c r="DL44" s="713"/>
      <c r="DM44" s="713"/>
      <c r="DN44" s="713"/>
      <c r="DO44" s="713"/>
      <c r="DP44" s="713"/>
      <c r="DQ44" s="713"/>
      <c r="DR44" s="713"/>
      <c r="DS44" s="713"/>
      <c r="DT44" s="713"/>
      <c r="DU44" s="713"/>
      <c r="DV44" s="713"/>
      <c r="DW44" s="713"/>
      <c r="DX44" s="713"/>
      <c r="DY44" s="713"/>
      <c r="DZ44" s="713"/>
      <c r="EA44" s="713"/>
      <c r="EB44" s="713"/>
      <c r="EC44" s="713"/>
      <c r="ED44" s="713"/>
      <c r="EE44" s="713"/>
      <c r="EF44" s="713"/>
      <c r="EG44" s="713"/>
      <c r="EH44" s="713"/>
      <c r="EI44" s="713"/>
      <c r="EJ44" s="713"/>
      <c r="EK44" s="713"/>
      <c r="EL44" s="713"/>
      <c r="EM44" s="713"/>
      <c r="EN44" s="713"/>
      <c r="EO44" s="713"/>
      <c r="EP44" s="713"/>
      <c r="EQ44" s="713"/>
      <c r="ER44" s="713"/>
      <c r="ES44" s="713"/>
      <c r="ET44" s="713"/>
      <c r="EU44" s="713"/>
      <c r="EV44" s="713"/>
      <c r="EW44" s="713"/>
      <c r="EX44" s="713"/>
      <c r="EY44" s="713"/>
      <c r="EZ44" s="713"/>
      <c r="FA44" s="713"/>
      <c r="FB44" s="713"/>
      <c r="FC44" s="713"/>
      <c r="FD44" s="713"/>
      <c r="FE44" s="713"/>
      <c r="FF44" s="713"/>
      <c r="FG44" s="713"/>
      <c r="FH44" s="713"/>
      <c r="FI44" s="713"/>
      <c r="FJ44" s="713"/>
      <c r="FK44" s="713"/>
      <c r="FL44" s="713"/>
      <c r="FM44" s="713"/>
      <c r="FN44" s="713"/>
      <c r="FO44" s="713"/>
      <c r="FP44" s="713"/>
      <c r="FQ44" s="713"/>
      <c r="FR44" s="713"/>
      <c r="FS44" s="713"/>
      <c r="FT44" s="713"/>
      <c r="FU44" s="713"/>
      <c r="FV44" s="713"/>
      <c r="FW44" s="713"/>
      <c r="FX44" s="713"/>
      <c r="FY44" s="713"/>
      <c r="FZ44" s="713"/>
      <c r="GA44" s="713"/>
      <c r="GB44" s="713"/>
      <c r="GC44" s="713"/>
      <c r="GD44" s="713"/>
      <c r="GE44" s="713"/>
      <c r="GF44" s="713"/>
      <c r="GG44" s="713"/>
      <c r="GH44" s="713"/>
      <c r="GI44" s="713"/>
      <c r="GJ44" s="713"/>
      <c r="GK44" s="713"/>
      <c r="GL44" s="713"/>
      <c r="GM44" s="713"/>
      <c r="GN44" s="713"/>
      <c r="GO44" s="713"/>
      <c r="GP44" s="713"/>
      <c r="GQ44" s="713"/>
      <c r="GR44" s="713"/>
      <c r="GS44" s="713"/>
      <c r="GT44" s="713"/>
      <c r="GU44" s="713"/>
      <c r="GV44" s="713"/>
      <c r="GW44" s="713"/>
      <c r="GX44" s="713"/>
      <c r="GY44" s="713"/>
      <c r="GZ44" s="713"/>
      <c r="HA44" s="713"/>
      <c r="HB44" s="713"/>
      <c r="HC44" s="713"/>
      <c r="HD44" s="713"/>
      <c r="HE44" s="713"/>
      <c r="HF44" s="713"/>
      <c r="HG44" s="713"/>
      <c r="HH44" s="713"/>
      <c r="HI44" s="713"/>
      <c r="HJ44" s="713"/>
      <c r="HK44" s="713"/>
      <c r="HL44" s="713"/>
      <c r="HM44" s="713"/>
      <c r="HN44" s="713"/>
      <c r="HO44" s="713"/>
      <c r="HP44" s="713"/>
      <c r="HQ44" s="713"/>
      <c r="HR44" s="713"/>
      <c r="HS44" s="713"/>
      <c r="HT44" s="713"/>
      <c r="HU44" s="713"/>
      <c r="HV44" s="713"/>
      <c r="HW44" s="713"/>
      <c r="HX44" s="713"/>
      <c r="HY44" s="713"/>
      <c r="HZ44" s="713"/>
      <c r="IA44" s="713"/>
      <c r="IB44" s="713"/>
      <c r="IC44" s="713"/>
      <c r="ID44" s="713"/>
      <c r="IE44" s="713"/>
      <c r="IF44" s="713"/>
      <c r="IG44" s="713"/>
      <c r="IH44" s="713"/>
    </row>
    <row r="45" hidden="1" outlineLevel="1">
      <c r="A45" s="598"/>
      <c r="B45" s="807" t="str">
        <f t="shared" si="12"/>
        <v/>
      </c>
      <c r="C45" s="855"/>
      <c r="D45" s="881"/>
      <c r="E45" s="894"/>
      <c r="F45" s="895" t="str">
        <f>IFERROR(__xludf.DUMMYFUNCTION("IFERROR(IF(H45 = """", """",
    SWITCH($W$37,
        ""Total"", "" "" &amp; FORMAT_NUMBER(H45),
        ""Daily"", LET(Lab_name, IF(REGEXMATCH(E45, ""Mastery""), ""Card Mastery"", E45),
            Level, IF(ISBETWEEN(C45, VLOOKUP(E45, $AD:$AG, 2, FALSE), V"&amp;"LOOKUP(E45, $AD:$AG, 4, FALSE), TRUE, FALSE), C45, VLOOKUP(E45, $AD:$AG, 2, FALSE)),
            IF(LABCOST_SINGLE_ADJUSTED(Lab_name, Level + 1) = 0, ""0 (Max)"",
            "" "" &amp; FORMAT_NUMBER(            
                    LABCOST_SINGLE_ADJUSTED(L"&amp;"ab_name, Level + 1) / 
                    (LABDURATION_SINGLE_ADJUSTED(Lab_name, Level + 1) /
                    (1 * REGEXEXTRACT(F$28, ""[\d.-]+"")))))),
        ""Gem Rush"", LET(
            Labspeed, IF(E45=""Labs Speed"", 1+'Master Sheet'!$BK$5, L"&amp;"AB_SPEED_TOTAL()),
            Start_Level, IF(C45 = """",
                VLOOKUP(E45, $AD:$AG, 2, false),
                IF(ISBETWEEN(C45, VALUE(VLOOKUP(E45, $AD:$AG, 2, false)), VALUE(VLOOKUP(E45, $AD:$AG, 4, false))), C45, """")),
            End_Lev"&amp;"el, IF(OR(D45 = """", NOT(ISBETWEEN(D45, VALUE(VLOOKUP(E45, $AD:$AG, 2, false)), VALUE(VLOOKUP(E45, $AD:$AG, 4, false)),0,1))),
                SWITCH($W$38,
                    ""Max"", VLOOKUP(E45, $AD:$AG, 4, false),
                    ""Target"", IF("&amp;"VLOOKUP(E45, $AD:$AG, 3, false) &lt;&gt; """", VLOOKUP(E45, $AD:$AG, 3, false), VLOOKUP(E45, $AD:$AG, 4, false))),
                    D45),
            SUM(ARRAYFORMULA(TIME_TO_RUSH_GEMS( OFFSET(DVT_Laboratory!$A$3, Start_Level , IF(ISNUMBER(SEARCH(""mastery"""&amp;", E45)), MATCH(""Card Mastery"", DVT_Laboratory!$A$1:$LO$1, 0), MATCH(E45, DVT_Laboratory!$A$1:$LO$1, 0)) - 1, End_Level - Start_Level, 1) / Labspeed)))))))"),"")</f>
        <v/>
      </c>
      <c r="G45" s="896" t="str">
        <f t="shared" si="16"/>
        <v/>
      </c>
      <c r="H45" s="792" t="str">
        <f>IFERROR(__xludf.DUMMYFUNCTION("IFS(E45 = """", """", 
    VLOOKUP(E45, $AD:$AG, 2, false) = VLOOKUP(E45, $AD:$AG, 4, false), ""MAX Level"",
    AND(VLOOKUP(E45, $AD:$AG, 3, false) &lt;&gt; """", VLOOKUP(E45, $AD:$AG, 2, false) = VLOOKUP(E45, $AD:$AG, 3, false)), ""At Target"",
    TRUE,
    "&amp;"IFERROR(LET(Start_Level, IF(C45 = """",
            VLOOKUP(E45, $AD:$AG, 2, false),
            IF(ISBETWEEN(C45, VALUE(VLOOKUP(E45, $AD:$AG, 2, false)), VALUE(VLOOKUP(E45, $AD:$AG, 4, false))), C45, """")),
        End_Level, IF(OR(D45 = """", NOT(ISBET"&amp;"WEEN(D45, VALUE(VLOOKUP(E45, $AD:$AG, 2, false)), VALUE(VLOOKUP(E45, $AD:$AG, 4, false)),0,1))),
            SWITCH($W$38,
                ""Max"", VLOOKUP(E45, $AD:$AG, 4, false),
                ""Target"", IF(VLOOKUP(E45, $AD:$AG, 3, false) &lt;&gt; """", VL"&amp;"OOKUP(E45, $AD:$AG, 3, false), VLOOKUP(E45, $AD:$AG, 4, false))),
            D45),
        SUM(OFFSET(DVT_Laboratory!$A$3, Start_Level , IF(ISNUMBER(SEARCH(""mastery"", E45)), MATCH(""Card Mastery"", DVT_Laboratory!$A$1:$MY$1, 0), MATCH(E45, DVT_Laborato"&amp;"ry!$A$1:$MY$1, 0)), End_Level - Start_Level, 1)) * (1-LAB_COIN_DISCOUNT())), ""Levels Error!""))"),"")</f>
        <v/>
      </c>
      <c r="I45" s="793" t="str">
        <f>IFERROR(__xludf.DUMMYFUNCTION("IFS(E45 = """", """", 
    VLOOKUP(E45, $AD:$AG, 2, false) = VLOOKUP(E45, $AD:$AG, 4, false), ""MAX Level"",
    AND(VLOOKUP(E45, $AD:$AG, 3, false) &lt;&gt; """", VLOOKUP(E45, $AD:$AG, 2, false) = VLOOKUP(E45, $AD:$AG, 3, false)), ""At Target"",
    TRUE,
    "&amp;"IFERROR(LET(
        Labspeed, IF(E45=""Labs Speed"", 1+'Master Sheet'!$BK$5, LAB_SPEED_TOTAL()),
        Start_Level, IF(C45 = """",
            VLOOKUP(E45, $AD:$AG, 2, false),
            IF(ISBETWEEN(C45, VALUE(VLOOKUP(E45, $AD:$AG, 2, false)), VALUE("&amp;"VLOOKUP(E45, $AD:$AG, 4, false))), C45, """")),
        End_Level, IF(OR(D45 = """", NOT(ISBETWEEN(D45, VALUE(VLOOKUP(E45, $AD:$AG, 2, false)), VALUE(VLOOKUP(E45, $AD:$AG, 4, false)),0,1))),
            SWITCH($W$38,
                ""Max"", VLOOKUP(E45, "&amp;"$AD:$AG, 4, false),
                ""Target"", IF(VLOOKUP(E45, $AD:$AG, 3, false) &lt;&gt; """", VLOOKUP(E45, $AD:$AG, 3, false), VLOOKUP(E45, $AD:$AG, 4, false))),
            D45),
        SUM(OFFSET(DVT_Laboratory!$A$3, Start_Level , IF(ISNUMBER(SEARCH(""ma"&amp;"stery"", E45)), MATCH(""Card Mastery"", DVT_Laboratory!$A$1:$MY$1, 0), MATCH(E45, DVT_Laboratory!$A$1:$MY$1, 0)) - 1, End_Level - Start_Level, 1)) /
                (1 * REGEXEXTRACT(F$2, ""[\d.-]+"")) /
                Labspeed), ""Levels Error!""))"),"")</f>
        <v/>
      </c>
      <c r="J45" s="809" t="str">
        <f t="shared" si="14"/>
        <v/>
      </c>
      <c r="K45" s="861"/>
      <c r="L45" s="873"/>
      <c r="M45" s="835"/>
      <c r="N45" s="849" t="str">
        <f>IFERROR(__xludf.DUMMYFUNCTION("IFERROR(IF(P45 = """", """",
    SWITCH($W$37,
        ""Total"", "" "" &amp; FORMAT_NUMBER(P45),
        ""Daily"", LET(Lab_name, IF(REGEXMATCH(M45, ""Mastery""), ""Card Mastery"", M45),
            Level, IF(ISBETWEEN(K45, VLOOKUP(M45, $AD:$AG, 2, FALSE), V"&amp;"LOOKUP(M45, $AD:$AG, 4, FALSE), TRUE, FALSE), K45, VLOOKUP(M45, $AD:$AG, 2, FALSE)),
            IF(LABCOST_SINGLE_ADJUSTED(Lab_name, Level + 1) = 0, ""0 (Max)"",
            "" "" &amp; FORMAT_NUMBER(            
                    LABCOST_SINGLE_ADJUSTED(L"&amp;"ab_name, Level + 1) / 
                    (LABDURATION_SINGLE_ADJUSTED(Lab_name, Level + 1) /
                    (1 * REGEXEXTRACT(N$28, ""[\d.-]+"")))))),
        ""Gem Rush"", LET(
            Labspeed, IF(M45=""Labs Speed"", 1+'Master Sheet'!$BK$5, L"&amp;"AB_SPEED_TOTAL()),
            Start_Level, IF(K45 = """",
                VLOOKUP(M45, $AD:$AG, 2, false),
                IF(ISBETWEEN(K45, VALUE(VLOOKUP(M45, $AD:$AG, 2, false)), VALUE(VLOOKUP(M45, $AD:$AG, 4, false))), K45, """")),
            End_Lev"&amp;"el, IF(OR(L45 = """", NOT(ISBETWEEN(L45, VALUE(VLOOKUP(M45, $AD:$AG, 2, false)), VALUE(VLOOKUP(M45, $AD:$AG, 4, false)),0,1))),
                SWITCH($W$38,
                    ""Max"", VLOOKUP(M45, $AD:$AG, 4, false),
                    ""Target"", IF("&amp;"VLOOKUP(M45, $AD:$AG, 3, false) &lt;&gt; """", VLOOKUP(M45, $AD:$AG, 3, false), VLOOKUP(M45, $AD:$AG, 4, false))),
                    L45),
            SUM(ARRAYFORMULA(TIME_TO_RUSH_GEMS( OFFSET(DVT_Laboratory!$A$3, Start_Level , IF(ISNUMBER(SEARCH(""mastery"""&amp;", M45)), MATCH(""Card Mastery"", DVT_Laboratory!$A$1:$LO$1, 0), MATCH(M45, DVT_Laboratory!$A$1:$LO$1, 0)) - 1, End_Level - Start_Level, 1) / Labspeed)))))))"),"")</f>
        <v/>
      </c>
      <c r="O45" s="897" t="str">
        <f t="shared" si="17"/>
        <v/>
      </c>
      <c r="P45" s="797" t="str">
        <f>IFERROR(__xludf.DUMMYFUNCTION("IFS(M45 = """", """", 
    VLOOKUP(M45, $AD:$AG, 2, false) = VLOOKUP(M45, $AD:$AG, 4, false), ""MAX Level"",
    AND(VLOOKUP(M45, $AD:$AG, 3, false) &lt;&gt; """", VLOOKUP(M45, $AD:$AG, 2, false) = VLOOKUP(M45, $AD:$AG, 3, false)), ""At Target"",
    TRUE,
    "&amp;"IFERROR(LET(Start_Level, IF(K45 = """",
            VLOOKUP(M45, $AD:$AG, 2, false),
            IF(ISBETWEEN(K45, VALUE(VLOOKUP(M45, $AD:$AG, 2, false)), VALUE(VLOOKUP(M45, $AD:$AG, 4, false))), K45, """")),
        End_Level, IF(OR(L45 = """", NOT(ISBET"&amp;"WEEN(L45, VALUE(VLOOKUP(M45, $AD:$AG, 2, false)), VALUE(VLOOKUP(M45, $AD:$AG, 4, false)),0,1))),
            SWITCH($W$38,
                ""Max"", VLOOKUP(M45, $AD:$AG, 4, false),
                ""Target"", IF(VLOOKUP(M45, $AD:$AG, 3, false) &lt;&gt; """", VL"&amp;"OOKUP(M45, $AD:$AG, 3, false), VLOOKUP(M45, $AD:$AG, 4, false))),
            L45),
        SUM(OFFSET(DVT_Laboratory!$A$3, Start_Level , IF(ISNUMBER(SEARCH(""mastery"", M45)), MATCH(""Card Mastery"", DVT_Laboratory!$A$1:$MY$1, 0), MATCH(M45, DVT_Laborato"&amp;"ry!$A$1:$MY$1, 0)), End_Level - Start_Level, 1)) * (1-LAB_COIN_DISCOUNT())), ""Levels Error!""))"),"")</f>
        <v/>
      </c>
      <c r="Q45" s="798" t="str">
        <f>IFERROR(__xludf.DUMMYFUNCTION("IFS(M45 = """", """", 
    VLOOKUP(M45, $AD:$AG, 2, false) = VLOOKUP(M45, $AD:$AG, 4, false), ""MAX Level"",
    AND(VLOOKUP(M45, $AD:$AG, 3, false) &lt;&gt; """", VLOOKUP(M45, $AD:$AG, 2, false) = VLOOKUP(M45, $AD:$AG, 3, false)), ""At Target"",
    TRUE,
    "&amp;"IFERROR(LET(
        Labspeed, IF(M45=""Labs Speed"", 1+'Master Sheet'!$BK$5, LAB_SPEED_TOTAL()),
        Start_Level, IF(K45 = """",
            VLOOKUP(M45, $AD:$AG, 2, false),
            IF(ISBETWEEN(K45, VALUE(VLOOKUP(M45, $AD:$AG, 2, false)), VALUE("&amp;"VLOOKUP(M45, $AD:$AG, 4, false))), K45, """")),
        End_Level, IF(OR(L45 = """", NOT(ISBETWEEN(L45, VALUE(VLOOKUP(M45, $AD:$AG, 2, false)), VALUE(VLOOKUP(M45, $AD:$AG, 4, false)),0,1))),
            SWITCH($W$38,
                ""Max"", VLOOKUP(M45, "&amp;"$AD:$AG, 4, false),
                ""Target"", IF(VLOOKUP(M45, $AD:$AG, 3, false) &lt;&gt; """", VLOOKUP(M45, $AD:$AG, 3, false), VLOOKUP(M45, $AD:$AG, 4, false))),
            L45),
        SUM(OFFSET(DVT_Laboratory!$A$3, Start_Level , IF(ISNUMBER(SEARCH(""ma"&amp;"stery"", M45)), MATCH(""Card Mastery"", DVT_Laboratory!$A$1:$MY$1, 0), MATCH(M45, DVT_Laboratory!$A$1:$MY$1, 0)) - 1, End_Level - Start_Level, 1)) /
                (1 * REGEXEXTRACT(N$2, ""[\d.-]+"")) /
                Labspeed), ""Levels Error!""))"),"")</f>
        <v/>
      </c>
      <c r="R45" s="598"/>
      <c r="S45" s="594"/>
      <c r="T45" s="591"/>
      <c r="U45" s="904"/>
      <c r="V45" s="904"/>
      <c r="W45" s="904"/>
      <c r="X45" s="785"/>
      <c r="Y45" s="786"/>
      <c r="Z45" s="598"/>
      <c r="AA45" s="781"/>
      <c r="AB45" s="908" t="s">
        <v>480</v>
      </c>
      <c r="AC45" s="713" t="str">
        <f>IFERROR(__xludf.DUMMYFUNCTION("""COMPUTED_VALUE"""),"Common Enemy Attack")</f>
        <v>Common Enemy Attack</v>
      </c>
      <c r="AD45" s="816" t="s">
        <v>177</v>
      </c>
      <c r="AE45" s="713">
        <v>0.0</v>
      </c>
      <c r="AF45" s="713"/>
      <c r="AG45" s="713">
        <v>30.0</v>
      </c>
      <c r="AH45" s="907" t="str">
        <f t="shared" si="18"/>
        <v/>
      </c>
      <c r="AI45" s="713"/>
      <c r="AJ45" s="713"/>
      <c r="AK45" s="713"/>
      <c r="AL45" s="713"/>
      <c r="AM45" s="713"/>
      <c r="AN45" s="713"/>
      <c r="AO45" s="713"/>
      <c r="AP45" s="713"/>
      <c r="AQ45" s="713"/>
      <c r="AR45" s="713"/>
      <c r="AS45" s="713"/>
      <c r="AT45" s="713"/>
      <c r="AU45" s="713"/>
      <c r="AV45" s="713"/>
      <c r="AW45" s="713"/>
      <c r="AX45" s="713"/>
      <c r="AY45" s="713"/>
      <c r="AZ45" s="713"/>
      <c r="BA45" s="713"/>
      <c r="BB45" s="713"/>
      <c r="BC45" s="713"/>
      <c r="BD45" s="713"/>
      <c r="BE45" s="713"/>
      <c r="BF45" s="713"/>
      <c r="BG45" s="713"/>
      <c r="BH45" s="713"/>
      <c r="BI45" s="713"/>
      <c r="BJ45" s="713"/>
      <c r="BK45" s="713"/>
      <c r="BL45" s="713"/>
      <c r="BM45" s="713"/>
      <c r="BN45" s="713"/>
      <c r="BO45" s="713"/>
      <c r="BP45" s="713"/>
      <c r="BQ45" s="713"/>
      <c r="BR45" s="713"/>
      <c r="BS45" s="713"/>
      <c r="BT45" s="713"/>
      <c r="BU45" s="713"/>
      <c r="BV45" s="713"/>
      <c r="BW45" s="713"/>
      <c r="BX45" s="713"/>
      <c r="BY45" s="713"/>
      <c r="BZ45" s="713"/>
      <c r="CA45" s="713"/>
      <c r="CB45" s="713"/>
      <c r="CC45" s="713"/>
      <c r="CD45" s="713"/>
      <c r="CE45" s="713"/>
      <c r="CF45" s="713"/>
      <c r="CG45" s="713"/>
      <c r="CH45" s="713"/>
      <c r="CI45" s="713"/>
      <c r="CJ45" s="713"/>
      <c r="CK45" s="713"/>
      <c r="CL45" s="713"/>
      <c r="CM45" s="713"/>
      <c r="CN45" s="713"/>
      <c r="CO45" s="713"/>
      <c r="CP45" s="713"/>
      <c r="CQ45" s="713"/>
      <c r="CR45" s="713"/>
      <c r="CS45" s="713"/>
      <c r="CT45" s="713"/>
      <c r="CU45" s="713"/>
      <c r="CV45" s="713"/>
      <c r="CW45" s="713"/>
      <c r="CX45" s="713"/>
      <c r="CY45" s="713"/>
      <c r="CZ45" s="713"/>
      <c r="DA45" s="713"/>
      <c r="DB45" s="713"/>
      <c r="DC45" s="713"/>
      <c r="DD45" s="713"/>
      <c r="DE45" s="713"/>
      <c r="DF45" s="713"/>
      <c r="DG45" s="713"/>
      <c r="DH45" s="713"/>
      <c r="DI45" s="713"/>
      <c r="DJ45" s="713"/>
      <c r="DK45" s="713"/>
      <c r="DL45" s="713"/>
      <c r="DM45" s="713"/>
      <c r="DN45" s="713"/>
      <c r="DO45" s="713"/>
      <c r="DP45" s="713"/>
      <c r="DQ45" s="713"/>
      <c r="DR45" s="713"/>
      <c r="DS45" s="713"/>
      <c r="DT45" s="713"/>
      <c r="DU45" s="713"/>
      <c r="DV45" s="713"/>
      <c r="DW45" s="713"/>
      <c r="DX45" s="713"/>
      <c r="DY45" s="713"/>
      <c r="DZ45" s="713"/>
      <c r="EA45" s="713"/>
      <c r="EB45" s="713"/>
      <c r="EC45" s="713"/>
      <c r="ED45" s="713"/>
      <c r="EE45" s="713"/>
      <c r="EF45" s="713"/>
      <c r="EG45" s="713"/>
      <c r="EH45" s="713"/>
      <c r="EI45" s="713"/>
      <c r="EJ45" s="713"/>
      <c r="EK45" s="713"/>
      <c r="EL45" s="713"/>
      <c r="EM45" s="713"/>
      <c r="EN45" s="713"/>
      <c r="EO45" s="713"/>
      <c r="EP45" s="713"/>
      <c r="EQ45" s="713"/>
      <c r="ER45" s="713"/>
      <c r="ES45" s="713"/>
      <c r="ET45" s="713"/>
      <c r="EU45" s="713"/>
      <c r="EV45" s="713"/>
      <c r="EW45" s="713"/>
      <c r="EX45" s="713"/>
      <c r="EY45" s="713"/>
      <c r="EZ45" s="713"/>
      <c r="FA45" s="713"/>
      <c r="FB45" s="713"/>
      <c r="FC45" s="713"/>
      <c r="FD45" s="713"/>
      <c r="FE45" s="713"/>
      <c r="FF45" s="713"/>
      <c r="FG45" s="713"/>
      <c r="FH45" s="713"/>
      <c r="FI45" s="713"/>
      <c r="FJ45" s="713"/>
      <c r="FK45" s="713"/>
      <c r="FL45" s="713"/>
      <c r="FM45" s="713"/>
      <c r="FN45" s="713"/>
      <c r="FO45" s="713"/>
      <c r="FP45" s="713"/>
      <c r="FQ45" s="713"/>
      <c r="FR45" s="713"/>
      <c r="FS45" s="713"/>
      <c r="FT45" s="713"/>
      <c r="FU45" s="713"/>
      <c r="FV45" s="713"/>
      <c r="FW45" s="713"/>
      <c r="FX45" s="713"/>
      <c r="FY45" s="713"/>
      <c r="FZ45" s="713"/>
      <c r="GA45" s="713"/>
      <c r="GB45" s="713"/>
      <c r="GC45" s="713"/>
      <c r="GD45" s="713"/>
      <c r="GE45" s="713"/>
      <c r="GF45" s="713"/>
      <c r="GG45" s="713"/>
      <c r="GH45" s="713"/>
      <c r="GI45" s="713"/>
      <c r="GJ45" s="713"/>
      <c r="GK45" s="713"/>
      <c r="GL45" s="713"/>
      <c r="GM45" s="713"/>
      <c r="GN45" s="713"/>
      <c r="GO45" s="713"/>
      <c r="GP45" s="713"/>
      <c r="GQ45" s="713"/>
      <c r="GR45" s="713"/>
      <c r="GS45" s="713"/>
      <c r="GT45" s="713"/>
      <c r="GU45" s="713"/>
      <c r="GV45" s="713"/>
      <c r="GW45" s="713"/>
      <c r="GX45" s="713"/>
      <c r="GY45" s="713"/>
      <c r="GZ45" s="713"/>
      <c r="HA45" s="713"/>
      <c r="HB45" s="713"/>
      <c r="HC45" s="713"/>
      <c r="HD45" s="713"/>
      <c r="HE45" s="713"/>
      <c r="HF45" s="713"/>
      <c r="HG45" s="713"/>
      <c r="HH45" s="713"/>
      <c r="HI45" s="713"/>
      <c r="HJ45" s="713"/>
      <c r="HK45" s="713"/>
      <c r="HL45" s="713"/>
      <c r="HM45" s="713"/>
      <c r="HN45" s="713"/>
      <c r="HO45" s="713"/>
      <c r="HP45" s="713"/>
      <c r="HQ45" s="713"/>
      <c r="HR45" s="713"/>
      <c r="HS45" s="713"/>
      <c r="HT45" s="713"/>
      <c r="HU45" s="713"/>
      <c r="HV45" s="713"/>
      <c r="HW45" s="713"/>
      <c r="HX45" s="713"/>
      <c r="HY45" s="713"/>
      <c r="HZ45" s="713"/>
      <c r="IA45" s="713"/>
      <c r="IB45" s="713"/>
      <c r="IC45" s="713"/>
      <c r="ID45" s="713"/>
      <c r="IE45" s="713"/>
      <c r="IF45" s="713"/>
      <c r="IG45" s="713"/>
      <c r="IH45" s="713"/>
    </row>
    <row r="46" hidden="1" outlineLevel="1">
      <c r="A46" s="598"/>
      <c r="B46" s="807" t="str">
        <f t="shared" si="12"/>
        <v/>
      </c>
      <c r="C46" s="855"/>
      <c r="D46" s="881"/>
      <c r="E46" s="894"/>
      <c r="F46" s="895" t="str">
        <f>IFERROR(__xludf.DUMMYFUNCTION("IFERROR(IF(H46 = """", """",
    SWITCH($W$37,
        ""Total"", "" "" &amp; FORMAT_NUMBER(H46),
        ""Daily"", LET(Lab_name, IF(REGEXMATCH(E46, ""Mastery""), ""Card Mastery"", E46),
            Level, IF(ISBETWEEN(C46, VLOOKUP(E46, $AD:$AG, 2, FALSE), V"&amp;"LOOKUP(E46, $AD:$AG, 4, FALSE), TRUE, FALSE), C46, VLOOKUP(E46, $AD:$AG, 2, FALSE)),
            IF(LABCOST_SINGLE_ADJUSTED(Lab_name, Level + 1) = 0, ""0 (Max)"",
            "" "" &amp; FORMAT_NUMBER(            
                    LABCOST_SINGLE_ADJUSTED(L"&amp;"ab_name, Level + 1) / 
                    (LABDURATION_SINGLE_ADJUSTED(Lab_name, Level + 1) /
                    (1 * REGEXEXTRACT(F$28, ""[\d.-]+"")))))),
        ""Gem Rush"", LET(
            Labspeed, IF(E46=""Labs Speed"", 1+'Master Sheet'!$BK$5, L"&amp;"AB_SPEED_TOTAL()),
            Start_Level, IF(C46 = """",
                VLOOKUP(E46, $AD:$AG, 2, false),
                IF(ISBETWEEN(C46, VALUE(VLOOKUP(E46, $AD:$AG, 2, false)), VALUE(VLOOKUP(E46, $AD:$AG, 4, false))), C46, """")),
            End_Lev"&amp;"el, IF(OR(D46 = """", NOT(ISBETWEEN(D46, VALUE(VLOOKUP(E46, $AD:$AG, 2, false)), VALUE(VLOOKUP(E46, $AD:$AG, 4, false)),0,1))),
                SWITCH($W$38,
                    ""Max"", VLOOKUP(E46, $AD:$AG, 4, false),
                    ""Target"", IF("&amp;"VLOOKUP(E46, $AD:$AG, 3, false) &lt;&gt; """", VLOOKUP(E46, $AD:$AG, 3, false), VLOOKUP(E46, $AD:$AG, 4, false))),
                    D46),
            SUM(ARRAYFORMULA(TIME_TO_RUSH_GEMS( OFFSET(DVT_Laboratory!$A$3, Start_Level , IF(ISNUMBER(SEARCH(""mastery"""&amp;", E46)), MATCH(""Card Mastery"", DVT_Laboratory!$A$1:$LO$1, 0), MATCH(E46, DVT_Laboratory!$A$1:$LO$1, 0)) - 1, End_Level - Start_Level, 1) / Labspeed)))))))"),"")</f>
        <v/>
      </c>
      <c r="G46" s="896" t="str">
        <f t="shared" si="16"/>
        <v/>
      </c>
      <c r="H46" s="792" t="str">
        <f>IFERROR(__xludf.DUMMYFUNCTION("IFS(E46 = """", """", 
    VLOOKUP(E46, $AD:$AG, 2, false) = VLOOKUP(E46, $AD:$AG, 4, false), ""MAX Level"",
    AND(VLOOKUP(E46, $AD:$AG, 3, false) &lt;&gt; """", VLOOKUP(E46, $AD:$AG, 2, false) = VLOOKUP(E46, $AD:$AG, 3, false)), ""At Target"",
    TRUE,
    "&amp;"IFERROR(LET(Start_Level, IF(C46 = """",
            VLOOKUP(E46, $AD:$AG, 2, false),
            IF(ISBETWEEN(C46, VALUE(VLOOKUP(E46, $AD:$AG, 2, false)), VALUE(VLOOKUP(E46, $AD:$AG, 4, false))), C46, """")),
        End_Level, IF(OR(D46 = """", NOT(ISBET"&amp;"WEEN(D46, VALUE(VLOOKUP(E46, $AD:$AG, 2, false)), VALUE(VLOOKUP(E46, $AD:$AG, 4, false)),0,1))),
            SWITCH($W$38,
                ""Max"", VLOOKUP(E46, $AD:$AG, 4, false),
                ""Target"", IF(VLOOKUP(E46, $AD:$AG, 3, false) &lt;&gt; """", VL"&amp;"OOKUP(E46, $AD:$AG, 3, false), VLOOKUP(E46, $AD:$AG, 4, false))),
            D46),
        SUM(OFFSET(DVT_Laboratory!$A$3, Start_Level , IF(ISNUMBER(SEARCH(""mastery"", E46)), MATCH(""Card Mastery"", DVT_Laboratory!$A$1:$MY$1, 0), MATCH(E46, DVT_Laborato"&amp;"ry!$A$1:$MY$1, 0)), End_Level - Start_Level, 1)) * (1-LAB_COIN_DISCOUNT())), ""Levels Error!""))"),"")</f>
        <v/>
      </c>
      <c r="I46" s="793" t="str">
        <f>IFERROR(__xludf.DUMMYFUNCTION("IFS(E46 = """", """", 
    VLOOKUP(E46, $AD:$AG, 2, false) = VLOOKUP(E46, $AD:$AG, 4, false), ""MAX Level"",
    AND(VLOOKUP(E46, $AD:$AG, 3, false) &lt;&gt; """", VLOOKUP(E46, $AD:$AG, 2, false) = VLOOKUP(E46, $AD:$AG, 3, false)), ""At Target"",
    TRUE,
    "&amp;"IFERROR(LET(
        Labspeed, IF(E46=""Labs Speed"", 1+'Master Sheet'!$BK$5, LAB_SPEED_TOTAL()),
        Start_Level, IF(C46 = """",
            VLOOKUP(E46, $AD:$AG, 2, false),
            IF(ISBETWEEN(C46, VALUE(VLOOKUP(E46, $AD:$AG, 2, false)), VALUE("&amp;"VLOOKUP(E46, $AD:$AG, 4, false))), C46, """")),
        End_Level, IF(OR(D46 = """", NOT(ISBETWEEN(D46, VALUE(VLOOKUP(E46, $AD:$AG, 2, false)), VALUE(VLOOKUP(E46, $AD:$AG, 4, false)),0,1))),
            SWITCH($W$38,
                ""Max"", VLOOKUP(E46, "&amp;"$AD:$AG, 4, false),
                ""Target"", IF(VLOOKUP(E46, $AD:$AG, 3, false) &lt;&gt; """", VLOOKUP(E46, $AD:$AG, 3, false), VLOOKUP(E46, $AD:$AG, 4, false))),
            D46),
        SUM(OFFSET(DVT_Laboratory!$A$3, Start_Level , IF(ISNUMBER(SEARCH(""ma"&amp;"stery"", E46)), MATCH(""Card Mastery"", DVT_Laboratory!$A$1:$MY$1, 0), MATCH(E46, DVT_Laboratory!$A$1:$MY$1, 0)) - 1, End_Level - Start_Level, 1)) /
                (1 * REGEXEXTRACT(F$2, ""[\d.-]+"")) /
                Labspeed), ""Levels Error!""))"),"")</f>
        <v/>
      </c>
      <c r="J46" s="809" t="str">
        <f t="shared" si="14"/>
        <v/>
      </c>
      <c r="K46" s="861"/>
      <c r="L46" s="873"/>
      <c r="M46" s="835"/>
      <c r="N46" s="849" t="str">
        <f>IFERROR(__xludf.DUMMYFUNCTION("IFERROR(IF(P46 = """", """",
    SWITCH($W$37,
        ""Total"", "" "" &amp; FORMAT_NUMBER(P46),
        ""Daily"", LET(Lab_name, IF(REGEXMATCH(M46, ""Mastery""), ""Card Mastery"", M46),
            Level, IF(ISBETWEEN(K46, VLOOKUP(M46, $AD:$AG, 2, FALSE), V"&amp;"LOOKUP(M46, $AD:$AG, 4, FALSE), TRUE, FALSE), K46, VLOOKUP(M46, $AD:$AG, 2, FALSE)),
            IF(LABCOST_SINGLE_ADJUSTED(Lab_name, Level + 1) = 0, ""0 (Max)"",
            "" "" &amp; FORMAT_NUMBER(            
                    LABCOST_SINGLE_ADJUSTED(L"&amp;"ab_name, Level + 1) / 
                    (LABDURATION_SINGLE_ADJUSTED(Lab_name, Level + 1) /
                    (1 * REGEXEXTRACT(N$28, ""[\d.-]+"")))))),
        ""Gem Rush"", LET(
            Labspeed, IF(M46=""Labs Speed"", 1+'Master Sheet'!$BK$5, L"&amp;"AB_SPEED_TOTAL()),
            Start_Level, IF(K46 = """",
                VLOOKUP(M46, $AD:$AG, 2, false),
                IF(ISBETWEEN(K46, VALUE(VLOOKUP(M46, $AD:$AG, 2, false)), VALUE(VLOOKUP(M46, $AD:$AG, 4, false))), K46, """")),
            End_Lev"&amp;"el, IF(OR(L46 = """", NOT(ISBETWEEN(L46, VALUE(VLOOKUP(M46, $AD:$AG, 2, false)), VALUE(VLOOKUP(M46, $AD:$AG, 4, false)),0,1))),
                SWITCH($W$38,
                    ""Max"", VLOOKUP(M46, $AD:$AG, 4, false),
                    ""Target"", IF("&amp;"VLOOKUP(M46, $AD:$AG, 3, false) &lt;&gt; """", VLOOKUP(M46, $AD:$AG, 3, false), VLOOKUP(M46, $AD:$AG, 4, false))),
                    L46),
            SUM(ARRAYFORMULA(TIME_TO_RUSH_GEMS( OFFSET(DVT_Laboratory!$A$3, Start_Level , IF(ISNUMBER(SEARCH(""mastery"""&amp;", M46)), MATCH(""Card Mastery"", DVT_Laboratory!$A$1:$LO$1, 0), MATCH(M46, DVT_Laboratory!$A$1:$LO$1, 0)) - 1, End_Level - Start_Level, 1) / Labspeed)))))))"),"")</f>
        <v/>
      </c>
      <c r="O46" s="897" t="str">
        <f t="shared" si="17"/>
        <v/>
      </c>
      <c r="P46" s="797" t="str">
        <f>IFERROR(__xludf.DUMMYFUNCTION("IFS(M46 = """", """", 
    VLOOKUP(M46, $AD:$AG, 2, false) = VLOOKUP(M46, $AD:$AG, 4, false), ""MAX Level"",
    AND(VLOOKUP(M46, $AD:$AG, 3, false) &lt;&gt; """", VLOOKUP(M46, $AD:$AG, 2, false) = VLOOKUP(M46, $AD:$AG, 3, false)), ""At Target"",
    TRUE,
    "&amp;"IFERROR(LET(Start_Level, IF(K46 = """",
            VLOOKUP(M46, $AD:$AG, 2, false),
            IF(ISBETWEEN(K46, VALUE(VLOOKUP(M46, $AD:$AG, 2, false)), VALUE(VLOOKUP(M46, $AD:$AG, 4, false))), K46, """")),
        End_Level, IF(OR(L46 = """", NOT(ISBET"&amp;"WEEN(L46, VALUE(VLOOKUP(M46, $AD:$AG, 2, false)), VALUE(VLOOKUP(M46, $AD:$AG, 4, false)),0,1))),
            SWITCH($W$38,
                ""Max"", VLOOKUP(M46, $AD:$AG, 4, false),
                ""Target"", IF(VLOOKUP(M46, $AD:$AG, 3, false) &lt;&gt; """", VL"&amp;"OOKUP(M46, $AD:$AG, 3, false), VLOOKUP(M46, $AD:$AG, 4, false))),
            L46),
        SUM(OFFSET(DVT_Laboratory!$A$3, Start_Level , IF(ISNUMBER(SEARCH(""mastery"", M46)), MATCH(""Card Mastery"", DVT_Laboratory!$A$1:$MY$1, 0), MATCH(M46, DVT_Laborato"&amp;"ry!$A$1:$MY$1, 0)), End_Level - Start_Level, 1)) * (1-LAB_COIN_DISCOUNT())), ""Levels Error!""))"),"")</f>
        <v/>
      </c>
      <c r="Q46" s="798" t="str">
        <f>IFERROR(__xludf.DUMMYFUNCTION("IFS(M46 = """", """", 
    VLOOKUP(M46, $AD:$AG, 2, false) = VLOOKUP(M46, $AD:$AG, 4, false), ""MAX Level"",
    AND(VLOOKUP(M46, $AD:$AG, 3, false) &lt;&gt; """", VLOOKUP(M46, $AD:$AG, 2, false) = VLOOKUP(M46, $AD:$AG, 3, false)), ""At Target"",
    TRUE,
    "&amp;"IFERROR(LET(
        Labspeed, IF(M46=""Labs Speed"", 1+'Master Sheet'!$BK$5, LAB_SPEED_TOTAL()),
        Start_Level, IF(K46 = """",
            VLOOKUP(M46, $AD:$AG, 2, false),
            IF(ISBETWEEN(K46, VALUE(VLOOKUP(M46, $AD:$AG, 2, false)), VALUE("&amp;"VLOOKUP(M46, $AD:$AG, 4, false))), K46, """")),
        End_Level, IF(OR(L46 = """", NOT(ISBETWEEN(L46, VALUE(VLOOKUP(M46, $AD:$AG, 2, false)), VALUE(VLOOKUP(M46, $AD:$AG, 4, false)),0,1))),
            SWITCH($W$38,
                ""Max"", VLOOKUP(M46, "&amp;"$AD:$AG, 4, false),
                ""Target"", IF(VLOOKUP(M46, $AD:$AG, 3, false) &lt;&gt; """", VLOOKUP(M46, $AD:$AG, 3, false), VLOOKUP(M46, $AD:$AG, 4, false))),
            L46),
        SUM(OFFSET(DVT_Laboratory!$A$3, Start_Level , IF(ISNUMBER(SEARCH(""ma"&amp;"stery"", M46)), MATCH(""Card Mastery"", DVT_Laboratory!$A$1:$MY$1, 0), MATCH(M46, DVT_Laboratory!$A$1:$MY$1, 0)) - 1, End_Level - Start_Level, 1)) /
                (1 * REGEXEXTRACT(N$2, ""[\d.-]+"")) /
                Labspeed), ""Levels Error!""))"),"")</f>
        <v/>
      </c>
      <c r="R46" s="598"/>
      <c r="S46" s="594"/>
      <c r="T46" s="591"/>
      <c r="U46" s="904"/>
      <c r="V46" s="904"/>
      <c r="W46" s="904"/>
      <c r="X46" s="785"/>
      <c r="Y46" s="786"/>
      <c r="Z46" s="598"/>
      <c r="AA46" s="781"/>
      <c r="AB46" s="909" t="s">
        <v>481</v>
      </c>
      <c r="AC46" s="713" t="str">
        <f>IFERROR(__xludf.DUMMYFUNCTION("""COMPUTED_VALUE"""),"Common Enemy Health")</f>
        <v>Common Enemy Health</v>
      </c>
      <c r="AD46" s="816" t="s">
        <v>162</v>
      </c>
      <c r="AE46" s="713">
        <v>0.0</v>
      </c>
      <c r="AF46" s="713"/>
      <c r="AG46" s="713">
        <v>30.0</v>
      </c>
      <c r="AH46" s="907" t="str">
        <f t="shared" si="18"/>
        <v/>
      </c>
      <c r="AI46" s="713"/>
      <c r="AJ46" s="713"/>
      <c r="AK46" s="713"/>
      <c r="AL46" s="713"/>
      <c r="AM46" s="713"/>
      <c r="AN46" s="713"/>
      <c r="AO46" s="713"/>
      <c r="AP46" s="713"/>
      <c r="AQ46" s="713"/>
      <c r="AR46" s="713"/>
      <c r="AS46" s="713"/>
      <c r="AT46" s="713"/>
      <c r="AU46" s="713"/>
      <c r="AV46" s="713"/>
      <c r="AW46" s="713"/>
      <c r="AX46" s="713"/>
      <c r="AY46" s="713"/>
      <c r="AZ46" s="713"/>
      <c r="BA46" s="713"/>
      <c r="BB46" s="713"/>
      <c r="BC46" s="713"/>
      <c r="BD46" s="713"/>
      <c r="BE46" s="713"/>
      <c r="BF46" s="713"/>
      <c r="BG46" s="713"/>
      <c r="BH46" s="713"/>
      <c r="BI46" s="713"/>
      <c r="BJ46" s="713"/>
      <c r="BK46" s="713"/>
      <c r="BL46" s="713"/>
      <c r="BM46" s="713"/>
      <c r="BN46" s="713"/>
      <c r="BO46" s="713"/>
      <c r="BP46" s="713"/>
      <c r="BQ46" s="713"/>
      <c r="BR46" s="713"/>
      <c r="BS46" s="713"/>
      <c r="BT46" s="713"/>
      <c r="BU46" s="713"/>
      <c r="BV46" s="713"/>
      <c r="BW46" s="713"/>
      <c r="BX46" s="713"/>
      <c r="BY46" s="713"/>
      <c r="BZ46" s="713"/>
      <c r="CA46" s="713"/>
      <c r="CB46" s="713"/>
      <c r="CC46" s="713"/>
      <c r="CD46" s="713"/>
      <c r="CE46" s="713"/>
      <c r="CF46" s="713"/>
      <c r="CG46" s="713"/>
      <c r="CH46" s="713"/>
      <c r="CI46" s="713"/>
      <c r="CJ46" s="713"/>
      <c r="CK46" s="713"/>
      <c r="CL46" s="713"/>
      <c r="CM46" s="713"/>
      <c r="CN46" s="713"/>
      <c r="CO46" s="713"/>
      <c r="CP46" s="713"/>
      <c r="CQ46" s="713"/>
      <c r="CR46" s="713"/>
      <c r="CS46" s="713"/>
      <c r="CT46" s="713"/>
      <c r="CU46" s="713"/>
      <c r="CV46" s="713"/>
      <c r="CW46" s="713"/>
      <c r="CX46" s="713"/>
      <c r="CY46" s="713"/>
      <c r="CZ46" s="713"/>
      <c r="DA46" s="713"/>
      <c r="DB46" s="713"/>
      <c r="DC46" s="713"/>
      <c r="DD46" s="713"/>
      <c r="DE46" s="713"/>
      <c r="DF46" s="713"/>
      <c r="DG46" s="713"/>
      <c r="DH46" s="713"/>
      <c r="DI46" s="713"/>
      <c r="DJ46" s="713"/>
      <c r="DK46" s="713"/>
      <c r="DL46" s="713"/>
      <c r="DM46" s="713"/>
      <c r="DN46" s="713"/>
      <c r="DO46" s="713"/>
      <c r="DP46" s="713"/>
      <c r="DQ46" s="713"/>
      <c r="DR46" s="713"/>
      <c r="DS46" s="713"/>
      <c r="DT46" s="713"/>
      <c r="DU46" s="713"/>
      <c r="DV46" s="713"/>
      <c r="DW46" s="713"/>
      <c r="DX46" s="713"/>
      <c r="DY46" s="713"/>
      <c r="DZ46" s="713"/>
      <c r="EA46" s="713"/>
      <c r="EB46" s="713"/>
      <c r="EC46" s="713"/>
      <c r="ED46" s="713"/>
      <c r="EE46" s="713"/>
      <c r="EF46" s="713"/>
      <c r="EG46" s="713"/>
      <c r="EH46" s="713"/>
      <c r="EI46" s="713"/>
      <c r="EJ46" s="713"/>
      <c r="EK46" s="713"/>
      <c r="EL46" s="713"/>
      <c r="EM46" s="713"/>
      <c r="EN46" s="713"/>
      <c r="EO46" s="713"/>
      <c r="EP46" s="713"/>
      <c r="EQ46" s="713"/>
      <c r="ER46" s="713"/>
      <c r="ES46" s="713"/>
      <c r="ET46" s="713"/>
      <c r="EU46" s="713"/>
      <c r="EV46" s="713"/>
      <c r="EW46" s="713"/>
      <c r="EX46" s="713"/>
      <c r="EY46" s="713"/>
      <c r="EZ46" s="713"/>
      <c r="FA46" s="713"/>
      <c r="FB46" s="713"/>
      <c r="FC46" s="713"/>
      <c r="FD46" s="713"/>
      <c r="FE46" s="713"/>
      <c r="FF46" s="713"/>
      <c r="FG46" s="713"/>
      <c r="FH46" s="713"/>
      <c r="FI46" s="713"/>
      <c r="FJ46" s="713"/>
      <c r="FK46" s="713"/>
      <c r="FL46" s="713"/>
      <c r="FM46" s="713"/>
      <c r="FN46" s="713"/>
      <c r="FO46" s="713"/>
      <c r="FP46" s="713"/>
      <c r="FQ46" s="713"/>
      <c r="FR46" s="713"/>
      <c r="FS46" s="713"/>
      <c r="FT46" s="713"/>
      <c r="FU46" s="713"/>
      <c r="FV46" s="713"/>
      <c r="FW46" s="713"/>
      <c r="FX46" s="713"/>
      <c r="FY46" s="713"/>
      <c r="FZ46" s="713"/>
      <c r="GA46" s="713"/>
      <c r="GB46" s="713"/>
      <c r="GC46" s="713"/>
      <c r="GD46" s="713"/>
      <c r="GE46" s="713"/>
      <c r="GF46" s="713"/>
      <c r="GG46" s="713"/>
      <c r="GH46" s="713"/>
      <c r="GI46" s="713"/>
      <c r="GJ46" s="713"/>
      <c r="GK46" s="713"/>
      <c r="GL46" s="713"/>
      <c r="GM46" s="713"/>
      <c r="GN46" s="713"/>
      <c r="GO46" s="713"/>
      <c r="GP46" s="713"/>
      <c r="GQ46" s="713"/>
      <c r="GR46" s="713"/>
      <c r="GS46" s="713"/>
      <c r="GT46" s="713"/>
      <c r="GU46" s="713"/>
      <c r="GV46" s="713"/>
      <c r="GW46" s="713"/>
      <c r="GX46" s="713"/>
      <c r="GY46" s="713"/>
      <c r="GZ46" s="713"/>
      <c r="HA46" s="713"/>
      <c r="HB46" s="713"/>
      <c r="HC46" s="713"/>
      <c r="HD46" s="713"/>
      <c r="HE46" s="713"/>
      <c r="HF46" s="713"/>
      <c r="HG46" s="713"/>
      <c r="HH46" s="713"/>
      <c r="HI46" s="713"/>
      <c r="HJ46" s="713"/>
      <c r="HK46" s="713"/>
      <c r="HL46" s="713"/>
      <c r="HM46" s="713"/>
      <c r="HN46" s="713"/>
      <c r="HO46" s="713"/>
      <c r="HP46" s="713"/>
      <c r="HQ46" s="713"/>
      <c r="HR46" s="713"/>
      <c r="HS46" s="713"/>
      <c r="HT46" s="713"/>
      <c r="HU46" s="713"/>
      <c r="HV46" s="713"/>
      <c r="HW46" s="713"/>
      <c r="HX46" s="713"/>
      <c r="HY46" s="713"/>
      <c r="HZ46" s="713"/>
      <c r="IA46" s="713"/>
      <c r="IB46" s="713"/>
      <c r="IC46" s="713"/>
      <c r="ID46" s="713"/>
      <c r="IE46" s="713"/>
      <c r="IF46" s="713"/>
      <c r="IG46" s="713"/>
      <c r="IH46" s="713"/>
    </row>
    <row r="47" hidden="1" outlineLevel="1">
      <c r="A47" s="598"/>
      <c r="B47" s="807" t="str">
        <f t="shared" si="12"/>
        <v/>
      </c>
      <c r="C47" s="855"/>
      <c r="D47" s="881"/>
      <c r="E47" s="894"/>
      <c r="F47" s="895" t="str">
        <f>IFERROR(__xludf.DUMMYFUNCTION("IFERROR(IF(H47 = """", """",
    SWITCH($W$37,
        ""Total"", "" "" &amp; FORMAT_NUMBER(H47),
        ""Daily"", LET(Lab_name, IF(REGEXMATCH(E47, ""Mastery""), ""Card Mastery"", E47),
            Level, IF(ISBETWEEN(C47, VLOOKUP(E47, $AD:$AG, 2, FALSE), V"&amp;"LOOKUP(E47, $AD:$AG, 4, FALSE), TRUE, FALSE), C47, VLOOKUP(E47, $AD:$AG, 2, FALSE)),
            IF(LABCOST_SINGLE_ADJUSTED(Lab_name, Level + 1) = 0, ""0 (Max)"",
            "" "" &amp; FORMAT_NUMBER(            
                    LABCOST_SINGLE_ADJUSTED(L"&amp;"ab_name, Level + 1) / 
                    (LABDURATION_SINGLE_ADJUSTED(Lab_name, Level + 1) /
                    (1 * REGEXEXTRACT(F$28, ""[\d.-]+"")))))),
        ""Gem Rush"", LET(
            Labspeed, IF(E47=""Labs Speed"", 1+'Master Sheet'!$BK$5, L"&amp;"AB_SPEED_TOTAL()),
            Start_Level, IF(C47 = """",
                VLOOKUP(E47, $AD:$AG, 2, false),
                IF(ISBETWEEN(C47, VALUE(VLOOKUP(E47, $AD:$AG, 2, false)), VALUE(VLOOKUP(E47, $AD:$AG, 4, false))), C47, """")),
            End_Lev"&amp;"el, IF(OR(D47 = """", NOT(ISBETWEEN(D47, VALUE(VLOOKUP(E47, $AD:$AG, 2, false)), VALUE(VLOOKUP(E47, $AD:$AG, 4, false)),0,1))),
                SWITCH($W$38,
                    ""Max"", VLOOKUP(E47, $AD:$AG, 4, false),
                    ""Target"", IF("&amp;"VLOOKUP(E47, $AD:$AG, 3, false) &lt;&gt; """", VLOOKUP(E47, $AD:$AG, 3, false), VLOOKUP(E47, $AD:$AG, 4, false))),
                    D47),
            SUM(ARRAYFORMULA(TIME_TO_RUSH_GEMS( OFFSET(DVT_Laboratory!$A$3, Start_Level , IF(ISNUMBER(SEARCH(""mastery"""&amp;", E47)), MATCH(""Card Mastery"", DVT_Laboratory!$A$1:$LO$1, 0), MATCH(E47, DVT_Laboratory!$A$1:$LO$1, 0)) - 1, End_Level - Start_Level, 1) / Labspeed)))))))"),"")</f>
        <v/>
      </c>
      <c r="G47" s="896" t="str">
        <f t="shared" si="16"/>
        <v/>
      </c>
      <c r="H47" s="792" t="str">
        <f>IFERROR(__xludf.DUMMYFUNCTION("IFS(E47 = """", """", 
    VLOOKUP(E47, $AD:$AG, 2, false) = VLOOKUP(E47, $AD:$AG, 4, false), ""MAX Level"",
    AND(VLOOKUP(E47, $AD:$AG, 3, false) &lt;&gt; """", VLOOKUP(E47, $AD:$AG, 2, false) = VLOOKUP(E47, $AD:$AG, 3, false)), ""At Target"",
    TRUE,
    "&amp;"IFERROR(LET(Start_Level, IF(C47 = """",
            VLOOKUP(E47, $AD:$AG, 2, false),
            IF(ISBETWEEN(C47, VALUE(VLOOKUP(E47, $AD:$AG, 2, false)), VALUE(VLOOKUP(E47, $AD:$AG, 4, false))), C47, """")),
        End_Level, IF(OR(D47 = """", NOT(ISBET"&amp;"WEEN(D47, VALUE(VLOOKUP(E47, $AD:$AG, 2, false)), VALUE(VLOOKUP(E47, $AD:$AG, 4, false)),0,1))),
            SWITCH($W$38,
                ""Max"", VLOOKUP(E47, $AD:$AG, 4, false),
                ""Target"", IF(VLOOKUP(E47, $AD:$AG, 3, false) &lt;&gt; """", VL"&amp;"OOKUP(E47, $AD:$AG, 3, false), VLOOKUP(E47, $AD:$AG, 4, false))),
            D47),
        SUM(OFFSET(DVT_Laboratory!$A$3, Start_Level , IF(ISNUMBER(SEARCH(""mastery"", E47)), MATCH(""Card Mastery"", DVT_Laboratory!$A$1:$MY$1, 0), MATCH(E47, DVT_Laborato"&amp;"ry!$A$1:$MY$1, 0)), End_Level - Start_Level, 1)) * (1-LAB_COIN_DISCOUNT())), ""Levels Error!""))"),"")</f>
        <v/>
      </c>
      <c r="I47" s="793" t="str">
        <f>IFERROR(__xludf.DUMMYFUNCTION("IFS(E47 = """", """", 
    VLOOKUP(E47, $AD:$AG, 2, false) = VLOOKUP(E47, $AD:$AG, 4, false), ""MAX Level"",
    AND(VLOOKUP(E47, $AD:$AG, 3, false) &lt;&gt; """", VLOOKUP(E47, $AD:$AG, 2, false) = VLOOKUP(E47, $AD:$AG, 3, false)), ""At Target"",
    TRUE,
    "&amp;"IFERROR(LET(
        Labspeed, IF(E47=""Labs Speed"", 1+'Master Sheet'!$BK$5, LAB_SPEED_TOTAL()),
        Start_Level, IF(C47 = """",
            VLOOKUP(E47, $AD:$AG, 2, false),
            IF(ISBETWEEN(C47, VALUE(VLOOKUP(E47, $AD:$AG, 2, false)), VALUE("&amp;"VLOOKUP(E47, $AD:$AG, 4, false))), C47, """")),
        End_Level, IF(OR(D47 = """", NOT(ISBETWEEN(D47, VALUE(VLOOKUP(E47, $AD:$AG, 2, false)), VALUE(VLOOKUP(E47, $AD:$AG, 4, false)),0,1))),
            SWITCH($W$38,
                ""Max"", VLOOKUP(E47, "&amp;"$AD:$AG, 4, false),
                ""Target"", IF(VLOOKUP(E47, $AD:$AG, 3, false) &lt;&gt; """", VLOOKUP(E47, $AD:$AG, 3, false), VLOOKUP(E47, $AD:$AG, 4, false))),
            D47),
        SUM(OFFSET(DVT_Laboratory!$A$3, Start_Level , IF(ISNUMBER(SEARCH(""ma"&amp;"stery"", E47)), MATCH(""Card Mastery"", DVT_Laboratory!$A$1:$MY$1, 0), MATCH(E47, DVT_Laboratory!$A$1:$MY$1, 0)) - 1, End_Level - Start_Level, 1)) /
                (1 * REGEXEXTRACT(F$2, ""[\d.-]+"")) /
                Labspeed), ""Levels Error!""))"),"")</f>
        <v/>
      </c>
      <c r="J47" s="809" t="str">
        <f t="shared" si="14"/>
        <v/>
      </c>
      <c r="K47" s="861"/>
      <c r="L47" s="873"/>
      <c r="M47" s="835"/>
      <c r="N47" s="849" t="str">
        <f>IFERROR(__xludf.DUMMYFUNCTION("IFERROR(IF(P47 = """", """",
    SWITCH($W$37,
        ""Total"", "" "" &amp; FORMAT_NUMBER(P47),
        ""Daily"", LET(Lab_name, IF(REGEXMATCH(M47, ""Mastery""), ""Card Mastery"", M47),
            Level, IF(ISBETWEEN(K47, VLOOKUP(M47, $AD:$AG, 2, FALSE), V"&amp;"LOOKUP(M47, $AD:$AG, 4, FALSE), TRUE, FALSE), K47, VLOOKUP(M47, $AD:$AG, 2, FALSE)),
            IF(LABCOST_SINGLE_ADJUSTED(Lab_name, Level + 1) = 0, ""0 (Max)"",
            "" "" &amp; FORMAT_NUMBER(            
                    LABCOST_SINGLE_ADJUSTED(L"&amp;"ab_name, Level + 1) / 
                    (LABDURATION_SINGLE_ADJUSTED(Lab_name, Level + 1) /
                    (1 * REGEXEXTRACT(N$28, ""[\d.-]+"")))))),
        ""Gem Rush"", LET(
            Labspeed, IF(M47=""Labs Speed"", 1+'Master Sheet'!$BK$5, L"&amp;"AB_SPEED_TOTAL()),
            Start_Level, IF(K47 = """",
                VLOOKUP(M47, $AD:$AG, 2, false),
                IF(ISBETWEEN(K47, VALUE(VLOOKUP(M47, $AD:$AG, 2, false)), VALUE(VLOOKUP(M47, $AD:$AG, 4, false))), K47, """")),
            End_Lev"&amp;"el, IF(OR(L47 = """", NOT(ISBETWEEN(L47, VALUE(VLOOKUP(M47, $AD:$AG, 2, false)), VALUE(VLOOKUP(M47, $AD:$AG, 4, false)),0,1))),
                SWITCH($W$38,
                    ""Max"", VLOOKUP(M47, $AD:$AG, 4, false),
                    ""Target"", IF("&amp;"VLOOKUP(M47, $AD:$AG, 3, false) &lt;&gt; """", VLOOKUP(M47, $AD:$AG, 3, false), VLOOKUP(M47, $AD:$AG, 4, false))),
                    L47),
            SUM(ARRAYFORMULA(TIME_TO_RUSH_GEMS( OFFSET(DVT_Laboratory!$A$3, Start_Level , IF(ISNUMBER(SEARCH(""mastery"""&amp;", M47)), MATCH(""Card Mastery"", DVT_Laboratory!$A$1:$LO$1, 0), MATCH(M47, DVT_Laboratory!$A$1:$LO$1, 0)) - 1, End_Level - Start_Level, 1) / Labspeed)))))))"),"")</f>
        <v/>
      </c>
      <c r="O47" s="897" t="str">
        <f t="shared" si="17"/>
        <v/>
      </c>
      <c r="P47" s="797" t="str">
        <f>IFERROR(__xludf.DUMMYFUNCTION("IFS(M47 = """", """", 
    VLOOKUP(M47, $AD:$AG, 2, false) = VLOOKUP(M47, $AD:$AG, 4, false), ""MAX Level"",
    AND(VLOOKUP(M47, $AD:$AG, 3, false) &lt;&gt; """", VLOOKUP(M47, $AD:$AG, 2, false) = VLOOKUP(M47, $AD:$AG, 3, false)), ""At Target"",
    TRUE,
    "&amp;"IFERROR(LET(Start_Level, IF(K47 = """",
            VLOOKUP(M47, $AD:$AG, 2, false),
            IF(ISBETWEEN(K47, VALUE(VLOOKUP(M47, $AD:$AG, 2, false)), VALUE(VLOOKUP(M47, $AD:$AG, 4, false))), K47, """")),
        End_Level, IF(OR(L47 = """", NOT(ISBET"&amp;"WEEN(L47, VALUE(VLOOKUP(M47, $AD:$AG, 2, false)), VALUE(VLOOKUP(M47, $AD:$AG, 4, false)),0,1))),
            SWITCH($W$38,
                ""Max"", VLOOKUP(M47, $AD:$AG, 4, false),
                ""Target"", IF(VLOOKUP(M47, $AD:$AG, 3, false) &lt;&gt; """", VL"&amp;"OOKUP(M47, $AD:$AG, 3, false), VLOOKUP(M47, $AD:$AG, 4, false))),
            L47),
        SUM(OFFSET(DVT_Laboratory!$A$3, Start_Level , IF(ISNUMBER(SEARCH(""mastery"", M47)), MATCH(""Card Mastery"", DVT_Laboratory!$A$1:$MY$1, 0), MATCH(M47, DVT_Laborato"&amp;"ry!$A$1:$MY$1, 0)), End_Level - Start_Level, 1)) * (1-LAB_COIN_DISCOUNT())), ""Levels Error!""))"),"")</f>
        <v/>
      </c>
      <c r="Q47" s="798" t="str">
        <f>IFERROR(__xludf.DUMMYFUNCTION("IFS(M47 = """", """", 
    VLOOKUP(M47, $AD:$AG, 2, false) = VLOOKUP(M47, $AD:$AG, 4, false), ""MAX Level"",
    AND(VLOOKUP(M47, $AD:$AG, 3, false) &lt;&gt; """", VLOOKUP(M47, $AD:$AG, 2, false) = VLOOKUP(M47, $AD:$AG, 3, false)), ""At Target"",
    TRUE,
    "&amp;"IFERROR(LET(
        Labspeed, IF(M47=""Labs Speed"", 1+'Master Sheet'!$BK$5, LAB_SPEED_TOTAL()),
        Start_Level, IF(K47 = """",
            VLOOKUP(M47, $AD:$AG, 2, false),
            IF(ISBETWEEN(K47, VALUE(VLOOKUP(M47, $AD:$AG, 2, false)), VALUE("&amp;"VLOOKUP(M47, $AD:$AG, 4, false))), K47, """")),
        End_Level, IF(OR(L47 = """", NOT(ISBETWEEN(L47, VALUE(VLOOKUP(M47, $AD:$AG, 2, false)), VALUE(VLOOKUP(M47, $AD:$AG, 4, false)),0,1))),
            SWITCH($W$38,
                ""Max"", VLOOKUP(M47, "&amp;"$AD:$AG, 4, false),
                ""Target"", IF(VLOOKUP(M47, $AD:$AG, 3, false) &lt;&gt; """", VLOOKUP(M47, $AD:$AG, 3, false), VLOOKUP(M47, $AD:$AG, 4, false))),
            L47),
        SUM(OFFSET(DVT_Laboratory!$A$3, Start_Level , IF(ISNUMBER(SEARCH(""ma"&amp;"stery"", M47)), MATCH(""Card Mastery"", DVT_Laboratory!$A$1:$MY$1, 0), MATCH(M47, DVT_Laboratory!$A$1:$MY$1, 0)) - 1, End_Level - Start_Level, 1)) /
                (1 * REGEXEXTRACT(N$2, ""[\d.-]+"")) /
                Labspeed), ""Levels Error!""))"),"")</f>
        <v/>
      </c>
      <c r="R47" s="598"/>
      <c r="S47" s="594"/>
      <c r="T47" s="591"/>
      <c r="U47" s="904"/>
      <c r="V47" s="904"/>
      <c r="W47" s="904"/>
      <c r="X47" s="785"/>
      <c r="Y47" s="786"/>
      <c r="Z47" s="598"/>
      <c r="AA47" s="781"/>
      <c r="AB47" s="910" t="s">
        <v>482</v>
      </c>
      <c r="AC47" s="713" t="str">
        <f>IFERROR(__xludf.DUMMYFUNCTION("""COMPUTED_VALUE"""),"Core Effect Bans")</f>
        <v>Core Effect Bans</v>
      </c>
      <c r="AD47" s="825" t="s">
        <v>292</v>
      </c>
      <c r="AE47" s="713">
        <v>4.0</v>
      </c>
      <c r="AF47" s="713"/>
      <c r="AG47" s="713">
        <v>7.0</v>
      </c>
      <c r="AH47" s="907" t="str">
        <f t="shared" si="18"/>
        <v/>
      </c>
      <c r="AI47" s="713"/>
      <c r="AJ47" s="713"/>
      <c r="AK47" s="713"/>
      <c r="AL47" s="713"/>
      <c r="AM47" s="713"/>
      <c r="AN47" s="713"/>
      <c r="AO47" s="713"/>
      <c r="AP47" s="713"/>
      <c r="AQ47" s="713"/>
      <c r="AR47" s="713"/>
      <c r="AS47" s="713"/>
      <c r="AT47" s="713"/>
      <c r="AU47" s="713"/>
      <c r="AV47" s="713"/>
      <c r="AW47" s="713"/>
      <c r="AX47" s="713"/>
      <c r="AY47" s="713"/>
      <c r="AZ47" s="713"/>
      <c r="BA47" s="713"/>
      <c r="BB47" s="713"/>
      <c r="BC47" s="713"/>
      <c r="BD47" s="713"/>
      <c r="BE47" s="713"/>
      <c r="BF47" s="713"/>
      <c r="BG47" s="713"/>
      <c r="BH47" s="713"/>
      <c r="BI47" s="713"/>
      <c r="BJ47" s="713"/>
      <c r="BK47" s="713"/>
      <c r="BL47" s="713"/>
      <c r="BM47" s="713"/>
      <c r="BN47" s="713"/>
      <c r="BO47" s="713"/>
      <c r="BP47" s="713"/>
      <c r="BQ47" s="713"/>
      <c r="BR47" s="713"/>
      <c r="BS47" s="713"/>
      <c r="BT47" s="713"/>
      <c r="BU47" s="713"/>
      <c r="BV47" s="713"/>
      <c r="BW47" s="713"/>
      <c r="BX47" s="713"/>
      <c r="BY47" s="713"/>
      <c r="BZ47" s="713"/>
      <c r="CA47" s="713"/>
      <c r="CB47" s="713"/>
      <c r="CC47" s="713"/>
      <c r="CD47" s="713"/>
      <c r="CE47" s="713"/>
      <c r="CF47" s="713"/>
      <c r="CG47" s="713"/>
      <c r="CH47" s="713"/>
      <c r="CI47" s="713"/>
      <c r="CJ47" s="713"/>
      <c r="CK47" s="713"/>
      <c r="CL47" s="713"/>
      <c r="CM47" s="713"/>
      <c r="CN47" s="713"/>
      <c r="CO47" s="713"/>
      <c r="CP47" s="713"/>
      <c r="CQ47" s="713"/>
      <c r="CR47" s="713"/>
      <c r="CS47" s="713"/>
      <c r="CT47" s="713"/>
      <c r="CU47" s="713"/>
      <c r="CV47" s="713"/>
      <c r="CW47" s="713"/>
      <c r="CX47" s="713"/>
      <c r="CY47" s="713"/>
      <c r="CZ47" s="713"/>
      <c r="DA47" s="713"/>
      <c r="DB47" s="713"/>
      <c r="DC47" s="713"/>
      <c r="DD47" s="713"/>
      <c r="DE47" s="713"/>
      <c r="DF47" s="713"/>
      <c r="DG47" s="713"/>
      <c r="DH47" s="713"/>
      <c r="DI47" s="713"/>
      <c r="DJ47" s="713"/>
      <c r="DK47" s="713"/>
      <c r="DL47" s="713"/>
      <c r="DM47" s="713"/>
      <c r="DN47" s="713"/>
      <c r="DO47" s="713"/>
      <c r="DP47" s="713"/>
      <c r="DQ47" s="713"/>
      <c r="DR47" s="713"/>
      <c r="DS47" s="713"/>
      <c r="DT47" s="713"/>
      <c r="DU47" s="713"/>
      <c r="DV47" s="713"/>
      <c r="DW47" s="713"/>
      <c r="DX47" s="713"/>
      <c r="DY47" s="713"/>
      <c r="DZ47" s="713"/>
      <c r="EA47" s="713"/>
      <c r="EB47" s="713"/>
      <c r="EC47" s="713"/>
      <c r="ED47" s="713"/>
      <c r="EE47" s="713"/>
      <c r="EF47" s="713"/>
      <c r="EG47" s="713"/>
      <c r="EH47" s="713"/>
      <c r="EI47" s="713"/>
      <c r="EJ47" s="713"/>
      <c r="EK47" s="713"/>
      <c r="EL47" s="713"/>
      <c r="EM47" s="713"/>
      <c r="EN47" s="713"/>
      <c r="EO47" s="713"/>
      <c r="EP47" s="713"/>
      <c r="EQ47" s="713"/>
      <c r="ER47" s="713"/>
      <c r="ES47" s="713"/>
      <c r="ET47" s="713"/>
      <c r="EU47" s="713"/>
      <c r="EV47" s="713"/>
      <c r="EW47" s="713"/>
      <c r="EX47" s="713"/>
      <c r="EY47" s="713"/>
      <c r="EZ47" s="713"/>
      <c r="FA47" s="713"/>
      <c r="FB47" s="713"/>
      <c r="FC47" s="713"/>
      <c r="FD47" s="713"/>
      <c r="FE47" s="713"/>
      <c r="FF47" s="713"/>
      <c r="FG47" s="713"/>
      <c r="FH47" s="713"/>
      <c r="FI47" s="713"/>
      <c r="FJ47" s="713"/>
      <c r="FK47" s="713"/>
      <c r="FL47" s="713"/>
      <c r="FM47" s="713"/>
      <c r="FN47" s="713"/>
      <c r="FO47" s="713"/>
      <c r="FP47" s="713"/>
      <c r="FQ47" s="713"/>
      <c r="FR47" s="713"/>
      <c r="FS47" s="713"/>
      <c r="FT47" s="713"/>
      <c r="FU47" s="713"/>
      <c r="FV47" s="713"/>
      <c r="FW47" s="713"/>
      <c r="FX47" s="713"/>
      <c r="FY47" s="713"/>
      <c r="FZ47" s="713"/>
      <c r="GA47" s="713"/>
      <c r="GB47" s="713"/>
      <c r="GC47" s="713"/>
      <c r="GD47" s="713"/>
      <c r="GE47" s="713"/>
      <c r="GF47" s="713"/>
      <c r="GG47" s="713"/>
      <c r="GH47" s="713"/>
      <c r="GI47" s="713"/>
      <c r="GJ47" s="713"/>
      <c r="GK47" s="713"/>
      <c r="GL47" s="713"/>
      <c r="GM47" s="713"/>
      <c r="GN47" s="713"/>
      <c r="GO47" s="713"/>
      <c r="GP47" s="713"/>
      <c r="GQ47" s="713"/>
      <c r="GR47" s="713"/>
      <c r="GS47" s="713"/>
      <c r="GT47" s="713"/>
      <c r="GU47" s="713"/>
      <c r="GV47" s="713"/>
      <c r="GW47" s="713"/>
      <c r="GX47" s="713"/>
      <c r="GY47" s="713"/>
      <c r="GZ47" s="713"/>
      <c r="HA47" s="713"/>
      <c r="HB47" s="713"/>
      <c r="HC47" s="713"/>
      <c r="HD47" s="713"/>
      <c r="HE47" s="713"/>
      <c r="HF47" s="713"/>
      <c r="HG47" s="713"/>
      <c r="HH47" s="713"/>
      <c r="HI47" s="713"/>
      <c r="HJ47" s="713"/>
      <c r="HK47" s="713"/>
      <c r="HL47" s="713"/>
      <c r="HM47" s="713"/>
      <c r="HN47" s="713"/>
      <c r="HO47" s="713"/>
      <c r="HP47" s="713"/>
      <c r="HQ47" s="713"/>
      <c r="HR47" s="713"/>
      <c r="HS47" s="713"/>
      <c r="HT47" s="713"/>
      <c r="HU47" s="713"/>
      <c r="HV47" s="713"/>
      <c r="HW47" s="713"/>
      <c r="HX47" s="713"/>
      <c r="HY47" s="713"/>
      <c r="HZ47" s="713"/>
      <c r="IA47" s="713"/>
      <c r="IB47" s="713"/>
      <c r="IC47" s="713"/>
      <c r="ID47" s="713"/>
      <c r="IE47" s="713"/>
      <c r="IF47" s="713"/>
      <c r="IG47" s="713"/>
      <c r="IH47" s="713"/>
    </row>
    <row r="48" hidden="1" outlineLevel="1">
      <c r="A48" s="598"/>
      <c r="B48" s="807" t="str">
        <f t="shared" si="12"/>
        <v/>
      </c>
      <c r="C48" s="855"/>
      <c r="D48" s="881"/>
      <c r="E48" s="894"/>
      <c r="F48" s="895" t="str">
        <f>IFERROR(__xludf.DUMMYFUNCTION("IFERROR(IF(H48 = """", """",
    SWITCH($W$37,
        ""Total"", "" "" &amp; FORMAT_NUMBER(H48),
        ""Daily"", LET(Lab_name, IF(REGEXMATCH(E48, ""Mastery""), ""Card Mastery"", E48),
            Level, IF(ISBETWEEN(C48, VLOOKUP(E48, $AD:$AG, 2, FALSE), V"&amp;"LOOKUP(E48, $AD:$AG, 4, FALSE), TRUE, FALSE), C48, VLOOKUP(E48, $AD:$AG, 2, FALSE)),
            IF(LABCOST_SINGLE_ADJUSTED(Lab_name, Level + 1) = 0, ""0 (Max)"",
            "" "" &amp; FORMAT_NUMBER(            
                    LABCOST_SINGLE_ADJUSTED(L"&amp;"ab_name, Level + 1) / 
                    (LABDURATION_SINGLE_ADJUSTED(Lab_name, Level + 1) /
                    (1 * REGEXEXTRACT(F$28, ""[\d.-]+"")))))),
        ""Gem Rush"", LET(
            Labspeed, IF(E48=""Labs Speed"", 1+'Master Sheet'!$BK$5, L"&amp;"AB_SPEED_TOTAL()),
            Start_Level, IF(C48 = """",
                VLOOKUP(E48, $AD:$AG, 2, false),
                IF(ISBETWEEN(C48, VALUE(VLOOKUP(E48, $AD:$AG, 2, false)), VALUE(VLOOKUP(E48, $AD:$AG, 4, false))), C48, """")),
            End_Lev"&amp;"el, IF(OR(D48 = """", NOT(ISBETWEEN(D48, VALUE(VLOOKUP(E48, $AD:$AG, 2, false)), VALUE(VLOOKUP(E48, $AD:$AG, 4, false)),0,1))),
                SWITCH($W$38,
                    ""Max"", VLOOKUP(E48, $AD:$AG, 4, false),
                    ""Target"", IF("&amp;"VLOOKUP(E48, $AD:$AG, 3, false) &lt;&gt; """", VLOOKUP(E48, $AD:$AG, 3, false), VLOOKUP(E48, $AD:$AG, 4, false))),
                    D48),
            SUM(ARRAYFORMULA(TIME_TO_RUSH_GEMS( OFFSET(DVT_Laboratory!$A$3, Start_Level , IF(ISNUMBER(SEARCH(""mastery"""&amp;", E48)), MATCH(""Card Mastery"", DVT_Laboratory!$A$1:$LO$1, 0), MATCH(E48, DVT_Laboratory!$A$1:$LO$1, 0)) - 1, End_Level - Start_Level, 1) / Labspeed)))))))"),"")</f>
        <v/>
      </c>
      <c r="G48" s="896" t="str">
        <f t="shared" si="16"/>
        <v/>
      </c>
      <c r="H48" s="792" t="str">
        <f>IFERROR(__xludf.DUMMYFUNCTION("IFS(E48 = """", """", 
    VLOOKUP(E48, $AD:$AG, 2, false) = VLOOKUP(E48, $AD:$AG, 4, false), ""MAX Level"",
    AND(VLOOKUP(E48, $AD:$AG, 3, false) &lt;&gt; """", VLOOKUP(E48, $AD:$AG, 2, false) = VLOOKUP(E48, $AD:$AG, 3, false)), ""At Target"",
    TRUE,
    "&amp;"IFERROR(LET(Start_Level, IF(C48 = """",
            VLOOKUP(E48, $AD:$AG, 2, false),
            IF(ISBETWEEN(C48, VALUE(VLOOKUP(E48, $AD:$AG, 2, false)), VALUE(VLOOKUP(E48, $AD:$AG, 4, false))), C48, """")),
        End_Level, IF(OR(D48 = """", NOT(ISBET"&amp;"WEEN(D48, VALUE(VLOOKUP(E48, $AD:$AG, 2, false)), VALUE(VLOOKUP(E48, $AD:$AG, 4, false)),0,1))),
            SWITCH($W$38,
                ""Max"", VLOOKUP(E48, $AD:$AG, 4, false),
                ""Target"", IF(VLOOKUP(E48, $AD:$AG, 3, false) &lt;&gt; """", VL"&amp;"OOKUP(E48, $AD:$AG, 3, false), VLOOKUP(E48, $AD:$AG, 4, false))),
            D48),
        SUM(OFFSET(DVT_Laboratory!$A$3, Start_Level , IF(ISNUMBER(SEARCH(""mastery"", E48)), MATCH(""Card Mastery"", DVT_Laboratory!$A$1:$MY$1, 0), MATCH(E48, DVT_Laborato"&amp;"ry!$A$1:$MY$1, 0)), End_Level - Start_Level, 1)) * (1-LAB_COIN_DISCOUNT())), ""Levels Error!""))"),"")</f>
        <v/>
      </c>
      <c r="I48" s="793" t="str">
        <f>IFERROR(__xludf.DUMMYFUNCTION("IFS(E48 = """", """", 
    VLOOKUP(E48, $AD:$AG, 2, false) = VLOOKUP(E48, $AD:$AG, 4, false), ""MAX Level"",
    AND(VLOOKUP(E48, $AD:$AG, 3, false) &lt;&gt; """", VLOOKUP(E48, $AD:$AG, 2, false) = VLOOKUP(E48, $AD:$AG, 3, false)), ""At Target"",
    TRUE,
    "&amp;"IFERROR(LET(
        Labspeed, IF(E48=""Labs Speed"", 1+'Master Sheet'!$BK$5, LAB_SPEED_TOTAL()),
        Start_Level, IF(C48 = """",
            VLOOKUP(E48, $AD:$AG, 2, false),
            IF(ISBETWEEN(C48, VALUE(VLOOKUP(E48, $AD:$AG, 2, false)), VALUE("&amp;"VLOOKUP(E48, $AD:$AG, 4, false))), C48, """")),
        End_Level, IF(OR(D48 = """", NOT(ISBETWEEN(D48, VALUE(VLOOKUP(E48, $AD:$AG, 2, false)), VALUE(VLOOKUP(E48, $AD:$AG, 4, false)),0,1))),
            SWITCH($W$38,
                ""Max"", VLOOKUP(E48, "&amp;"$AD:$AG, 4, false),
                ""Target"", IF(VLOOKUP(E48, $AD:$AG, 3, false) &lt;&gt; """", VLOOKUP(E48, $AD:$AG, 3, false), VLOOKUP(E48, $AD:$AG, 4, false))),
            D48),
        SUM(OFFSET(DVT_Laboratory!$A$3, Start_Level , IF(ISNUMBER(SEARCH(""ma"&amp;"stery"", E48)), MATCH(""Card Mastery"", DVT_Laboratory!$A$1:$MY$1, 0), MATCH(E48, DVT_Laboratory!$A$1:$MY$1, 0)) - 1, End_Level - Start_Level, 1)) /
                (1 * REGEXEXTRACT(F$2, ""[\d.-]+"")) /
                Labspeed), ""Levels Error!""))"),"")</f>
        <v/>
      </c>
      <c r="J48" s="809" t="str">
        <f t="shared" si="14"/>
        <v/>
      </c>
      <c r="K48" s="861"/>
      <c r="L48" s="873"/>
      <c r="M48" s="835"/>
      <c r="N48" s="849" t="str">
        <f>IFERROR(__xludf.DUMMYFUNCTION("IFERROR(IF(P48 = """", """",
    SWITCH($W$37,
        ""Total"", "" "" &amp; FORMAT_NUMBER(P48),
        ""Daily"", LET(Lab_name, IF(REGEXMATCH(M48, ""Mastery""), ""Card Mastery"", M48),
            Level, IF(ISBETWEEN(K48, VLOOKUP(M48, $AD:$AG, 2, FALSE), V"&amp;"LOOKUP(M48, $AD:$AG, 4, FALSE), TRUE, FALSE), K48, VLOOKUP(M48, $AD:$AG, 2, FALSE)),
            IF(LABCOST_SINGLE_ADJUSTED(Lab_name, Level + 1) = 0, ""0 (Max)"",
            "" "" &amp; FORMAT_NUMBER(            
                    LABCOST_SINGLE_ADJUSTED(L"&amp;"ab_name, Level + 1) / 
                    (LABDURATION_SINGLE_ADJUSTED(Lab_name, Level + 1) /
                    (1 * REGEXEXTRACT(N$28, ""[\d.-]+"")))))),
        ""Gem Rush"", LET(
            Labspeed, IF(M48=""Labs Speed"", 1+'Master Sheet'!$BK$5, L"&amp;"AB_SPEED_TOTAL()),
            Start_Level, IF(K48 = """",
                VLOOKUP(M48, $AD:$AG, 2, false),
                IF(ISBETWEEN(K48, VALUE(VLOOKUP(M48, $AD:$AG, 2, false)), VALUE(VLOOKUP(M48, $AD:$AG, 4, false))), K48, """")),
            End_Lev"&amp;"el, IF(OR(L48 = """", NOT(ISBETWEEN(L48, VALUE(VLOOKUP(M48, $AD:$AG, 2, false)), VALUE(VLOOKUP(M48, $AD:$AG, 4, false)),0,1))),
                SWITCH($W$38,
                    ""Max"", VLOOKUP(M48, $AD:$AG, 4, false),
                    ""Target"", IF("&amp;"VLOOKUP(M48, $AD:$AG, 3, false) &lt;&gt; """", VLOOKUP(M48, $AD:$AG, 3, false), VLOOKUP(M48, $AD:$AG, 4, false))),
                    L48),
            SUM(ARRAYFORMULA(TIME_TO_RUSH_GEMS( OFFSET(DVT_Laboratory!$A$3, Start_Level , IF(ISNUMBER(SEARCH(""mastery"""&amp;", M48)), MATCH(""Card Mastery"", DVT_Laboratory!$A$1:$LO$1, 0), MATCH(M48, DVT_Laboratory!$A$1:$LO$1, 0)) - 1, End_Level - Start_Level, 1) / Labspeed)))))))"),"")</f>
        <v/>
      </c>
      <c r="O48" s="897" t="str">
        <f t="shared" si="17"/>
        <v/>
      </c>
      <c r="P48" s="797" t="str">
        <f>IFERROR(__xludf.DUMMYFUNCTION("IFS(M48 = """", """", 
    VLOOKUP(M48, $AD:$AG, 2, false) = VLOOKUP(M48, $AD:$AG, 4, false), ""MAX Level"",
    AND(VLOOKUP(M48, $AD:$AG, 3, false) &lt;&gt; """", VLOOKUP(M48, $AD:$AG, 2, false) = VLOOKUP(M48, $AD:$AG, 3, false)), ""At Target"",
    TRUE,
    "&amp;"IFERROR(LET(Start_Level, IF(K48 = """",
            VLOOKUP(M48, $AD:$AG, 2, false),
            IF(ISBETWEEN(K48, VALUE(VLOOKUP(M48, $AD:$AG, 2, false)), VALUE(VLOOKUP(M48, $AD:$AG, 4, false))), K48, """")),
        End_Level, IF(OR(L48 = """", NOT(ISBET"&amp;"WEEN(L48, VALUE(VLOOKUP(M48, $AD:$AG, 2, false)), VALUE(VLOOKUP(M48, $AD:$AG, 4, false)),0,1))),
            SWITCH($W$38,
                ""Max"", VLOOKUP(M48, $AD:$AG, 4, false),
                ""Target"", IF(VLOOKUP(M48, $AD:$AG, 3, false) &lt;&gt; """", VL"&amp;"OOKUP(M48, $AD:$AG, 3, false), VLOOKUP(M48, $AD:$AG, 4, false))),
            L48),
        SUM(OFFSET(DVT_Laboratory!$A$3, Start_Level , IF(ISNUMBER(SEARCH(""mastery"", M48)), MATCH(""Card Mastery"", DVT_Laboratory!$A$1:$MY$1, 0), MATCH(M48, DVT_Laborato"&amp;"ry!$A$1:$MY$1, 0)), End_Level - Start_Level, 1)) * (1-LAB_COIN_DISCOUNT())), ""Levels Error!""))"),"")</f>
        <v/>
      </c>
      <c r="Q48" s="798" t="str">
        <f>IFERROR(__xludf.DUMMYFUNCTION("IFS(M48 = """", """", 
    VLOOKUP(M48, $AD:$AG, 2, false) = VLOOKUP(M48, $AD:$AG, 4, false), ""MAX Level"",
    AND(VLOOKUP(M48, $AD:$AG, 3, false) &lt;&gt; """", VLOOKUP(M48, $AD:$AG, 2, false) = VLOOKUP(M48, $AD:$AG, 3, false)), ""At Target"",
    TRUE,
    "&amp;"IFERROR(LET(
        Labspeed, IF(M48=""Labs Speed"", 1+'Master Sheet'!$BK$5, LAB_SPEED_TOTAL()),
        Start_Level, IF(K48 = """",
            VLOOKUP(M48, $AD:$AG, 2, false),
            IF(ISBETWEEN(K48, VALUE(VLOOKUP(M48, $AD:$AG, 2, false)), VALUE("&amp;"VLOOKUP(M48, $AD:$AG, 4, false))), K48, """")),
        End_Level, IF(OR(L48 = """", NOT(ISBETWEEN(L48, VALUE(VLOOKUP(M48, $AD:$AG, 2, false)), VALUE(VLOOKUP(M48, $AD:$AG, 4, false)),0,1))),
            SWITCH($W$38,
                ""Max"", VLOOKUP(M48, "&amp;"$AD:$AG, 4, false),
                ""Target"", IF(VLOOKUP(M48, $AD:$AG, 3, false) &lt;&gt; """", VLOOKUP(M48, $AD:$AG, 3, false), VLOOKUP(M48, $AD:$AG, 4, false))),
            L48),
        SUM(OFFSET(DVT_Laboratory!$A$3, Start_Level , IF(ISNUMBER(SEARCH(""ma"&amp;"stery"", M48)), MATCH(""Card Mastery"", DVT_Laboratory!$A$1:$MY$1, 0), MATCH(M48, DVT_Laboratory!$A$1:$MY$1, 0)) - 1, End_Level - Start_Level, 1)) /
                (1 * REGEXEXTRACT(N$2, ""[\d.-]+"")) /
                Labspeed), ""Levels Error!""))"),"")</f>
        <v/>
      </c>
      <c r="R48" s="598"/>
      <c r="S48" s="594"/>
      <c r="T48" s="591"/>
      <c r="U48" s="904"/>
      <c r="V48" s="904"/>
      <c r="W48" s="904"/>
      <c r="X48" s="785"/>
      <c r="Y48" s="786"/>
      <c r="Z48" s="598"/>
      <c r="AA48" s="911"/>
      <c r="AB48" s="912" t="s">
        <v>483</v>
      </c>
      <c r="AC48" s="713" t="str">
        <f>IFERROR(__xludf.DUMMYFUNCTION("""COMPUTED_VALUE"""),"Critical Chance Mastery")</f>
        <v>Critical Chance Mastery</v>
      </c>
      <c r="AD48" s="825" t="s">
        <v>329</v>
      </c>
      <c r="AE48" s="713">
        <v>0.0</v>
      </c>
      <c r="AF48" s="713"/>
      <c r="AG48" s="713">
        <v>9.0</v>
      </c>
      <c r="AH48" s="907" t="str">
        <f t="shared" si="18"/>
        <v/>
      </c>
      <c r="AI48" s="713"/>
      <c r="AJ48" s="713"/>
      <c r="AK48" s="713"/>
      <c r="AL48" s="713"/>
      <c r="AM48" s="713"/>
      <c r="AN48" s="713"/>
      <c r="AO48" s="713"/>
      <c r="AP48" s="713"/>
      <c r="AQ48" s="713"/>
      <c r="AR48" s="713"/>
      <c r="AS48" s="713"/>
      <c r="AT48" s="713"/>
      <c r="AU48" s="713"/>
      <c r="AV48" s="713"/>
      <c r="AW48" s="713"/>
      <c r="AX48" s="713"/>
      <c r="AY48" s="713"/>
      <c r="AZ48" s="713"/>
      <c r="BA48" s="713"/>
      <c r="BB48" s="713"/>
      <c r="BC48" s="713"/>
      <c r="BD48" s="713"/>
      <c r="BE48" s="713"/>
      <c r="BF48" s="713"/>
      <c r="BG48" s="713"/>
      <c r="BH48" s="713"/>
      <c r="BI48" s="713"/>
      <c r="BJ48" s="713"/>
      <c r="BK48" s="713"/>
      <c r="BL48" s="713"/>
      <c r="BM48" s="713"/>
      <c r="BN48" s="713"/>
      <c r="BO48" s="713"/>
      <c r="BP48" s="713"/>
      <c r="BQ48" s="713"/>
      <c r="BR48" s="713"/>
      <c r="BS48" s="713"/>
      <c r="BT48" s="713"/>
      <c r="BU48" s="713"/>
      <c r="BV48" s="713"/>
      <c r="BW48" s="713"/>
      <c r="BX48" s="713"/>
      <c r="BY48" s="713"/>
      <c r="BZ48" s="713"/>
      <c r="CA48" s="713"/>
      <c r="CB48" s="713"/>
      <c r="CC48" s="713"/>
      <c r="CD48" s="713"/>
      <c r="CE48" s="713"/>
      <c r="CF48" s="713"/>
      <c r="CG48" s="713"/>
      <c r="CH48" s="713"/>
      <c r="CI48" s="713"/>
      <c r="CJ48" s="713"/>
      <c r="CK48" s="713"/>
      <c r="CL48" s="713"/>
      <c r="CM48" s="713"/>
      <c r="CN48" s="713"/>
      <c r="CO48" s="713"/>
      <c r="CP48" s="713"/>
      <c r="CQ48" s="713"/>
      <c r="CR48" s="713"/>
      <c r="CS48" s="713"/>
      <c r="CT48" s="713"/>
      <c r="CU48" s="713"/>
      <c r="CV48" s="713"/>
      <c r="CW48" s="713"/>
      <c r="CX48" s="713"/>
      <c r="CY48" s="713"/>
      <c r="CZ48" s="713"/>
      <c r="DA48" s="713"/>
      <c r="DB48" s="713"/>
      <c r="DC48" s="713"/>
      <c r="DD48" s="713"/>
      <c r="DE48" s="713"/>
      <c r="DF48" s="713"/>
      <c r="DG48" s="713"/>
      <c r="DH48" s="713"/>
      <c r="DI48" s="713"/>
      <c r="DJ48" s="713"/>
      <c r="DK48" s="713"/>
      <c r="DL48" s="713"/>
      <c r="DM48" s="713"/>
      <c r="DN48" s="713"/>
      <c r="DO48" s="713"/>
      <c r="DP48" s="713"/>
      <c r="DQ48" s="713"/>
      <c r="DR48" s="713"/>
      <c r="DS48" s="713"/>
      <c r="DT48" s="713"/>
      <c r="DU48" s="713"/>
      <c r="DV48" s="713"/>
      <c r="DW48" s="713"/>
      <c r="DX48" s="713"/>
      <c r="DY48" s="713"/>
      <c r="DZ48" s="713"/>
      <c r="EA48" s="713"/>
      <c r="EB48" s="713"/>
      <c r="EC48" s="713"/>
      <c r="ED48" s="713"/>
      <c r="EE48" s="713"/>
      <c r="EF48" s="713"/>
      <c r="EG48" s="713"/>
      <c r="EH48" s="713"/>
      <c r="EI48" s="713"/>
      <c r="EJ48" s="713"/>
      <c r="EK48" s="713"/>
      <c r="EL48" s="713"/>
      <c r="EM48" s="713"/>
      <c r="EN48" s="713"/>
      <c r="EO48" s="713"/>
      <c r="EP48" s="713"/>
      <c r="EQ48" s="713"/>
      <c r="ER48" s="713"/>
      <c r="ES48" s="713"/>
      <c r="ET48" s="713"/>
      <c r="EU48" s="713"/>
      <c r="EV48" s="713"/>
      <c r="EW48" s="713"/>
      <c r="EX48" s="713"/>
      <c r="EY48" s="713"/>
      <c r="EZ48" s="713"/>
      <c r="FA48" s="713"/>
      <c r="FB48" s="713"/>
      <c r="FC48" s="713"/>
      <c r="FD48" s="713"/>
      <c r="FE48" s="713"/>
      <c r="FF48" s="713"/>
      <c r="FG48" s="713"/>
      <c r="FH48" s="713"/>
      <c r="FI48" s="713"/>
      <c r="FJ48" s="713"/>
      <c r="FK48" s="713"/>
      <c r="FL48" s="713"/>
      <c r="FM48" s="713"/>
      <c r="FN48" s="713"/>
      <c r="FO48" s="713"/>
      <c r="FP48" s="713"/>
      <c r="FQ48" s="713"/>
      <c r="FR48" s="713"/>
      <c r="FS48" s="713"/>
      <c r="FT48" s="713"/>
      <c r="FU48" s="713"/>
      <c r="FV48" s="713"/>
      <c r="FW48" s="713"/>
      <c r="FX48" s="713"/>
      <c r="FY48" s="713"/>
      <c r="FZ48" s="713"/>
      <c r="GA48" s="713"/>
      <c r="GB48" s="713"/>
      <c r="GC48" s="713"/>
      <c r="GD48" s="713"/>
      <c r="GE48" s="713"/>
      <c r="GF48" s="713"/>
      <c r="GG48" s="713"/>
      <c r="GH48" s="713"/>
      <c r="GI48" s="713"/>
      <c r="GJ48" s="713"/>
      <c r="GK48" s="713"/>
      <c r="GL48" s="713"/>
      <c r="GM48" s="713"/>
      <c r="GN48" s="713"/>
      <c r="GO48" s="713"/>
      <c r="GP48" s="713"/>
      <c r="GQ48" s="713"/>
      <c r="GR48" s="713"/>
      <c r="GS48" s="713"/>
      <c r="GT48" s="713"/>
      <c r="GU48" s="713"/>
      <c r="GV48" s="713"/>
      <c r="GW48" s="713"/>
      <c r="GX48" s="713"/>
      <c r="GY48" s="713"/>
      <c r="GZ48" s="713"/>
      <c r="HA48" s="713"/>
      <c r="HB48" s="713"/>
      <c r="HC48" s="713"/>
      <c r="HD48" s="713"/>
      <c r="HE48" s="713"/>
      <c r="HF48" s="713"/>
      <c r="HG48" s="713"/>
      <c r="HH48" s="713"/>
      <c r="HI48" s="713"/>
      <c r="HJ48" s="713"/>
      <c r="HK48" s="713"/>
      <c r="HL48" s="713"/>
      <c r="HM48" s="713"/>
      <c r="HN48" s="713"/>
      <c r="HO48" s="713"/>
      <c r="HP48" s="713"/>
      <c r="HQ48" s="713"/>
      <c r="HR48" s="713"/>
      <c r="HS48" s="713"/>
      <c r="HT48" s="713"/>
      <c r="HU48" s="713"/>
      <c r="HV48" s="713"/>
      <c r="HW48" s="713"/>
      <c r="HX48" s="713"/>
      <c r="HY48" s="713"/>
      <c r="HZ48" s="713"/>
      <c r="IA48" s="713"/>
      <c r="IB48" s="713"/>
      <c r="IC48" s="713"/>
      <c r="ID48" s="713"/>
      <c r="IE48" s="713"/>
      <c r="IF48" s="713"/>
      <c r="IG48" s="713"/>
      <c r="IH48" s="713"/>
    </row>
    <row r="49" hidden="1" outlineLevel="1">
      <c r="A49" s="598"/>
      <c r="B49" s="807" t="str">
        <f t="shared" si="12"/>
        <v/>
      </c>
      <c r="C49" s="855"/>
      <c r="D49" s="881"/>
      <c r="E49" s="894"/>
      <c r="F49" s="895" t="str">
        <f>IFERROR(__xludf.DUMMYFUNCTION("IFERROR(IF(H49 = """", """",
    SWITCH($W$37,
        ""Total"", "" "" &amp; FORMAT_NUMBER(H49),
        ""Daily"", LET(Lab_name, IF(REGEXMATCH(E49, ""Mastery""), ""Card Mastery"", E49),
            Level, IF(ISBETWEEN(C49, VLOOKUP(E49, $AD:$AG, 2, FALSE), V"&amp;"LOOKUP(E49, $AD:$AG, 4, FALSE), TRUE, FALSE), C49, VLOOKUP(E49, $AD:$AG, 2, FALSE)),
            IF(LABCOST_SINGLE_ADJUSTED(Lab_name, Level + 1) = 0, ""0 (Max)"",
            "" "" &amp; FORMAT_NUMBER(            
                    LABCOST_SINGLE_ADJUSTED(L"&amp;"ab_name, Level + 1) / 
                    (LABDURATION_SINGLE_ADJUSTED(Lab_name, Level + 1) /
                    (1 * REGEXEXTRACT(F$28, ""[\d.-]+"")))))),
        ""Gem Rush"", LET(
            Labspeed, IF(E49=""Labs Speed"", 1+'Master Sheet'!$BK$5, L"&amp;"AB_SPEED_TOTAL()),
            Start_Level, IF(C49 = """",
                VLOOKUP(E49, $AD:$AG, 2, false),
                IF(ISBETWEEN(C49, VALUE(VLOOKUP(E49, $AD:$AG, 2, false)), VALUE(VLOOKUP(E49, $AD:$AG, 4, false))), C49, """")),
            End_Lev"&amp;"el, IF(OR(D49 = """", NOT(ISBETWEEN(D49, VALUE(VLOOKUP(E49, $AD:$AG, 2, false)), VALUE(VLOOKUP(E49, $AD:$AG, 4, false)),0,1))),
                SWITCH($W$38,
                    ""Max"", VLOOKUP(E49, $AD:$AG, 4, false),
                    ""Target"", IF("&amp;"VLOOKUP(E49, $AD:$AG, 3, false) &lt;&gt; """", VLOOKUP(E49, $AD:$AG, 3, false), VLOOKUP(E49, $AD:$AG, 4, false))),
                    D49),
            SUM(ARRAYFORMULA(TIME_TO_RUSH_GEMS( OFFSET(DVT_Laboratory!$A$3, Start_Level , IF(ISNUMBER(SEARCH(""mastery"""&amp;", E49)), MATCH(""Card Mastery"", DVT_Laboratory!$A$1:$LO$1, 0), MATCH(E49, DVT_Laboratory!$A$1:$LO$1, 0)) - 1, End_Level - Start_Level, 1) / Labspeed)))))))"),"")</f>
        <v/>
      </c>
      <c r="G49" s="896" t="str">
        <f t="shared" si="16"/>
        <v/>
      </c>
      <c r="H49" s="792" t="str">
        <f>IFERROR(__xludf.DUMMYFUNCTION("IFS(E49 = """", """", 
    VLOOKUP(E49, $AD:$AG, 2, false) = VLOOKUP(E49, $AD:$AG, 4, false), ""MAX Level"",
    AND(VLOOKUP(E49, $AD:$AG, 3, false) &lt;&gt; """", VLOOKUP(E49, $AD:$AG, 2, false) = VLOOKUP(E49, $AD:$AG, 3, false)), ""At Target"",
    TRUE,
    "&amp;"IFERROR(LET(Start_Level, IF(C49 = """",
            VLOOKUP(E49, $AD:$AG, 2, false),
            IF(ISBETWEEN(C49, VALUE(VLOOKUP(E49, $AD:$AG, 2, false)), VALUE(VLOOKUP(E49, $AD:$AG, 4, false))), C49, """")),
        End_Level, IF(OR(D49 = """", NOT(ISBET"&amp;"WEEN(D49, VALUE(VLOOKUP(E49, $AD:$AG, 2, false)), VALUE(VLOOKUP(E49, $AD:$AG, 4, false)),0,1))),
            SWITCH($W$38,
                ""Max"", VLOOKUP(E49, $AD:$AG, 4, false),
                ""Target"", IF(VLOOKUP(E49, $AD:$AG, 3, false) &lt;&gt; """", VL"&amp;"OOKUP(E49, $AD:$AG, 3, false), VLOOKUP(E49, $AD:$AG, 4, false))),
            D49),
        SUM(OFFSET(DVT_Laboratory!$A$3, Start_Level , IF(ISNUMBER(SEARCH(""mastery"", E49)), MATCH(""Card Mastery"", DVT_Laboratory!$A$1:$MY$1, 0), MATCH(E49, DVT_Laborato"&amp;"ry!$A$1:$MY$1, 0)), End_Level - Start_Level, 1)) * (1-LAB_COIN_DISCOUNT())), ""Levels Error!""))"),"")</f>
        <v/>
      </c>
      <c r="I49" s="793" t="str">
        <f>IFERROR(__xludf.DUMMYFUNCTION("IFS(E49 = """", """", 
    VLOOKUP(E49, $AD:$AG, 2, false) = VLOOKUP(E49, $AD:$AG, 4, false), ""MAX Level"",
    AND(VLOOKUP(E49, $AD:$AG, 3, false) &lt;&gt; """", VLOOKUP(E49, $AD:$AG, 2, false) = VLOOKUP(E49, $AD:$AG, 3, false)), ""At Target"",
    TRUE,
    "&amp;"IFERROR(LET(
        Labspeed, IF(E49=""Labs Speed"", 1+'Master Sheet'!$BK$5, LAB_SPEED_TOTAL()),
        Start_Level, IF(C49 = """",
            VLOOKUP(E49, $AD:$AG, 2, false),
            IF(ISBETWEEN(C49, VALUE(VLOOKUP(E49, $AD:$AG, 2, false)), VALUE("&amp;"VLOOKUP(E49, $AD:$AG, 4, false))), C49, """")),
        End_Level, IF(OR(D49 = """", NOT(ISBETWEEN(D49, VALUE(VLOOKUP(E49, $AD:$AG, 2, false)), VALUE(VLOOKUP(E49, $AD:$AG, 4, false)),0,1))),
            SWITCH($W$38,
                ""Max"", VLOOKUP(E49, "&amp;"$AD:$AG, 4, false),
                ""Target"", IF(VLOOKUP(E49, $AD:$AG, 3, false) &lt;&gt; """", VLOOKUP(E49, $AD:$AG, 3, false), VLOOKUP(E49, $AD:$AG, 4, false))),
            D49),
        SUM(OFFSET(DVT_Laboratory!$A$3, Start_Level , IF(ISNUMBER(SEARCH(""ma"&amp;"stery"", E49)), MATCH(""Card Mastery"", DVT_Laboratory!$A$1:$MY$1, 0), MATCH(E49, DVT_Laboratory!$A$1:$MY$1, 0)) - 1, End_Level - Start_Level, 1)) /
                (1 * REGEXEXTRACT(F$2, ""[\d.-]+"")) /
                Labspeed), ""Levels Error!""))"),"")</f>
        <v/>
      </c>
      <c r="J49" s="809" t="str">
        <f t="shared" si="14"/>
        <v/>
      </c>
      <c r="K49" s="861"/>
      <c r="L49" s="873"/>
      <c r="M49" s="835"/>
      <c r="N49" s="849" t="str">
        <f>IFERROR(__xludf.DUMMYFUNCTION("IFERROR(IF(P49 = """", """",
    SWITCH($W$37,
        ""Total"", "" "" &amp; FORMAT_NUMBER(P49),
        ""Daily"", LET(Lab_name, IF(REGEXMATCH(M49, ""Mastery""), ""Card Mastery"", M49),
            Level, IF(ISBETWEEN(K49, VLOOKUP(M49, $AD:$AG, 2, FALSE), V"&amp;"LOOKUP(M49, $AD:$AG, 4, FALSE), TRUE, FALSE), K49, VLOOKUP(M49, $AD:$AG, 2, FALSE)),
            IF(LABCOST_SINGLE_ADJUSTED(Lab_name, Level + 1) = 0, ""0 (Max)"",
            "" "" &amp; FORMAT_NUMBER(            
                    LABCOST_SINGLE_ADJUSTED(L"&amp;"ab_name, Level + 1) / 
                    (LABDURATION_SINGLE_ADJUSTED(Lab_name, Level + 1) /
                    (1 * REGEXEXTRACT(N$28, ""[\d.-]+"")))))),
        ""Gem Rush"", LET(
            Labspeed, IF(M49=""Labs Speed"", 1+'Master Sheet'!$BK$5, L"&amp;"AB_SPEED_TOTAL()),
            Start_Level, IF(K49 = """",
                VLOOKUP(M49, $AD:$AG, 2, false),
                IF(ISBETWEEN(K49, VALUE(VLOOKUP(M49, $AD:$AG, 2, false)), VALUE(VLOOKUP(M49, $AD:$AG, 4, false))), K49, """")),
            End_Lev"&amp;"el, IF(OR(L49 = """", NOT(ISBETWEEN(L49, VALUE(VLOOKUP(M49, $AD:$AG, 2, false)), VALUE(VLOOKUP(M49, $AD:$AG, 4, false)),0,1))),
                SWITCH($W$38,
                    ""Max"", VLOOKUP(M49, $AD:$AG, 4, false),
                    ""Target"", IF("&amp;"VLOOKUP(M49, $AD:$AG, 3, false) &lt;&gt; """", VLOOKUP(M49, $AD:$AG, 3, false), VLOOKUP(M49, $AD:$AG, 4, false))),
                    L49),
            SUM(ARRAYFORMULA(TIME_TO_RUSH_GEMS( OFFSET(DVT_Laboratory!$A$3, Start_Level , IF(ISNUMBER(SEARCH(""mastery"""&amp;", M49)), MATCH(""Card Mastery"", DVT_Laboratory!$A$1:$LO$1, 0), MATCH(M49, DVT_Laboratory!$A$1:$LO$1, 0)) - 1, End_Level - Start_Level, 1) / Labspeed)))))))"),"")</f>
        <v/>
      </c>
      <c r="O49" s="897" t="str">
        <f t="shared" si="17"/>
        <v/>
      </c>
      <c r="P49" s="797" t="str">
        <f>IFERROR(__xludf.DUMMYFUNCTION("IFS(M49 = """", """", 
    VLOOKUP(M49, $AD:$AG, 2, false) = VLOOKUP(M49, $AD:$AG, 4, false), ""MAX Level"",
    AND(VLOOKUP(M49, $AD:$AG, 3, false) &lt;&gt; """", VLOOKUP(M49, $AD:$AG, 2, false) = VLOOKUP(M49, $AD:$AG, 3, false)), ""At Target"",
    TRUE,
    "&amp;"IFERROR(LET(Start_Level, IF(K49 = """",
            VLOOKUP(M49, $AD:$AG, 2, false),
            IF(ISBETWEEN(K49, VALUE(VLOOKUP(M49, $AD:$AG, 2, false)), VALUE(VLOOKUP(M49, $AD:$AG, 4, false))), K49, """")),
        End_Level, IF(OR(L49 = """", NOT(ISBET"&amp;"WEEN(L49, VALUE(VLOOKUP(M49, $AD:$AG, 2, false)), VALUE(VLOOKUP(M49, $AD:$AG, 4, false)),0,1))),
            SWITCH($W$38,
                ""Max"", VLOOKUP(M49, $AD:$AG, 4, false),
                ""Target"", IF(VLOOKUP(M49, $AD:$AG, 3, false) &lt;&gt; """", VL"&amp;"OOKUP(M49, $AD:$AG, 3, false), VLOOKUP(M49, $AD:$AG, 4, false))),
            L49),
        SUM(OFFSET(DVT_Laboratory!$A$3, Start_Level , IF(ISNUMBER(SEARCH(""mastery"", M49)), MATCH(""Card Mastery"", DVT_Laboratory!$A$1:$MY$1, 0), MATCH(M49, DVT_Laborato"&amp;"ry!$A$1:$MY$1, 0)), End_Level - Start_Level, 1)) * (1-LAB_COIN_DISCOUNT())), ""Levels Error!""))"),"")</f>
        <v/>
      </c>
      <c r="Q49" s="798" t="str">
        <f>IFERROR(__xludf.DUMMYFUNCTION("IFS(M49 = """", """", 
    VLOOKUP(M49, $AD:$AG, 2, false) = VLOOKUP(M49, $AD:$AG, 4, false), ""MAX Level"",
    AND(VLOOKUP(M49, $AD:$AG, 3, false) &lt;&gt; """", VLOOKUP(M49, $AD:$AG, 2, false) = VLOOKUP(M49, $AD:$AG, 3, false)), ""At Target"",
    TRUE,
    "&amp;"IFERROR(LET(
        Labspeed, IF(M49=""Labs Speed"", 1+'Master Sheet'!$BK$5, LAB_SPEED_TOTAL()),
        Start_Level, IF(K49 = """",
            VLOOKUP(M49, $AD:$AG, 2, false),
            IF(ISBETWEEN(K49, VALUE(VLOOKUP(M49, $AD:$AG, 2, false)), VALUE("&amp;"VLOOKUP(M49, $AD:$AG, 4, false))), K49, """")),
        End_Level, IF(OR(L49 = """", NOT(ISBETWEEN(L49, VALUE(VLOOKUP(M49, $AD:$AG, 2, false)), VALUE(VLOOKUP(M49, $AD:$AG, 4, false)),0,1))),
            SWITCH($W$38,
                ""Max"", VLOOKUP(M49, "&amp;"$AD:$AG, 4, false),
                ""Target"", IF(VLOOKUP(M49, $AD:$AG, 3, false) &lt;&gt; """", VLOOKUP(M49, $AD:$AG, 3, false), VLOOKUP(M49, $AD:$AG, 4, false))),
            L49),
        SUM(OFFSET(DVT_Laboratory!$A$3, Start_Level , IF(ISNUMBER(SEARCH(""ma"&amp;"stery"", M49)), MATCH(""Card Mastery"", DVT_Laboratory!$A$1:$MY$1, 0), MATCH(M49, DVT_Laboratory!$A$1:$MY$1, 0)) - 1, End_Level - Start_Level, 1)) /
                (1 * REGEXEXTRACT(N$2, ""[\d.-]+"")) /
                Labspeed), ""Levels Error!""))"),"")</f>
        <v/>
      </c>
      <c r="R49" s="598"/>
      <c r="S49" s="594"/>
      <c r="T49" s="591"/>
      <c r="U49" s="904"/>
      <c r="V49" s="904"/>
      <c r="W49" s="904"/>
      <c r="X49" s="785"/>
      <c r="Y49" s="786"/>
      <c r="Z49" s="598"/>
      <c r="AA49" s="911"/>
      <c r="AB49" s="911"/>
      <c r="AC49" s="913" t="str">
        <f>IFERROR(__xludf.DUMMYFUNCTION("""COMPUTED_VALUE"""),"Critical Coin Mastery")</f>
        <v>Critical Coin Mastery</v>
      </c>
      <c r="AD49" s="914" t="s">
        <v>353</v>
      </c>
      <c r="AE49" s="720">
        <v>0.0</v>
      </c>
      <c r="AF49" s="720"/>
      <c r="AG49" s="720">
        <v>9.0</v>
      </c>
      <c r="AH49" s="907" t="str">
        <f t="shared" si="18"/>
        <v/>
      </c>
      <c r="AI49" s="720"/>
      <c r="AJ49" s="720"/>
      <c r="AK49" s="720"/>
      <c r="AL49" s="720"/>
      <c r="AM49" s="720"/>
      <c r="AN49" s="720"/>
      <c r="AO49" s="720"/>
      <c r="AP49" s="720"/>
      <c r="AQ49" s="720"/>
      <c r="AR49" s="720"/>
      <c r="AS49" s="720"/>
      <c r="AT49" s="720"/>
      <c r="AU49" s="720"/>
      <c r="AV49" s="720"/>
      <c r="AW49" s="720"/>
      <c r="AX49" s="720"/>
      <c r="AY49" s="720"/>
      <c r="AZ49" s="720"/>
      <c r="BA49" s="720"/>
      <c r="BB49" s="720"/>
      <c r="BC49" s="720"/>
      <c r="BD49" s="720"/>
      <c r="BE49" s="720"/>
      <c r="BF49" s="720"/>
      <c r="BG49" s="720"/>
      <c r="BH49" s="720"/>
      <c r="BI49" s="720"/>
      <c r="BJ49" s="720"/>
      <c r="BK49" s="720"/>
      <c r="BL49" s="720"/>
      <c r="BM49" s="720"/>
      <c r="BN49" s="720"/>
      <c r="BO49" s="720"/>
      <c r="BP49" s="720"/>
      <c r="BQ49" s="720"/>
      <c r="BR49" s="720"/>
      <c r="BS49" s="720"/>
      <c r="BT49" s="720"/>
      <c r="BU49" s="720"/>
      <c r="BV49" s="720"/>
      <c r="BW49" s="720"/>
      <c r="BX49" s="720"/>
      <c r="BY49" s="720"/>
      <c r="BZ49" s="720"/>
      <c r="CA49" s="720"/>
      <c r="CB49" s="720"/>
      <c r="CC49" s="720"/>
      <c r="CD49" s="720"/>
      <c r="CE49" s="720"/>
      <c r="CF49" s="720"/>
      <c r="CG49" s="720"/>
      <c r="CH49" s="720"/>
      <c r="CI49" s="720"/>
      <c r="CJ49" s="720"/>
      <c r="CK49" s="720"/>
      <c r="CL49" s="720"/>
      <c r="CM49" s="720"/>
      <c r="CN49" s="720"/>
      <c r="CO49" s="720"/>
      <c r="CP49" s="720"/>
      <c r="CQ49" s="720"/>
      <c r="CR49" s="720"/>
      <c r="CS49" s="720"/>
      <c r="CT49" s="720"/>
      <c r="CU49" s="720"/>
      <c r="CV49" s="720"/>
      <c r="CW49" s="720"/>
      <c r="CX49" s="720"/>
      <c r="CY49" s="720"/>
      <c r="CZ49" s="720"/>
      <c r="DA49" s="720"/>
      <c r="DB49" s="720"/>
      <c r="DC49" s="720"/>
      <c r="DD49" s="720"/>
      <c r="DE49" s="720"/>
      <c r="DF49" s="720"/>
      <c r="DG49" s="720"/>
      <c r="DH49" s="720"/>
      <c r="DI49" s="720"/>
      <c r="DJ49" s="720"/>
      <c r="DK49" s="720"/>
      <c r="DL49" s="720"/>
      <c r="DM49" s="720"/>
      <c r="DN49" s="720"/>
      <c r="DO49" s="720"/>
      <c r="DP49" s="720"/>
      <c r="DQ49" s="720"/>
      <c r="DR49" s="720"/>
      <c r="DS49" s="720"/>
      <c r="DT49" s="720"/>
      <c r="DU49" s="720"/>
      <c r="DV49" s="720"/>
      <c r="DW49" s="720"/>
      <c r="DX49" s="720"/>
      <c r="DY49" s="720"/>
      <c r="DZ49" s="720"/>
      <c r="EA49" s="720"/>
      <c r="EB49" s="720"/>
      <c r="EC49" s="720"/>
      <c r="ED49" s="720"/>
      <c r="EE49" s="720"/>
      <c r="EF49" s="720"/>
      <c r="EG49" s="720"/>
      <c r="EH49" s="720"/>
      <c r="EI49" s="720"/>
      <c r="EJ49" s="720"/>
      <c r="EK49" s="720"/>
      <c r="EL49" s="720"/>
      <c r="EM49" s="720"/>
      <c r="EN49" s="720"/>
      <c r="EO49" s="720"/>
      <c r="EP49" s="720"/>
      <c r="EQ49" s="720"/>
      <c r="ER49" s="720"/>
      <c r="ES49" s="720"/>
      <c r="ET49" s="720"/>
      <c r="EU49" s="720"/>
      <c r="EV49" s="720"/>
      <c r="EW49" s="720"/>
      <c r="EX49" s="720"/>
      <c r="EY49" s="720"/>
      <c r="EZ49" s="720"/>
      <c r="FA49" s="720"/>
      <c r="FB49" s="720"/>
      <c r="FC49" s="720"/>
      <c r="FD49" s="720"/>
      <c r="FE49" s="720"/>
      <c r="FF49" s="720"/>
      <c r="FG49" s="720"/>
      <c r="FH49" s="720"/>
      <c r="FI49" s="720"/>
      <c r="FJ49" s="720"/>
      <c r="FK49" s="720"/>
      <c r="FL49" s="720"/>
      <c r="FM49" s="720"/>
      <c r="FN49" s="720"/>
      <c r="FO49" s="720"/>
      <c r="FP49" s="720"/>
      <c r="FQ49" s="720"/>
      <c r="FR49" s="720"/>
      <c r="FS49" s="720"/>
      <c r="FT49" s="720"/>
      <c r="FU49" s="720"/>
      <c r="FV49" s="720"/>
      <c r="FW49" s="720"/>
      <c r="FX49" s="720"/>
      <c r="FY49" s="720"/>
      <c r="FZ49" s="720"/>
      <c r="GA49" s="720"/>
      <c r="GB49" s="720"/>
      <c r="GC49" s="720"/>
      <c r="GD49" s="720"/>
      <c r="GE49" s="720"/>
      <c r="GF49" s="720"/>
      <c r="GG49" s="720"/>
      <c r="GH49" s="720"/>
      <c r="GI49" s="720"/>
      <c r="GJ49" s="720"/>
      <c r="GK49" s="720"/>
      <c r="GL49" s="720"/>
      <c r="GM49" s="720"/>
      <c r="GN49" s="720"/>
      <c r="GO49" s="720"/>
      <c r="GP49" s="720"/>
      <c r="GQ49" s="720"/>
      <c r="GR49" s="720"/>
      <c r="GS49" s="720"/>
      <c r="GT49" s="720"/>
      <c r="GU49" s="720"/>
      <c r="GV49" s="720"/>
      <c r="GW49" s="720"/>
      <c r="GX49" s="720"/>
      <c r="GY49" s="720"/>
      <c r="GZ49" s="720"/>
      <c r="HA49" s="720"/>
      <c r="HB49" s="720"/>
      <c r="HC49" s="720"/>
      <c r="HD49" s="720"/>
      <c r="HE49" s="720"/>
      <c r="HF49" s="720"/>
      <c r="HG49" s="720"/>
      <c r="HH49" s="720"/>
      <c r="HI49" s="720"/>
      <c r="HJ49" s="720"/>
      <c r="HK49" s="720"/>
      <c r="HL49" s="720"/>
      <c r="HM49" s="720"/>
      <c r="HN49" s="720"/>
      <c r="HO49" s="720"/>
      <c r="HP49" s="720"/>
      <c r="HQ49" s="720"/>
      <c r="HR49" s="720"/>
      <c r="HS49" s="720"/>
      <c r="HT49" s="720"/>
      <c r="HU49" s="720"/>
      <c r="HV49" s="720"/>
      <c r="HW49" s="720"/>
      <c r="HX49" s="720"/>
      <c r="HY49" s="720"/>
      <c r="HZ49" s="720"/>
      <c r="IA49" s="720"/>
      <c r="IB49" s="720"/>
      <c r="IC49" s="720"/>
      <c r="ID49" s="720"/>
      <c r="IE49" s="720"/>
      <c r="IF49" s="720"/>
      <c r="IG49" s="720"/>
      <c r="IH49" s="720"/>
    </row>
    <row r="50" hidden="1" outlineLevel="1">
      <c r="A50" s="598"/>
      <c r="B50" s="807" t="str">
        <f t="shared" si="12"/>
        <v/>
      </c>
      <c r="C50" s="915"/>
      <c r="D50" s="916"/>
      <c r="E50" s="917"/>
      <c r="F50" s="918" t="str">
        <f>IFERROR(__xludf.DUMMYFUNCTION("IFERROR(IF(H50 = """", """",
    SWITCH($W$37,
        ""Total"", "" "" &amp; FORMAT_NUMBER(H50),
        ""Daily"", LET(Lab_name, IF(REGEXMATCH(E50, ""Mastery""), ""Card Mastery"", E50),
            Level, IF(ISBETWEEN(C50, VLOOKUP(E50, $AD:$AG, 2, FALSE), V"&amp;"LOOKUP(E50, $AD:$AG, 4, FALSE), TRUE, FALSE), C50, VLOOKUP(E50, $AD:$AG, 2, FALSE)),
            IF(LABCOST_SINGLE_ADJUSTED(Lab_name, Level + 1) = 0, ""0 (Max)"",
            "" "" &amp; FORMAT_NUMBER(            
                    LABCOST_SINGLE_ADJUSTED(L"&amp;"ab_name, Level + 1) / 
                    (LABDURATION_SINGLE_ADJUSTED(Lab_name, Level + 1) /
                    (1 * REGEXEXTRACT(F$28, ""[\d.-]+"")))))),
        ""Gem Rush"", LET(
            Labspeed, IF(E50=""Labs Speed"", 1+'Master Sheet'!$BK$5, L"&amp;"AB_SPEED_TOTAL()),
            Start_Level, IF(C50 = """",
                VLOOKUP(E50, $AD:$AG, 2, false),
                IF(ISBETWEEN(C50, VALUE(VLOOKUP(E50, $AD:$AG, 2, false)), VALUE(VLOOKUP(E50, $AD:$AG, 4, false))), C50, """")),
            End_Lev"&amp;"el, IF(OR(D50 = """", NOT(ISBETWEEN(D50, VALUE(VLOOKUP(E50, $AD:$AG, 2, false)), VALUE(VLOOKUP(E50, $AD:$AG, 4, false)),0,1))),
                SWITCH($W$38,
                    ""Max"", VLOOKUP(E50, $AD:$AG, 4, false),
                    ""Target"", IF("&amp;"VLOOKUP(E50, $AD:$AG, 3, false) &lt;&gt; """", VLOOKUP(E50, $AD:$AG, 3, false), VLOOKUP(E50, $AD:$AG, 4, false))),
                    D50),
            SUM(ARRAYFORMULA(TIME_TO_RUSH_GEMS( OFFSET(DVT_Laboratory!$A$3, Start_Level , IF(ISNUMBER(SEARCH(""mastery"""&amp;", E50)), MATCH(""Card Mastery"", DVT_Laboratory!$A$1:$LO$1, 0), MATCH(E50, DVT_Laboratory!$A$1:$LO$1, 0)) - 1, End_Level - Start_Level, 1) / Labspeed)))))))"),"")</f>
        <v/>
      </c>
      <c r="G50" s="853" t="str">
        <f t="shared" si="16"/>
        <v/>
      </c>
      <c r="H50" s="792" t="str">
        <f>IFERROR(__xludf.DUMMYFUNCTION("IFS(E50 = """", """", 
    VLOOKUP(E50, $AD:$AG, 2, false) = VLOOKUP(E50, $AD:$AG, 4, false), ""MAX Level"",
    AND(VLOOKUP(E50, $AD:$AG, 3, false) &lt;&gt; """", VLOOKUP(E50, $AD:$AG, 2, false) = VLOOKUP(E50, $AD:$AG, 3, false)), ""At Target"",
    TRUE,
    "&amp;"IFERROR(LET(Start_Level, IF(C50 = """",
            VLOOKUP(E50, $AD:$AG, 2, false),
            IF(ISBETWEEN(C50, VALUE(VLOOKUP(E50, $AD:$AG, 2, false)), VALUE(VLOOKUP(E50, $AD:$AG, 4, false))), C50, """")),
        End_Level, IF(OR(D50 = """", NOT(ISBET"&amp;"WEEN(D50, VALUE(VLOOKUP(E50, $AD:$AG, 2, false)), VALUE(VLOOKUP(E50, $AD:$AG, 4, false)),0,1))),
            SWITCH($W$38,
                ""Max"", VLOOKUP(E50, $AD:$AG, 4, false),
                ""Target"", IF(VLOOKUP(E50, $AD:$AG, 3, false) &lt;&gt; """", VL"&amp;"OOKUP(E50, $AD:$AG, 3, false), VLOOKUP(E50, $AD:$AG, 4, false))),
            D50),
        SUM(OFFSET(DVT_Laboratory!$A$3, Start_Level , IF(ISNUMBER(SEARCH(""mastery"", E50)), MATCH(""Card Mastery"", DVT_Laboratory!$A$1:$MY$1, 0), MATCH(E50, DVT_Laborato"&amp;"ry!$A$1:$MY$1, 0)), End_Level - Start_Level, 1)) * (1-LAB_COIN_DISCOUNT())), ""Levels Error!""))"),"")</f>
        <v/>
      </c>
      <c r="I50" s="793" t="str">
        <f>IFERROR(__xludf.DUMMYFUNCTION("IFS(E50 = """", """", 
    VLOOKUP(E50, $AD:$AG, 2, false) = VLOOKUP(E50, $AD:$AG, 4, false), ""MAX Level"",
    AND(VLOOKUP(E50, $AD:$AG, 3, false) &lt;&gt; """", VLOOKUP(E50, $AD:$AG, 2, false) = VLOOKUP(E50, $AD:$AG, 3, false)), ""At Target"",
    TRUE,
    "&amp;"IFERROR(LET(
        Labspeed, IF(E50=""Labs Speed"", 1+'Master Sheet'!$BK$5, LAB_SPEED_TOTAL()),
        Start_Level, IF(C50 = """",
            VLOOKUP(E50, $AD:$AG, 2, false),
            IF(ISBETWEEN(C50, VALUE(VLOOKUP(E50, $AD:$AG, 2, false)), VALUE("&amp;"VLOOKUP(E50, $AD:$AG, 4, false))), C50, """")),
        End_Level, IF(OR(D50 = """", NOT(ISBETWEEN(D50, VALUE(VLOOKUP(E50, $AD:$AG, 2, false)), VALUE(VLOOKUP(E50, $AD:$AG, 4, false)),0,1))),
            SWITCH($W$38,
                ""Max"", VLOOKUP(E50, "&amp;"$AD:$AG, 4, false),
                ""Target"", IF(VLOOKUP(E50, $AD:$AG, 3, false) &lt;&gt; """", VLOOKUP(E50, $AD:$AG, 3, false), VLOOKUP(E50, $AD:$AG, 4, false))),
            D50),
        SUM(OFFSET(DVT_Laboratory!$A$3, Start_Level , IF(ISNUMBER(SEARCH(""ma"&amp;"stery"", E50)), MATCH(""Card Mastery"", DVT_Laboratory!$A$1:$MY$1, 0), MATCH(E50, DVT_Laboratory!$A$1:$MY$1, 0)) - 1, End_Level - Start_Level, 1)) /
                (1 * REGEXEXTRACT(F$2, ""[\d.-]+"")) /
                Labspeed), ""Levels Error!""))"),"")</f>
        <v/>
      </c>
      <c r="J50" s="809" t="str">
        <f t="shared" si="14"/>
        <v/>
      </c>
      <c r="K50" s="919"/>
      <c r="L50" s="920"/>
      <c r="M50" s="921"/>
      <c r="N50" s="922" t="str">
        <f>IFERROR(__xludf.DUMMYFUNCTION("IFERROR(IF(P50 = """", """",
    SWITCH($W$37,
        ""Total"", "" "" &amp; FORMAT_NUMBER(P50),
        ""Daily"", LET(Lab_name, IF(REGEXMATCH(M50, ""Mastery""), ""Card Mastery"", M50),
            Level, IF(ISBETWEEN(K50, VLOOKUP(M50, $AD:$AG, 2, FALSE), V"&amp;"LOOKUP(M50, $AD:$AG, 4, FALSE), TRUE, FALSE), K50, VLOOKUP(M50, $AD:$AG, 2, FALSE)),
            IF(LABCOST_SINGLE_ADJUSTED(Lab_name, Level + 1) = 0, ""0 (Max)"",
            "" "" &amp; FORMAT_NUMBER(            
                    LABCOST_SINGLE_ADJUSTED(L"&amp;"ab_name, Level + 1) / 
                    (LABDURATION_SINGLE_ADJUSTED(Lab_name, Level + 1) /
                    (1 * REGEXEXTRACT(N$28, ""[\d.-]+"")))))),
        ""Gem Rush"", LET(
            Labspeed, IF(M50=""Labs Speed"", 1+'Master Sheet'!$BK$5, L"&amp;"AB_SPEED_TOTAL()),
            Start_Level, IF(K50 = """",
                VLOOKUP(M50, $AD:$AG, 2, false),
                IF(ISBETWEEN(K50, VALUE(VLOOKUP(M50, $AD:$AG, 2, false)), VALUE(VLOOKUP(M50, $AD:$AG, 4, false))), K50, """")),
            End_Lev"&amp;"el, IF(OR(L50 = """", NOT(ISBETWEEN(L50, VALUE(VLOOKUP(M50, $AD:$AG, 2, false)), VALUE(VLOOKUP(M50, $AD:$AG, 4, false)),0,1))),
                SWITCH($W$38,
                    ""Max"", VLOOKUP(M50, $AD:$AG, 4, false),
                    ""Target"", IF("&amp;"VLOOKUP(M50, $AD:$AG, 3, false) &lt;&gt; """", VLOOKUP(M50, $AD:$AG, 3, false), VLOOKUP(M50, $AD:$AG, 4, false))),
                    L50),
            SUM(ARRAYFORMULA(TIME_TO_RUSH_GEMS( OFFSET(DVT_Laboratory!$A$3, Start_Level , IF(ISNUMBER(SEARCH(""mastery"""&amp;", M50)), MATCH(""Card Mastery"", DVT_Laboratory!$A$1:$LO$1, 0), MATCH(M50, DVT_Laboratory!$A$1:$LO$1, 0)) - 1, End_Level - Start_Level, 1) / Labspeed)))))))"),"")</f>
        <v/>
      </c>
      <c r="O50" s="859" t="str">
        <f t="shared" si="17"/>
        <v/>
      </c>
      <c r="P50" s="797" t="str">
        <f>IFERROR(__xludf.DUMMYFUNCTION("IFS(M50 = """", """", 
    VLOOKUP(M50, $AD:$AG, 2, false) = VLOOKUP(M50, $AD:$AG, 4, false), ""MAX Level"",
    AND(VLOOKUP(M50, $AD:$AG, 3, false) &lt;&gt; """", VLOOKUP(M50, $AD:$AG, 2, false) = VLOOKUP(M50, $AD:$AG, 3, false)), ""At Target"",
    TRUE,
    "&amp;"IFERROR(LET(Start_Level, IF(K50 = """",
            VLOOKUP(M50, $AD:$AG, 2, false),
            IF(ISBETWEEN(K50, VALUE(VLOOKUP(M50, $AD:$AG, 2, false)), VALUE(VLOOKUP(M50, $AD:$AG, 4, false))), K50, """")),
        End_Level, IF(OR(L50 = """", NOT(ISBET"&amp;"WEEN(L50, VALUE(VLOOKUP(M50, $AD:$AG, 2, false)), VALUE(VLOOKUP(M50, $AD:$AG, 4, false)),0,1))),
            SWITCH($W$38,
                ""Max"", VLOOKUP(M50, $AD:$AG, 4, false),
                ""Target"", IF(VLOOKUP(M50, $AD:$AG, 3, false) &lt;&gt; """", VL"&amp;"OOKUP(M50, $AD:$AG, 3, false), VLOOKUP(M50, $AD:$AG, 4, false))),
            L50),
        SUM(OFFSET(DVT_Laboratory!$A$3, Start_Level , IF(ISNUMBER(SEARCH(""mastery"", M50)), MATCH(""Card Mastery"", DVT_Laboratory!$A$1:$MY$1, 0), MATCH(M50, DVT_Laborato"&amp;"ry!$A$1:$MY$1, 0)), End_Level - Start_Level, 1)) * (1-LAB_COIN_DISCOUNT())), ""Levels Error!""))"),"")</f>
        <v/>
      </c>
      <c r="Q50" s="798" t="str">
        <f>IFERROR(__xludf.DUMMYFUNCTION("IFS(M50 = """", """", 
    VLOOKUP(M50, $AD:$AG, 2, false) = VLOOKUP(M50, $AD:$AG, 4, false), ""MAX Level"",
    AND(VLOOKUP(M50, $AD:$AG, 3, false) &lt;&gt; """", VLOOKUP(M50, $AD:$AG, 2, false) = VLOOKUP(M50, $AD:$AG, 3, false)), ""At Target"",
    TRUE,
    "&amp;"IFERROR(LET(
        Labspeed, IF(M50=""Labs Speed"", 1+'Master Sheet'!$BK$5, LAB_SPEED_TOTAL()),
        Start_Level, IF(K50 = """",
            VLOOKUP(M50, $AD:$AG, 2, false),
            IF(ISBETWEEN(K50, VALUE(VLOOKUP(M50, $AD:$AG, 2, false)), VALUE("&amp;"VLOOKUP(M50, $AD:$AG, 4, false))), K50, """")),
        End_Level, IF(OR(L50 = """", NOT(ISBETWEEN(L50, VALUE(VLOOKUP(M50, $AD:$AG, 2, false)), VALUE(VLOOKUP(M50, $AD:$AG, 4, false)),0,1))),
            SWITCH($W$38,
                ""Max"", VLOOKUP(M50, "&amp;"$AD:$AG, 4, false),
                ""Target"", IF(VLOOKUP(M50, $AD:$AG, 3, false) &lt;&gt; """", VLOOKUP(M50, $AD:$AG, 3, false), VLOOKUP(M50, $AD:$AG, 4, false))),
            L50),
        SUM(OFFSET(DVT_Laboratory!$A$3, Start_Level , IF(ISNUMBER(SEARCH(""ma"&amp;"stery"", M50)), MATCH(""Card Mastery"", DVT_Laboratory!$A$1:$MY$1, 0), MATCH(M50, DVT_Laboratory!$A$1:$MY$1, 0)) - 1, End_Level - Start_Level, 1)) /
                (1 * REGEXEXTRACT(N$2, ""[\d.-]+"")) /
                Labspeed), ""Levels Error!""))"),"")</f>
        <v/>
      </c>
      <c r="R50" s="598"/>
      <c r="S50" s="594"/>
      <c r="T50" s="591"/>
      <c r="U50" s="904"/>
      <c r="V50" s="904"/>
      <c r="W50" s="904"/>
      <c r="X50" s="785"/>
      <c r="Y50" s="786"/>
      <c r="Z50" s="598"/>
      <c r="AA50" s="911"/>
      <c r="AB50" s="911"/>
      <c r="AC50" s="913" t="str">
        <f>IFERROR(__xludf.DUMMYFUNCTION("""COMPUTED_VALUE"""),"Critical Factor")</f>
        <v>Critical Factor</v>
      </c>
      <c r="AD50" s="913" t="s">
        <v>181</v>
      </c>
      <c r="AE50" s="720">
        <v>83.0</v>
      </c>
      <c r="AF50" s="720"/>
      <c r="AG50" s="720">
        <v>99.0</v>
      </c>
      <c r="AH50" s="907" t="str">
        <f t="shared" si="18"/>
        <v/>
      </c>
      <c r="AI50" s="720"/>
      <c r="AJ50" s="720"/>
      <c r="AK50" s="720"/>
      <c r="AL50" s="720"/>
      <c r="AM50" s="720"/>
      <c r="AN50" s="720"/>
      <c r="AO50" s="720"/>
      <c r="AP50" s="720"/>
      <c r="AQ50" s="720"/>
      <c r="AR50" s="720"/>
      <c r="AS50" s="720"/>
      <c r="AT50" s="720"/>
      <c r="AU50" s="720"/>
      <c r="AV50" s="720"/>
      <c r="AW50" s="720"/>
      <c r="AX50" s="720"/>
      <c r="AY50" s="720"/>
      <c r="AZ50" s="720"/>
      <c r="BA50" s="720"/>
      <c r="BB50" s="720"/>
      <c r="BC50" s="720"/>
      <c r="BD50" s="720"/>
      <c r="BE50" s="720"/>
      <c r="BF50" s="720"/>
      <c r="BG50" s="720"/>
      <c r="BH50" s="720"/>
      <c r="BI50" s="720"/>
      <c r="BJ50" s="720"/>
      <c r="BK50" s="720"/>
      <c r="BL50" s="720"/>
      <c r="BM50" s="720"/>
      <c r="BN50" s="720"/>
      <c r="BO50" s="720"/>
      <c r="BP50" s="720"/>
      <c r="BQ50" s="720"/>
      <c r="BR50" s="720"/>
      <c r="BS50" s="720"/>
      <c r="BT50" s="720"/>
      <c r="BU50" s="720"/>
      <c r="BV50" s="720"/>
      <c r="BW50" s="720"/>
      <c r="BX50" s="720"/>
      <c r="BY50" s="720"/>
      <c r="BZ50" s="720"/>
      <c r="CA50" s="720"/>
      <c r="CB50" s="720"/>
      <c r="CC50" s="720"/>
      <c r="CD50" s="720"/>
      <c r="CE50" s="720"/>
      <c r="CF50" s="720"/>
      <c r="CG50" s="720"/>
      <c r="CH50" s="720"/>
      <c r="CI50" s="720"/>
      <c r="CJ50" s="720"/>
      <c r="CK50" s="720"/>
      <c r="CL50" s="720"/>
      <c r="CM50" s="720"/>
      <c r="CN50" s="720"/>
      <c r="CO50" s="720"/>
      <c r="CP50" s="720"/>
      <c r="CQ50" s="720"/>
      <c r="CR50" s="720"/>
      <c r="CS50" s="720"/>
      <c r="CT50" s="720"/>
      <c r="CU50" s="720"/>
      <c r="CV50" s="720"/>
      <c r="CW50" s="720"/>
      <c r="CX50" s="720"/>
      <c r="CY50" s="720"/>
      <c r="CZ50" s="720"/>
      <c r="DA50" s="720"/>
      <c r="DB50" s="720"/>
      <c r="DC50" s="720"/>
      <c r="DD50" s="720"/>
      <c r="DE50" s="720"/>
      <c r="DF50" s="720"/>
      <c r="DG50" s="720"/>
      <c r="DH50" s="720"/>
      <c r="DI50" s="720"/>
      <c r="DJ50" s="720"/>
      <c r="DK50" s="720"/>
      <c r="DL50" s="720"/>
      <c r="DM50" s="720"/>
      <c r="DN50" s="720"/>
      <c r="DO50" s="720"/>
      <c r="DP50" s="720"/>
      <c r="DQ50" s="720"/>
      <c r="DR50" s="720"/>
      <c r="DS50" s="720"/>
      <c r="DT50" s="720"/>
      <c r="DU50" s="720"/>
      <c r="DV50" s="720"/>
      <c r="DW50" s="720"/>
      <c r="DX50" s="720"/>
      <c r="DY50" s="720"/>
      <c r="DZ50" s="720"/>
      <c r="EA50" s="720"/>
      <c r="EB50" s="720"/>
      <c r="EC50" s="720"/>
      <c r="ED50" s="720"/>
      <c r="EE50" s="720"/>
      <c r="EF50" s="720"/>
      <c r="EG50" s="720"/>
      <c r="EH50" s="720"/>
      <c r="EI50" s="720"/>
      <c r="EJ50" s="720"/>
      <c r="EK50" s="720"/>
      <c r="EL50" s="720"/>
      <c r="EM50" s="720"/>
      <c r="EN50" s="720"/>
      <c r="EO50" s="720"/>
      <c r="EP50" s="720"/>
      <c r="EQ50" s="720"/>
      <c r="ER50" s="720"/>
      <c r="ES50" s="720"/>
      <c r="ET50" s="720"/>
      <c r="EU50" s="720"/>
      <c r="EV50" s="720"/>
      <c r="EW50" s="720"/>
      <c r="EX50" s="720"/>
      <c r="EY50" s="720"/>
      <c r="EZ50" s="720"/>
      <c r="FA50" s="720"/>
      <c r="FB50" s="720"/>
      <c r="FC50" s="720"/>
      <c r="FD50" s="720"/>
      <c r="FE50" s="720"/>
      <c r="FF50" s="720"/>
      <c r="FG50" s="720"/>
      <c r="FH50" s="720"/>
      <c r="FI50" s="720"/>
      <c r="FJ50" s="720"/>
      <c r="FK50" s="720"/>
      <c r="FL50" s="720"/>
      <c r="FM50" s="720"/>
      <c r="FN50" s="720"/>
      <c r="FO50" s="720"/>
      <c r="FP50" s="720"/>
      <c r="FQ50" s="720"/>
      <c r="FR50" s="720"/>
      <c r="FS50" s="720"/>
      <c r="FT50" s="720"/>
      <c r="FU50" s="720"/>
      <c r="FV50" s="720"/>
      <c r="FW50" s="720"/>
      <c r="FX50" s="720"/>
      <c r="FY50" s="720"/>
      <c r="FZ50" s="720"/>
      <c r="GA50" s="720"/>
      <c r="GB50" s="720"/>
      <c r="GC50" s="720"/>
      <c r="GD50" s="720"/>
      <c r="GE50" s="720"/>
      <c r="GF50" s="720"/>
      <c r="GG50" s="720"/>
      <c r="GH50" s="720"/>
      <c r="GI50" s="720"/>
      <c r="GJ50" s="720"/>
      <c r="GK50" s="720"/>
      <c r="GL50" s="720"/>
      <c r="GM50" s="720"/>
      <c r="GN50" s="720"/>
      <c r="GO50" s="720"/>
      <c r="GP50" s="720"/>
      <c r="GQ50" s="720"/>
      <c r="GR50" s="720"/>
      <c r="GS50" s="720"/>
      <c r="GT50" s="720"/>
      <c r="GU50" s="720"/>
      <c r="GV50" s="720"/>
      <c r="GW50" s="720"/>
      <c r="GX50" s="720"/>
      <c r="GY50" s="720"/>
      <c r="GZ50" s="720"/>
      <c r="HA50" s="720"/>
      <c r="HB50" s="720"/>
      <c r="HC50" s="720"/>
      <c r="HD50" s="720"/>
      <c r="HE50" s="720"/>
      <c r="HF50" s="720"/>
      <c r="HG50" s="720"/>
      <c r="HH50" s="720"/>
      <c r="HI50" s="720"/>
      <c r="HJ50" s="720"/>
      <c r="HK50" s="720"/>
      <c r="HL50" s="720"/>
      <c r="HM50" s="720"/>
      <c r="HN50" s="720"/>
      <c r="HO50" s="720"/>
      <c r="HP50" s="720"/>
      <c r="HQ50" s="720"/>
      <c r="HR50" s="720"/>
      <c r="HS50" s="720"/>
      <c r="HT50" s="720"/>
      <c r="HU50" s="720"/>
      <c r="HV50" s="720"/>
      <c r="HW50" s="720"/>
      <c r="HX50" s="720"/>
      <c r="HY50" s="720"/>
      <c r="HZ50" s="720"/>
      <c r="IA50" s="720"/>
      <c r="IB50" s="720"/>
      <c r="IC50" s="720"/>
      <c r="ID50" s="720"/>
      <c r="IE50" s="720"/>
      <c r="IF50" s="720"/>
      <c r="IG50" s="720"/>
      <c r="IH50" s="720"/>
    </row>
    <row r="51" ht="22.5" customHeight="1">
      <c r="A51" s="598"/>
      <c r="B51" s="923"/>
      <c r="C51" s="757" t="str">
        <f>IFERROR(__xludf.DUMMYFUNCTION("IFERROR(SPARKLINE(IF($W39 = ""Top"", I31:I50, SORT(I31:I50, ROW(I31:I50), FALSE)), {""charttype"", ""bar""; ""max"", 28;""nan"", ""ignore""; ARRAYFORMULA({""Color"" &amp; SEQUENCE(20), ARRAYFORMULA(TOCOL(SPLIT(REPT($AB15:$AB19 &amp; "","", 4), "",""),,TRUE))})}),"&amp;" ""Add labs to begin tracking."")"),"")</f>
        <v/>
      </c>
      <c r="H51" s="924"/>
      <c r="I51" s="924"/>
      <c r="J51" s="925"/>
      <c r="K51" s="761" t="str">
        <f>IFERROR(__xludf.DUMMYFUNCTION("IFERROR(SPARKLINE(IF($W39 = ""Top"", Q31:Q51, SORT(Q31:Q51, ROW(Q31:Q51), FALSE)), {""charttype"", ""bar""; ""max"", 28;""nan"", ""ignore""; ARRAYFORMULA({""Color"" &amp; SEQUENCE(20), ARRAYFORMULA(TOCOL(SPLIT(REPT($AB2:$AB6 &amp; "","", 4), "",""),,TRUE))})}), "&amp;"""Add labs to begin tracking."")"),"")</f>
        <v/>
      </c>
      <c r="O51" s="765"/>
      <c r="P51" s="926"/>
      <c r="Q51" s="927"/>
      <c r="R51" s="598"/>
      <c r="S51" s="904"/>
      <c r="T51" s="904"/>
      <c r="U51" s="904"/>
      <c r="V51" s="904"/>
      <c r="W51" s="904"/>
      <c r="X51" s="785"/>
      <c r="Y51" s="786"/>
      <c r="Z51" s="598"/>
      <c r="AA51" s="911"/>
      <c r="AB51" s="928" t="s">
        <v>484</v>
      </c>
      <c r="AC51" s="713" t="str">
        <f>IFERROR(__xludf.DUMMYFUNCTION("""COMPUTED_VALUE"""),"Daily Mission Shards")</f>
        <v>Daily Mission Shards</v>
      </c>
      <c r="AD51" s="816" t="s">
        <v>189</v>
      </c>
      <c r="AE51" s="713">
        <v>50.0</v>
      </c>
      <c r="AF51" s="713">
        <v>50.0</v>
      </c>
      <c r="AG51" s="713">
        <v>50.0</v>
      </c>
      <c r="AH51" s="907" t="str">
        <f t="shared" si="18"/>
        <v/>
      </c>
      <c r="AI51" s="713"/>
      <c r="AJ51" s="713"/>
      <c r="AK51" s="713"/>
      <c r="AL51" s="713"/>
      <c r="AM51" s="713"/>
      <c r="AN51" s="713"/>
      <c r="AO51" s="713"/>
      <c r="AP51" s="713"/>
      <c r="AQ51" s="713"/>
      <c r="AR51" s="713"/>
      <c r="AS51" s="713"/>
      <c r="AT51" s="713"/>
      <c r="AU51" s="713"/>
      <c r="AV51" s="713"/>
      <c r="AW51" s="713"/>
      <c r="AX51" s="713"/>
      <c r="AY51" s="713"/>
      <c r="AZ51" s="713"/>
      <c r="BA51" s="713"/>
      <c r="BB51" s="713"/>
      <c r="BC51" s="713"/>
      <c r="BD51" s="713"/>
      <c r="BE51" s="713"/>
      <c r="BF51" s="713"/>
      <c r="BG51" s="713"/>
      <c r="BH51" s="713"/>
      <c r="BI51" s="713"/>
      <c r="BJ51" s="713"/>
      <c r="BK51" s="713"/>
      <c r="BL51" s="713"/>
      <c r="BM51" s="713"/>
      <c r="BN51" s="713"/>
      <c r="BO51" s="713"/>
      <c r="BP51" s="713"/>
      <c r="BQ51" s="713"/>
      <c r="BR51" s="713"/>
      <c r="BS51" s="713"/>
      <c r="BT51" s="713"/>
      <c r="BU51" s="713"/>
      <c r="BV51" s="713"/>
      <c r="BW51" s="713"/>
      <c r="BX51" s="713"/>
      <c r="BY51" s="713"/>
      <c r="BZ51" s="713"/>
      <c r="CA51" s="713"/>
      <c r="CB51" s="713"/>
      <c r="CC51" s="713"/>
      <c r="CD51" s="713"/>
      <c r="CE51" s="713"/>
      <c r="CF51" s="713"/>
      <c r="CG51" s="713"/>
      <c r="CH51" s="713"/>
      <c r="CI51" s="713"/>
      <c r="CJ51" s="713"/>
      <c r="CK51" s="713"/>
      <c r="CL51" s="713"/>
      <c r="CM51" s="713"/>
      <c r="CN51" s="713"/>
      <c r="CO51" s="713"/>
      <c r="CP51" s="713"/>
      <c r="CQ51" s="713"/>
      <c r="CR51" s="713"/>
      <c r="CS51" s="713"/>
      <c r="CT51" s="713"/>
      <c r="CU51" s="713"/>
      <c r="CV51" s="713"/>
      <c r="CW51" s="713"/>
      <c r="CX51" s="713"/>
      <c r="CY51" s="713"/>
      <c r="CZ51" s="713"/>
      <c r="DA51" s="713"/>
      <c r="DB51" s="713"/>
      <c r="DC51" s="713"/>
      <c r="DD51" s="713"/>
      <c r="DE51" s="713"/>
      <c r="DF51" s="713"/>
      <c r="DG51" s="713"/>
      <c r="DH51" s="713"/>
      <c r="DI51" s="713"/>
      <c r="DJ51" s="713"/>
      <c r="DK51" s="713"/>
      <c r="DL51" s="713"/>
      <c r="DM51" s="713"/>
      <c r="DN51" s="713"/>
      <c r="DO51" s="713"/>
      <c r="DP51" s="713"/>
      <c r="DQ51" s="713"/>
      <c r="DR51" s="713"/>
      <c r="DS51" s="713"/>
      <c r="DT51" s="713"/>
      <c r="DU51" s="713"/>
      <c r="DV51" s="713"/>
      <c r="DW51" s="713"/>
      <c r="DX51" s="713"/>
      <c r="DY51" s="713"/>
      <c r="DZ51" s="713"/>
      <c r="EA51" s="713"/>
      <c r="EB51" s="713"/>
      <c r="EC51" s="713"/>
      <c r="ED51" s="713"/>
      <c r="EE51" s="713"/>
      <c r="EF51" s="713"/>
      <c r="EG51" s="713"/>
      <c r="EH51" s="713"/>
      <c r="EI51" s="713"/>
      <c r="EJ51" s="713"/>
      <c r="EK51" s="713"/>
      <c r="EL51" s="713"/>
      <c r="EM51" s="713"/>
      <c r="EN51" s="713"/>
      <c r="EO51" s="713"/>
      <c r="EP51" s="713"/>
      <c r="EQ51" s="713"/>
      <c r="ER51" s="713"/>
      <c r="ES51" s="713"/>
      <c r="ET51" s="713"/>
      <c r="EU51" s="713"/>
      <c r="EV51" s="713"/>
      <c r="EW51" s="713"/>
      <c r="EX51" s="713"/>
      <c r="EY51" s="713"/>
      <c r="EZ51" s="713"/>
      <c r="FA51" s="713"/>
      <c r="FB51" s="713"/>
      <c r="FC51" s="713"/>
      <c r="FD51" s="713"/>
      <c r="FE51" s="713"/>
      <c r="FF51" s="713"/>
      <c r="FG51" s="713"/>
      <c r="FH51" s="713"/>
      <c r="FI51" s="713"/>
      <c r="FJ51" s="713"/>
      <c r="FK51" s="713"/>
      <c r="FL51" s="713"/>
      <c r="FM51" s="713"/>
      <c r="FN51" s="713"/>
      <c r="FO51" s="713"/>
      <c r="FP51" s="713"/>
      <c r="FQ51" s="713"/>
      <c r="FR51" s="713"/>
      <c r="FS51" s="713"/>
      <c r="FT51" s="713"/>
      <c r="FU51" s="713"/>
      <c r="FV51" s="713"/>
      <c r="FW51" s="713"/>
      <c r="FX51" s="713"/>
      <c r="FY51" s="713"/>
      <c r="FZ51" s="713"/>
      <c r="GA51" s="713"/>
      <c r="GB51" s="713"/>
      <c r="GC51" s="713"/>
      <c r="GD51" s="713"/>
      <c r="GE51" s="713"/>
      <c r="GF51" s="713"/>
      <c r="GG51" s="713"/>
      <c r="GH51" s="713"/>
      <c r="GI51" s="713"/>
      <c r="GJ51" s="713"/>
      <c r="GK51" s="713"/>
      <c r="GL51" s="713"/>
      <c r="GM51" s="713"/>
      <c r="GN51" s="713"/>
      <c r="GO51" s="713"/>
      <c r="GP51" s="713"/>
      <c r="GQ51" s="713"/>
      <c r="GR51" s="713"/>
      <c r="GS51" s="713"/>
      <c r="GT51" s="713"/>
      <c r="GU51" s="713"/>
      <c r="GV51" s="713"/>
      <c r="GW51" s="713"/>
      <c r="GX51" s="713"/>
      <c r="GY51" s="713"/>
      <c r="GZ51" s="713"/>
      <c r="HA51" s="713"/>
      <c r="HB51" s="713"/>
      <c r="HC51" s="713"/>
      <c r="HD51" s="713"/>
      <c r="HE51" s="713"/>
      <c r="HF51" s="713"/>
      <c r="HG51" s="713"/>
      <c r="HH51" s="713"/>
      <c r="HI51" s="713"/>
      <c r="HJ51" s="713"/>
      <c r="HK51" s="713"/>
      <c r="HL51" s="713"/>
      <c r="HM51" s="713"/>
      <c r="HN51" s="713"/>
      <c r="HO51" s="713"/>
      <c r="HP51" s="713"/>
      <c r="HQ51" s="713"/>
      <c r="HR51" s="713"/>
      <c r="HS51" s="713"/>
      <c r="HT51" s="713"/>
      <c r="HU51" s="713"/>
      <c r="HV51" s="713"/>
      <c r="HW51" s="713"/>
      <c r="HX51" s="713"/>
      <c r="HY51" s="713"/>
      <c r="HZ51" s="713"/>
      <c r="IA51" s="713"/>
      <c r="IB51" s="713"/>
      <c r="IC51" s="713"/>
      <c r="ID51" s="713"/>
      <c r="IE51" s="713"/>
      <c r="IF51" s="713"/>
      <c r="IG51" s="713"/>
      <c r="IH51" s="713"/>
    </row>
    <row r="52" ht="18.0" customHeight="1">
      <c r="A52" s="598"/>
      <c r="B52" s="929"/>
      <c r="C52" s="930" t="s">
        <v>448</v>
      </c>
      <c r="D52" s="636"/>
      <c r="E52" s="636"/>
      <c r="F52" s="636"/>
      <c r="G52" s="637"/>
      <c r="H52" s="931"/>
      <c r="I52" s="931"/>
      <c r="J52" s="777"/>
      <c r="K52" s="932" t="s">
        <v>448</v>
      </c>
      <c r="L52" s="636"/>
      <c r="M52" s="636"/>
      <c r="N52" s="636"/>
      <c r="O52" s="637"/>
      <c r="P52" s="787"/>
      <c r="Q52" s="787"/>
      <c r="R52" s="598"/>
      <c r="S52" s="904"/>
      <c r="T52" s="904"/>
      <c r="U52" s="591"/>
      <c r="V52" s="904"/>
      <c r="W52" s="904"/>
      <c r="Z52" s="598"/>
      <c r="AA52" s="911"/>
      <c r="AB52" s="933" t="s">
        <v>485</v>
      </c>
      <c r="AC52" s="713" t="str">
        <f>IFERROR(__xludf.DUMMYFUNCTION("""COMPUTED_VALUE"""),"Damage")</f>
        <v>Damage</v>
      </c>
      <c r="AD52" s="816" t="s">
        <v>155</v>
      </c>
      <c r="AE52" s="713">
        <v>69.0</v>
      </c>
      <c r="AF52" s="713"/>
      <c r="AG52" s="713">
        <v>100.0</v>
      </c>
      <c r="AH52" s="907" t="str">
        <f t="shared" si="18"/>
        <v/>
      </c>
      <c r="AI52" s="713"/>
      <c r="AJ52" s="713"/>
      <c r="AK52" s="713"/>
      <c r="AL52" s="713"/>
      <c r="AM52" s="713"/>
      <c r="AN52" s="713"/>
      <c r="AO52" s="713"/>
      <c r="AP52" s="713"/>
      <c r="AQ52" s="713"/>
      <c r="AR52" s="713"/>
      <c r="AS52" s="713"/>
      <c r="AT52" s="713"/>
      <c r="AU52" s="713"/>
      <c r="AV52" s="713"/>
      <c r="AW52" s="713"/>
      <c r="AX52" s="713"/>
      <c r="AY52" s="713"/>
      <c r="AZ52" s="713"/>
      <c r="BA52" s="713"/>
      <c r="BB52" s="713"/>
      <c r="BC52" s="713"/>
      <c r="BD52" s="713"/>
      <c r="BE52" s="713"/>
      <c r="BF52" s="713"/>
      <c r="BG52" s="713"/>
      <c r="BH52" s="713"/>
      <c r="BI52" s="713"/>
      <c r="BJ52" s="713"/>
      <c r="BK52" s="713"/>
      <c r="BL52" s="713"/>
      <c r="BM52" s="713"/>
      <c r="BN52" s="713"/>
      <c r="BO52" s="713"/>
      <c r="BP52" s="713"/>
      <c r="BQ52" s="713"/>
      <c r="BR52" s="713"/>
      <c r="BS52" s="713"/>
      <c r="BT52" s="713"/>
      <c r="BU52" s="713"/>
      <c r="BV52" s="713"/>
      <c r="BW52" s="713"/>
      <c r="BX52" s="713"/>
      <c r="BY52" s="713"/>
      <c r="BZ52" s="713"/>
      <c r="CA52" s="713"/>
      <c r="CB52" s="713"/>
      <c r="CC52" s="713"/>
      <c r="CD52" s="713"/>
      <c r="CE52" s="713"/>
      <c r="CF52" s="713"/>
      <c r="CG52" s="713"/>
      <c r="CH52" s="713"/>
      <c r="CI52" s="713"/>
      <c r="CJ52" s="713"/>
      <c r="CK52" s="713"/>
      <c r="CL52" s="713"/>
      <c r="CM52" s="713"/>
      <c r="CN52" s="713"/>
      <c r="CO52" s="713"/>
      <c r="CP52" s="713"/>
      <c r="CQ52" s="713"/>
      <c r="CR52" s="713"/>
      <c r="CS52" s="713"/>
      <c r="CT52" s="713"/>
      <c r="CU52" s="713"/>
      <c r="CV52" s="713"/>
      <c r="CW52" s="713"/>
      <c r="CX52" s="713"/>
      <c r="CY52" s="713"/>
      <c r="CZ52" s="713"/>
      <c r="DA52" s="713"/>
      <c r="DB52" s="713"/>
      <c r="DC52" s="713"/>
      <c r="DD52" s="713"/>
      <c r="DE52" s="713"/>
      <c r="DF52" s="713"/>
      <c r="DG52" s="713"/>
      <c r="DH52" s="713"/>
      <c r="DI52" s="713"/>
      <c r="DJ52" s="713"/>
      <c r="DK52" s="713"/>
      <c r="DL52" s="713"/>
      <c r="DM52" s="713"/>
      <c r="DN52" s="713"/>
      <c r="DO52" s="713"/>
      <c r="DP52" s="713"/>
      <c r="DQ52" s="713"/>
      <c r="DR52" s="713"/>
      <c r="DS52" s="713"/>
      <c r="DT52" s="713"/>
      <c r="DU52" s="713"/>
      <c r="DV52" s="713"/>
      <c r="DW52" s="713"/>
      <c r="DX52" s="713"/>
      <c r="DY52" s="713"/>
      <c r="DZ52" s="713"/>
      <c r="EA52" s="713"/>
      <c r="EB52" s="713"/>
      <c r="EC52" s="713"/>
      <c r="ED52" s="713"/>
      <c r="EE52" s="713"/>
      <c r="EF52" s="713"/>
      <c r="EG52" s="713"/>
      <c r="EH52" s="713"/>
      <c r="EI52" s="713"/>
      <c r="EJ52" s="713"/>
      <c r="EK52" s="713"/>
      <c r="EL52" s="713"/>
      <c r="EM52" s="713"/>
      <c r="EN52" s="713"/>
      <c r="EO52" s="713"/>
      <c r="EP52" s="713"/>
      <c r="EQ52" s="713"/>
      <c r="ER52" s="713"/>
      <c r="ES52" s="713"/>
      <c r="ET52" s="713"/>
      <c r="EU52" s="713"/>
      <c r="EV52" s="713"/>
      <c r="EW52" s="713"/>
      <c r="EX52" s="713"/>
      <c r="EY52" s="713"/>
      <c r="EZ52" s="713"/>
      <c r="FA52" s="713"/>
      <c r="FB52" s="713"/>
      <c r="FC52" s="713"/>
      <c r="FD52" s="713"/>
      <c r="FE52" s="713"/>
      <c r="FF52" s="713"/>
      <c r="FG52" s="713"/>
      <c r="FH52" s="713"/>
      <c r="FI52" s="713"/>
      <c r="FJ52" s="713"/>
      <c r="FK52" s="713"/>
      <c r="FL52" s="713"/>
      <c r="FM52" s="713"/>
      <c r="FN52" s="713"/>
      <c r="FO52" s="713"/>
      <c r="FP52" s="713"/>
      <c r="FQ52" s="713"/>
      <c r="FR52" s="713"/>
      <c r="FS52" s="713"/>
      <c r="FT52" s="713"/>
      <c r="FU52" s="713"/>
      <c r="FV52" s="713"/>
      <c r="FW52" s="713"/>
      <c r="FX52" s="713"/>
      <c r="FY52" s="713"/>
      <c r="FZ52" s="713"/>
      <c r="GA52" s="713"/>
      <c r="GB52" s="713"/>
      <c r="GC52" s="713"/>
      <c r="GD52" s="713"/>
      <c r="GE52" s="713"/>
      <c r="GF52" s="713"/>
      <c r="GG52" s="713"/>
      <c r="GH52" s="713"/>
      <c r="GI52" s="713"/>
      <c r="GJ52" s="713"/>
      <c r="GK52" s="713"/>
      <c r="GL52" s="713"/>
      <c r="GM52" s="713"/>
      <c r="GN52" s="713"/>
      <c r="GO52" s="713"/>
      <c r="GP52" s="713"/>
      <c r="GQ52" s="713"/>
      <c r="GR52" s="713"/>
      <c r="GS52" s="713"/>
      <c r="GT52" s="713"/>
      <c r="GU52" s="713"/>
      <c r="GV52" s="713"/>
      <c r="GW52" s="713"/>
      <c r="GX52" s="713"/>
      <c r="GY52" s="713"/>
      <c r="GZ52" s="713"/>
      <c r="HA52" s="713"/>
      <c r="HB52" s="713"/>
      <c r="HC52" s="713"/>
      <c r="HD52" s="713"/>
      <c r="HE52" s="713"/>
      <c r="HF52" s="713"/>
      <c r="HG52" s="713"/>
      <c r="HH52" s="713"/>
      <c r="HI52" s="713"/>
      <c r="HJ52" s="713"/>
      <c r="HK52" s="713"/>
      <c r="HL52" s="713"/>
      <c r="HM52" s="713"/>
      <c r="HN52" s="713"/>
      <c r="HO52" s="713"/>
      <c r="HP52" s="713"/>
      <c r="HQ52" s="713"/>
      <c r="HR52" s="713"/>
      <c r="HS52" s="713"/>
      <c r="HT52" s="713"/>
      <c r="HU52" s="713"/>
      <c r="HV52" s="713"/>
      <c r="HW52" s="713"/>
      <c r="HX52" s="713"/>
      <c r="HY52" s="713"/>
      <c r="HZ52" s="713"/>
      <c r="IA52" s="713"/>
      <c r="IB52" s="713"/>
      <c r="IC52" s="713"/>
      <c r="ID52" s="713"/>
      <c r="IE52" s="713"/>
      <c r="IF52" s="713"/>
      <c r="IG52" s="713"/>
      <c r="IH52" s="713"/>
    </row>
    <row r="53">
      <c r="A53" s="598"/>
      <c r="B53" s="598"/>
      <c r="C53" s="874"/>
      <c r="D53" s="874"/>
      <c r="E53" s="874"/>
      <c r="F53" s="874"/>
      <c r="G53" s="874"/>
      <c r="H53" s="591"/>
      <c r="I53" s="591"/>
      <c r="J53" s="591"/>
      <c r="K53" s="874"/>
      <c r="L53" s="874"/>
      <c r="M53" s="874"/>
      <c r="N53" s="874"/>
      <c r="O53" s="874"/>
      <c r="P53" s="591"/>
      <c r="Q53" s="591"/>
      <c r="R53" s="598"/>
      <c r="S53" s="591"/>
      <c r="T53" s="591"/>
      <c r="U53" s="591"/>
      <c r="V53" s="591"/>
      <c r="W53" s="591"/>
      <c r="X53" s="934"/>
      <c r="Y53" s="934"/>
      <c r="Z53" s="598"/>
      <c r="AA53" s="911"/>
      <c r="AB53" s="935" t="s">
        <v>486</v>
      </c>
      <c r="AC53" s="713" t="str">
        <f>IFERROR(__xludf.DUMMYFUNCTION("""COMPUTED_VALUE"""),"Damage / Meter")</f>
        <v>Damage / Meter</v>
      </c>
      <c r="AD53" s="816" t="s">
        <v>216</v>
      </c>
      <c r="AE53" s="713">
        <v>16.0</v>
      </c>
      <c r="AF53" s="713"/>
      <c r="AG53" s="713">
        <v>99.0</v>
      </c>
      <c r="AH53" s="907" t="str">
        <f t="shared" si="18"/>
        <v/>
      </c>
      <c r="AI53" s="713"/>
      <c r="AJ53" s="713"/>
      <c r="AK53" s="713"/>
      <c r="AL53" s="713"/>
      <c r="AM53" s="713"/>
      <c r="AN53" s="713"/>
      <c r="AO53" s="713"/>
      <c r="AP53" s="713"/>
      <c r="AQ53" s="713"/>
      <c r="AR53" s="713"/>
      <c r="AS53" s="713"/>
      <c r="AT53" s="713"/>
      <c r="AU53" s="713"/>
      <c r="AV53" s="713"/>
      <c r="AW53" s="713"/>
      <c r="AX53" s="713"/>
      <c r="AY53" s="713"/>
      <c r="AZ53" s="713"/>
      <c r="BA53" s="713"/>
      <c r="BB53" s="713"/>
      <c r="BC53" s="713"/>
      <c r="BD53" s="713"/>
      <c r="BE53" s="713"/>
      <c r="BF53" s="713"/>
      <c r="BG53" s="713"/>
      <c r="BH53" s="713"/>
      <c r="BI53" s="713"/>
      <c r="BJ53" s="713"/>
      <c r="BK53" s="713"/>
      <c r="BL53" s="713"/>
      <c r="BM53" s="713"/>
      <c r="BN53" s="713"/>
      <c r="BO53" s="713"/>
      <c r="BP53" s="713"/>
      <c r="BQ53" s="713"/>
      <c r="BR53" s="713"/>
      <c r="BS53" s="713"/>
      <c r="BT53" s="713"/>
      <c r="BU53" s="713"/>
      <c r="BV53" s="713"/>
      <c r="BW53" s="713"/>
      <c r="BX53" s="713"/>
      <c r="BY53" s="713"/>
      <c r="BZ53" s="713"/>
      <c r="CA53" s="713"/>
      <c r="CB53" s="713"/>
      <c r="CC53" s="713"/>
      <c r="CD53" s="713"/>
      <c r="CE53" s="713"/>
      <c r="CF53" s="713"/>
      <c r="CG53" s="713"/>
      <c r="CH53" s="713"/>
      <c r="CI53" s="713"/>
      <c r="CJ53" s="713"/>
      <c r="CK53" s="713"/>
      <c r="CL53" s="713"/>
      <c r="CM53" s="713"/>
      <c r="CN53" s="713"/>
      <c r="CO53" s="713"/>
      <c r="CP53" s="713"/>
      <c r="CQ53" s="713"/>
      <c r="CR53" s="713"/>
      <c r="CS53" s="713"/>
      <c r="CT53" s="713"/>
      <c r="CU53" s="713"/>
      <c r="CV53" s="713"/>
      <c r="CW53" s="713"/>
      <c r="CX53" s="713"/>
      <c r="CY53" s="713"/>
      <c r="CZ53" s="713"/>
      <c r="DA53" s="713"/>
      <c r="DB53" s="713"/>
      <c r="DC53" s="713"/>
      <c r="DD53" s="713"/>
      <c r="DE53" s="713"/>
      <c r="DF53" s="713"/>
      <c r="DG53" s="713"/>
      <c r="DH53" s="713"/>
      <c r="DI53" s="713"/>
      <c r="DJ53" s="713"/>
      <c r="DK53" s="713"/>
      <c r="DL53" s="713"/>
      <c r="DM53" s="713"/>
      <c r="DN53" s="713"/>
      <c r="DO53" s="713"/>
      <c r="DP53" s="713"/>
      <c r="DQ53" s="713"/>
      <c r="DR53" s="713"/>
      <c r="DS53" s="713"/>
      <c r="DT53" s="713"/>
      <c r="DU53" s="713"/>
      <c r="DV53" s="713"/>
      <c r="DW53" s="713"/>
      <c r="DX53" s="713"/>
      <c r="DY53" s="713"/>
      <c r="DZ53" s="713"/>
      <c r="EA53" s="713"/>
      <c r="EB53" s="713"/>
      <c r="EC53" s="713"/>
      <c r="ED53" s="713"/>
      <c r="EE53" s="713"/>
      <c r="EF53" s="713"/>
      <c r="EG53" s="713"/>
      <c r="EH53" s="713"/>
      <c r="EI53" s="713"/>
      <c r="EJ53" s="713"/>
      <c r="EK53" s="713"/>
      <c r="EL53" s="713"/>
      <c r="EM53" s="713"/>
      <c r="EN53" s="713"/>
      <c r="EO53" s="713"/>
      <c r="EP53" s="713"/>
      <c r="EQ53" s="713"/>
      <c r="ER53" s="713"/>
      <c r="ES53" s="713"/>
      <c r="ET53" s="713"/>
      <c r="EU53" s="713"/>
      <c r="EV53" s="713"/>
      <c r="EW53" s="713"/>
      <c r="EX53" s="713"/>
      <c r="EY53" s="713"/>
      <c r="EZ53" s="713"/>
      <c r="FA53" s="713"/>
      <c r="FB53" s="713"/>
      <c r="FC53" s="713"/>
      <c r="FD53" s="713"/>
      <c r="FE53" s="713"/>
      <c r="FF53" s="713"/>
      <c r="FG53" s="713"/>
      <c r="FH53" s="713"/>
      <c r="FI53" s="713"/>
      <c r="FJ53" s="713"/>
      <c r="FK53" s="713"/>
      <c r="FL53" s="713"/>
      <c r="FM53" s="713"/>
      <c r="FN53" s="713"/>
      <c r="FO53" s="713"/>
      <c r="FP53" s="713"/>
      <c r="FQ53" s="713"/>
      <c r="FR53" s="713"/>
      <c r="FS53" s="713"/>
      <c r="FT53" s="713"/>
      <c r="FU53" s="713"/>
      <c r="FV53" s="713"/>
      <c r="FW53" s="713"/>
      <c r="FX53" s="713"/>
      <c r="FY53" s="713"/>
      <c r="FZ53" s="713"/>
      <c r="GA53" s="713"/>
      <c r="GB53" s="713"/>
      <c r="GC53" s="713"/>
      <c r="GD53" s="713"/>
      <c r="GE53" s="713"/>
      <c r="GF53" s="713"/>
      <c r="GG53" s="713"/>
      <c r="GH53" s="713"/>
      <c r="GI53" s="713"/>
      <c r="GJ53" s="713"/>
      <c r="GK53" s="713"/>
      <c r="GL53" s="713"/>
      <c r="GM53" s="713"/>
      <c r="GN53" s="713"/>
      <c r="GO53" s="713"/>
      <c r="GP53" s="713"/>
      <c r="GQ53" s="713"/>
      <c r="GR53" s="713"/>
      <c r="GS53" s="713"/>
      <c r="GT53" s="713"/>
      <c r="GU53" s="713"/>
      <c r="GV53" s="713"/>
      <c r="GW53" s="713"/>
      <c r="GX53" s="713"/>
      <c r="GY53" s="713"/>
      <c r="GZ53" s="713"/>
      <c r="HA53" s="713"/>
      <c r="HB53" s="713"/>
      <c r="HC53" s="713"/>
      <c r="HD53" s="713"/>
      <c r="HE53" s="713"/>
      <c r="HF53" s="713"/>
      <c r="HG53" s="713"/>
      <c r="HH53" s="713"/>
      <c r="HI53" s="713"/>
      <c r="HJ53" s="713"/>
      <c r="HK53" s="713"/>
      <c r="HL53" s="713"/>
      <c r="HM53" s="713"/>
      <c r="HN53" s="713"/>
      <c r="HO53" s="713"/>
      <c r="HP53" s="713"/>
      <c r="HQ53" s="713"/>
      <c r="HR53" s="713"/>
      <c r="HS53" s="713"/>
      <c r="HT53" s="713"/>
      <c r="HU53" s="713"/>
      <c r="HV53" s="713"/>
      <c r="HW53" s="713"/>
      <c r="HX53" s="713"/>
      <c r="HY53" s="713"/>
      <c r="HZ53" s="713"/>
      <c r="IA53" s="713"/>
      <c r="IB53" s="713"/>
      <c r="IC53" s="713"/>
      <c r="ID53" s="713"/>
      <c r="IE53" s="713"/>
      <c r="IF53" s="713"/>
      <c r="IG53" s="713"/>
      <c r="IH53" s="713"/>
    </row>
    <row r="54">
      <c r="A54" s="598"/>
      <c r="B54" s="598"/>
      <c r="C54" s="936" t="s">
        <v>487</v>
      </c>
      <c r="D54" s="937"/>
      <c r="E54" s="937"/>
      <c r="F54" s="937"/>
      <c r="G54" s="937"/>
      <c r="H54" s="937"/>
      <c r="I54" s="937"/>
      <c r="J54" s="937"/>
      <c r="K54" s="937"/>
      <c r="L54" s="937"/>
      <c r="M54" s="937"/>
      <c r="N54" s="937"/>
      <c r="O54" s="937"/>
      <c r="P54" s="937"/>
      <c r="Q54" s="937"/>
      <c r="R54" s="937"/>
      <c r="S54" s="937"/>
      <c r="T54" s="937"/>
      <c r="U54" s="937"/>
      <c r="V54" s="937"/>
      <c r="W54" s="619"/>
      <c r="X54" s="598"/>
      <c r="Y54" s="598"/>
      <c r="Z54" s="598"/>
      <c r="AA54" s="911"/>
      <c r="AB54" s="938" t="s">
        <v>488</v>
      </c>
      <c r="AC54" s="713" t="str">
        <f>IFERROR(__xludf.DUMMYFUNCTION("""COMPUTED_VALUE"""),"Damage Mastery")</f>
        <v>Damage Mastery</v>
      </c>
      <c r="AD54" s="825" t="s">
        <v>274</v>
      </c>
      <c r="AE54" s="713">
        <v>0.0</v>
      </c>
      <c r="AF54" s="713"/>
      <c r="AG54" s="713">
        <v>9.0</v>
      </c>
      <c r="AH54" s="907" t="str">
        <f t="shared" si="18"/>
        <v/>
      </c>
      <c r="AI54" s="713"/>
      <c r="AJ54" s="713"/>
      <c r="AK54" s="713"/>
      <c r="AL54" s="713"/>
      <c r="AM54" s="713"/>
      <c r="AN54" s="713"/>
      <c r="AO54" s="713"/>
      <c r="AP54" s="713"/>
      <c r="AQ54" s="713"/>
      <c r="AR54" s="713"/>
      <c r="AS54" s="713"/>
      <c r="AT54" s="713"/>
      <c r="AU54" s="713"/>
      <c r="AV54" s="713"/>
      <c r="AW54" s="713"/>
      <c r="AX54" s="713"/>
      <c r="AY54" s="713"/>
      <c r="AZ54" s="713"/>
      <c r="BA54" s="713"/>
      <c r="BB54" s="713"/>
      <c r="BC54" s="713"/>
      <c r="BD54" s="713"/>
      <c r="BE54" s="713"/>
      <c r="BF54" s="713"/>
      <c r="BG54" s="713"/>
      <c r="BH54" s="713"/>
      <c r="BI54" s="713"/>
      <c r="BJ54" s="713"/>
      <c r="BK54" s="713"/>
      <c r="BL54" s="713"/>
      <c r="BM54" s="713"/>
      <c r="BN54" s="713"/>
      <c r="BO54" s="713"/>
      <c r="BP54" s="713"/>
      <c r="BQ54" s="713"/>
      <c r="BR54" s="713"/>
      <c r="BS54" s="713"/>
      <c r="BT54" s="713"/>
      <c r="BU54" s="713"/>
      <c r="BV54" s="713"/>
      <c r="BW54" s="713"/>
      <c r="BX54" s="713"/>
      <c r="BY54" s="713"/>
      <c r="BZ54" s="713"/>
      <c r="CA54" s="713"/>
      <c r="CB54" s="713"/>
      <c r="CC54" s="713"/>
      <c r="CD54" s="713"/>
      <c r="CE54" s="713"/>
      <c r="CF54" s="713"/>
      <c r="CG54" s="713"/>
      <c r="CH54" s="713"/>
      <c r="CI54" s="713"/>
      <c r="CJ54" s="713"/>
      <c r="CK54" s="713"/>
      <c r="CL54" s="713"/>
      <c r="CM54" s="713"/>
      <c r="CN54" s="713"/>
      <c r="CO54" s="713"/>
      <c r="CP54" s="713"/>
      <c r="CQ54" s="713"/>
      <c r="CR54" s="713"/>
      <c r="CS54" s="713"/>
      <c r="CT54" s="713"/>
      <c r="CU54" s="713"/>
      <c r="CV54" s="713"/>
      <c r="CW54" s="713"/>
      <c r="CX54" s="713"/>
      <c r="CY54" s="713"/>
      <c r="CZ54" s="713"/>
      <c r="DA54" s="713"/>
      <c r="DB54" s="713"/>
      <c r="DC54" s="713"/>
      <c r="DD54" s="713"/>
      <c r="DE54" s="713"/>
      <c r="DF54" s="713"/>
      <c r="DG54" s="713"/>
      <c r="DH54" s="713"/>
      <c r="DI54" s="713"/>
      <c r="DJ54" s="713"/>
      <c r="DK54" s="713"/>
      <c r="DL54" s="713"/>
      <c r="DM54" s="713"/>
      <c r="DN54" s="713"/>
      <c r="DO54" s="713"/>
      <c r="DP54" s="713"/>
      <c r="DQ54" s="713"/>
      <c r="DR54" s="713"/>
      <c r="DS54" s="713"/>
      <c r="DT54" s="713"/>
      <c r="DU54" s="713"/>
      <c r="DV54" s="713"/>
      <c r="DW54" s="713"/>
      <c r="DX54" s="713"/>
      <c r="DY54" s="713"/>
      <c r="DZ54" s="713"/>
      <c r="EA54" s="713"/>
      <c r="EB54" s="713"/>
      <c r="EC54" s="713"/>
      <c r="ED54" s="713"/>
      <c r="EE54" s="713"/>
      <c r="EF54" s="713"/>
      <c r="EG54" s="713"/>
      <c r="EH54" s="713"/>
      <c r="EI54" s="713"/>
      <c r="EJ54" s="713"/>
      <c r="EK54" s="713"/>
      <c r="EL54" s="713"/>
      <c r="EM54" s="713"/>
      <c r="EN54" s="713"/>
      <c r="EO54" s="713"/>
      <c r="EP54" s="713"/>
      <c r="EQ54" s="713"/>
      <c r="ER54" s="713"/>
      <c r="ES54" s="713"/>
      <c r="ET54" s="713"/>
      <c r="EU54" s="713"/>
      <c r="EV54" s="713"/>
      <c r="EW54" s="713"/>
      <c r="EX54" s="713"/>
      <c r="EY54" s="713"/>
      <c r="EZ54" s="713"/>
      <c r="FA54" s="713"/>
      <c r="FB54" s="713"/>
      <c r="FC54" s="713"/>
      <c r="FD54" s="713"/>
      <c r="FE54" s="713"/>
      <c r="FF54" s="713"/>
      <c r="FG54" s="713"/>
      <c r="FH54" s="713"/>
      <c r="FI54" s="713"/>
      <c r="FJ54" s="713"/>
      <c r="FK54" s="713"/>
      <c r="FL54" s="713"/>
      <c r="FM54" s="713"/>
      <c r="FN54" s="713"/>
      <c r="FO54" s="713"/>
      <c r="FP54" s="713"/>
      <c r="FQ54" s="713"/>
      <c r="FR54" s="713"/>
      <c r="FS54" s="713"/>
      <c r="FT54" s="713"/>
      <c r="FU54" s="713"/>
      <c r="FV54" s="713"/>
      <c r="FW54" s="713"/>
      <c r="FX54" s="713"/>
      <c r="FY54" s="713"/>
      <c r="FZ54" s="713"/>
      <c r="GA54" s="713"/>
      <c r="GB54" s="713"/>
      <c r="GC54" s="713"/>
      <c r="GD54" s="713"/>
      <c r="GE54" s="713"/>
      <c r="GF54" s="713"/>
      <c r="GG54" s="713"/>
      <c r="GH54" s="713"/>
      <c r="GI54" s="713"/>
      <c r="GJ54" s="713"/>
      <c r="GK54" s="713"/>
      <c r="GL54" s="713"/>
      <c r="GM54" s="713"/>
      <c r="GN54" s="713"/>
      <c r="GO54" s="713"/>
      <c r="GP54" s="713"/>
      <c r="GQ54" s="713"/>
      <c r="GR54" s="713"/>
      <c r="GS54" s="713"/>
      <c r="GT54" s="713"/>
      <c r="GU54" s="713"/>
      <c r="GV54" s="713"/>
      <c r="GW54" s="713"/>
      <c r="GX54" s="713"/>
      <c r="GY54" s="713"/>
      <c r="GZ54" s="713"/>
      <c r="HA54" s="713"/>
      <c r="HB54" s="713"/>
      <c r="HC54" s="713"/>
      <c r="HD54" s="713"/>
      <c r="HE54" s="713"/>
      <c r="HF54" s="713"/>
      <c r="HG54" s="713"/>
      <c r="HH54" s="713"/>
      <c r="HI54" s="713"/>
      <c r="HJ54" s="713"/>
      <c r="HK54" s="713"/>
      <c r="HL54" s="713"/>
      <c r="HM54" s="713"/>
      <c r="HN54" s="713"/>
      <c r="HO54" s="713"/>
      <c r="HP54" s="713"/>
      <c r="HQ54" s="713"/>
      <c r="HR54" s="713"/>
      <c r="HS54" s="713"/>
      <c r="HT54" s="713"/>
      <c r="HU54" s="713"/>
      <c r="HV54" s="713"/>
      <c r="HW54" s="713"/>
      <c r="HX54" s="713"/>
      <c r="HY54" s="713"/>
      <c r="HZ54" s="713"/>
      <c r="IA54" s="713"/>
      <c r="IB54" s="713"/>
      <c r="IC54" s="713"/>
      <c r="ID54" s="713"/>
      <c r="IE54" s="713"/>
      <c r="IF54" s="713"/>
      <c r="IG54" s="713"/>
      <c r="IH54" s="713"/>
    </row>
    <row r="55">
      <c r="A55" s="598"/>
      <c r="B55" s="591"/>
      <c r="C55" s="787"/>
      <c r="D55" s="787"/>
      <c r="E55" s="787"/>
      <c r="F55" s="787"/>
      <c r="G55" s="787"/>
      <c r="H55" s="787"/>
      <c r="I55" s="787"/>
      <c r="J55" s="874"/>
      <c r="K55" s="787"/>
      <c r="L55" s="787"/>
      <c r="M55" s="787"/>
      <c r="N55" s="787"/>
      <c r="O55" s="787"/>
      <c r="P55" s="787"/>
      <c r="Q55" s="787"/>
      <c r="R55" s="874"/>
      <c r="S55" s="787"/>
      <c r="T55" s="787"/>
      <c r="U55" s="787"/>
      <c r="V55" s="787"/>
      <c r="W55" s="787"/>
      <c r="X55" s="598"/>
      <c r="Y55" s="598"/>
      <c r="Z55" s="598"/>
      <c r="AA55" s="911"/>
      <c r="AB55" s="939" t="s">
        <v>489</v>
      </c>
      <c r="AC55" s="713" t="str">
        <f>IFERROR(__xludf.DUMMYFUNCTION("""COMPUTED_VALUE"""),"Death Defy Down")</f>
        <v>Death Defy Down</v>
      </c>
      <c r="AD55" s="940" t="s">
        <v>332</v>
      </c>
      <c r="AE55" s="713">
        <v>0.0</v>
      </c>
      <c r="AF55" s="713"/>
      <c r="AG55" s="713">
        <v>10.0</v>
      </c>
      <c r="AH55" s="907" t="str">
        <f t="shared" si="18"/>
        <v/>
      </c>
      <c r="AI55" s="713"/>
      <c r="AJ55" s="713"/>
      <c r="AK55" s="713"/>
      <c r="AL55" s="713"/>
      <c r="AM55" s="713"/>
      <c r="AN55" s="713"/>
      <c r="AO55" s="713"/>
      <c r="AP55" s="713"/>
      <c r="AQ55" s="713"/>
      <c r="AR55" s="713"/>
      <c r="AS55" s="713"/>
      <c r="AT55" s="713"/>
      <c r="AU55" s="713"/>
      <c r="AV55" s="713"/>
      <c r="AW55" s="713"/>
      <c r="AX55" s="713"/>
      <c r="AY55" s="713"/>
      <c r="AZ55" s="713"/>
      <c r="BA55" s="713"/>
      <c r="BB55" s="713"/>
      <c r="BC55" s="713"/>
      <c r="BD55" s="713"/>
      <c r="BE55" s="713"/>
      <c r="BF55" s="713"/>
      <c r="BG55" s="713"/>
      <c r="BH55" s="713"/>
      <c r="BI55" s="713"/>
      <c r="BJ55" s="713"/>
      <c r="BK55" s="713"/>
      <c r="BL55" s="713"/>
      <c r="BM55" s="713"/>
      <c r="BN55" s="713"/>
      <c r="BO55" s="713"/>
      <c r="BP55" s="713"/>
      <c r="BQ55" s="713"/>
      <c r="BR55" s="713"/>
      <c r="BS55" s="713"/>
      <c r="BT55" s="713"/>
      <c r="BU55" s="713"/>
      <c r="BV55" s="713"/>
      <c r="BW55" s="713"/>
      <c r="BX55" s="713"/>
      <c r="BY55" s="713"/>
      <c r="BZ55" s="713"/>
      <c r="CA55" s="713"/>
      <c r="CB55" s="713"/>
      <c r="CC55" s="713"/>
      <c r="CD55" s="713"/>
      <c r="CE55" s="713"/>
      <c r="CF55" s="713"/>
      <c r="CG55" s="713"/>
      <c r="CH55" s="713"/>
      <c r="CI55" s="713"/>
      <c r="CJ55" s="713"/>
      <c r="CK55" s="713"/>
      <c r="CL55" s="713"/>
      <c r="CM55" s="713"/>
      <c r="CN55" s="713"/>
      <c r="CO55" s="713"/>
      <c r="CP55" s="713"/>
      <c r="CQ55" s="713"/>
      <c r="CR55" s="713"/>
      <c r="CS55" s="713"/>
      <c r="CT55" s="713"/>
      <c r="CU55" s="713"/>
      <c r="CV55" s="713"/>
      <c r="CW55" s="713"/>
      <c r="CX55" s="713"/>
      <c r="CY55" s="713"/>
      <c r="CZ55" s="713"/>
      <c r="DA55" s="713"/>
      <c r="DB55" s="713"/>
      <c r="DC55" s="713"/>
      <c r="DD55" s="713"/>
      <c r="DE55" s="713"/>
      <c r="DF55" s="713"/>
      <c r="DG55" s="713"/>
      <c r="DH55" s="713"/>
      <c r="DI55" s="713"/>
      <c r="DJ55" s="713"/>
      <c r="DK55" s="713"/>
      <c r="DL55" s="713"/>
      <c r="DM55" s="713"/>
      <c r="DN55" s="713"/>
      <c r="DO55" s="713"/>
      <c r="DP55" s="713"/>
      <c r="DQ55" s="713"/>
      <c r="DR55" s="713"/>
      <c r="DS55" s="713"/>
      <c r="DT55" s="713"/>
      <c r="DU55" s="713"/>
      <c r="DV55" s="713"/>
      <c r="DW55" s="713"/>
      <c r="DX55" s="713"/>
      <c r="DY55" s="713"/>
      <c r="DZ55" s="713"/>
      <c r="EA55" s="713"/>
      <c r="EB55" s="713"/>
      <c r="EC55" s="713"/>
      <c r="ED55" s="713"/>
      <c r="EE55" s="713"/>
      <c r="EF55" s="713"/>
      <c r="EG55" s="713"/>
      <c r="EH55" s="713"/>
      <c r="EI55" s="713"/>
      <c r="EJ55" s="713"/>
      <c r="EK55" s="713"/>
      <c r="EL55" s="713"/>
      <c r="EM55" s="713"/>
      <c r="EN55" s="713"/>
      <c r="EO55" s="713"/>
      <c r="EP55" s="713"/>
      <c r="EQ55" s="713"/>
      <c r="ER55" s="713"/>
      <c r="ES55" s="713"/>
      <c r="ET55" s="713"/>
      <c r="EU55" s="713"/>
      <c r="EV55" s="713"/>
      <c r="EW55" s="713"/>
      <c r="EX55" s="713"/>
      <c r="EY55" s="713"/>
      <c r="EZ55" s="713"/>
      <c r="FA55" s="713"/>
      <c r="FB55" s="713"/>
      <c r="FC55" s="713"/>
      <c r="FD55" s="713"/>
      <c r="FE55" s="713"/>
      <c r="FF55" s="713"/>
      <c r="FG55" s="713"/>
      <c r="FH55" s="713"/>
      <c r="FI55" s="713"/>
      <c r="FJ55" s="713"/>
      <c r="FK55" s="713"/>
      <c r="FL55" s="713"/>
      <c r="FM55" s="713"/>
      <c r="FN55" s="713"/>
      <c r="FO55" s="713"/>
      <c r="FP55" s="713"/>
      <c r="FQ55" s="713"/>
      <c r="FR55" s="713"/>
      <c r="FS55" s="713"/>
      <c r="FT55" s="713"/>
      <c r="FU55" s="713"/>
      <c r="FV55" s="713"/>
      <c r="FW55" s="713"/>
      <c r="FX55" s="713"/>
      <c r="FY55" s="713"/>
      <c r="FZ55" s="713"/>
      <c r="GA55" s="713"/>
      <c r="GB55" s="713"/>
      <c r="GC55" s="713"/>
      <c r="GD55" s="713"/>
      <c r="GE55" s="713"/>
      <c r="GF55" s="713"/>
      <c r="GG55" s="713"/>
      <c r="GH55" s="713"/>
      <c r="GI55" s="713"/>
      <c r="GJ55" s="713"/>
      <c r="GK55" s="713"/>
      <c r="GL55" s="713"/>
      <c r="GM55" s="713"/>
      <c r="GN55" s="713"/>
      <c r="GO55" s="713"/>
      <c r="GP55" s="713"/>
      <c r="GQ55" s="713"/>
      <c r="GR55" s="713"/>
      <c r="GS55" s="713"/>
      <c r="GT55" s="713"/>
      <c r="GU55" s="713"/>
      <c r="GV55" s="713"/>
      <c r="GW55" s="713"/>
      <c r="GX55" s="713"/>
      <c r="GY55" s="713"/>
      <c r="GZ55" s="713"/>
      <c r="HA55" s="713"/>
      <c r="HB55" s="713"/>
      <c r="HC55" s="713"/>
      <c r="HD55" s="713"/>
      <c r="HE55" s="713"/>
      <c r="HF55" s="713"/>
      <c r="HG55" s="713"/>
      <c r="HH55" s="713"/>
      <c r="HI55" s="713"/>
      <c r="HJ55" s="713"/>
      <c r="HK55" s="713"/>
      <c r="HL55" s="713"/>
      <c r="HM55" s="713"/>
      <c r="HN55" s="713"/>
      <c r="HO55" s="713"/>
      <c r="HP55" s="713"/>
      <c r="HQ55" s="713"/>
      <c r="HR55" s="713"/>
      <c r="HS55" s="713"/>
      <c r="HT55" s="713"/>
      <c r="HU55" s="713"/>
      <c r="HV55" s="713"/>
      <c r="HW55" s="713"/>
      <c r="HX55" s="713"/>
      <c r="HY55" s="713"/>
      <c r="HZ55" s="713"/>
      <c r="IA55" s="713"/>
      <c r="IB55" s="713"/>
      <c r="IC55" s="713"/>
      <c r="ID55" s="713"/>
      <c r="IE55" s="713"/>
      <c r="IF55" s="713"/>
      <c r="IG55" s="713"/>
      <c r="IH55" s="713"/>
    </row>
    <row r="56">
      <c r="A56" s="600"/>
      <c r="B56" s="941" t="s">
        <v>490</v>
      </c>
      <c r="C56" s="598"/>
      <c r="D56" s="942"/>
      <c r="E56" s="943"/>
      <c r="F56" s="598"/>
      <c r="G56" s="598"/>
      <c r="H56" s="598"/>
      <c r="I56" s="600"/>
      <c r="J56" s="944" t="s">
        <v>491</v>
      </c>
      <c r="K56" s="598"/>
      <c r="L56" s="945"/>
      <c r="M56" s="946"/>
      <c r="N56" s="598"/>
      <c r="O56" s="598"/>
      <c r="P56" s="598"/>
      <c r="Q56" s="600"/>
      <c r="R56" s="947" t="s">
        <v>492</v>
      </c>
      <c r="S56" s="598"/>
      <c r="T56" s="948"/>
      <c r="U56" s="949"/>
      <c r="V56" s="598"/>
      <c r="W56" s="598"/>
      <c r="X56" s="598"/>
      <c r="Y56" s="598"/>
      <c r="Z56" s="598"/>
      <c r="AA56" s="911"/>
      <c r="AB56" s="950" t="s">
        <v>493</v>
      </c>
      <c r="AC56" s="713" t="str">
        <f>IFERROR(__xludf.DUMMYFUNCTION("""COMPUTED_VALUE"""),"Death Ray Mastery")</f>
        <v>Death Ray Mastery</v>
      </c>
      <c r="AD56" s="825" t="s">
        <v>363</v>
      </c>
      <c r="AE56" s="713">
        <v>0.0</v>
      </c>
      <c r="AF56" s="713"/>
      <c r="AG56" s="713">
        <v>9.0</v>
      </c>
      <c r="AH56" s="907" t="str">
        <f t="shared" si="18"/>
        <v/>
      </c>
      <c r="AI56" s="713"/>
      <c r="AJ56" s="713"/>
      <c r="AK56" s="713"/>
      <c r="AL56" s="713"/>
      <c r="AM56" s="713"/>
      <c r="AN56" s="713"/>
      <c r="AO56" s="713"/>
      <c r="AP56" s="713"/>
      <c r="AQ56" s="713"/>
      <c r="AR56" s="713"/>
      <c r="AS56" s="713"/>
      <c r="AT56" s="713"/>
      <c r="AU56" s="713"/>
      <c r="AV56" s="713"/>
      <c r="AW56" s="713"/>
      <c r="AX56" s="713"/>
      <c r="AY56" s="713"/>
      <c r="AZ56" s="713"/>
      <c r="BA56" s="713"/>
      <c r="BB56" s="713"/>
      <c r="BC56" s="713"/>
      <c r="BD56" s="713"/>
      <c r="BE56" s="713"/>
      <c r="BF56" s="713"/>
      <c r="BG56" s="713"/>
      <c r="BH56" s="713"/>
      <c r="BI56" s="713"/>
      <c r="BJ56" s="713"/>
      <c r="BK56" s="713"/>
      <c r="BL56" s="713"/>
      <c r="BM56" s="713"/>
      <c r="BN56" s="713"/>
      <c r="BO56" s="713"/>
      <c r="BP56" s="713"/>
      <c r="BQ56" s="713"/>
      <c r="BR56" s="713"/>
      <c r="BS56" s="713"/>
      <c r="BT56" s="713"/>
      <c r="BU56" s="713"/>
      <c r="BV56" s="713"/>
      <c r="BW56" s="713"/>
      <c r="BX56" s="713"/>
      <c r="BY56" s="713"/>
      <c r="BZ56" s="713"/>
      <c r="CA56" s="713"/>
      <c r="CB56" s="713"/>
      <c r="CC56" s="713"/>
      <c r="CD56" s="713"/>
      <c r="CE56" s="713"/>
      <c r="CF56" s="713"/>
      <c r="CG56" s="713"/>
      <c r="CH56" s="713"/>
      <c r="CI56" s="713"/>
      <c r="CJ56" s="713"/>
      <c r="CK56" s="713"/>
      <c r="CL56" s="713"/>
      <c r="CM56" s="713"/>
      <c r="CN56" s="713"/>
      <c r="CO56" s="713"/>
      <c r="CP56" s="713"/>
      <c r="CQ56" s="713"/>
      <c r="CR56" s="713"/>
      <c r="CS56" s="713"/>
      <c r="CT56" s="713"/>
      <c r="CU56" s="713"/>
      <c r="CV56" s="713"/>
      <c r="CW56" s="713"/>
      <c r="CX56" s="713"/>
      <c r="CY56" s="713"/>
      <c r="CZ56" s="713"/>
      <c r="DA56" s="713"/>
      <c r="DB56" s="713"/>
      <c r="DC56" s="713"/>
      <c r="DD56" s="713"/>
      <c r="DE56" s="713"/>
      <c r="DF56" s="713"/>
      <c r="DG56" s="713"/>
      <c r="DH56" s="713"/>
      <c r="DI56" s="713"/>
      <c r="DJ56" s="713"/>
      <c r="DK56" s="713"/>
      <c r="DL56" s="713"/>
      <c r="DM56" s="713"/>
      <c r="DN56" s="713"/>
      <c r="DO56" s="713"/>
      <c r="DP56" s="713"/>
      <c r="DQ56" s="713"/>
      <c r="DR56" s="713"/>
      <c r="DS56" s="713"/>
      <c r="DT56" s="713"/>
      <c r="DU56" s="713"/>
      <c r="DV56" s="713"/>
      <c r="DW56" s="713"/>
      <c r="DX56" s="713"/>
      <c r="DY56" s="713"/>
      <c r="DZ56" s="713"/>
      <c r="EA56" s="713"/>
      <c r="EB56" s="713"/>
      <c r="EC56" s="713"/>
      <c r="ED56" s="713"/>
      <c r="EE56" s="713"/>
      <c r="EF56" s="713"/>
      <c r="EG56" s="713"/>
      <c r="EH56" s="713"/>
      <c r="EI56" s="713"/>
      <c r="EJ56" s="713"/>
      <c r="EK56" s="713"/>
      <c r="EL56" s="713"/>
      <c r="EM56" s="713"/>
      <c r="EN56" s="713"/>
      <c r="EO56" s="713"/>
      <c r="EP56" s="713"/>
      <c r="EQ56" s="713"/>
      <c r="ER56" s="713"/>
      <c r="ES56" s="713"/>
      <c r="ET56" s="713"/>
      <c r="EU56" s="713"/>
      <c r="EV56" s="713"/>
      <c r="EW56" s="713"/>
      <c r="EX56" s="713"/>
      <c r="EY56" s="713"/>
      <c r="EZ56" s="713"/>
      <c r="FA56" s="713"/>
      <c r="FB56" s="713"/>
      <c r="FC56" s="713"/>
      <c r="FD56" s="713"/>
      <c r="FE56" s="713"/>
      <c r="FF56" s="713"/>
      <c r="FG56" s="713"/>
      <c r="FH56" s="713"/>
      <c r="FI56" s="713"/>
      <c r="FJ56" s="713"/>
      <c r="FK56" s="713"/>
      <c r="FL56" s="713"/>
      <c r="FM56" s="713"/>
      <c r="FN56" s="713"/>
      <c r="FO56" s="713"/>
      <c r="FP56" s="713"/>
      <c r="FQ56" s="713"/>
      <c r="FR56" s="713"/>
      <c r="FS56" s="713"/>
      <c r="FT56" s="713"/>
      <c r="FU56" s="713"/>
      <c r="FV56" s="713"/>
      <c r="FW56" s="713"/>
      <c r="FX56" s="713"/>
      <c r="FY56" s="713"/>
      <c r="FZ56" s="713"/>
      <c r="GA56" s="713"/>
      <c r="GB56" s="713"/>
      <c r="GC56" s="713"/>
      <c r="GD56" s="713"/>
      <c r="GE56" s="713"/>
      <c r="GF56" s="713"/>
      <c r="GG56" s="713"/>
      <c r="GH56" s="713"/>
      <c r="GI56" s="713"/>
      <c r="GJ56" s="713"/>
      <c r="GK56" s="713"/>
      <c r="GL56" s="713"/>
      <c r="GM56" s="713"/>
      <c r="GN56" s="713"/>
      <c r="GO56" s="713"/>
      <c r="GP56" s="713"/>
      <c r="GQ56" s="713"/>
      <c r="GR56" s="713"/>
      <c r="GS56" s="713"/>
      <c r="GT56" s="713"/>
      <c r="GU56" s="713"/>
      <c r="GV56" s="713"/>
      <c r="GW56" s="713"/>
      <c r="GX56" s="713"/>
      <c r="GY56" s="713"/>
      <c r="GZ56" s="713"/>
      <c r="HA56" s="713"/>
      <c r="HB56" s="713"/>
      <c r="HC56" s="713"/>
      <c r="HD56" s="713"/>
      <c r="HE56" s="713"/>
      <c r="HF56" s="713"/>
      <c r="HG56" s="713"/>
      <c r="HH56" s="713"/>
      <c r="HI56" s="713"/>
      <c r="HJ56" s="713"/>
      <c r="HK56" s="713"/>
      <c r="HL56" s="713"/>
      <c r="HM56" s="713"/>
      <c r="HN56" s="713"/>
      <c r="HO56" s="713"/>
      <c r="HP56" s="713"/>
      <c r="HQ56" s="713"/>
      <c r="HR56" s="713"/>
      <c r="HS56" s="713"/>
      <c r="HT56" s="713"/>
      <c r="HU56" s="713"/>
      <c r="HV56" s="713"/>
      <c r="HW56" s="713"/>
      <c r="HX56" s="713"/>
      <c r="HY56" s="713"/>
      <c r="HZ56" s="713"/>
      <c r="IA56" s="713"/>
      <c r="IB56" s="713"/>
      <c r="IC56" s="713"/>
      <c r="ID56" s="713"/>
      <c r="IE56" s="713"/>
      <c r="IF56" s="713"/>
      <c r="IG56" s="713"/>
      <c r="IH56" s="713"/>
    </row>
    <row r="57">
      <c r="A57" s="600"/>
      <c r="B57" s="951" t="s">
        <v>490</v>
      </c>
      <c r="C57" s="598"/>
      <c r="D57" s="952"/>
      <c r="E57" s="953"/>
      <c r="F57" s="598"/>
      <c r="G57" s="598"/>
      <c r="H57" s="598"/>
      <c r="I57" s="600"/>
      <c r="J57" s="954" t="s">
        <v>491</v>
      </c>
      <c r="K57" s="598"/>
      <c r="L57" s="955"/>
      <c r="M57" s="956"/>
      <c r="N57" s="598"/>
      <c r="O57" s="598"/>
      <c r="P57" s="598"/>
      <c r="Q57" s="600"/>
      <c r="R57" s="957" t="s">
        <v>492</v>
      </c>
      <c r="S57" s="598"/>
      <c r="T57" s="958"/>
      <c r="U57" s="959"/>
      <c r="V57" s="598"/>
      <c r="W57" s="598"/>
      <c r="X57" s="598"/>
      <c r="Y57" s="598"/>
      <c r="Z57" s="598"/>
      <c r="AA57" s="911"/>
      <c r="AB57" s="960" t="s">
        <v>494</v>
      </c>
      <c r="AC57" s="713" t="str">
        <f>IFERROR(__xludf.DUMMYFUNCTION("""COMPUTED_VALUE"""),"Death Ray Resistance")</f>
        <v>Death Ray Resistance</v>
      </c>
      <c r="AD57" s="825" t="s">
        <v>237</v>
      </c>
      <c r="AE57" s="713">
        <v>0.0</v>
      </c>
      <c r="AF57" s="713"/>
      <c r="AG57" s="713">
        <v>20.0</v>
      </c>
      <c r="AH57" s="907" t="str">
        <f t="shared" si="18"/>
        <v/>
      </c>
      <c r="AI57" s="713"/>
      <c r="AJ57" s="713"/>
      <c r="AK57" s="713"/>
      <c r="AL57" s="713"/>
      <c r="AM57" s="713"/>
      <c r="AN57" s="713"/>
      <c r="AO57" s="713"/>
      <c r="AP57" s="713"/>
      <c r="AQ57" s="713"/>
      <c r="AR57" s="713"/>
      <c r="AS57" s="713"/>
      <c r="AT57" s="713"/>
      <c r="AU57" s="713"/>
      <c r="AV57" s="713"/>
      <c r="AW57" s="713"/>
      <c r="AX57" s="713"/>
      <c r="AY57" s="713"/>
      <c r="AZ57" s="713"/>
      <c r="BA57" s="713"/>
      <c r="BB57" s="713"/>
      <c r="BC57" s="713"/>
      <c r="BD57" s="713"/>
      <c r="BE57" s="713"/>
      <c r="BF57" s="713"/>
      <c r="BG57" s="713"/>
      <c r="BH57" s="713"/>
      <c r="BI57" s="713"/>
      <c r="BJ57" s="713"/>
      <c r="BK57" s="713"/>
      <c r="BL57" s="713"/>
      <c r="BM57" s="713"/>
      <c r="BN57" s="713"/>
      <c r="BO57" s="713"/>
      <c r="BP57" s="713"/>
      <c r="BQ57" s="713"/>
      <c r="BR57" s="713"/>
      <c r="BS57" s="713"/>
      <c r="BT57" s="713"/>
      <c r="BU57" s="713"/>
      <c r="BV57" s="713"/>
      <c r="BW57" s="713"/>
      <c r="BX57" s="713"/>
      <c r="BY57" s="713"/>
      <c r="BZ57" s="713"/>
      <c r="CA57" s="713"/>
      <c r="CB57" s="713"/>
      <c r="CC57" s="713"/>
      <c r="CD57" s="713"/>
      <c r="CE57" s="713"/>
      <c r="CF57" s="713"/>
      <c r="CG57" s="713"/>
      <c r="CH57" s="713"/>
      <c r="CI57" s="713"/>
      <c r="CJ57" s="713"/>
      <c r="CK57" s="713"/>
      <c r="CL57" s="713"/>
      <c r="CM57" s="713"/>
      <c r="CN57" s="713"/>
      <c r="CO57" s="713"/>
      <c r="CP57" s="713"/>
      <c r="CQ57" s="713"/>
      <c r="CR57" s="713"/>
      <c r="CS57" s="713"/>
      <c r="CT57" s="713"/>
      <c r="CU57" s="713"/>
      <c r="CV57" s="713"/>
      <c r="CW57" s="713"/>
      <c r="CX57" s="713"/>
      <c r="CY57" s="713"/>
      <c r="CZ57" s="713"/>
      <c r="DA57" s="713"/>
      <c r="DB57" s="713"/>
      <c r="DC57" s="713"/>
      <c r="DD57" s="713"/>
      <c r="DE57" s="713"/>
      <c r="DF57" s="713"/>
      <c r="DG57" s="713"/>
      <c r="DH57" s="713"/>
      <c r="DI57" s="713"/>
      <c r="DJ57" s="713"/>
      <c r="DK57" s="713"/>
      <c r="DL57" s="713"/>
      <c r="DM57" s="713"/>
      <c r="DN57" s="713"/>
      <c r="DO57" s="713"/>
      <c r="DP57" s="713"/>
      <c r="DQ57" s="713"/>
      <c r="DR57" s="713"/>
      <c r="DS57" s="713"/>
      <c r="DT57" s="713"/>
      <c r="DU57" s="713"/>
      <c r="DV57" s="713"/>
      <c r="DW57" s="713"/>
      <c r="DX57" s="713"/>
      <c r="DY57" s="713"/>
      <c r="DZ57" s="713"/>
      <c r="EA57" s="713"/>
      <c r="EB57" s="713"/>
      <c r="EC57" s="713"/>
      <c r="ED57" s="713"/>
      <c r="EE57" s="713"/>
      <c r="EF57" s="713"/>
      <c r="EG57" s="713"/>
      <c r="EH57" s="713"/>
      <c r="EI57" s="713"/>
      <c r="EJ57" s="713"/>
      <c r="EK57" s="713"/>
      <c r="EL57" s="713"/>
      <c r="EM57" s="713"/>
      <c r="EN57" s="713"/>
      <c r="EO57" s="713"/>
      <c r="EP57" s="713"/>
      <c r="EQ57" s="713"/>
      <c r="ER57" s="713"/>
      <c r="ES57" s="713"/>
      <c r="ET57" s="713"/>
      <c r="EU57" s="713"/>
      <c r="EV57" s="713"/>
      <c r="EW57" s="713"/>
      <c r="EX57" s="713"/>
      <c r="EY57" s="713"/>
      <c r="EZ57" s="713"/>
      <c r="FA57" s="713"/>
      <c r="FB57" s="713"/>
      <c r="FC57" s="713"/>
      <c r="FD57" s="713"/>
      <c r="FE57" s="713"/>
      <c r="FF57" s="713"/>
      <c r="FG57" s="713"/>
      <c r="FH57" s="713"/>
      <c r="FI57" s="713"/>
      <c r="FJ57" s="713"/>
      <c r="FK57" s="713"/>
      <c r="FL57" s="713"/>
      <c r="FM57" s="713"/>
      <c r="FN57" s="713"/>
      <c r="FO57" s="713"/>
      <c r="FP57" s="713"/>
      <c r="FQ57" s="713"/>
      <c r="FR57" s="713"/>
      <c r="FS57" s="713"/>
      <c r="FT57" s="713"/>
      <c r="FU57" s="713"/>
      <c r="FV57" s="713"/>
      <c r="FW57" s="713"/>
      <c r="FX57" s="713"/>
      <c r="FY57" s="713"/>
      <c r="FZ57" s="713"/>
      <c r="GA57" s="713"/>
      <c r="GB57" s="713"/>
      <c r="GC57" s="713"/>
      <c r="GD57" s="713"/>
      <c r="GE57" s="713"/>
      <c r="GF57" s="713"/>
      <c r="GG57" s="713"/>
      <c r="GH57" s="713"/>
      <c r="GI57" s="713"/>
      <c r="GJ57" s="713"/>
      <c r="GK57" s="713"/>
      <c r="GL57" s="713"/>
      <c r="GM57" s="713"/>
      <c r="GN57" s="713"/>
      <c r="GO57" s="713"/>
      <c r="GP57" s="713"/>
      <c r="GQ57" s="713"/>
      <c r="GR57" s="713"/>
      <c r="GS57" s="713"/>
      <c r="GT57" s="713"/>
      <c r="GU57" s="713"/>
      <c r="GV57" s="713"/>
      <c r="GW57" s="713"/>
      <c r="GX57" s="713"/>
      <c r="GY57" s="713"/>
      <c r="GZ57" s="713"/>
      <c r="HA57" s="713"/>
      <c r="HB57" s="713"/>
      <c r="HC57" s="713"/>
      <c r="HD57" s="713"/>
      <c r="HE57" s="713"/>
      <c r="HF57" s="713"/>
      <c r="HG57" s="713"/>
      <c r="HH57" s="713"/>
      <c r="HI57" s="713"/>
      <c r="HJ57" s="713"/>
      <c r="HK57" s="713"/>
      <c r="HL57" s="713"/>
      <c r="HM57" s="713"/>
      <c r="HN57" s="713"/>
      <c r="HO57" s="713"/>
      <c r="HP57" s="713"/>
      <c r="HQ57" s="713"/>
      <c r="HR57" s="713"/>
      <c r="HS57" s="713"/>
      <c r="HT57" s="713"/>
      <c r="HU57" s="713"/>
      <c r="HV57" s="713"/>
      <c r="HW57" s="713"/>
      <c r="HX57" s="713"/>
      <c r="HY57" s="713"/>
      <c r="HZ57" s="713"/>
      <c r="IA57" s="713"/>
      <c r="IB57" s="713"/>
      <c r="IC57" s="713"/>
      <c r="ID57" s="713"/>
      <c r="IE57" s="713"/>
      <c r="IF57" s="713"/>
      <c r="IG57" s="713"/>
      <c r="IH57" s="713"/>
    </row>
    <row r="58">
      <c r="A58" s="600"/>
      <c r="B58" s="951" t="s">
        <v>490</v>
      </c>
      <c r="C58" s="598"/>
      <c r="D58" s="952"/>
      <c r="E58" s="953"/>
      <c r="F58" s="598"/>
      <c r="G58" s="598"/>
      <c r="H58" s="598"/>
      <c r="I58" s="600"/>
      <c r="J58" s="954" t="s">
        <v>491</v>
      </c>
      <c r="K58" s="598"/>
      <c r="L58" s="955"/>
      <c r="M58" s="956"/>
      <c r="N58" s="598"/>
      <c r="O58" s="598"/>
      <c r="P58" s="598"/>
      <c r="Q58" s="600"/>
      <c r="R58" s="957" t="s">
        <v>492</v>
      </c>
      <c r="S58" s="598"/>
      <c r="T58" s="958"/>
      <c r="U58" s="959"/>
      <c r="V58" s="598"/>
      <c r="W58" s="598"/>
      <c r="X58" s="598"/>
      <c r="Y58" s="598"/>
      <c r="Z58" s="598"/>
      <c r="AA58" s="911"/>
      <c r="AB58" s="961" t="s">
        <v>495</v>
      </c>
      <c r="AC58" s="713" t="str">
        <f>IFERROR(__xludf.DUMMYFUNCTION("""COMPUTED_VALUE"""),"Death Wave Armor Stripping")</f>
        <v>Death Wave Armor Stripping</v>
      </c>
      <c r="AD58" s="816" t="s">
        <v>378</v>
      </c>
      <c r="AE58" s="713">
        <v>0.0</v>
      </c>
      <c r="AF58" s="713"/>
      <c r="AG58" s="713">
        <v>10.0</v>
      </c>
      <c r="AH58" s="907" t="str">
        <f t="shared" si="18"/>
        <v/>
      </c>
      <c r="AI58" s="713"/>
      <c r="AJ58" s="713"/>
      <c r="AK58" s="713"/>
      <c r="AL58" s="713"/>
      <c r="AM58" s="713"/>
      <c r="AN58" s="713"/>
      <c r="AO58" s="713"/>
      <c r="AP58" s="713"/>
      <c r="AQ58" s="713"/>
      <c r="AR58" s="713"/>
      <c r="AS58" s="713"/>
      <c r="AT58" s="713"/>
      <c r="AU58" s="713"/>
      <c r="AV58" s="713"/>
      <c r="AW58" s="713"/>
      <c r="AX58" s="713"/>
      <c r="AY58" s="713"/>
      <c r="AZ58" s="713"/>
      <c r="BA58" s="713"/>
      <c r="BB58" s="713"/>
      <c r="BC58" s="713"/>
      <c r="BD58" s="713"/>
      <c r="BE58" s="713"/>
      <c r="BF58" s="713"/>
      <c r="BG58" s="713"/>
      <c r="BH58" s="713"/>
      <c r="BI58" s="713"/>
      <c r="BJ58" s="713"/>
      <c r="BK58" s="713"/>
      <c r="BL58" s="713"/>
      <c r="BM58" s="713"/>
      <c r="BN58" s="713"/>
      <c r="BO58" s="713"/>
      <c r="BP58" s="713"/>
      <c r="BQ58" s="713"/>
      <c r="BR58" s="713"/>
      <c r="BS58" s="713"/>
      <c r="BT58" s="713"/>
      <c r="BU58" s="713"/>
      <c r="BV58" s="713"/>
      <c r="BW58" s="713"/>
      <c r="BX58" s="713"/>
      <c r="BY58" s="713"/>
      <c r="BZ58" s="713"/>
      <c r="CA58" s="713"/>
      <c r="CB58" s="713"/>
      <c r="CC58" s="713"/>
      <c r="CD58" s="713"/>
      <c r="CE58" s="713"/>
      <c r="CF58" s="713"/>
      <c r="CG58" s="713"/>
      <c r="CH58" s="713"/>
      <c r="CI58" s="713"/>
      <c r="CJ58" s="713"/>
      <c r="CK58" s="713"/>
      <c r="CL58" s="713"/>
      <c r="CM58" s="713"/>
      <c r="CN58" s="713"/>
      <c r="CO58" s="713"/>
      <c r="CP58" s="713"/>
      <c r="CQ58" s="713"/>
      <c r="CR58" s="713"/>
      <c r="CS58" s="713"/>
      <c r="CT58" s="713"/>
      <c r="CU58" s="713"/>
      <c r="CV58" s="713"/>
      <c r="CW58" s="713"/>
      <c r="CX58" s="713"/>
      <c r="CY58" s="713"/>
      <c r="CZ58" s="713"/>
      <c r="DA58" s="713"/>
      <c r="DB58" s="713"/>
      <c r="DC58" s="713"/>
      <c r="DD58" s="713"/>
      <c r="DE58" s="713"/>
      <c r="DF58" s="713"/>
      <c r="DG58" s="713"/>
      <c r="DH58" s="713"/>
      <c r="DI58" s="713"/>
      <c r="DJ58" s="713"/>
      <c r="DK58" s="713"/>
      <c r="DL58" s="713"/>
      <c r="DM58" s="713"/>
      <c r="DN58" s="713"/>
      <c r="DO58" s="713"/>
      <c r="DP58" s="713"/>
      <c r="DQ58" s="713"/>
      <c r="DR58" s="713"/>
      <c r="DS58" s="713"/>
      <c r="DT58" s="713"/>
      <c r="DU58" s="713"/>
      <c r="DV58" s="713"/>
      <c r="DW58" s="713"/>
      <c r="DX58" s="713"/>
      <c r="DY58" s="713"/>
      <c r="DZ58" s="713"/>
      <c r="EA58" s="713"/>
      <c r="EB58" s="713"/>
      <c r="EC58" s="713"/>
      <c r="ED58" s="713"/>
      <c r="EE58" s="713"/>
      <c r="EF58" s="713"/>
      <c r="EG58" s="713"/>
      <c r="EH58" s="713"/>
      <c r="EI58" s="713"/>
      <c r="EJ58" s="713"/>
      <c r="EK58" s="713"/>
      <c r="EL58" s="713"/>
      <c r="EM58" s="713"/>
      <c r="EN58" s="713"/>
      <c r="EO58" s="713"/>
      <c r="EP58" s="713"/>
      <c r="EQ58" s="713"/>
      <c r="ER58" s="713"/>
      <c r="ES58" s="713"/>
      <c r="ET58" s="713"/>
      <c r="EU58" s="713"/>
      <c r="EV58" s="713"/>
      <c r="EW58" s="713"/>
      <c r="EX58" s="713"/>
      <c r="EY58" s="713"/>
      <c r="EZ58" s="713"/>
      <c r="FA58" s="713"/>
      <c r="FB58" s="713"/>
      <c r="FC58" s="713"/>
      <c r="FD58" s="713"/>
      <c r="FE58" s="713"/>
      <c r="FF58" s="713"/>
      <c r="FG58" s="713"/>
      <c r="FH58" s="713"/>
      <c r="FI58" s="713"/>
      <c r="FJ58" s="713"/>
      <c r="FK58" s="713"/>
      <c r="FL58" s="713"/>
      <c r="FM58" s="713"/>
      <c r="FN58" s="713"/>
      <c r="FO58" s="713"/>
      <c r="FP58" s="713"/>
      <c r="FQ58" s="713"/>
      <c r="FR58" s="713"/>
      <c r="FS58" s="713"/>
      <c r="FT58" s="713"/>
      <c r="FU58" s="713"/>
      <c r="FV58" s="713"/>
      <c r="FW58" s="713"/>
      <c r="FX58" s="713"/>
      <c r="FY58" s="713"/>
      <c r="FZ58" s="713"/>
      <c r="GA58" s="713"/>
      <c r="GB58" s="713"/>
      <c r="GC58" s="713"/>
      <c r="GD58" s="713"/>
      <c r="GE58" s="713"/>
      <c r="GF58" s="713"/>
      <c r="GG58" s="713"/>
      <c r="GH58" s="713"/>
      <c r="GI58" s="713"/>
      <c r="GJ58" s="713"/>
      <c r="GK58" s="713"/>
      <c r="GL58" s="713"/>
      <c r="GM58" s="713"/>
      <c r="GN58" s="713"/>
      <c r="GO58" s="713"/>
      <c r="GP58" s="713"/>
      <c r="GQ58" s="713"/>
      <c r="GR58" s="713"/>
      <c r="GS58" s="713"/>
      <c r="GT58" s="713"/>
      <c r="GU58" s="713"/>
      <c r="GV58" s="713"/>
      <c r="GW58" s="713"/>
      <c r="GX58" s="713"/>
      <c r="GY58" s="713"/>
      <c r="GZ58" s="713"/>
      <c r="HA58" s="713"/>
      <c r="HB58" s="713"/>
      <c r="HC58" s="713"/>
      <c r="HD58" s="713"/>
      <c r="HE58" s="713"/>
      <c r="HF58" s="713"/>
      <c r="HG58" s="713"/>
      <c r="HH58" s="713"/>
      <c r="HI58" s="713"/>
      <c r="HJ58" s="713"/>
      <c r="HK58" s="713"/>
      <c r="HL58" s="713"/>
      <c r="HM58" s="713"/>
      <c r="HN58" s="713"/>
      <c r="HO58" s="713"/>
      <c r="HP58" s="713"/>
      <c r="HQ58" s="713"/>
      <c r="HR58" s="713"/>
      <c r="HS58" s="713"/>
      <c r="HT58" s="713"/>
      <c r="HU58" s="713"/>
      <c r="HV58" s="713"/>
      <c r="HW58" s="713"/>
      <c r="HX58" s="713"/>
      <c r="HY58" s="713"/>
      <c r="HZ58" s="713"/>
      <c r="IA58" s="713"/>
      <c r="IB58" s="713"/>
      <c r="IC58" s="713"/>
      <c r="ID58" s="713"/>
      <c r="IE58" s="713"/>
      <c r="IF58" s="713"/>
      <c r="IG58" s="713"/>
      <c r="IH58" s="713"/>
    </row>
    <row r="59">
      <c r="A59" s="600"/>
      <c r="B59" s="951" t="s">
        <v>490</v>
      </c>
      <c r="C59" s="598"/>
      <c r="D59" s="952"/>
      <c r="E59" s="953"/>
      <c r="F59" s="598"/>
      <c r="G59" s="598"/>
      <c r="H59" s="598"/>
      <c r="I59" s="600"/>
      <c r="J59" s="954" t="s">
        <v>491</v>
      </c>
      <c r="K59" s="598"/>
      <c r="L59" s="955"/>
      <c r="M59" s="956"/>
      <c r="N59" s="598"/>
      <c r="O59" s="598"/>
      <c r="P59" s="598"/>
      <c r="Q59" s="600"/>
      <c r="R59" s="957" t="s">
        <v>492</v>
      </c>
      <c r="S59" s="598"/>
      <c r="T59" s="958"/>
      <c r="U59" s="959"/>
      <c r="V59" s="598"/>
      <c r="W59" s="598"/>
      <c r="X59" s="598"/>
      <c r="Y59" s="598"/>
      <c r="Z59" s="598"/>
      <c r="AA59" s="911"/>
      <c r="AB59" s="962" t="s">
        <v>496</v>
      </c>
      <c r="AC59" s="713" t="str">
        <f>IFERROR(__xludf.DUMMYFUNCTION("""COMPUTED_VALUE"""),"Death Wave Cells Bonus")</f>
        <v>Death Wave Cells Bonus</v>
      </c>
      <c r="AD59" s="816" t="s">
        <v>374</v>
      </c>
      <c r="AE59" s="713">
        <v>20.0</v>
      </c>
      <c r="AF59" s="713"/>
      <c r="AG59" s="713">
        <v>20.0</v>
      </c>
      <c r="AH59" s="907" t="str">
        <f t="shared" si="18"/>
        <v/>
      </c>
      <c r="AI59" s="713"/>
      <c r="AJ59" s="713"/>
      <c r="AK59" s="713"/>
      <c r="AL59" s="713"/>
      <c r="AM59" s="713"/>
      <c r="AN59" s="713"/>
      <c r="AO59" s="713"/>
      <c r="AP59" s="713"/>
      <c r="AQ59" s="713"/>
      <c r="AR59" s="713"/>
      <c r="AS59" s="713"/>
      <c r="AT59" s="713"/>
      <c r="AU59" s="713"/>
      <c r="AV59" s="713"/>
      <c r="AW59" s="713"/>
      <c r="AX59" s="713"/>
      <c r="AY59" s="713"/>
      <c r="AZ59" s="713"/>
      <c r="BA59" s="713"/>
      <c r="BB59" s="713"/>
      <c r="BC59" s="713"/>
      <c r="BD59" s="713"/>
      <c r="BE59" s="713"/>
      <c r="BF59" s="713"/>
      <c r="BG59" s="713"/>
      <c r="BH59" s="713"/>
      <c r="BI59" s="713"/>
      <c r="BJ59" s="713"/>
      <c r="BK59" s="713"/>
      <c r="BL59" s="713"/>
      <c r="BM59" s="713"/>
      <c r="BN59" s="713"/>
      <c r="BO59" s="713"/>
      <c r="BP59" s="713"/>
      <c r="BQ59" s="713"/>
      <c r="BR59" s="713"/>
      <c r="BS59" s="713"/>
      <c r="BT59" s="713"/>
      <c r="BU59" s="713"/>
      <c r="BV59" s="713"/>
      <c r="BW59" s="713"/>
      <c r="BX59" s="713"/>
      <c r="BY59" s="713"/>
      <c r="BZ59" s="713"/>
      <c r="CA59" s="713"/>
      <c r="CB59" s="713"/>
      <c r="CC59" s="713"/>
      <c r="CD59" s="713"/>
      <c r="CE59" s="713"/>
      <c r="CF59" s="713"/>
      <c r="CG59" s="713"/>
      <c r="CH59" s="713"/>
      <c r="CI59" s="713"/>
      <c r="CJ59" s="713"/>
      <c r="CK59" s="713"/>
      <c r="CL59" s="713"/>
      <c r="CM59" s="713"/>
      <c r="CN59" s="713"/>
      <c r="CO59" s="713"/>
      <c r="CP59" s="713"/>
      <c r="CQ59" s="713"/>
      <c r="CR59" s="713"/>
      <c r="CS59" s="713"/>
      <c r="CT59" s="713"/>
      <c r="CU59" s="713"/>
      <c r="CV59" s="713"/>
      <c r="CW59" s="713"/>
      <c r="CX59" s="713"/>
      <c r="CY59" s="713"/>
      <c r="CZ59" s="713"/>
      <c r="DA59" s="713"/>
      <c r="DB59" s="713"/>
      <c r="DC59" s="713"/>
      <c r="DD59" s="713"/>
      <c r="DE59" s="713"/>
      <c r="DF59" s="713"/>
      <c r="DG59" s="713"/>
      <c r="DH59" s="713"/>
      <c r="DI59" s="713"/>
      <c r="DJ59" s="713"/>
      <c r="DK59" s="713"/>
      <c r="DL59" s="713"/>
      <c r="DM59" s="713"/>
      <c r="DN59" s="713"/>
      <c r="DO59" s="713"/>
      <c r="DP59" s="713"/>
      <c r="DQ59" s="713"/>
      <c r="DR59" s="713"/>
      <c r="DS59" s="713"/>
      <c r="DT59" s="713"/>
      <c r="DU59" s="713"/>
      <c r="DV59" s="713"/>
      <c r="DW59" s="713"/>
      <c r="DX59" s="713"/>
      <c r="DY59" s="713"/>
      <c r="DZ59" s="713"/>
      <c r="EA59" s="713"/>
      <c r="EB59" s="713"/>
      <c r="EC59" s="713"/>
      <c r="ED59" s="713"/>
      <c r="EE59" s="713"/>
      <c r="EF59" s="713"/>
      <c r="EG59" s="713"/>
      <c r="EH59" s="713"/>
      <c r="EI59" s="713"/>
      <c r="EJ59" s="713"/>
      <c r="EK59" s="713"/>
      <c r="EL59" s="713"/>
      <c r="EM59" s="713"/>
      <c r="EN59" s="713"/>
      <c r="EO59" s="713"/>
      <c r="EP59" s="713"/>
      <c r="EQ59" s="713"/>
      <c r="ER59" s="713"/>
      <c r="ES59" s="713"/>
      <c r="ET59" s="713"/>
      <c r="EU59" s="713"/>
      <c r="EV59" s="713"/>
      <c r="EW59" s="713"/>
      <c r="EX59" s="713"/>
      <c r="EY59" s="713"/>
      <c r="EZ59" s="713"/>
      <c r="FA59" s="713"/>
      <c r="FB59" s="713"/>
      <c r="FC59" s="713"/>
      <c r="FD59" s="713"/>
      <c r="FE59" s="713"/>
      <c r="FF59" s="713"/>
      <c r="FG59" s="713"/>
      <c r="FH59" s="713"/>
      <c r="FI59" s="713"/>
      <c r="FJ59" s="713"/>
      <c r="FK59" s="713"/>
      <c r="FL59" s="713"/>
      <c r="FM59" s="713"/>
      <c r="FN59" s="713"/>
      <c r="FO59" s="713"/>
      <c r="FP59" s="713"/>
      <c r="FQ59" s="713"/>
      <c r="FR59" s="713"/>
      <c r="FS59" s="713"/>
      <c r="FT59" s="713"/>
      <c r="FU59" s="713"/>
      <c r="FV59" s="713"/>
      <c r="FW59" s="713"/>
      <c r="FX59" s="713"/>
      <c r="FY59" s="713"/>
      <c r="FZ59" s="713"/>
      <c r="GA59" s="713"/>
      <c r="GB59" s="713"/>
      <c r="GC59" s="713"/>
      <c r="GD59" s="713"/>
      <c r="GE59" s="713"/>
      <c r="GF59" s="713"/>
      <c r="GG59" s="713"/>
      <c r="GH59" s="713"/>
      <c r="GI59" s="713"/>
      <c r="GJ59" s="713"/>
      <c r="GK59" s="713"/>
      <c r="GL59" s="713"/>
      <c r="GM59" s="713"/>
      <c r="GN59" s="713"/>
      <c r="GO59" s="713"/>
      <c r="GP59" s="713"/>
      <c r="GQ59" s="713"/>
      <c r="GR59" s="713"/>
      <c r="GS59" s="713"/>
      <c r="GT59" s="713"/>
      <c r="GU59" s="713"/>
      <c r="GV59" s="713"/>
      <c r="GW59" s="713"/>
      <c r="GX59" s="713"/>
      <c r="GY59" s="713"/>
      <c r="GZ59" s="713"/>
      <c r="HA59" s="713"/>
      <c r="HB59" s="713"/>
      <c r="HC59" s="713"/>
      <c r="HD59" s="713"/>
      <c r="HE59" s="713"/>
      <c r="HF59" s="713"/>
      <c r="HG59" s="713"/>
      <c r="HH59" s="713"/>
      <c r="HI59" s="713"/>
      <c r="HJ59" s="713"/>
      <c r="HK59" s="713"/>
      <c r="HL59" s="713"/>
      <c r="HM59" s="713"/>
      <c r="HN59" s="713"/>
      <c r="HO59" s="713"/>
      <c r="HP59" s="713"/>
      <c r="HQ59" s="713"/>
      <c r="HR59" s="713"/>
      <c r="HS59" s="713"/>
      <c r="HT59" s="713"/>
      <c r="HU59" s="713"/>
      <c r="HV59" s="713"/>
      <c r="HW59" s="713"/>
      <c r="HX59" s="713"/>
      <c r="HY59" s="713"/>
      <c r="HZ59" s="713"/>
      <c r="IA59" s="713"/>
      <c r="IB59" s="713"/>
      <c r="IC59" s="713"/>
      <c r="ID59" s="713"/>
      <c r="IE59" s="713"/>
      <c r="IF59" s="713"/>
      <c r="IG59" s="713"/>
      <c r="IH59" s="713"/>
    </row>
    <row r="60">
      <c r="A60" s="600"/>
      <c r="B60" s="951" t="s">
        <v>490</v>
      </c>
      <c r="C60" s="598"/>
      <c r="D60" s="952"/>
      <c r="E60" s="953"/>
      <c r="F60" s="598"/>
      <c r="G60" s="598"/>
      <c r="H60" s="598"/>
      <c r="I60" s="600"/>
      <c r="J60" s="954" t="s">
        <v>491</v>
      </c>
      <c r="K60" s="598"/>
      <c r="L60" s="955"/>
      <c r="M60" s="956"/>
      <c r="N60" s="598"/>
      <c r="O60" s="598"/>
      <c r="P60" s="598"/>
      <c r="Q60" s="600"/>
      <c r="R60" s="957" t="s">
        <v>492</v>
      </c>
      <c r="S60" s="598"/>
      <c r="T60" s="958"/>
      <c r="U60" s="959"/>
      <c r="V60" s="598"/>
      <c r="W60" s="598"/>
      <c r="X60" s="598"/>
      <c r="Y60" s="598"/>
      <c r="Z60" s="598"/>
      <c r="AA60" s="911"/>
      <c r="AB60" s="963" t="s">
        <v>497</v>
      </c>
      <c r="AC60" s="713" t="str">
        <f>IFERROR(__xludf.DUMMYFUNCTION("""COMPUTED_VALUE"""),"Death Wave Coin Bonus")</f>
        <v>Death Wave Coin Bonus</v>
      </c>
      <c r="AD60" s="816" t="s">
        <v>323</v>
      </c>
      <c r="AE60" s="713">
        <v>20.0</v>
      </c>
      <c r="AF60" s="713"/>
      <c r="AG60" s="713">
        <v>20.0</v>
      </c>
      <c r="AH60" s="907" t="str">
        <f t="shared" si="18"/>
        <v/>
      </c>
      <c r="AI60" s="713"/>
      <c r="AJ60" s="713"/>
      <c r="AK60" s="713"/>
      <c r="AL60" s="713"/>
      <c r="AM60" s="713"/>
      <c r="AN60" s="713"/>
      <c r="AO60" s="713"/>
      <c r="AP60" s="713"/>
      <c r="AQ60" s="713"/>
      <c r="AR60" s="713"/>
      <c r="AS60" s="713"/>
      <c r="AT60" s="713"/>
      <c r="AU60" s="713"/>
      <c r="AV60" s="713"/>
      <c r="AW60" s="713"/>
      <c r="AX60" s="713"/>
      <c r="AY60" s="713"/>
      <c r="AZ60" s="713"/>
      <c r="BA60" s="713"/>
      <c r="BB60" s="713"/>
      <c r="BC60" s="713"/>
      <c r="BD60" s="713"/>
      <c r="BE60" s="713"/>
      <c r="BF60" s="713"/>
      <c r="BG60" s="713"/>
      <c r="BH60" s="713"/>
      <c r="BI60" s="713"/>
      <c r="BJ60" s="713"/>
      <c r="BK60" s="713"/>
      <c r="BL60" s="713"/>
      <c r="BM60" s="713"/>
      <c r="BN60" s="713"/>
      <c r="BO60" s="713"/>
      <c r="BP60" s="713"/>
      <c r="BQ60" s="713"/>
      <c r="BR60" s="713"/>
      <c r="BS60" s="713"/>
      <c r="BT60" s="713"/>
      <c r="BU60" s="713"/>
      <c r="BV60" s="713"/>
      <c r="BW60" s="713"/>
      <c r="BX60" s="713"/>
      <c r="BY60" s="713"/>
      <c r="BZ60" s="713"/>
      <c r="CA60" s="713"/>
      <c r="CB60" s="713"/>
      <c r="CC60" s="713"/>
      <c r="CD60" s="713"/>
      <c r="CE60" s="713"/>
      <c r="CF60" s="713"/>
      <c r="CG60" s="713"/>
      <c r="CH60" s="713"/>
      <c r="CI60" s="713"/>
      <c r="CJ60" s="713"/>
      <c r="CK60" s="713"/>
      <c r="CL60" s="713"/>
      <c r="CM60" s="713"/>
      <c r="CN60" s="713"/>
      <c r="CO60" s="713"/>
      <c r="CP60" s="713"/>
      <c r="CQ60" s="713"/>
      <c r="CR60" s="713"/>
      <c r="CS60" s="713"/>
      <c r="CT60" s="713"/>
      <c r="CU60" s="713"/>
      <c r="CV60" s="713"/>
      <c r="CW60" s="713"/>
      <c r="CX60" s="713"/>
      <c r="CY60" s="713"/>
      <c r="CZ60" s="713"/>
      <c r="DA60" s="713"/>
      <c r="DB60" s="713"/>
      <c r="DC60" s="713"/>
      <c r="DD60" s="713"/>
      <c r="DE60" s="713"/>
      <c r="DF60" s="713"/>
      <c r="DG60" s="713"/>
      <c r="DH60" s="713"/>
      <c r="DI60" s="713"/>
      <c r="DJ60" s="713"/>
      <c r="DK60" s="713"/>
      <c r="DL60" s="713"/>
      <c r="DM60" s="713"/>
      <c r="DN60" s="713"/>
      <c r="DO60" s="713"/>
      <c r="DP60" s="713"/>
      <c r="DQ60" s="713"/>
      <c r="DR60" s="713"/>
      <c r="DS60" s="713"/>
      <c r="DT60" s="713"/>
      <c r="DU60" s="713"/>
      <c r="DV60" s="713"/>
      <c r="DW60" s="713"/>
      <c r="DX60" s="713"/>
      <c r="DY60" s="713"/>
      <c r="DZ60" s="713"/>
      <c r="EA60" s="713"/>
      <c r="EB60" s="713"/>
      <c r="EC60" s="713"/>
      <c r="ED60" s="713"/>
      <c r="EE60" s="713"/>
      <c r="EF60" s="713"/>
      <c r="EG60" s="713"/>
      <c r="EH60" s="713"/>
      <c r="EI60" s="713"/>
      <c r="EJ60" s="713"/>
      <c r="EK60" s="713"/>
      <c r="EL60" s="713"/>
      <c r="EM60" s="713"/>
      <c r="EN60" s="713"/>
      <c r="EO60" s="713"/>
      <c r="EP60" s="713"/>
      <c r="EQ60" s="713"/>
      <c r="ER60" s="713"/>
      <c r="ES60" s="713"/>
      <c r="ET60" s="713"/>
      <c r="EU60" s="713"/>
      <c r="EV60" s="713"/>
      <c r="EW60" s="713"/>
      <c r="EX60" s="713"/>
      <c r="EY60" s="713"/>
      <c r="EZ60" s="713"/>
      <c r="FA60" s="713"/>
      <c r="FB60" s="713"/>
      <c r="FC60" s="713"/>
      <c r="FD60" s="713"/>
      <c r="FE60" s="713"/>
      <c r="FF60" s="713"/>
      <c r="FG60" s="713"/>
      <c r="FH60" s="713"/>
      <c r="FI60" s="713"/>
      <c r="FJ60" s="713"/>
      <c r="FK60" s="713"/>
      <c r="FL60" s="713"/>
      <c r="FM60" s="713"/>
      <c r="FN60" s="713"/>
      <c r="FO60" s="713"/>
      <c r="FP60" s="713"/>
      <c r="FQ60" s="713"/>
      <c r="FR60" s="713"/>
      <c r="FS60" s="713"/>
      <c r="FT60" s="713"/>
      <c r="FU60" s="713"/>
      <c r="FV60" s="713"/>
      <c r="FW60" s="713"/>
      <c r="FX60" s="713"/>
      <c r="FY60" s="713"/>
      <c r="FZ60" s="713"/>
      <c r="GA60" s="713"/>
      <c r="GB60" s="713"/>
      <c r="GC60" s="713"/>
      <c r="GD60" s="713"/>
      <c r="GE60" s="713"/>
      <c r="GF60" s="713"/>
      <c r="GG60" s="713"/>
      <c r="GH60" s="713"/>
      <c r="GI60" s="713"/>
      <c r="GJ60" s="713"/>
      <c r="GK60" s="713"/>
      <c r="GL60" s="713"/>
      <c r="GM60" s="713"/>
      <c r="GN60" s="713"/>
      <c r="GO60" s="713"/>
      <c r="GP60" s="713"/>
      <c r="GQ60" s="713"/>
      <c r="GR60" s="713"/>
      <c r="GS60" s="713"/>
      <c r="GT60" s="713"/>
      <c r="GU60" s="713"/>
      <c r="GV60" s="713"/>
      <c r="GW60" s="713"/>
      <c r="GX60" s="713"/>
      <c r="GY60" s="713"/>
      <c r="GZ60" s="713"/>
      <c r="HA60" s="713"/>
      <c r="HB60" s="713"/>
      <c r="HC60" s="713"/>
      <c r="HD60" s="713"/>
      <c r="HE60" s="713"/>
      <c r="HF60" s="713"/>
      <c r="HG60" s="713"/>
      <c r="HH60" s="713"/>
      <c r="HI60" s="713"/>
      <c r="HJ60" s="713"/>
      <c r="HK60" s="713"/>
      <c r="HL60" s="713"/>
      <c r="HM60" s="713"/>
      <c r="HN60" s="713"/>
      <c r="HO60" s="713"/>
      <c r="HP60" s="713"/>
      <c r="HQ60" s="713"/>
      <c r="HR60" s="713"/>
      <c r="HS60" s="713"/>
      <c r="HT60" s="713"/>
      <c r="HU60" s="713"/>
      <c r="HV60" s="713"/>
      <c r="HW60" s="713"/>
      <c r="HX60" s="713"/>
      <c r="HY60" s="713"/>
      <c r="HZ60" s="713"/>
      <c r="IA60" s="713"/>
      <c r="IB60" s="713"/>
      <c r="IC60" s="713"/>
      <c r="ID60" s="713"/>
      <c r="IE60" s="713"/>
      <c r="IF60" s="713"/>
      <c r="IG60" s="713"/>
      <c r="IH60" s="713"/>
    </row>
    <row r="61">
      <c r="A61" s="600"/>
      <c r="B61" s="951" t="s">
        <v>490</v>
      </c>
      <c r="C61" s="598"/>
      <c r="D61" s="952"/>
      <c r="E61" s="953"/>
      <c r="F61" s="598"/>
      <c r="G61" s="598"/>
      <c r="H61" s="598"/>
      <c r="I61" s="600"/>
      <c r="J61" s="954" t="s">
        <v>491</v>
      </c>
      <c r="K61" s="598"/>
      <c r="L61" s="955"/>
      <c r="M61" s="956"/>
      <c r="N61" s="598"/>
      <c r="O61" s="598"/>
      <c r="P61" s="598"/>
      <c r="Q61" s="600"/>
      <c r="R61" s="957" t="s">
        <v>492</v>
      </c>
      <c r="S61" s="598"/>
      <c r="T61" s="958"/>
      <c r="U61" s="959"/>
      <c r="V61" s="598"/>
      <c r="W61" s="598"/>
      <c r="X61" s="598"/>
      <c r="Y61" s="598"/>
      <c r="Z61" s="598"/>
      <c r="AA61" s="911"/>
      <c r="AB61" s="964" t="s">
        <v>498</v>
      </c>
      <c r="AC61" s="713" t="str">
        <f>IFERROR(__xludf.DUMMYFUNCTION("""COMPUTED_VALUE"""),"Death Wave Damage Amplifier")</f>
        <v>Death Wave Damage Amplifier</v>
      </c>
      <c r="AD61" s="816" t="s">
        <v>376</v>
      </c>
      <c r="AE61" s="713">
        <v>2.0</v>
      </c>
      <c r="AF61" s="713"/>
      <c r="AG61" s="713">
        <v>30.0</v>
      </c>
      <c r="AH61" s="907" t="str">
        <f t="shared" si="18"/>
        <v/>
      </c>
      <c r="AI61" s="713"/>
      <c r="AJ61" s="713"/>
      <c r="AK61" s="713"/>
      <c r="AL61" s="713"/>
      <c r="AM61" s="713"/>
      <c r="AN61" s="713"/>
      <c r="AO61" s="713"/>
      <c r="AP61" s="713"/>
      <c r="AQ61" s="713"/>
      <c r="AR61" s="713"/>
      <c r="AS61" s="713"/>
      <c r="AT61" s="713"/>
      <c r="AU61" s="713"/>
      <c r="AV61" s="713"/>
      <c r="AW61" s="713"/>
      <c r="AX61" s="713"/>
      <c r="AY61" s="713"/>
      <c r="AZ61" s="713"/>
      <c r="BA61" s="713"/>
      <c r="BB61" s="713"/>
      <c r="BC61" s="713"/>
      <c r="BD61" s="713"/>
      <c r="BE61" s="713"/>
      <c r="BF61" s="713"/>
      <c r="BG61" s="713"/>
      <c r="BH61" s="713"/>
      <c r="BI61" s="713"/>
      <c r="BJ61" s="713"/>
      <c r="BK61" s="713"/>
      <c r="BL61" s="713"/>
      <c r="BM61" s="713"/>
      <c r="BN61" s="713"/>
      <c r="BO61" s="713"/>
      <c r="BP61" s="713"/>
      <c r="BQ61" s="713"/>
      <c r="BR61" s="713"/>
      <c r="BS61" s="713"/>
      <c r="BT61" s="713"/>
      <c r="BU61" s="713"/>
      <c r="BV61" s="713"/>
      <c r="BW61" s="713"/>
      <c r="BX61" s="713"/>
      <c r="BY61" s="713"/>
      <c r="BZ61" s="713"/>
      <c r="CA61" s="713"/>
      <c r="CB61" s="713"/>
      <c r="CC61" s="713"/>
      <c r="CD61" s="713"/>
      <c r="CE61" s="713"/>
      <c r="CF61" s="713"/>
      <c r="CG61" s="713"/>
      <c r="CH61" s="713"/>
      <c r="CI61" s="713"/>
      <c r="CJ61" s="713"/>
      <c r="CK61" s="713"/>
      <c r="CL61" s="713"/>
      <c r="CM61" s="713"/>
      <c r="CN61" s="713"/>
      <c r="CO61" s="713"/>
      <c r="CP61" s="713"/>
      <c r="CQ61" s="713"/>
      <c r="CR61" s="713"/>
      <c r="CS61" s="713"/>
      <c r="CT61" s="713"/>
      <c r="CU61" s="713"/>
      <c r="CV61" s="713"/>
      <c r="CW61" s="713"/>
      <c r="CX61" s="713"/>
      <c r="CY61" s="713"/>
      <c r="CZ61" s="713"/>
      <c r="DA61" s="713"/>
      <c r="DB61" s="713"/>
      <c r="DC61" s="713"/>
      <c r="DD61" s="713"/>
      <c r="DE61" s="713"/>
      <c r="DF61" s="713"/>
      <c r="DG61" s="713"/>
      <c r="DH61" s="713"/>
      <c r="DI61" s="713"/>
      <c r="DJ61" s="713"/>
      <c r="DK61" s="713"/>
      <c r="DL61" s="713"/>
      <c r="DM61" s="713"/>
      <c r="DN61" s="713"/>
      <c r="DO61" s="713"/>
      <c r="DP61" s="713"/>
      <c r="DQ61" s="713"/>
      <c r="DR61" s="713"/>
      <c r="DS61" s="713"/>
      <c r="DT61" s="713"/>
      <c r="DU61" s="713"/>
      <c r="DV61" s="713"/>
      <c r="DW61" s="713"/>
      <c r="DX61" s="713"/>
      <c r="DY61" s="713"/>
      <c r="DZ61" s="713"/>
      <c r="EA61" s="713"/>
      <c r="EB61" s="713"/>
      <c r="EC61" s="713"/>
      <c r="ED61" s="713"/>
      <c r="EE61" s="713"/>
      <c r="EF61" s="713"/>
      <c r="EG61" s="713"/>
      <c r="EH61" s="713"/>
      <c r="EI61" s="713"/>
      <c r="EJ61" s="713"/>
      <c r="EK61" s="713"/>
      <c r="EL61" s="713"/>
      <c r="EM61" s="713"/>
      <c r="EN61" s="713"/>
      <c r="EO61" s="713"/>
      <c r="EP61" s="713"/>
      <c r="EQ61" s="713"/>
      <c r="ER61" s="713"/>
      <c r="ES61" s="713"/>
      <c r="ET61" s="713"/>
      <c r="EU61" s="713"/>
      <c r="EV61" s="713"/>
      <c r="EW61" s="713"/>
      <c r="EX61" s="713"/>
      <c r="EY61" s="713"/>
      <c r="EZ61" s="713"/>
      <c r="FA61" s="713"/>
      <c r="FB61" s="713"/>
      <c r="FC61" s="713"/>
      <c r="FD61" s="713"/>
      <c r="FE61" s="713"/>
      <c r="FF61" s="713"/>
      <c r="FG61" s="713"/>
      <c r="FH61" s="713"/>
      <c r="FI61" s="713"/>
      <c r="FJ61" s="713"/>
      <c r="FK61" s="713"/>
      <c r="FL61" s="713"/>
      <c r="FM61" s="713"/>
      <c r="FN61" s="713"/>
      <c r="FO61" s="713"/>
      <c r="FP61" s="713"/>
      <c r="FQ61" s="713"/>
      <c r="FR61" s="713"/>
      <c r="FS61" s="713"/>
      <c r="FT61" s="713"/>
      <c r="FU61" s="713"/>
      <c r="FV61" s="713"/>
      <c r="FW61" s="713"/>
      <c r="FX61" s="713"/>
      <c r="FY61" s="713"/>
      <c r="FZ61" s="713"/>
      <c r="GA61" s="713"/>
      <c r="GB61" s="713"/>
      <c r="GC61" s="713"/>
      <c r="GD61" s="713"/>
      <c r="GE61" s="713"/>
      <c r="GF61" s="713"/>
      <c r="GG61" s="713"/>
      <c r="GH61" s="713"/>
      <c r="GI61" s="713"/>
      <c r="GJ61" s="713"/>
      <c r="GK61" s="713"/>
      <c r="GL61" s="713"/>
      <c r="GM61" s="713"/>
      <c r="GN61" s="713"/>
      <c r="GO61" s="713"/>
      <c r="GP61" s="713"/>
      <c r="GQ61" s="713"/>
      <c r="GR61" s="713"/>
      <c r="GS61" s="713"/>
      <c r="GT61" s="713"/>
      <c r="GU61" s="713"/>
      <c r="GV61" s="713"/>
      <c r="GW61" s="713"/>
      <c r="GX61" s="713"/>
      <c r="GY61" s="713"/>
      <c r="GZ61" s="713"/>
      <c r="HA61" s="713"/>
      <c r="HB61" s="713"/>
      <c r="HC61" s="713"/>
      <c r="HD61" s="713"/>
      <c r="HE61" s="713"/>
      <c r="HF61" s="713"/>
      <c r="HG61" s="713"/>
      <c r="HH61" s="713"/>
      <c r="HI61" s="713"/>
      <c r="HJ61" s="713"/>
      <c r="HK61" s="713"/>
      <c r="HL61" s="713"/>
      <c r="HM61" s="713"/>
      <c r="HN61" s="713"/>
      <c r="HO61" s="713"/>
      <c r="HP61" s="713"/>
      <c r="HQ61" s="713"/>
      <c r="HR61" s="713"/>
      <c r="HS61" s="713"/>
      <c r="HT61" s="713"/>
      <c r="HU61" s="713"/>
      <c r="HV61" s="713"/>
      <c r="HW61" s="713"/>
      <c r="HX61" s="713"/>
      <c r="HY61" s="713"/>
      <c r="HZ61" s="713"/>
      <c r="IA61" s="713"/>
      <c r="IB61" s="713"/>
      <c r="IC61" s="713"/>
      <c r="ID61" s="713"/>
      <c r="IE61" s="713"/>
      <c r="IF61" s="713"/>
      <c r="IG61" s="713"/>
      <c r="IH61" s="713"/>
    </row>
    <row r="62">
      <c r="A62" s="600"/>
      <c r="B62" s="951" t="s">
        <v>490</v>
      </c>
      <c r="C62" s="598"/>
      <c r="D62" s="952"/>
      <c r="E62" s="953"/>
      <c r="F62" s="598"/>
      <c r="G62" s="598"/>
      <c r="H62" s="598"/>
      <c r="I62" s="600"/>
      <c r="J62" s="954" t="s">
        <v>491</v>
      </c>
      <c r="K62" s="598"/>
      <c r="L62" s="955"/>
      <c r="M62" s="956"/>
      <c r="N62" s="598"/>
      <c r="O62" s="598"/>
      <c r="P62" s="598"/>
      <c r="Q62" s="600"/>
      <c r="R62" s="957" t="s">
        <v>492</v>
      </c>
      <c r="S62" s="598"/>
      <c r="T62" s="958"/>
      <c r="U62" s="959"/>
      <c r="V62" s="598"/>
      <c r="W62" s="598"/>
      <c r="X62" s="598"/>
      <c r="Y62" s="598"/>
      <c r="Z62" s="598"/>
      <c r="AA62" s="911"/>
      <c r="AB62" s="965" t="s">
        <v>499</v>
      </c>
      <c r="AC62" s="713" t="str">
        <f>IFERROR(__xludf.DUMMYFUNCTION("""COMPUTED_VALUE"""),"Death Wave Health")</f>
        <v>Death Wave Health</v>
      </c>
      <c r="AD62" s="816" t="s">
        <v>317</v>
      </c>
      <c r="AE62" s="713">
        <v>30.0</v>
      </c>
      <c r="AF62" s="713"/>
      <c r="AG62" s="713">
        <v>30.0</v>
      </c>
      <c r="AH62" s="907" t="str">
        <f t="shared" si="18"/>
        <v/>
      </c>
      <c r="AI62" s="713"/>
      <c r="AJ62" s="713"/>
      <c r="AK62" s="713"/>
      <c r="AL62" s="713"/>
      <c r="AM62" s="713"/>
      <c r="AN62" s="713"/>
      <c r="AO62" s="713"/>
      <c r="AP62" s="713"/>
      <c r="AQ62" s="713"/>
      <c r="AR62" s="713"/>
      <c r="AS62" s="713"/>
      <c r="AT62" s="713"/>
      <c r="AU62" s="713"/>
      <c r="AV62" s="713"/>
      <c r="AW62" s="713"/>
      <c r="AX62" s="713"/>
      <c r="AY62" s="713"/>
      <c r="AZ62" s="713"/>
      <c r="BA62" s="713"/>
      <c r="BB62" s="713"/>
      <c r="BC62" s="713"/>
      <c r="BD62" s="713"/>
      <c r="BE62" s="713"/>
      <c r="BF62" s="713"/>
      <c r="BG62" s="713"/>
      <c r="BH62" s="713"/>
      <c r="BI62" s="713"/>
      <c r="BJ62" s="713"/>
      <c r="BK62" s="713"/>
      <c r="BL62" s="713"/>
      <c r="BM62" s="713"/>
      <c r="BN62" s="713"/>
      <c r="BO62" s="713"/>
      <c r="BP62" s="713"/>
      <c r="BQ62" s="713"/>
      <c r="BR62" s="713"/>
      <c r="BS62" s="713"/>
      <c r="BT62" s="713"/>
      <c r="BU62" s="713"/>
      <c r="BV62" s="713"/>
      <c r="BW62" s="713"/>
      <c r="BX62" s="713"/>
      <c r="BY62" s="713"/>
      <c r="BZ62" s="713"/>
      <c r="CA62" s="713"/>
      <c r="CB62" s="713"/>
      <c r="CC62" s="713"/>
      <c r="CD62" s="713"/>
      <c r="CE62" s="713"/>
      <c r="CF62" s="713"/>
      <c r="CG62" s="713"/>
      <c r="CH62" s="713"/>
      <c r="CI62" s="713"/>
      <c r="CJ62" s="713"/>
      <c r="CK62" s="713"/>
      <c r="CL62" s="713"/>
      <c r="CM62" s="713"/>
      <c r="CN62" s="713"/>
      <c r="CO62" s="713"/>
      <c r="CP62" s="713"/>
      <c r="CQ62" s="713"/>
      <c r="CR62" s="713"/>
      <c r="CS62" s="713"/>
      <c r="CT62" s="713"/>
      <c r="CU62" s="713"/>
      <c r="CV62" s="713"/>
      <c r="CW62" s="713"/>
      <c r="CX62" s="713"/>
      <c r="CY62" s="713"/>
      <c r="CZ62" s="713"/>
      <c r="DA62" s="713"/>
      <c r="DB62" s="713"/>
      <c r="DC62" s="713"/>
      <c r="DD62" s="713"/>
      <c r="DE62" s="713"/>
      <c r="DF62" s="713"/>
      <c r="DG62" s="713"/>
      <c r="DH62" s="713"/>
      <c r="DI62" s="713"/>
      <c r="DJ62" s="713"/>
      <c r="DK62" s="713"/>
      <c r="DL62" s="713"/>
      <c r="DM62" s="713"/>
      <c r="DN62" s="713"/>
      <c r="DO62" s="713"/>
      <c r="DP62" s="713"/>
      <c r="DQ62" s="713"/>
      <c r="DR62" s="713"/>
      <c r="DS62" s="713"/>
      <c r="DT62" s="713"/>
      <c r="DU62" s="713"/>
      <c r="DV62" s="713"/>
      <c r="DW62" s="713"/>
      <c r="DX62" s="713"/>
      <c r="DY62" s="713"/>
      <c r="DZ62" s="713"/>
      <c r="EA62" s="713"/>
      <c r="EB62" s="713"/>
      <c r="EC62" s="713"/>
      <c r="ED62" s="713"/>
      <c r="EE62" s="713"/>
      <c r="EF62" s="713"/>
      <c r="EG62" s="713"/>
      <c r="EH62" s="713"/>
      <c r="EI62" s="713"/>
      <c r="EJ62" s="713"/>
      <c r="EK62" s="713"/>
      <c r="EL62" s="713"/>
      <c r="EM62" s="713"/>
      <c r="EN62" s="713"/>
      <c r="EO62" s="713"/>
      <c r="EP62" s="713"/>
      <c r="EQ62" s="713"/>
      <c r="ER62" s="713"/>
      <c r="ES62" s="713"/>
      <c r="ET62" s="713"/>
      <c r="EU62" s="713"/>
      <c r="EV62" s="713"/>
      <c r="EW62" s="713"/>
      <c r="EX62" s="713"/>
      <c r="EY62" s="713"/>
      <c r="EZ62" s="713"/>
      <c r="FA62" s="713"/>
      <c r="FB62" s="713"/>
      <c r="FC62" s="713"/>
      <c r="FD62" s="713"/>
      <c r="FE62" s="713"/>
      <c r="FF62" s="713"/>
      <c r="FG62" s="713"/>
      <c r="FH62" s="713"/>
      <c r="FI62" s="713"/>
      <c r="FJ62" s="713"/>
      <c r="FK62" s="713"/>
      <c r="FL62" s="713"/>
      <c r="FM62" s="713"/>
      <c r="FN62" s="713"/>
      <c r="FO62" s="713"/>
      <c r="FP62" s="713"/>
      <c r="FQ62" s="713"/>
      <c r="FR62" s="713"/>
      <c r="FS62" s="713"/>
      <c r="FT62" s="713"/>
      <c r="FU62" s="713"/>
      <c r="FV62" s="713"/>
      <c r="FW62" s="713"/>
      <c r="FX62" s="713"/>
      <c r="FY62" s="713"/>
      <c r="FZ62" s="713"/>
      <c r="GA62" s="713"/>
      <c r="GB62" s="713"/>
      <c r="GC62" s="713"/>
      <c r="GD62" s="713"/>
      <c r="GE62" s="713"/>
      <c r="GF62" s="713"/>
      <c r="GG62" s="713"/>
      <c r="GH62" s="713"/>
      <c r="GI62" s="713"/>
      <c r="GJ62" s="713"/>
      <c r="GK62" s="713"/>
      <c r="GL62" s="713"/>
      <c r="GM62" s="713"/>
      <c r="GN62" s="713"/>
      <c r="GO62" s="713"/>
      <c r="GP62" s="713"/>
      <c r="GQ62" s="713"/>
      <c r="GR62" s="713"/>
      <c r="GS62" s="713"/>
      <c r="GT62" s="713"/>
      <c r="GU62" s="713"/>
      <c r="GV62" s="713"/>
      <c r="GW62" s="713"/>
      <c r="GX62" s="713"/>
      <c r="GY62" s="713"/>
      <c r="GZ62" s="713"/>
      <c r="HA62" s="713"/>
      <c r="HB62" s="713"/>
      <c r="HC62" s="713"/>
      <c r="HD62" s="713"/>
      <c r="HE62" s="713"/>
      <c r="HF62" s="713"/>
      <c r="HG62" s="713"/>
      <c r="HH62" s="713"/>
      <c r="HI62" s="713"/>
      <c r="HJ62" s="713"/>
      <c r="HK62" s="713"/>
      <c r="HL62" s="713"/>
      <c r="HM62" s="713"/>
      <c r="HN62" s="713"/>
      <c r="HO62" s="713"/>
      <c r="HP62" s="713"/>
      <c r="HQ62" s="713"/>
      <c r="HR62" s="713"/>
      <c r="HS62" s="713"/>
      <c r="HT62" s="713"/>
      <c r="HU62" s="713"/>
      <c r="HV62" s="713"/>
      <c r="HW62" s="713"/>
      <c r="HX62" s="713"/>
      <c r="HY62" s="713"/>
      <c r="HZ62" s="713"/>
      <c r="IA62" s="713"/>
      <c r="IB62" s="713"/>
      <c r="IC62" s="713"/>
      <c r="ID62" s="713"/>
      <c r="IE62" s="713"/>
      <c r="IF62" s="713"/>
      <c r="IG62" s="713"/>
      <c r="IH62" s="713"/>
    </row>
    <row r="63">
      <c r="A63" s="600"/>
      <c r="B63" s="951" t="s">
        <v>490</v>
      </c>
      <c r="C63" s="598"/>
      <c r="D63" s="952"/>
      <c r="E63" s="953"/>
      <c r="F63" s="598"/>
      <c r="G63" s="598"/>
      <c r="H63" s="598"/>
      <c r="I63" s="600"/>
      <c r="J63" s="954" t="s">
        <v>491</v>
      </c>
      <c r="K63" s="598"/>
      <c r="L63" s="955"/>
      <c r="M63" s="956"/>
      <c r="N63" s="598"/>
      <c r="O63" s="598"/>
      <c r="P63" s="598"/>
      <c r="Q63" s="600"/>
      <c r="R63" s="957" t="s">
        <v>492</v>
      </c>
      <c r="S63" s="598"/>
      <c r="T63" s="958"/>
      <c r="U63" s="959"/>
      <c r="V63" s="598"/>
      <c r="W63" s="598"/>
      <c r="X63" s="598"/>
      <c r="Y63" s="598"/>
      <c r="Z63" s="598"/>
      <c r="AA63" s="911"/>
      <c r="AC63" s="713" t="str">
        <f>IFERROR(__xludf.DUMMYFUNCTION("""COMPUTED_VALUE"""),"Defense %")</f>
        <v>Defense %</v>
      </c>
      <c r="AD63" s="816" t="s">
        <v>197</v>
      </c>
      <c r="AE63" s="713">
        <v>28.0</v>
      </c>
      <c r="AF63" s="713">
        <v>28.0</v>
      </c>
      <c r="AG63" s="713">
        <v>50.0</v>
      </c>
      <c r="AH63" s="907" t="str">
        <f t="shared" si="18"/>
        <v/>
      </c>
      <c r="AI63" s="713"/>
      <c r="AJ63" s="713"/>
      <c r="AK63" s="713"/>
      <c r="AL63" s="713"/>
      <c r="AM63" s="713"/>
      <c r="AN63" s="713"/>
      <c r="AO63" s="713"/>
      <c r="AP63" s="713"/>
      <c r="AQ63" s="713"/>
      <c r="AR63" s="713"/>
      <c r="AS63" s="713"/>
      <c r="AT63" s="713"/>
      <c r="AU63" s="713"/>
      <c r="AV63" s="713"/>
      <c r="AW63" s="713"/>
      <c r="AX63" s="713"/>
      <c r="AY63" s="713"/>
      <c r="AZ63" s="713"/>
      <c r="BA63" s="713"/>
      <c r="BB63" s="713"/>
      <c r="BC63" s="713"/>
      <c r="BD63" s="713"/>
      <c r="BE63" s="713"/>
      <c r="BF63" s="713"/>
      <c r="BG63" s="713"/>
      <c r="BH63" s="713"/>
      <c r="BI63" s="713"/>
      <c r="BJ63" s="713"/>
      <c r="BK63" s="713"/>
      <c r="BL63" s="713"/>
      <c r="BM63" s="713"/>
      <c r="BN63" s="713"/>
      <c r="BO63" s="713"/>
      <c r="BP63" s="713"/>
      <c r="BQ63" s="713"/>
      <c r="BR63" s="713"/>
      <c r="BS63" s="713"/>
      <c r="BT63" s="713"/>
      <c r="BU63" s="713"/>
      <c r="BV63" s="713"/>
      <c r="BW63" s="713"/>
      <c r="BX63" s="713"/>
      <c r="BY63" s="713"/>
      <c r="BZ63" s="713"/>
      <c r="CA63" s="713"/>
      <c r="CB63" s="713"/>
      <c r="CC63" s="713"/>
      <c r="CD63" s="713"/>
      <c r="CE63" s="713"/>
      <c r="CF63" s="713"/>
      <c r="CG63" s="713"/>
      <c r="CH63" s="713"/>
      <c r="CI63" s="713"/>
      <c r="CJ63" s="713"/>
      <c r="CK63" s="713"/>
      <c r="CL63" s="713"/>
      <c r="CM63" s="713"/>
      <c r="CN63" s="713"/>
      <c r="CO63" s="713"/>
      <c r="CP63" s="713"/>
      <c r="CQ63" s="713"/>
      <c r="CR63" s="713"/>
      <c r="CS63" s="713"/>
      <c r="CT63" s="713"/>
      <c r="CU63" s="713"/>
      <c r="CV63" s="713"/>
      <c r="CW63" s="713"/>
      <c r="CX63" s="713"/>
      <c r="CY63" s="713"/>
      <c r="CZ63" s="713"/>
      <c r="DA63" s="713"/>
      <c r="DB63" s="713"/>
      <c r="DC63" s="713"/>
      <c r="DD63" s="713"/>
      <c r="DE63" s="713"/>
      <c r="DF63" s="713"/>
      <c r="DG63" s="713"/>
      <c r="DH63" s="713"/>
      <c r="DI63" s="713"/>
      <c r="DJ63" s="713"/>
      <c r="DK63" s="713"/>
      <c r="DL63" s="713"/>
      <c r="DM63" s="713"/>
      <c r="DN63" s="713"/>
      <c r="DO63" s="713"/>
      <c r="DP63" s="713"/>
      <c r="DQ63" s="713"/>
      <c r="DR63" s="713"/>
      <c r="DS63" s="713"/>
      <c r="DT63" s="713"/>
      <c r="DU63" s="713"/>
      <c r="DV63" s="713"/>
      <c r="DW63" s="713"/>
      <c r="DX63" s="713"/>
      <c r="DY63" s="713"/>
      <c r="DZ63" s="713"/>
      <c r="EA63" s="713"/>
      <c r="EB63" s="713"/>
      <c r="EC63" s="713"/>
      <c r="ED63" s="713"/>
      <c r="EE63" s="713"/>
      <c r="EF63" s="713"/>
      <c r="EG63" s="713"/>
      <c r="EH63" s="713"/>
      <c r="EI63" s="713"/>
      <c r="EJ63" s="713"/>
      <c r="EK63" s="713"/>
      <c r="EL63" s="713"/>
      <c r="EM63" s="713"/>
      <c r="EN63" s="713"/>
      <c r="EO63" s="713"/>
      <c r="EP63" s="713"/>
      <c r="EQ63" s="713"/>
      <c r="ER63" s="713"/>
      <c r="ES63" s="713"/>
      <c r="ET63" s="713"/>
      <c r="EU63" s="713"/>
      <c r="EV63" s="713"/>
      <c r="EW63" s="713"/>
      <c r="EX63" s="713"/>
      <c r="EY63" s="713"/>
      <c r="EZ63" s="713"/>
      <c r="FA63" s="713"/>
      <c r="FB63" s="713"/>
      <c r="FC63" s="713"/>
      <c r="FD63" s="713"/>
      <c r="FE63" s="713"/>
      <c r="FF63" s="713"/>
      <c r="FG63" s="713"/>
      <c r="FH63" s="713"/>
      <c r="FI63" s="713"/>
      <c r="FJ63" s="713"/>
      <c r="FK63" s="713"/>
      <c r="FL63" s="713"/>
      <c r="FM63" s="713"/>
      <c r="FN63" s="713"/>
      <c r="FO63" s="713"/>
      <c r="FP63" s="713"/>
      <c r="FQ63" s="713"/>
      <c r="FR63" s="713"/>
      <c r="FS63" s="713"/>
      <c r="FT63" s="713"/>
      <c r="FU63" s="713"/>
      <c r="FV63" s="713"/>
      <c r="FW63" s="713"/>
      <c r="FX63" s="713"/>
      <c r="FY63" s="713"/>
      <c r="FZ63" s="713"/>
      <c r="GA63" s="713"/>
      <c r="GB63" s="713"/>
      <c r="GC63" s="713"/>
      <c r="GD63" s="713"/>
      <c r="GE63" s="713"/>
      <c r="GF63" s="713"/>
      <c r="GG63" s="713"/>
      <c r="GH63" s="713"/>
      <c r="GI63" s="713"/>
      <c r="GJ63" s="713"/>
      <c r="GK63" s="713"/>
      <c r="GL63" s="713"/>
      <c r="GM63" s="713"/>
      <c r="GN63" s="713"/>
      <c r="GO63" s="713"/>
      <c r="GP63" s="713"/>
      <c r="GQ63" s="713"/>
      <c r="GR63" s="713"/>
      <c r="GS63" s="713"/>
      <c r="GT63" s="713"/>
      <c r="GU63" s="713"/>
      <c r="GV63" s="713"/>
      <c r="GW63" s="713"/>
      <c r="GX63" s="713"/>
      <c r="GY63" s="713"/>
      <c r="GZ63" s="713"/>
      <c r="HA63" s="713"/>
      <c r="HB63" s="713"/>
      <c r="HC63" s="713"/>
      <c r="HD63" s="713"/>
      <c r="HE63" s="713"/>
      <c r="HF63" s="713"/>
      <c r="HG63" s="713"/>
      <c r="HH63" s="713"/>
      <c r="HI63" s="713"/>
      <c r="HJ63" s="713"/>
      <c r="HK63" s="713"/>
      <c r="HL63" s="713"/>
      <c r="HM63" s="713"/>
      <c r="HN63" s="713"/>
      <c r="HO63" s="713"/>
      <c r="HP63" s="713"/>
      <c r="HQ63" s="713"/>
      <c r="HR63" s="713"/>
      <c r="HS63" s="713"/>
      <c r="HT63" s="713"/>
      <c r="HU63" s="713"/>
      <c r="HV63" s="713"/>
      <c r="HW63" s="713"/>
      <c r="HX63" s="713"/>
      <c r="HY63" s="713"/>
      <c r="HZ63" s="713"/>
      <c r="IA63" s="713"/>
      <c r="IB63" s="713"/>
      <c r="IC63" s="713"/>
      <c r="ID63" s="713"/>
      <c r="IE63" s="713"/>
      <c r="IF63" s="713"/>
      <c r="IG63" s="713"/>
      <c r="IH63" s="713"/>
    </row>
    <row r="64">
      <c r="A64" s="600"/>
      <c r="B64" s="951" t="s">
        <v>490</v>
      </c>
      <c r="C64" s="598"/>
      <c r="D64" s="952"/>
      <c r="E64" s="953"/>
      <c r="F64" s="598"/>
      <c r="G64" s="598"/>
      <c r="H64" s="598"/>
      <c r="I64" s="600"/>
      <c r="J64" s="954" t="s">
        <v>491</v>
      </c>
      <c r="K64" s="598"/>
      <c r="L64" s="955"/>
      <c r="M64" s="956"/>
      <c r="N64" s="598"/>
      <c r="O64" s="598"/>
      <c r="P64" s="598"/>
      <c r="Q64" s="600"/>
      <c r="R64" s="957" t="s">
        <v>492</v>
      </c>
      <c r="S64" s="598"/>
      <c r="T64" s="958"/>
      <c r="U64" s="959"/>
      <c r="V64" s="598"/>
      <c r="W64" s="598"/>
      <c r="X64" s="598"/>
      <c r="Y64" s="598"/>
      <c r="Z64" s="598"/>
      <c r="AA64" s="911"/>
      <c r="AB64" s="966"/>
      <c r="AC64" s="713" t="str">
        <f>IFERROR(__xludf.DUMMYFUNCTION("""COMPUTED_VALUE"""),"Defense Absolute")</f>
        <v>Defense Absolute</v>
      </c>
      <c r="AD64" s="816" t="s">
        <v>182</v>
      </c>
      <c r="AE64" s="713">
        <v>14.0</v>
      </c>
      <c r="AF64" s="713">
        <v>14.0</v>
      </c>
      <c r="AG64" s="713">
        <v>100.0</v>
      </c>
      <c r="AH64" s="967">
        <f>IFERROR(__xludf.DUMMYFUNCTION("IFERROR(IF(K5 = """", SEQUENCE(1, VALUE(VLOOKUP(M5, AD:AG, 4, false)) - VALUE(VLOOKUP(M5, AD:AG, 2, false)), VALUE(VLOOKUP(M5, AD:AG, 2, false)) + 1),
    IF(ISBETWEEN(K5, VALUE(VLOOKUP(M5, AD:AG, 2, false)), VALUE(VLOOKUP(M5, AD:AG, 4, false))),
        "&amp;"SEQUENCE(1, VALUE(VLOOKUP(M5, AD:AG, 4, false)) - K5, K5 + 1),
        """")))"),22.0)</f>
        <v>22</v>
      </c>
      <c r="AI64" s="713">
        <f>IFERROR(__xludf.DUMMYFUNCTION("""COMPUTED_VALUE"""),23.0)</f>
        <v>23</v>
      </c>
      <c r="AJ64" s="713">
        <f>IFERROR(__xludf.DUMMYFUNCTION("""COMPUTED_VALUE"""),24.0)</f>
        <v>24</v>
      </c>
      <c r="AK64" s="713">
        <f>IFERROR(__xludf.DUMMYFUNCTION("""COMPUTED_VALUE"""),25.0)</f>
        <v>25</v>
      </c>
      <c r="AL64" s="713"/>
      <c r="AM64" s="713"/>
      <c r="AN64" s="713"/>
      <c r="AO64" s="713"/>
      <c r="AP64" s="713"/>
      <c r="AQ64" s="713"/>
      <c r="AR64" s="713"/>
      <c r="AS64" s="713"/>
      <c r="AT64" s="713"/>
      <c r="AU64" s="713"/>
      <c r="AV64" s="713"/>
      <c r="AW64" s="713"/>
      <c r="AX64" s="713"/>
      <c r="AY64" s="713"/>
      <c r="AZ64" s="713"/>
      <c r="BA64" s="713"/>
      <c r="BB64" s="713"/>
      <c r="BC64" s="713"/>
      <c r="BD64" s="713"/>
      <c r="BE64" s="713"/>
      <c r="BF64" s="713"/>
      <c r="BG64" s="713"/>
      <c r="BH64" s="713"/>
      <c r="BI64" s="713"/>
      <c r="BJ64" s="713"/>
      <c r="BK64" s="713"/>
      <c r="BL64" s="713"/>
      <c r="BM64" s="713"/>
      <c r="BN64" s="713"/>
      <c r="BO64" s="713"/>
      <c r="BP64" s="713"/>
      <c r="BQ64" s="713"/>
      <c r="BR64" s="713"/>
      <c r="BS64" s="713"/>
      <c r="BT64" s="713"/>
      <c r="BU64" s="713"/>
      <c r="BV64" s="713"/>
      <c r="BW64" s="713"/>
      <c r="BX64" s="713"/>
      <c r="BY64" s="713"/>
      <c r="BZ64" s="713"/>
      <c r="CA64" s="713"/>
      <c r="CB64" s="713"/>
      <c r="CC64" s="713"/>
      <c r="CD64" s="713"/>
      <c r="CE64" s="713"/>
      <c r="CF64" s="713"/>
      <c r="CG64" s="713"/>
      <c r="CH64" s="713"/>
      <c r="CI64" s="713"/>
      <c r="CJ64" s="713"/>
      <c r="CK64" s="713"/>
      <c r="CL64" s="713"/>
      <c r="CM64" s="713"/>
      <c r="CN64" s="713"/>
      <c r="CO64" s="713"/>
      <c r="CP64" s="713"/>
      <c r="CQ64" s="713"/>
      <c r="CR64" s="713"/>
      <c r="CS64" s="713"/>
      <c r="CT64" s="713"/>
      <c r="CU64" s="713"/>
      <c r="CV64" s="713"/>
      <c r="CW64" s="713"/>
      <c r="CX64" s="713"/>
      <c r="CY64" s="713"/>
      <c r="CZ64" s="713"/>
      <c r="DA64" s="713"/>
      <c r="DB64" s="713"/>
      <c r="DC64" s="713"/>
      <c r="DD64" s="713"/>
      <c r="DE64" s="713"/>
      <c r="DF64" s="713"/>
      <c r="DG64" s="713"/>
      <c r="DH64" s="713"/>
      <c r="DI64" s="713"/>
      <c r="DJ64" s="713"/>
      <c r="DK64" s="713"/>
      <c r="DL64" s="713"/>
      <c r="DM64" s="713"/>
      <c r="DN64" s="713"/>
      <c r="DO64" s="713"/>
      <c r="DP64" s="713"/>
      <c r="DQ64" s="713"/>
      <c r="DR64" s="713"/>
      <c r="DS64" s="713"/>
      <c r="DT64" s="713"/>
      <c r="DU64" s="713"/>
      <c r="DV64" s="713"/>
      <c r="DW64" s="713"/>
      <c r="DX64" s="713"/>
      <c r="DY64" s="713"/>
      <c r="DZ64" s="713"/>
      <c r="EA64" s="713"/>
      <c r="EB64" s="713"/>
      <c r="EC64" s="713"/>
      <c r="ED64" s="713"/>
      <c r="EE64" s="713"/>
      <c r="EF64" s="713"/>
      <c r="EG64" s="713"/>
      <c r="EH64" s="713"/>
      <c r="EI64" s="713"/>
      <c r="EJ64" s="713"/>
      <c r="EK64" s="713"/>
      <c r="EL64" s="713"/>
      <c r="EM64" s="713"/>
      <c r="EN64" s="713"/>
      <c r="EO64" s="713"/>
      <c r="EP64" s="713"/>
      <c r="EQ64" s="713"/>
      <c r="ER64" s="713"/>
      <c r="ES64" s="713"/>
      <c r="ET64" s="713"/>
      <c r="EU64" s="713"/>
      <c r="EV64" s="713"/>
      <c r="EW64" s="713"/>
      <c r="EX64" s="713"/>
      <c r="EY64" s="713"/>
      <c r="EZ64" s="713"/>
      <c r="FA64" s="713"/>
      <c r="FB64" s="713"/>
      <c r="FC64" s="713"/>
      <c r="FD64" s="713"/>
      <c r="FE64" s="713"/>
      <c r="FF64" s="713"/>
      <c r="FG64" s="713"/>
      <c r="FH64" s="713"/>
      <c r="FI64" s="713"/>
      <c r="FJ64" s="713"/>
      <c r="FK64" s="713"/>
      <c r="FL64" s="713"/>
      <c r="FM64" s="713"/>
      <c r="FN64" s="713"/>
      <c r="FO64" s="713"/>
      <c r="FP64" s="713"/>
      <c r="FQ64" s="713"/>
      <c r="FR64" s="713"/>
      <c r="FS64" s="713"/>
      <c r="FT64" s="713"/>
      <c r="FU64" s="713"/>
      <c r="FV64" s="713"/>
      <c r="FW64" s="713"/>
      <c r="FX64" s="713"/>
      <c r="FY64" s="713"/>
      <c r="FZ64" s="713"/>
      <c r="GA64" s="713"/>
      <c r="GB64" s="713"/>
      <c r="GC64" s="713"/>
      <c r="GD64" s="713"/>
      <c r="GE64" s="713"/>
      <c r="GF64" s="713"/>
      <c r="GG64" s="713"/>
      <c r="GH64" s="713"/>
      <c r="GI64" s="713"/>
      <c r="GJ64" s="713"/>
      <c r="GK64" s="713"/>
      <c r="GL64" s="713"/>
      <c r="GM64" s="713"/>
      <c r="GN64" s="713"/>
      <c r="GO64" s="713"/>
      <c r="GP64" s="713"/>
      <c r="GQ64" s="713"/>
      <c r="GR64" s="713"/>
      <c r="GS64" s="713"/>
      <c r="GT64" s="713"/>
      <c r="GU64" s="713"/>
      <c r="GV64" s="713"/>
      <c r="GW64" s="713"/>
      <c r="GX64" s="713"/>
      <c r="GY64" s="713"/>
      <c r="GZ64" s="713"/>
      <c r="HA64" s="713"/>
      <c r="HB64" s="713"/>
      <c r="HC64" s="713"/>
      <c r="HD64" s="713"/>
      <c r="HE64" s="713"/>
      <c r="HF64" s="713"/>
      <c r="HG64" s="713"/>
      <c r="HH64" s="713"/>
      <c r="HI64" s="713"/>
      <c r="HJ64" s="713"/>
      <c r="HK64" s="713"/>
      <c r="HL64" s="713"/>
      <c r="HM64" s="713"/>
      <c r="HN64" s="713"/>
      <c r="HO64" s="713"/>
      <c r="HP64" s="713"/>
      <c r="HQ64" s="713"/>
      <c r="HR64" s="713"/>
      <c r="HS64" s="713"/>
      <c r="HT64" s="713"/>
      <c r="HU64" s="713"/>
      <c r="HV64" s="713"/>
      <c r="HW64" s="713"/>
      <c r="HX64" s="713"/>
      <c r="HY64" s="713"/>
      <c r="HZ64" s="713"/>
      <c r="IA64" s="713"/>
      <c r="IB64" s="713"/>
      <c r="IC64" s="713"/>
      <c r="ID64" s="713"/>
      <c r="IE64" s="713"/>
      <c r="IF64" s="713"/>
      <c r="IG64" s="713"/>
      <c r="IH64" s="713"/>
    </row>
    <row r="65">
      <c r="A65" s="600"/>
      <c r="B65" s="951" t="s">
        <v>490</v>
      </c>
      <c r="C65" s="598"/>
      <c r="D65" s="952"/>
      <c r="E65" s="953"/>
      <c r="F65" s="598"/>
      <c r="G65" s="598"/>
      <c r="H65" s="598"/>
      <c r="I65" s="600"/>
      <c r="J65" s="954" t="s">
        <v>491</v>
      </c>
      <c r="K65" s="598"/>
      <c r="L65" s="955"/>
      <c r="M65" s="956"/>
      <c r="N65" s="598"/>
      <c r="O65" s="598"/>
      <c r="P65" s="598"/>
      <c r="Q65" s="600"/>
      <c r="R65" s="957" t="s">
        <v>492</v>
      </c>
      <c r="S65" s="598"/>
      <c r="T65" s="958"/>
      <c r="U65" s="959"/>
      <c r="V65" s="598"/>
      <c r="W65" s="598"/>
      <c r="X65" s="598"/>
      <c r="Y65" s="598"/>
      <c r="Z65" s="598"/>
      <c r="AA65" s="911"/>
      <c r="AB65" s="966"/>
      <c r="AC65" s="713" t="str">
        <f>IFERROR(__xludf.DUMMYFUNCTION("""COMPUTED_VALUE"""),"Demon Mode Mastery")</f>
        <v>Demon Mode Mastery</v>
      </c>
      <c r="AD65" s="825" t="s">
        <v>371</v>
      </c>
      <c r="AE65" s="713">
        <v>0.0</v>
      </c>
      <c r="AF65" s="713"/>
      <c r="AG65" s="713">
        <v>9.0</v>
      </c>
      <c r="AH65" s="967" t="str">
        <f>IFERROR(__xludf.DUMMYFUNCTION("IFERROR(IF(K6 = """", SEQUENCE(1, VALUE(VLOOKUP(M6, AD:AG, 4, false)) - VALUE(VLOOKUP(M6, AD:AG, 2, false)), VALUE(VLOOKUP(M6, AD:AG, 2, false)) + 1),
    IF(ISBETWEEN(K6, VALUE(VLOOKUP(M6, AD:AG, 2, false)), VALUE(VLOOKUP(M6, AD:AG, 4, false))),
        "&amp;"SEQUENCE(1, VALUE(VLOOKUP(M6, AD:AG, 4, false)) - K6, K6 + 1),
        """")))"),"")</f>
        <v/>
      </c>
      <c r="AI65" s="713"/>
      <c r="AJ65" s="713"/>
      <c r="AK65" s="713"/>
      <c r="AL65" s="713"/>
      <c r="AM65" s="713"/>
      <c r="AN65" s="713"/>
      <c r="AO65" s="713"/>
      <c r="AP65" s="713"/>
      <c r="AQ65" s="713"/>
      <c r="AR65" s="713"/>
      <c r="AS65" s="713"/>
      <c r="AT65" s="713"/>
      <c r="AU65" s="713"/>
      <c r="AV65" s="713"/>
      <c r="AW65" s="713"/>
      <c r="AX65" s="713"/>
      <c r="AY65" s="713"/>
      <c r="AZ65" s="713"/>
      <c r="BA65" s="713"/>
      <c r="BB65" s="713"/>
      <c r="BC65" s="713"/>
      <c r="BD65" s="713"/>
      <c r="BE65" s="713"/>
      <c r="BF65" s="713"/>
      <c r="BG65" s="713"/>
      <c r="BH65" s="713"/>
      <c r="BI65" s="713"/>
      <c r="BJ65" s="713"/>
      <c r="BK65" s="713"/>
      <c r="BL65" s="713"/>
      <c r="BM65" s="713"/>
      <c r="BN65" s="713"/>
      <c r="BO65" s="713"/>
      <c r="BP65" s="713"/>
      <c r="BQ65" s="713"/>
      <c r="BR65" s="713"/>
      <c r="BS65" s="713"/>
      <c r="BT65" s="713"/>
      <c r="BU65" s="713"/>
      <c r="BV65" s="713"/>
      <c r="BW65" s="713"/>
      <c r="BX65" s="713"/>
      <c r="BY65" s="713"/>
      <c r="BZ65" s="713"/>
      <c r="CA65" s="713"/>
      <c r="CB65" s="713"/>
      <c r="CC65" s="713"/>
      <c r="CD65" s="713"/>
      <c r="CE65" s="713"/>
      <c r="CF65" s="713"/>
      <c r="CG65" s="713"/>
      <c r="CH65" s="713"/>
      <c r="CI65" s="713"/>
      <c r="CJ65" s="713"/>
      <c r="CK65" s="713"/>
      <c r="CL65" s="713"/>
      <c r="CM65" s="713"/>
      <c r="CN65" s="713"/>
      <c r="CO65" s="713"/>
      <c r="CP65" s="713"/>
      <c r="CQ65" s="713"/>
      <c r="CR65" s="713"/>
      <c r="CS65" s="713"/>
      <c r="CT65" s="713"/>
      <c r="CU65" s="713"/>
      <c r="CV65" s="713"/>
      <c r="CW65" s="713"/>
      <c r="CX65" s="713"/>
      <c r="CY65" s="713"/>
      <c r="CZ65" s="713"/>
      <c r="DA65" s="713"/>
      <c r="DB65" s="713"/>
      <c r="DC65" s="713"/>
      <c r="DD65" s="713"/>
      <c r="DE65" s="713"/>
      <c r="DF65" s="713"/>
      <c r="DG65" s="713"/>
      <c r="DH65" s="713"/>
      <c r="DI65" s="713"/>
      <c r="DJ65" s="713"/>
      <c r="DK65" s="713"/>
      <c r="DL65" s="713"/>
      <c r="DM65" s="713"/>
      <c r="DN65" s="713"/>
      <c r="DO65" s="713"/>
      <c r="DP65" s="713"/>
      <c r="DQ65" s="713"/>
      <c r="DR65" s="713"/>
      <c r="DS65" s="713"/>
      <c r="DT65" s="713"/>
      <c r="DU65" s="713"/>
      <c r="DV65" s="713"/>
      <c r="DW65" s="713"/>
      <c r="DX65" s="713"/>
      <c r="DY65" s="713"/>
      <c r="DZ65" s="713"/>
      <c r="EA65" s="713"/>
      <c r="EB65" s="713"/>
      <c r="EC65" s="713"/>
      <c r="ED65" s="713"/>
      <c r="EE65" s="713"/>
      <c r="EF65" s="713"/>
      <c r="EG65" s="713"/>
      <c r="EH65" s="713"/>
      <c r="EI65" s="713"/>
      <c r="EJ65" s="713"/>
      <c r="EK65" s="713"/>
      <c r="EL65" s="713"/>
      <c r="EM65" s="713"/>
      <c r="EN65" s="713"/>
      <c r="EO65" s="713"/>
      <c r="EP65" s="713"/>
      <c r="EQ65" s="713"/>
      <c r="ER65" s="713"/>
      <c r="ES65" s="713"/>
      <c r="ET65" s="713"/>
      <c r="EU65" s="713"/>
      <c r="EV65" s="713"/>
      <c r="EW65" s="713"/>
      <c r="EX65" s="713"/>
      <c r="EY65" s="713"/>
      <c r="EZ65" s="713"/>
      <c r="FA65" s="713"/>
      <c r="FB65" s="713"/>
      <c r="FC65" s="713"/>
      <c r="FD65" s="713"/>
      <c r="FE65" s="713"/>
      <c r="FF65" s="713"/>
      <c r="FG65" s="713"/>
      <c r="FH65" s="713"/>
      <c r="FI65" s="713"/>
      <c r="FJ65" s="713"/>
      <c r="FK65" s="713"/>
      <c r="FL65" s="713"/>
      <c r="FM65" s="713"/>
      <c r="FN65" s="713"/>
      <c r="FO65" s="713"/>
      <c r="FP65" s="713"/>
      <c r="FQ65" s="713"/>
      <c r="FR65" s="713"/>
      <c r="FS65" s="713"/>
      <c r="FT65" s="713"/>
      <c r="FU65" s="713"/>
      <c r="FV65" s="713"/>
      <c r="FW65" s="713"/>
      <c r="FX65" s="713"/>
      <c r="FY65" s="713"/>
      <c r="FZ65" s="713"/>
      <c r="GA65" s="713"/>
      <c r="GB65" s="713"/>
      <c r="GC65" s="713"/>
      <c r="GD65" s="713"/>
      <c r="GE65" s="713"/>
      <c r="GF65" s="713"/>
      <c r="GG65" s="713"/>
      <c r="GH65" s="713"/>
      <c r="GI65" s="713"/>
      <c r="GJ65" s="713"/>
      <c r="GK65" s="713"/>
      <c r="GL65" s="713"/>
      <c r="GM65" s="713"/>
      <c r="GN65" s="713"/>
      <c r="GO65" s="713"/>
      <c r="GP65" s="713"/>
      <c r="GQ65" s="713"/>
      <c r="GR65" s="713"/>
      <c r="GS65" s="713"/>
      <c r="GT65" s="713"/>
      <c r="GU65" s="713"/>
      <c r="GV65" s="713"/>
      <c r="GW65" s="713"/>
      <c r="GX65" s="713"/>
      <c r="GY65" s="713"/>
      <c r="GZ65" s="713"/>
      <c r="HA65" s="713"/>
      <c r="HB65" s="713"/>
      <c r="HC65" s="713"/>
      <c r="HD65" s="713"/>
      <c r="HE65" s="713"/>
      <c r="HF65" s="713"/>
      <c r="HG65" s="713"/>
      <c r="HH65" s="713"/>
      <c r="HI65" s="713"/>
      <c r="HJ65" s="713"/>
      <c r="HK65" s="713"/>
      <c r="HL65" s="713"/>
      <c r="HM65" s="713"/>
      <c r="HN65" s="713"/>
      <c r="HO65" s="713"/>
      <c r="HP65" s="713"/>
      <c r="HQ65" s="713"/>
      <c r="HR65" s="713"/>
      <c r="HS65" s="713"/>
      <c r="HT65" s="713"/>
      <c r="HU65" s="713"/>
      <c r="HV65" s="713"/>
      <c r="HW65" s="713"/>
      <c r="HX65" s="713"/>
      <c r="HY65" s="713"/>
      <c r="HZ65" s="713"/>
      <c r="IA65" s="713"/>
      <c r="IB65" s="713"/>
      <c r="IC65" s="713"/>
      <c r="ID65" s="713"/>
      <c r="IE65" s="713"/>
      <c r="IF65" s="713"/>
      <c r="IG65" s="713"/>
      <c r="IH65" s="713"/>
    </row>
    <row r="66">
      <c r="A66" s="600"/>
      <c r="B66" s="951" t="s">
        <v>490</v>
      </c>
      <c r="C66" s="598"/>
      <c r="D66" s="952"/>
      <c r="E66" s="953"/>
      <c r="F66" s="598"/>
      <c r="G66" s="598"/>
      <c r="H66" s="598"/>
      <c r="I66" s="600"/>
      <c r="J66" s="954" t="s">
        <v>491</v>
      </c>
      <c r="K66" s="598"/>
      <c r="L66" s="955"/>
      <c r="M66" s="956"/>
      <c r="N66" s="598"/>
      <c r="O66" s="598"/>
      <c r="P66" s="598"/>
      <c r="Q66" s="600"/>
      <c r="R66" s="957" t="s">
        <v>492</v>
      </c>
      <c r="S66" s="598"/>
      <c r="T66" s="958"/>
      <c r="U66" s="959"/>
      <c r="V66" s="598"/>
      <c r="W66" s="598"/>
      <c r="X66" s="598"/>
      <c r="Y66" s="598"/>
      <c r="Z66" s="598"/>
      <c r="AA66" s="911"/>
      <c r="AB66" s="966"/>
      <c r="AC66" s="713" t="str">
        <f>IFERROR(__xludf.DUMMYFUNCTION("""COMPUTED_VALUE"""),"Double Death Ray")</f>
        <v>Double Death Ray</v>
      </c>
      <c r="AD66" s="816" t="s">
        <v>174</v>
      </c>
      <c r="AE66" s="713">
        <v>6.0</v>
      </c>
      <c r="AF66" s="713"/>
      <c r="AG66" s="713">
        <v>30.0</v>
      </c>
      <c r="AH66" s="967" t="str">
        <f>IFERROR(__xludf.DUMMYFUNCTION("IFERROR(IF(K7 = """", SEQUENCE(1, VALUE(VLOOKUP(M7, AD:AG, 4, false)) - VALUE(VLOOKUP(M7, AD:AG, 2, false)), VALUE(VLOOKUP(M7, AD:AG, 2, false)) + 1),
    IF(ISBETWEEN(K7, VALUE(VLOOKUP(M7, AD:AG, 2, false)), VALUE(VLOOKUP(M7, AD:AG, 4, false))),
        "&amp;"SEQUENCE(1, VALUE(VLOOKUP(M7, AD:AG, 4, false)) - K7, K7 + 1),
        """")))"),"")</f>
        <v/>
      </c>
      <c r="AI66" s="713"/>
      <c r="AJ66" s="713"/>
      <c r="AK66" s="713"/>
      <c r="AL66" s="713"/>
      <c r="AM66" s="713"/>
      <c r="AN66" s="713"/>
      <c r="AO66" s="713"/>
      <c r="AP66" s="713"/>
      <c r="AQ66" s="713"/>
      <c r="AR66" s="713"/>
      <c r="AS66" s="713"/>
      <c r="AT66" s="713"/>
      <c r="AU66" s="713"/>
      <c r="AV66" s="713"/>
      <c r="AW66" s="713"/>
      <c r="AX66" s="713"/>
      <c r="AY66" s="713"/>
      <c r="AZ66" s="713"/>
      <c r="BA66" s="713"/>
      <c r="BB66" s="713"/>
      <c r="BC66" s="713"/>
      <c r="BD66" s="713"/>
      <c r="BE66" s="713"/>
      <c r="BF66" s="713"/>
      <c r="BG66" s="713"/>
      <c r="BH66" s="713"/>
      <c r="BI66" s="713"/>
      <c r="BJ66" s="713"/>
      <c r="BK66" s="713"/>
      <c r="BL66" s="713"/>
      <c r="BM66" s="713"/>
      <c r="BN66" s="713"/>
      <c r="BO66" s="713"/>
      <c r="BP66" s="713"/>
      <c r="BQ66" s="713"/>
      <c r="BR66" s="713"/>
      <c r="BS66" s="713"/>
      <c r="BT66" s="713"/>
      <c r="BU66" s="713"/>
      <c r="BV66" s="713"/>
      <c r="BW66" s="713"/>
      <c r="BX66" s="713"/>
      <c r="BY66" s="713"/>
      <c r="BZ66" s="713"/>
      <c r="CA66" s="713"/>
      <c r="CB66" s="713"/>
      <c r="CC66" s="713"/>
      <c r="CD66" s="713"/>
      <c r="CE66" s="713"/>
      <c r="CF66" s="713"/>
      <c r="CG66" s="713"/>
      <c r="CH66" s="713"/>
      <c r="CI66" s="713"/>
      <c r="CJ66" s="713"/>
      <c r="CK66" s="713"/>
      <c r="CL66" s="713"/>
      <c r="CM66" s="713"/>
      <c r="CN66" s="713"/>
      <c r="CO66" s="713"/>
      <c r="CP66" s="713"/>
      <c r="CQ66" s="713"/>
      <c r="CR66" s="713"/>
      <c r="CS66" s="713"/>
      <c r="CT66" s="713"/>
      <c r="CU66" s="713"/>
      <c r="CV66" s="713"/>
      <c r="CW66" s="713"/>
      <c r="CX66" s="713"/>
      <c r="CY66" s="713"/>
      <c r="CZ66" s="713"/>
      <c r="DA66" s="713"/>
      <c r="DB66" s="713"/>
      <c r="DC66" s="713"/>
      <c r="DD66" s="713"/>
      <c r="DE66" s="713"/>
      <c r="DF66" s="713"/>
      <c r="DG66" s="713"/>
      <c r="DH66" s="713"/>
      <c r="DI66" s="713"/>
      <c r="DJ66" s="713"/>
      <c r="DK66" s="713"/>
      <c r="DL66" s="713"/>
      <c r="DM66" s="713"/>
      <c r="DN66" s="713"/>
      <c r="DO66" s="713"/>
      <c r="DP66" s="713"/>
      <c r="DQ66" s="713"/>
      <c r="DR66" s="713"/>
      <c r="DS66" s="713"/>
      <c r="DT66" s="713"/>
      <c r="DU66" s="713"/>
      <c r="DV66" s="713"/>
      <c r="DW66" s="713"/>
      <c r="DX66" s="713"/>
      <c r="DY66" s="713"/>
      <c r="DZ66" s="713"/>
      <c r="EA66" s="713"/>
      <c r="EB66" s="713"/>
      <c r="EC66" s="713"/>
      <c r="ED66" s="713"/>
      <c r="EE66" s="713"/>
      <c r="EF66" s="713"/>
      <c r="EG66" s="713"/>
      <c r="EH66" s="713"/>
      <c r="EI66" s="713"/>
      <c r="EJ66" s="713"/>
      <c r="EK66" s="713"/>
      <c r="EL66" s="713"/>
      <c r="EM66" s="713"/>
      <c r="EN66" s="713"/>
      <c r="EO66" s="713"/>
      <c r="EP66" s="713"/>
      <c r="EQ66" s="713"/>
      <c r="ER66" s="713"/>
      <c r="ES66" s="713"/>
      <c r="ET66" s="713"/>
      <c r="EU66" s="713"/>
      <c r="EV66" s="713"/>
      <c r="EW66" s="713"/>
      <c r="EX66" s="713"/>
      <c r="EY66" s="713"/>
      <c r="EZ66" s="713"/>
      <c r="FA66" s="713"/>
      <c r="FB66" s="713"/>
      <c r="FC66" s="713"/>
      <c r="FD66" s="713"/>
      <c r="FE66" s="713"/>
      <c r="FF66" s="713"/>
      <c r="FG66" s="713"/>
      <c r="FH66" s="713"/>
      <c r="FI66" s="713"/>
      <c r="FJ66" s="713"/>
      <c r="FK66" s="713"/>
      <c r="FL66" s="713"/>
      <c r="FM66" s="713"/>
      <c r="FN66" s="713"/>
      <c r="FO66" s="713"/>
      <c r="FP66" s="713"/>
      <c r="FQ66" s="713"/>
      <c r="FR66" s="713"/>
      <c r="FS66" s="713"/>
      <c r="FT66" s="713"/>
      <c r="FU66" s="713"/>
      <c r="FV66" s="713"/>
      <c r="FW66" s="713"/>
      <c r="FX66" s="713"/>
      <c r="FY66" s="713"/>
      <c r="FZ66" s="713"/>
      <c r="GA66" s="713"/>
      <c r="GB66" s="713"/>
      <c r="GC66" s="713"/>
      <c r="GD66" s="713"/>
      <c r="GE66" s="713"/>
      <c r="GF66" s="713"/>
      <c r="GG66" s="713"/>
      <c r="GH66" s="713"/>
      <c r="GI66" s="713"/>
      <c r="GJ66" s="713"/>
      <c r="GK66" s="713"/>
      <c r="GL66" s="713"/>
      <c r="GM66" s="713"/>
      <c r="GN66" s="713"/>
      <c r="GO66" s="713"/>
      <c r="GP66" s="713"/>
      <c r="GQ66" s="713"/>
      <c r="GR66" s="713"/>
      <c r="GS66" s="713"/>
      <c r="GT66" s="713"/>
      <c r="GU66" s="713"/>
      <c r="GV66" s="713"/>
      <c r="GW66" s="713"/>
      <c r="GX66" s="713"/>
      <c r="GY66" s="713"/>
      <c r="GZ66" s="713"/>
      <c r="HA66" s="713"/>
      <c r="HB66" s="713"/>
      <c r="HC66" s="713"/>
      <c r="HD66" s="713"/>
      <c r="HE66" s="713"/>
      <c r="HF66" s="713"/>
      <c r="HG66" s="713"/>
      <c r="HH66" s="713"/>
      <c r="HI66" s="713"/>
      <c r="HJ66" s="713"/>
      <c r="HK66" s="713"/>
      <c r="HL66" s="713"/>
      <c r="HM66" s="713"/>
      <c r="HN66" s="713"/>
      <c r="HO66" s="713"/>
      <c r="HP66" s="713"/>
      <c r="HQ66" s="713"/>
      <c r="HR66" s="713"/>
      <c r="HS66" s="713"/>
      <c r="HT66" s="713"/>
      <c r="HU66" s="713"/>
      <c r="HV66" s="713"/>
      <c r="HW66" s="713"/>
      <c r="HX66" s="713"/>
      <c r="HY66" s="713"/>
      <c r="HZ66" s="713"/>
      <c r="IA66" s="713"/>
      <c r="IB66" s="713"/>
      <c r="IC66" s="713"/>
      <c r="ID66" s="713"/>
      <c r="IE66" s="713"/>
      <c r="IF66" s="713"/>
      <c r="IG66" s="713"/>
      <c r="IH66" s="713"/>
    </row>
    <row r="67">
      <c r="A67" s="600"/>
      <c r="B67" s="951" t="s">
        <v>490</v>
      </c>
      <c r="C67" s="598"/>
      <c r="D67" s="952"/>
      <c r="E67" s="953"/>
      <c r="F67" s="598"/>
      <c r="G67" s="598"/>
      <c r="H67" s="598"/>
      <c r="I67" s="600"/>
      <c r="J67" s="954" t="s">
        <v>491</v>
      </c>
      <c r="K67" s="598"/>
      <c r="L67" s="955"/>
      <c r="M67" s="956"/>
      <c r="N67" s="598"/>
      <c r="O67" s="598"/>
      <c r="P67" s="598"/>
      <c r="Q67" s="600"/>
      <c r="R67" s="957" t="s">
        <v>492</v>
      </c>
      <c r="S67" s="598"/>
      <c r="T67" s="958"/>
      <c r="U67" s="959"/>
      <c r="V67" s="598"/>
      <c r="W67" s="598"/>
      <c r="X67" s="598"/>
      <c r="Y67" s="598"/>
      <c r="Z67" s="598"/>
      <c r="AA67" s="911"/>
      <c r="AB67" s="966"/>
      <c r="AC67" s="713" t="str">
        <f>IFERROR(__xludf.DUMMYFUNCTION("""COMPUTED_VALUE"""),"Enemy Attack Level Skip")</f>
        <v>Enemy Attack Level Skip</v>
      </c>
      <c r="AD67" s="816" t="s">
        <v>280</v>
      </c>
      <c r="AE67" s="713">
        <v>20.0</v>
      </c>
      <c r="AF67" s="713"/>
      <c r="AG67" s="713">
        <v>20.0</v>
      </c>
      <c r="AH67" s="967" t="str">
        <f>IFERROR(__xludf.DUMMYFUNCTION("IFERROR(IF(K8 = """", SEQUENCE(1, VALUE(VLOOKUP(M8, AD:AG, 4, false)) - VALUE(VLOOKUP(M8, AD:AG, 2, false)), VALUE(VLOOKUP(M8, AD:AG, 2, false)) + 1),
    IF(ISBETWEEN(K8, VALUE(VLOOKUP(M8, AD:AG, 2, false)), VALUE(VLOOKUP(M8, AD:AG, 4, false))),
        "&amp;"SEQUENCE(1, VALUE(VLOOKUP(M8, AD:AG, 4, false)) - K8, K8 + 1),
        """")))"),"")</f>
        <v/>
      </c>
      <c r="AI67" s="713"/>
      <c r="AJ67" s="713"/>
      <c r="AK67" s="713"/>
      <c r="AL67" s="713"/>
      <c r="AM67" s="713"/>
      <c r="AN67" s="713"/>
      <c r="AO67" s="713"/>
      <c r="AP67" s="713"/>
      <c r="AQ67" s="713"/>
      <c r="AR67" s="713"/>
      <c r="AS67" s="713"/>
      <c r="AT67" s="713"/>
      <c r="AU67" s="713"/>
      <c r="AV67" s="713"/>
      <c r="AW67" s="713"/>
      <c r="AX67" s="713"/>
      <c r="AY67" s="713"/>
      <c r="AZ67" s="713"/>
      <c r="BA67" s="713"/>
      <c r="BB67" s="713"/>
      <c r="BC67" s="713"/>
      <c r="BD67" s="713"/>
      <c r="BE67" s="713"/>
      <c r="BF67" s="713"/>
      <c r="BG67" s="713"/>
      <c r="BH67" s="713"/>
      <c r="BI67" s="713"/>
      <c r="BJ67" s="713"/>
      <c r="BK67" s="713"/>
      <c r="BL67" s="713"/>
      <c r="BM67" s="713"/>
      <c r="BN67" s="713"/>
      <c r="BO67" s="713"/>
      <c r="BP67" s="713"/>
      <c r="BQ67" s="713"/>
      <c r="BR67" s="713"/>
      <c r="BS67" s="713"/>
      <c r="BT67" s="713"/>
      <c r="BU67" s="713"/>
      <c r="BV67" s="713"/>
      <c r="BW67" s="713"/>
      <c r="BX67" s="713"/>
      <c r="BY67" s="713"/>
      <c r="BZ67" s="713"/>
      <c r="CA67" s="713"/>
      <c r="CB67" s="713"/>
      <c r="CC67" s="713"/>
      <c r="CD67" s="713"/>
      <c r="CE67" s="713"/>
      <c r="CF67" s="713"/>
      <c r="CG67" s="713"/>
      <c r="CH67" s="713"/>
      <c r="CI67" s="713"/>
      <c r="CJ67" s="713"/>
      <c r="CK67" s="713"/>
      <c r="CL67" s="713"/>
      <c r="CM67" s="713"/>
      <c r="CN67" s="713"/>
      <c r="CO67" s="713"/>
      <c r="CP67" s="713"/>
      <c r="CQ67" s="713"/>
      <c r="CR67" s="713"/>
      <c r="CS67" s="713"/>
      <c r="CT67" s="713"/>
      <c r="CU67" s="713"/>
      <c r="CV67" s="713"/>
      <c r="CW67" s="713"/>
      <c r="CX67" s="713"/>
      <c r="CY67" s="713"/>
      <c r="CZ67" s="713"/>
      <c r="DA67" s="713"/>
      <c r="DB67" s="713"/>
      <c r="DC67" s="713"/>
      <c r="DD67" s="713"/>
      <c r="DE67" s="713"/>
      <c r="DF67" s="713"/>
      <c r="DG67" s="713"/>
      <c r="DH67" s="713"/>
      <c r="DI67" s="713"/>
      <c r="DJ67" s="713"/>
      <c r="DK67" s="713"/>
      <c r="DL67" s="713"/>
      <c r="DM67" s="713"/>
      <c r="DN67" s="713"/>
      <c r="DO67" s="713"/>
      <c r="DP67" s="713"/>
      <c r="DQ67" s="713"/>
      <c r="DR67" s="713"/>
      <c r="DS67" s="713"/>
      <c r="DT67" s="713"/>
      <c r="DU67" s="713"/>
      <c r="DV67" s="713"/>
      <c r="DW67" s="713"/>
      <c r="DX67" s="713"/>
      <c r="DY67" s="713"/>
      <c r="DZ67" s="713"/>
      <c r="EA67" s="713"/>
      <c r="EB67" s="713"/>
      <c r="EC67" s="713"/>
      <c r="ED67" s="713"/>
      <c r="EE67" s="713"/>
      <c r="EF67" s="713"/>
      <c r="EG67" s="713"/>
      <c r="EH67" s="713"/>
      <c r="EI67" s="713"/>
      <c r="EJ67" s="713"/>
      <c r="EK67" s="713"/>
      <c r="EL67" s="713"/>
      <c r="EM67" s="713"/>
      <c r="EN67" s="713"/>
      <c r="EO67" s="713"/>
      <c r="EP67" s="713"/>
      <c r="EQ67" s="713"/>
      <c r="ER67" s="713"/>
      <c r="ES67" s="713"/>
      <c r="ET67" s="713"/>
      <c r="EU67" s="713"/>
      <c r="EV67" s="713"/>
      <c r="EW67" s="713"/>
      <c r="EX67" s="713"/>
      <c r="EY67" s="713"/>
      <c r="EZ67" s="713"/>
      <c r="FA67" s="713"/>
      <c r="FB67" s="713"/>
      <c r="FC67" s="713"/>
      <c r="FD67" s="713"/>
      <c r="FE67" s="713"/>
      <c r="FF67" s="713"/>
      <c r="FG67" s="713"/>
      <c r="FH67" s="713"/>
      <c r="FI67" s="713"/>
      <c r="FJ67" s="713"/>
      <c r="FK67" s="713"/>
      <c r="FL67" s="713"/>
      <c r="FM67" s="713"/>
      <c r="FN67" s="713"/>
      <c r="FO67" s="713"/>
      <c r="FP67" s="713"/>
      <c r="FQ67" s="713"/>
      <c r="FR67" s="713"/>
      <c r="FS67" s="713"/>
      <c r="FT67" s="713"/>
      <c r="FU67" s="713"/>
      <c r="FV67" s="713"/>
      <c r="FW67" s="713"/>
      <c r="FX67" s="713"/>
      <c r="FY67" s="713"/>
      <c r="FZ67" s="713"/>
      <c r="GA67" s="713"/>
      <c r="GB67" s="713"/>
      <c r="GC67" s="713"/>
      <c r="GD67" s="713"/>
      <c r="GE67" s="713"/>
      <c r="GF67" s="713"/>
      <c r="GG67" s="713"/>
      <c r="GH67" s="713"/>
      <c r="GI67" s="713"/>
      <c r="GJ67" s="713"/>
      <c r="GK67" s="713"/>
      <c r="GL67" s="713"/>
      <c r="GM67" s="713"/>
      <c r="GN67" s="713"/>
      <c r="GO67" s="713"/>
      <c r="GP67" s="713"/>
      <c r="GQ67" s="713"/>
      <c r="GR67" s="713"/>
      <c r="GS67" s="713"/>
      <c r="GT67" s="713"/>
      <c r="GU67" s="713"/>
      <c r="GV67" s="713"/>
      <c r="GW67" s="713"/>
      <c r="GX67" s="713"/>
      <c r="GY67" s="713"/>
      <c r="GZ67" s="713"/>
      <c r="HA67" s="713"/>
      <c r="HB67" s="713"/>
      <c r="HC67" s="713"/>
      <c r="HD67" s="713"/>
      <c r="HE67" s="713"/>
      <c r="HF67" s="713"/>
      <c r="HG67" s="713"/>
      <c r="HH67" s="713"/>
      <c r="HI67" s="713"/>
      <c r="HJ67" s="713"/>
      <c r="HK67" s="713"/>
      <c r="HL67" s="713"/>
      <c r="HM67" s="713"/>
      <c r="HN67" s="713"/>
      <c r="HO67" s="713"/>
      <c r="HP67" s="713"/>
      <c r="HQ67" s="713"/>
      <c r="HR67" s="713"/>
      <c r="HS67" s="713"/>
      <c r="HT67" s="713"/>
      <c r="HU67" s="713"/>
      <c r="HV67" s="713"/>
      <c r="HW67" s="713"/>
      <c r="HX67" s="713"/>
      <c r="HY67" s="713"/>
      <c r="HZ67" s="713"/>
      <c r="IA67" s="713"/>
      <c r="IB67" s="713"/>
      <c r="IC67" s="713"/>
      <c r="ID67" s="713"/>
      <c r="IE67" s="713"/>
      <c r="IF67" s="713"/>
      <c r="IG67" s="713"/>
      <c r="IH67" s="713"/>
    </row>
    <row r="68">
      <c r="A68" s="600"/>
      <c r="B68" s="951" t="s">
        <v>490</v>
      </c>
      <c r="C68" s="598"/>
      <c r="D68" s="952"/>
      <c r="E68" s="953"/>
      <c r="F68" s="598"/>
      <c r="G68" s="598"/>
      <c r="H68" s="598"/>
      <c r="I68" s="600"/>
      <c r="J68" s="954" t="s">
        <v>491</v>
      </c>
      <c r="K68" s="598"/>
      <c r="L68" s="955"/>
      <c r="M68" s="956"/>
      <c r="N68" s="598"/>
      <c r="O68" s="598"/>
      <c r="P68" s="598"/>
      <c r="Q68" s="600"/>
      <c r="R68" s="957" t="s">
        <v>492</v>
      </c>
      <c r="S68" s="598"/>
      <c r="T68" s="958"/>
      <c r="U68" s="959"/>
      <c r="V68" s="598"/>
      <c r="W68" s="598"/>
      <c r="X68" s="598"/>
      <c r="Y68" s="598"/>
      <c r="Z68" s="598"/>
      <c r="AA68" s="911"/>
      <c r="AB68" s="966"/>
      <c r="AC68" s="713" t="str">
        <f>IFERROR(__xludf.DUMMYFUNCTION("""COMPUTED_VALUE"""),"Enemy Attack Speed")</f>
        <v>Enemy Attack Speed</v>
      </c>
      <c r="AD68" s="940" t="s">
        <v>277</v>
      </c>
      <c r="AE68" s="713">
        <v>0.0</v>
      </c>
      <c r="AF68" s="713"/>
      <c r="AG68" s="713">
        <v>20.0</v>
      </c>
      <c r="AH68" s="967" t="str">
        <f>IFERROR(__xludf.DUMMYFUNCTION("IFERROR(IF(K9 = """", SEQUENCE(1, VALUE(VLOOKUP(M9, AD:AG, 4, false)) - VALUE(VLOOKUP(M9, AD:AG, 2, false)), VALUE(VLOOKUP(M9, AD:AG, 2, false)) + 1),
    IF(ISBETWEEN(K9, VALUE(VLOOKUP(M9, AD:AG, 2, false)), VALUE(VLOOKUP(M9, AD:AG, 4, false))),
        "&amp;"SEQUENCE(1, VALUE(VLOOKUP(M9, AD:AG, 4, false)) - K9, K9 + 1),
        """")))"),"")</f>
        <v/>
      </c>
      <c r="AI68" s="713"/>
      <c r="AJ68" s="713"/>
      <c r="AK68" s="713"/>
      <c r="AL68" s="713"/>
      <c r="AM68" s="713"/>
      <c r="AN68" s="713"/>
      <c r="AO68" s="713"/>
      <c r="AP68" s="713"/>
      <c r="AQ68" s="713"/>
      <c r="AR68" s="713"/>
      <c r="AS68" s="713"/>
      <c r="AT68" s="713"/>
      <c r="AU68" s="713"/>
      <c r="AV68" s="713"/>
      <c r="AW68" s="713"/>
      <c r="AX68" s="713"/>
      <c r="AY68" s="713"/>
      <c r="AZ68" s="713"/>
      <c r="BA68" s="713"/>
      <c r="BB68" s="713"/>
      <c r="BC68" s="713"/>
      <c r="BD68" s="713"/>
      <c r="BE68" s="713"/>
      <c r="BF68" s="713"/>
      <c r="BG68" s="713"/>
      <c r="BH68" s="713"/>
      <c r="BI68" s="713"/>
      <c r="BJ68" s="713"/>
      <c r="BK68" s="713"/>
      <c r="BL68" s="713"/>
      <c r="BM68" s="713"/>
      <c r="BN68" s="713"/>
      <c r="BO68" s="713"/>
      <c r="BP68" s="713"/>
      <c r="BQ68" s="713"/>
      <c r="BR68" s="713"/>
      <c r="BS68" s="713"/>
      <c r="BT68" s="713"/>
      <c r="BU68" s="713"/>
      <c r="BV68" s="713"/>
      <c r="BW68" s="713"/>
      <c r="BX68" s="713"/>
      <c r="BY68" s="713"/>
      <c r="BZ68" s="713"/>
      <c r="CA68" s="713"/>
      <c r="CB68" s="713"/>
      <c r="CC68" s="713"/>
      <c r="CD68" s="713"/>
      <c r="CE68" s="713"/>
      <c r="CF68" s="713"/>
      <c r="CG68" s="713"/>
      <c r="CH68" s="713"/>
      <c r="CI68" s="713"/>
      <c r="CJ68" s="713"/>
      <c r="CK68" s="713"/>
      <c r="CL68" s="713"/>
      <c r="CM68" s="713"/>
      <c r="CN68" s="713"/>
      <c r="CO68" s="713"/>
      <c r="CP68" s="713"/>
      <c r="CQ68" s="713"/>
      <c r="CR68" s="713"/>
      <c r="CS68" s="713"/>
      <c r="CT68" s="713"/>
      <c r="CU68" s="713"/>
      <c r="CV68" s="713"/>
      <c r="CW68" s="713"/>
      <c r="CX68" s="713"/>
      <c r="CY68" s="713"/>
      <c r="CZ68" s="713"/>
      <c r="DA68" s="713"/>
      <c r="DB68" s="713"/>
      <c r="DC68" s="713"/>
      <c r="DD68" s="713"/>
      <c r="DE68" s="713"/>
      <c r="DF68" s="713"/>
      <c r="DG68" s="713"/>
      <c r="DH68" s="713"/>
      <c r="DI68" s="713"/>
      <c r="DJ68" s="713"/>
      <c r="DK68" s="713"/>
      <c r="DL68" s="713"/>
      <c r="DM68" s="713"/>
      <c r="DN68" s="713"/>
      <c r="DO68" s="713"/>
      <c r="DP68" s="713"/>
      <c r="DQ68" s="713"/>
      <c r="DR68" s="713"/>
      <c r="DS68" s="713"/>
      <c r="DT68" s="713"/>
      <c r="DU68" s="713"/>
      <c r="DV68" s="713"/>
      <c r="DW68" s="713"/>
      <c r="DX68" s="713"/>
      <c r="DY68" s="713"/>
      <c r="DZ68" s="713"/>
      <c r="EA68" s="713"/>
      <c r="EB68" s="713"/>
      <c r="EC68" s="713"/>
      <c r="ED68" s="713"/>
      <c r="EE68" s="713"/>
      <c r="EF68" s="713"/>
      <c r="EG68" s="713"/>
      <c r="EH68" s="713"/>
      <c r="EI68" s="713"/>
      <c r="EJ68" s="713"/>
      <c r="EK68" s="713"/>
      <c r="EL68" s="713"/>
      <c r="EM68" s="713"/>
      <c r="EN68" s="713"/>
      <c r="EO68" s="713"/>
      <c r="EP68" s="713"/>
      <c r="EQ68" s="713"/>
      <c r="ER68" s="713"/>
      <c r="ES68" s="713"/>
      <c r="ET68" s="713"/>
      <c r="EU68" s="713"/>
      <c r="EV68" s="713"/>
      <c r="EW68" s="713"/>
      <c r="EX68" s="713"/>
      <c r="EY68" s="713"/>
      <c r="EZ68" s="713"/>
      <c r="FA68" s="713"/>
      <c r="FB68" s="713"/>
      <c r="FC68" s="713"/>
      <c r="FD68" s="713"/>
      <c r="FE68" s="713"/>
      <c r="FF68" s="713"/>
      <c r="FG68" s="713"/>
      <c r="FH68" s="713"/>
      <c r="FI68" s="713"/>
      <c r="FJ68" s="713"/>
      <c r="FK68" s="713"/>
      <c r="FL68" s="713"/>
      <c r="FM68" s="713"/>
      <c r="FN68" s="713"/>
      <c r="FO68" s="713"/>
      <c r="FP68" s="713"/>
      <c r="FQ68" s="713"/>
      <c r="FR68" s="713"/>
      <c r="FS68" s="713"/>
      <c r="FT68" s="713"/>
      <c r="FU68" s="713"/>
      <c r="FV68" s="713"/>
      <c r="FW68" s="713"/>
      <c r="FX68" s="713"/>
      <c r="FY68" s="713"/>
      <c r="FZ68" s="713"/>
      <c r="GA68" s="713"/>
      <c r="GB68" s="713"/>
      <c r="GC68" s="713"/>
      <c r="GD68" s="713"/>
      <c r="GE68" s="713"/>
      <c r="GF68" s="713"/>
      <c r="GG68" s="713"/>
      <c r="GH68" s="713"/>
      <c r="GI68" s="713"/>
      <c r="GJ68" s="713"/>
      <c r="GK68" s="713"/>
      <c r="GL68" s="713"/>
      <c r="GM68" s="713"/>
      <c r="GN68" s="713"/>
      <c r="GO68" s="713"/>
      <c r="GP68" s="713"/>
      <c r="GQ68" s="713"/>
      <c r="GR68" s="713"/>
      <c r="GS68" s="713"/>
      <c r="GT68" s="713"/>
      <c r="GU68" s="713"/>
      <c r="GV68" s="713"/>
      <c r="GW68" s="713"/>
      <c r="GX68" s="713"/>
      <c r="GY68" s="713"/>
      <c r="GZ68" s="713"/>
      <c r="HA68" s="713"/>
      <c r="HB68" s="713"/>
      <c r="HC68" s="713"/>
      <c r="HD68" s="713"/>
      <c r="HE68" s="713"/>
      <c r="HF68" s="713"/>
      <c r="HG68" s="713"/>
      <c r="HH68" s="713"/>
      <c r="HI68" s="713"/>
      <c r="HJ68" s="713"/>
      <c r="HK68" s="713"/>
      <c r="HL68" s="713"/>
      <c r="HM68" s="713"/>
      <c r="HN68" s="713"/>
      <c r="HO68" s="713"/>
      <c r="HP68" s="713"/>
      <c r="HQ68" s="713"/>
      <c r="HR68" s="713"/>
      <c r="HS68" s="713"/>
      <c r="HT68" s="713"/>
      <c r="HU68" s="713"/>
      <c r="HV68" s="713"/>
      <c r="HW68" s="713"/>
      <c r="HX68" s="713"/>
      <c r="HY68" s="713"/>
      <c r="HZ68" s="713"/>
      <c r="IA68" s="713"/>
      <c r="IB68" s="713"/>
      <c r="IC68" s="713"/>
      <c r="ID68" s="713"/>
      <c r="IE68" s="713"/>
      <c r="IF68" s="713"/>
      <c r="IG68" s="713"/>
      <c r="IH68" s="713"/>
    </row>
    <row r="69">
      <c r="A69" s="600"/>
      <c r="B69" s="951" t="s">
        <v>490</v>
      </c>
      <c r="C69" s="598"/>
      <c r="D69" s="952"/>
      <c r="E69" s="953"/>
      <c r="F69" s="598"/>
      <c r="G69" s="598"/>
      <c r="H69" s="598"/>
      <c r="I69" s="600"/>
      <c r="J69" s="954" t="s">
        <v>491</v>
      </c>
      <c r="K69" s="598"/>
      <c r="L69" s="955"/>
      <c r="M69" s="956"/>
      <c r="N69" s="598"/>
      <c r="O69" s="598"/>
      <c r="P69" s="598"/>
      <c r="Q69" s="600"/>
      <c r="R69" s="957" t="s">
        <v>492</v>
      </c>
      <c r="S69" s="598"/>
      <c r="T69" s="958"/>
      <c r="U69" s="959"/>
      <c r="V69" s="598"/>
      <c r="W69" s="598"/>
      <c r="X69" s="598"/>
      <c r="Y69" s="598"/>
      <c r="Z69" s="598"/>
      <c r="AA69" s="911"/>
      <c r="AB69" s="966"/>
      <c r="AC69" s="713" t="str">
        <f>IFERROR(__xludf.DUMMYFUNCTION("""COMPUTED_VALUE"""),"Enemy Balance Mastery")</f>
        <v>Enemy Balance Mastery</v>
      </c>
      <c r="AD69" s="825" t="s">
        <v>334</v>
      </c>
      <c r="AE69" s="713">
        <v>0.0</v>
      </c>
      <c r="AF69" s="713"/>
      <c r="AG69" s="713">
        <v>9.0</v>
      </c>
      <c r="AH69" s="967" t="str">
        <f>IFERROR(__xludf.DUMMYFUNCTION("IFERROR(IF(K10 = """", SEQUENCE(1, VALUE(VLOOKUP(M10, AD:AG, 4, false)) - VALUE(VLOOKUP(M10, AD:AG, 2, false)), VALUE(VLOOKUP(M10, AD:AG, 2, false)) + 1),
    IF(ISBETWEEN(K10, VALUE(VLOOKUP(M10, AD:AG, 2, false)), VALUE(VLOOKUP(M10, AD:AG, 4, false))),
 "&amp;"       SEQUENCE(1, VALUE(VLOOKUP(M10, AD:AG, 4, false)) - K10, K10 + 1),
        """")))"),"")</f>
        <v/>
      </c>
      <c r="AI69" s="713"/>
      <c r="AJ69" s="713"/>
      <c r="AK69" s="713"/>
      <c r="AL69" s="713"/>
      <c r="AM69" s="713"/>
      <c r="AN69" s="713"/>
      <c r="AO69" s="713"/>
      <c r="AP69" s="713"/>
      <c r="AQ69" s="713"/>
      <c r="AR69" s="713"/>
      <c r="AS69" s="713"/>
      <c r="AT69" s="713"/>
      <c r="AU69" s="713"/>
      <c r="AV69" s="713"/>
      <c r="AW69" s="713"/>
      <c r="AX69" s="713"/>
      <c r="AY69" s="713"/>
      <c r="AZ69" s="713"/>
      <c r="BA69" s="713"/>
      <c r="BB69" s="713"/>
      <c r="BC69" s="713"/>
      <c r="BD69" s="713"/>
      <c r="BE69" s="713"/>
      <c r="BF69" s="713"/>
      <c r="BG69" s="713"/>
      <c r="BH69" s="713"/>
      <c r="BI69" s="713"/>
      <c r="BJ69" s="713"/>
      <c r="BK69" s="713"/>
      <c r="BL69" s="713"/>
      <c r="BM69" s="713"/>
      <c r="BN69" s="713"/>
      <c r="BO69" s="713"/>
      <c r="BP69" s="713"/>
      <c r="BQ69" s="713"/>
      <c r="BR69" s="713"/>
      <c r="BS69" s="713"/>
      <c r="BT69" s="713"/>
      <c r="BU69" s="713"/>
      <c r="BV69" s="713"/>
      <c r="BW69" s="713"/>
      <c r="BX69" s="713"/>
      <c r="BY69" s="713"/>
      <c r="BZ69" s="713"/>
      <c r="CA69" s="713"/>
      <c r="CB69" s="713"/>
      <c r="CC69" s="713"/>
      <c r="CD69" s="713"/>
      <c r="CE69" s="713"/>
      <c r="CF69" s="713"/>
      <c r="CG69" s="713"/>
      <c r="CH69" s="713"/>
      <c r="CI69" s="713"/>
      <c r="CJ69" s="713"/>
      <c r="CK69" s="713"/>
      <c r="CL69" s="713"/>
      <c r="CM69" s="713"/>
      <c r="CN69" s="713"/>
      <c r="CO69" s="713"/>
      <c r="CP69" s="713"/>
      <c r="CQ69" s="713"/>
      <c r="CR69" s="713"/>
      <c r="CS69" s="713"/>
      <c r="CT69" s="713"/>
      <c r="CU69" s="713"/>
      <c r="CV69" s="713"/>
      <c r="CW69" s="713"/>
      <c r="CX69" s="713"/>
      <c r="CY69" s="713"/>
      <c r="CZ69" s="713"/>
      <c r="DA69" s="713"/>
      <c r="DB69" s="713"/>
      <c r="DC69" s="713"/>
      <c r="DD69" s="713"/>
      <c r="DE69" s="713"/>
      <c r="DF69" s="713"/>
      <c r="DG69" s="713"/>
      <c r="DH69" s="713"/>
      <c r="DI69" s="713"/>
      <c r="DJ69" s="713"/>
      <c r="DK69" s="713"/>
      <c r="DL69" s="713"/>
      <c r="DM69" s="713"/>
      <c r="DN69" s="713"/>
      <c r="DO69" s="713"/>
      <c r="DP69" s="713"/>
      <c r="DQ69" s="713"/>
      <c r="DR69" s="713"/>
      <c r="DS69" s="713"/>
      <c r="DT69" s="713"/>
      <c r="DU69" s="713"/>
      <c r="DV69" s="713"/>
      <c r="DW69" s="713"/>
      <c r="DX69" s="713"/>
      <c r="DY69" s="713"/>
      <c r="DZ69" s="713"/>
      <c r="EA69" s="713"/>
      <c r="EB69" s="713"/>
      <c r="EC69" s="713"/>
      <c r="ED69" s="713"/>
      <c r="EE69" s="713"/>
      <c r="EF69" s="713"/>
      <c r="EG69" s="713"/>
      <c r="EH69" s="713"/>
      <c r="EI69" s="713"/>
      <c r="EJ69" s="713"/>
      <c r="EK69" s="713"/>
      <c r="EL69" s="713"/>
      <c r="EM69" s="713"/>
      <c r="EN69" s="713"/>
      <c r="EO69" s="713"/>
      <c r="EP69" s="713"/>
      <c r="EQ69" s="713"/>
      <c r="ER69" s="713"/>
      <c r="ES69" s="713"/>
      <c r="ET69" s="713"/>
      <c r="EU69" s="713"/>
      <c r="EV69" s="713"/>
      <c r="EW69" s="713"/>
      <c r="EX69" s="713"/>
      <c r="EY69" s="713"/>
      <c r="EZ69" s="713"/>
      <c r="FA69" s="713"/>
      <c r="FB69" s="713"/>
      <c r="FC69" s="713"/>
      <c r="FD69" s="713"/>
      <c r="FE69" s="713"/>
      <c r="FF69" s="713"/>
      <c r="FG69" s="713"/>
      <c r="FH69" s="713"/>
      <c r="FI69" s="713"/>
      <c r="FJ69" s="713"/>
      <c r="FK69" s="713"/>
      <c r="FL69" s="713"/>
      <c r="FM69" s="713"/>
      <c r="FN69" s="713"/>
      <c r="FO69" s="713"/>
      <c r="FP69" s="713"/>
      <c r="FQ69" s="713"/>
      <c r="FR69" s="713"/>
      <c r="FS69" s="713"/>
      <c r="FT69" s="713"/>
      <c r="FU69" s="713"/>
      <c r="FV69" s="713"/>
      <c r="FW69" s="713"/>
      <c r="FX69" s="713"/>
      <c r="FY69" s="713"/>
      <c r="FZ69" s="713"/>
      <c r="GA69" s="713"/>
      <c r="GB69" s="713"/>
      <c r="GC69" s="713"/>
      <c r="GD69" s="713"/>
      <c r="GE69" s="713"/>
      <c r="GF69" s="713"/>
      <c r="GG69" s="713"/>
      <c r="GH69" s="713"/>
      <c r="GI69" s="713"/>
      <c r="GJ69" s="713"/>
      <c r="GK69" s="713"/>
      <c r="GL69" s="713"/>
      <c r="GM69" s="713"/>
      <c r="GN69" s="713"/>
      <c r="GO69" s="713"/>
      <c r="GP69" s="713"/>
      <c r="GQ69" s="713"/>
      <c r="GR69" s="713"/>
      <c r="GS69" s="713"/>
      <c r="GT69" s="713"/>
      <c r="GU69" s="713"/>
      <c r="GV69" s="713"/>
      <c r="GW69" s="713"/>
      <c r="GX69" s="713"/>
      <c r="GY69" s="713"/>
      <c r="GZ69" s="713"/>
      <c r="HA69" s="713"/>
      <c r="HB69" s="713"/>
      <c r="HC69" s="713"/>
      <c r="HD69" s="713"/>
      <c r="HE69" s="713"/>
      <c r="HF69" s="713"/>
      <c r="HG69" s="713"/>
      <c r="HH69" s="713"/>
      <c r="HI69" s="713"/>
      <c r="HJ69" s="713"/>
      <c r="HK69" s="713"/>
      <c r="HL69" s="713"/>
      <c r="HM69" s="713"/>
      <c r="HN69" s="713"/>
      <c r="HO69" s="713"/>
      <c r="HP69" s="713"/>
      <c r="HQ69" s="713"/>
      <c r="HR69" s="713"/>
      <c r="HS69" s="713"/>
      <c r="HT69" s="713"/>
      <c r="HU69" s="713"/>
      <c r="HV69" s="713"/>
      <c r="HW69" s="713"/>
      <c r="HX69" s="713"/>
      <c r="HY69" s="713"/>
      <c r="HZ69" s="713"/>
      <c r="IA69" s="713"/>
      <c r="IB69" s="713"/>
      <c r="IC69" s="713"/>
      <c r="ID69" s="713"/>
      <c r="IE69" s="713"/>
      <c r="IF69" s="713"/>
      <c r="IG69" s="713"/>
      <c r="IH69" s="713"/>
    </row>
    <row r="70">
      <c r="A70" s="600"/>
      <c r="B70" s="968" t="s">
        <v>490</v>
      </c>
      <c r="C70" s="598"/>
      <c r="D70" s="969"/>
      <c r="E70" s="970"/>
      <c r="F70" s="598"/>
      <c r="G70" s="598"/>
      <c r="H70" s="598"/>
      <c r="I70" s="600"/>
      <c r="J70" s="971" t="s">
        <v>491</v>
      </c>
      <c r="K70" s="598"/>
      <c r="L70" s="972"/>
      <c r="M70" s="973"/>
      <c r="N70" s="598"/>
      <c r="O70" s="598"/>
      <c r="P70" s="598"/>
      <c r="Q70" s="600"/>
      <c r="R70" s="974" t="s">
        <v>492</v>
      </c>
      <c r="S70" s="598"/>
      <c r="T70" s="975"/>
      <c r="U70" s="976"/>
      <c r="V70" s="598"/>
      <c r="W70" s="598"/>
      <c r="X70" s="598"/>
      <c r="Y70" s="598"/>
      <c r="Z70" s="598"/>
      <c r="AA70" s="911"/>
      <c r="AB70" s="966"/>
      <c r="AC70" s="713" t="str">
        <f>IFERROR(__xludf.DUMMYFUNCTION("""COMPUTED_VALUE"""),"Enemy Health Level Skip")</f>
        <v>Enemy Health Level Skip</v>
      </c>
      <c r="AD70" s="816" t="s">
        <v>288</v>
      </c>
      <c r="AE70" s="713">
        <v>20.0</v>
      </c>
      <c r="AF70" s="713"/>
      <c r="AG70" s="713">
        <v>20.0</v>
      </c>
      <c r="AH70" s="967" t="str">
        <f>IFERROR(__xludf.DUMMYFUNCTION("IFERROR(IF(K11 = """", SEQUENCE(1, VALUE(VLOOKUP(M11, AD:AG, 4, false)) - VALUE(VLOOKUP(M11, AD:AG, 2, false)), VALUE(VLOOKUP(M11, AD:AG, 2, false)) + 1),
    IF(ISBETWEEN(K11, VALUE(VLOOKUP(M11, AD:AG, 2, false)), VALUE(VLOOKUP(M11, AD:AG, 4, false))),
 "&amp;"       SEQUENCE(1, VALUE(VLOOKUP(M11, AD:AG, 4, false)) - K11, K11 + 1),
        """")))"),"")</f>
        <v/>
      </c>
      <c r="AI70" s="713"/>
      <c r="AJ70" s="713"/>
      <c r="AK70" s="713"/>
      <c r="AL70" s="713"/>
      <c r="AM70" s="713"/>
      <c r="AN70" s="713"/>
      <c r="AO70" s="713"/>
      <c r="AP70" s="713"/>
      <c r="AQ70" s="713"/>
      <c r="AR70" s="713"/>
      <c r="AS70" s="713"/>
      <c r="AT70" s="713"/>
      <c r="AU70" s="713"/>
      <c r="AV70" s="713"/>
      <c r="AW70" s="713"/>
      <c r="AX70" s="713"/>
      <c r="AY70" s="713"/>
      <c r="AZ70" s="713"/>
      <c r="BA70" s="713"/>
      <c r="BB70" s="713"/>
      <c r="BC70" s="713"/>
      <c r="BD70" s="713"/>
      <c r="BE70" s="713"/>
      <c r="BF70" s="713"/>
      <c r="BG70" s="713"/>
      <c r="BH70" s="713"/>
      <c r="BI70" s="713"/>
      <c r="BJ70" s="713"/>
      <c r="BK70" s="713"/>
      <c r="BL70" s="713"/>
      <c r="BM70" s="713"/>
      <c r="BN70" s="713"/>
      <c r="BO70" s="713"/>
      <c r="BP70" s="713"/>
      <c r="BQ70" s="713"/>
      <c r="BR70" s="713"/>
      <c r="BS70" s="713"/>
      <c r="BT70" s="713"/>
      <c r="BU70" s="713"/>
      <c r="BV70" s="713"/>
      <c r="BW70" s="713"/>
      <c r="BX70" s="713"/>
      <c r="BY70" s="713"/>
      <c r="BZ70" s="713"/>
      <c r="CA70" s="713"/>
      <c r="CB70" s="713"/>
      <c r="CC70" s="713"/>
      <c r="CD70" s="713"/>
      <c r="CE70" s="713"/>
      <c r="CF70" s="713"/>
      <c r="CG70" s="713"/>
      <c r="CH70" s="713"/>
      <c r="CI70" s="713"/>
      <c r="CJ70" s="713"/>
      <c r="CK70" s="713"/>
      <c r="CL70" s="713"/>
      <c r="CM70" s="713"/>
      <c r="CN70" s="713"/>
      <c r="CO70" s="713"/>
      <c r="CP70" s="713"/>
      <c r="CQ70" s="713"/>
      <c r="CR70" s="713"/>
      <c r="CS70" s="713"/>
      <c r="CT70" s="713"/>
      <c r="CU70" s="713"/>
      <c r="CV70" s="713"/>
      <c r="CW70" s="713"/>
      <c r="CX70" s="713"/>
      <c r="CY70" s="713"/>
      <c r="CZ70" s="713"/>
      <c r="DA70" s="713"/>
      <c r="DB70" s="713"/>
      <c r="DC70" s="713"/>
      <c r="DD70" s="713"/>
      <c r="DE70" s="713"/>
      <c r="DF70" s="713"/>
      <c r="DG70" s="713"/>
      <c r="DH70" s="713"/>
      <c r="DI70" s="713"/>
      <c r="DJ70" s="713"/>
      <c r="DK70" s="713"/>
      <c r="DL70" s="713"/>
      <c r="DM70" s="713"/>
      <c r="DN70" s="713"/>
      <c r="DO70" s="713"/>
      <c r="DP70" s="713"/>
      <c r="DQ70" s="713"/>
      <c r="DR70" s="713"/>
      <c r="DS70" s="713"/>
      <c r="DT70" s="713"/>
      <c r="DU70" s="713"/>
      <c r="DV70" s="713"/>
      <c r="DW70" s="713"/>
      <c r="DX70" s="713"/>
      <c r="DY70" s="713"/>
      <c r="DZ70" s="713"/>
      <c r="EA70" s="713"/>
      <c r="EB70" s="713"/>
      <c r="EC70" s="713"/>
      <c r="ED70" s="713"/>
      <c r="EE70" s="713"/>
      <c r="EF70" s="713"/>
      <c r="EG70" s="713"/>
      <c r="EH70" s="713"/>
      <c r="EI70" s="713"/>
      <c r="EJ70" s="713"/>
      <c r="EK70" s="713"/>
      <c r="EL70" s="713"/>
      <c r="EM70" s="713"/>
      <c r="EN70" s="713"/>
      <c r="EO70" s="713"/>
      <c r="EP70" s="713"/>
      <c r="EQ70" s="713"/>
      <c r="ER70" s="713"/>
      <c r="ES70" s="713"/>
      <c r="ET70" s="713"/>
      <c r="EU70" s="713"/>
      <c r="EV70" s="713"/>
      <c r="EW70" s="713"/>
      <c r="EX70" s="713"/>
      <c r="EY70" s="713"/>
      <c r="EZ70" s="713"/>
      <c r="FA70" s="713"/>
      <c r="FB70" s="713"/>
      <c r="FC70" s="713"/>
      <c r="FD70" s="713"/>
      <c r="FE70" s="713"/>
      <c r="FF70" s="713"/>
      <c r="FG70" s="713"/>
      <c r="FH70" s="713"/>
      <c r="FI70" s="713"/>
      <c r="FJ70" s="713"/>
      <c r="FK70" s="713"/>
      <c r="FL70" s="713"/>
      <c r="FM70" s="713"/>
      <c r="FN70" s="713"/>
      <c r="FO70" s="713"/>
      <c r="FP70" s="713"/>
      <c r="FQ70" s="713"/>
      <c r="FR70" s="713"/>
      <c r="FS70" s="713"/>
      <c r="FT70" s="713"/>
      <c r="FU70" s="713"/>
      <c r="FV70" s="713"/>
      <c r="FW70" s="713"/>
      <c r="FX70" s="713"/>
      <c r="FY70" s="713"/>
      <c r="FZ70" s="713"/>
      <c r="GA70" s="713"/>
      <c r="GB70" s="713"/>
      <c r="GC70" s="713"/>
      <c r="GD70" s="713"/>
      <c r="GE70" s="713"/>
      <c r="GF70" s="713"/>
      <c r="GG70" s="713"/>
      <c r="GH70" s="713"/>
      <c r="GI70" s="713"/>
      <c r="GJ70" s="713"/>
      <c r="GK70" s="713"/>
      <c r="GL70" s="713"/>
      <c r="GM70" s="713"/>
      <c r="GN70" s="713"/>
      <c r="GO70" s="713"/>
      <c r="GP70" s="713"/>
      <c r="GQ70" s="713"/>
      <c r="GR70" s="713"/>
      <c r="GS70" s="713"/>
      <c r="GT70" s="713"/>
      <c r="GU70" s="713"/>
      <c r="GV70" s="713"/>
      <c r="GW70" s="713"/>
      <c r="GX70" s="713"/>
      <c r="GY70" s="713"/>
      <c r="GZ70" s="713"/>
      <c r="HA70" s="713"/>
      <c r="HB70" s="713"/>
      <c r="HC70" s="713"/>
      <c r="HD70" s="713"/>
      <c r="HE70" s="713"/>
      <c r="HF70" s="713"/>
      <c r="HG70" s="713"/>
      <c r="HH70" s="713"/>
      <c r="HI70" s="713"/>
      <c r="HJ70" s="713"/>
      <c r="HK70" s="713"/>
      <c r="HL70" s="713"/>
      <c r="HM70" s="713"/>
      <c r="HN70" s="713"/>
      <c r="HO70" s="713"/>
      <c r="HP70" s="713"/>
      <c r="HQ70" s="713"/>
      <c r="HR70" s="713"/>
      <c r="HS70" s="713"/>
      <c r="HT70" s="713"/>
      <c r="HU70" s="713"/>
      <c r="HV70" s="713"/>
      <c r="HW70" s="713"/>
      <c r="HX70" s="713"/>
      <c r="HY70" s="713"/>
      <c r="HZ70" s="713"/>
      <c r="IA70" s="713"/>
      <c r="IB70" s="713"/>
      <c r="IC70" s="713"/>
      <c r="ID70" s="713"/>
      <c r="IE70" s="713"/>
      <c r="IF70" s="713"/>
      <c r="IG70" s="713"/>
      <c r="IH70" s="713"/>
    </row>
    <row r="71">
      <c r="A71" s="598"/>
      <c r="B71" s="874"/>
      <c r="C71" s="598"/>
      <c r="D71" s="598"/>
      <c r="E71" s="598"/>
      <c r="F71" s="598"/>
      <c r="G71" s="598"/>
      <c r="H71" s="598"/>
      <c r="I71" s="598"/>
      <c r="J71" s="874"/>
      <c r="K71" s="598"/>
      <c r="L71" s="598"/>
      <c r="M71" s="598"/>
      <c r="N71" s="598"/>
      <c r="O71" s="598"/>
      <c r="P71" s="598"/>
      <c r="Q71" s="598"/>
      <c r="R71" s="787"/>
      <c r="S71" s="598"/>
      <c r="T71" s="598"/>
      <c r="U71" s="598"/>
      <c r="V71" s="598"/>
      <c r="W71" s="598"/>
      <c r="X71" s="598"/>
      <c r="Y71" s="598"/>
      <c r="Z71" s="598"/>
      <c r="AA71" s="911"/>
      <c r="AB71" s="966"/>
      <c r="AC71" s="713" t="str">
        <f>IFERROR(__xludf.DUMMYFUNCTION("""COMPUTED_VALUE"""),"Enemy Level Skip Reduction")</f>
        <v>Enemy Level Skip Reduction</v>
      </c>
      <c r="AD71" s="940" t="s">
        <v>342</v>
      </c>
      <c r="AE71" s="713">
        <v>0.0</v>
      </c>
      <c r="AF71" s="713"/>
      <c r="AG71" s="713">
        <v>10.0</v>
      </c>
      <c r="AH71" s="967" t="str">
        <f>IFERROR(__xludf.DUMMYFUNCTION("IFERROR(IF(K12 = """", SEQUENCE(1, VALUE(VLOOKUP(M12, AD:AG, 4, false)) - VALUE(VLOOKUP(M12, AD:AG, 2, false)), VALUE(VLOOKUP(M12, AD:AG, 2, false)) + 1),
    IF(ISBETWEEN(K12, VALUE(VLOOKUP(M12, AD:AG, 2, false)), VALUE(VLOOKUP(M12, AD:AG, 4, false))),
 "&amp;"       SEQUENCE(1, VALUE(VLOOKUP(M12, AD:AG, 4, false)) - K12, K12 + 1),
        """")))"),"")</f>
        <v/>
      </c>
      <c r="AI71" s="713"/>
      <c r="AJ71" s="713"/>
      <c r="AK71" s="713"/>
      <c r="AL71" s="713"/>
      <c r="AM71" s="713"/>
      <c r="AN71" s="713"/>
      <c r="AO71" s="713"/>
      <c r="AP71" s="713"/>
      <c r="AQ71" s="713"/>
      <c r="AR71" s="713"/>
      <c r="AS71" s="713"/>
      <c r="AT71" s="713"/>
      <c r="AU71" s="713"/>
      <c r="AV71" s="713"/>
      <c r="AW71" s="713"/>
      <c r="AX71" s="713"/>
      <c r="AY71" s="713"/>
      <c r="AZ71" s="713"/>
      <c r="BA71" s="713"/>
      <c r="BB71" s="713"/>
      <c r="BC71" s="713"/>
      <c r="BD71" s="713"/>
      <c r="BE71" s="713"/>
      <c r="BF71" s="713"/>
      <c r="BG71" s="713"/>
      <c r="BH71" s="713"/>
      <c r="BI71" s="713"/>
      <c r="BJ71" s="713"/>
      <c r="BK71" s="713"/>
      <c r="BL71" s="713"/>
      <c r="BM71" s="713"/>
      <c r="BN71" s="713"/>
      <c r="BO71" s="713"/>
      <c r="BP71" s="713"/>
      <c r="BQ71" s="713"/>
      <c r="BR71" s="713"/>
      <c r="BS71" s="713"/>
      <c r="BT71" s="713"/>
      <c r="BU71" s="713"/>
      <c r="BV71" s="713"/>
      <c r="BW71" s="713"/>
      <c r="BX71" s="713"/>
      <c r="BY71" s="713"/>
      <c r="BZ71" s="713"/>
      <c r="CA71" s="713"/>
      <c r="CB71" s="713"/>
      <c r="CC71" s="713"/>
      <c r="CD71" s="713"/>
      <c r="CE71" s="713"/>
      <c r="CF71" s="713"/>
      <c r="CG71" s="713"/>
      <c r="CH71" s="713"/>
      <c r="CI71" s="713"/>
      <c r="CJ71" s="713"/>
      <c r="CK71" s="713"/>
      <c r="CL71" s="713"/>
      <c r="CM71" s="713"/>
      <c r="CN71" s="713"/>
      <c r="CO71" s="713"/>
      <c r="CP71" s="713"/>
      <c r="CQ71" s="713"/>
      <c r="CR71" s="713"/>
      <c r="CS71" s="713"/>
      <c r="CT71" s="713"/>
      <c r="CU71" s="713"/>
      <c r="CV71" s="713"/>
      <c r="CW71" s="713"/>
      <c r="CX71" s="713"/>
      <c r="CY71" s="713"/>
      <c r="CZ71" s="713"/>
      <c r="DA71" s="713"/>
      <c r="DB71" s="713"/>
      <c r="DC71" s="713"/>
      <c r="DD71" s="713"/>
      <c r="DE71" s="713"/>
      <c r="DF71" s="713"/>
      <c r="DG71" s="713"/>
      <c r="DH71" s="713"/>
      <c r="DI71" s="713"/>
      <c r="DJ71" s="713"/>
      <c r="DK71" s="713"/>
      <c r="DL71" s="713"/>
      <c r="DM71" s="713"/>
      <c r="DN71" s="713"/>
      <c r="DO71" s="713"/>
      <c r="DP71" s="713"/>
      <c r="DQ71" s="713"/>
      <c r="DR71" s="713"/>
      <c r="DS71" s="713"/>
      <c r="DT71" s="713"/>
      <c r="DU71" s="713"/>
      <c r="DV71" s="713"/>
      <c r="DW71" s="713"/>
      <c r="DX71" s="713"/>
      <c r="DY71" s="713"/>
      <c r="DZ71" s="713"/>
      <c r="EA71" s="713"/>
      <c r="EB71" s="713"/>
      <c r="EC71" s="713"/>
      <c r="ED71" s="713"/>
      <c r="EE71" s="713"/>
      <c r="EF71" s="713"/>
      <c r="EG71" s="713"/>
      <c r="EH71" s="713"/>
      <c r="EI71" s="713"/>
      <c r="EJ71" s="713"/>
      <c r="EK71" s="713"/>
      <c r="EL71" s="713"/>
      <c r="EM71" s="713"/>
      <c r="EN71" s="713"/>
      <c r="EO71" s="713"/>
      <c r="EP71" s="713"/>
      <c r="EQ71" s="713"/>
      <c r="ER71" s="713"/>
      <c r="ES71" s="713"/>
      <c r="ET71" s="713"/>
      <c r="EU71" s="713"/>
      <c r="EV71" s="713"/>
      <c r="EW71" s="713"/>
      <c r="EX71" s="713"/>
      <c r="EY71" s="713"/>
      <c r="EZ71" s="713"/>
      <c r="FA71" s="713"/>
      <c r="FB71" s="713"/>
      <c r="FC71" s="713"/>
      <c r="FD71" s="713"/>
      <c r="FE71" s="713"/>
      <c r="FF71" s="713"/>
      <c r="FG71" s="713"/>
      <c r="FH71" s="713"/>
      <c r="FI71" s="713"/>
      <c r="FJ71" s="713"/>
      <c r="FK71" s="713"/>
      <c r="FL71" s="713"/>
      <c r="FM71" s="713"/>
      <c r="FN71" s="713"/>
      <c r="FO71" s="713"/>
      <c r="FP71" s="713"/>
      <c r="FQ71" s="713"/>
      <c r="FR71" s="713"/>
      <c r="FS71" s="713"/>
      <c r="FT71" s="713"/>
      <c r="FU71" s="713"/>
      <c r="FV71" s="713"/>
      <c r="FW71" s="713"/>
      <c r="FX71" s="713"/>
      <c r="FY71" s="713"/>
      <c r="FZ71" s="713"/>
      <c r="GA71" s="713"/>
      <c r="GB71" s="713"/>
      <c r="GC71" s="713"/>
      <c r="GD71" s="713"/>
      <c r="GE71" s="713"/>
      <c r="GF71" s="713"/>
      <c r="GG71" s="713"/>
      <c r="GH71" s="713"/>
      <c r="GI71" s="713"/>
      <c r="GJ71" s="713"/>
      <c r="GK71" s="713"/>
      <c r="GL71" s="713"/>
      <c r="GM71" s="713"/>
      <c r="GN71" s="713"/>
      <c r="GO71" s="713"/>
      <c r="GP71" s="713"/>
      <c r="GQ71" s="713"/>
      <c r="GR71" s="713"/>
      <c r="GS71" s="713"/>
      <c r="GT71" s="713"/>
      <c r="GU71" s="713"/>
      <c r="GV71" s="713"/>
      <c r="GW71" s="713"/>
      <c r="GX71" s="713"/>
      <c r="GY71" s="713"/>
      <c r="GZ71" s="713"/>
      <c r="HA71" s="713"/>
      <c r="HB71" s="713"/>
      <c r="HC71" s="713"/>
      <c r="HD71" s="713"/>
      <c r="HE71" s="713"/>
      <c r="HF71" s="713"/>
      <c r="HG71" s="713"/>
      <c r="HH71" s="713"/>
      <c r="HI71" s="713"/>
      <c r="HJ71" s="713"/>
      <c r="HK71" s="713"/>
      <c r="HL71" s="713"/>
      <c r="HM71" s="713"/>
      <c r="HN71" s="713"/>
      <c r="HO71" s="713"/>
      <c r="HP71" s="713"/>
      <c r="HQ71" s="713"/>
      <c r="HR71" s="713"/>
      <c r="HS71" s="713"/>
      <c r="HT71" s="713"/>
      <c r="HU71" s="713"/>
      <c r="HV71" s="713"/>
      <c r="HW71" s="713"/>
      <c r="HX71" s="713"/>
      <c r="HY71" s="713"/>
      <c r="HZ71" s="713"/>
      <c r="IA71" s="713"/>
      <c r="IB71" s="713"/>
      <c r="IC71" s="713"/>
      <c r="ID71" s="713"/>
      <c r="IE71" s="713"/>
      <c r="IF71" s="713"/>
      <c r="IG71" s="713"/>
      <c r="IH71" s="713"/>
    </row>
    <row r="72">
      <c r="A72" s="600"/>
      <c r="B72" s="977" t="s">
        <v>500</v>
      </c>
      <c r="C72" s="598"/>
      <c r="D72" s="978"/>
      <c r="E72" s="979"/>
      <c r="F72" s="598"/>
      <c r="G72" s="598"/>
      <c r="H72" s="598"/>
      <c r="I72" s="600"/>
      <c r="J72" s="980" t="s">
        <v>501</v>
      </c>
      <c r="K72" s="598"/>
      <c r="L72" s="981"/>
      <c r="M72" s="982"/>
      <c r="N72" s="598"/>
      <c r="O72" s="598"/>
      <c r="P72" s="598"/>
      <c r="Q72" s="598"/>
      <c r="R72" s="598"/>
      <c r="S72" s="598"/>
      <c r="T72" s="591"/>
      <c r="U72" s="591"/>
      <c r="V72" s="591"/>
      <c r="W72" s="598"/>
      <c r="X72" s="598"/>
      <c r="Y72" s="598"/>
      <c r="Z72" s="598"/>
      <c r="AA72" s="911"/>
      <c r="AB72" s="966"/>
      <c r="AC72" s="713" t="str">
        <f>IFERROR(__xludf.DUMMYFUNCTION("""COMPUTED_VALUE"""),"Enemy Speed")</f>
        <v>Enemy Speed</v>
      </c>
      <c r="AD72" s="825" t="s">
        <v>259</v>
      </c>
      <c r="AE72" s="713">
        <v>0.0</v>
      </c>
      <c r="AF72" s="713"/>
      <c r="AG72" s="713">
        <v>20.0</v>
      </c>
      <c r="AH72" s="967" t="str">
        <f>IFERROR(__xludf.DUMMYFUNCTION("IFERROR(IF(K13 = """", SEQUENCE(1, VALUE(VLOOKUP(M13, AD:AG, 4, false)) - VALUE(VLOOKUP(M13, AD:AG, 2, false)), VALUE(VLOOKUP(M13, AD:AG, 2, false)) + 1),
    IF(ISBETWEEN(K13, VALUE(VLOOKUP(M13, AD:AG, 2, false)), VALUE(VLOOKUP(M13, AD:AG, 4, false))),
 "&amp;"       SEQUENCE(1, VALUE(VLOOKUP(M13, AD:AG, 4, false)) - K13, K13 + 1),
        """")))"),"")</f>
        <v/>
      </c>
      <c r="AI72" s="713"/>
      <c r="AJ72" s="713"/>
      <c r="AK72" s="713"/>
      <c r="AL72" s="713"/>
      <c r="AM72" s="713"/>
      <c r="AN72" s="713"/>
      <c r="AO72" s="713"/>
      <c r="AP72" s="713"/>
      <c r="AQ72" s="713"/>
      <c r="AR72" s="713"/>
      <c r="AS72" s="713"/>
      <c r="AT72" s="713"/>
      <c r="AU72" s="713"/>
      <c r="AV72" s="713"/>
      <c r="AW72" s="713"/>
      <c r="AX72" s="713"/>
      <c r="AY72" s="713"/>
      <c r="AZ72" s="713"/>
      <c r="BA72" s="713"/>
      <c r="BB72" s="713"/>
      <c r="BC72" s="713"/>
      <c r="BD72" s="713"/>
      <c r="BE72" s="713"/>
      <c r="BF72" s="713"/>
      <c r="BG72" s="713"/>
      <c r="BH72" s="713"/>
      <c r="BI72" s="713"/>
      <c r="BJ72" s="713"/>
      <c r="BK72" s="713"/>
      <c r="BL72" s="713"/>
      <c r="BM72" s="713"/>
      <c r="BN72" s="713"/>
      <c r="BO72" s="713"/>
      <c r="BP72" s="713"/>
      <c r="BQ72" s="713"/>
      <c r="BR72" s="713"/>
      <c r="BS72" s="713"/>
      <c r="BT72" s="713"/>
      <c r="BU72" s="713"/>
      <c r="BV72" s="713"/>
      <c r="BW72" s="713"/>
      <c r="BX72" s="713"/>
      <c r="BY72" s="713"/>
      <c r="BZ72" s="713"/>
      <c r="CA72" s="713"/>
      <c r="CB72" s="713"/>
      <c r="CC72" s="713"/>
      <c r="CD72" s="713"/>
      <c r="CE72" s="713"/>
      <c r="CF72" s="713"/>
      <c r="CG72" s="713"/>
      <c r="CH72" s="713"/>
      <c r="CI72" s="713"/>
      <c r="CJ72" s="713"/>
      <c r="CK72" s="713"/>
      <c r="CL72" s="713"/>
      <c r="CM72" s="713"/>
      <c r="CN72" s="713"/>
      <c r="CO72" s="713"/>
      <c r="CP72" s="713"/>
      <c r="CQ72" s="713"/>
      <c r="CR72" s="713"/>
      <c r="CS72" s="713"/>
      <c r="CT72" s="713"/>
      <c r="CU72" s="713"/>
      <c r="CV72" s="713"/>
      <c r="CW72" s="713"/>
      <c r="CX72" s="713"/>
      <c r="CY72" s="713"/>
      <c r="CZ72" s="713"/>
      <c r="DA72" s="713"/>
      <c r="DB72" s="713"/>
      <c r="DC72" s="713"/>
      <c r="DD72" s="713"/>
      <c r="DE72" s="713"/>
      <c r="DF72" s="713"/>
      <c r="DG72" s="713"/>
      <c r="DH72" s="713"/>
      <c r="DI72" s="713"/>
      <c r="DJ72" s="713"/>
      <c r="DK72" s="713"/>
      <c r="DL72" s="713"/>
      <c r="DM72" s="713"/>
      <c r="DN72" s="713"/>
      <c r="DO72" s="713"/>
      <c r="DP72" s="713"/>
      <c r="DQ72" s="713"/>
      <c r="DR72" s="713"/>
      <c r="DS72" s="713"/>
      <c r="DT72" s="713"/>
      <c r="DU72" s="713"/>
      <c r="DV72" s="713"/>
      <c r="DW72" s="713"/>
      <c r="DX72" s="713"/>
      <c r="DY72" s="713"/>
      <c r="DZ72" s="713"/>
      <c r="EA72" s="713"/>
      <c r="EB72" s="713"/>
      <c r="EC72" s="713"/>
      <c r="ED72" s="713"/>
      <c r="EE72" s="713"/>
      <c r="EF72" s="713"/>
      <c r="EG72" s="713"/>
      <c r="EH72" s="713"/>
      <c r="EI72" s="713"/>
      <c r="EJ72" s="713"/>
      <c r="EK72" s="713"/>
      <c r="EL72" s="713"/>
      <c r="EM72" s="713"/>
      <c r="EN72" s="713"/>
      <c r="EO72" s="713"/>
      <c r="EP72" s="713"/>
      <c r="EQ72" s="713"/>
      <c r="ER72" s="713"/>
      <c r="ES72" s="713"/>
      <c r="ET72" s="713"/>
      <c r="EU72" s="713"/>
      <c r="EV72" s="713"/>
      <c r="EW72" s="713"/>
      <c r="EX72" s="713"/>
      <c r="EY72" s="713"/>
      <c r="EZ72" s="713"/>
      <c r="FA72" s="713"/>
      <c r="FB72" s="713"/>
      <c r="FC72" s="713"/>
      <c r="FD72" s="713"/>
      <c r="FE72" s="713"/>
      <c r="FF72" s="713"/>
      <c r="FG72" s="713"/>
      <c r="FH72" s="713"/>
      <c r="FI72" s="713"/>
      <c r="FJ72" s="713"/>
      <c r="FK72" s="713"/>
      <c r="FL72" s="713"/>
      <c r="FM72" s="713"/>
      <c r="FN72" s="713"/>
      <c r="FO72" s="713"/>
      <c r="FP72" s="713"/>
      <c r="FQ72" s="713"/>
      <c r="FR72" s="713"/>
      <c r="FS72" s="713"/>
      <c r="FT72" s="713"/>
      <c r="FU72" s="713"/>
      <c r="FV72" s="713"/>
      <c r="FW72" s="713"/>
      <c r="FX72" s="713"/>
      <c r="FY72" s="713"/>
      <c r="FZ72" s="713"/>
      <c r="GA72" s="713"/>
      <c r="GB72" s="713"/>
      <c r="GC72" s="713"/>
      <c r="GD72" s="713"/>
      <c r="GE72" s="713"/>
      <c r="GF72" s="713"/>
      <c r="GG72" s="713"/>
      <c r="GH72" s="713"/>
      <c r="GI72" s="713"/>
      <c r="GJ72" s="713"/>
      <c r="GK72" s="713"/>
      <c r="GL72" s="713"/>
      <c r="GM72" s="713"/>
      <c r="GN72" s="713"/>
      <c r="GO72" s="713"/>
      <c r="GP72" s="713"/>
      <c r="GQ72" s="713"/>
      <c r="GR72" s="713"/>
      <c r="GS72" s="713"/>
      <c r="GT72" s="713"/>
      <c r="GU72" s="713"/>
      <c r="GV72" s="713"/>
      <c r="GW72" s="713"/>
      <c r="GX72" s="713"/>
      <c r="GY72" s="713"/>
      <c r="GZ72" s="713"/>
      <c r="HA72" s="713"/>
      <c r="HB72" s="713"/>
      <c r="HC72" s="713"/>
      <c r="HD72" s="713"/>
      <c r="HE72" s="713"/>
      <c r="HF72" s="713"/>
      <c r="HG72" s="713"/>
      <c r="HH72" s="713"/>
      <c r="HI72" s="713"/>
      <c r="HJ72" s="713"/>
      <c r="HK72" s="713"/>
      <c r="HL72" s="713"/>
      <c r="HM72" s="713"/>
      <c r="HN72" s="713"/>
      <c r="HO72" s="713"/>
      <c r="HP72" s="713"/>
      <c r="HQ72" s="713"/>
      <c r="HR72" s="713"/>
      <c r="HS72" s="713"/>
      <c r="HT72" s="713"/>
      <c r="HU72" s="713"/>
      <c r="HV72" s="713"/>
      <c r="HW72" s="713"/>
      <c r="HX72" s="713"/>
      <c r="HY72" s="713"/>
      <c r="HZ72" s="713"/>
      <c r="IA72" s="713"/>
      <c r="IB72" s="713"/>
      <c r="IC72" s="713"/>
      <c r="ID72" s="713"/>
      <c r="IE72" s="713"/>
      <c r="IF72" s="713"/>
      <c r="IG72" s="713"/>
      <c r="IH72" s="713"/>
    </row>
    <row r="73">
      <c r="A73" s="600"/>
      <c r="B73" s="983" t="s">
        <v>500</v>
      </c>
      <c r="C73" s="598"/>
      <c r="D73" s="984"/>
      <c r="E73" s="985"/>
      <c r="F73" s="598"/>
      <c r="G73" s="598"/>
      <c r="H73" s="598"/>
      <c r="I73" s="600"/>
      <c r="J73" s="986" t="s">
        <v>501</v>
      </c>
      <c r="K73" s="598"/>
      <c r="L73" s="987"/>
      <c r="M73" s="988"/>
      <c r="N73" s="598"/>
      <c r="O73" s="598"/>
      <c r="P73" s="598"/>
      <c r="Q73" s="598"/>
      <c r="R73" s="598"/>
      <c r="S73" s="598"/>
      <c r="T73" s="598"/>
      <c r="U73" s="598"/>
      <c r="V73" s="598"/>
      <c r="W73" s="598"/>
      <c r="X73" s="598"/>
      <c r="Y73" s="598"/>
      <c r="Z73" s="598"/>
      <c r="AA73" s="911"/>
      <c r="AB73" s="966"/>
      <c r="AC73" s="713" t="str">
        <f>IFERROR(__xludf.DUMMYFUNCTION("""COMPUTED_VALUE"""),"Energy Net Mastery")</f>
        <v>Energy Net Mastery</v>
      </c>
      <c r="AD73" s="825" t="s">
        <v>365</v>
      </c>
      <c r="AE73" s="713">
        <v>0.0</v>
      </c>
      <c r="AF73" s="713"/>
      <c r="AG73" s="713">
        <v>9.0</v>
      </c>
      <c r="AH73" s="967" t="str">
        <f>IFERROR(__xludf.DUMMYFUNCTION("IFERROR(IF(K14 = """", SEQUENCE(1, VALUE(VLOOKUP(M14, AD:AG, 4, false)) - VALUE(VLOOKUP(M14, AD:AG, 2, false)), VALUE(VLOOKUP(M14, AD:AG, 2, false)) + 1),
    IF(ISBETWEEN(K14, VALUE(VLOOKUP(M14, AD:AG, 2, false)), VALUE(VLOOKUP(M14, AD:AG, 4, false))),
 "&amp;"       SEQUENCE(1, VALUE(VLOOKUP(M14, AD:AG, 4, false)) - K14, K14 + 1),
        """")))"),"")</f>
        <v/>
      </c>
      <c r="AI73" s="713"/>
      <c r="AJ73" s="713"/>
      <c r="AK73" s="713"/>
      <c r="AL73" s="713"/>
      <c r="AM73" s="713"/>
      <c r="AN73" s="713"/>
      <c r="AO73" s="713"/>
      <c r="AP73" s="713"/>
      <c r="AQ73" s="713"/>
      <c r="AR73" s="713"/>
      <c r="AS73" s="713"/>
      <c r="AT73" s="713"/>
      <c r="AU73" s="713"/>
      <c r="AV73" s="713"/>
      <c r="AW73" s="713"/>
      <c r="AX73" s="713"/>
      <c r="AY73" s="713"/>
      <c r="AZ73" s="713"/>
      <c r="BA73" s="713"/>
      <c r="BB73" s="713"/>
      <c r="BC73" s="713"/>
      <c r="BD73" s="713"/>
      <c r="BE73" s="713"/>
      <c r="BF73" s="713"/>
      <c r="BG73" s="713"/>
      <c r="BH73" s="713"/>
      <c r="BI73" s="713"/>
      <c r="BJ73" s="713"/>
      <c r="BK73" s="713"/>
      <c r="BL73" s="713"/>
      <c r="BM73" s="713"/>
      <c r="BN73" s="713"/>
      <c r="BO73" s="713"/>
      <c r="BP73" s="713"/>
      <c r="BQ73" s="713"/>
      <c r="BR73" s="713"/>
      <c r="BS73" s="713"/>
      <c r="BT73" s="713"/>
      <c r="BU73" s="713"/>
      <c r="BV73" s="713"/>
      <c r="BW73" s="713"/>
      <c r="BX73" s="713"/>
      <c r="BY73" s="713"/>
      <c r="BZ73" s="713"/>
      <c r="CA73" s="713"/>
      <c r="CB73" s="713"/>
      <c r="CC73" s="713"/>
      <c r="CD73" s="713"/>
      <c r="CE73" s="713"/>
      <c r="CF73" s="713"/>
      <c r="CG73" s="713"/>
      <c r="CH73" s="713"/>
      <c r="CI73" s="713"/>
      <c r="CJ73" s="713"/>
      <c r="CK73" s="713"/>
      <c r="CL73" s="713"/>
      <c r="CM73" s="713"/>
      <c r="CN73" s="713"/>
      <c r="CO73" s="713"/>
      <c r="CP73" s="713"/>
      <c r="CQ73" s="713"/>
      <c r="CR73" s="713"/>
      <c r="CS73" s="713"/>
      <c r="CT73" s="713"/>
      <c r="CU73" s="713"/>
      <c r="CV73" s="713"/>
      <c r="CW73" s="713"/>
      <c r="CX73" s="713"/>
      <c r="CY73" s="713"/>
      <c r="CZ73" s="713"/>
      <c r="DA73" s="713"/>
      <c r="DB73" s="713"/>
      <c r="DC73" s="713"/>
      <c r="DD73" s="713"/>
      <c r="DE73" s="713"/>
      <c r="DF73" s="713"/>
      <c r="DG73" s="713"/>
      <c r="DH73" s="713"/>
      <c r="DI73" s="713"/>
      <c r="DJ73" s="713"/>
      <c r="DK73" s="713"/>
      <c r="DL73" s="713"/>
      <c r="DM73" s="713"/>
      <c r="DN73" s="713"/>
      <c r="DO73" s="713"/>
      <c r="DP73" s="713"/>
      <c r="DQ73" s="713"/>
      <c r="DR73" s="713"/>
      <c r="DS73" s="713"/>
      <c r="DT73" s="713"/>
      <c r="DU73" s="713"/>
      <c r="DV73" s="713"/>
      <c r="DW73" s="713"/>
      <c r="DX73" s="713"/>
      <c r="DY73" s="713"/>
      <c r="DZ73" s="713"/>
      <c r="EA73" s="713"/>
      <c r="EB73" s="713"/>
      <c r="EC73" s="713"/>
      <c r="ED73" s="713"/>
      <c r="EE73" s="713"/>
      <c r="EF73" s="713"/>
      <c r="EG73" s="713"/>
      <c r="EH73" s="713"/>
      <c r="EI73" s="713"/>
      <c r="EJ73" s="713"/>
      <c r="EK73" s="713"/>
      <c r="EL73" s="713"/>
      <c r="EM73" s="713"/>
      <c r="EN73" s="713"/>
      <c r="EO73" s="713"/>
      <c r="EP73" s="713"/>
      <c r="EQ73" s="713"/>
      <c r="ER73" s="713"/>
      <c r="ES73" s="713"/>
      <c r="ET73" s="713"/>
      <c r="EU73" s="713"/>
      <c r="EV73" s="713"/>
      <c r="EW73" s="713"/>
      <c r="EX73" s="713"/>
      <c r="EY73" s="713"/>
      <c r="EZ73" s="713"/>
      <c r="FA73" s="713"/>
      <c r="FB73" s="713"/>
      <c r="FC73" s="713"/>
      <c r="FD73" s="713"/>
      <c r="FE73" s="713"/>
      <c r="FF73" s="713"/>
      <c r="FG73" s="713"/>
      <c r="FH73" s="713"/>
      <c r="FI73" s="713"/>
      <c r="FJ73" s="713"/>
      <c r="FK73" s="713"/>
      <c r="FL73" s="713"/>
      <c r="FM73" s="713"/>
      <c r="FN73" s="713"/>
      <c r="FO73" s="713"/>
      <c r="FP73" s="713"/>
      <c r="FQ73" s="713"/>
      <c r="FR73" s="713"/>
      <c r="FS73" s="713"/>
      <c r="FT73" s="713"/>
      <c r="FU73" s="713"/>
      <c r="FV73" s="713"/>
      <c r="FW73" s="713"/>
      <c r="FX73" s="713"/>
      <c r="FY73" s="713"/>
      <c r="FZ73" s="713"/>
      <c r="GA73" s="713"/>
      <c r="GB73" s="713"/>
      <c r="GC73" s="713"/>
      <c r="GD73" s="713"/>
      <c r="GE73" s="713"/>
      <c r="GF73" s="713"/>
      <c r="GG73" s="713"/>
      <c r="GH73" s="713"/>
      <c r="GI73" s="713"/>
      <c r="GJ73" s="713"/>
      <c r="GK73" s="713"/>
      <c r="GL73" s="713"/>
      <c r="GM73" s="713"/>
      <c r="GN73" s="713"/>
      <c r="GO73" s="713"/>
      <c r="GP73" s="713"/>
      <c r="GQ73" s="713"/>
      <c r="GR73" s="713"/>
      <c r="GS73" s="713"/>
      <c r="GT73" s="713"/>
      <c r="GU73" s="713"/>
      <c r="GV73" s="713"/>
      <c r="GW73" s="713"/>
      <c r="GX73" s="713"/>
      <c r="GY73" s="713"/>
      <c r="GZ73" s="713"/>
      <c r="HA73" s="713"/>
      <c r="HB73" s="713"/>
      <c r="HC73" s="713"/>
      <c r="HD73" s="713"/>
      <c r="HE73" s="713"/>
      <c r="HF73" s="713"/>
      <c r="HG73" s="713"/>
      <c r="HH73" s="713"/>
      <c r="HI73" s="713"/>
      <c r="HJ73" s="713"/>
      <c r="HK73" s="713"/>
      <c r="HL73" s="713"/>
      <c r="HM73" s="713"/>
      <c r="HN73" s="713"/>
      <c r="HO73" s="713"/>
      <c r="HP73" s="713"/>
      <c r="HQ73" s="713"/>
      <c r="HR73" s="713"/>
      <c r="HS73" s="713"/>
      <c r="HT73" s="713"/>
      <c r="HU73" s="713"/>
      <c r="HV73" s="713"/>
      <c r="HW73" s="713"/>
      <c r="HX73" s="713"/>
      <c r="HY73" s="713"/>
      <c r="HZ73" s="713"/>
      <c r="IA73" s="713"/>
      <c r="IB73" s="713"/>
      <c r="IC73" s="713"/>
      <c r="ID73" s="713"/>
      <c r="IE73" s="713"/>
      <c r="IF73" s="713"/>
      <c r="IG73" s="713"/>
      <c r="IH73" s="713"/>
    </row>
    <row r="74">
      <c r="A74" s="600"/>
      <c r="B74" s="983" t="s">
        <v>500</v>
      </c>
      <c r="C74" s="598"/>
      <c r="D74" s="984"/>
      <c r="E74" s="985"/>
      <c r="F74" s="598"/>
      <c r="G74" s="598"/>
      <c r="H74" s="598"/>
      <c r="I74" s="600"/>
      <c r="J74" s="986" t="s">
        <v>501</v>
      </c>
      <c r="K74" s="598"/>
      <c r="L74" s="987"/>
      <c r="M74" s="988"/>
      <c r="N74" s="598"/>
      <c r="O74" s="598"/>
      <c r="P74" s="598"/>
      <c r="Q74" s="598"/>
      <c r="R74" s="598"/>
      <c r="S74" s="989" t="s">
        <v>502</v>
      </c>
      <c r="T74" s="990" t="s">
        <v>503</v>
      </c>
      <c r="U74" s="616"/>
      <c r="V74" s="617"/>
      <c r="W74" s="598"/>
      <c r="X74" s="598"/>
      <c r="Y74" s="598"/>
      <c r="Z74" s="598"/>
      <c r="AA74" s="911"/>
      <c r="AB74" s="966"/>
      <c r="AC74" s="713" t="str">
        <f>IFERROR(__xludf.DUMMYFUNCTION("""COMPUTED_VALUE"""),"Energy Shield Extra Hit")</f>
        <v>Energy Shield Extra Hit</v>
      </c>
      <c r="AD74" s="816" t="s">
        <v>220</v>
      </c>
      <c r="AE74" s="713">
        <v>2.0</v>
      </c>
      <c r="AF74" s="713"/>
      <c r="AG74" s="713">
        <v>2.0</v>
      </c>
      <c r="AH74" s="967" t="str">
        <f>IFERROR(__xludf.DUMMYFUNCTION("IFERROR(IF(K15 = """", SEQUENCE(1, VALUE(VLOOKUP(M15, AD:AG, 4, false)) - VALUE(VLOOKUP(M15, AD:AG, 2, false)), VALUE(VLOOKUP(M15, AD:AG, 2, false)) + 1),
    IF(ISBETWEEN(K15, VALUE(VLOOKUP(M15, AD:AG, 2, false)), VALUE(VLOOKUP(M15, AD:AG, 4, false))),
 "&amp;"       SEQUENCE(1, VALUE(VLOOKUP(M15, AD:AG, 4, false)) - K15, K15 + 1),
        """")))"),"")</f>
        <v/>
      </c>
      <c r="AI74" s="713"/>
      <c r="AJ74" s="713"/>
      <c r="AK74" s="713"/>
      <c r="AL74" s="713"/>
      <c r="AM74" s="713"/>
      <c r="AN74" s="713"/>
      <c r="AO74" s="713"/>
      <c r="AP74" s="713"/>
      <c r="AQ74" s="713"/>
      <c r="AR74" s="713"/>
      <c r="AS74" s="713"/>
      <c r="AT74" s="713"/>
      <c r="AU74" s="713"/>
      <c r="AV74" s="713"/>
      <c r="AW74" s="713"/>
      <c r="AX74" s="713"/>
      <c r="AY74" s="713"/>
      <c r="AZ74" s="713"/>
      <c r="BA74" s="713"/>
      <c r="BB74" s="713"/>
      <c r="BC74" s="713"/>
      <c r="BD74" s="713"/>
      <c r="BE74" s="713"/>
      <c r="BF74" s="713"/>
      <c r="BG74" s="713"/>
      <c r="BH74" s="713"/>
      <c r="BI74" s="713"/>
      <c r="BJ74" s="713"/>
      <c r="BK74" s="713"/>
      <c r="BL74" s="713"/>
      <c r="BM74" s="713"/>
      <c r="BN74" s="713"/>
      <c r="BO74" s="713"/>
      <c r="BP74" s="713"/>
      <c r="BQ74" s="713"/>
      <c r="BR74" s="713"/>
      <c r="BS74" s="713"/>
      <c r="BT74" s="713"/>
      <c r="BU74" s="713"/>
      <c r="BV74" s="713"/>
      <c r="BW74" s="713"/>
      <c r="BX74" s="713"/>
      <c r="BY74" s="713"/>
      <c r="BZ74" s="713"/>
      <c r="CA74" s="713"/>
      <c r="CB74" s="713"/>
      <c r="CC74" s="713"/>
      <c r="CD74" s="713"/>
      <c r="CE74" s="713"/>
      <c r="CF74" s="713"/>
      <c r="CG74" s="713"/>
      <c r="CH74" s="713"/>
      <c r="CI74" s="713"/>
      <c r="CJ74" s="713"/>
      <c r="CK74" s="713"/>
      <c r="CL74" s="713"/>
      <c r="CM74" s="713"/>
      <c r="CN74" s="713"/>
      <c r="CO74" s="713"/>
      <c r="CP74" s="713"/>
      <c r="CQ74" s="713"/>
      <c r="CR74" s="713"/>
      <c r="CS74" s="713"/>
      <c r="CT74" s="713"/>
      <c r="CU74" s="713"/>
      <c r="CV74" s="713"/>
      <c r="CW74" s="713"/>
      <c r="CX74" s="713"/>
      <c r="CY74" s="713"/>
      <c r="CZ74" s="713"/>
      <c r="DA74" s="713"/>
      <c r="DB74" s="713"/>
      <c r="DC74" s="713"/>
      <c r="DD74" s="713"/>
      <c r="DE74" s="713"/>
      <c r="DF74" s="713"/>
      <c r="DG74" s="713"/>
      <c r="DH74" s="713"/>
      <c r="DI74" s="713"/>
      <c r="DJ74" s="713"/>
      <c r="DK74" s="713"/>
      <c r="DL74" s="713"/>
      <c r="DM74" s="713"/>
      <c r="DN74" s="713"/>
      <c r="DO74" s="713"/>
      <c r="DP74" s="713"/>
      <c r="DQ74" s="713"/>
      <c r="DR74" s="713"/>
      <c r="DS74" s="713"/>
      <c r="DT74" s="713"/>
      <c r="DU74" s="713"/>
      <c r="DV74" s="713"/>
      <c r="DW74" s="713"/>
      <c r="DX74" s="713"/>
      <c r="DY74" s="713"/>
      <c r="DZ74" s="713"/>
      <c r="EA74" s="713"/>
      <c r="EB74" s="713"/>
      <c r="EC74" s="713"/>
      <c r="ED74" s="713"/>
      <c r="EE74" s="713"/>
      <c r="EF74" s="713"/>
      <c r="EG74" s="713"/>
      <c r="EH74" s="713"/>
      <c r="EI74" s="713"/>
      <c r="EJ74" s="713"/>
      <c r="EK74" s="713"/>
      <c r="EL74" s="713"/>
      <c r="EM74" s="713"/>
      <c r="EN74" s="713"/>
      <c r="EO74" s="713"/>
      <c r="EP74" s="713"/>
      <c r="EQ74" s="713"/>
      <c r="ER74" s="713"/>
      <c r="ES74" s="713"/>
      <c r="ET74" s="713"/>
      <c r="EU74" s="713"/>
      <c r="EV74" s="713"/>
      <c r="EW74" s="713"/>
      <c r="EX74" s="713"/>
      <c r="EY74" s="713"/>
      <c r="EZ74" s="713"/>
      <c r="FA74" s="713"/>
      <c r="FB74" s="713"/>
      <c r="FC74" s="713"/>
      <c r="FD74" s="713"/>
      <c r="FE74" s="713"/>
      <c r="FF74" s="713"/>
      <c r="FG74" s="713"/>
      <c r="FH74" s="713"/>
      <c r="FI74" s="713"/>
      <c r="FJ74" s="713"/>
      <c r="FK74" s="713"/>
      <c r="FL74" s="713"/>
      <c r="FM74" s="713"/>
      <c r="FN74" s="713"/>
      <c r="FO74" s="713"/>
      <c r="FP74" s="713"/>
      <c r="FQ74" s="713"/>
      <c r="FR74" s="713"/>
      <c r="FS74" s="713"/>
      <c r="FT74" s="713"/>
      <c r="FU74" s="713"/>
      <c r="FV74" s="713"/>
      <c r="FW74" s="713"/>
      <c r="FX74" s="713"/>
      <c r="FY74" s="713"/>
      <c r="FZ74" s="713"/>
      <c r="GA74" s="713"/>
      <c r="GB74" s="713"/>
      <c r="GC74" s="713"/>
      <c r="GD74" s="713"/>
      <c r="GE74" s="713"/>
      <c r="GF74" s="713"/>
      <c r="GG74" s="713"/>
      <c r="GH74" s="713"/>
      <c r="GI74" s="713"/>
      <c r="GJ74" s="713"/>
      <c r="GK74" s="713"/>
      <c r="GL74" s="713"/>
      <c r="GM74" s="713"/>
      <c r="GN74" s="713"/>
      <c r="GO74" s="713"/>
      <c r="GP74" s="713"/>
      <c r="GQ74" s="713"/>
      <c r="GR74" s="713"/>
      <c r="GS74" s="713"/>
      <c r="GT74" s="713"/>
      <c r="GU74" s="713"/>
      <c r="GV74" s="713"/>
      <c r="GW74" s="713"/>
      <c r="GX74" s="713"/>
      <c r="GY74" s="713"/>
      <c r="GZ74" s="713"/>
      <c r="HA74" s="713"/>
      <c r="HB74" s="713"/>
      <c r="HC74" s="713"/>
      <c r="HD74" s="713"/>
      <c r="HE74" s="713"/>
      <c r="HF74" s="713"/>
      <c r="HG74" s="713"/>
      <c r="HH74" s="713"/>
      <c r="HI74" s="713"/>
      <c r="HJ74" s="713"/>
      <c r="HK74" s="713"/>
      <c r="HL74" s="713"/>
      <c r="HM74" s="713"/>
      <c r="HN74" s="713"/>
      <c r="HO74" s="713"/>
      <c r="HP74" s="713"/>
      <c r="HQ74" s="713"/>
      <c r="HR74" s="713"/>
      <c r="HS74" s="713"/>
      <c r="HT74" s="713"/>
      <c r="HU74" s="713"/>
      <c r="HV74" s="713"/>
      <c r="HW74" s="713"/>
      <c r="HX74" s="713"/>
      <c r="HY74" s="713"/>
      <c r="HZ74" s="713"/>
      <c r="IA74" s="713"/>
      <c r="IB74" s="713"/>
      <c r="IC74" s="713"/>
      <c r="ID74" s="713"/>
      <c r="IE74" s="713"/>
      <c r="IF74" s="713"/>
      <c r="IG74" s="713"/>
      <c r="IH74" s="713"/>
    </row>
    <row r="75">
      <c r="A75" s="600"/>
      <c r="B75" s="983" t="s">
        <v>500</v>
      </c>
      <c r="C75" s="598"/>
      <c r="D75" s="984"/>
      <c r="E75" s="985"/>
      <c r="F75" s="598"/>
      <c r="G75" s="598"/>
      <c r="H75" s="598"/>
      <c r="I75" s="600"/>
      <c r="J75" s="986" t="s">
        <v>501</v>
      </c>
      <c r="K75" s="598"/>
      <c r="L75" s="987"/>
      <c r="M75" s="988"/>
      <c r="N75" s="598"/>
      <c r="O75" s="598"/>
      <c r="P75" s="598"/>
      <c r="Q75" s="598"/>
      <c r="R75" s="598"/>
      <c r="S75" s="991"/>
      <c r="T75" s="882"/>
      <c r="V75" s="765"/>
      <c r="W75" s="598"/>
      <c r="X75" s="598"/>
      <c r="Y75" s="598"/>
      <c r="Z75" s="598"/>
      <c r="AA75" s="911"/>
      <c r="AB75" s="966"/>
      <c r="AC75" s="713" t="str">
        <f>IFERROR(__xludf.DUMMYFUNCTION("""COMPUTED_VALUE"""),"Energy Shield Mastery")</f>
        <v>Energy Shield Mastery</v>
      </c>
      <c r="AD75" s="825" t="s">
        <v>373</v>
      </c>
      <c r="AE75" s="713">
        <v>0.0</v>
      </c>
      <c r="AF75" s="713"/>
      <c r="AG75" s="713">
        <v>9.0</v>
      </c>
      <c r="AH75" s="967" t="str">
        <f>IFERROR(__xludf.DUMMYFUNCTION("IFERROR(IF(K16 = """", SEQUENCE(1, VALUE(VLOOKUP(M16, AD:AG, 4, false)) - VALUE(VLOOKUP(M16, AD:AG, 2, false)), VALUE(VLOOKUP(M16, AD:AG, 2, false)) + 1),
    IF(ISBETWEEN(K16, VALUE(VLOOKUP(M16, AD:AG, 2, false)), VALUE(VLOOKUP(M16, AD:AG, 4, false))),
 "&amp;"       SEQUENCE(1, VALUE(VLOOKUP(M16, AD:AG, 4, false)) - K16, K16 + 1),
        """")))"),"")</f>
        <v/>
      </c>
      <c r="AI75" s="713"/>
      <c r="AJ75" s="713"/>
      <c r="AK75" s="713"/>
      <c r="AL75" s="713"/>
      <c r="AM75" s="713"/>
      <c r="AN75" s="713"/>
      <c r="AO75" s="713"/>
      <c r="AP75" s="713"/>
      <c r="AQ75" s="713"/>
      <c r="AR75" s="713"/>
      <c r="AS75" s="713"/>
      <c r="AT75" s="713"/>
      <c r="AU75" s="713"/>
      <c r="AV75" s="713"/>
      <c r="AW75" s="713"/>
      <c r="AX75" s="713"/>
      <c r="AY75" s="713"/>
      <c r="AZ75" s="713"/>
      <c r="BA75" s="713"/>
      <c r="BB75" s="713"/>
      <c r="BC75" s="713"/>
      <c r="BD75" s="713"/>
      <c r="BE75" s="713"/>
      <c r="BF75" s="713"/>
      <c r="BG75" s="713"/>
      <c r="BH75" s="713"/>
      <c r="BI75" s="713"/>
      <c r="BJ75" s="713"/>
      <c r="BK75" s="713"/>
      <c r="BL75" s="713"/>
      <c r="BM75" s="713"/>
      <c r="BN75" s="713"/>
      <c r="BO75" s="713"/>
      <c r="BP75" s="713"/>
      <c r="BQ75" s="713"/>
      <c r="BR75" s="713"/>
      <c r="BS75" s="713"/>
      <c r="BT75" s="713"/>
      <c r="BU75" s="713"/>
      <c r="BV75" s="713"/>
      <c r="BW75" s="713"/>
      <c r="BX75" s="713"/>
      <c r="BY75" s="713"/>
      <c r="BZ75" s="713"/>
      <c r="CA75" s="713"/>
      <c r="CB75" s="713"/>
      <c r="CC75" s="713"/>
      <c r="CD75" s="713"/>
      <c r="CE75" s="713"/>
      <c r="CF75" s="713"/>
      <c r="CG75" s="713"/>
      <c r="CH75" s="713"/>
      <c r="CI75" s="713"/>
      <c r="CJ75" s="713"/>
      <c r="CK75" s="713"/>
      <c r="CL75" s="713"/>
      <c r="CM75" s="713"/>
      <c r="CN75" s="713"/>
      <c r="CO75" s="713"/>
      <c r="CP75" s="713"/>
      <c r="CQ75" s="713"/>
      <c r="CR75" s="713"/>
      <c r="CS75" s="713"/>
      <c r="CT75" s="713"/>
      <c r="CU75" s="713"/>
      <c r="CV75" s="713"/>
      <c r="CW75" s="713"/>
      <c r="CX75" s="713"/>
      <c r="CY75" s="713"/>
      <c r="CZ75" s="713"/>
      <c r="DA75" s="713"/>
      <c r="DB75" s="713"/>
      <c r="DC75" s="713"/>
      <c r="DD75" s="713"/>
      <c r="DE75" s="713"/>
      <c r="DF75" s="713"/>
      <c r="DG75" s="713"/>
      <c r="DH75" s="713"/>
      <c r="DI75" s="713"/>
      <c r="DJ75" s="713"/>
      <c r="DK75" s="713"/>
      <c r="DL75" s="713"/>
      <c r="DM75" s="713"/>
      <c r="DN75" s="713"/>
      <c r="DO75" s="713"/>
      <c r="DP75" s="713"/>
      <c r="DQ75" s="713"/>
      <c r="DR75" s="713"/>
      <c r="DS75" s="713"/>
      <c r="DT75" s="713"/>
      <c r="DU75" s="713"/>
      <c r="DV75" s="713"/>
      <c r="DW75" s="713"/>
      <c r="DX75" s="713"/>
      <c r="DY75" s="713"/>
      <c r="DZ75" s="713"/>
      <c r="EA75" s="713"/>
      <c r="EB75" s="713"/>
      <c r="EC75" s="713"/>
      <c r="ED75" s="713"/>
      <c r="EE75" s="713"/>
      <c r="EF75" s="713"/>
      <c r="EG75" s="713"/>
      <c r="EH75" s="713"/>
      <c r="EI75" s="713"/>
      <c r="EJ75" s="713"/>
      <c r="EK75" s="713"/>
      <c r="EL75" s="713"/>
      <c r="EM75" s="713"/>
      <c r="EN75" s="713"/>
      <c r="EO75" s="713"/>
      <c r="EP75" s="713"/>
      <c r="EQ75" s="713"/>
      <c r="ER75" s="713"/>
      <c r="ES75" s="713"/>
      <c r="ET75" s="713"/>
      <c r="EU75" s="713"/>
      <c r="EV75" s="713"/>
      <c r="EW75" s="713"/>
      <c r="EX75" s="713"/>
      <c r="EY75" s="713"/>
      <c r="EZ75" s="713"/>
      <c r="FA75" s="713"/>
      <c r="FB75" s="713"/>
      <c r="FC75" s="713"/>
      <c r="FD75" s="713"/>
      <c r="FE75" s="713"/>
      <c r="FF75" s="713"/>
      <c r="FG75" s="713"/>
      <c r="FH75" s="713"/>
      <c r="FI75" s="713"/>
      <c r="FJ75" s="713"/>
      <c r="FK75" s="713"/>
      <c r="FL75" s="713"/>
      <c r="FM75" s="713"/>
      <c r="FN75" s="713"/>
      <c r="FO75" s="713"/>
      <c r="FP75" s="713"/>
      <c r="FQ75" s="713"/>
      <c r="FR75" s="713"/>
      <c r="FS75" s="713"/>
      <c r="FT75" s="713"/>
      <c r="FU75" s="713"/>
      <c r="FV75" s="713"/>
      <c r="FW75" s="713"/>
      <c r="FX75" s="713"/>
      <c r="FY75" s="713"/>
      <c r="FZ75" s="713"/>
      <c r="GA75" s="713"/>
      <c r="GB75" s="713"/>
      <c r="GC75" s="713"/>
      <c r="GD75" s="713"/>
      <c r="GE75" s="713"/>
      <c r="GF75" s="713"/>
      <c r="GG75" s="713"/>
      <c r="GH75" s="713"/>
      <c r="GI75" s="713"/>
      <c r="GJ75" s="713"/>
      <c r="GK75" s="713"/>
      <c r="GL75" s="713"/>
      <c r="GM75" s="713"/>
      <c r="GN75" s="713"/>
      <c r="GO75" s="713"/>
      <c r="GP75" s="713"/>
      <c r="GQ75" s="713"/>
      <c r="GR75" s="713"/>
      <c r="GS75" s="713"/>
      <c r="GT75" s="713"/>
      <c r="GU75" s="713"/>
      <c r="GV75" s="713"/>
      <c r="GW75" s="713"/>
      <c r="GX75" s="713"/>
      <c r="GY75" s="713"/>
      <c r="GZ75" s="713"/>
      <c r="HA75" s="713"/>
      <c r="HB75" s="713"/>
      <c r="HC75" s="713"/>
      <c r="HD75" s="713"/>
      <c r="HE75" s="713"/>
      <c r="HF75" s="713"/>
      <c r="HG75" s="713"/>
      <c r="HH75" s="713"/>
      <c r="HI75" s="713"/>
      <c r="HJ75" s="713"/>
      <c r="HK75" s="713"/>
      <c r="HL75" s="713"/>
      <c r="HM75" s="713"/>
      <c r="HN75" s="713"/>
      <c r="HO75" s="713"/>
      <c r="HP75" s="713"/>
      <c r="HQ75" s="713"/>
      <c r="HR75" s="713"/>
      <c r="HS75" s="713"/>
      <c r="HT75" s="713"/>
      <c r="HU75" s="713"/>
      <c r="HV75" s="713"/>
      <c r="HW75" s="713"/>
      <c r="HX75" s="713"/>
      <c r="HY75" s="713"/>
      <c r="HZ75" s="713"/>
      <c r="IA75" s="713"/>
      <c r="IB75" s="713"/>
      <c r="IC75" s="713"/>
      <c r="ID75" s="713"/>
      <c r="IE75" s="713"/>
      <c r="IF75" s="713"/>
      <c r="IG75" s="713"/>
      <c r="IH75" s="713"/>
    </row>
    <row r="76">
      <c r="A76" s="600"/>
      <c r="B76" s="983" t="s">
        <v>500</v>
      </c>
      <c r="C76" s="598"/>
      <c r="D76" s="984"/>
      <c r="E76" s="985"/>
      <c r="F76" s="598"/>
      <c r="G76" s="598"/>
      <c r="H76" s="598"/>
      <c r="I76" s="600"/>
      <c r="J76" s="986" t="s">
        <v>501</v>
      </c>
      <c r="K76" s="598"/>
      <c r="L76" s="987"/>
      <c r="M76" s="988"/>
      <c r="N76" s="598"/>
      <c r="O76" s="598"/>
      <c r="P76" s="598"/>
      <c r="Q76" s="598"/>
      <c r="R76" s="598"/>
      <c r="S76" s="991"/>
      <c r="T76" s="882"/>
      <c r="V76" s="765"/>
      <c r="W76" s="598"/>
      <c r="X76" s="598"/>
      <c r="Y76" s="598"/>
      <c r="Z76" s="598"/>
      <c r="AA76" s="911"/>
      <c r="AB76" s="966"/>
      <c r="AC76" s="713" t="str">
        <f>IFERROR(__xludf.DUMMYFUNCTION("""COMPUTED_VALUE"""),"Energy Shields Down")</f>
        <v>Energy Shields Down</v>
      </c>
      <c r="AD76" s="940" t="s">
        <v>337</v>
      </c>
      <c r="AE76" s="713">
        <v>0.0</v>
      </c>
      <c r="AF76" s="713"/>
      <c r="AG76" s="713">
        <v>10.0</v>
      </c>
      <c r="AH76" s="967" t="str">
        <f>IFERROR(__xludf.DUMMYFUNCTION("IFERROR(IF(K17 = """", SEQUENCE(1, VALUE(VLOOKUP(M17, AD:AG, 4, false)) - VALUE(VLOOKUP(M17, AD:AG, 2, false)), VALUE(VLOOKUP(M17, AD:AG, 2, false)) + 1),
    IF(ISBETWEEN(K17, VALUE(VLOOKUP(M17, AD:AG, 2, false)), VALUE(VLOOKUP(M17, AD:AG, 4, false))),
 "&amp;"       SEQUENCE(1, VALUE(VLOOKUP(M17, AD:AG, 4, false)) - K17, K17 + 1),
        """")))"),"")</f>
        <v/>
      </c>
      <c r="AI76" s="713"/>
      <c r="AJ76" s="713"/>
      <c r="AK76" s="713"/>
      <c r="AL76" s="713"/>
      <c r="AM76" s="713"/>
      <c r="AN76" s="713"/>
      <c r="AO76" s="713"/>
      <c r="AP76" s="713"/>
      <c r="AQ76" s="713"/>
      <c r="AR76" s="713"/>
      <c r="AS76" s="713"/>
      <c r="AT76" s="713"/>
      <c r="AU76" s="713"/>
      <c r="AV76" s="713"/>
      <c r="AW76" s="713"/>
      <c r="AX76" s="713"/>
      <c r="AY76" s="713"/>
      <c r="AZ76" s="713"/>
      <c r="BA76" s="713"/>
      <c r="BB76" s="713"/>
      <c r="BC76" s="713"/>
      <c r="BD76" s="713"/>
      <c r="BE76" s="713"/>
      <c r="BF76" s="713"/>
      <c r="BG76" s="713"/>
      <c r="BH76" s="713"/>
      <c r="BI76" s="713"/>
      <c r="BJ76" s="713"/>
      <c r="BK76" s="713"/>
      <c r="BL76" s="713"/>
      <c r="BM76" s="713"/>
      <c r="BN76" s="713"/>
      <c r="BO76" s="713"/>
      <c r="BP76" s="713"/>
      <c r="BQ76" s="713"/>
      <c r="BR76" s="713"/>
      <c r="BS76" s="713"/>
      <c r="BT76" s="713"/>
      <c r="BU76" s="713"/>
      <c r="BV76" s="713"/>
      <c r="BW76" s="713"/>
      <c r="BX76" s="713"/>
      <c r="BY76" s="713"/>
      <c r="BZ76" s="713"/>
      <c r="CA76" s="713"/>
      <c r="CB76" s="713"/>
      <c r="CC76" s="713"/>
      <c r="CD76" s="713"/>
      <c r="CE76" s="713"/>
      <c r="CF76" s="713"/>
      <c r="CG76" s="713"/>
      <c r="CH76" s="713"/>
      <c r="CI76" s="713"/>
      <c r="CJ76" s="713"/>
      <c r="CK76" s="713"/>
      <c r="CL76" s="713"/>
      <c r="CM76" s="713"/>
      <c r="CN76" s="713"/>
      <c r="CO76" s="713"/>
      <c r="CP76" s="713"/>
      <c r="CQ76" s="713"/>
      <c r="CR76" s="713"/>
      <c r="CS76" s="713"/>
      <c r="CT76" s="713"/>
      <c r="CU76" s="713"/>
      <c r="CV76" s="713"/>
      <c r="CW76" s="713"/>
      <c r="CX76" s="713"/>
      <c r="CY76" s="713"/>
      <c r="CZ76" s="713"/>
      <c r="DA76" s="713"/>
      <c r="DB76" s="713"/>
      <c r="DC76" s="713"/>
      <c r="DD76" s="713"/>
      <c r="DE76" s="713"/>
      <c r="DF76" s="713"/>
      <c r="DG76" s="713"/>
      <c r="DH76" s="713"/>
      <c r="DI76" s="713"/>
      <c r="DJ76" s="713"/>
      <c r="DK76" s="713"/>
      <c r="DL76" s="713"/>
      <c r="DM76" s="713"/>
      <c r="DN76" s="713"/>
      <c r="DO76" s="713"/>
      <c r="DP76" s="713"/>
      <c r="DQ76" s="713"/>
      <c r="DR76" s="713"/>
      <c r="DS76" s="713"/>
      <c r="DT76" s="713"/>
      <c r="DU76" s="713"/>
      <c r="DV76" s="713"/>
      <c r="DW76" s="713"/>
      <c r="DX76" s="713"/>
      <c r="DY76" s="713"/>
      <c r="DZ76" s="713"/>
      <c r="EA76" s="713"/>
      <c r="EB76" s="713"/>
      <c r="EC76" s="713"/>
      <c r="ED76" s="713"/>
      <c r="EE76" s="713"/>
      <c r="EF76" s="713"/>
      <c r="EG76" s="713"/>
      <c r="EH76" s="713"/>
      <c r="EI76" s="713"/>
      <c r="EJ76" s="713"/>
      <c r="EK76" s="713"/>
      <c r="EL76" s="713"/>
      <c r="EM76" s="713"/>
      <c r="EN76" s="713"/>
      <c r="EO76" s="713"/>
      <c r="EP76" s="713"/>
      <c r="EQ76" s="713"/>
      <c r="ER76" s="713"/>
      <c r="ES76" s="713"/>
      <c r="ET76" s="713"/>
      <c r="EU76" s="713"/>
      <c r="EV76" s="713"/>
      <c r="EW76" s="713"/>
      <c r="EX76" s="713"/>
      <c r="EY76" s="713"/>
      <c r="EZ76" s="713"/>
      <c r="FA76" s="713"/>
      <c r="FB76" s="713"/>
      <c r="FC76" s="713"/>
      <c r="FD76" s="713"/>
      <c r="FE76" s="713"/>
      <c r="FF76" s="713"/>
      <c r="FG76" s="713"/>
      <c r="FH76" s="713"/>
      <c r="FI76" s="713"/>
      <c r="FJ76" s="713"/>
      <c r="FK76" s="713"/>
      <c r="FL76" s="713"/>
      <c r="FM76" s="713"/>
      <c r="FN76" s="713"/>
      <c r="FO76" s="713"/>
      <c r="FP76" s="713"/>
      <c r="FQ76" s="713"/>
      <c r="FR76" s="713"/>
      <c r="FS76" s="713"/>
      <c r="FT76" s="713"/>
      <c r="FU76" s="713"/>
      <c r="FV76" s="713"/>
      <c r="FW76" s="713"/>
      <c r="FX76" s="713"/>
      <c r="FY76" s="713"/>
      <c r="FZ76" s="713"/>
      <c r="GA76" s="713"/>
      <c r="GB76" s="713"/>
      <c r="GC76" s="713"/>
      <c r="GD76" s="713"/>
      <c r="GE76" s="713"/>
      <c r="GF76" s="713"/>
      <c r="GG76" s="713"/>
      <c r="GH76" s="713"/>
      <c r="GI76" s="713"/>
      <c r="GJ76" s="713"/>
      <c r="GK76" s="713"/>
      <c r="GL76" s="713"/>
      <c r="GM76" s="713"/>
      <c r="GN76" s="713"/>
      <c r="GO76" s="713"/>
      <c r="GP76" s="713"/>
      <c r="GQ76" s="713"/>
      <c r="GR76" s="713"/>
      <c r="GS76" s="713"/>
      <c r="GT76" s="713"/>
      <c r="GU76" s="713"/>
      <c r="GV76" s="713"/>
      <c r="GW76" s="713"/>
      <c r="GX76" s="713"/>
      <c r="GY76" s="713"/>
      <c r="GZ76" s="713"/>
      <c r="HA76" s="713"/>
      <c r="HB76" s="713"/>
      <c r="HC76" s="713"/>
      <c r="HD76" s="713"/>
      <c r="HE76" s="713"/>
      <c r="HF76" s="713"/>
      <c r="HG76" s="713"/>
      <c r="HH76" s="713"/>
      <c r="HI76" s="713"/>
      <c r="HJ76" s="713"/>
      <c r="HK76" s="713"/>
      <c r="HL76" s="713"/>
      <c r="HM76" s="713"/>
      <c r="HN76" s="713"/>
      <c r="HO76" s="713"/>
      <c r="HP76" s="713"/>
      <c r="HQ76" s="713"/>
      <c r="HR76" s="713"/>
      <c r="HS76" s="713"/>
      <c r="HT76" s="713"/>
      <c r="HU76" s="713"/>
      <c r="HV76" s="713"/>
      <c r="HW76" s="713"/>
      <c r="HX76" s="713"/>
      <c r="HY76" s="713"/>
      <c r="HZ76" s="713"/>
      <c r="IA76" s="713"/>
      <c r="IB76" s="713"/>
      <c r="IC76" s="713"/>
      <c r="ID76" s="713"/>
      <c r="IE76" s="713"/>
      <c r="IF76" s="713"/>
      <c r="IG76" s="713"/>
      <c r="IH76" s="713"/>
    </row>
    <row r="77">
      <c r="A77" s="600"/>
      <c r="B77" s="983" t="s">
        <v>500</v>
      </c>
      <c r="C77" s="598"/>
      <c r="D77" s="984"/>
      <c r="E77" s="985"/>
      <c r="F77" s="598"/>
      <c r="G77" s="598"/>
      <c r="H77" s="598"/>
      <c r="I77" s="600"/>
      <c r="J77" s="986" t="s">
        <v>501</v>
      </c>
      <c r="K77" s="598"/>
      <c r="L77" s="987"/>
      <c r="M77" s="988"/>
      <c r="N77" s="598"/>
      <c r="O77" s="598"/>
      <c r="P77" s="598"/>
      <c r="Q77" s="598"/>
      <c r="R77" s="598"/>
      <c r="S77" s="991"/>
      <c r="T77" s="882"/>
      <c r="V77" s="765"/>
      <c r="W77" s="598"/>
      <c r="X77" s="598"/>
      <c r="Y77" s="598"/>
      <c r="Z77" s="598"/>
      <c r="AA77" s="911"/>
      <c r="AB77" s="966"/>
      <c r="AC77" s="713" t="str">
        <f>IFERROR(__xludf.DUMMYFUNCTION("""COMPUTED_VALUE"""),"Enhancement Attack - Coin Discount")</f>
        <v>Enhancement Attack - Coin Discount</v>
      </c>
      <c r="AD77" s="825" t="s">
        <v>308</v>
      </c>
      <c r="AE77" s="713">
        <v>0.0</v>
      </c>
      <c r="AF77" s="713"/>
      <c r="AG77" s="713">
        <v>100.0</v>
      </c>
      <c r="AH77" s="967" t="str">
        <f>IFERROR(__xludf.DUMMYFUNCTION("IFERROR(IF(K18 = """", SEQUENCE(1, VALUE(VLOOKUP(M18, AD:AG, 4, false)) - VALUE(VLOOKUP(M18, AD:AG, 2, false)), VALUE(VLOOKUP(M18, AD:AG, 2, false)) + 1),
    IF(ISBETWEEN(K18, VALUE(VLOOKUP(M18, AD:AG, 2, false)), VALUE(VLOOKUP(M18, AD:AG, 4, false))),
 "&amp;"       SEQUENCE(1, VALUE(VLOOKUP(M18, AD:AG, 4, false)) - K18, K18 + 1),
        """")))"),"")</f>
        <v/>
      </c>
      <c r="AI77" s="713"/>
      <c r="AJ77" s="713"/>
      <c r="AK77" s="713"/>
      <c r="AL77" s="713"/>
      <c r="AM77" s="713"/>
      <c r="AN77" s="713"/>
      <c r="AO77" s="713"/>
      <c r="AP77" s="713"/>
      <c r="AQ77" s="713"/>
      <c r="AR77" s="713"/>
      <c r="AS77" s="713"/>
      <c r="AT77" s="713"/>
      <c r="AU77" s="713"/>
      <c r="AV77" s="713"/>
      <c r="AW77" s="713"/>
      <c r="AX77" s="713"/>
      <c r="AY77" s="713"/>
      <c r="AZ77" s="713"/>
      <c r="BA77" s="713"/>
      <c r="BB77" s="713"/>
      <c r="BC77" s="713"/>
      <c r="BD77" s="713"/>
      <c r="BE77" s="713"/>
      <c r="BF77" s="713"/>
      <c r="BG77" s="713"/>
      <c r="BH77" s="713"/>
      <c r="BI77" s="713"/>
      <c r="BJ77" s="713"/>
      <c r="BK77" s="713"/>
      <c r="BL77" s="713"/>
      <c r="BM77" s="713"/>
      <c r="BN77" s="713"/>
      <c r="BO77" s="713"/>
      <c r="BP77" s="713"/>
      <c r="BQ77" s="713"/>
      <c r="BR77" s="713"/>
      <c r="BS77" s="713"/>
      <c r="BT77" s="713"/>
      <c r="BU77" s="713"/>
      <c r="BV77" s="713"/>
      <c r="BW77" s="713"/>
      <c r="BX77" s="713"/>
      <c r="BY77" s="713"/>
      <c r="BZ77" s="713"/>
      <c r="CA77" s="713"/>
      <c r="CB77" s="713"/>
      <c r="CC77" s="713"/>
      <c r="CD77" s="713"/>
      <c r="CE77" s="713"/>
      <c r="CF77" s="713"/>
      <c r="CG77" s="713"/>
      <c r="CH77" s="713"/>
      <c r="CI77" s="713"/>
      <c r="CJ77" s="713"/>
      <c r="CK77" s="713"/>
      <c r="CL77" s="713"/>
      <c r="CM77" s="713"/>
      <c r="CN77" s="713"/>
      <c r="CO77" s="713"/>
      <c r="CP77" s="713"/>
      <c r="CQ77" s="713"/>
      <c r="CR77" s="713"/>
      <c r="CS77" s="713"/>
      <c r="CT77" s="713"/>
      <c r="CU77" s="713"/>
      <c r="CV77" s="713"/>
      <c r="CW77" s="713"/>
      <c r="CX77" s="713"/>
      <c r="CY77" s="713"/>
      <c r="CZ77" s="713"/>
      <c r="DA77" s="713"/>
      <c r="DB77" s="713"/>
      <c r="DC77" s="713"/>
      <c r="DD77" s="713"/>
      <c r="DE77" s="713"/>
      <c r="DF77" s="713"/>
      <c r="DG77" s="713"/>
      <c r="DH77" s="713"/>
      <c r="DI77" s="713"/>
      <c r="DJ77" s="713"/>
      <c r="DK77" s="713"/>
      <c r="DL77" s="713"/>
      <c r="DM77" s="713"/>
      <c r="DN77" s="713"/>
      <c r="DO77" s="713"/>
      <c r="DP77" s="713"/>
      <c r="DQ77" s="713"/>
      <c r="DR77" s="713"/>
      <c r="DS77" s="713"/>
      <c r="DT77" s="713"/>
      <c r="DU77" s="713"/>
      <c r="DV77" s="713"/>
      <c r="DW77" s="713"/>
      <c r="DX77" s="713"/>
      <c r="DY77" s="713"/>
      <c r="DZ77" s="713"/>
      <c r="EA77" s="713"/>
      <c r="EB77" s="713"/>
      <c r="EC77" s="713"/>
      <c r="ED77" s="713"/>
      <c r="EE77" s="713"/>
      <c r="EF77" s="713"/>
      <c r="EG77" s="713"/>
      <c r="EH77" s="713"/>
      <c r="EI77" s="713"/>
      <c r="EJ77" s="713"/>
      <c r="EK77" s="713"/>
      <c r="EL77" s="713"/>
      <c r="EM77" s="713"/>
      <c r="EN77" s="713"/>
      <c r="EO77" s="713"/>
      <c r="EP77" s="713"/>
      <c r="EQ77" s="713"/>
      <c r="ER77" s="713"/>
      <c r="ES77" s="713"/>
      <c r="ET77" s="713"/>
      <c r="EU77" s="713"/>
      <c r="EV77" s="713"/>
      <c r="EW77" s="713"/>
      <c r="EX77" s="713"/>
      <c r="EY77" s="713"/>
      <c r="EZ77" s="713"/>
      <c r="FA77" s="713"/>
      <c r="FB77" s="713"/>
      <c r="FC77" s="713"/>
      <c r="FD77" s="713"/>
      <c r="FE77" s="713"/>
      <c r="FF77" s="713"/>
      <c r="FG77" s="713"/>
      <c r="FH77" s="713"/>
      <c r="FI77" s="713"/>
      <c r="FJ77" s="713"/>
      <c r="FK77" s="713"/>
      <c r="FL77" s="713"/>
      <c r="FM77" s="713"/>
      <c r="FN77" s="713"/>
      <c r="FO77" s="713"/>
      <c r="FP77" s="713"/>
      <c r="FQ77" s="713"/>
      <c r="FR77" s="713"/>
      <c r="FS77" s="713"/>
      <c r="FT77" s="713"/>
      <c r="FU77" s="713"/>
      <c r="FV77" s="713"/>
      <c r="FW77" s="713"/>
      <c r="FX77" s="713"/>
      <c r="FY77" s="713"/>
      <c r="FZ77" s="713"/>
      <c r="GA77" s="713"/>
      <c r="GB77" s="713"/>
      <c r="GC77" s="713"/>
      <c r="GD77" s="713"/>
      <c r="GE77" s="713"/>
      <c r="GF77" s="713"/>
      <c r="GG77" s="713"/>
      <c r="GH77" s="713"/>
      <c r="GI77" s="713"/>
      <c r="GJ77" s="713"/>
      <c r="GK77" s="713"/>
      <c r="GL77" s="713"/>
      <c r="GM77" s="713"/>
      <c r="GN77" s="713"/>
      <c r="GO77" s="713"/>
      <c r="GP77" s="713"/>
      <c r="GQ77" s="713"/>
      <c r="GR77" s="713"/>
      <c r="GS77" s="713"/>
      <c r="GT77" s="713"/>
      <c r="GU77" s="713"/>
      <c r="GV77" s="713"/>
      <c r="GW77" s="713"/>
      <c r="GX77" s="713"/>
      <c r="GY77" s="713"/>
      <c r="GZ77" s="713"/>
      <c r="HA77" s="713"/>
      <c r="HB77" s="713"/>
      <c r="HC77" s="713"/>
      <c r="HD77" s="713"/>
      <c r="HE77" s="713"/>
      <c r="HF77" s="713"/>
      <c r="HG77" s="713"/>
      <c r="HH77" s="713"/>
      <c r="HI77" s="713"/>
      <c r="HJ77" s="713"/>
      <c r="HK77" s="713"/>
      <c r="HL77" s="713"/>
      <c r="HM77" s="713"/>
      <c r="HN77" s="713"/>
      <c r="HO77" s="713"/>
      <c r="HP77" s="713"/>
      <c r="HQ77" s="713"/>
      <c r="HR77" s="713"/>
      <c r="HS77" s="713"/>
      <c r="HT77" s="713"/>
      <c r="HU77" s="713"/>
      <c r="HV77" s="713"/>
      <c r="HW77" s="713"/>
      <c r="HX77" s="713"/>
      <c r="HY77" s="713"/>
      <c r="HZ77" s="713"/>
      <c r="IA77" s="713"/>
      <c r="IB77" s="713"/>
      <c r="IC77" s="713"/>
      <c r="ID77" s="713"/>
      <c r="IE77" s="713"/>
      <c r="IF77" s="713"/>
      <c r="IG77" s="713"/>
      <c r="IH77" s="713"/>
    </row>
    <row r="78">
      <c r="A78" s="600"/>
      <c r="B78" s="983" t="s">
        <v>500</v>
      </c>
      <c r="C78" s="598"/>
      <c r="D78" s="984"/>
      <c r="E78" s="985"/>
      <c r="F78" s="598"/>
      <c r="G78" s="598"/>
      <c r="H78" s="598"/>
      <c r="I78" s="600"/>
      <c r="J78" s="986" t="s">
        <v>501</v>
      </c>
      <c r="K78" s="598"/>
      <c r="L78" s="987"/>
      <c r="M78" s="988"/>
      <c r="N78" s="598"/>
      <c r="O78" s="598"/>
      <c r="P78" s="598"/>
      <c r="Q78" s="598"/>
      <c r="R78" s="598"/>
      <c r="S78" s="991"/>
      <c r="T78" s="882"/>
      <c r="V78" s="765"/>
      <c r="W78" s="598"/>
      <c r="X78" s="598"/>
      <c r="Y78" s="598"/>
      <c r="Z78" s="598"/>
      <c r="AA78" s="911"/>
      <c r="AB78" s="966"/>
      <c r="AC78" s="713" t="str">
        <f>IFERROR(__xludf.DUMMYFUNCTION("""COMPUTED_VALUE"""),"Enhancement Defense - Coin Discount")</f>
        <v>Enhancement Defense - Coin Discount</v>
      </c>
      <c r="AD78" s="825" t="s">
        <v>315</v>
      </c>
      <c r="AE78" s="713">
        <v>0.0</v>
      </c>
      <c r="AF78" s="713"/>
      <c r="AG78" s="713">
        <v>100.0</v>
      </c>
      <c r="AH78" s="967" t="str">
        <f>IFERROR(__xludf.DUMMYFUNCTION("IFERROR(IF(K19 = """", SEQUENCE(1, VALUE(VLOOKUP(M19, AD:AG, 4, false)) - VALUE(VLOOKUP(M19, AD:AG, 2, false)), VALUE(VLOOKUP(M19, AD:AG, 2, false)) + 1),
    IF(ISBETWEEN(K19, VALUE(VLOOKUP(M19, AD:AG, 2, false)), VALUE(VLOOKUP(M19, AD:AG, 4, false))),
 "&amp;"       SEQUENCE(1, VALUE(VLOOKUP(M19, AD:AG, 4, false)) - K19, K19 + 1),
        """")))"),"")</f>
        <v/>
      </c>
      <c r="AI78" s="713"/>
      <c r="AJ78" s="713"/>
      <c r="AK78" s="713"/>
      <c r="AL78" s="713"/>
      <c r="AM78" s="713"/>
      <c r="AN78" s="713"/>
      <c r="AO78" s="713"/>
      <c r="AP78" s="713"/>
      <c r="AQ78" s="713"/>
      <c r="AR78" s="713"/>
      <c r="AS78" s="713"/>
      <c r="AT78" s="713"/>
      <c r="AU78" s="713"/>
      <c r="AV78" s="713"/>
      <c r="AW78" s="713"/>
      <c r="AX78" s="713"/>
      <c r="AY78" s="713"/>
      <c r="AZ78" s="713"/>
      <c r="BA78" s="713"/>
      <c r="BB78" s="713"/>
      <c r="BC78" s="713"/>
      <c r="BD78" s="713"/>
      <c r="BE78" s="713"/>
      <c r="BF78" s="713"/>
      <c r="BG78" s="713"/>
      <c r="BH78" s="713"/>
      <c r="BI78" s="713"/>
      <c r="BJ78" s="713"/>
      <c r="BK78" s="713"/>
      <c r="BL78" s="713"/>
      <c r="BM78" s="713"/>
      <c r="BN78" s="713"/>
      <c r="BO78" s="713"/>
      <c r="BP78" s="713"/>
      <c r="BQ78" s="713"/>
      <c r="BR78" s="713"/>
      <c r="BS78" s="713"/>
      <c r="BT78" s="713"/>
      <c r="BU78" s="713"/>
      <c r="BV78" s="713"/>
      <c r="BW78" s="713"/>
      <c r="BX78" s="713"/>
      <c r="BY78" s="713"/>
      <c r="BZ78" s="713"/>
      <c r="CA78" s="713"/>
      <c r="CB78" s="713"/>
      <c r="CC78" s="713"/>
      <c r="CD78" s="713"/>
      <c r="CE78" s="713"/>
      <c r="CF78" s="713"/>
      <c r="CG78" s="713"/>
      <c r="CH78" s="713"/>
      <c r="CI78" s="713"/>
      <c r="CJ78" s="713"/>
      <c r="CK78" s="713"/>
      <c r="CL78" s="713"/>
      <c r="CM78" s="713"/>
      <c r="CN78" s="713"/>
      <c r="CO78" s="713"/>
      <c r="CP78" s="713"/>
      <c r="CQ78" s="713"/>
      <c r="CR78" s="713"/>
      <c r="CS78" s="713"/>
      <c r="CT78" s="713"/>
      <c r="CU78" s="713"/>
      <c r="CV78" s="713"/>
      <c r="CW78" s="713"/>
      <c r="CX78" s="713"/>
      <c r="CY78" s="713"/>
      <c r="CZ78" s="713"/>
      <c r="DA78" s="713"/>
      <c r="DB78" s="713"/>
      <c r="DC78" s="713"/>
      <c r="DD78" s="713"/>
      <c r="DE78" s="713"/>
      <c r="DF78" s="713"/>
      <c r="DG78" s="713"/>
      <c r="DH78" s="713"/>
      <c r="DI78" s="713"/>
      <c r="DJ78" s="713"/>
      <c r="DK78" s="713"/>
      <c r="DL78" s="713"/>
      <c r="DM78" s="713"/>
      <c r="DN78" s="713"/>
      <c r="DO78" s="713"/>
      <c r="DP78" s="713"/>
      <c r="DQ78" s="713"/>
      <c r="DR78" s="713"/>
      <c r="DS78" s="713"/>
      <c r="DT78" s="713"/>
      <c r="DU78" s="713"/>
      <c r="DV78" s="713"/>
      <c r="DW78" s="713"/>
      <c r="DX78" s="713"/>
      <c r="DY78" s="713"/>
      <c r="DZ78" s="713"/>
      <c r="EA78" s="713"/>
      <c r="EB78" s="713"/>
      <c r="EC78" s="713"/>
      <c r="ED78" s="713"/>
      <c r="EE78" s="713"/>
      <c r="EF78" s="713"/>
      <c r="EG78" s="713"/>
      <c r="EH78" s="713"/>
      <c r="EI78" s="713"/>
      <c r="EJ78" s="713"/>
      <c r="EK78" s="713"/>
      <c r="EL78" s="713"/>
      <c r="EM78" s="713"/>
      <c r="EN78" s="713"/>
      <c r="EO78" s="713"/>
      <c r="EP78" s="713"/>
      <c r="EQ78" s="713"/>
      <c r="ER78" s="713"/>
      <c r="ES78" s="713"/>
      <c r="ET78" s="713"/>
      <c r="EU78" s="713"/>
      <c r="EV78" s="713"/>
      <c r="EW78" s="713"/>
      <c r="EX78" s="713"/>
      <c r="EY78" s="713"/>
      <c r="EZ78" s="713"/>
      <c r="FA78" s="713"/>
      <c r="FB78" s="713"/>
      <c r="FC78" s="713"/>
      <c r="FD78" s="713"/>
      <c r="FE78" s="713"/>
      <c r="FF78" s="713"/>
      <c r="FG78" s="713"/>
      <c r="FH78" s="713"/>
      <c r="FI78" s="713"/>
      <c r="FJ78" s="713"/>
      <c r="FK78" s="713"/>
      <c r="FL78" s="713"/>
      <c r="FM78" s="713"/>
      <c r="FN78" s="713"/>
      <c r="FO78" s="713"/>
      <c r="FP78" s="713"/>
      <c r="FQ78" s="713"/>
      <c r="FR78" s="713"/>
      <c r="FS78" s="713"/>
      <c r="FT78" s="713"/>
      <c r="FU78" s="713"/>
      <c r="FV78" s="713"/>
      <c r="FW78" s="713"/>
      <c r="FX78" s="713"/>
      <c r="FY78" s="713"/>
      <c r="FZ78" s="713"/>
      <c r="GA78" s="713"/>
      <c r="GB78" s="713"/>
      <c r="GC78" s="713"/>
      <c r="GD78" s="713"/>
      <c r="GE78" s="713"/>
      <c r="GF78" s="713"/>
      <c r="GG78" s="713"/>
      <c r="GH78" s="713"/>
      <c r="GI78" s="713"/>
      <c r="GJ78" s="713"/>
      <c r="GK78" s="713"/>
      <c r="GL78" s="713"/>
      <c r="GM78" s="713"/>
      <c r="GN78" s="713"/>
      <c r="GO78" s="713"/>
      <c r="GP78" s="713"/>
      <c r="GQ78" s="713"/>
      <c r="GR78" s="713"/>
      <c r="GS78" s="713"/>
      <c r="GT78" s="713"/>
      <c r="GU78" s="713"/>
      <c r="GV78" s="713"/>
      <c r="GW78" s="713"/>
      <c r="GX78" s="713"/>
      <c r="GY78" s="713"/>
      <c r="GZ78" s="713"/>
      <c r="HA78" s="713"/>
      <c r="HB78" s="713"/>
      <c r="HC78" s="713"/>
      <c r="HD78" s="713"/>
      <c r="HE78" s="713"/>
      <c r="HF78" s="713"/>
      <c r="HG78" s="713"/>
      <c r="HH78" s="713"/>
      <c r="HI78" s="713"/>
      <c r="HJ78" s="713"/>
      <c r="HK78" s="713"/>
      <c r="HL78" s="713"/>
      <c r="HM78" s="713"/>
      <c r="HN78" s="713"/>
      <c r="HO78" s="713"/>
      <c r="HP78" s="713"/>
      <c r="HQ78" s="713"/>
      <c r="HR78" s="713"/>
      <c r="HS78" s="713"/>
      <c r="HT78" s="713"/>
      <c r="HU78" s="713"/>
      <c r="HV78" s="713"/>
      <c r="HW78" s="713"/>
      <c r="HX78" s="713"/>
      <c r="HY78" s="713"/>
      <c r="HZ78" s="713"/>
      <c r="IA78" s="713"/>
      <c r="IB78" s="713"/>
      <c r="IC78" s="713"/>
      <c r="ID78" s="713"/>
      <c r="IE78" s="713"/>
      <c r="IF78" s="713"/>
      <c r="IG78" s="713"/>
      <c r="IH78" s="713"/>
    </row>
    <row r="79">
      <c r="A79" s="600"/>
      <c r="B79" s="983" t="s">
        <v>500</v>
      </c>
      <c r="C79" s="598"/>
      <c r="D79" s="984"/>
      <c r="E79" s="985"/>
      <c r="F79" s="598"/>
      <c r="G79" s="598"/>
      <c r="H79" s="598"/>
      <c r="I79" s="600"/>
      <c r="J79" s="986" t="s">
        <v>501</v>
      </c>
      <c r="K79" s="598"/>
      <c r="L79" s="987"/>
      <c r="M79" s="988"/>
      <c r="N79" s="598"/>
      <c r="O79" s="598"/>
      <c r="P79" s="598"/>
      <c r="Q79" s="598"/>
      <c r="R79" s="598"/>
      <c r="S79" s="868"/>
      <c r="T79" s="635"/>
      <c r="U79" s="636"/>
      <c r="V79" s="637"/>
      <c r="W79" s="598"/>
      <c r="X79" s="598"/>
      <c r="Y79" s="598"/>
      <c r="Z79" s="598"/>
      <c r="AA79" s="911"/>
      <c r="AB79" s="966"/>
      <c r="AC79" s="713" t="str">
        <f>IFERROR(__xludf.DUMMYFUNCTION("""COMPUTED_VALUE"""),"Enhancement Utility - Coin Discount")</f>
        <v>Enhancement Utility - Coin Discount</v>
      </c>
      <c r="AD79" s="825" t="s">
        <v>322</v>
      </c>
      <c r="AE79" s="713">
        <v>0.0</v>
      </c>
      <c r="AF79" s="713"/>
      <c r="AG79" s="713">
        <v>100.0</v>
      </c>
      <c r="AH79" s="967" t="str">
        <f>IFERROR(__xludf.DUMMYFUNCTION("IFERROR(IF(K20 = """", SEQUENCE(1, VALUE(VLOOKUP(M20, AD:AG, 4, false)) - VALUE(VLOOKUP(M20, AD:AG, 2, false)), VALUE(VLOOKUP(M20, AD:AG, 2, false)) + 1),
    IF(ISBETWEEN(K20, VALUE(VLOOKUP(M20, AD:AG, 2, false)), VALUE(VLOOKUP(M20, AD:AG, 4, false))),
 "&amp;"       SEQUENCE(1, VALUE(VLOOKUP(M20, AD:AG, 4, false)) - K20, K20 + 1),
        """")))"),"")</f>
        <v/>
      </c>
      <c r="AI79" s="713"/>
      <c r="AJ79" s="713"/>
      <c r="AK79" s="713"/>
      <c r="AL79" s="713"/>
      <c r="AM79" s="713"/>
      <c r="AN79" s="713"/>
      <c r="AO79" s="713"/>
      <c r="AP79" s="713"/>
      <c r="AQ79" s="713"/>
      <c r="AR79" s="713"/>
      <c r="AS79" s="713"/>
      <c r="AT79" s="713"/>
      <c r="AU79" s="713"/>
      <c r="AV79" s="713"/>
      <c r="AW79" s="713"/>
      <c r="AX79" s="713"/>
      <c r="AY79" s="713"/>
      <c r="AZ79" s="713"/>
      <c r="BA79" s="713"/>
      <c r="BB79" s="713"/>
      <c r="BC79" s="713"/>
      <c r="BD79" s="713"/>
      <c r="BE79" s="713"/>
      <c r="BF79" s="713"/>
      <c r="BG79" s="713"/>
      <c r="BH79" s="713"/>
      <c r="BI79" s="713"/>
      <c r="BJ79" s="713"/>
      <c r="BK79" s="713"/>
      <c r="BL79" s="713"/>
      <c r="BM79" s="713"/>
      <c r="BN79" s="713"/>
      <c r="BO79" s="713"/>
      <c r="BP79" s="713"/>
      <c r="BQ79" s="713"/>
      <c r="BR79" s="713"/>
      <c r="BS79" s="713"/>
      <c r="BT79" s="713"/>
      <c r="BU79" s="713"/>
      <c r="BV79" s="713"/>
      <c r="BW79" s="713"/>
      <c r="BX79" s="713"/>
      <c r="BY79" s="713"/>
      <c r="BZ79" s="713"/>
      <c r="CA79" s="713"/>
      <c r="CB79" s="713"/>
      <c r="CC79" s="713"/>
      <c r="CD79" s="713"/>
      <c r="CE79" s="713"/>
      <c r="CF79" s="713"/>
      <c r="CG79" s="713"/>
      <c r="CH79" s="713"/>
      <c r="CI79" s="713"/>
      <c r="CJ79" s="713"/>
      <c r="CK79" s="713"/>
      <c r="CL79" s="713"/>
      <c r="CM79" s="713"/>
      <c r="CN79" s="713"/>
      <c r="CO79" s="713"/>
      <c r="CP79" s="713"/>
      <c r="CQ79" s="713"/>
      <c r="CR79" s="713"/>
      <c r="CS79" s="713"/>
      <c r="CT79" s="713"/>
      <c r="CU79" s="713"/>
      <c r="CV79" s="713"/>
      <c r="CW79" s="713"/>
      <c r="CX79" s="713"/>
      <c r="CY79" s="713"/>
      <c r="CZ79" s="713"/>
      <c r="DA79" s="713"/>
      <c r="DB79" s="713"/>
      <c r="DC79" s="713"/>
      <c r="DD79" s="713"/>
      <c r="DE79" s="713"/>
      <c r="DF79" s="713"/>
      <c r="DG79" s="713"/>
      <c r="DH79" s="713"/>
      <c r="DI79" s="713"/>
      <c r="DJ79" s="713"/>
      <c r="DK79" s="713"/>
      <c r="DL79" s="713"/>
      <c r="DM79" s="713"/>
      <c r="DN79" s="713"/>
      <c r="DO79" s="713"/>
      <c r="DP79" s="713"/>
      <c r="DQ79" s="713"/>
      <c r="DR79" s="713"/>
      <c r="DS79" s="713"/>
      <c r="DT79" s="713"/>
      <c r="DU79" s="713"/>
      <c r="DV79" s="713"/>
      <c r="DW79" s="713"/>
      <c r="DX79" s="713"/>
      <c r="DY79" s="713"/>
      <c r="DZ79" s="713"/>
      <c r="EA79" s="713"/>
      <c r="EB79" s="713"/>
      <c r="EC79" s="713"/>
      <c r="ED79" s="713"/>
      <c r="EE79" s="713"/>
      <c r="EF79" s="713"/>
      <c r="EG79" s="713"/>
      <c r="EH79" s="713"/>
      <c r="EI79" s="713"/>
      <c r="EJ79" s="713"/>
      <c r="EK79" s="713"/>
      <c r="EL79" s="713"/>
      <c r="EM79" s="713"/>
      <c r="EN79" s="713"/>
      <c r="EO79" s="713"/>
      <c r="EP79" s="713"/>
      <c r="EQ79" s="713"/>
      <c r="ER79" s="713"/>
      <c r="ES79" s="713"/>
      <c r="ET79" s="713"/>
      <c r="EU79" s="713"/>
      <c r="EV79" s="713"/>
      <c r="EW79" s="713"/>
      <c r="EX79" s="713"/>
      <c r="EY79" s="713"/>
      <c r="EZ79" s="713"/>
      <c r="FA79" s="713"/>
      <c r="FB79" s="713"/>
      <c r="FC79" s="713"/>
      <c r="FD79" s="713"/>
      <c r="FE79" s="713"/>
      <c r="FF79" s="713"/>
      <c r="FG79" s="713"/>
      <c r="FH79" s="713"/>
      <c r="FI79" s="713"/>
      <c r="FJ79" s="713"/>
      <c r="FK79" s="713"/>
      <c r="FL79" s="713"/>
      <c r="FM79" s="713"/>
      <c r="FN79" s="713"/>
      <c r="FO79" s="713"/>
      <c r="FP79" s="713"/>
      <c r="FQ79" s="713"/>
      <c r="FR79" s="713"/>
      <c r="FS79" s="713"/>
      <c r="FT79" s="713"/>
      <c r="FU79" s="713"/>
      <c r="FV79" s="713"/>
      <c r="FW79" s="713"/>
      <c r="FX79" s="713"/>
      <c r="FY79" s="713"/>
      <c r="FZ79" s="713"/>
      <c r="GA79" s="713"/>
      <c r="GB79" s="713"/>
      <c r="GC79" s="713"/>
      <c r="GD79" s="713"/>
      <c r="GE79" s="713"/>
      <c r="GF79" s="713"/>
      <c r="GG79" s="713"/>
      <c r="GH79" s="713"/>
      <c r="GI79" s="713"/>
      <c r="GJ79" s="713"/>
      <c r="GK79" s="713"/>
      <c r="GL79" s="713"/>
      <c r="GM79" s="713"/>
      <c r="GN79" s="713"/>
      <c r="GO79" s="713"/>
      <c r="GP79" s="713"/>
      <c r="GQ79" s="713"/>
      <c r="GR79" s="713"/>
      <c r="GS79" s="713"/>
      <c r="GT79" s="713"/>
      <c r="GU79" s="713"/>
      <c r="GV79" s="713"/>
      <c r="GW79" s="713"/>
      <c r="GX79" s="713"/>
      <c r="GY79" s="713"/>
      <c r="GZ79" s="713"/>
      <c r="HA79" s="713"/>
      <c r="HB79" s="713"/>
      <c r="HC79" s="713"/>
      <c r="HD79" s="713"/>
      <c r="HE79" s="713"/>
      <c r="HF79" s="713"/>
      <c r="HG79" s="713"/>
      <c r="HH79" s="713"/>
      <c r="HI79" s="713"/>
      <c r="HJ79" s="713"/>
      <c r="HK79" s="713"/>
      <c r="HL79" s="713"/>
      <c r="HM79" s="713"/>
      <c r="HN79" s="713"/>
      <c r="HO79" s="713"/>
      <c r="HP79" s="713"/>
      <c r="HQ79" s="713"/>
      <c r="HR79" s="713"/>
      <c r="HS79" s="713"/>
      <c r="HT79" s="713"/>
      <c r="HU79" s="713"/>
      <c r="HV79" s="713"/>
      <c r="HW79" s="713"/>
      <c r="HX79" s="713"/>
      <c r="HY79" s="713"/>
      <c r="HZ79" s="713"/>
      <c r="IA79" s="713"/>
      <c r="IB79" s="713"/>
      <c r="IC79" s="713"/>
      <c r="ID79" s="713"/>
      <c r="IE79" s="713"/>
      <c r="IF79" s="713"/>
      <c r="IG79" s="713"/>
      <c r="IH79" s="713"/>
    </row>
    <row r="80">
      <c r="A80" s="600"/>
      <c r="B80" s="983" t="s">
        <v>500</v>
      </c>
      <c r="C80" s="598"/>
      <c r="D80" s="984"/>
      <c r="E80" s="985"/>
      <c r="F80" s="598"/>
      <c r="G80" s="598"/>
      <c r="H80" s="598"/>
      <c r="I80" s="600"/>
      <c r="J80" s="986" t="s">
        <v>501</v>
      </c>
      <c r="K80" s="598"/>
      <c r="L80" s="987"/>
      <c r="M80" s="988"/>
      <c r="N80" s="598"/>
      <c r="O80" s="598"/>
      <c r="P80" s="598"/>
      <c r="Q80" s="598"/>
      <c r="R80" s="598"/>
      <c r="S80" s="598"/>
      <c r="T80" s="598"/>
      <c r="U80" s="598"/>
      <c r="V80" s="598"/>
      <c r="W80" s="598"/>
      <c r="X80" s="598"/>
      <c r="Y80" s="598"/>
      <c r="Z80" s="598"/>
      <c r="AA80" s="911"/>
      <c r="AB80" s="966"/>
      <c r="AC80" s="713" t="str">
        <f>IFERROR(__xludf.DUMMYFUNCTION("""COMPUTED_VALUE"""),"Extra Black Hole")</f>
        <v>Extra Black Hole</v>
      </c>
      <c r="AD80" s="816" t="s">
        <v>354</v>
      </c>
      <c r="AE80" s="713">
        <v>1.0</v>
      </c>
      <c r="AF80" s="713"/>
      <c r="AG80" s="713">
        <v>1.0</v>
      </c>
      <c r="AH80" s="967" t="str">
        <f>IFERROR(__xludf.DUMMYFUNCTION("IFERROR(IF(K21 = """", SEQUENCE(1, VALUE(VLOOKUP(M21, AD:AG, 4, false)) - VALUE(VLOOKUP(M21, AD:AG, 2, false)), VALUE(VLOOKUP(M21, AD:AG, 2, false)) + 1),
    IF(ISBETWEEN(K21, VALUE(VLOOKUP(M21, AD:AG, 2, false)), VALUE(VLOOKUP(M21, AD:AG, 4, false))),
 "&amp;"       SEQUENCE(1, VALUE(VLOOKUP(M21, AD:AG, 4, false)) - K21, K21 + 1),
        """")))"),"")</f>
        <v/>
      </c>
      <c r="AI80" s="713"/>
      <c r="AJ80" s="713"/>
      <c r="AK80" s="713"/>
      <c r="AL80" s="713"/>
      <c r="AM80" s="713"/>
      <c r="AN80" s="713"/>
      <c r="AO80" s="713"/>
      <c r="AP80" s="713"/>
      <c r="AQ80" s="713"/>
      <c r="AR80" s="713"/>
      <c r="AS80" s="713"/>
      <c r="AT80" s="713"/>
      <c r="AU80" s="713"/>
      <c r="AV80" s="713"/>
      <c r="AW80" s="713"/>
      <c r="AX80" s="713"/>
      <c r="AY80" s="713"/>
      <c r="AZ80" s="713"/>
      <c r="BA80" s="713"/>
      <c r="BB80" s="713"/>
      <c r="BC80" s="713"/>
      <c r="BD80" s="713"/>
      <c r="BE80" s="713"/>
      <c r="BF80" s="713"/>
      <c r="BG80" s="713"/>
      <c r="BH80" s="713"/>
      <c r="BI80" s="713"/>
      <c r="BJ80" s="713"/>
      <c r="BK80" s="713"/>
      <c r="BL80" s="713"/>
      <c r="BM80" s="713"/>
      <c r="BN80" s="713"/>
      <c r="BO80" s="713"/>
      <c r="BP80" s="713"/>
      <c r="BQ80" s="713"/>
      <c r="BR80" s="713"/>
      <c r="BS80" s="713"/>
      <c r="BT80" s="713"/>
      <c r="BU80" s="713"/>
      <c r="BV80" s="713"/>
      <c r="BW80" s="713"/>
      <c r="BX80" s="713"/>
      <c r="BY80" s="713"/>
      <c r="BZ80" s="713"/>
      <c r="CA80" s="713"/>
      <c r="CB80" s="713"/>
      <c r="CC80" s="713"/>
      <c r="CD80" s="713"/>
      <c r="CE80" s="713"/>
      <c r="CF80" s="713"/>
      <c r="CG80" s="713"/>
      <c r="CH80" s="713"/>
      <c r="CI80" s="713"/>
      <c r="CJ80" s="713"/>
      <c r="CK80" s="713"/>
      <c r="CL80" s="713"/>
      <c r="CM80" s="713"/>
      <c r="CN80" s="713"/>
      <c r="CO80" s="713"/>
      <c r="CP80" s="713"/>
      <c r="CQ80" s="713"/>
      <c r="CR80" s="713"/>
      <c r="CS80" s="713"/>
      <c r="CT80" s="713"/>
      <c r="CU80" s="713"/>
      <c r="CV80" s="713"/>
      <c r="CW80" s="713"/>
      <c r="CX80" s="713"/>
      <c r="CY80" s="713"/>
      <c r="CZ80" s="713"/>
      <c r="DA80" s="713"/>
      <c r="DB80" s="713"/>
      <c r="DC80" s="713"/>
      <c r="DD80" s="713"/>
      <c r="DE80" s="713"/>
      <c r="DF80" s="713"/>
      <c r="DG80" s="713"/>
      <c r="DH80" s="713"/>
      <c r="DI80" s="713"/>
      <c r="DJ80" s="713"/>
      <c r="DK80" s="713"/>
      <c r="DL80" s="713"/>
      <c r="DM80" s="713"/>
      <c r="DN80" s="713"/>
      <c r="DO80" s="713"/>
      <c r="DP80" s="713"/>
      <c r="DQ80" s="713"/>
      <c r="DR80" s="713"/>
      <c r="DS80" s="713"/>
      <c r="DT80" s="713"/>
      <c r="DU80" s="713"/>
      <c r="DV80" s="713"/>
      <c r="DW80" s="713"/>
      <c r="DX80" s="713"/>
      <c r="DY80" s="713"/>
      <c r="DZ80" s="713"/>
      <c r="EA80" s="713"/>
      <c r="EB80" s="713"/>
      <c r="EC80" s="713"/>
      <c r="ED80" s="713"/>
      <c r="EE80" s="713"/>
      <c r="EF80" s="713"/>
      <c r="EG80" s="713"/>
      <c r="EH80" s="713"/>
      <c r="EI80" s="713"/>
      <c r="EJ80" s="713"/>
      <c r="EK80" s="713"/>
      <c r="EL80" s="713"/>
      <c r="EM80" s="713"/>
      <c r="EN80" s="713"/>
      <c r="EO80" s="713"/>
      <c r="EP80" s="713"/>
      <c r="EQ80" s="713"/>
      <c r="ER80" s="713"/>
      <c r="ES80" s="713"/>
      <c r="ET80" s="713"/>
      <c r="EU80" s="713"/>
      <c r="EV80" s="713"/>
      <c r="EW80" s="713"/>
      <c r="EX80" s="713"/>
      <c r="EY80" s="713"/>
      <c r="EZ80" s="713"/>
      <c r="FA80" s="713"/>
      <c r="FB80" s="713"/>
      <c r="FC80" s="713"/>
      <c r="FD80" s="713"/>
      <c r="FE80" s="713"/>
      <c r="FF80" s="713"/>
      <c r="FG80" s="713"/>
      <c r="FH80" s="713"/>
      <c r="FI80" s="713"/>
      <c r="FJ80" s="713"/>
      <c r="FK80" s="713"/>
      <c r="FL80" s="713"/>
      <c r="FM80" s="713"/>
      <c r="FN80" s="713"/>
      <c r="FO80" s="713"/>
      <c r="FP80" s="713"/>
      <c r="FQ80" s="713"/>
      <c r="FR80" s="713"/>
      <c r="FS80" s="713"/>
      <c r="FT80" s="713"/>
      <c r="FU80" s="713"/>
      <c r="FV80" s="713"/>
      <c r="FW80" s="713"/>
      <c r="FX80" s="713"/>
      <c r="FY80" s="713"/>
      <c r="FZ80" s="713"/>
      <c r="GA80" s="713"/>
      <c r="GB80" s="713"/>
      <c r="GC80" s="713"/>
      <c r="GD80" s="713"/>
      <c r="GE80" s="713"/>
      <c r="GF80" s="713"/>
      <c r="GG80" s="713"/>
      <c r="GH80" s="713"/>
      <c r="GI80" s="713"/>
      <c r="GJ80" s="713"/>
      <c r="GK80" s="713"/>
      <c r="GL80" s="713"/>
      <c r="GM80" s="713"/>
      <c r="GN80" s="713"/>
      <c r="GO80" s="713"/>
      <c r="GP80" s="713"/>
      <c r="GQ80" s="713"/>
      <c r="GR80" s="713"/>
      <c r="GS80" s="713"/>
      <c r="GT80" s="713"/>
      <c r="GU80" s="713"/>
      <c r="GV80" s="713"/>
      <c r="GW80" s="713"/>
      <c r="GX80" s="713"/>
      <c r="GY80" s="713"/>
      <c r="GZ80" s="713"/>
      <c r="HA80" s="713"/>
      <c r="HB80" s="713"/>
      <c r="HC80" s="713"/>
      <c r="HD80" s="713"/>
      <c r="HE80" s="713"/>
      <c r="HF80" s="713"/>
      <c r="HG80" s="713"/>
      <c r="HH80" s="713"/>
      <c r="HI80" s="713"/>
      <c r="HJ80" s="713"/>
      <c r="HK80" s="713"/>
      <c r="HL80" s="713"/>
      <c r="HM80" s="713"/>
      <c r="HN80" s="713"/>
      <c r="HO80" s="713"/>
      <c r="HP80" s="713"/>
      <c r="HQ80" s="713"/>
      <c r="HR80" s="713"/>
      <c r="HS80" s="713"/>
      <c r="HT80" s="713"/>
      <c r="HU80" s="713"/>
      <c r="HV80" s="713"/>
      <c r="HW80" s="713"/>
      <c r="HX80" s="713"/>
      <c r="HY80" s="713"/>
      <c r="HZ80" s="713"/>
      <c r="IA80" s="713"/>
      <c r="IB80" s="713"/>
      <c r="IC80" s="713"/>
      <c r="ID80" s="713"/>
      <c r="IE80" s="713"/>
      <c r="IF80" s="713"/>
      <c r="IG80" s="713"/>
      <c r="IH80" s="713"/>
    </row>
    <row r="81">
      <c r="A81" s="600"/>
      <c r="B81" s="983" t="s">
        <v>500</v>
      </c>
      <c r="C81" s="598"/>
      <c r="D81" s="984"/>
      <c r="E81" s="985"/>
      <c r="F81" s="598"/>
      <c r="G81" s="598"/>
      <c r="H81" s="598"/>
      <c r="I81" s="600"/>
      <c r="J81" s="986" t="s">
        <v>501</v>
      </c>
      <c r="K81" s="598"/>
      <c r="L81" s="987"/>
      <c r="M81" s="988"/>
      <c r="N81" s="598"/>
      <c r="O81" s="598"/>
      <c r="P81" s="598"/>
      <c r="Q81" s="598"/>
      <c r="R81" s="598"/>
      <c r="S81" s="598"/>
      <c r="T81" s="598"/>
      <c r="U81" s="598"/>
      <c r="V81" s="598"/>
      <c r="W81" s="598"/>
      <c r="X81" s="598"/>
      <c r="Y81" s="598"/>
      <c r="Z81" s="598"/>
      <c r="AA81" s="911"/>
      <c r="AB81" s="966"/>
      <c r="AC81" s="713" t="str">
        <f>IFERROR(__xludf.DUMMYFUNCTION("""COMPUTED_VALUE"""),"Extra Defense Mastery")</f>
        <v>Extra Defense Mastery</v>
      </c>
      <c r="AD81" s="825" t="s">
        <v>339</v>
      </c>
      <c r="AE81" s="713">
        <v>0.0</v>
      </c>
      <c r="AF81" s="713"/>
      <c r="AG81" s="713">
        <v>9.0</v>
      </c>
      <c r="AH81" s="967" t="str">
        <f>IFERROR(__xludf.DUMMYFUNCTION("IFERROR(IF(K22 = """", SEQUENCE(1, VALUE(VLOOKUP(M22, AD:AG, 4, false)) - VALUE(VLOOKUP(M22, AD:AG, 2, false)), VALUE(VLOOKUP(M22, AD:AG, 2, false)) + 1),
    IF(ISBETWEEN(K22, VALUE(VLOOKUP(M22, AD:AG, 2, false)), VALUE(VLOOKUP(M22, AD:AG, 4, false))),
 "&amp;"       SEQUENCE(1, VALUE(VLOOKUP(M22, AD:AG, 4, false)) - K22, K22 + 1),
        """")))"),"")</f>
        <v/>
      </c>
      <c r="AI81" s="713"/>
      <c r="AJ81" s="713"/>
      <c r="AK81" s="713"/>
      <c r="AL81" s="713"/>
      <c r="AM81" s="713"/>
      <c r="AN81" s="713"/>
      <c r="AO81" s="713"/>
      <c r="AP81" s="713"/>
      <c r="AQ81" s="713"/>
      <c r="AR81" s="713"/>
      <c r="AS81" s="713"/>
      <c r="AT81" s="713"/>
      <c r="AU81" s="713"/>
      <c r="AV81" s="713"/>
      <c r="AW81" s="713"/>
      <c r="AX81" s="713"/>
      <c r="AY81" s="713"/>
      <c r="AZ81" s="713"/>
      <c r="BA81" s="713"/>
      <c r="BB81" s="713"/>
      <c r="BC81" s="713"/>
      <c r="BD81" s="713"/>
      <c r="BE81" s="713"/>
      <c r="BF81" s="713"/>
      <c r="BG81" s="713"/>
      <c r="BH81" s="713"/>
      <c r="BI81" s="713"/>
      <c r="BJ81" s="713"/>
      <c r="BK81" s="713"/>
      <c r="BL81" s="713"/>
      <c r="BM81" s="713"/>
      <c r="BN81" s="713"/>
      <c r="BO81" s="713"/>
      <c r="BP81" s="713"/>
      <c r="BQ81" s="713"/>
      <c r="BR81" s="713"/>
      <c r="BS81" s="713"/>
      <c r="BT81" s="713"/>
      <c r="BU81" s="713"/>
      <c r="BV81" s="713"/>
      <c r="BW81" s="713"/>
      <c r="BX81" s="713"/>
      <c r="BY81" s="713"/>
      <c r="BZ81" s="713"/>
      <c r="CA81" s="713"/>
      <c r="CB81" s="713"/>
      <c r="CC81" s="713"/>
      <c r="CD81" s="713"/>
      <c r="CE81" s="713"/>
      <c r="CF81" s="713"/>
      <c r="CG81" s="713"/>
      <c r="CH81" s="713"/>
      <c r="CI81" s="713"/>
      <c r="CJ81" s="713"/>
      <c r="CK81" s="713"/>
      <c r="CL81" s="713"/>
      <c r="CM81" s="713"/>
      <c r="CN81" s="713"/>
      <c r="CO81" s="713"/>
      <c r="CP81" s="713"/>
      <c r="CQ81" s="713"/>
      <c r="CR81" s="713"/>
      <c r="CS81" s="713"/>
      <c r="CT81" s="713"/>
      <c r="CU81" s="713"/>
      <c r="CV81" s="713"/>
      <c r="CW81" s="713"/>
      <c r="CX81" s="713"/>
      <c r="CY81" s="713"/>
      <c r="CZ81" s="713"/>
      <c r="DA81" s="713"/>
      <c r="DB81" s="713"/>
      <c r="DC81" s="713"/>
      <c r="DD81" s="713"/>
      <c r="DE81" s="713"/>
      <c r="DF81" s="713"/>
      <c r="DG81" s="713"/>
      <c r="DH81" s="713"/>
      <c r="DI81" s="713"/>
      <c r="DJ81" s="713"/>
      <c r="DK81" s="713"/>
      <c r="DL81" s="713"/>
      <c r="DM81" s="713"/>
      <c r="DN81" s="713"/>
      <c r="DO81" s="713"/>
      <c r="DP81" s="713"/>
      <c r="DQ81" s="713"/>
      <c r="DR81" s="713"/>
      <c r="DS81" s="713"/>
      <c r="DT81" s="713"/>
      <c r="DU81" s="713"/>
      <c r="DV81" s="713"/>
      <c r="DW81" s="713"/>
      <c r="DX81" s="713"/>
      <c r="DY81" s="713"/>
      <c r="DZ81" s="713"/>
      <c r="EA81" s="713"/>
      <c r="EB81" s="713"/>
      <c r="EC81" s="713"/>
      <c r="ED81" s="713"/>
      <c r="EE81" s="713"/>
      <c r="EF81" s="713"/>
      <c r="EG81" s="713"/>
      <c r="EH81" s="713"/>
      <c r="EI81" s="713"/>
      <c r="EJ81" s="713"/>
      <c r="EK81" s="713"/>
      <c r="EL81" s="713"/>
      <c r="EM81" s="713"/>
      <c r="EN81" s="713"/>
      <c r="EO81" s="713"/>
      <c r="EP81" s="713"/>
      <c r="EQ81" s="713"/>
      <c r="ER81" s="713"/>
      <c r="ES81" s="713"/>
      <c r="ET81" s="713"/>
      <c r="EU81" s="713"/>
      <c r="EV81" s="713"/>
      <c r="EW81" s="713"/>
      <c r="EX81" s="713"/>
      <c r="EY81" s="713"/>
      <c r="EZ81" s="713"/>
      <c r="FA81" s="713"/>
      <c r="FB81" s="713"/>
      <c r="FC81" s="713"/>
      <c r="FD81" s="713"/>
      <c r="FE81" s="713"/>
      <c r="FF81" s="713"/>
      <c r="FG81" s="713"/>
      <c r="FH81" s="713"/>
      <c r="FI81" s="713"/>
      <c r="FJ81" s="713"/>
      <c r="FK81" s="713"/>
      <c r="FL81" s="713"/>
      <c r="FM81" s="713"/>
      <c r="FN81" s="713"/>
      <c r="FO81" s="713"/>
      <c r="FP81" s="713"/>
      <c r="FQ81" s="713"/>
      <c r="FR81" s="713"/>
      <c r="FS81" s="713"/>
      <c r="FT81" s="713"/>
      <c r="FU81" s="713"/>
      <c r="FV81" s="713"/>
      <c r="FW81" s="713"/>
      <c r="FX81" s="713"/>
      <c r="FY81" s="713"/>
      <c r="FZ81" s="713"/>
      <c r="GA81" s="713"/>
      <c r="GB81" s="713"/>
      <c r="GC81" s="713"/>
      <c r="GD81" s="713"/>
      <c r="GE81" s="713"/>
      <c r="GF81" s="713"/>
      <c r="GG81" s="713"/>
      <c r="GH81" s="713"/>
      <c r="GI81" s="713"/>
      <c r="GJ81" s="713"/>
      <c r="GK81" s="713"/>
      <c r="GL81" s="713"/>
      <c r="GM81" s="713"/>
      <c r="GN81" s="713"/>
      <c r="GO81" s="713"/>
      <c r="GP81" s="713"/>
      <c r="GQ81" s="713"/>
      <c r="GR81" s="713"/>
      <c r="GS81" s="713"/>
      <c r="GT81" s="713"/>
      <c r="GU81" s="713"/>
      <c r="GV81" s="713"/>
      <c r="GW81" s="713"/>
      <c r="GX81" s="713"/>
      <c r="GY81" s="713"/>
      <c r="GZ81" s="713"/>
      <c r="HA81" s="713"/>
      <c r="HB81" s="713"/>
      <c r="HC81" s="713"/>
      <c r="HD81" s="713"/>
      <c r="HE81" s="713"/>
      <c r="HF81" s="713"/>
      <c r="HG81" s="713"/>
      <c r="HH81" s="713"/>
      <c r="HI81" s="713"/>
      <c r="HJ81" s="713"/>
      <c r="HK81" s="713"/>
      <c r="HL81" s="713"/>
      <c r="HM81" s="713"/>
      <c r="HN81" s="713"/>
      <c r="HO81" s="713"/>
      <c r="HP81" s="713"/>
      <c r="HQ81" s="713"/>
      <c r="HR81" s="713"/>
      <c r="HS81" s="713"/>
      <c r="HT81" s="713"/>
      <c r="HU81" s="713"/>
      <c r="HV81" s="713"/>
      <c r="HW81" s="713"/>
      <c r="HX81" s="713"/>
      <c r="HY81" s="713"/>
      <c r="HZ81" s="713"/>
      <c r="IA81" s="713"/>
      <c r="IB81" s="713"/>
      <c r="IC81" s="713"/>
      <c r="ID81" s="713"/>
      <c r="IE81" s="713"/>
      <c r="IF81" s="713"/>
      <c r="IG81" s="713"/>
      <c r="IH81" s="713"/>
    </row>
    <row r="82">
      <c r="A82" s="600"/>
      <c r="B82" s="983" t="s">
        <v>500</v>
      </c>
      <c r="C82" s="598"/>
      <c r="D82" s="984"/>
      <c r="E82" s="985"/>
      <c r="F82" s="598"/>
      <c r="G82" s="598"/>
      <c r="H82" s="598"/>
      <c r="I82" s="600"/>
      <c r="J82" s="986" t="s">
        <v>501</v>
      </c>
      <c r="K82" s="598"/>
      <c r="L82" s="987"/>
      <c r="M82" s="988"/>
      <c r="N82" s="598"/>
      <c r="O82" s="598"/>
      <c r="P82" s="598"/>
      <c r="Q82" s="598"/>
      <c r="R82" s="598"/>
      <c r="S82" s="598"/>
      <c r="T82" s="598"/>
      <c r="U82" s="598"/>
      <c r="V82" s="598"/>
      <c r="W82" s="598"/>
      <c r="X82" s="598"/>
      <c r="Y82" s="598"/>
      <c r="Z82" s="598"/>
      <c r="AA82" s="911"/>
      <c r="AB82" s="966"/>
      <c r="AC82" s="713" t="str">
        <f>IFERROR(__xludf.DUMMYFUNCTION("""COMPUTED_VALUE"""),"Extra Extra Orbs")</f>
        <v>Extra Extra Orbs</v>
      </c>
      <c r="AD82" s="816" t="s">
        <v>203</v>
      </c>
      <c r="AE82" s="713">
        <v>2.0</v>
      </c>
      <c r="AF82" s="713"/>
      <c r="AG82" s="713">
        <v>2.0</v>
      </c>
      <c r="AH82" s="967" t="str">
        <f>IFERROR(__xludf.DUMMYFUNCTION("IFERROR(IF(K23 = """", SEQUENCE(1, VALUE(VLOOKUP(M23, AD:AG, 4, false)) - VALUE(VLOOKUP(M23, AD:AG, 2, false)), VALUE(VLOOKUP(M23, AD:AG, 2, false)) + 1),
    IF(ISBETWEEN(K23, VALUE(VLOOKUP(M23, AD:AG, 2, false)), VALUE(VLOOKUP(M23, AD:AG, 4, false))),
 "&amp;"       SEQUENCE(1, VALUE(VLOOKUP(M23, AD:AG, 4, false)) - K23, K23 + 1),
        """")))"),"")</f>
        <v/>
      </c>
      <c r="AI82" s="713"/>
      <c r="AJ82" s="713"/>
      <c r="AK82" s="713"/>
      <c r="AL82" s="713"/>
      <c r="AM82" s="713"/>
      <c r="AN82" s="713"/>
      <c r="AO82" s="713"/>
      <c r="AP82" s="713"/>
      <c r="AQ82" s="713"/>
      <c r="AR82" s="713"/>
      <c r="AS82" s="713"/>
      <c r="AT82" s="713"/>
      <c r="AU82" s="713"/>
      <c r="AV82" s="713"/>
      <c r="AW82" s="713"/>
      <c r="AX82" s="713"/>
      <c r="AY82" s="713"/>
      <c r="AZ82" s="713"/>
      <c r="BA82" s="713"/>
      <c r="BB82" s="713"/>
      <c r="BC82" s="713"/>
      <c r="BD82" s="713"/>
      <c r="BE82" s="713"/>
      <c r="BF82" s="713"/>
      <c r="BG82" s="713"/>
      <c r="BH82" s="713"/>
      <c r="BI82" s="713"/>
      <c r="BJ82" s="713"/>
      <c r="BK82" s="713"/>
      <c r="BL82" s="713"/>
      <c r="BM82" s="713"/>
      <c r="BN82" s="713"/>
      <c r="BO82" s="713"/>
      <c r="BP82" s="713"/>
      <c r="BQ82" s="713"/>
      <c r="BR82" s="713"/>
      <c r="BS82" s="713"/>
      <c r="BT82" s="713"/>
      <c r="BU82" s="713"/>
      <c r="BV82" s="713"/>
      <c r="BW82" s="713"/>
      <c r="BX82" s="713"/>
      <c r="BY82" s="713"/>
      <c r="BZ82" s="713"/>
      <c r="CA82" s="713"/>
      <c r="CB82" s="713"/>
      <c r="CC82" s="713"/>
      <c r="CD82" s="713"/>
      <c r="CE82" s="713"/>
      <c r="CF82" s="713"/>
      <c r="CG82" s="713"/>
      <c r="CH82" s="713"/>
      <c r="CI82" s="713"/>
      <c r="CJ82" s="713"/>
      <c r="CK82" s="713"/>
      <c r="CL82" s="713"/>
      <c r="CM82" s="713"/>
      <c r="CN82" s="713"/>
      <c r="CO82" s="713"/>
      <c r="CP82" s="713"/>
      <c r="CQ82" s="713"/>
      <c r="CR82" s="713"/>
      <c r="CS82" s="713"/>
      <c r="CT82" s="713"/>
      <c r="CU82" s="713"/>
      <c r="CV82" s="713"/>
      <c r="CW82" s="713"/>
      <c r="CX82" s="713"/>
      <c r="CY82" s="713"/>
      <c r="CZ82" s="713"/>
      <c r="DA82" s="713"/>
      <c r="DB82" s="713"/>
      <c r="DC82" s="713"/>
      <c r="DD82" s="713"/>
      <c r="DE82" s="713"/>
      <c r="DF82" s="713"/>
      <c r="DG82" s="713"/>
      <c r="DH82" s="713"/>
      <c r="DI82" s="713"/>
      <c r="DJ82" s="713"/>
      <c r="DK82" s="713"/>
      <c r="DL82" s="713"/>
      <c r="DM82" s="713"/>
      <c r="DN82" s="713"/>
      <c r="DO82" s="713"/>
      <c r="DP82" s="713"/>
      <c r="DQ82" s="713"/>
      <c r="DR82" s="713"/>
      <c r="DS82" s="713"/>
      <c r="DT82" s="713"/>
      <c r="DU82" s="713"/>
      <c r="DV82" s="713"/>
      <c r="DW82" s="713"/>
      <c r="DX82" s="713"/>
      <c r="DY82" s="713"/>
      <c r="DZ82" s="713"/>
      <c r="EA82" s="713"/>
      <c r="EB82" s="713"/>
      <c r="EC82" s="713"/>
      <c r="ED82" s="713"/>
      <c r="EE82" s="713"/>
      <c r="EF82" s="713"/>
      <c r="EG82" s="713"/>
      <c r="EH82" s="713"/>
      <c r="EI82" s="713"/>
      <c r="EJ82" s="713"/>
      <c r="EK82" s="713"/>
      <c r="EL82" s="713"/>
      <c r="EM82" s="713"/>
      <c r="EN82" s="713"/>
      <c r="EO82" s="713"/>
      <c r="EP82" s="713"/>
      <c r="EQ82" s="713"/>
      <c r="ER82" s="713"/>
      <c r="ES82" s="713"/>
      <c r="ET82" s="713"/>
      <c r="EU82" s="713"/>
      <c r="EV82" s="713"/>
      <c r="EW82" s="713"/>
      <c r="EX82" s="713"/>
      <c r="EY82" s="713"/>
      <c r="EZ82" s="713"/>
      <c r="FA82" s="713"/>
      <c r="FB82" s="713"/>
      <c r="FC82" s="713"/>
      <c r="FD82" s="713"/>
      <c r="FE82" s="713"/>
      <c r="FF82" s="713"/>
      <c r="FG82" s="713"/>
      <c r="FH82" s="713"/>
      <c r="FI82" s="713"/>
      <c r="FJ82" s="713"/>
      <c r="FK82" s="713"/>
      <c r="FL82" s="713"/>
      <c r="FM82" s="713"/>
      <c r="FN82" s="713"/>
      <c r="FO82" s="713"/>
      <c r="FP82" s="713"/>
      <c r="FQ82" s="713"/>
      <c r="FR82" s="713"/>
      <c r="FS82" s="713"/>
      <c r="FT82" s="713"/>
      <c r="FU82" s="713"/>
      <c r="FV82" s="713"/>
      <c r="FW82" s="713"/>
      <c r="FX82" s="713"/>
      <c r="FY82" s="713"/>
      <c r="FZ82" s="713"/>
      <c r="GA82" s="713"/>
      <c r="GB82" s="713"/>
      <c r="GC82" s="713"/>
      <c r="GD82" s="713"/>
      <c r="GE82" s="713"/>
      <c r="GF82" s="713"/>
      <c r="GG82" s="713"/>
      <c r="GH82" s="713"/>
      <c r="GI82" s="713"/>
      <c r="GJ82" s="713"/>
      <c r="GK82" s="713"/>
      <c r="GL82" s="713"/>
      <c r="GM82" s="713"/>
      <c r="GN82" s="713"/>
      <c r="GO82" s="713"/>
      <c r="GP82" s="713"/>
      <c r="GQ82" s="713"/>
      <c r="GR82" s="713"/>
      <c r="GS82" s="713"/>
      <c r="GT82" s="713"/>
      <c r="GU82" s="713"/>
      <c r="GV82" s="713"/>
      <c r="GW82" s="713"/>
      <c r="GX82" s="713"/>
      <c r="GY82" s="713"/>
      <c r="GZ82" s="713"/>
      <c r="HA82" s="713"/>
      <c r="HB82" s="713"/>
      <c r="HC82" s="713"/>
      <c r="HD82" s="713"/>
      <c r="HE82" s="713"/>
      <c r="HF82" s="713"/>
      <c r="HG82" s="713"/>
      <c r="HH82" s="713"/>
      <c r="HI82" s="713"/>
      <c r="HJ82" s="713"/>
      <c r="HK82" s="713"/>
      <c r="HL82" s="713"/>
      <c r="HM82" s="713"/>
      <c r="HN82" s="713"/>
      <c r="HO82" s="713"/>
      <c r="HP82" s="713"/>
      <c r="HQ82" s="713"/>
      <c r="HR82" s="713"/>
      <c r="HS82" s="713"/>
      <c r="HT82" s="713"/>
      <c r="HU82" s="713"/>
      <c r="HV82" s="713"/>
      <c r="HW82" s="713"/>
      <c r="HX82" s="713"/>
      <c r="HY82" s="713"/>
      <c r="HZ82" s="713"/>
      <c r="IA82" s="713"/>
      <c r="IB82" s="713"/>
      <c r="IC82" s="713"/>
      <c r="ID82" s="713"/>
      <c r="IE82" s="713"/>
      <c r="IF82" s="713"/>
      <c r="IG82" s="713"/>
      <c r="IH82" s="713"/>
    </row>
    <row r="83">
      <c r="A83" s="600"/>
      <c r="B83" s="983" t="s">
        <v>500</v>
      </c>
      <c r="C83" s="598"/>
      <c r="D83" s="984"/>
      <c r="E83" s="985"/>
      <c r="F83" s="598"/>
      <c r="G83" s="598"/>
      <c r="H83" s="598"/>
      <c r="I83" s="600"/>
      <c r="J83" s="986" t="s">
        <v>501</v>
      </c>
      <c r="K83" s="598"/>
      <c r="L83" s="987"/>
      <c r="M83" s="988"/>
      <c r="N83" s="598"/>
      <c r="O83" s="598"/>
      <c r="P83" s="598"/>
      <c r="Q83" s="598"/>
      <c r="R83" s="598"/>
      <c r="S83" s="598"/>
      <c r="T83" s="598"/>
      <c r="U83" s="598"/>
      <c r="V83" s="598"/>
      <c r="W83" s="598"/>
      <c r="X83" s="598"/>
      <c r="Y83" s="598"/>
      <c r="Z83" s="598"/>
      <c r="AA83" s="911"/>
      <c r="AB83" s="966"/>
      <c r="AC83" s="713" t="str">
        <f>IFERROR(__xludf.DUMMYFUNCTION("""COMPUTED_VALUE"""),"Extra Orb Adjuster")</f>
        <v>Extra Orb Adjuster</v>
      </c>
      <c r="AD83" s="816" t="s">
        <v>185</v>
      </c>
      <c r="AE83" s="713">
        <v>1.0</v>
      </c>
      <c r="AF83" s="713"/>
      <c r="AG83" s="713">
        <v>1.0</v>
      </c>
      <c r="AH83" s="967" t="str">
        <f>IFERROR(__xludf.DUMMYFUNCTION("IFERROR(IF(K24 = """", SEQUENCE(1, VALUE(VLOOKUP(M24, AD:AG, 4, false)) - VALUE(VLOOKUP(M24, AD:AG, 2, false)), VALUE(VLOOKUP(M24, AD:AG, 2, false)) + 1),
    IF(ISBETWEEN(K24, VALUE(VLOOKUP(M24, AD:AG, 2, false)), VALUE(VLOOKUP(M24, AD:AG, 4, false))),
 "&amp;"       SEQUENCE(1, VALUE(VLOOKUP(M24, AD:AG, 4, false)) - K24, K24 + 1),
        """")))"),"")</f>
        <v/>
      </c>
      <c r="AI83" s="713"/>
      <c r="AJ83" s="713"/>
      <c r="AK83" s="713"/>
      <c r="AL83" s="713"/>
      <c r="AM83" s="713"/>
      <c r="AN83" s="713"/>
      <c r="AO83" s="713"/>
      <c r="AP83" s="713"/>
      <c r="AQ83" s="713"/>
      <c r="AR83" s="713"/>
      <c r="AS83" s="713"/>
      <c r="AT83" s="713"/>
      <c r="AU83" s="713"/>
      <c r="AV83" s="713"/>
      <c r="AW83" s="713"/>
      <c r="AX83" s="713"/>
      <c r="AY83" s="713"/>
      <c r="AZ83" s="713"/>
      <c r="BA83" s="713"/>
      <c r="BB83" s="713"/>
      <c r="BC83" s="713"/>
      <c r="BD83" s="713"/>
      <c r="BE83" s="713"/>
      <c r="BF83" s="713"/>
      <c r="BG83" s="713"/>
      <c r="BH83" s="713"/>
      <c r="BI83" s="713"/>
      <c r="BJ83" s="713"/>
      <c r="BK83" s="713"/>
      <c r="BL83" s="713"/>
      <c r="BM83" s="713"/>
      <c r="BN83" s="713"/>
      <c r="BO83" s="713"/>
      <c r="BP83" s="713"/>
      <c r="BQ83" s="713"/>
      <c r="BR83" s="713"/>
      <c r="BS83" s="713"/>
      <c r="BT83" s="713"/>
      <c r="BU83" s="713"/>
      <c r="BV83" s="713"/>
      <c r="BW83" s="713"/>
      <c r="BX83" s="713"/>
      <c r="BY83" s="713"/>
      <c r="BZ83" s="713"/>
      <c r="CA83" s="713"/>
      <c r="CB83" s="713"/>
      <c r="CC83" s="713"/>
      <c r="CD83" s="713"/>
      <c r="CE83" s="713"/>
      <c r="CF83" s="713"/>
      <c r="CG83" s="713"/>
      <c r="CH83" s="713"/>
      <c r="CI83" s="713"/>
      <c r="CJ83" s="713"/>
      <c r="CK83" s="713"/>
      <c r="CL83" s="713"/>
      <c r="CM83" s="713"/>
      <c r="CN83" s="713"/>
      <c r="CO83" s="713"/>
      <c r="CP83" s="713"/>
      <c r="CQ83" s="713"/>
      <c r="CR83" s="713"/>
      <c r="CS83" s="713"/>
      <c r="CT83" s="713"/>
      <c r="CU83" s="713"/>
      <c r="CV83" s="713"/>
      <c r="CW83" s="713"/>
      <c r="CX83" s="713"/>
      <c r="CY83" s="713"/>
      <c r="CZ83" s="713"/>
      <c r="DA83" s="713"/>
      <c r="DB83" s="713"/>
      <c r="DC83" s="713"/>
      <c r="DD83" s="713"/>
      <c r="DE83" s="713"/>
      <c r="DF83" s="713"/>
      <c r="DG83" s="713"/>
      <c r="DH83" s="713"/>
      <c r="DI83" s="713"/>
      <c r="DJ83" s="713"/>
      <c r="DK83" s="713"/>
      <c r="DL83" s="713"/>
      <c r="DM83" s="713"/>
      <c r="DN83" s="713"/>
      <c r="DO83" s="713"/>
      <c r="DP83" s="713"/>
      <c r="DQ83" s="713"/>
      <c r="DR83" s="713"/>
      <c r="DS83" s="713"/>
      <c r="DT83" s="713"/>
      <c r="DU83" s="713"/>
      <c r="DV83" s="713"/>
      <c r="DW83" s="713"/>
      <c r="DX83" s="713"/>
      <c r="DY83" s="713"/>
      <c r="DZ83" s="713"/>
      <c r="EA83" s="713"/>
      <c r="EB83" s="713"/>
      <c r="EC83" s="713"/>
      <c r="ED83" s="713"/>
      <c r="EE83" s="713"/>
      <c r="EF83" s="713"/>
      <c r="EG83" s="713"/>
      <c r="EH83" s="713"/>
      <c r="EI83" s="713"/>
      <c r="EJ83" s="713"/>
      <c r="EK83" s="713"/>
      <c r="EL83" s="713"/>
      <c r="EM83" s="713"/>
      <c r="EN83" s="713"/>
      <c r="EO83" s="713"/>
      <c r="EP83" s="713"/>
      <c r="EQ83" s="713"/>
      <c r="ER83" s="713"/>
      <c r="ES83" s="713"/>
      <c r="ET83" s="713"/>
      <c r="EU83" s="713"/>
      <c r="EV83" s="713"/>
      <c r="EW83" s="713"/>
      <c r="EX83" s="713"/>
      <c r="EY83" s="713"/>
      <c r="EZ83" s="713"/>
      <c r="FA83" s="713"/>
      <c r="FB83" s="713"/>
      <c r="FC83" s="713"/>
      <c r="FD83" s="713"/>
      <c r="FE83" s="713"/>
      <c r="FF83" s="713"/>
      <c r="FG83" s="713"/>
      <c r="FH83" s="713"/>
      <c r="FI83" s="713"/>
      <c r="FJ83" s="713"/>
      <c r="FK83" s="713"/>
      <c r="FL83" s="713"/>
      <c r="FM83" s="713"/>
      <c r="FN83" s="713"/>
      <c r="FO83" s="713"/>
      <c r="FP83" s="713"/>
      <c r="FQ83" s="713"/>
      <c r="FR83" s="713"/>
      <c r="FS83" s="713"/>
      <c r="FT83" s="713"/>
      <c r="FU83" s="713"/>
      <c r="FV83" s="713"/>
      <c r="FW83" s="713"/>
      <c r="FX83" s="713"/>
      <c r="FY83" s="713"/>
      <c r="FZ83" s="713"/>
      <c r="GA83" s="713"/>
      <c r="GB83" s="713"/>
      <c r="GC83" s="713"/>
      <c r="GD83" s="713"/>
      <c r="GE83" s="713"/>
      <c r="GF83" s="713"/>
      <c r="GG83" s="713"/>
      <c r="GH83" s="713"/>
      <c r="GI83" s="713"/>
      <c r="GJ83" s="713"/>
      <c r="GK83" s="713"/>
      <c r="GL83" s="713"/>
      <c r="GM83" s="713"/>
      <c r="GN83" s="713"/>
      <c r="GO83" s="713"/>
      <c r="GP83" s="713"/>
      <c r="GQ83" s="713"/>
      <c r="GR83" s="713"/>
      <c r="GS83" s="713"/>
      <c r="GT83" s="713"/>
      <c r="GU83" s="713"/>
      <c r="GV83" s="713"/>
      <c r="GW83" s="713"/>
      <c r="GX83" s="713"/>
      <c r="GY83" s="713"/>
      <c r="GZ83" s="713"/>
      <c r="HA83" s="713"/>
      <c r="HB83" s="713"/>
      <c r="HC83" s="713"/>
      <c r="HD83" s="713"/>
      <c r="HE83" s="713"/>
      <c r="HF83" s="713"/>
      <c r="HG83" s="713"/>
      <c r="HH83" s="713"/>
      <c r="HI83" s="713"/>
      <c r="HJ83" s="713"/>
      <c r="HK83" s="713"/>
      <c r="HL83" s="713"/>
      <c r="HM83" s="713"/>
      <c r="HN83" s="713"/>
      <c r="HO83" s="713"/>
      <c r="HP83" s="713"/>
      <c r="HQ83" s="713"/>
      <c r="HR83" s="713"/>
      <c r="HS83" s="713"/>
      <c r="HT83" s="713"/>
      <c r="HU83" s="713"/>
      <c r="HV83" s="713"/>
      <c r="HW83" s="713"/>
      <c r="HX83" s="713"/>
      <c r="HY83" s="713"/>
      <c r="HZ83" s="713"/>
      <c r="IA83" s="713"/>
      <c r="IB83" s="713"/>
      <c r="IC83" s="713"/>
      <c r="ID83" s="713"/>
      <c r="IE83" s="713"/>
      <c r="IF83" s="713"/>
      <c r="IG83" s="713"/>
      <c r="IH83" s="713"/>
    </row>
    <row r="84">
      <c r="A84" s="600"/>
      <c r="B84" s="983" t="s">
        <v>500</v>
      </c>
      <c r="C84" s="598"/>
      <c r="D84" s="984"/>
      <c r="E84" s="985"/>
      <c r="F84" s="598"/>
      <c r="G84" s="598"/>
      <c r="H84" s="598"/>
      <c r="I84" s="600"/>
      <c r="J84" s="986" t="s">
        <v>501</v>
      </c>
      <c r="K84" s="598"/>
      <c r="L84" s="987"/>
      <c r="M84" s="988"/>
      <c r="N84" s="598"/>
      <c r="O84" s="598"/>
      <c r="P84" s="598"/>
      <c r="Q84" s="598"/>
      <c r="R84" s="598"/>
      <c r="S84" s="598"/>
      <c r="T84" s="598"/>
      <c r="U84" s="598"/>
      <c r="V84" s="598"/>
      <c r="W84" s="598"/>
      <c r="X84" s="598"/>
      <c r="Y84" s="598"/>
      <c r="Z84" s="598"/>
      <c r="AA84" s="911"/>
      <c r="AB84" s="966"/>
      <c r="AC84" s="713" t="str">
        <f>IFERROR(__xludf.DUMMYFUNCTION("""COMPUTED_VALUE"""),"Extra Orb Mastery")</f>
        <v>Extra Orb Mastery</v>
      </c>
      <c r="AD84" s="825" t="s">
        <v>349</v>
      </c>
      <c r="AE84" s="713">
        <v>0.0</v>
      </c>
      <c r="AF84" s="713"/>
      <c r="AG84" s="713">
        <v>9.0</v>
      </c>
      <c r="AH84" s="992">
        <f t="shared" ref="AH84:AH103" si="19">IFERROR(SEQUENCE(1, VALUE(VLOOKUP(U5, AD:AG, 4, false)) - VALUE(VLOOKUP(U5, AD:AG, 2, false)), VLOOKUP(U5, AD:AG, 2, false)),"")</f>
        <v>12</v>
      </c>
      <c r="AI84" s="713">
        <v>13.0</v>
      </c>
      <c r="AJ84" s="713">
        <v>14.0</v>
      </c>
      <c r="AK84" s="713">
        <v>15.0</v>
      </c>
      <c r="AL84" s="713">
        <v>16.0</v>
      </c>
      <c r="AM84" s="713">
        <v>17.0</v>
      </c>
      <c r="AN84" s="713">
        <v>18.0</v>
      </c>
      <c r="AO84" s="713">
        <v>19.0</v>
      </c>
      <c r="AP84" s="713"/>
      <c r="AQ84" s="713"/>
      <c r="AR84" s="713"/>
      <c r="AS84" s="713"/>
      <c r="AT84" s="713"/>
      <c r="AU84" s="713"/>
      <c r="AV84" s="713"/>
      <c r="AW84" s="713"/>
      <c r="AX84" s="713"/>
      <c r="AY84" s="713"/>
      <c r="AZ84" s="713"/>
      <c r="BA84" s="713"/>
      <c r="BB84" s="713"/>
      <c r="BC84" s="713"/>
      <c r="BD84" s="713"/>
      <c r="BE84" s="713"/>
      <c r="BF84" s="713"/>
      <c r="BG84" s="713"/>
      <c r="BH84" s="713"/>
      <c r="BI84" s="713"/>
      <c r="BJ84" s="713"/>
      <c r="BK84" s="713"/>
      <c r="BL84" s="713"/>
      <c r="BM84" s="713"/>
      <c r="BN84" s="713"/>
      <c r="BO84" s="713"/>
      <c r="BP84" s="713"/>
      <c r="BQ84" s="713"/>
      <c r="BR84" s="713"/>
      <c r="BS84" s="713"/>
      <c r="BT84" s="713"/>
      <c r="BU84" s="713"/>
      <c r="BV84" s="713"/>
      <c r="BW84" s="713"/>
      <c r="BX84" s="713"/>
      <c r="BY84" s="713"/>
      <c r="BZ84" s="713"/>
      <c r="CA84" s="713"/>
      <c r="CB84" s="713"/>
      <c r="CC84" s="713"/>
      <c r="CD84" s="713"/>
      <c r="CE84" s="713"/>
      <c r="CF84" s="713"/>
      <c r="CG84" s="713"/>
      <c r="CH84" s="713"/>
      <c r="CI84" s="713"/>
      <c r="CJ84" s="713"/>
      <c r="CK84" s="713"/>
      <c r="CL84" s="713"/>
      <c r="CM84" s="713"/>
      <c r="CN84" s="713"/>
      <c r="CO84" s="713"/>
      <c r="CP84" s="713"/>
      <c r="CQ84" s="713"/>
      <c r="CR84" s="713"/>
      <c r="CS84" s="713"/>
      <c r="CT84" s="713"/>
      <c r="CU84" s="713"/>
      <c r="CV84" s="713"/>
      <c r="CW84" s="713"/>
      <c r="CX84" s="713"/>
      <c r="CY84" s="713"/>
      <c r="CZ84" s="713"/>
      <c r="DA84" s="713"/>
      <c r="DB84" s="713"/>
      <c r="DC84" s="713"/>
      <c r="DD84" s="713"/>
      <c r="DE84" s="713"/>
      <c r="DF84" s="713"/>
      <c r="DG84" s="713"/>
      <c r="DH84" s="713"/>
      <c r="DI84" s="713"/>
      <c r="DJ84" s="713"/>
      <c r="DK84" s="713"/>
      <c r="DL84" s="713"/>
      <c r="DM84" s="713"/>
      <c r="DN84" s="713"/>
      <c r="DO84" s="713"/>
      <c r="DP84" s="713"/>
      <c r="DQ84" s="713"/>
      <c r="DR84" s="713"/>
      <c r="DS84" s="713"/>
      <c r="DT84" s="713"/>
      <c r="DU84" s="713"/>
      <c r="DV84" s="713"/>
      <c r="DW84" s="713"/>
      <c r="DX84" s="713"/>
      <c r="DY84" s="713"/>
      <c r="DZ84" s="713"/>
      <c r="EA84" s="713"/>
      <c r="EB84" s="713"/>
      <c r="EC84" s="713"/>
      <c r="ED84" s="713"/>
      <c r="EE84" s="713"/>
      <c r="EF84" s="713"/>
      <c r="EG84" s="713"/>
      <c r="EH84" s="713"/>
      <c r="EI84" s="713"/>
      <c r="EJ84" s="713"/>
      <c r="EK84" s="713"/>
      <c r="EL84" s="713"/>
      <c r="EM84" s="713"/>
      <c r="EN84" s="713"/>
      <c r="EO84" s="713"/>
      <c r="EP84" s="713"/>
      <c r="EQ84" s="713"/>
      <c r="ER84" s="713"/>
      <c r="ES84" s="713"/>
      <c r="ET84" s="713"/>
      <c r="EU84" s="713"/>
      <c r="EV84" s="713"/>
      <c r="EW84" s="713"/>
      <c r="EX84" s="713"/>
      <c r="EY84" s="713"/>
      <c r="EZ84" s="713"/>
      <c r="FA84" s="713"/>
      <c r="FB84" s="713"/>
      <c r="FC84" s="713"/>
      <c r="FD84" s="713"/>
      <c r="FE84" s="713"/>
      <c r="FF84" s="713"/>
      <c r="FG84" s="713"/>
      <c r="FH84" s="713"/>
      <c r="FI84" s="713"/>
      <c r="FJ84" s="713"/>
      <c r="FK84" s="713"/>
      <c r="FL84" s="713"/>
      <c r="FM84" s="713"/>
      <c r="FN84" s="713"/>
      <c r="FO84" s="713"/>
      <c r="FP84" s="713"/>
      <c r="FQ84" s="713"/>
      <c r="FR84" s="713"/>
      <c r="FS84" s="713"/>
      <c r="FT84" s="713"/>
      <c r="FU84" s="713"/>
      <c r="FV84" s="713"/>
      <c r="FW84" s="713"/>
      <c r="FX84" s="713"/>
      <c r="FY84" s="713"/>
      <c r="FZ84" s="713"/>
      <c r="GA84" s="713"/>
      <c r="GB84" s="713"/>
      <c r="GC84" s="713"/>
      <c r="GD84" s="713"/>
      <c r="GE84" s="713"/>
      <c r="GF84" s="713"/>
      <c r="GG84" s="713"/>
      <c r="GH84" s="713"/>
      <c r="GI84" s="713"/>
      <c r="GJ84" s="713"/>
      <c r="GK84" s="713"/>
      <c r="GL84" s="713"/>
      <c r="GM84" s="713"/>
      <c r="GN84" s="713"/>
      <c r="GO84" s="713"/>
      <c r="GP84" s="713"/>
      <c r="GQ84" s="713"/>
      <c r="GR84" s="713"/>
      <c r="GS84" s="713"/>
      <c r="GT84" s="713"/>
      <c r="GU84" s="713"/>
      <c r="GV84" s="713"/>
      <c r="GW84" s="713"/>
      <c r="GX84" s="713"/>
      <c r="GY84" s="713"/>
      <c r="GZ84" s="713"/>
      <c r="HA84" s="713"/>
      <c r="HB84" s="713"/>
      <c r="HC84" s="713"/>
      <c r="HD84" s="713"/>
      <c r="HE84" s="713"/>
      <c r="HF84" s="713"/>
      <c r="HG84" s="713"/>
      <c r="HH84" s="713"/>
      <c r="HI84" s="713"/>
      <c r="HJ84" s="713"/>
      <c r="HK84" s="713"/>
      <c r="HL84" s="713"/>
      <c r="HM84" s="713"/>
      <c r="HN84" s="713"/>
      <c r="HO84" s="713"/>
      <c r="HP84" s="713"/>
      <c r="HQ84" s="713"/>
      <c r="HR84" s="713"/>
      <c r="HS84" s="713"/>
      <c r="HT84" s="713"/>
      <c r="HU84" s="713"/>
      <c r="HV84" s="713"/>
      <c r="HW84" s="713"/>
      <c r="HX84" s="713"/>
      <c r="HY84" s="713"/>
      <c r="HZ84" s="713"/>
      <c r="IA84" s="713"/>
      <c r="IB84" s="713"/>
      <c r="IC84" s="713"/>
      <c r="ID84" s="713"/>
      <c r="IE84" s="713"/>
      <c r="IF84" s="713"/>
      <c r="IG84" s="713"/>
      <c r="IH84" s="713"/>
    </row>
    <row r="85">
      <c r="A85" s="600"/>
      <c r="B85" s="983" t="s">
        <v>500</v>
      </c>
      <c r="C85" s="598"/>
      <c r="D85" s="984"/>
      <c r="E85" s="985"/>
      <c r="F85" s="598"/>
      <c r="G85" s="598"/>
      <c r="H85" s="598"/>
      <c r="I85" s="600"/>
      <c r="J85" s="986" t="s">
        <v>501</v>
      </c>
      <c r="K85" s="598"/>
      <c r="L85" s="987"/>
      <c r="M85" s="988"/>
      <c r="N85" s="598"/>
      <c r="O85" s="598"/>
      <c r="P85" s="598"/>
      <c r="Q85" s="598"/>
      <c r="R85" s="598"/>
      <c r="S85" s="598"/>
      <c r="T85" s="598"/>
      <c r="U85" s="598"/>
      <c r="V85" s="598"/>
      <c r="W85" s="598"/>
      <c r="X85" s="598"/>
      <c r="Y85" s="598"/>
      <c r="Z85" s="598"/>
      <c r="AA85" s="911"/>
      <c r="AB85" s="966"/>
      <c r="AC85" s="713" t="str">
        <f>IFERROR(__xludf.DUMMYFUNCTION("""COMPUTED_VALUE"""),"Fast Enemy Attack")</f>
        <v>Fast Enemy Attack</v>
      </c>
      <c r="AD85" s="816" t="s">
        <v>209</v>
      </c>
      <c r="AE85" s="713">
        <v>0.0</v>
      </c>
      <c r="AF85" s="713"/>
      <c r="AG85" s="713">
        <v>30.0</v>
      </c>
      <c r="AH85" s="992" t="str">
        <f t="shared" si="19"/>
        <v/>
      </c>
      <c r="AI85" s="713"/>
      <c r="AJ85" s="713"/>
      <c r="AK85" s="713"/>
      <c r="AL85" s="713"/>
      <c r="AM85" s="713"/>
      <c r="AN85" s="713"/>
      <c r="AO85" s="713"/>
      <c r="AP85" s="713"/>
      <c r="AQ85" s="713"/>
      <c r="AR85" s="713"/>
      <c r="AS85" s="713"/>
      <c r="AT85" s="713"/>
      <c r="AU85" s="713"/>
      <c r="AV85" s="713"/>
      <c r="AW85" s="713"/>
      <c r="AX85" s="713"/>
      <c r="AY85" s="713"/>
      <c r="AZ85" s="713"/>
      <c r="BA85" s="713"/>
      <c r="BB85" s="713"/>
      <c r="BC85" s="713"/>
      <c r="BD85" s="713"/>
      <c r="BE85" s="713"/>
      <c r="BF85" s="713"/>
      <c r="BG85" s="713"/>
      <c r="BH85" s="713"/>
      <c r="BI85" s="713"/>
      <c r="BJ85" s="713"/>
      <c r="BK85" s="713"/>
      <c r="BL85" s="713"/>
      <c r="BM85" s="713"/>
      <c r="BN85" s="713"/>
      <c r="BO85" s="713"/>
      <c r="BP85" s="713"/>
      <c r="BQ85" s="713"/>
      <c r="BR85" s="713"/>
      <c r="BS85" s="713"/>
      <c r="BT85" s="713"/>
      <c r="BU85" s="713"/>
      <c r="BV85" s="713"/>
      <c r="BW85" s="713"/>
      <c r="BX85" s="713"/>
      <c r="BY85" s="713"/>
      <c r="BZ85" s="713"/>
      <c r="CA85" s="713"/>
      <c r="CB85" s="713"/>
      <c r="CC85" s="713"/>
      <c r="CD85" s="713"/>
      <c r="CE85" s="713"/>
      <c r="CF85" s="713"/>
      <c r="CG85" s="713"/>
      <c r="CH85" s="713"/>
      <c r="CI85" s="713"/>
      <c r="CJ85" s="713"/>
      <c r="CK85" s="713"/>
      <c r="CL85" s="713"/>
      <c r="CM85" s="713"/>
      <c r="CN85" s="713"/>
      <c r="CO85" s="713"/>
      <c r="CP85" s="713"/>
      <c r="CQ85" s="713"/>
      <c r="CR85" s="713"/>
      <c r="CS85" s="713"/>
      <c r="CT85" s="713"/>
      <c r="CU85" s="713"/>
      <c r="CV85" s="713"/>
      <c r="CW85" s="713"/>
      <c r="CX85" s="713"/>
      <c r="CY85" s="713"/>
      <c r="CZ85" s="713"/>
      <c r="DA85" s="713"/>
      <c r="DB85" s="713"/>
      <c r="DC85" s="713"/>
      <c r="DD85" s="713"/>
      <c r="DE85" s="713"/>
      <c r="DF85" s="713"/>
      <c r="DG85" s="713"/>
      <c r="DH85" s="713"/>
      <c r="DI85" s="713"/>
      <c r="DJ85" s="713"/>
      <c r="DK85" s="713"/>
      <c r="DL85" s="713"/>
      <c r="DM85" s="713"/>
      <c r="DN85" s="713"/>
      <c r="DO85" s="713"/>
      <c r="DP85" s="713"/>
      <c r="DQ85" s="713"/>
      <c r="DR85" s="713"/>
      <c r="DS85" s="713"/>
      <c r="DT85" s="713"/>
      <c r="DU85" s="713"/>
      <c r="DV85" s="713"/>
      <c r="DW85" s="713"/>
      <c r="DX85" s="713"/>
      <c r="DY85" s="713"/>
      <c r="DZ85" s="713"/>
      <c r="EA85" s="713"/>
      <c r="EB85" s="713"/>
      <c r="EC85" s="713"/>
      <c r="ED85" s="713"/>
      <c r="EE85" s="713"/>
      <c r="EF85" s="713"/>
      <c r="EG85" s="713"/>
      <c r="EH85" s="713"/>
      <c r="EI85" s="713"/>
      <c r="EJ85" s="713"/>
      <c r="EK85" s="713"/>
      <c r="EL85" s="713"/>
      <c r="EM85" s="713"/>
      <c r="EN85" s="713"/>
      <c r="EO85" s="713"/>
      <c r="EP85" s="713"/>
      <c r="EQ85" s="713"/>
      <c r="ER85" s="713"/>
      <c r="ES85" s="713"/>
      <c r="ET85" s="713"/>
      <c r="EU85" s="713"/>
      <c r="EV85" s="713"/>
      <c r="EW85" s="713"/>
      <c r="EX85" s="713"/>
      <c r="EY85" s="713"/>
      <c r="EZ85" s="713"/>
      <c r="FA85" s="713"/>
      <c r="FB85" s="713"/>
      <c r="FC85" s="713"/>
      <c r="FD85" s="713"/>
      <c r="FE85" s="713"/>
      <c r="FF85" s="713"/>
      <c r="FG85" s="713"/>
      <c r="FH85" s="713"/>
      <c r="FI85" s="713"/>
      <c r="FJ85" s="713"/>
      <c r="FK85" s="713"/>
      <c r="FL85" s="713"/>
      <c r="FM85" s="713"/>
      <c r="FN85" s="713"/>
      <c r="FO85" s="713"/>
      <c r="FP85" s="713"/>
      <c r="FQ85" s="713"/>
      <c r="FR85" s="713"/>
      <c r="FS85" s="713"/>
      <c r="FT85" s="713"/>
      <c r="FU85" s="713"/>
      <c r="FV85" s="713"/>
      <c r="FW85" s="713"/>
      <c r="FX85" s="713"/>
      <c r="FY85" s="713"/>
      <c r="FZ85" s="713"/>
      <c r="GA85" s="713"/>
      <c r="GB85" s="713"/>
      <c r="GC85" s="713"/>
      <c r="GD85" s="713"/>
      <c r="GE85" s="713"/>
      <c r="GF85" s="713"/>
      <c r="GG85" s="713"/>
      <c r="GH85" s="713"/>
      <c r="GI85" s="713"/>
      <c r="GJ85" s="713"/>
      <c r="GK85" s="713"/>
      <c r="GL85" s="713"/>
      <c r="GM85" s="713"/>
      <c r="GN85" s="713"/>
      <c r="GO85" s="713"/>
      <c r="GP85" s="713"/>
      <c r="GQ85" s="713"/>
      <c r="GR85" s="713"/>
      <c r="GS85" s="713"/>
      <c r="GT85" s="713"/>
      <c r="GU85" s="713"/>
      <c r="GV85" s="713"/>
      <c r="GW85" s="713"/>
      <c r="GX85" s="713"/>
      <c r="GY85" s="713"/>
      <c r="GZ85" s="713"/>
      <c r="HA85" s="713"/>
      <c r="HB85" s="713"/>
      <c r="HC85" s="713"/>
      <c r="HD85" s="713"/>
      <c r="HE85" s="713"/>
      <c r="HF85" s="713"/>
      <c r="HG85" s="713"/>
      <c r="HH85" s="713"/>
      <c r="HI85" s="713"/>
      <c r="HJ85" s="713"/>
      <c r="HK85" s="713"/>
      <c r="HL85" s="713"/>
      <c r="HM85" s="713"/>
      <c r="HN85" s="713"/>
      <c r="HO85" s="713"/>
      <c r="HP85" s="713"/>
      <c r="HQ85" s="713"/>
      <c r="HR85" s="713"/>
      <c r="HS85" s="713"/>
      <c r="HT85" s="713"/>
      <c r="HU85" s="713"/>
      <c r="HV85" s="713"/>
      <c r="HW85" s="713"/>
      <c r="HX85" s="713"/>
      <c r="HY85" s="713"/>
      <c r="HZ85" s="713"/>
      <c r="IA85" s="713"/>
      <c r="IB85" s="713"/>
      <c r="IC85" s="713"/>
      <c r="ID85" s="713"/>
      <c r="IE85" s="713"/>
      <c r="IF85" s="713"/>
      <c r="IG85" s="713"/>
      <c r="IH85" s="713"/>
    </row>
    <row r="86">
      <c r="A86" s="600"/>
      <c r="B86" s="993" t="s">
        <v>500</v>
      </c>
      <c r="C86" s="598"/>
      <c r="D86" s="994"/>
      <c r="E86" s="995"/>
      <c r="F86" s="598"/>
      <c r="G86" s="598"/>
      <c r="H86" s="598"/>
      <c r="I86" s="600"/>
      <c r="J86" s="996" t="s">
        <v>501</v>
      </c>
      <c r="K86" s="598"/>
      <c r="L86" s="997"/>
      <c r="M86" s="998"/>
      <c r="N86" s="598"/>
      <c r="O86" s="598"/>
      <c r="P86" s="598"/>
      <c r="Q86" s="598"/>
      <c r="R86" s="598"/>
      <c r="S86" s="598"/>
      <c r="T86" s="598"/>
      <c r="U86" s="598"/>
      <c r="V86" s="598"/>
      <c r="W86" s="598"/>
      <c r="X86" s="598"/>
      <c r="Y86" s="598"/>
      <c r="Z86" s="598"/>
      <c r="AA86" s="911"/>
      <c r="AB86" s="966"/>
      <c r="AC86" s="713" t="str">
        <f>IFERROR(__xludf.DUMMYFUNCTION("""COMPUTED_VALUE"""),"Fast Enemy Health")</f>
        <v>Fast Enemy Health</v>
      </c>
      <c r="AD86" s="816" t="s">
        <v>188</v>
      </c>
      <c r="AE86" s="713">
        <v>0.0</v>
      </c>
      <c r="AF86" s="713"/>
      <c r="AG86" s="713">
        <v>30.0</v>
      </c>
      <c r="AH86" s="992" t="str">
        <f t="shared" si="19"/>
        <v/>
      </c>
      <c r="AI86" s="713"/>
      <c r="AJ86" s="713"/>
      <c r="AK86" s="713"/>
      <c r="AL86" s="713"/>
      <c r="AM86" s="713"/>
      <c r="AN86" s="713"/>
      <c r="AO86" s="713"/>
      <c r="AP86" s="713"/>
      <c r="AQ86" s="713"/>
      <c r="AR86" s="713"/>
      <c r="AS86" s="713"/>
      <c r="AT86" s="713"/>
      <c r="AU86" s="713"/>
      <c r="AV86" s="713"/>
      <c r="AW86" s="713"/>
      <c r="AX86" s="713"/>
      <c r="AY86" s="713"/>
      <c r="AZ86" s="713"/>
      <c r="BA86" s="713"/>
      <c r="BB86" s="713"/>
      <c r="BC86" s="713"/>
      <c r="BD86" s="713"/>
      <c r="BE86" s="713"/>
      <c r="BF86" s="713"/>
      <c r="BG86" s="713"/>
      <c r="BH86" s="713"/>
      <c r="BI86" s="713"/>
      <c r="BJ86" s="713"/>
      <c r="BK86" s="713"/>
      <c r="BL86" s="713"/>
      <c r="BM86" s="713"/>
      <c r="BN86" s="713"/>
      <c r="BO86" s="713"/>
      <c r="BP86" s="713"/>
      <c r="BQ86" s="713"/>
      <c r="BR86" s="713"/>
      <c r="BS86" s="713"/>
      <c r="BT86" s="713"/>
      <c r="BU86" s="713"/>
      <c r="BV86" s="713"/>
      <c r="BW86" s="713"/>
      <c r="BX86" s="713"/>
      <c r="BY86" s="713"/>
      <c r="BZ86" s="713"/>
      <c r="CA86" s="713"/>
      <c r="CB86" s="713"/>
      <c r="CC86" s="713"/>
      <c r="CD86" s="713"/>
      <c r="CE86" s="713"/>
      <c r="CF86" s="713"/>
      <c r="CG86" s="713"/>
      <c r="CH86" s="713"/>
      <c r="CI86" s="713"/>
      <c r="CJ86" s="713"/>
      <c r="CK86" s="713"/>
      <c r="CL86" s="713"/>
      <c r="CM86" s="713"/>
      <c r="CN86" s="713"/>
      <c r="CO86" s="713"/>
      <c r="CP86" s="713"/>
      <c r="CQ86" s="713"/>
      <c r="CR86" s="713"/>
      <c r="CS86" s="713"/>
      <c r="CT86" s="713"/>
      <c r="CU86" s="713"/>
      <c r="CV86" s="713"/>
      <c r="CW86" s="713"/>
      <c r="CX86" s="713"/>
      <c r="CY86" s="713"/>
      <c r="CZ86" s="713"/>
      <c r="DA86" s="713"/>
      <c r="DB86" s="713"/>
      <c r="DC86" s="713"/>
      <c r="DD86" s="713"/>
      <c r="DE86" s="713"/>
      <c r="DF86" s="713"/>
      <c r="DG86" s="713"/>
      <c r="DH86" s="713"/>
      <c r="DI86" s="713"/>
      <c r="DJ86" s="713"/>
      <c r="DK86" s="713"/>
      <c r="DL86" s="713"/>
      <c r="DM86" s="713"/>
      <c r="DN86" s="713"/>
      <c r="DO86" s="713"/>
      <c r="DP86" s="713"/>
      <c r="DQ86" s="713"/>
      <c r="DR86" s="713"/>
      <c r="DS86" s="713"/>
      <c r="DT86" s="713"/>
      <c r="DU86" s="713"/>
      <c r="DV86" s="713"/>
      <c r="DW86" s="713"/>
      <c r="DX86" s="713"/>
      <c r="DY86" s="713"/>
      <c r="DZ86" s="713"/>
      <c r="EA86" s="713"/>
      <c r="EB86" s="713"/>
      <c r="EC86" s="713"/>
      <c r="ED86" s="713"/>
      <c r="EE86" s="713"/>
      <c r="EF86" s="713"/>
      <c r="EG86" s="713"/>
      <c r="EH86" s="713"/>
      <c r="EI86" s="713"/>
      <c r="EJ86" s="713"/>
      <c r="EK86" s="713"/>
      <c r="EL86" s="713"/>
      <c r="EM86" s="713"/>
      <c r="EN86" s="713"/>
      <c r="EO86" s="713"/>
      <c r="EP86" s="713"/>
      <c r="EQ86" s="713"/>
      <c r="ER86" s="713"/>
      <c r="ES86" s="713"/>
      <c r="ET86" s="713"/>
      <c r="EU86" s="713"/>
      <c r="EV86" s="713"/>
      <c r="EW86" s="713"/>
      <c r="EX86" s="713"/>
      <c r="EY86" s="713"/>
      <c r="EZ86" s="713"/>
      <c r="FA86" s="713"/>
      <c r="FB86" s="713"/>
      <c r="FC86" s="713"/>
      <c r="FD86" s="713"/>
      <c r="FE86" s="713"/>
      <c r="FF86" s="713"/>
      <c r="FG86" s="713"/>
      <c r="FH86" s="713"/>
      <c r="FI86" s="713"/>
      <c r="FJ86" s="713"/>
      <c r="FK86" s="713"/>
      <c r="FL86" s="713"/>
      <c r="FM86" s="713"/>
      <c r="FN86" s="713"/>
      <c r="FO86" s="713"/>
      <c r="FP86" s="713"/>
      <c r="FQ86" s="713"/>
      <c r="FR86" s="713"/>
      <c r="FS86" s="713"/>
      <c r="FT86" s="713"/>
      <c r="FU86" s="713"/>
      <c r="FV86" s="713"/>
      <c r="FW86" s="713"/>
      <c r="FX86" s="713"/>
      <c r="FY86" s="713"/>
      <c r="FZ86" s="713"/>
      <c r="GA86" s="713"/>
      <c r="GB86" s="713"/>
      <c r="GC86" s="713"/>
      <c r="GD86" s="713"/>
      <c r="GE86" s="713"/>
      <c r="GF86" s="713"/>
      <c r="GG86" s="713"/>
      <c r="GH86" s="713"/>
      <c r="GI86" s="713"/>
      <c r="GJ86" s="713"/>
      <c r="GK86" s="713"/>
      <c r="GL86" s="713"/>
      <c r="GM86" s="713"/>
      <c r="GN86" s="713"/>
      <c r="GO86" s="713"/>
      <c r="GP86" s="713"/>
      <c r="GQ86" s="713"/>
      <c r="GR86" s="713"/>
      <c r="GS86" s="713"/>
      <c r="GT86" s="713"/>
      <c r="GU86" s="713"/>
      <c r="GV86" s="713"/>
      <c r="GW86" s="713"/>
      <c r="GX86" s="713"/>
      <c r="GY86" s="713"/>
      <c r="GZ86" s="713"/>
      <c r="HA86" s="713"/>
      <c r="HB86" s="713"/>
      <c r="HC86" s="713"/>
      <c r="HD86" s="713"/>
      <c r="HE86" s="713"/>
      <c r="HF86" s="713"/>
      <c r="HG86" s="713"/>
      <c r="HH86" s="713"/>
      <c r="HI86" s="713"/>
      <c r="HJ86" s="713"/>
      <c r="HK86" s="713"/>
      <c r="HL86" s="713"/>
      <c r="HM86" s="713"/>
      <c r="HN86" s="713"/>
      <c r="HO86" s="713"/>
      <c r="HP86" s="713"/>
      <c r="HQ86" s="713"/>
      <c r="HR86" s="713"/>
      <c r="HS86" s="713"/>
      <c r="HT86" s="713"/>
      <c r="HU86" s="713"/>
      <c r="HV86" s="713"/>
      <c r="HW86" s="713"/>
      <c r="HX86" s="713"/>
      <c r="HY86" s="713"/>
      <c r="HZ86" s="713"/>
      <c r="IA86" s="713"/>
      <c r="IB86" s="713"/>
      <c r="IC86" s="713"/>
      <c r="ID86" s="713"/>
      <c r="IE86" s="713"/>
      <c r="IF86" s="713"/>
      <c r="IG86" s="713"/>
      <c r="IH86" s="713"/>
    </row>
    <row r="87" collapsed="1">
      <c r="A87" s="598"/>
      <c r="B87" s="787"/>
      <c r="C87" s="598"/>
      <c r="D87" s="598"/>
      <c r="E87" s="598"/>
      <c r="F87" s="598"/>
      <c r="G87" s="598"/>
      <c r="H87" s="598"/>
      <c r="I87" s="598"/>
      <c r="J87" s="787"/>
      <c r="K87" s="598"/>
      <c r="L87" s="598"/>
      <c r="M87" s="598"/>
      <c r="N87" s="598"/>
      <c r="O87" s="598"/>
      <c r="P87" s="598"/>
      <c r="Q87" s="598"/>
      <c r="R87" s="598"/>
      <c r="S87" s="598"/>
      <c r="T87" s="598"/>
      <c r="U87" s="598"/>
      <c r="V87" s="598"/>
      <c r="W87" s="598"/>
      <c r="X87" s="598"/>
      <c r="Y87" s="598"/>
      <c r="Z87" s="598"/>
      <c r="AA87" s="911"/>
      <c r="AB87" s="966"/>
      <c r="AC87" s="713" t="str">
        <f>IFERROR(__xludf.DUMMYFUNCTION("""COMPUTED_VALUE"""),"Fast Enemy Speed")</f>
        <v>Fast Enemy Speed</v>
      </c>
      <c r="AD87" s="816" t="s">
        <v>223</v>
      </c>
      <c r="AE87" s="713">
        <v>0.0</v>
      </c>
      <c r="AF87" s="713"/>
      <c r="AG87" s="713">
        <v>30.0</v>
      </c>
      <c r="AH87" s="992" t="str">
        <f t="shared" si="19"/>
        <v/>
      </c>
      <c r="AI87" s="713"/>
      <c r="AJ87" s="713"/>
      <c r="AK87" s="713"/>
      <c r="AL87" s="713"/>
      <c r="AM87" s="713"/>
      <c r="AN87" s="713"/>
      <c r="AO87" s="713"/>
      <c r="AP87" s="713"/>
      <c r="AQ87" s="713"/>
      <c r="AR87" s="713"/>
      <c r="AS87" s="713"/>
      <c r="AT87" s="713"/>
      <c r="AU87" s="713"/>
      <c r="AV87" s="713"/>
      <c r="AW87" s="713"/>
      <c r="AX87" s="713"/>
      <c r="AY87" s="713"/>
      <c r="AZ87" s="713"/>
      <c r="BA87" s="713"/>
      <c r="BB87" s="713"/>
      <c r="BC87" s="713"/>
      <c r="BD87" s="713"/>
      <c r="BE87" s="713"/>
      <c r="BF87" s="713"/>
      <c r="BG87" s="713"/>
      <c r="BH87" s="713"/>
      <c r="BI87" s="713"/>
      <c r="BJ87" s="713"/>
      <c r="BK87" s="713"/>
      <c r="BL87" s="713"/>
      <c r="BM87" s="713"/>
      <c r="BN87" s="713"/>
      <c r="BO87" s="713"/>
      <c r="BP87" s="713"/>
      <c r="BQ87" s="713"/>
      <c r="BR87" s="713"/>
      <c r="BS87" s="713"/>
      <c r="BT87" s="713"/>
      <c r="BU87" s="713"/>
      <c r="BV87" s="713"/>
      <c r="BW87" s="713"/>
      <c r="BX87" s="713"/>
      <c r="BY87" s="713"/>
      <c r="BZ87" s="713"/>
      <c r="CA87" s="713"/>
      <c r="CB87" s="713"/>
      <c r="CC87" s="713"/>
      <c r="CD87" s="713"/>
      <c r="CE87" s="713"/>
      <c r="CF87" s="713"/>
      <c r="CG87" s="713"/>
      <c r="CH87" s="713"/>
      <c r="CI87" s="713"/>
      <c r="CJ87" s="713"/>
      <c r="CK87" s="713"/>
      <c r="CL87" s="713"/>
      <c r="CM87" s="713"/>
      <c r="CN87" s="713"/>
      <c r="CO87" s="713"/>
      <c r="CP87" s="713"/>
      <c r="CQ87" s="713"/>
      <c r="CR87" s="713"/>
      <c r="CS87" s="713"/>
      <c r="CT87" s="713"/>
      <c r="CU87" s="713"/>
      <c r="CV87" s="713"/>
      <c r="CW87" s="713"/>
      <c r="CX87" s="713"/>
      <c r="CY87" s="713"/>
      <c r="CZ87" s="713"/>
      <c r="DA87" s="713"/>
      <c r="DB87" s="713"/>
      <c r="DC87" s="713"/>
      <c r="DD87" s="713"/>
      <c r="DE87" s="713"/>
      <c r="DF87" s="713"/>
      <c r="DG87" s="713"/>
      <c r="DH87" s="713"/>
      <c r="DI87" s="713"/>
      <c r="DJ87" s="713"/>
      <c r="DK87" s="713"/>
      <c r="DL87" s="713"/>
      <c r="DM87" s="713"/>
      <c r="DN87" s="713"/>
      <c r="DO87" s="713"/>
      <c r="DP87" s="713"/>
      <c r="DQ87" s="713"/>
      <c r="DR87" s="713"/>
      <c r="DS87" s="713"/>
      <c r="DT87" s="713"/>
      <c r="DU87" s="713"/>
      <c r="DV87" s="713"/>
      <c r="DW87" s="713"/>
      <c r="DX87" s="713"/>
      <c r="DY87" s="713"/>
      <c r="DZ87" s="713"/>
      <c r="EA87" s="713"/>
      <c r="EB87" s="713"/>
      <c r="EC87" s="713"/>
      <c r="ED87" s="713"/>
      <c r="EE87" s="713"/>
      <c r="EF87" s="713"/>
      <c r="EG87" s="713"/>
      <c r="EH87" s="713"/>
      <c r="EI87" s="713"/>
      <c r="EJ87" s="713"/>
      <c r="EK87" s="713"/>
      <c r="EL87" s="713"/>
      <c r="EM87" s="713"/>
      <c r="EN87" s="713"/>
      <c r="EO87" s="713"/>
      <c r="EP87" s="713"/>
      <c r="EQ87" s="713"/>
      <c r="ER87" s="713"/>
      <c r="ES87" s="713"/>
      <c r="ET87" s="713"/>
      <c r="EU87" s="713"/>
      <c r="EV87" s="713"/>
      <c r="EW87" s="713"/>
      <c r="EX87" s="713"/>
      <c r="EY87" s="713"/>
      <c r="EZ87" s="713"/>
      <c r="FA87" s="713"/>
      <c r="FB87" s="713"/>
      <c r="FC87" s="713"/>
      <c r="FD87" s="713"/>
      <c r="FE87" s="713"/>
      <c r="FF87" s="713"/>
      <c r="FG87" s="713"/>
      <c r="FH87" s="713"/>
      <c r="FI87" s="713"/>
      <c r="FJ87" s="713"/>
      <c r="FK87" s="713"/>
      <c r="FL87" s="713"/>
      <c r="FM87" s="713"/>
      <c r="FN87" s="713"/>
      <c r="FO87" s="713"/>
      <c r="FP87" s="713"/>
      <c r="FQ87" s="713"/>
      <c r="FR87" s="713"/>
      <c r="FS87" s="713"/>
      <c r="FT87" s="713"/>
      <c r="FU87" s="713"/>
      <c r="FV87" s="713"/>
      <c r="FW87" s="713"/>
      <c r="FX87" s="713"/>
      <c r="FY87" s="713"/>
      <c r="FZ87" s="713"/>
      <c r="GA87" s="713"/>
      <c r="GB87" s="713"/>
      <c r="GC87" s="713"/>
      <c r="GD87" s="713"/>
      <c r="GE87" s="713"/>
      <c r="GF87" s="713"/>
      <c r="GG87" s="713"/>
      <c r="GH87" s="713"/>
      <c r="GI87" s="713"/>
      <c r="GJ87" s="713"/>
      <c r="GK87" s="713"/>
      <c r="GL87" s="713"/>
      <c r="GM87" s="713"/>
      <c r="GN87" s="713"/>
      <c r="GO87" s="713"/>
      <c r="GP87" s="713"/>
      <c r="GQ87" s="713"/>
      <c r="GR87" s="713"/>
      <c r="GS87" s="713"/>
      <c r="GT87" s="713"/>
      <c r="GU87" s="713"/>
      <c r="GV87" s="713"/>
      <c r="GW87" s="713"/>
      <c r="GX87" s="713"/>
      <c r="GY87" s="713"/>
      <c r="GZ87" s="713"/>
      <c r="HA87" s="713"/>
      <c r="HB87" s="713"/>
      <c r="HC87" s="713"/>
      <c r="HD87" s="713"/>
      <c r="HE87" s="713"/>
      <c r="HF87" s="713"/>
      <c r="HG87" s="713"/>
      <c r="HH87" s="713"/>
      <c r="HI87" s="713"/>
      <c r="HJ87" s="713"/>
      <c r="HK87" s="713"/>
      <c r="HL87" s="713"/>
      <c r="HM87" s="713"/>
      <c r="HN87" s="713"/>
      <c r="HO87" s="713"/>
      <c r="HP87" s="713"/>
      <c r="HQ87" s="713"/>
      <c r="HR87" s="713"/>
      <c r="HS87" s="713"/>
      <c r="HT87" s="713"/>
      <c r="HU87" s="713"/>
      <c r="HV87" s="713"/>
      <c r="HW87" s="713"/>
      <c r="HX87" s="713"/>
      <c r="HY87" s="713"/>
      <c r="HZ87" s="713"/>
      <c r="IA87" s="713"/>
      <c r="IB87" s="713"/>
      <c r="IC87" s="713"/>
      <c r="ID87" s="713"/>
      <c r="IE87" s="713"/>
      <c r="IF87" s="713"/>
      <c r="IG87" s="713"/>
      <c r="IH87" s="713"/>
    </row>
    <row r="88" hidden="1" outlineLevel="1">
      <c r="A88" s="598"/>
      <c r="B88" s="598"/>
      <c r="C88" s="598"/>
      <c r="D88" s="598"/>
      <c r="E88" s="598"/>
      <c r="F88" s="598"/>
      <c r="G88" s="598"/>
      <c r="H88" s="598"/>
      <c r="I88" s="598"/>
      <c r="J88" s="598"/>
      <c r="K88" s="598"/>
      <c r="L88" s="598"/>
      <c r="M88" s="598"/>
      <c r="N88" s="598"/>
      <c r="O88" s="598"/>
      <c r="P88" s="598"/>
      <c r="Q88" s="598"/>
      <c r="R88" s="598"/>
      <c r="S88" s="598"/>
      <c r="T88" s="598"/>
      <c r="U88" s="598"/>
      <c r="V88" s="598"/>
      <c r="W88" s="598"/>
      <c r="Y88" s="598"/>
      <c r="Z88" s="598"/>
      <c r="AA88" s="911"/>
      <c r="AB88" s="966"/>
      <c r="AC88" s="713" t="str">
        <f>IFERROR(__xludf.DUMMYFUNCTION("""COMPUTED_VALUE"""),"Fast's Ultimate")</f>
        <v>Fast's Ultimate</v>
      </c>
      <c r="AD88" s="940" t="s">
        <v>285</v>
      </c>
      <c r="AE88" s="713">
        <v>0.0</v>
      </c>
      <c r="AF88" s="713"/>
      <c r="AG88" s="713">
        <v>10.0</v>
      </c>
      <c r="AH88" s="992" t="str">
        <f t="shared" si="19"/>
        <v/>
      </c>
      <c r="AI88" s="713"/>
      <c r="AJ88" s="713"/>
      <c r="AK88" s="713"/>
      <c r="AL88" s="713"/>
      <c r="AM88" s="713"/>
      <c r="AN88" s="713"/>
      <c r="AO88" s="713"/>
      <c r="AP88" s="713"/>
      <c r="AQ88" s="713"/>
      <c r="AR88" s="713"/>
      <c r="AS88" s="713"/>
      <c r="AT88" s="713"/>
      <c r="AU88" s="713"/>
      <c r="AV88" s="713"/>
      <c r="AW88" s="713"/>
      <c r="AX88" s="713"/>
      <c r="AY88" s="713"/>
      <c r="AZ88" s="713"/>
      <c r="BA88" s="713"/>
      <c r="BB88" s="713"/>
      <c r="BC88" s="713"/>
      <c r="BD88" s="713"/>
      <c r="BE88" s="713"/>
      <c r="BF88" s="713"/>
      <c r="BG88" s="713"/>
      <c r="BH88" s="713"/>
      <c r="BI88" s="713"/>
      <c r="BJ88" s="713"/>
      <c r="BK88" s="713"/>
      <c r="BL88" s="713"/>
      <c r="BM88" s="713"/>
      <c r="BN88" s="713"/>
      <c r="BO88" s="713"/>
      <c r="BP88" s="713"/>
      <c r="BQ88" s="713"/>
      <c r="BR88" s="713"/>
      <c r="BS88" s="713"/>
      <c r="BT88" s="713"/>
      <c r="BU88" s="713"/>
      <c r="BV88" s="713"/>
      <c r="BW88" s="713"/>
      <c r="BX88" s="713"/>
      <c r="BY88" s="713"/>
      <c r="BZ88" s="713"/>
      <c r="CA88" s="713"/>
      <c r="CB88" s="713"/>
      <c r="CC88" s="713"/>
      <c r="CD88" s="713"/>
      <c r="CE88" s="713"/>
      <c r="CF88" s="713"/>
      <c r="CG88" s="713"/>
      <c r="CH88" s="713"/>
      <c r="CI88" s="713"/>
      <c r="CJ88" s="713"/>
      <c r="CK88" s="713"/>
      <c r="CL88" s="713"/>
      <c r="CM88" s="713"/>
      <c r="CN88" s="713"/>
      <c r="CO88" s="713"/>
      <c r="CP88" s="713"/>
      <c r="CQ88" s="713"/>
      <c r="CR88" s="713"/>
      <c r="CS88" s="713"/>
      <c r="CT88" s="713"/>
      <c r="CU88" s="713"/>
      <c r="CV88" s="713"/>
      <c r="CW88" s="713"/>
      <c r="CX88" s="713"/>
      <c r="CY88" s="713"/>
      <c r="CZ88" s="713"/>
      <c r="DA88" s="713"/>
      <c r="DB88" s="713"/>
      <c r="DC88" s="713"/>
      <c r="DD88" s="713"/>
      <c r="DE88" s="713"/>
      <c r="DF88" s="713"/>
      <c r="DG88" s="713"/>
      <c r="DH88" s="713"/>
      <c r="DI88" s="713"/>
      <c r="DJ88" s="713"/>
      <c r="DK88" s="713"/>
      <c r="DL88" s="713"/>
      <c r="DM88" s="713"/>
      <c r="DN88" s="713"/>
      <c r="DO88" s="713"/>
      <c r="DP88" s="713"/>
      <c r="DQ88" s="713"/>
      <c r="DR88" s="713"/>
      <c r="DS88" s="713"/>
      <c r="DT88" s="713"/>
      <c r="DU88" s="713"/>
      <c r="DV88" s="713"/>
      <c r="DW88" s="713"/>
      <c r="DX88" s="713"/>
      <c r="DY88" s="713"/>
      <c r="DZ88" s="713"/>
      <c r="EA88" s="713"/>
      <c r="EB88" s="713"/>
      <c r="EC88" s="713"/>
      <c r="ED88" s="713"/>
      <c r="EE88" s="713"/>
      <c r="EF88" s="713"/>
      <c r="EG88" s="713"/>
      <c r="EH88" s="713"/>
      <c r="EI88" s="713"/>
      <c r="EJ88" s="713"/>
      <c r="EK88" s="713"/>
      <c r="EL88" s="713"/>
      <c r="EM88" s="713"/>
      <c r="EN88" s="713"/>
      <c r="EO88" s="713"/>
      <c r="EP88" s="713"/>
      <c r="EQ88" s="713"/>
      <c r="ER88" s="713"/>
      <c r="ES88" s="713"/>
      <c r="ET88" s="713"/>
      <c r="EU88" s="713"/>
      <c r="EV88" s="713"/>
      <c r="EW88" s="713"/>
      <c r="EX88" s="713"/>
      <c r="EY88" s="713"/>
      <c r="EZ88" s="713"/>
      <c r="FA88" s="713"/>
      <c r="FB88" s="713"/>
      <c r="FC88" s="713"/>
      <c r="FD88" s="713"/>
      <c r="FE88" s="713"/>
      <c r="FF88" s="713"/>
      <c r="FG88" s="713"/>
      <c r="FH88" s="713"/>
      <c r="FI88" s="713"/>
      <c r="FJ88" s="713"/>
      <c r="FK88" s="713"/>
      <c r="FL88" s="713"/>
      <c r="FM88" s="713"/>
      <c r="FN88" s="713"/>
      <c r="FO88" s="713"/>
      <c r="FP88" s="713"/>
      <c r="FQ88" s="713"/>
      <c r="FR88" s="713"/>
      <c r="FS88" s="713"/>
      <c r="FT88" s="713"/>
      <c r="FU88" s="713"/>
      <c r="FV88" s="713"/>
      <c r="FW88" s="713"/>
      <c r="FX88" s="713"/>
      <c r="FY88" s="713"/>
      <c r="FZ88" s="713"/>
      <c r="GA88" s="713"/>
      <c r="GB88" s="713"/>
      <c r="GC88" s="713"/>
      <c r="GD88" s="713"/>
      <c r="GE88" s="713"/>
      <c r="GF88" s="713"/>
      <c r="GG88" s="713"/>
      <c r="GH88" s="713"/>
      <c r="GI88" s="713"/>
      <c r="GJ88" s="713"/>
      <c r="GK88" s="713"/>
      <c r="GL88" s="713"/>
      <c r="GM88" s="713"/>
      <c r="GN88" s="713"/>
      <c r="GO88" s="713"/>
      <c r="GP88" s="713"/>
      <c r="GQ88" s="713"/>
      <c r="GR88" s="713"/>
      <c r="GS88" s="713"/>
      <c r="GT88" s="713"/>
      <c r="GU88" s="713"/>
      <c r="GV88" s="713"/>
      <c r="GW88" s="713"/>
      <c r="GX88" s="713"/>
      <c r="GY88" s="713"/>
      <c r="GZ88" s="713"/>
      <c r="HA88" s="713"/>
      <c r="HB88" s="713"/>
      <c r="HC88" s="713"/>
      <c r="HD88" s="713"/>
      <c r="HE88" s="713"/>
      <c r="HF88" s="713"/>
      <c r="HG88" s="713"/>
      <c r="HH88" s="713"/>
      <c r="HI88" s="713"/>
      <c r="HJ88" s="713"/>
      <c r="HK88" s="713"/>
      <c r="HL88" s="713"/>
      <c r="HM88" s="713"/>
      <c r="HN88" s="713"/>
      <c r="HO88" s="713"/>
      <c r="HP88" s="713"/>
      <c r="HQ88" s="713"/>
      <c r="HR88" s="713"/>
      <c r="HS88" s="713"/>
      <c r="HT88" s="713"/>
      <c r="HU88" s="713"/>
      <c r="HV88" s="713"/>
      <c r="HW88" s="713"/>
      <c r="HX88" s="713"/>
      <c r="HY88" s="713"/>
      <c r="HZ88" s="713"/>
      <c r="IA88" s="713"/>
      <c r="IB88" s="713"/>
      <c r="IC88" s="713"/>
      <c r="ID88" s="713"/>
      <c r="IE88" s="713"/>
      <c r="IF88" s="713"/>
      <c r="IG88" s="713"/>
      <c r="IH88" s="713"/>
    </row>
    <row r="89" hidden="1" outlineLevel="1">
      <c r="A89" s="598"/>
      <c r="B89" s="598"/>
      <c r="C89" s="598"/>
      <c r="D89" s="598"/>
      <c r="E89" s="598"/>
      <c r="F89" s="598"/>
      <c r="G89" s="598"/>
      <c r="H89" s="598"/>
      <c r="I89" s="598"/>
      <c r="J89" s="598"/>
      <c r="K89" s="598"/>
      <c r="L89" s="598"/>
      <c r="M89" s="598"/>
      <c r="N89" s="598"/>
      <c r="O89" s="598"/>
      <c r="P89" s="598"/>
      <c r="Q89" s="598"/>
      <c r="R89" s="598"/>
      <c r="S89" s="598"/>
      <c r="T89" s="598"/>
      <c r="U89" s="598"/>
      <c r="V89" s="598"/>
      <c r="W89" s="598"/>
      <c r="Y89" s="598"/>
      <c r="Z89" s="598"/>
      <c r="AA89" s="911"/>
      <c r="AB89" s="966"/>
      <c r="AC89" s="713" t="str">
        <f>IFERROR(__xludf.DUMMYFUNCTION("""COMPUTED_VALUE"""),"First Perk Choice")</f>
        <v>First Perk Choice</v>
      </c>
      <c r="AD89" s="816" t="s">
        <v>233</v>
      </c>
      <c r="AE89" s="713">
        <v>1.0</v>
      </c>
      <c r="AF89" s="713"/>
      <c r="AG89" s="713">
        <v>1.0</v>
      </c>
      <c r="AH89" s="992" t="str">
        <f t="shared" si="19"/>
        <v/>
      </c>
      <c r="AI89" s="713"/>
      <c r="AJ89" s="713"/>
      <c r="AK89" s="713"/>
      <c r="AL89" s="713"/>
      <c r="AM89" s="713"/>
      <c r="AN89" s="713"/>
      <c r="AO89" s="713"/>
      <c r="AP89" s="713"/>
      <c r="AQ89" s="713"/>
      <c r="AR89" s="713"/>
      <c r="AS89" s="713"/>
      <c r="AT89" s="713"/>
      <c r="AU89" s="713"/>
      <c r="AV89" s="713"/>
      <c r="AW89" s="713"/>
      <c r="AX89" s="713"/>
      <c r="AY89" s="713"/>
      <c r="AZ89" s="713"/>
      <c r="BA89" s="713"/>
      <c r="BB89" s="713"/>
      <c r="BC89" s="713"/>
      <c r="BD89" s="713"/>
      <c r="BE89" s="713"/>
      <c r="BF89" s="713"/>
      <c r="BG89" s="713"/>
      <c r="BH89" s="713"/>
      <c r="BI89" s="713"/>
      <c r="BJ89" s="713"/>
      <c r="BK89" s="713"/>
      <c r="BL89" s="713"/>
      <c r="BM89" s="713"/>
      <c r="BN89" s="713"/>
      <c r="BO89" s="713"/>
      <c r="BP89" s="713"/>
      <c r="BQ89" s="713"/>
      <c r="BR89" s="713"/>
      <c r="BS89" s="713"/>
      <c r="BT89" s="713"/>
      <c r="BU89" s="713"/>
      <c r="BV89" s="713"/>
      <c r="BW89" s="713"/>
      <c r="BX89" s="713"/>
      <c r="BY89" s="713"/>
      <c r="BZ89" s="713"/>
      <c r="CA89" s="713"/>
      <c r="CB89" s="713"/>
      <c r="CC89" s="713"/>
      <c r="CD89" s="713"/>
      <c r="CE89" s="713"/>
      <c r="CF89" s="713"/>
      <c r="CG89" s="713"/>
      <c r="CH89" s="713"/>
      <c r="CI89" s="713"/>
      <c r="CJ89" s="713"/>
      <c r="CK89" s="713"/>
      <c r="CL89" s="713"/>
      <c r="CM89" s="713"/>
      <c r="CN89" s="713"/>
      <c r="CO89" s="713"/>
      <c r="CP89" s="713"/>
      <c r="CQ89" s="713"/>
      <c r="CR89" s="713"/>
      <c r="CS89" s="713"/>
      <c r="CT89" s="713"/>
      <c r="CU89" s="713"/>
      <c r="CV89" s="713"/>
      <c r="CW89" s="713"/>
      <c r="CX89" s="713"/>
      <c r="CY89" s="713"/>
      <c r="CZ89" s="713"/>
      <c r="DA89" s="713"/>
      <c r="DB89" s="713"/>
      <c r="DC89" s="713"/>
      <c r="DD89" s="713"/>
      <c r="DE89" s="713"/>
      <c r="DF89" s="713"/>
      <c r="DG89" s="713"/>
      <c r="DH89" s="713"/>
      <c r="DI89" s="713"/>
      <c r="DJ89" s="713"/>
      <c r="DK89" s="713"/>
      <c r="DL89" s="713"/>
      <c r="DM89" s="713"/>
      <c r="DN89" s="713"/>
      <c r="DO89" s="713"/>
      <c r="DP89" s="713"/>
      <c r="DQ89" s="713"/>
      <c r="DR89" s="713"/>
      <c r="DS89" s="713"/>
      <c r="DT89" s="713"/>
      <c r="DU89" s="713"/>
      <c r="DV89" s="713"/>
      <c r="DW89" s="713"/>
      <c r="DX89" s="713"/>
      <c r="DY89" s="713"/>
      <c r="DZ89" s="713"/>
      <c r="EA89" s="713"/>
      <c r="EB89" s="713"/>
      <c r="EC89" s="713"/>
      <c r="ED89" s="713"/>
      <c r="EE89" s="713"/>
      <c r="EF89" s="713"/>
      <c r="EG89" s="713"/>
      <c r="EH89" s="713"/>
      <c r="EI89" s="713"/>
      <c r="EJ89" s="713"/>
      <c r="EK89" s="713"/>
      <c r="EL89" s="713"/>
      <c r="EM89" s="713"/>
      <c r="EN89" s="713"/>
      <c r="EO89" s="713"/>
      <c r="EP89" s="713"/>
      <c r="EQ89" s="713"/>
      <c r="ER89" s="713"/>
      <c r="ES89" s="713"/>
      <c r="ET89" s="713"/>
      <c r="EU89" s="713"/>
      <c r="EV89" s="713"/>
      <c r="EW89" s="713"/>
      <c r="EX89" s="713"/>
      <c r="EY89" s="713"/>
      <c r="EZ89" s="713"/>
      <c r="FA89" s="713"/>
      <c r="FB89" s="713"/>
      <c r="FC89" s="713"/>
      <c r="FD89" s="713"/>
      <c r="FE89" s="713"/>
      <c r="FF89" s="713"/>
      <c r="FG89" s="713"/>
      <c r="FH89" s="713"/>
      <c r="FI89" s="713"/>
      <c r="FJ89" s="713"/>
      <c r="FK89" s="713"/>
      <c r="FL89" s="713"/>
      <c r="FM89" s="713"/>
      <c r="FN89" s="713"/>
      <c r="FO89" s="713"/>
      <c r="FP89" s="713"/>
      <c r="FQ89" s="713"/>
      <c r="FR89" s="713"/>
      <c r="FS89" s="713"/>
      <c r="FT89" s="713"/>
      <c r="FU89" s="713"/>
      <c r="FV89" s="713"/>
      <c r="FW89" s="713"/>
      <c r="FX89" s="713"/>
      <c r="FY89" s="713"/>
      <c r="FZ89" s="713"/>
      <c r="GA89" s="713"/>
      <c r="GB89" s="713"/>
      <c r="GC89" s="713"/>
      <c r="GD89" s="713"/>
      <c r="GE89" s="713"/>
      <c r="GF89" s="713"/>
      <c r="GG89" s="713"/>
      <c r="GH89" s="713"/>
      <c r="GI89" s="713"/>
      <c r="GJ89" s="713"/>
      <c r="GK89" s="713"/>
      <c r="GL89" s="713"/>
      <c r="GM89" s="713"/>
      <c r="GN89" s="713"/>
      <c r="GO89" s="713"/>
      <c r="GP89" s="713"/>
      <c r="GQ89" s="713"/>
      <c r="GR89" s="713"/>
      <c r="GS89" s="713"/>
      <c r="GT89" s="713"/>
      <c r="GU89" s="713"/>
      <c r="GV89" s="713"/>
      <c r="GW89" s="713"/>
      <c r="GX89" s="713"/>
      <c r="GY89" s="713"/>
      <c r="GZ89" s="713"/>
      <c r="HA89" s="713"/>
      <c r="HB89" s="713"/>
      <c r="HC89" s="713"/>
      <c r="HD89" s="713"/>
      <c r="HE89" s="713"/>
      <c r="HF89" s="713"/>
      <c r="HG89" s="713"/>
      <c r="HH89" s="713"/>
      <c r="HI89" s="713"/>
      <c r="HJ89" s="713"/>
      <c r="HK89" s="713"/>
      <c r="HL89" s="713"/>
      <c r="HM89" s="713"/>
      <c r="HN89" s="713"/>
      <c r="HO89" s="713"/>
      <c r="HP89" s="713"/>
      <c r="HQ89" s="713"/>
      <c r="HR89" s="713"/>
      <c r="HS89" s="713"/>
      <c r="HT89" s="713"/>
      <c r="HU89" s="713"/>
      <c r="HV89" s="713"/>
      <c r="HW89" s="713"/>
      <c r="HX89" s="713"/>
      <c r="HY89" s="713"/>
      <c r="HZ89" s="713"/>
      <c r="IA89" s="713"/>
      <c r="IB89" s="713"/>
      <c r="IC89" s="713"/>
      <c r="ID89" s="713"/>
      <c r="IE89" s="713"/>
      <c r="IF89" s="713"/>
      <c r="IG89" s="713"/>
      <c r="IH89" s="713"/>
    </row>
    <row r="90" hidden="1" outlineLevel="1">
      <c r="A90" s="598"/>
      <c r="B90" s="598"/>
      <c r="C90" s="598"/>
      <c r="D90" s="598"/>
      <c r="E90" s="598"/>
      <c r="F90" s="598"/>
      <c r="G90" s="598"/>
      <c r="H90" s="598"/>
      <c r="I90" s="598"/>
      <c r="J90" s="598"/>
      <c r="K90" s="598"/>
      <c r="L90" s="598"/>
      <c r="M90" s="598"/>
      <c r="N90" s="598"/>
      <c r="O90" s="598"/>
      <c r="P90" s="598"/>
      <c r="Q90" s="598"/>
      <c r="R90" s="598"/>
      <c r="S90" s="598"/>
      <c r="T90" s="598"/>
      <c r="U90" s="598"/>
      <c r="V90" s="598"/>
      <c r="W90" s="598"/>
      <c r="X90" s="598"/>
      <c r="Y90" s="598"/>
      <c r="Z90" s="598"/>
      <c r="AA90" s="911"/>
      <c r="AB90" s="966"/>
      <c r="AC90" s="713" t="str">
        <f>IFERROR(__xludf.DUMMYFUNCTION("""COMPUTED_VALUE"""),"Flame Bot - Burn Stack")</f>
        <v>Flame Bot - Burn Stack</v>
      </c>
      <c r="AD90" s="816" t="s">
        <v>222</v>
      </c>
      <c r="AE90" s="713">
        <v>0.0</v>
      </c>
      <c r="AF90" s="713"/>
      <c r="AG90" s="713">
        <v>5.0</v>
      </c>
      <c r="AH90" s="992" t="str">
        <f t="shared" si="19"/>
        <v/>
      </c>
      <c r="AI90" s="713"/>
      <c r="AJ90" s="713"/>
      <c r="AK90" s="713"/>
      <c r="AL90" s="713"/>
      <c r="AM90" s="713"/>
      <c r="AN90" s="713"/>
      <c r="AO90" s="713"/>
      <c r="AP90" s="713"/>
      <c r="AQ90" s="713"/>
      <c r="AR90" s="713"/>
      <c r="AS90" s="713"/>
      <c r="AT90" s="713"/>
      <c r="AU90" s="713"/>
      <c r="AV90" s="713"/>
      <c r="AW90" s="713"/>
      <c r="AX90" s="713"/>
      <c r="AY90" s="713"/>
      <c r="AZ90" s="713"/>
      <c r="BA90" s="713"/>
      <c r="BB90" s="713"/>
      <c r="BC90" s="713"/>
      <c r="BD90" s="713"/>
      <c r="BE90" s="713"/>
      <c r="BF90" s="713"/>
      <c r="BG90" s="713"/>
      <c r="BH90" s="713"/>
      <c r="BI90" s="713"/>
      <c r="BJ90" s="713"/>
      <c r="BK90" s="713"/>
      <c r="BL90" s="713"/>
      <c r="BM90" s="713"/>
      <c r="BN90" s="713"/>
      <c r="BO90" s="713"/>
      <c r="BP90" s="713"/>
      <c r="BQ90" s="713"/>
      <c r="BR90" s="713"/>
      <c r="BS90" s="713"/>
      <c r="BT90" s="713"/>
      <c r="BU90" s="713"/>
      <c r="BV90" s="713"/>
      <c r="BW90" s="713"/>
      <c r="BX90" s="713"/>
      <c r="BY90" s="713"/>
      <c r="BZ90" s="713"/>
      <c r="CA90" s="713"/>
      <c r="CB90" s="713"/>
      <c r="CC90" s="713"/>
      <c r="CD90" s="713"/>
      <c r="CE90" s="713"/>
      <c r="CF90" s="713"/>
      <c r="CG90" s="713"/>
      <c r="CH90" s="713"/>
      <c r="CI90" s="713"/>
      <c r="CJ90" s="713"/>
      <c r="CK90" s="713"/>
      <c r="CL90" s="713"/>
      <c r="CM90" s="713"/>
      <c r="CN90" s="713"/>
      <c r="CO90" s="713"/>
      <c r="CP90" s="713"/>
      <c r="CQ90" s="713"/>
      <c r="CR90" s="713"/>
      <c r="CS90" s="713"/>
      <c r="CT90" s="713"/>
      <c r="CU90" s="713"/>
      <c r="CV90" s="713"/>
      <c r="CW90" s="713"/>
      <c r="CX90" s="713"/>
      <c r="CY90" s="713"/>
      <c r="CZ90" s="713"/>
      <c r="DA90" s="713"/>
      <c r="DB90" s="713"/>
      <c r="DC90" s="713"/>
      <c r="DD90" s="713"/>
      <c r="DE90" s="713"/>
      <c r="DF90" s="713"/>
      <c r="DG90" s="713"/>
      <c r="DH90" s="713"/>
      <c r="DI90" s="713"/>
      <c r="DJ90" s="713"/>
      <c r="DK90" s="713"/>
      <c r="DL90" s="713"/>
      <c r="DM90" s="713"/>
      <c r="DN90" s="713"/>
      <c r="DO90" s="713"/>
      <c r="DP90" s="713"/>
      <c r="DQ90" s="713"/>
      <c r="DR90" s="713"/>
      <c r="DS90" s="713"/>
      <c r="DT90" s="713"/>
      <c r="DU90" s="713"/>
      <c r="DV90" s="713"/>
      <c r="DW90" s="713"/>
      <c r="DX90" s="713"/>
      <c r="DY90" s="713"/>
      <c r="DZ90" s="713"/>
      <c r="EA90" s="713"/>
      <c r="EB90" s="713"/>
      <c r="EC90" s="713"/>
      <c r="ED90" s="713"/>
      <c r="EE90" s="713"/>
      <c r="EF90" s="713"/>
      <c r="EG90" s="713"/>
      <c r="EH90" s="713"/>
      <c r="EI90" s="713"/>
      <c r="EJ90" s="713"/>
      <c r="EK90" s="713"/>
      <c r="EL90" s="713"/>
      <c r="EM90" s="713"/>
      <c r="EN90" s="713"/>
      <c r="EO90" s="713"/>
      <c r="EP90" s="713"/>
      <c r="EQ90" s="713"/>
      <c r="ER90" s="713"/>
      <c r="ES90" s="713"/>
      <c r="ET90" s="713"/>
      <c r="EU90" s="713"/>
      <c r="EV90" s="713"/>
      <c r="EW90" s="713"/>
      <c r="EX90" s="713"/>
      <c r="EY90" s="713"/>
      <c r="EZ90" s="713"/>
      <c r="FA90" s="713"/>
      <c r="FB90" s="713"/>
      <c r="FC90" s="713"/>
      <c r="FD90" s="713"/>
      <c r="FE90" s="713"/>
      <c r="FF90" s="713"/>
      <c r="FG90" s="713"/>
      <c r="FH90" s="713"/>
      <c r="FI90" s="713"/>
      <c r="FJ90" s="713"/>
      <c r="FK90" s="713"/>
      <c r="FL90" s="713"/>
      <c r="FM90" s="713"/>
      <c r="FN90" s="713"/>
      <c r="FO90" s="713"/>
      <c r="FP90" s="713"/>
      <c r="FQ90" s="713"/>
      <c r="FR90" s="713"/>
      <c r="FS90" s="713"/>
      <c r="FT90" s="713"/>
      <c r="FU90" s="713"/>
      <c r="FV90" s="713"/>
      <c r="FW90" s="713"/>
      <c r="FX90" s="713"/>
      <c r="FY90" s="713"/>
      <c r="FZ90" s="713"/>
      <c r="GA90" s="713"/>
      <c r="GB90" s="713"/>
      <c r="GC90" s="713"/>
      <c r="GD90" s="713"/>
      <c r="GE90" s="713"/>
      <c r="GF90" s="713"/>
      <c r="GG90" s="713"/>
      <c r="GH90" s="713"/>
      <c r="GI90" s="713"/>
      <c r="GJ90" s="713"/>
      <c r="GK90" s="713"/>
      <c r="GL90" s="713"/>
      <c r="GM90" s="713"/>
      <c r="GN90" s="713"/>
      <c r="GO90" s="713"/>
      <c r="GP90" s="713"/>
      <c r="GQ90" s="713"/>
      <c r="GR90" s="713"/>
      <c r="GS90" s="713"/>
      <c r="GT90" s="713"/>
      <c r="GU90" s="713"/>
      <c r="GV90" s="713"/>
      <c r="GW90" s="713"/>
      <c r="GX90" s="713"/>
      <c r="GY90" s="713"/>
      <c r="GZ90" s="713"/>
      <c r="HA90" s="713"/>
      <c r="HB90" s="713"/>
      <c r="HC90" s="713"/>
      <c r="HD90" s="713"/>
      <c r="HE90" s="713"/>
      <c r="HF90" s="713"/>
      <c r="HG90" s="713"/>
      <c r="HH90" s="713"/>
      <c r="HI90" s="713"/>
      <c r="HJ90" s="713"/>
      <c r="HK90" s="713"/>
      <c r="HL90" s="713"/>
      <c r="HM90" s="713"/>
      <c r="HN90" s="713"/>
      <c r="HO90" s="713"/>
      <c r="HP90" s="713"/>
      <c r="HQ90" s="713"/>
      <c r="HR90" s="713"/>
      <c r="HS90" s="713"/>
      <c r="HT90" s="713"/>
      <c r="HU90" s="713"/>
      <c r="HV90" s="713"/>
      <c r="HW90" s="713"/>
      <c r="HX90" s="713"/>
      <c r="HY90" s="713"/>
      <c r="HZ90" s="713"/>
      <c r="IA90" s="713"/>
      <c r="IB90" s="713"/>
      <c r="IC90" s="713"/>
      <c r="ID90" s="713"/>
      <c r="IE90" s="713"/>
      <c r="IF90" s="713"/>
      <c r="IG90" s="713"/>
      <c r="IH90" s="713"/>
    </row>
    <row r="91" hidden="1" outlineLevel="1">
      <c r="A91" s="598"/>
      <c r="B91" s="598"/>
      <c r="C91" s="598"/>
      <c r="D91" s="598"/>
      <c r="E91" s="598"/>
      <c r="F91" s="598"/>
      <c r="G91" s="598"/>
      <c r="H91" s="598"/>
      <c r="I91" s="598"/>
      <c r="J91" s="598"/>
      <c r="K91" s="598"/>
      <c r="L91" s="598"/>
      <c r="M91" s="598"/>
      <c r="N91" s="598"/>
      <c r="O91" s="598"/>
      <c r="P91" s="598"/>
      <c r="Q91" s="598"/>
      <c r="R91" s="598"/>
      <c r="S91" s="598"/>
      <c r="T91" s="598"/>
      <c r="U91" s="598"/>
      <c r="V91" s="598"/>
      <c r="W91" s="598"/>
      <c r="X91" s="598"/>
      <c r="Y91" s="598"/>
      <c r="Z91" s="598"/>
      <c r="AA91" s="911"/>
      <c r="AB91" s="966"/>
      <c r="AC91" s="713" t="str">
        <f>IFERROR(__xludf.DUMMYFUNCTION("""COMPUTED_VALUE"""),"Flame Bot - Cooldown")</f>
        <v>Flame Bot - Cooldown</v>
      </c>
      <c r="AD91" s="816" t="s">
        <v>161</v>
      </c>
      <c r="AE91" s="713">
        <v>25.0</v>
      </c>
      <c r="AF91" s="713"/>
      <c r="AG91" s="713">
        <v>25.0</v>
      </c>
      <c r="AH91" s="992" t="str">
        <f t="shared" si="19"/>
        <v/>
      </c>
      <c r="AI91" s="713"/>
      <c r="AJ91" s="713"/>
      <c r="AK91" s="713"/>
      <c r="AL91" s="713"/>
      <c r="AM91" s="713"/>
      <c r="AN91" s="713"/>
      <c r="AO91" s="713"/>
      <c r="AP91" s="713"/>
      <c r="AQ91" s="713"/>
      <c r="AR91" s="713"/>
      <c r="AS91" s="713"/>
      <c r="AT91" s="713"/>
      <c r="AU91" s="713"/>
      <c r="AV91" s="713"/>
      <c r="AW91" s="713"/>
      <c r="AX91" s="713"/>
      <c r="AY91" s="713"/>
      <c r="AZ91" s="713"/>
      <c r="BA91" s="713"/>
      <c r="BB91" s="713"/>
      <c r="BC91" s="713"/>
      <c r="BD91" s="713"/>
      <c r="BE91" s="713"/>
      <c r="BF91" s="713"/>
      <c r="BG91" s="713"/>
      <c r="BH91" s="713"/>
      <c r="BI91" s="713"/>
      <c r="BJ91" s="713"/>
      <c r="BK91" s="713"/>
      <c r="BL91" s="713"/>
      <c r="BM91" s="713"/>
      <c r="BN91" s="713"/>
      <c r="BO91" s="713"/>
      <c r="BP91" s="713"/>
      <c r="BQ91" s="713"/>
      <c r="BR91" s="713"/>
      <c r="BS91" s="713"/>
      <c r="BT91" s="713"/>
      <c r="BU91" s="713"/>
      <c r="BV91" s="713"/>
      <c r="BW91" s="713"/>
      <c r="BX91" s="713"/>
      <c r="BY91" s="713"/>
      <c r="BZ91" s="713"/>
      <c r="CA91" s="713"/>
      <c r="CB91" s="713"/>
      <c r="CC91" s="713"/>
      <c r="CD91" s="713"/>
      <c r="CE91" s="713"/>
      <c r="CF91" s="713"/>
      <c r="CG91" s="713"/>
      <c r="CH91" s="713"/>
      <c r="CI91" s="713"/>
      <c r="CJ91" s="713"/>
      <c r="CK91" s="713"/>
      <c r="CL91" s="713"/>
      <c r="CM91" s="713"/>
      <c r="CN91" s="713"/>
      <c r="CO91" s="713"/>
      <c r="CP91" s="713"/>
      <c r="CQ91" s="713"/>
      <c r="CR91" s="713"/>
      <c r="CS91" s="713"/>
      <c r="CT91" s="713"/>
      <c r="CU91" s="713"/>
      <c r="CV91" s="713"/>
      <c r="CW91" s="713"/>
      <c r="CX91" s="713"/>
      <c r="CY91" s="713"/>
      <c r="CZ91" s="713"/>
      <c r="DA91" s="713"/>
      <c r="DB91" s="713"/>
      <c r="DC91" s="713"/>
      <c r="DD91" s="713"/>
      <c r="DE91" s="713"/>
      <c r="DF91" s="713"/>
      <c r="DG91" s="713"/>
      <c r="DH91" s="713"/>
      <c r="DI91" s="713"/>
      <c r="DJ91" s="713"/>
      <c r="DK91" s="713"/>
      <c r="DL91" s="713"/>
      <c r="DM91" s="713"/>
      <c r="DN91" s="713"/>
      <c r="DO91" s="713"/>
      <c r="DP91" s="713"/>
      <c r="DQ91" s="713"/>
      <c r="DR91" s="713"/>
      <c r="DS91" s="713"/>
      <c r="DT91" s="713"/>
      <c r="DU91" s="713"/>
      <c r="DV91" s="713"/>
      <c r="DW91" s="713"/>
      <c r="DX91" s="713"/>
      <c r="DY91" s="713"/>
      <c r="DZ91" s="713"/>
      <c r="EA91" s="713"/>
      <c r="EB91" s="713"/>
      <c r="EC91" s="713"/>
      <c r="ED91" s="713"/>
      <c r="EE91" s="713"/>
      <c r="EF91" s="713"/>
      <c r="EG91" s="713"/>
      <c r="EH91" s="713"/>
      <c r="EI91" s="713"/>
      <c r="EJ91" s="713"/>
      <c r="EK91" s="713"/>
      <c r="EL91" s="713"/>
      <c r="EM91" s="713"/>
      <c r="EN91" s="713"/>
      <c r="EO91" s="713"/>
      <c r="EP91" s="713"/>
      <c r="EQ91" s="713"/>
      <c r="ER91" s="713"/>
      <c r="ES91" s="713"/>
      <c r="ET91" s="713"/>
      <c r="EU91" s="713"/>
      <c r="EV91" s="713"/>
      <c r="EW91" s="713"/>
      <c r="EX91" s="713"/>
      <c r="EY91" s="713"/>
      <c r="EZ91" s="713"/>
      <c r="FA91" s="713"/>
      <c r="FB91" s="713"/>
      <c r="FC91" s="713"/>
      <c r="FD91" s="713"/>
      <c r="FE91" s="713"/>
      <c r="FF91" s="713"/>
      <c r="FG91" s="713"/>
      <c r="FH91" s="713"/>
      <c r="FI91" s="713"/>
      <c r="FJ91" s="713"/>
      <c r="FK91" s="713"/>
      <c r="FL91" s="713"/>
      <c r="FM91" s="713"/>
      <c r="FN91" s="713"/>
      <c r="FO91" s="713"/>
      <c r="FP91" s="713"/>
      <c r="FQ91" s="713"/>
      <c r="FR91" s="713"/>
      <c r="FS91" s="713"/>
      <c r="FT91" s="713"/>
      <c r="FU91" s="713"/>
      <c r="FV91" s="713"/>
      <c r="FW91" s="713"/>
      <c r="FX91" s="713"/>
      <c r="FY91" s="713"/>
      <c r="FZ91" s="713"/>
      <c r="GA91" s="713"/>
      <c r="GB91" s="713"/>
      <c r="GC91" s="713"/>
      <c r="GD91" s="713"/>
      <c r="GE91" s="713"/>
      <c r="GF91" s="713"/>
      <c r="GG91" s="713"/>
      <c r="GH91" s="713"/>
      <c r="GI91" s="713"/>
      <c r="GJ91" s="713"/>
      <c r="GK91" s="713"/>
      <c r="GL91" s="713"/>
      <c r="GM91" s="713"/>
      <c r="GN91" s="713"/>
      <c r="GO91" s="713"/>
      <c r="GP91" s="713"/>
      <c r="GQ91" s="713"/>
      <c r="GR91" s="713"/>
      <c r="GS91" s="713"/>
      <c r="GT91" s="713"/>
      <c r="GU91" s="713"/>
      <c r="GV91" s="713"/>
      <c r="GW91" s="713"/>
      <c r="GX91" s="713"/>
      <c r="GY91" s="713"/>
      <c r="GZ91" s="713"/>
      <c r="HA91" s="713"/>
      <c r="HB91" s="713"/>
      <c r="HC91" s="713"/>
      <c r="HD91" s="713"/>
      <c r="HE91" s="713"/>
      <c r="HF91" s="713"/>
      <c r="HG91" s="713"/>
      <c r="HH91" s="713"/>
      <c r="HI91" s="713"/>
      <c r="HJ91" s="713"/>
      <c r="HK91" s="713"/>
      <c r="HL91" s="713"/>
      <c r="HM91" s="713"/>
      <c r="HN91" s="713"/>
      <c r="HO91" s="713"/>
      <c r="HP91" s="713"/>
      <c r="HQ91" s="713"/>
      <c r="HR91" s="713"/>
      <c r="HS91" s="713"/>
      <c r="HT91" s="713"/>
      <c r="HU91" s="713"/>
      <c r="HV91" s="713"/>
      <c r="HW91" s="713"/>
      <c r="HX91" s="713"/>
      <c r="HY91" s="713"/>
      <c r="HZ91" s="713"/>
      <c r="IA91" s="713"/>
      <c r="IB91" s="713"/>
      <c r="IC91" s="713"/>
      <c r="ID91" s="713"/>
      <c r="IE91" s="713"/>
      <c r="IF91" s="713"/>
      <c r="IG91" s="713"/>
      <c r="IH91" s="713"/>
    </row>
    <row r="92" hidden="1" outlineLevel="1">
      <c r="A92" s="598"/>
      <c r="B92" s="598"/>
      <c r="C92" s="598"/>
      <c r="D92" s="598"/>
      <c r="E92" s="598"/>
      <c r="F92" s="598"/>
      <c r="G92" s="598"/>
      <c r="H92" s="598"/>
      <c r="I92" s="598"/>
      <c r="J92" s="598"/>
      <c r="K92" s="598"/>
      <c r="L92" s="598"/>
      <c r="M92" s="598"/>
      <c r="N92" s="598"/>
      <c r="O92" s="598"/>
      <c r="P92" s="598"/>
      <c r="Q92" s="598"/>
      <c r="R92" s="598"/>
      <c r="S92" s="598"/>
      <c r="T92" s="598"/>
      <c r="U92" s="598"/>
      <c r="V92" s="598"/>
      <c r="W92" s="598"/>
      <c r="X92" s="598"/>
      <c r="Y92" s="598"/>
      <c r="Z92" s="598"/>
      <c r="AA92" s="911"/>
      <c r="AB92" s="999"/>
      <c r="AC92" s="720" t="str">
        <f>IFERROR(__xludf.DUMMYFUNCTION("""COMPUTED_VALUE"""),"Fortress Mastery")</f>
        <v>Fortress Mastery</v>
      </c>
      <c r="AD92" s="914" t="s">
        <v>344</v>
      </c>
      <c r="AE92" s="720">
        <v>0.0</v>
      </c>
      <c r="AF92" s="720"/>
      <c r="AG92" s="720">
        <v>9.0</v>
      </c>
      <c r="AH92" s="992" t="str">
        <f t="shared" si="19"/>
        <v/>
      </c>
      <c r="AI92" s="720"/>
      <c r="AJ92" s="720"/>
      <c r="AK92" s="720"/>
      <c r="AL92" s="720"/>
      <c r="AM92" s="720"/>
      <c r="AN92" s="720"/>
      <c r="AO92" s="720"/>
      <c r="AP92" s="720"/>
      <c r="AQ92" s="720"/>
      <c r="AR92" s="720"/>
      <c r="AS92" s="720"/>
      <c r="AT92" s="720"/>
      <c r="AU92" s="720"/>
      <c r="AV92" s="720"/>
      <c r="AW92" s="720"/>
      <c r="AX92" s="720"/>
      <c r="AY92" s="720"/>
      <c r="AZ92" s="720"/>
      <c r="BA92" s="720"/>
      <c r="BB92" s="720"/>
      <c r="BC92" s="720"/>
      <c r="BD92" s="720"/>
      <c r="BE92" s="720"/>
      <c r="BF92" s="720"/>
      <c r="BG92" s="720"/>
      <c r="BH92" s="720"/>
      <c r="BI92" s="720"/>
      <c r="BJ92" s="720"/>
      <c r="BK92" s="720"/>
      <c r="BL92" s="720"/>
      <c r="BM92" s="720"/>
      <c r="BN92" s="720"/>
      <c r="BO92" s="720"/>
      <c r="BP92" s="720"/>
      <c r="BQ92" s="720"/>
      <c r="BR92" s="720"/>
      <c r="BS92" s="720"/>
      <c r="BT92" s="720"/>
      <c r="BU92" s="720"/>
      <c r="BV92" s="720"/>
      <c r="BW92" s="720"/>
      <c r="BX92" s="720"/>
      <c r="BY92" s="720"/>
      <c r="BZ92" s="720"/>
      <c r="CA92" s="720"/>
      <c r="CB92" s="720"/>
      <c r="CC92" s="720"/>
      <c r="CD92" s="720"/>
      <c r="CE92" s="720"/>
      <c r="CF92" s="720"/>
      <c r="CG92" s="720"/>
      <c r="CH92" s="720"/>
      <c r="CI92" s="720"/>
      <c r="CJ92" s="720"/>
      <c r="CK92" s="720"/>
      <c r="CL92" s="720"/>
      <c r="CM92" s="720"/>
      <c r="CN92" s="720"/>
      <c r="CO92" s="720"/>
      <c r="CP92" s="720"/>
      <c r="CQ92" s="720"/>
      <c r="CR92" s="720"/>
      <c r="CS92" s="720"/>
      <c r="CT92" s="720"/>
      <c r="CU92" s="720"/>
      <c r="CV92" s="720"/>
      <c r="CW92" s="720"/>
      <c r="CX92" s="720"/>
      <c r="CY92" s="720"/>
      <c r="CZ92" s="720"/>
      <c r="DA92" s="720"/>
      <c r="DB92" s="720"/>
      <c r="DC92" s="720"/>
      <c r="DD92" s="720"/>
      <c r="DE92" s="720"/>
      <c r="DF92" s="720"/>
      <c r="DG92" s="720"/>
      <c r="DH92" s="720"/>
      <c r="DI92" s="720"/>
      <c r="DJ92" s="720"/>
      <c r="DK92" s="720"/>
      <c r="DL92" s="720"/>
      <c r="DM92" s="720"/>
      <c r="DN92" s="720"/>
      <c r="DO92" s="720"/>
      <c r="DP92" s="720"/>
      <c r="DQ92" s="720"/>
      <c r="DR92" s="720"/>
      <c r="DS92" s="720"/>
      <c r="DT92" s="720"/>
      <c r="DU92" s="720"/>
      <c r="DV92" s="720"/>
      <c r="DW92" s="720"/>
      <c r="DX92" s="720"/>
      <c r="DY92" s="720"/>
      <c r="DZ92" s="720"/>
      <c r="EA92" s="720"/>
      <c r="EB92" s="720"/>
      <c r="EC92" s="720"/>
      <c r="ED92" s="720"/>
      <c r="EE92" s="720"/>
      <c r="EF92" s="720"/>
      <c r="EG92" s="720"/>
      <c r="EH92" s="720"/>
      <c r="EI92" s="720"/>
      <c r="EJ92" s="720"/>
      <c r="EK92" s="720"/>
      <c r="EL92" s="720"/>
      <c r="EM92" s="720"/>
      <c r="EN92" s="720"/>
      <c r="EO92" s="720"/>
      <c r="EP92" s="720"/>
      <c r="EQ92" s="720"/>
      <c r="ER92" s="720"/>
      <c r="ES92" s="720"/>
      <c r="ET92" s="720"/>
      <c r="EU92" s="720"/>
      <c r="EV92" s="720"/>
      <c r="EW92" s="720"/>
      <c r="EX92" s="720"/>
      <c r="EY92" s="720"/>
      <c r="EZ92" s="720"/>
      <c r="FA92" s="720"/>
      <c r="FB92" s="720"/>
      <c r="FC92" s="720"/>
      <c r="FD92" s="720"/>
      <c r="FE92" s="720"/>
      <c r="FF92" s="720"/>
      <c r="FG92" s="720"/>
      <c r="FH92" s="720"/>
      <c r="FI92" s="720"/>
      <c r="FJ92" s="720"/>
      <c r="FK92" s="720"/>
      <c r="FL92" s="720"/>
      <c r="FM92" s="720"/>
      <c r="FN92" s="720"/>
      <c r="FO92" s="720"/>
      <c r="FP92" s="720"/>
      <c r="FQ92" s="720"/>
      <c r="FR92" s="720"/>
      <c r="FS92" s="720"/>
      <c r="FT92" s="720"/>
      <c r="FU92" s="720"/>
      <c r="FV92" s="720"/>
      <c r="FW92" s="720"/>
      <c r="FX92" s="720"/>
      <c r="FY92" s="720"/>
      <c r="FZ92" s="720"/>
      <c r="GA92" s="720"/>
      <c r="GB92" s="720"/>
      <c r="GC92" s="720"/>
      <c r="GD92" s="720"/>
      <c r="GE92" s="720"/>
      <c r="GF92" s="720"/>
      <c r="GG92" s="720"/>
      <c r="GH92" s="720"/>
      <c r="GI92" s="720"/>
      <c r="GJ92" s="720"/>
      <c r="GK92" s="720"/>
      <c r="GL92" s="720"/>
      <c r="GM92" s="720"/>
      <c r="GN92" s="720"/>
      <c r="GO92" s="720"/>
      <c r="GP92" s="720"/>
      <c r="GQ92" s="720"/>
      <c r="GR92" s="720"/>
      <c r="GS92" s="720"/>
      <c r="GT92" s="720"/>
      <c r="GU92" s="720"/>
      <c r="GV92" s="720"/>
      <c r="GW92" s="720"/>
      <c r="GX92" s="720"/>
      <c r="GY92" s="720"/>
      <c r="GZ92" s="720"/>
      <c r="HA92" s="720"/>
      <c r="HB92" s="720"/>
      <c r="HC92" s="720"/>
      <c r="HD92" s="720"/>
      <c r="HE92" s="720"/>
      <c r="HF92" s="720"/>
      <c r="HG92" s="720"/>
      <c r="HH92" s="720"/>
      <c r="HI92" s="720"/>
      <c r="HJ92" s="720"/>
      <c r="HK92" s="720"/>
      <c r="HL92" s="720"/>
      <c r="HM92" s="720"/>
      <c r="HN92" s="720"/>
      <c r="HO92" s="720"/>
      <c r="HP92" s="720"/>
      <c r="HQ92" s="720"/>
      <c r="HR92" s="720"/>
      <c r="HS92" s="720"/>
      <c r="HT92" s="720"/>
      <c r="HU92" s="720"/>
      <c r="HV92" s="720"/>
      <c r="HW92" s="720"/>
      <c r="HX92" s="720"/>
      <c r="HY92" s="720"/>
      <c r="HZ92" s="720"/>
      <c r="IA92" s="720"/>
      <c r="IB92" s="720"/>
      <c r="IC92" s="720"/>
      <c r="ID92" s="720"/>
      <c r="IE92" s="720"/>
      <c r="IF92" s="720"/>
      <c r="IG92" s="720"/>
      <c r="IH92" s="720"/>
    </row>
    <row r="93" hidden="1" outlineLevel="1">
      <c r="A93" s="598"/>
      <c r="B93" s="598"/>
      <c r="C93" s="598"/>
      <c r="D93" s="598"/>
      <c r="E93" s="598"/>
      <c r="F93" s="598"/>
      <c r="G93" s="598"/>
      <c r="H93" s="598"/>
      <c r="I93" s="598"/>
      <c r="J93" s="598"/>
      <c r="K93" s="598"/>
      <c r="L93" s="598"/>
      <c r="M93" s="598"/>
      <c r="N93" s="598"/>
      <c r="O93" s="598"/>
      <c r="P93" s="598"/>
      <c r="Q93" s="598"/>
      <c r="R93" s="598"/>
      <c r="S93" s="598"/>
      <c r="T93" s="598"/>
      <c r="U93" s="598"/>
      <c r="V93" s="598"/>
      <c r="W93" s="598"/>
      <c r="X93" s="598"/>
      <c r="Y93" s="598"/>
      <c r="Z93" s="598"/>
      <c r="AA93" s="911"/>
      <c r="AB93" s="999"/>
      <c r="AC93" s="720" t="str">
        <f>IFERROR(__xludf.DUMMYFUNCTION("""COMPUTED_VALUE"""),"Free Upgrades Mastery")</f>
        <v>Free Upgrades Mastery</v>
      </c>
      <c r="AD93" s="914" t="s">
        <v>347</v>
      </c>
      <c r="AE93" s="720">
        <v>0.0</v>
      </c>
      <c r="AF93" s="720"/>
      <c r="AG93" s="720">
        <v>9.0</v>
      </c>
      <c r="AH93" s="992" t="str">
        <f t="shared" si="19"/>
        <v/>
      </c>
      <c r="AI93" s="720"/>
      <c r="AJ93" s="720"/>
      <c r="AK93" s="720"/>
      <c r="AL93" s="720"/>
      <c r="AM93" s="720"/>
      <c r="AN93" s="720"/>
      <c r="AO93" s="720"/>
      <c r="AP93" s="720"/>
      <c r="AQ93" s="720"/>
      <c r="AR93" s="720"/>
      <c r="AS93" s="720"/>
      <c r="AT93" s="720"/>
      <c r="AU93" s="720"/>
      <c r="AV93" s="720"/>
      <c r="AW93" s="720"/>
      <c r="AX93" s="720"/>
      <c r="AY93" s="720"/>
      <c r="AZ93" s="720"/>
      <c r="BA93" s="720"/>
      <c r="BB93" s="720"/>
      <c r="BC93" s="720"/>
      <c r="BD93" s="720"/>
      <c r="BE93" s="720"/>
      <c r="BF93" s="720"/>
      <c r="BG93" s="720"/>
      <c r="BH93" s="720"/>
      <c r="BI93" s="720"/>
      <c r="BJ93" s="720"/>
      <c r="BK93" s="720"/>
      <c r="BL93" s="720"/>
      <c r="BM93" s="720"/>
      <c r="BN93" s="720"/>
      <c r="BO93" s="720"/>
      <c r="BP93" s="720"/>
      <c r="BQ93" s="720"/>
      <c r="BR93" s="720"/>
      <c r="BS93" s="720"/>
      <c r="BT93" s="720"/>
      <c r="BU93" s="720"/>
      <c r="BV93" s="720"/>
      <c r="BW93" s="720"/>
      <c r="BX93" s="720"/>
      <c r="BY93" s="720"/>
      <c r="BZ93" s="720"/>
      <c r="CA93" s="720"/>
      <c r="CB93" s="720"/>
      <c r="CC93" s="720"/>
      <c r="CD93" s="720"/>
      <c r="CE93" s="720"/>
      <c r="CF93" s="720"/>
      <c r="CG93" s="720"/>
      <c r="CH93" s="720"/>
      <c r="CI93" s="720"/>
      <c r="CJ93" s="720"/>
      <c r="CK93" s="720"/>
      <c r="CL93" s="720"/>
      <c r="CM93" s="720"/>
      <c r="CN93" s="720"/>
      <c r="CO93" s="720"/>
      <c r="CP93" s="720"/>
      <c r="CQ93" s="720"/>
      <c r="CR93" s="720"/>
      <c r="CS93" s="720"/>
      <c r="CT93" s="720"/>
      <c r="CU93" s="720"/>
      <c r="CV93" s="720"/>
      <c r="CW93" s="720"/>
      <c r="CX93" s="720"/>
      <c r="CY93" s="720"/>
      <c r="CZ93" s="720"/>
      <c r="DA93" s="720"/>
      <c r="DB93" s="720"/>
      <c r="DC93" s="720"/>
      <c r="DD93" s="720"/>
      <c r="DE93" s="720"/>
      <c r="DF93" s="720"/>
      <c r="DG93" s="720"/>
      <c r="DH93" s="720"/>
      <c r="DI93" s="720"/>
      <c r="DJ93" s="720"/>
      <c r="DK93" s="720"/>
      <c r="DL93" s="720"/>
      <c r="DM93" s="720"/>
      <c r="DN93" s="720"/>
      <c r="DO93" s="720"/>
      <c r="DP93" s="720"/>
      <c r="DQ93" s="720"/>
      <c r="DR93" s="720"/>
      <c r="DS93" s="720"/>
      <c r="DT93" s="720"/>
      <c r="DU93" s="720"/>
      <c r="DV93" s="720"/>
      <c r="DW93" s="720"/>
      <c r="DX93" s="720"/>
      <c r="DY93" s="720"/>
      <c r="DZ93" s="720"/>
      <c r="EA93" s="720"/>
      <c r="EB93" s="720"/>
      <c r="EC93" s="720"/>
      <c r="ED93" s="720"/>
      <c r="EE93" s="720"/>
      <c r="EF93" s="720"/>
      <c r="EG93" s="720"/>
      <c r="EH93" s="720"/>
      <c r="EI93" s="720"/>
      <c r="EJ93" s="720"/>
      <c r="EK93" s="720"/>
      <c r="EL93" s="720"/>
      <c r="EM93" s="720"/>
      <c r="EN93" s="720"/>
      <c r="EO93" s="720"/>
      <c r="EP93" s="720"/>
      <c r="EQ93" s="720"/>
      <c r="ER93" s="720"/>
      <c r="ES93" s="720"/>
      <c r="ET93" s="720"/>
      <c r="EU93" s="720"/>
      <c r="EV93" s="720"/>
      <c r="EW93" s="720"/>
      <c r="EX93" s="720"/>
      <c r="EY93" s="720"/>
      <c r="EZ93" s="720"/>
      <c r="FA93" s="720"/>
      <c r="FB93" s="720"/>
      <c r="FC93" s="720"/>
      <c r="FD93" s="720"/>
      <c r="FE93" s="720"/>
      <c r="FF93" s="720"/>
      <c r="FG93" s="720"/>
      <c r="FH93" s="720"/>
      <c r="FI93" s="720"/>
      <c r="FJ93" s="720"/>
      <c r="FK93" s="720"/>
      <c r="FL93" s="720"/>
      <c r="FM93" s="720"/>
      <c r="FN93" s="720"/>
      <c r="FO93" s="720"/>
      <c r="FP93" s="720"/>
      <c r="FQ93" s="720"/>
      <c r="FR93" s="720"/>
      <c r="FS93" s="720"/>
      <c r="FT93" s="720"/>
      <c r="FU93" s="720"/>
      <c r="FV93" s="720"/>
      <c r="FW93" s="720"/>
      <c r="FX93" s="720"/>
      <c r="FY93" s="720"/>
      <c r="FZ93" s="720"/>
      <c r="GA93" s="720"/>
      <c r="GB93" s="720"/>
      <c r="GC93" s="720"/>
      <c r="GD93" s="720"/>
      <c r="GE93" s="720"/>
      <c r="GF93" s="720"/>
      <c r="GG93" s="720"/>
      <c r="GH93" s="720"/>
      <c r="GI93" s="720"/>
      <c r="GJ93" s="720"/>
      <c r="GK93" s="720"/>
      <c r="GL93" s="720"/>
      <c r="GM93" s="720"/>
      <c r="GN93" s="720"/>
      <c r="GO93" s="720"/>
      <c r="GP93" s="720"/>
      <c r="GQ93" s="720"/>
      <c r="GR93" s="720"/>
      <c r="GS93" s="720"/>
      <c r="GT93" s="720"/>
      <c r="GU93" s="720"/>
      <c r="GV93" s="720"/>
      <c r="GW93" s="720"/>
      <c r="GX93" s="720"/>
      <c r="GY93" s="720"/>
      <c r="GZ93" s="720"/>
      <c r="HA93" s="720"/>
      <c r="HB93" s="720"/>
      <c r="HC93" s="720"/>
      <c r="HD93" s="720"/>
      <c r="HE93" s="720"/>
      <c r="HF93" s="720"/>
      <c r="HG93" s="720"/>
      <c r="HH93" s="720"/>
      <c r="HI93" s="720"/>
      <c r="HJ93" s="720"/>
      <c r="HK93" s="720"/>
      <c r="HL93" s="720"/>
      <c r="HM93" s="720"/>
      <c r="HN93" s="720"/>
      <c r="HO93" s="720"/>
      <c r="HP93" s="720"/>
      <c r="HQ93" s="720"/>
      <c r="HR93" s="720"/>
      <c r="HS93" s="720"/>
      <c r="HT93" s="720"/>
      <c r="HU93" s="720"/>
      <c r="HV93" s="720"/>
      <c r="HW93" s="720"/>
      <c r="HX93" s="720"/>
      <c r="HY93" s="720"/>
      <c r="HZ93" s="720"/>
      <c r="IA93" s="720"/>
      <c r="IB93" s="720"/>
      <c r="IC93" s="720"/>
      <c r="ID93" s="720"/>
      <c r="IE93" s="720"/>
      <c r="IF93" s="720"/>
      <c r="IG93" s="720"/>
      <c r="IH93" s="720"/>
    </row>
    <row r="94" hidden="1" outlineLevel="1">
      <c r="A94" s="598"/>
      <c r="B94" s="598"/>
      <c r="C94" s="598"/>
      <c r="D94" s="598"/>
      <c r="E94" s="598"/>
      <c r="F94" s="598"/>
      <c r="G94" s="598"/>
      <c r="H94" s="598"/>
      <c r="I94" s="598"/>
      <c r="J94" s="598"/>
      <c r="K94" s="598"/>
      <c r="L94" s="598"/>
      <c r="M94" s="598"/>
      <c r="N94" s="598"/>
      <c r="O94" s="598"/>
      <c r="P94" s="598"/>
      <c r="Q94" s="598"/>
      <c r="R94" s="598"/>
      <c r="S94" s="598"/>
      <c r="T94" s="598"/>
      <c r="U94" s="598"/>
      <c r="V94" s="598"/>
      <c r="W94" s="598"/>
      <c r="X94" s="598"/>
      <c r="Y94" s="598"/>
      <c r="Z94" s="598"/>
      <c r="AA94" s="911"/>
      <c r="AB94" s="999"/>
      <c r="AC94" s="720" t="str">
        <f>IFERROR(__xludf.DUMMYFUNCTION("""COMPUTED_VALUE"""),"Game Speed")</f>
        <v>Game Speed</v>
      </c>
      <c r="AD94" s="913" t="s">
        <v>154</v>
      </c>
      <c r="AE94" s="720">
        <v>7.0</v>
      </c>
      <c r="AF94" s="720">
        <v>7.0</v>
      </c>
      <c r="AG94" s="720">
        <v>7.0</v>
      </c>
      <c r="AH94" s="992" t="str">
        <f t="shared" si="19"/>
        <v/>
      </c>
      <c r="AI94" s="720"/>
      <c r="AJ94" s="720"/>
      <c r="AK94" s="720"/>
      <c r="AL94" s="720"/>
      <c r="AM94" s="720"/>
      <c r="AN94" s="720"/>
      <c r="AO94" s="720"/>
      <c r="AP94" s="720"/>
      <c r="AQ94" s="720"/>
      <c r="AR94" s="720"/>
      <c r="AS94" s="720"/>
      <c r="AT94" s="720"/>
      <c r="AU94" s="720"/>
      <c r="AV94" s="720"/>
      <c r="AW94" s="720"/>
      <c r="AX94" s="720"/>
      <c r="AY94" s="720"/>
      <c r="AZ94" s="720"/>
      <c r="BA94" s="720"/>
      <c r="BB94" s="720"/>
      <c r="BC94" s="720"/>
      <c r="BD94" s="720"/>
      <c r="BE94" s="720"/>
      <c r="BF94" s="720"/>
      <c r="BG94" s="720"/>
      <c r="BH94" s="720"/>
      <c r="BI94" s="720"/>
      <c r="BJ94" s="720"/>
      <c r="BK94" s="720"/>
      <c r="BL94" s="720"/>
      <c r="BM94" s="720"/>
      <c r="BN94" s="720"/>
      <c r="BO94" s="720"/>
      <c r="BP94" s="720"/>
      <c r="BQ94" s="720"/>
      <c r="BR94" s="720"/>
      <c r="BS94" s="720"/>
      <c r="BT94" s="720"/>
      <c r="BU94" s="720"/>
      <c r="BV94" s="720"/>
      <c r="BW94" s="720"/>
      <c r="BX94" s="720"/>
      <c r="BY94" s="720"/>
      <c r="BZ94" s="720"/>
      <c r="CA94" s="720"/>
      <c r="CB94" s="720"/>
      <c r="CC94" s="720"/>
      <c r="CD94" s="720"/>
      <c r="CE94" s="720"/>
      <c r="CF94" s="720"/>
      <c r="CG94" s="720"/>
      <c r="CH94" s="720"/>
      <c r="CI94" s="720"/>
      <c r="CJ94" s="720"/>
      <c r="CK94" s="720"/>
      <c r="CL94" s="720"/>
      <c r="CM94" s="720"/>
      <c r="CN94" s="720"/>
      <c r="CO94" s="720"/>
      <c r="CP94" s="720"/>
      <c r="CQ94" s="720"/>
      <c r="CR94" s="720"/>
      <c r="CS94" s="720"/>
      <c r="CT94" s="720"/>
      <c r="CU94" s="720"/>
      <c r="CV94" s="720"/>
      <c r="CW94" s="720"/>
      <c r="CX94" s="720"/>
      <c r="CY94" s="720"/>
      <c r="CZ94" s="720"/>
      <c r="DA94" s="720"/>
      <c r="DB94" s="720"/>
      <c r="DC94" s="720"/>
      <c r="DD94" s="720"/>
      <c r="DE94" s="720"/>
      <c r="DF94" s="720"/>
      <c r="DG94" s="720"/>
      <c r="DH94" s="720"/>
      <c r="DI94" s="720"/>
      <c r="DJ94" s="720"/>
      <c r="DK94" s="720"/>
      <c r="DL94" s="720"/>
      <c r="DM94" s="720"/>
      <c r="DN94" s="720"/>
      <c r="DO94" s="720"/>
      <c r="DP94" s="720"/>
      <c r="DQ94" s="720"/>
      <c r="DR94" s="720"/>
      <c r="DS94" s="720"/>
      <c r="DT94" s="720"/>
      <c r="DU94" s="720"/>
      <c r="DV94" s="720"/>
      <c r="DW94" s="720"/>
      <c r="DX94" s="720"/>
      <c r="DY94" s="720"/>
      <c r="DZ94" s="720"/>
      <c r="EA94" s="720"/>
      <c r="EB94" s="720"/>
      <c r="EC94" s="720"/>
      <c r="ED94" s="720"/>
      <c r="EE94" s="720"/>
      <c r="EF94" s="720"/>
      <c r="EG94" s="720"/>
      <c r="EH94" s="720"/>
      <c r="EI94" s="720"/>
      <c r="EJ94" s="720"/>
      <c r="EK94" s="720"/>
      <c r="EL94" s="720"/>
      <c r="EM94" s="720"/>
      <c r="EN94" s="720"/>
      <c r="EO94" s="720"/>
      <c r="EP94" s="720"/>
      <c r="EQ94" s="720"/>
      <c r="ER94" s="720"/>
      <c r="ES94" s="720"/>
      <c r="ET94" s="720"/>
      <c r="EU94" s="720"/>
      <c r="EV94" s="720"/>
      <c r="EW94" s="720"/>
      <c r="EX94" s="720"/>
      <c r="EY94" s="720"/>
      <c r="EZ94" s="720"/>
      <c r="FA94" s="720"/>
      <c r="FB94" s="720"/>
      <c r="FC94" s="720"/>
      <c r="FD94" s="720"/>
      <c r="FE94" s="720"/>
      <c r="FF94" s="720"/>
      <c r="FG94" s="720"/>
      <c r="FH94" s="720"/>
      <c r="FI94" s="720"/>
      <c r="FJ94" s="720"/>
      <c r="FK94" s="720"/>
      <c r="FL94" s="720"/>
      <c r="FM94" s="720"/>
      <c r="FN94" s="720"/>
      <c r="FO94" s="720"/>
      <c r="FP94" s="720"/>
      <c r="FQ94" s="720"/>
      <c r="FR94" s="720"/>
      <c r="FS94" s="720"/>
      <c r="FT94" s="720"/>
      <c r="FU94" s="720"/>
      <c r="FV94" s="720"/>
      <c r="FW94" s="720"/>
      <c r="FX94" s="720"/>
      <c r="FY94" s="720"/>
      <c r="FZ94" s="720"/>
      <c r="GA94" s="720"/>
      <c r="GB94" s="720"/>
      <c r="GC94" s="720"/>
      <c r="GD94" s="720"/>
      <c r="GE94" s="720"/>
      <c r="GF94" s="720"/>
      <c r="GG94" s="720"/>
      <c r="GH94" s="720"/>
      <c r="GI94" s="720"/>
      <c r="GJ94" s="720"/>
      <c r="GK94" s="720"/>
      <c r="GL94" s="720"/>
      <c r="GM94" s="720"/>
      <c r="GN94" s="720"/>
      <c r="GO94" s="720"/>
      <c r="GP94" s="720"/>
      <c r="GQ94" s="720"/>
      <c r="GR94" s="720"/>
      <c r="GS94" s="720"/>
      <c r="GT94" s="720"/>
      <c r="GU94" s="720"/>
      <c r="GV94" s="720"/>
      <c r="GW94" s="720"/>
      <c r="GX94" s="720"/>
      <c r="GY94" s="720"/>
      <c r="GZ94" s="720"/>
      <c r="HA94" s="720"/>
      <c r="HB94" s="720"/>
      <c r="HC94" s="720"/>
      <c r="HD94" s="720"/>
      <c r="HE94" s="720"/>
      <c r="HF94" s="720"/>
      <c r="HG94" s="720"/>
      <c r="HH94" s="720"/>
      <c r="HI94" s="720"/>
      <c r="HJ94" s="720"/>
      <c r="HK94" s="720"/>
      <c r="HL94" s="720"/>
      <c r="HM94" s="720"/>
      <c r="HN94" s="720"/>
      <c r="HO94" s="720"/>
      <c r="HP94" s="720"/>
      <c r="HQ94" s="720"/>
      <c r="HR94" s="720"/>
      <c r="HS94" s="720"/>
      <c r="HT94" s="720"/>
      <c r="HU94" s="720"/>
      <c r="HV94" s="720"/>
      <c r="HW94" s="720"/>
      <c r="HX94" s="720"/>
      <c r="HY94" s="720"/>
      <c r="HZ94" s="720"/>
      <c r="IA94" s="720"/>
      <c r="IB94" s="720"/>
      <c r="IC94" s="720"/>
      <c r="ID94" s="720"/>
      <c r="IE94" s="720"/>
      <c r="IF94" s="720"/>
      <c r="IG94" s="720"/>
      <c r="IH94" s="720"/>
    </row>
    <row r="95" hidden="1" outlineLevel="1">
      <c r="A95" s="598"/>
      <c r="B95" s="598"/>
      <c r="C95" s="598"/>
      <c r="D95" s="598"/>
      <c r="E95" s="598"/>
      <c r="F95" s="598"/>
      <c r="G95" s="598"/>
      <c r="H95" s="598"/>
      <c r="I95" s="598"/>
      <c r="J95" s="598"/>
      <c r="K95" s="598"/>
      <c r="L95" s="598"/>
      <c r="M95" s="598"/>
      <c r="N95" s="598"/>
      <c r="O95" s="598"/>
      <c r="P95" s="598"/>
      <c r="Q95" s="598"/>
      <c r="R95" s="598"/>
      <c r="S95" s="598"/>
      <c r="T95" s="598"/>
      <c r="U95" s="598"/>
      <c r="V95" s="598"/>
      <c r="W95" s="598"/>
      <c r="X95" s="598"/>
      <c r="Y95" s="598"/>
      <c r="Z95" s="598"/>
      <c r="AA95" s="911"/>
      <c r="AB95" s="999"/>
      <c r="AC95" s="720" t="str">
        <f>IFERROR(__xludf.DUMMYFUNCTION("""COMPUTED_VALUE"""),"Garlic Thorns")</f>
        <v>Garlic Thorns</v>
      </c>
      <c r="AD95" s="913" t="s">
        <v>316</v>
      </c>
      <c r="AE95" s="720">
        <v>10.0</v>
      </c>
      <c r="AF95" s="720"/>
      <c r="AG95" s="720">
        <v>10.0</v>
      </c>
      <c r="AH95" s="992" t="str">
        <f t="shared" si="19"/>
        <v/>
      </c>
      <c r="AI95" s="720"/>
      <c r="AJ95" s="720"/>
      <c r="AK95" s="720"/>
      <c r="AL95" s="720"/>
      <c r="AM95" s="720"/>
      <c r="AN95" s="720"/>
      <c r="AO95" s="720"/>
      <c r="AP95" s="720"/>
      <c r="AQ95" s="720"/>
      <c r="AR95" s="720"/>
      <c r="AS95" s="720"/>
      <c r="AT95" s="720"/>
      <c r="AU95" s="720"/>
      <c r="AV95" s="720"/>
      <c r="AW95" s="720"/>
      <c r="AX95" s="720"/>
      <c r="AY95" s="720"/>
      <c r="AZ95" s="720"/>
      <c r="BA95" s="720"/>
      <c r="BB95" s="720"/>
      <c r="BC95" s="720"/>
      <c r="BD95" s="720"/>
      <c r="BE95" s="720"/>
      <c r="BF95" s="720"/>
      <c r="BG95" s="720"/>
      <c r="BH95" s="720"/>
      <c r="BI95" s="720"/>
      <c r="BJ95" s="720"/>
      <c r="BK95" s="720"/>
      <c r="BL95" s="720"/>
      <c r="BM95" s="720"/>
      <c r="BN95" s="720"/>
      <c r="BO95" s="720"/>
      <c r="BP95" s="720"/>
      <c r="BQ95" s="720"/>
      <c r="BR95" s="720"/>
      <c r="BS95" s="720"/>
      <c r="BT95" s="720"/>
      <c r="BU95" s="720"/>
      <c r="BV95" s="720"/>
      <c r="BW95" s="720"/>
      <c r="BX95" s="720"/>
      <c r="BY95" s="720"/>
      <c r="BZ95" s="720"/>
      <c r="CA95" s="720"/>
      <c r="CB95" s="720"/>
      <c r="CC95" s="720"/>
      <c r="CD95" s="720"/>
      <c r="CE95" s="720"/>
      <c r="CF95" s="720"/>
      <c r="CG95" s="720"/>
      <c r="CH95" s="720"/>
      <c r="CI95" s="720"/>
      <c r="CJ95" s="720"/>
      <c r="CK95" s="720"/>
      <c r="CL95" s="720"/>
      <c r="CM95" s="720"/>
      <c r="CN95" s="720"/>
      <c r="CO95" s="720"/>
      <c r="CP95" s="720"/>
      <c r="CQ95" s="720"/>
      <c r="CR95" s="720"/>
      <c r="CS95" s="720"/>
      <c r="CT95" s="720"/>
      <c r="CU95" s="720"/>
      <c r="CV95" s="720"/>
      <c r="CW95" s="720"/>
      <c r="CX95" s="720"/>
      <c r="CY95" s="720"/>
      <c r="CZ95" s="720"/>
      <c r="DA95" s="720"/>
      <c r="DB95" s="720"/>
      <c r="DC95" s="720"/>
      <c r="DD95" s="720"/>
      <c r="DE95" s="720"/>
      <c r="DF95" s="720"/>
      <c r="DG95" s="720"/>
      <c r="DH95" s="720"/>
      <c r="DI95" s="720"/>
      <c r="DJ95" s="720"/>
      <c r="DK95" s="720"/>
      <c r="DL95" s="720"/>
      <c r="DM95" s="720"/>
      <c r="DN95" s="720"/>
      <c r="DO95" s="720"/>
      <c r="DP95" s="720"/>
      <c r="DQ95" s="720"/>
      <c r="DR95" s="720"/>
      <c r="DS95" s="720"/>
      <c r="DT95" s="720"/>
      <c r="DU95" s="720"/>
      <c r="DV95" s="720"/>
      <c r="DW95" s="720"/>
      <c r="DX95" s="720"/>
      <c r="DY95" s="720"/>
      <c r="DZ95" s="720"/>
      <c r="EA95" s="720"/>
      <c r="EB95" s="720"/>
      <c r="EC95" s="720"/>
      <c r="ED95" s="720"/>
      <c r="EE95" s="720"/>
      <c r="EF95" s="720"/>
      <c r="EG95" s="720"/>
      <c r="EH95" s="720"/>
      <c r="EI95" s="720"/>
      <c r="EJ95" s="720"/>
      <c r="EK95" s="720"/>
      <c r="EL95" s="720"/>
      <c r="EM95" s="720"/>
      <c r="EN95" s="720"/>
      <c r="EO95" s="720"/>
      <c r="EP95" s="720"/>
      <c r="EQ95" s="720"/>
      <c r="ER95" s="720"/>
      <c r="ES95" s="720"/>
      <c r="ET95" s="720"/>
      <c r="EU95" s="720"/>
      <c r="EV95" s="720"/>
      <c r="EW95" s="720"/>
      <c r="EX95" s="720"/>
      <c r="EY95" s="720"/>
      <c r="EZ95" s="720"/>
      <c r="FA95" s="720"/>
      <c r="FB95" s="720"/>
      <c r="FC95" s="720"/>
      <c r="FD95" s="720"/>
      <c r="FE95" s="720"/>
      <c r="FF95" s="720"/>
      <c r="FG95" s="720"/>
      <c r="FH95" s="720"/>
      <c r="FI95" s="720"/>
      <c r="FJ95" s="720"/>
      <c r="FK95" s="720"/>
      <c r="FL95" s="720"/>
      <c r="FM95" s="720"/>
      <c r="FN95" s="720"/>
      <c r="FO95" s="720"/>
      <c r="FP95" s="720"/>
      <c r="FQ95" s="720"/>
      <c r="FR95" s="720"/>
      <c r="FS95" s="720"/>
      <c r="FT95" s="720"/>
      <c r="FU95" s="720"/>
      <c r="FV95" s="720"/>
      <c r="FW95" s="720"/>
      <c r="FX95" s="720"/>
      <c r="FY95" s="720"/>
      <c r="FZ95" s="720"/>
      <c r="GA95" s="720"/>
      <c r="GB95" s="720"/>
      <c r="GC95" s="720"/>
      <c r="GD95" s="720"/>
      <c r="GE95" s="720"/>
      <c r="GF95" s="720"/>
      <c r="GG95" s="720"/>
      <c r="GH95" s="720"/>
      <c r="GI95" s="720"/>
      <c r="GJ95" s="720"/>
      <c r="GK95" s="720"/>
      <c r="GL95" s="720"/>
      <c r="GM95" s="720"/>
      <c r="GN95" s="720"/>
      <c r="GO95" s="720"/>
      <c r="GP95" s="720"/>
      <c r="GQ95" s="720"/>
      <c r="GR95" s="720"/>
      <c r="GS95" s="720"/>
      <c r="GT95" s="720"/>
      <c r="GU95" s="720"/>
      <c r="GV95" s="720"/>
      <c r="GW95" s="720"/>
      <c r="GX95" s="720"/>
      <c r="GY95" s="720"/>
      <c r="GZ95" s="720"/>
      <c r="HA95" s="720"/>
      <c r="HB95" s="720"/>
      <c r="HC95" s="720"/>
      <c r="HD95" s="720"/>
      <c r="HE95" s="720"/>
      <c r="HF95" s="720"/>
      <c r="HG95" s="720"/>
      <c r="HH95" s="720"/>
      <c r="HI95" s="720"/>
      <c r="HJ95" s="720"/>
      <c r="HK95" s="720"/>
      <c r="HL95" s="720"/>
      <c r="HM95" s="720"/>
      <c r="HN95" s="720"/>
      <c r="HO95" s="720"/>
      <c r="HP95" s="720"/>
      <c r="HQ95" s="720"/>
      <c r="HR95" s="720"/>
      <c r="HS95" s="720"/>
      <c r="HT95" s="720"/>
      <c r="HU95" s="720"/>
      <c r="HV95" s="720"/>
      <c r="HW95" s="720"/>
      <c r="HX95" s="720"/>
      <c r="HY95" s="720"/>
      <c r="HZ95" s="720"/>
      <c r="IA95" s="720"/>
      <c r="IB95" s="720"/>
      <c r="IC95" s="720"/>
      <c r="ID95" s="720"/>
      <c r="IE95" s="720"/>
      <c r="IF95" s="720"/>
      <c r="IG95" s="720"/>
      <c r="IH95" s="720"/>
    </row>
    <row r="96" hidden="1" outlineLevel="1">
      <c r="A96" s="598"/>
      <c r="B96" s="598"/>
      <c r="C96" s="598"/>
      <c r="D96" s="598"/>
      <c r="E96" s="598"/>
      <c r="F96" s="598"/>
      <c r="G96" s="598"/>
      <c r="H96" s="598"/>
      <c r="I96" s="598"/>
      <c r="J96" s="598"/>
      <c r="K96" s="598"/>
      <c r="L96" s="598"/>
      <c r="M96" s="598"/>
      <c r="N96" s="598"/>
      <c r="O96" s="598"/>
      <c r="P96" s="598"/>
      <c r="Q96" s="598"/>
      <c r="R96" s="598"/>
      <c r="S96" s="598"/>
      <c r="T96" s="598"/>
      <c r="U96" s="598"/>
      <c r="V96" s="598"/>
      <c r="W96" s="598"/>
      <c r="X96" s="598"/>
      <c r="Y96" s="598"/>
      <c r="Z96" s="598"/>
      <c r="AA96" s="911"/>
      <c r="AB96" s="999"/>
      <c r="AC96" s="720" t="str">
        <f>IFERROR(__xludf.DUMMYFUNCTION("""COMPUTED_VALUE"""),"Generator Effect Bans")</f>
        <v>Generator Effect Bans</v>
      </c>
      <c r="AD96" s="914" t="s">
        <v>284</v>
      </c>
      <c r="AE96" s="720">
        <v>1.0</v>
      </c>
      <c r="AF96" s="720"/>
      <c r="AG96" s="720">
        <v>3.0</v>
      </c>
      <c r="AH96" s="992" t="str">
        <f t="shared" si="19"/>
        <v/>
      </c>
      <c r="AI96" s="720"/>
      <c r="AJ96" s="720"/>
      <c r="AK96" s="720"/>
      <c r="AL96" s="720"/>
      <c r="AM96" s="720"/>
      <c r="AN96" s="720"/>
      <c r="AO96" s="720"/>
      <c r="AP96" s="720"/>
      <c r="AQ96" s="720"/>
      <c r="AR96" s="720"/>
      <c r="AS96" s="720"/>
      <c r="AT96" s="720"/>
      <c r="AU96" s="720"/>
      <c r="AV96" s="720"/>
      <c r="AW96" s="720"/>
      <c r="AX96" s="720"/>
      <c r="AY96" s="720"/>
      <c r="AZ96" s="720"/>
      <c r="BA96" s="720"/>
      <c r="BB96" s="720"/>
      <c r="BC96" s="720"/>
      <c r="BD96" s="720"/>
      <c r="BE96" s="720"/>
      <c r="BF96" s="720"/>
      <c r="BG96" s="720"/>
      <c r="BH96" s="720"/>
      <c r="BI96" s="720"/>
      <c r="BJ96" s="720"/>
      <c r="BK96" s="720"/>
      <c r="BL96" s="720"/>
      <c r="BM96" s="720"/>
      <c r="BN96" s="720"/>
      <c r="BO96" s="720"/>
      <c r="BP96" s="720"/>
      <c r="BQ96" s="720"/>
      <c r="BR96" s="720"/>
      <c r="BS96" s="720"/>
      <c r="BT96" s="720"/>
      <c r="BU96" s="720"/>
      <c r="BV96" s="720"/>
      <c r="BW96" s="720"/>
      <c r="BX96" s="720"/>
      <c r="BY96" s="720"/>
      <c r="BZ96" s="720"/>
      <c r="CA96" s="720"/>
      <c r="CB96" s="720"/>
      <c r="CC96" s="720"/>
      <c r="CD96" s="720"/>
      <c r="CE96" s="720"/>
      <c r="CF96" s="720"/>
      <c r="CG96" s="720"/>
      <c r="CH96" s="720"/>
      <c r="CI96" s="720"/>
      <c r="CJ96" s="720"/>
      <c r="CK96" s="720"/>
      <c r="CL96" s="720"/>
      <c r="CM96" s="720"/>
      <c r="CN96" s="720"/>
      <c r="CO96" s="720"/>
      <c r="CP96" s="720"/>
      <c r="CQ96" s="720"/>
      <c r="CR96" s="720"/>
      <c r="CS96" s="720"/>
      <c r="CT96" s="720"/>
      <c r="CU96" s="720"/>
      <c r="CV96" s="720"/>
      <c r="CW96" s="720"/>
      <c r="CX96" s="720"/>
      <c r="CY96" s="720"/>
      <c r="CZ96" s="720"/>
      <c r="DA96" s="720"/>
      <c r="DB96" s="720"/>
      <c r="DC96" s="720"/>
      <c r="DD96" s="720"/>
      <c r="DE96" s="720"/>
      <c r="DF96" s="720"/>
      <c r="DG96" s="720"/>
      <c r="DH96" s="720"/>
      <c r="DI96" s="720"/>
      <c r="DJ96" s="720"/>
      <c r="DK96" s="720"/>
      <c r="DL96" s="720"/>
      <c r="DM96" s="720"/>
      <c r="DN96" s="720"/>
      <c r="DO96" s="720"/>
      <c r="DP96" s="720"/>
      <c r="DQ96" s="720"/>
      <c r="DR96" s="720"/>
      <c r="DS96" s="720"/>
      <c r="DT96" s="720"/>
      <c r="DU96" s="720"/>
      <c r="DV96" s="720"/>
      <c r="DW96" s="720"/>
      <c r="DX96" s="720"/>
      <c r="DY96" s="720"/>
      <c r="DZ96" s="720"/>
      <c r="EA96" s="720"/>
      <c r="EB96" s="720"/>
      <c r="EC96" s="720"/>
      <c r="ED96" s="720"/>
      <c r="EE96" s="720"/>
      <c r="EF96" s="720"/>
      <c r="EG96" s="720"/>
      <c r="EH96" s="720"/>
      <c r="EI96" s="720"/>
      <c r="EJ96" s="720"/>
      <c r="EK96" s="720"/>
      <c r="EL96" s="720"/>
      <c r="EM96" s="720"/>
      <c r="EN96" s="720"/>
      <c r="EO96" s="720"/>
      <c r="EP96" s="720"/>
      <c r="EQ96" s="720"/>
      <c r="ER96" s="720"/>
      <c r="ES96" s="720"/>
      <c r="ET96" s="720"/>
      <c r="EU96" s="720"/>
      <c r="EV96" s="720"/>
      <c r="EW96" s="720"/>
      <c r="EX96" s="720"/>
      <c r="EY96" s="720"/>
      <c r="EZ96" s="720"/>
      <c r="FA96" s="720"/>
      <c r="FB96" s="720"/>
      <c r="FC96" s="720"/>
      <c r="FD96" s="720"/>
      <c r="FE96" s="720"/>
      <c r="FF96" s="720"/>
      <c r="FG96" s="720"/>
      <c r="FH96" s="720"/>
      <c r="FI96" s="720"/>
      <c r="FJ96" s="720"/>
      <c r="FK96" s="720"/>
      <c r="FL96" s="720"/>
      <c r="FM96" s="720"/>
      <c r="FN96" s="720"/>
      <c r="FO96" s="720"/>
      <c r="FP96" s="720"/>
      <c r="FQ96" s="720"/>
      <c r="FR96" s="720"/>
      <c r="FS96" s="720"/>
      <c r="FT96" s="720"/>
      <c r="FU96" s="720"/>
      <c r="FV96" s="720"/>
      <c r="FW96" s="720"/>
      <c r="FX96" s="720"/>
      <c r="FY96" s="720"/>
      <c r="FZ96" s="720"/>
      <c r="GA96" s="720"/>
      <c r="GB96" s="720"/>
      <c r="GC96" s="720"/>
      <c r="GD96" s="720"/>
      <c r="GE96" s="720"/>
      <c r="GF96" s="720"/>
      <c r="GG96" s="720"/>
      <c r="GH96" s="720"/>
      <c r="GI96" s="720"/>
      <c r="GJ96" s="720"/>
      <c r="GK96" s="720"/>
      <c r="GL96" s="720"/>
      <c r="GM96" s="720"/>
      <c r="GN96" s="720"/>
      <c r="GO96" s="720"/>
      <c r="GP96" s="720"/>
      <c r="GQ96" s="720"/>
      <c r="GR96" s="720"/>
      <c r="GS96" s="720"/>
      <c r="GT96" s="720"/>
      <c r="GU96" s="720"/>
      <c r="GV96" s="720"/>
      <c r="GW96" s="720"/>
      <c r="GX96" s="720"/>
      <c r="GY96" s="720"/>
      <c r="GZ96" s="720"/>
      <c r="HA96" s="720"/>
      <c r="HB96" s="720"/>
      <c r="HC96" s="720"/>
      <c r="HD96" s="720"/>
      <c r="HE96" s="720"/>
      <c r="HF96" s="720"/>
      <c r="HG96" s="720"/>
      <c r="HH96" s="720"/>
      <c r="HI96" s="720"/>
      <c r="HJ96" s="720"/>
      <c r="HK96" s="720"/>
      <c r="HL96" s="720"/>
      <c r="HM96" s="720"/>
      <c r="HN96" s="720"/>
      <c r="HO96" s="720"/>
      <c r="HP96" s="720"/>
      <c r="HQ96" s="720"/>
      <c r="HR96" s="720"/>
      <c r="HS96" s="720"/>
      <c r="HT96" s="720"/>
      <c r="HU96" s="720"/>
      <c r="HV96" s="720"/>
      <c r="HW96" s="720"/>
      <c r="HX96" s="720"/>
      <c r="HY96" s="720"/>
      <c r="HZ96" s="720"/>
      <c r="IA96" s="720"/>
      <c r="IB96" s="720"/>
      <c r="IC96" s="720"/>
      <c r="ID96" s="720"/>
      <c r="IE96" s="720"/>
      <c r="IF96" s="720"/>
      <c r="IG96" s="720"/>
      <c r="IH96" s="720"/>
    </row>
    <row r="97" hidden="1" outlineLevel="1">
      <c r="A97" s="598"/>
      <c r="B97" s="598"/>
      <c r="C97" s="598"/>
      <c r="D97" s="598"/>
      <c r="E97" s="598"/>
      <c r="F97" s="598"/>
      <c r="G97" s="598"/>
      <c r="H97" s="598"/>
      <c r="I97" s="598"/>
      <c r="J97" s="598"/>
      <c r="K97" s="598"/>
      <c r="L97" s="598"/>
      <c r="M97" s="598"/>
      <c r="N97" s="598"/>
      <c r="O97" s="598"/>
      <c r="P97" s="598"/>
      <c r="Q97" s="598"/>
      <c r="R97" s="598"/>
      <c r="S97" s="598"/>
      <c r="T97" s="598"/>
      <c r="U97" s="598"/>
      <c r="V97" s="598"/>
      <c r="W97" s="598"/>
      <c r="X97" s="598"/>
      <c r="Y97" s="598"/>
      <c r="Z97" s="598"/>
      <c r="AA97" s="911"/>
      <c r="AB97" s="999"/>
      <c r="AC97" s="720" t="str">
        <f>IFERROR(__xludf.DUMMYFUNCTION("""COMPUTED_VALUE"""),"Gold Bot - Cooldown")</f>
        <v>Gold Bot - Cooldown</v>
      </c>
      <c r="AD97" s="913" t="s">
        <v>187</v>
      </c>
      <c r="AE97" s="720">
        <v>21.0</v>
      </c>
      <c r="AF97" s="720"/>
      <c r="AG97" s="720">
        <v>25.0</v>
      </c>
      <c r="AH97" s="992" t="str">
        <f t="shared" si="19"/>
        <v/>
      </c>
      <c r="AI97" s="720"/>
      <c r="AJ97" s="720"/>
      <c r="AK97" s="720"/>
      <c r="AL97" s="720"/>
      <c r="AM97" s="720"/>
      <c r="AN97" s="720"/>
      <c r="AO97" s="720"/>
      <c r="AP97" s="720"/>
      <c r="AQ97" s="720"/>
      <c r="AR97" s="720"/>
      <c r="AS97" s="720"/>
      <c r="AT97" s="720"/>
      <c r="AU97" s="720"/>
      <c r="AV97" s="720"/>
      <c r="AW97" s="720"/>
      <c r="AX97" s="720"/>
      <c r="AY97" s="720"/>
      <c r="AZ97" s="720"/>
      <c r="BA97" s="720"/>
      <c r="BB97" s="720"/>
      <c r="BC97" s="720"/>
      <c r="BD97" s="720"/>
      <c r="BE97" s="720"/>
      <c r="BF97" s="720"/>
      <c r="BG97" s="720"/>
      <c r="BH97" s="720"/>
      <c r="BI97" s="720"/>
      <c r="BJ97" s="720"/>
      <c r="BK97" s="720"/>
      <c r="BL97" s="720"/>
      <c r="BM97" s="720"/>
      <c r="BN97" s="720"/>
      <c r="BO97" s="720"/>
      <c r="BP97" s="720"/>
      <c r="BQ97" s="720"/>
      <c r="BR97" s="720"/>
      <c r="BS97" s="720"/>
      <c r="BT97" s="720"/>
      <c r="BU97" s="720"/>
      <c r="BV97" s="720"/>
      <c r="BW97" s="720"/>
      <c r="BX97" s="720"/>
      <c r="BY97" s="720"/>
      <c r="BZ97" s="720"/>
      <c r="CA97" s="720"/>
      <c r="CB97" s="720"/>
      <c r="CC97" s="720"/>
      <c r="CD97" s="720"/>
      <c r="CE97" s="720"/>
      <c r="CF97" s="720"/>
      <c r="CG97" s="720"/>
      <c r="CH97" s="720"/>
      <c r="CI97" s="720"/>
      <c r="CJ97" s="720"/>
      <c r="CK97" s="720"/>
      <c r="CL97" s="720"/>
      <c r="CM97" s="720"/>
      <c r="CN97" s="720"/>
      <c r="CO97" s="720"/>
      <c r="CP97" s="720"/>
      <c r="CQ97" s="720"/>
      <c r="CR97" s="720"/>
      <c r="CS97" s="720"/>
      <c r="CT97" s="720"/>
      <c r="CU97" s="720"/>
      <c r="CV97" s="720"/>
      <c r="CW97" s="720"/>
      <c r="CX97" s="720"/>
      <c r="CY97" s="720"/>
      <c r="CZ97" s="720"/>
      <c r="DA97" s="720"/>
      <c r="DB97" s="720"/>
      <c r="DC97" s="720"/>
      <c r="DD97" s="720"/>
      <c r="DE97" s="720"/>
      <c r="DF97" s="720"/>
      <c r="DG97" s="720"/>
      <c r="DH97" s="720"/>
      <c r="DI97" s="720"/>
      <c r="DJ97" s="720"/>
      <c r="DK97" s="720"/>
      <c r="DL97" s="720"/>
      <c r="DM97" s="720"/>
      <c r="DN97" s="720"/>
      <c r="DO97" s="720"/>
      <c r="DP97" s="720"/>
      <c r="DQ97" s="720"/>
      <c r="DR97" s="720"/>
      <c r="DS97" s="720"/>
      <c r="DT97" s="720"/>
      <c r="DU97" s="720"/>
      <c r="DV97" s="720"/>
      <c r="DW97" s="720"/>
      <c r="DX97" s="720"/>
      <c r="DY97" s="720"/>
      <c r="DZ97" s="720"/>
      <c r="EA97" s="720"/>
      <c r="EB97" s="720"/>
      <c r="EC97" s="720"/>
      <c r="ED97" s="720"/>
      <c r="EE97" s="720"/>
      <c r="EF97" s="720"/>
      <c r="EG97" s="720"/>
      <c r="EH97" s="720"/>
      <c r="EI97" s="720"/>
      <c r="EJ97" s="720"/>
      <c r="EK97" s="720"/>
      <c r="EL97" s="720"/>
      <c r="EM97" s="720"/>
      <c r="EN97" s="720"/>
      <c r="EO97" s="720"/>
      <c r="EP97" s="720"/>
      <c r="EQ97" s="720"/>
      <c r="ER97" s="720"/>
      <c r="ES97" s="720"/>
      <c r="ET97" s="720"/>
      <c r="EU97" s="720"/>
      <c r="EV97" s="720"/>
      <c r="EW97" s="720"/>
      <c r="EX97" s="720"/>
      <c r="EY97" s="720"/>
      <c r="EZ97" s="720"/>
      <c r="FA97" s="720"/>
      <c r="FB97" s="720"/>
      <c r="FC97" s="720"/>
      <c r="FD97" s="720"/>
      <c r="FE97" s="720"/>
      <c r="FF97" s="720"/>
      <c r="FG97" s="720"/>
      <c r="FH97" s="720"/>
      <c r="FI97" s="720"/>
      <c r="FJ97" s="720"/>
      <c r="FK97" s="720"/>
      <c r="FL97" s="720"/>
      <c r="FM97" s="720"/>
      <c r="FN97" s="720"/>
      <c r="FO97" s="720"/>
      <c r="FP97" s="720"/>
      <c r="FQ97" s="720"/>
      <c r="FR97" s="720"/>
      <c r="FS97" s="720"/>
      <c r="FT97" s="720"/>
      <c r="FU97" s="720"/>
      <c r="FV97" s="720"/>
      <c r="FW97" s="720"/>
      <c r="FX97" s="720"/>
      <c r="FY97" s="720"/>
      <c r="FZ97" s="720"/>
      <c r="GA97" s="720"/>
      <c r="GB97" s="720"/>
      <c r="GC97" s="720"/>
      <c r="GD97" s="720"/>
      <c r="GE97" s="720"/>
      <c r="GF97" s="720"/>
      <c r="GG97" s="720"/>
      <c r="GH97" s="720"/>
      <c r="GI97" s="720"/>
      <c r="GJ97" s="720"/>
      <c r="GK97" s="720"/>
      <c r="GL97" s="720"/>
      <c r="GM97" s="720"/>
      <c r="GN97" s="720"/>
      <c r="GO97" s="720"/>
      <c r="GP97" s="720"/>
      <c r="GQ97" s="720"/>
      <c r="GR97" s="720"/>
      <c r="GS97" s="720"/>
      <c r="GT97" s="720"/>
      <c r="GU97" s="720"/>
      <c r="GV97" s="720"/>
      <c r="GW97" s="720"/>
      <c r="GX97" s="720"/>
      <c r="GY97" s="720"/>
      <c r="GZ97" s="720"/>
      <c r="HA97" s="720"/>
      <c r="HB97" s="720"/>
      <c r="HC97" s="720"/>
      <c r="HD97" s="720"/>
      <c r="HE97" s="720"/>
      <c r="HF97" s="720"/>
      <c r="HG97" s="720"/>
      <c r="HH97" s="720"/>
      <c r="HI97" s="720"/>
      <c r="HJ97" s="720"/>
      <c r="HK97" s="720"/>
      <c r="HL97" s="720"/>
      <c r="HM97" s="720"/>
      <c r="HN97" s="720"/>
      <c r="HO97" s="720"/>
      <c r="HP97" s="720"/>
      <c r="HQ97" s="720"/>
      <c r="HR97" s="720"/>
      <c r="HS97" s="720"/>
      <c r="HT97" s="720"/>
      <c r="HU97" s="720"/>
      <c r="HV97" s="720"/>
      <c r="HW97" s="720"/>
      <c r="HX97" s="720"/>
      <c r="HY97" s="720"/>
      <c r="HZ97" s="720"/>
      <c r="IA97" s="720"/>
      <c r="IB97" s="720"/>
      <c r="IC97" s="720"/>
      <c r="ID97" s="720"/>
      <c r="IE97" s="720"/>
      <c r="IF97" s="720"/>
      <c r="IG97" s="720"/>
      <c r="IH97" s="720"/>
    </row>
    <row r="98" hidden="1" outlineLevel="1">
      <c r="A98" s="598"/>
      <c r="B98" s="598"/>
      <c r="C98" s="598"/>
      <c r="D98" s="598"/>
      <c r="E98" s="598"/>
      <c r="F98" s="598"/>
      <c r="G98" s="598"/>
      <c r="H98" s="598"/>
      <c r="I98" s="598"/>
      <c r="J98" s="598"/>
      <c r="K98" s="598"/>
      <c r="L98" s="598"/>
      <c r="M98" s="598"/>
      <c r="N98" s="598"/>
      <c r="O98" s="598"/>
      <c r="P98" s="598"/>
      <c r="Q98" s="598"/>
      <c r="R98" s="598"/>
      <c r="S98" s="598"/>
      <c r="T98" s="598"/>
      <c r="U98" s="598"/>
      <c r="V98" s="598"/>
      <c r="W98" s="598"/>
      <c r="X98" s="598"/>
      <c r="Y98" s="598"/>
      <c r="Z98" s="598"/>
      <c r="AA98" s="911"/>
      <c r="AB98" s="966"/>
      <c r="AC98" s="713" t="str">
        <f>IFERROR(__xludf.DUMMYFUNCTION("""COMPUTED_VALUE"""),"Gold Bot - Duration")</f>
        <v>Gold Bot - Duration</v>
      </c>
      <c r="AD98" s="816" t="s">
        <v>245</v>
      </c>
      <c r="AE98" s="713">
        <v>12.0</v>
      </c>
      <c r="AF98" s="713"/>
      <c r="AG98" s="713">
        <v>20.0</v>
      </c>
      <c r="AH98" s="992" t="str">
        <f t="shared" si="19"/>
        <v/>
      </c>
      <c r="AI98" s="713"/>
      <c r="AJ98" s="713"/>
      <c r="AK98" s="713"/>
      <c r="AL98" s="713"/>
      <c r="AM98" s="713"/>
      <c r="AN98" s="713"/>
      <c r="AO98" s="713"/>
      <c r="AP98" s="713"/>
      <c r="AQ98" s="713"/>
      <c r="AR98" s="713"/>
      <c r="AS98" s="713"/>
      <c r="AT98" s="713"/>
      <c r="AU98" s="713"/>
      <c r="AV98" s="713"/>
      <c r="AW98" s="713"/>
      <c r="AX98" s="713"/>
      <c r="AY98" s="713"/>
      <c r="AZ98" s="713"/>
      <c r="BA98" s="713"/>
      <c r="BB98" s="713"/>
      <c r="BC98" s="713"/>
      <c r="BD98" s="713"/>
      <c r="BE98" s="713"/>
      <c r="BF98" s="713"/>
      <c r="BG98" s="713"/>
      <c r="BH98" s="713"/>
      <c r="BI98" s="713"/>
      <c r="BJ98" s="713"/>
      <c r="BK98" s="713"/>
      <c r="BL98" s="713"/>
      <c r="BM98" s="713"/>
      <c r="BN98" s="713"/>
      <c r="BO98" s="713"/>
      <c r="BP98" s="713"/>
      <c r="BQ98" s="713"/>
      <c r="BR98" s="713"/>
      <c r="BS98" s="713"/>
      <c r="BT98" s="713"/>
      <c r="BU98" s="713"/>
      <c r="BV98" s="713"/>
      <c r="BW98" s="713"/>
      <c r="BX98" s="713"/>
      <c r="BY98" s="713"/>
      <c r="BZ98" s="713"/>
      <c r="CA98" s="713"/>
      <c r="CB98" s="713"/>
      <c r="CC98" s="713"/>
      <c r="CD98" s="713"/>
      <c r="CE98" s="713"/>
      <c r="CF98" s="713"/>
      <c r="CG98" s="713"/>
      <c r="CH98" s="713"/>
      <c r="CI98" s="713"/>
      <c r="CJ98" s="713"/>
      <c r="CK98" s="713"/>
      <c r="CL98" s="713"/>
      <c r="CM98" s="713"/>
      <c r="CN98" s="713"/>
      <c r="CO98" s="713"/>
      <c r="CP98" s="713"/>
      <c r="CQ98" s="713"/>
      <c r="CR98" s="713"/>
      <c r="CS98" s="713"/>
      <c r="CT98" s="713"/>
      <c r="CU98" s="713"/>
      <c r="CV98" s="713"/>
      <c r="CW98" s="713"/>
      <c r="CX98" s="713"/>
      <c r="CY98" s="713"/>
      <c r="CZ98" s="713"/>
      <c r="DA98" s="713"/>
      <c r="DB98" s="713"/>
      <c r="DC98" s="713"/>
      <c r="DD98" s="713"/>
      <c r="DE98" s="713"/>
      <c r="DF98" s="713"/>
      <c r="DG98" s="713"/>
      <c r="DH98" s="713"/>
      <c r="DI98" s="713"/>
      <c r="DJ98" s="713"/>
      <c r="DK98" s="713"/>
      <c r="DL98" s="713"/>
      <c r="DM98" s="713"/>
      <c r="DN98" s="713"/>
      <c r="DO98" s="713"/>
      <c r="DP98" s="713"/>
      <c r="DQ98" s="713"/>
      <c r="DR98" s="713"/>
      <c r="DS98" s="713"/>
      <c r="DT98" s="713"/>
      <c r="DU98" s="713"/>
      <c r="DV98" s="713"/>
      <c r="DW98" s="713"/>
      <c r="DX98" s="713"/>
      <c r="DY98" s="713"/>
      <c r="DZ98" s="713"/>
      <c r="EA98" s="713"/>
      <c r="EB98" s="713"/>
      <c r="EC98" s="713"/>
      <c r="ED98" s="713"/>
      <c r="EE98" s="713"/>
      <c r="EF98" s="713"/>
      <c r="EG98" s="713"/>
      <c r="EH98" s="713"/>
      <c r="EI98" s="713"/>
      <c r="EJ98" s="713"/>
      <c r="EK98" s="713"/>
      <c r="EL98" s="713"/>
      <c r="EM98" s="713"/>
      <c r="EN98" s="713"/>
      <c r="EO98" s="713"/>
      <c r="EP98" s="713"/>
      <c r="EQ98" s="713"/>
      <c r="ER98" s="713"/>
      <c r="ES98" s="713"/>
      <c r="ET98" s="713"/>
      <c r="EU98" s="713"/>
      <c r="EV98" s="713"/>
      <c r="EW98" s="713"/>
      <c r="EX98" s="713"/>
      <c r="EY98" s="713"/>
      <c r="EZ98" s="713"/>
      <c r="FA98" s="713"/>
      <c r="FB98" s="713"/>
      <c r="FC98" s="713"/>
      <c r="FD98" s="713"/>
      <c r="FE98" s="713"/>
      <c r="FF98" s="713"/>
      <c r="FG98" s="713"/>
      <c r="FH98" s="713"/>
      <c r="FI98" s="713"/>
      <c r="FJ98" s="713"/>
      <c r="FK98" s="713"/>
      <c r="FL98" s="713"/>
      <c r="FM98" s="713"/>
      <c r="FN98" s="713"/>
      <c r="FO98" s="713"/>
      <c r="FP98" s="713"/>
      <c r="FQ98" s="713"/>
      <c r="FR98" s="713"/>
      <c r="FS98" s="713"/>
      <c r="FT98" s="713"/>
      <c r="FU98" s="713"/>
      <c r="FV98" s="713"/>
      <c r="FW98" s="713"/>
      <c r="FX98" s="713"/>
      <c r="FY98" s="713"/>
      <c r="FZ98" s="713"/>
      <c r="GA98" s="713"/>
      <c r="GB98" s="713"/>
      <c r="GC98" s="713"/>
      <c r="GD98" s="713"/>
      <c r="GE98" s="713"/>
      <c r="GF98" s="713"/>
      <c r="GG98" s="713"/>
      <c r="GH98" s="713"/>
      <c r="GI98" s="713"/>
      <c r="GJ98" s="713"/>
      <c r="GK98" s="713"/>
      <c r="GL98" s="713"/>
      <c r="GM98" s="713"/>
      <c r="GN98" s="713"/>
      <c r="GO98" s="713"/>
      <c r="GP98" s="713"/>
      <c r="GQ98" s="713"/>
      <c r="GR98" s="713"/>
      <c r="GS98" s="713"/>
      <c r="GT98" s="713"/>
      <c r="GU98" s="713"/>
      <c r="GV98" s="713"/>
      <c r="GW98" s="713"/>
      <c r="GX98" s="713"/>
      <c r="GY98" s="713"/>
      <c r="GZ98" s="713"/>
      <c r="HA98" s="713"/>
      <c r="HB98" s="713"/>
      <c r="HC98" s="713"/>
      <c r="HD98" s="713"/>
      <c r="HE98" s="713"/>
      <c r="HF98" s="713"/>
      <c r="HG98" s="713"/>
      <c r="HH98" s="713"/>
      <c r="HI98" s="713"/>
      <c r="HJ98" s="713"/>
      <c r="HK98" s="713"/>
      <c r="HL98" s="713"/>
      <c r="HM98" s="713"/>
      <c r="HN98" s="713"/>
      <c r="HO98" s="713"/>
      <c r="HP98" s="713"/>
      <c r="HQ98" s="713"/>
      <c r="HR98" s="713"/>
      <c r="HS98" s="713"/>
      <c r="HT98" s="713"/>
      <c r="HU98" s="713"/>
      <c r="HV98" s="713"/>
      <c r="HW98" s="713"/>
      <c r="HX98" s="713"/>
      <c r="HY98" s="713"/>
      <c r="HZ98" s="713"/>
      <c r="IA98" s="713"/>
      <c r="IB98" s="713"/>
      <c r="IC98" s="713"/>
      <c r="ID98" s="713"/>
      <c r="IE98" s="713"/>
      <c r="IF98" s="713"/>
      <c r="IG98" s="713"/>
      <c r="IH98" s="713"/>
    </row>
    <row r="99" hidden="1" outlineLevel="1">
      <c r="A99" s="598"/>
      <c r="B99" s="598"/>
      <c r="C99" s="598"/>
      <c r="D99" s="598"/>
      <c r="E99" s="598"/>
      <c r="F99" s="598"/>
      <c r="G99" s="598"/>
      <c r="H99" s="598"/>
      <c r="I99" s="598"/>
      <c r="J99" s="598"/>
      <c r="K99" s="598"/>
      <c r="L99" s="598"/>
      <c r="M99" s="598"/>
      <c r="N99" s="598"/>
      <c r="O99" s="598"/>
      <c r="P99" s="598"/>
      <c r="Q99" s="598"/>
      <c r="R99" s="598"/>
      <c r="S99" s="598"/>
      <c r="T99" s="598"/>
      <c r="U99" s="598"/>
      <c r="V99" s="598"/>
      <c r="W99" s="598"/>
      <c r="X99" s="598"/>
      <c r="Y99" s="598"/>
      <c r="Z99" s="598"/>
      <c r="AA99" s="911"/>
      <c r="AB99" s="966"/>
      <c r="AC99" s="713" t="str">
        <f>IFERROR(__xludf.DUMMYFUNCTION("""COMPUTED_VALUE"""),"Golden Tower Bonus")</f>
        <v>Golden Tower Bonus</v>
      </c>
      <c r="AD99" s="816" t="s">
        <v>281</v>
      </c>
      <c r="AE99" s="713">
        <v>22.0</v>
      </c>
      <c r="AF99" s="713"/>
      <c r="AG99" s="713">
        <v>25.0</v>
      </c>
      <c r="AH99" s="992" t="str">
        <f t="shared" si="19"/>
        <v/>
      </c>
      <c r="AI99" s="713"/>
      <c r="AJ99" s="713"/>
      <c r="AK99" s="713"/>
      <c r="AL99" s="713"/>
      <c r="AM99" s="713"/>
      <c r="AN99" s="713"/>
      <c r="AO99" s="713"/>
      <c r="AP99" s="713"/>
      <c r="AQ99" s="713"/>
      <c r="AR99" s="713"/>
      <c r="AS99" s="713"/>
      <c r="AT99" s="713"/>
      <c r="AU99" s="713"/>
      <c r="AV99" s="713"/>
      <c r="AW99" s="713"/>
      <c r="AX99" s="713"/>
      <c r="AY99" s="713"/>
      <c r="AZ99" s="713"/>
      <c r="BA99" s="713"/>
      <c r="BB99" s="713"/>
      <c r="BC99" s="713"/>
      <c r="BD99" s="713"/>
      <c r="BE99" s="713"/>
      <c r="BF99" s="713"/>
      <c r="BG99" s="713"/>
      <c r="BH99" s="713"/>
      <c r="BI99" s="713"/>
      <c r="BJ99" s="713"/>
      <c r="BK99" s="713"/>
      <c r="BL99" s="713"/>
      <c r="BM99" s="713"/>
      <c r="BN99" s="713"/>
      <c r="BO99" s="713"/>
      <c r="BP99" s="713"/>
      <c r="BQ99" s="713"/>
      <c r="BR99" s="713"/>
      <c r="BS99" s="713"/>
      <c r="BT99" s="713"/>
      <c r="BU99" s="713"/>
      <c r="BV99" s="713"/>
      <c r="BW99" s="713"/>
      <c r="BX99" s="713"/>
      <c r="BY99" s="713"/>
      <c r="BZ99" s="713"/>
      <c r="CA99" s="713"/>
      <c r="CB99" s="713"/>
      <c r="CC99" s="713"/>
      <c r="CD99" s="713"/>
      <c r="CE99" s="713"/>
      <c r="CF99" s="713"/>
      <c r="CG99" s="713"/>
      <c r="CH99" s="713"/>
      <c r="CI99" s="713"/>
      <c r="CJ99" s="713"/>
      <c r="CK99" s="713"/>
      <c r="CL99" s="713"/>
      <c r="CM99" s="713"/>
      <c r="CN99" s="713"/>
      <c r="CO99" s="713"/>
      <c r="CP99" s="713"/>
      <c r="CQ99" s="713"/>
      <c r="CR99" s="713"/>
      <c r="CS99" s="713"/>
      <c r="CT99" s="713"/>
      <c r="CU99" s="713"/>
      <c r="CV99" s="713"/>
      <c r="CW99" s="713"/>
      <c r="CX99" s="713"/>
      <c r="CY99" s="713"/>
      <c r="CZ99" s="713"/>
      <c r="DA99" s="713"/>
      <c r="DB99" s="713"/>
      <c r="DC99" s="713"/>
      <c r="DD99" s="713"/>
      <c r="DE99" s="713"/>
      <c r="DF99" s="713"/>
      <c r="DG99" s="713"/>
      <c r="DH99" s="713"/>
      <c r="DI99" s="713"/>
      <c r="DJ99" s="713"/>
      <c r="DK99" s="713"/>
      <c r="DL99" s="713"/>
      <c r="DM99" s="713"/>
      <c r="DN99" s="713"/>
      <c r="DO99" s="713"/>
      <c r="DP99" s="713"/>
      <c r="DQ99" s="713"/>
      <c r="DR99" s="713"/>
      <c r="DS99" s="713"/>
      <c r="DT99" s="713"/>
      <c r="DU99" s="713"/>
      <c r="DV99" s="713"/>
      <c r="DW99" s="713"/>
      <c r="DX99" s="713"/>
      <c r="DY99" s="713"/>
      <c r="DZ99" s="713"/>
      <c r="EA99" s="713"/>
      <c r="EB99" s="713"/>
      <c r="EC99" s="713"/>
      <c r="ED99" s="713"/>
      <c r="EE99" s="713"/>
      <c r="EF99" s="713"/>
      <c r="EG99" s="713"/>
      <c r="EH99" s="713"/>
      <c r="EI99" s="713"/>
      <c r="EJ99" s="713"/>
      <c r="EK99" s="713"/>
      <c r="EL99" s="713"/>
      <c r="EM99" s="713"/>
      <c r="EN99" s="713"/>
      <c r="EO99" s="713"/>
      <c r="EP99" s="713"/>
      <c r="EQ99" s="713"/>
      <c r="ER99" s="713"/>
      <c r="ES99" s="713"/>
      <c r="ET99" s="713"/>
      <c r="EU99" s="713"/>
      <c r="EV99" s="713"/>
      <c r="EW99" s="713"/>
      <c r="EX99" s="713"/>
      <c r="EY99" s="713"/>
      <c r="EZ99" s="713"/>
      <c r="FA99" s="713"/>
      <c r="FB99" s="713"/>
      <c r="FC99" s="713"/>
      <c r="FD99" s="713"/>
      <c r="FE99" s="713"/>
      <c r="FF99" s="713"/>
      <c r="FG99" s="713"/>
      <c r="FH99" s="713"/>
      <c r="FI99" s="713"/>
      <c r="FJ99" s="713"/>
      <c r="FK99" s="713"/>
      <c r="FL99" s="713"/>
      <c r="FM99" s="713"/>
      <c r="FN99" s="713"/>
      <c r="FO99" s="713"/>
      <c r="FP99" s="713"/>
      <c r="FQ99" s="713"/>
      <c r="FR99" s="713"/>
      <c r="FS99" s="713"/>
      <c r="FT99" s="713"/>
      <c r="FU99" s="713"/>
      <c r="FV99" s="713"/>
      <c r="FW99" s="713"/>
      <c r="FX99" s="713"/>
      <c r="FY99" s="713"/>
      <c r="FZ99" s="713"/>
      <c r="GA99" s="713"/>
      <c r="GB99" s="713"/>
      <c r="GC99" s="713"/>
      <c r="GD99" s="713"/>
      <c r="GE99" s="713"/>
      <c r="GF99" s="713"/>
      <c r="GG99" s="713"/>
      <c r="GH99" s="713"/>
      <c r="GI99" s="713"/>
      <c r="GJ99" s="713"/>
      <c r="GK99" s="713"/>
      <c r="GL99" s="713"/>
      <c r="GM99" s="713"/>
      <c r="GN99" s="713"/>
      <c r="GO99" s="713"/>
      <c r="GP99" s="713"/>
      <c r="GQ99" s="713"/>
      <c r="GR99" s="713"/>
      <c r="GS99" s="713"/>
      <c r="GT99" s="713"/>
      <c r="GU99" s="713"/>
      <c r="GV99" s="713"/>
      <c r="GW99" s="713"/>
      <c r="GX99" s="713"/>
      <c r="GY99" s="713"/>
      <c r="GZ99" s="713"/>
      <c r="HA99" s="713"/>
      <c r="HB99" s="713"/>
      <c r="HC99" s="713"/>
      <c r="HD99" s="713"/>
      <c r="HE99" s="713"/>
      <c r="HF99" s="713"/>
      <c r="HG99" s="713"/>
      <c r="HH99" s="713"/>
      <c r="HI99" s="713"/>
      <c r="HJ99" s="713"/>
      <c r="HK99" s="713"/>
      <c r="HL99" s="713"/>
      <c r="HM99" s="713"/>
      <c r="HN99" s="713"/>
      <c r="HO99" s="713"/>
      <c r="HP99" s="713"/>
      <c r="HQ99" s="713"/>
      <c r="HR99" s="713"/>
      <c r="HS99" s="713"/>
      <c r="HT99" s="713"/>
      <c r="HU99" s="713"/>
      <c r="HV99" s="713"/>
      <c r="HW99" s="713"/>
      <c r="HX99" s="713"/>
      <c r="HY99" s="713"/>
      <c r="HZ99" s="713"/>
      <c r="IA99" s="713"/>
      <c r="IB99" s="713"/>
      <c r="IC99" s="713"/>
      <c r="ID99" s="713"/>
      <c r="IE99" s="713"/>
      <c r="IF99" s="713"/>
      <c r="IG99" s="713"/>
      <c r="IH99" s="713"/>
    </row>
    <row r="100" hidden="1" outlineLevel="1">
      <c r="A100" s="598"/>
      <c r="B100" s="598"/>
      <c r="C100" s="598"/>
      <c r="D100" s="598"/>
      <c r="E100" s="598"/>
      <c r="F100" s="598"/>
      <c r="G100" s="598"/>
      <c r="H100" s="598"/>
      <c r="I100" s="598"/>
      <c r="J100" s="598"/>
      <c r="K100" s="598"/>
      <c r="L100" s="598"/>
      <c r="M100" s="598"/>
      <c r="N100" s="598"/>
      <c r="O100" s="598"/>
      <c r="P100" s="598"/>
      <c r="Q100" s="598"/>
      <c r="R100" s="598"/>
      <c r="S100" s="598"/>
      <c r="T100" s="598"/>
      <c r="U100" s="598"/>
      <c r="V100" s="598"/>
      <c r="W100" s="598"/>
      <c r="X100" s="598"/>
      <c r="Y100" s="598"/>
      <c r="Z100" s="598"/>
      <c r="AA100" s="911"/>
      <c r="AB100" s="966"/>
      <c r="AC100" s="713" t="str">
        <f>IFERROR(__xludf.DUMMYFUNCTION("""COMPUTED_VALUE"""),"Golden Tower Duration")</f>
        <v>Golden Tower Duration</v>
      </c>
      <c r="AD100" s="816" t="s">
        <v>289</v>
      </c>
      <c r="AE100" s="713">
        <v>19.0</v>
      </c>
      <c r="AF100" s="713"/>
      <c r="AG100" s="713">
        <v>20.0</v>
      </c>
      <c r="AH100" s="992" t="str">
        <f t="shared" si="19"/>
        <v/>
      </c>
      <c r="AI100" s="713"/>
      <c r="AJ100" s="713"/>
      <c r="AK100" s="713"/>
      <c r="AL100" s="713"/>
      <c r="AM100" s="713"/>
      <c r="AN100" s="713"/>
      <c r="AO100" s="713"/>
      <c r="AP100" s="713"/>
      <c r="AQ100" s="713"/>
      <c r="AR100" s="713"/>
      <c r="AS100" s="713"/>
      <c r="AT100" s="713"/>
      <c r="AU100" s="713"/>
      <c r="AV100" s="713"/>
      <c r="AW100" s="713"/>
      <c r="AX100" s="713"/>
      <c r="AY100" s="713"/>
      <c r="AZ100" s="713"/>
      <c r="BA100" s="713"/>
      <c r="BB100" s="713"/>
      <c r="BC100" s="713"/>
      <c r="BD100" s="713"/>
      <c r="BE100" s="713"/>
      <c r="BF100" s="713"/>
      <c r="BG100" s="713"/>
      <c r="BH100" s="713"/>
      <c r="BI100" s="713"/>
      <c r="BJ100" s="713"/>
      <c r="BK100" s="713"/>
      <c r="BL100" s="713"/>
      <c r="BM100" s="713"/>
      <c r="BN100" s="713"/>
      <c r="BO100" s="713"/>
      <c r="BP100" s="713"/>
      <c r="BQ100" s="713"/>
      <c r="BR100" s="713"/>
      <c r="BS100" s="713"/>
      <c r="BT100" s="713"/>
      <c r="BU100" s="713"/>
      <c r="BV100" s="713"/>
      <c r="BW100" s="713"/>
      <c r="BX100" s="713"/>
      <c r="BY100" s="713"/>
      <c r="BZ100" s="713"/>
      <c r="CA100" s="713"/>
      <c r="CB100" s="713"/>
      <c r="CC100" s="713"/>
      <c r="CD100" s="713"/>
      <c r="CE100" s="713"/>
      <c r="CF100" s="713"/>
      <c r="CG100" s="713"/>
      <c r="CH100" s="713"/>
      <c r="CI100" s="713"/>
      <c r="CJ100" s="713"/>
      <c r="CK100" s="713"/>
      <c r="CL100" s="713"/>
      <c r="CM100" s="713"/>
      <c r="CN100" s="713"/>
      <c r="CO100" s="713"/>
      <c r="CP100" s="713"/>
      <c r="CQ100" s="713"/>
      <c r="CR100" s="713"/>
      <c r="CS100" s="713"/>
      <c r="CT100" s="713"/>
      <c r="CU100" s="713"/>
      <c r="CV100" s="713"/>
      <c r="CW100" s="713"/>
      <c r="CX100" s="713"/>
      <c r="CY100" s="713"/>
      <c r="CZ100" s="713"/>
      <c r="DA100" s="713"/>
      <c r="DB100" s="713"/>
      <c r="DC100" s="713"/>
      <c r="DD100" s="713"/>
      <c r="DE100" s="713"/>
      <c r="DF100" s="713"/>
      <c r="DG100" s="713"/>
      <c r="DH100" s="713"/>
      <c r="DI100" s="713"/>
      <c r="DJ100" s="713"/>
      <c r="DK100" s="713"/>
      <c r="DL100" s="713"/>
      <c r="DM100" s="713"/>
      <c r="DN100" s="713"/>
      <c r="DO100" s="713"/>
      <c r="DP100" s="713"/>
      <c r="DQ100" s="713"/>
      <c r="DR100" s="713"/>
      <c r="DS100" s="713"/>
      <c r="DT100" s="713"/>
      <c r="DU100" s="713"/>
      <c r="DV100" s="713"/>
      <c r="DW100" s="713"/>
      <c r="DX100" s="713"/>
      <c r="DY100" s="713"/>
      <c r="DZ100" s="713"/>
      <c r="EA100" s="713"/>
      <c r="EB100" s="713"/>
      <c r="EC100" s="713"/>
      <c r="ED100" s="713"/>
      <c r="EE100" s="713"/>
      <c r="EF100" s="713"/>
      <c r="EG100" s="713"/>
      <c r="EH100" s="713"/>
      <c r="EI100" s="713"/>
      <c r="EJ100" s="713"/>
      <c r="EK100" s="713"/>
      <c r="EL100" s="713"/>
      <c r="EM100" s="713"/>
      <c r="EN100" s="713"/>
      <c r="EO100" s="713"/>
      <c r="EP100" s="713"/>
      <c r="EQ100" s="713"/>
      <c r="ER100" s="713"/>
      <c r="ES100" s="713"/>
      <c r="ET100" s="713"/>
      <c r="EU100" s="713"/>
      <c r="EV100" s="713"/>
      <c r="EW100" s="713"/>
      <c r="EX100" s="713"/>
      <c r="EY100" s="713"/>
      <c r="EZ100" s="713"/>
      <c r="FA100" s="713"/>
      <c r="FB100" s="713"/>
      <c r="FC100" s="713"/>
      <c r="FD100" s="713"/>
      <c r="FE100" s="713"/>
      <c r="FF100" s="713"/>
      <c r="FG100" s="713"/>
      <c r="FH100" s="713"/>
      <c r="FI100" s="713"/>
      <c r="FJ100" s="713"/>
      <c r="FK100" s="713"/>
      <c r="FL100" s="713"/>
      <c r="FM100" s="713"/>
      <c r="FN100" s="713"/>
      <c r="FO100" s="713"/>
      <c r="FP100" s="713"/>
      <c r="FQ100" s="713"/>
      <c r="FR100" s="713"/>
      <c r="FS100" s="713"/>
      <c r="FT100" s="713"/>
      <c r="FU100" s="713"/>
      <c r="FV100" s="713"/>
      <c r="FW100" s="713"/>
      <c r="FX100" s="713"/>
      <c r="FY100" s="713"/>
      <c r="FZ100" s="713"/>
      <c r="GA100" s="713"/>
      <c r="GB100" s="713"/>
      <c r="GC100" s="713"/>
      <c r="GD100" s="713"/>
      <c r="GE100" s="713"/>
      <c r="GF100" s="713"/>
      <c r="GG100" s="713"/>
      <c r="GH100" s="713"/>
      <c r="GI100" s="713"/>
      <c r="GJ100" s="713"/>
      <c r="GK100" s="713"/>
      <c r="GL100" s="713"/>
      <c r="GM100" s="713"/>
      <c r="GN100" s="713"/>
      <c r="GO100" s="713"/>
      <c r="GP100" s="713"/>
      <c r="GQ100" s="713"/>
      <c r="GR100" s="713"/>
      <c r="GS100" s="713"/>
      <c r="GT100" s="713"/>
      <c r="GU100" s="713"/>
      <c r="GV100" s="713"/>
      <c r="GW100" s="713"/>
      <c r="GX100" s="713"/>
      <c r="GY100" s="713"/>
      <c r="GZ100" s="713"/>
      <c r="HA100" s="713"/>
      <c r="HB100" s="713"/>
      <c r="HC100" s="713"/>
      <c r="HD100" s="713"/>
      <c r="HE100" s="713"/>
      <c r="HF100" s="713"/>
      <c r="HG100" s="713"/>
      <c r="HH100" s="713"/>
      <c r="HI100" s="713"/>
      <c r="HJ100" s="713"/>
      <c r="HK100" s="713"/>
      <c r="HL100" s="713"/>
      <c r="HM100" s="713"/>
      <c r="HN100" s="713"/>
      <c r="HO100" s="713"/>
      <c r="HP100" s="713"/>
      <c r="HQ100" s="713"/>
      <c r="HR100" s="713"/>
      <c r="HS100" s="713"/>
      <c r="HT100" s="713"/>
      <c r="HU100" s="713"/>
      <c r="HV100" s="713"/>
      <c r="HW100" s="713"/>
      <c r="HX100" s="713"/>
      <c r="HY100" s="713"/>
      <c r="HZ100" s="713"/>
      <c r="IA100" s="713"/>
      <c r="IB100" s="713"/>
      <c r="IC100" s="713"/>
      <c r="ID100" s="713"/>
      <c r="IE100" s="713"/>
      <c r="IF100" s="713"/>
      <c r="IG100" s="713"/>
      <c r="IH100" s="713"/>
    </row>
    <row r="101" hidden="1" outlineLevel="1">
      <c r="A101" s="598"/>
      <c r="B101" s="598"/>
      <c r="C101" s="598"/>
      <c r="D101" s="598"/>
      <c r="E101" s="598"/>
      <c r="F101" s="598"/>
      <c r="G101" s="598"/>
      <c r="H101" s="598"/>
      <c r="I101" s="598"/>
      <c r="J101" s="598"/>
      <c r="K101" s="598"/>
      <c r="L101" s="598"/>
      <c r="M101" s="598"/>
      <c r="N101" s="598"/>
      <c r="O101" s="598"/>
      <c r="P101" s="598"/>
      <c r="Q101" s="598"/>
      <c r="R101" s="598"/>
      <c r="S101" s="598"/>
      <c r="T101" s="598"/>
      <c r="U101" s="598"/>
      <c r="V101" s="598"/>
      <c r="W101" s="598"/>
      <c r="X101" s="598"/>
      <c r="Y101" s="598"/>
      <c r="Z101" s="598"/>
      <c r="AA101" s="911"/>
      <c r="AB101" s="1000"/>
      <c r="AC101" s="714" t="str">
        <f>IFERROR(__xludf.DUMMYFUNCTION("""COMPUTED_VALUE"""),"Health")</f>
        <v>Health</v>
      </c>
      <c r="AD101" s="825" t="s">
        <v>156</v>
      </c>
      <c r="AE101" s="714">
        <v>68.0</v>
      </c>
      <c r="AF101" s="714"/>
      <c r="AG101" s="714">
        <v>100.0</v>
      </c>
      <c r="AH101" s="992" t="str">
        <f t="shared" si="19"/>
        <v/>
      </c>
      <c r="AI101" s="714"/>
      <c r="AJ101" s="714"/>
      <c r="AK101" s="714"/>
      <c r="AL101" s="714"/>
      <c r="AM101" s="714"/>
      <c r="AN101" s="714"/>
      <c r="AO101" s="714"/>
      <c r="AP101" s="714"/>
      <c r="AQ101" s="714"/>
      <c r="AR101" s="714"/>
      <c r="AS101" s="714"/>
      <c r="AT101" s="714"/>
      <c r="AU101" s="714"/>
      <c r="AV101" s="714"/>
      <c r="AW101" s="714"/>
      <c r="AX101" s="714"/>
      <c r="AY101" s="714"/>
      <c r="AZ101" s="714"/>
      <c r="BA101" s="714"/>
      <c r="BB101" s="714"/>
      <c r="BC101" s="714"/>
      <c r="BD101" s="714"/>
      <c r="BE101" s="714"/>
      <c r="BF101" s="714"/>
      <c r="BG101" s="714"/>
      <c r="BH101" s="714"/>
      <c r="BI101" s="714"/>
      <c r="BJ101" s="714"/>
      <c r="BK101" s="714"/>
      <c r="BL101" s="714"/>
      <c r="BM101" s="714"/>
      <c r="BN101" s="714"/>
      <c r="BO101" s="714"/>
      <c r="BP101" s="714"/>
      <c r="BQ101" s="714"/>
      <c r="BR101" s="714"/>
      <c r="BS101" s="714"/>
      <c r="BT101" s="714"/>
      <c r="BU101" s="714"/>
      <c r="BV101" s="714"/>
      <c r="BW101" s="714"/>
      <c r="BX101" s="714"/>
      <c r="BY101" s="714"/>
      <c r="BZ101" s="714"/>
      <c r="CA101" s="714"/>
      <c r="CB101" s="714"/>
      <c r="CC101" s="714"/>
      <c r="CD101" s="714"/>
      <c r="CE101" s="714"/>
      <c r="CF101" s="714"/>
      <c r="CG101" s="714"/>
      <c r="CH101" s="714"/>
      <c r="CI101" s="714"/>
      <c r="CJ101" s="714"/>
      <c r="CK101" s="714"/>
      <c r="CL101" s="714"/>
      <c r="CM101" s="714"/>
      <c r="CN101" s="714"/>
      <c r="CO101" s="714"/>
      <c r="CP101" s="714"/>
      <c r="CQ101" s="714"/>
      <c r="CR101" s="714"/>
      <c r="CS101" s="714"/>
      <c r="CT101" s="714"/>
      <c r="CU101" s="714"/>
      <c r="CV101" s="714"/>
      <c r="CW101" s="714"/>
      <c r="CX101" s="714"/>
      <c r="CY101" s="714"/>
      <c r="CZ101" s="714"/>
      <c r="DA101" s="714"/>
      <c r="DB101" s="714"/>
      <c r="DC101" s="714"/>
      <c r="DD101" s="714"/>
      <c r="DE101" s="714"/>
      <c r="DF101" s="714"/>
      <c r="DG101" s="714"/>
      <c r="DH101" s="714"/>
      <c r="DI101" s="714"/>
      <c r="DJ101" s="714"/>
      <c r="DK101" s="714"/>
      <c r="DL101" s="714"/>
      <c r="DM101" s="714"/>
      <c r="DN101" s="714"/>
      <c r="DO101" s="714"/>
      <c r="DP101" s="714"/>
      <c r="DQ101" s="714"/>
      <c r="DR101" s="714"/>
      <c r="DS101" s="714"/>
      <c r="DT101" s="714"/>
      <c r="DU101" s="714"/>
      <c r="DV101" s="714"/>
      <c r="DW101" s="714"/>
      <c r="DX101" s="714"/>
      <c r="DY101" s="714"/>
      <c r="DZ101" s="714"/>
      <c r="EA101" s="714"/>
      <c r="EB101" s="714"/>
      <c r="EC101" s="714"/>
      <c r="ED101" s="714"/>
      <c r="EE101" s="714"/>
      <c r="EF101" s="714"/>
      <c r="EG101" s="714"/>
      <c r="EH101" s="714"/>
      <c r="EI101" s="714"/>
      <c r="EJ101" s="714"/>
      <c r="EK101" s="714"/>
      <c r="EL101" s="714"/>
      <c r="EM101" s="714"/>
      <c r="EN101" s="714"/>
      <c r="EO101" s="714"/>
      <c r="EP101" s="714"/>
      <c r="EQ101" s="714"/>
      <c r="ER101" s="714"/>
      <c r="ES101" s="714"/>
      <c r="ET101" s="714"/>
      <c r="EU101" s="714"/>
      <c r="EV101" s="714"/>
      <c r="EW101" s="714"/>
      <c r="EX101" s="714"/>
      <c r="EY101" s="714"/>
      <c r="EZ101" s="714"/>
      <c r="FA101" s="714"/>
      <c r="FB101" s="714"/>
      <c r="FC101" s="714"/>
      <c r="FD101" s="714"/>
      <c r="FE101" s="714"/>
      <c r="FF101" s="714"/>
      <c r="FG101" s="714"/>
      <c r="FH101" s="714"/>
      <c r="FI101" s="714"/>
      <c r="FJ101" s="714"/>
      <c r="FK101" s="714"/>
      <c r="FL101" s="714"/>
      <c r="FM101" s="714"/>
      <c r="FN101" s="714"/>
      <c r="FO101" s="714"/>
      <c r="FP101" s="714"/>
      <c r="FQ101" s="714"/>
      <c r="FR101" s="714"/>
      <c r="FS101" s="714"/>
      <c r="FT101" s="714"/>
      <c r="FU101" s="714"/>
      <c r="FV101" s="714"/>
      <c r="FW101" s="714"/>
      <c r="FX101" s="714"/>
      <c r="FY101" s="714"/>
      <c r="FZ101" s="714"/>
      <c r="GA101" s="714"/>
      <c r="GB101" s="714"/>
      <c r="GC101" s="714"/>
      <c r="GD101" s="714"/>
      <c r="GE101" s="714"/>
      <c r="GF101" s="714"/>
      <c r="GG101" s="714"/>
      <c r="GH101" s="714"/>
      <c r="GI101" s="714"/>
      <c r="GJ101" s="714"/>
      <c r="GK101" s="714"/>
      <c r="GL101" s="714"/>
      <c r="GM101" s="714"/>
      <c r="GN101" s="714"/>
      <c r="GO101" s="714"/>
      <c r="GP101" s="714"/>
      <c r="GQ101" s="714"/>
      <c r="GR101" s="714"/>
      <c r="GS101" s="714"/>
      <c r="GT101" s="714"/>
      <c r="GU101" s="714"/>
      <c r="GV101" s="714"/>
      <c r="GW101" s="714"/>
      <c r="GX101" s="714"/>
      <c r="GY101" s="714"/>
      <c r="GZ101" s="714"/>
      <c r="HA101" s="714"/>
      <c r="HB101" s="714"/>
      <c r="HC101" s="714"/>
      <c r="HD101" s="714"/>
      <c r="HE101" s="714"/>
      <c r="HF101" s="714"/>
      <c r="HG101" s="714"/>
      <c r="HH101" s="714"/>
      <c r="HI101" s="714"/>
      <c r="HJ101" s="714"/>
      <c r="HK101" s="714"/>
      <c r="HL101" s="714"/>
      <c r="HM101" s="714"/>
      <c r="HN101" s="714"/>
      <c r="HO101" s="714"/>
      <c r="HP101" s="714"/>
      <c r="HQ101" s="714"/>
      <c r="HR101" s="714"/>
      <c r="HS101" s="714"/>
      <c r="HT101" s="714"/>
      <c r="HU101" s="714"/>
      <c r="HV101" s="714"/>
      <c r="HW101" s="714"/>
      <c r="HX101" s="714"/>
      <c r="HY101" s="714"/>
      <c r="HZ101" s="714"/>
      <c r="IA101" s="714"/>
      <c r="IB101" s="714"/>
      <c r="IC101" s="714"/>
      <c r="ID101" s="714"/>
      <c r="IE101" s="714"/>
      <c r="IF101" s="714"/>
      <c r="IG101" s="714"/>
      <c r="IH101" s="714"/>
    </row>
    <row r="102" hidden="1" outlineLevel="1">
      <c r="A102" s="598"/>
      <c r="B102" s="598"/>
      <c r="C102" s="598"/>
      <c r="D102" s="598"/>
      <c r="E102" s="598"/>
      <c r="F102" s="598"/>
      <c r="G102" s="598"/>
      <c r="H102" s="598"/>
      <c r="I102" s="598"/>
      <c r="J102" s="598"/>
      <c r="K102" s="598"/>
      <c r="L102" s="598"/>
      <c r="M102" s="598"/>
      <c r="N102" s="598"/>
      <c r="O102" s="598"/>
      <c r="P102" s="598"/>
      <c r="Q102" s="598"/>
      <c r="R102" s="598"/>
      <c r="S102" s="598"/>
      <c r="T102" s="598"/>
      <c r="U102" s="598"/>
      <c r="V102" s="598"/>
      <c r="W102" s="598"/>
      <c r="X102" s="598"/>
      <c r="Y102" s="598"/>
      <c r="Z102" s="598"/>
      <c r="AA102" s="911"/>
      <c r="AB102" s="966"/>
      <c r="AC102" s="713" t="str">
        <f>IFERROR(__xludf.DUMMYFUNCTION("""COMPUTED_VALUE"""),"Health Mastery")</f>
        <v>Health Mastery</v>
      </c>
      <c r="AD102" s="825" t="s">
        <v>290</v>
      </c>
      <c r="AE102" s="713">
        <v>0.0</v>
      </c>
      <c r="AF102" s="713"/>
      <c r="AG102" s="713">
        <v>9.0</v>
      </c>
      <c r="AH102" s="992" t="str">
        <f t="shared" si="19"/>
        <v/>
      </c>
      <c r="AI102" s="713"/>
      <c r="AJ102" s="713"/>
      <c r="AK102" s="713"/>
      <c r="AL102" s="713"/>
      <c r="AM102" s="713"/>
      <c r="AN102" s="713"/>
      <c r="AO102" s="713"/>
      <c r="AP102" s="713"/>
      <c r="AQ102" s="713"/>
      <c r="AR102" s="713"/>
      <c r="AS102" s="713"/>
      <c r="AT102" s="713"/>
      <c r="AU102" s="713"/>
      <c r="AV102" s="713"/>
      <c r="AW102" s="713"/>
      <c r="AX102" s="713"/>
      <c r="AY102" s="713"/>
      <c r="AZ102" s="713"/>
      <c r="BA102" s="713"/>
      <c r="BB102" s="713"/>
      <c r="BC102" s="713"/>
      <c r="BD102" s="713"/>
      <c r="BE102" s="713"/>
      <c r="BF102" s="713"/>
      <c r="BG102" s="713"/>
      <c r="BH102" s="713"/>
      <c r="BI102" s="713"/>
      <c r="BJ102" s="713"/>
      <c r="BK102" s="713"/>
      <c r="BL102" s="713"/>
      <c r="BM102" s="713"/>
      <c r="BN102" s="713"/>
      <c r="BO102" s="713"/>
      <c r="BP102" s="713"/>
      <c r="BQ102" s="713"/>
      <c r="BR102" s="713"/>
      <c r="BS102" s="713"/>
      <c r="BT102" s="713"/>
      <c r="BU102" s="713"/>
      <c r="BV102" s="713"/>
      <c r="BW102" s="713"/>
      <c r="BX102" s="713"/>
      <c r="BY102" s="713"/>
      <c r="BZ102" s="713"/>
      <c r="CA102" s="713"/>
      <c r="CB102" s="713"/>
      <c r="CC102" s="713"/>
      <c r="CD102" s="713"/>
      <c r="CE102" s="713"/>
      <c r="CF102" s="713"/>
      <c r="CG102" s="713"/>
      <c r="CH102" s="713"/>
      <c r="CI102" s="713"/>
      <c r="CJ102" s="713"/>
      <c r="CK102" s="713"/>
      <c r="CL102" s="713"/>
      <c r="CM102" s="713"/>
      <c r="CN102" s="713"/>
      <c r="CO102" s="713"/>
      <c r="CP102" s="713"/>
      <c r="CQ102" s="713"/>
      <c r="CR102" s="713"/>
      <c r="CS102" s="713"/>
      <c r="CT102" s="713"/>
      <c r="CU102" s="713"/>
      <c r="CV102" s="713"/>
      <c r="CW102" s="713"/>
      <c r="CX102" s="713"/>
      <c r="CY102" s="713"/>
      <c r="CZ102" s="713"/>
      <c r="DA102" s="713"/>
      <c r="DB102" s="713"/>
      <c r="DC102" s="713"/>
      <c r="DD102" s="713"/>
      <c r="DE102" s="713"/>
      <c r="DF102" s="713"/>
      <c r="DG102" s="713"/>
      <c r="DH102" s="713"/>
      <c r="DI102" s="713"/>
      <c r="DJ102" s="713"/>
      <c r="DK102" s="713"/>
      <c r="DL102" s="713"/>
      <c r="DM102" s="713"/>
      <c r="DN102" s="713"/>
      <c r="DO102" s="713"/>
      <c r="DP102" s="713"/>
      <c r="DQ102" s="713"/>
      <c r="DR102" s="713"/>
      <c r="DS102" s="713"/>
      <c r="DT102" s="713"/>
      <c r="DU102" s="713"/>
      <c r="DV102" s="713"/>
      <c r="DW102" s="713"/>
      <c r="DX102" s="713"/>
      <c r="DY102" s="713"/>
      <c r="DZ102" s="713"/>
      <c r="EA102" s="713"/>
      <c r="EB102" s="713"/>
      <c r="EC102" s="713"/>
      <c r="ED102" s="713"/>
      <c r="EE102" s="713"/>
      <c r="EF102" s="713"/>
      <c r="EG102" s="713"/>
      <c r="EH102" s="713"/>
      <c r="EI102" s="713"/>
      <c r="EJ102" s="713"/>
      <c r="EK102" s="713"/>
      <c r="EL102" s="713"/>
      <c r="EM102" s="713"/>
      <c r="EN102" s="713"/>
      <c r="EO102" s="713"/>
      <c r="EP102" s="713"/>
      <c r="EQ102" s="713"/>
      <c r="ER102" s="713"/>
      <c r="ES102" s="713"/>
      <c r="ET102" s="713"/>
      <c r="EU102" s="713"/>
      <c r="EV102" s="713"/>
      <c r="EW102" s="713"/>
      <c r="EX102" s="713"/>
      <c r="EY102" s="713"/>
      <c r="EZ102" s="713"/>
      <c r="FA102" s="713"/>
      <c r="FB102" s="713"/>
      <c r="FC102" s="713"/>
      <c r="FD102" s="713"/>
      <c r="FE102" s="713"/>
      <c r="FF102" s="713"/>
      <c r="FG102" s="713"/>
      <c r="FH102" s="713"/>
      <c r="FI102" s="713"/>
      <c r="FJ102" s="713"/>
      <c r="FK102" s="713"/>
      <c r="FL102" s="713"/>
      <c r="FM102" s="713"/>
      <c r="FN102" s="713"/>
      <c r="FO102" s="713"/>
      <c r="FP102" s="713"/>
      <c r="FQ102" s="713"/>
      <c r="FR102" s="713"/>
      <c r="FS102" s="713"/>
      <c r="FT102" s="713"/>
      <c r="FU102" s="713"/>
      <c r="FV102" s="713"/>
      <c r="FW102" s="713"/>
      <c r="FX102" s="713"/>
      <c r="FY102" s="713"/>
      <c r="FZ102" s="713"/>
      <c r="GA102" s="713"/>
      <c r="GB102" s="713"/>
      <c r="GC102" s="713"/>
      <c r="GD102" s="713"/>
      <c r="GE102" s="713"/>
      <c r="GF102" s="713"/>
      <c r="GG102" s="713"/>
      <c r="GH102" s="713"/>
      <c r="GI102" s="713"/>
      <c r="GJ102" s="713"/>
      <c r="GK102" s="713"/>
      <c r="GL102" s="713"/>
      <c r="GM102" s="713"/>
      <c r="GN102" s="713"/>
      <c r="GO102" s="713"/>
      <c r="GP102" s="713"/>
      <c r="GQ102" s="713"/>
      <c r="GR102" s="713"/>
      <c r="GS102" s="713"/>
      <c r="GT102" s="713"/>
      <c r="GU102" s="713"/>
      <c r="GV102" s="713"/>
      <c r="GW102" s="713"/>
      <c r="GX102" s="713"/>
      <c r="GY102" s="713"/>
      <c r="GZ102" s="713"/>
      <c r="HA102" s="713"/>
      <c r="HB102" s="713"/>
      <c r="HC102" s="713"/>
      <c r="HD102" s="713"/>
      <c r="HE102" s="713"/>
      <c r="HF102" s="713"/>
      <c r="HG102" s="713"/>
      <c r="HH102" s="713"/>
      <c r="HI102" s="713"/>
      <c r="HJ102" s="713"/>
      <c r="HK102" s="713"/>
      <c r="HL102" s="713"/>
      <c r="HM102" s="713"/>
      <c r="HN102" s="713"/>
      <c r="HO102" s="713"/>
      <c r="HP102" s="713"/>
      <c r="HQ102" s="713"/>
      <c r="HR102" s="713"/>
      <c r="HS102" s="713"/>
      <c r="HT102" s="713"/>
      <c r="HU102" s="713"/>
      <c r="HV102" s="713"/>
      <c r="HW102" s="713"/>
      <c r="HX102" s="713"/>
      <c r="HY102" s="713"/>
      <c r="HZ102" s="713"/>
      <c r="IA102" s="713"/>
      <c r="IB102" s="713"/>
      <c r="IC102" s="713"/>
      <c r="ID102" s="713"/>
      <c r="IE102" s="713"/>
      <c r="IF102" s="713"/>
      <c r="IG102" s="713"/>
      <c r="IH102" s="713"/>
    </row>
    <row r="103" hidden="1" outlineLevel="1">
      <c r="A103" s="598"/>
      <c r="B103" s="598"/>
      <c r="C103" s="598"/>
      <c r="D103" s="598"/>
      <c r="E103" s="598"/>
      <c r="F103" s="598"/>
      <c r="G103" s="598"/>
      <c r="H103" s="598"/>
      <c r="I103" s="598"/>
      <c r="J103" s="598"/>
      <c r="K103" s="598"/>
      <c r="L103" s="598"/>
      <c r="M103" s="598"/>
      <c r="N103" s="598"/>
      <c r="O103" s="598"/>
      <c r="P103" s="598"/>
      <c r="Q103" s="598"/>
      <c r="R103" s="598"/>
      <c r="S103" s="598"/>
      <c r="T103" s="598"/>
      <c r="U103" s="598"/>
      <c r="V103" s="598"/>
      <c r="W103" s="598"/>
      <c r="X103" s="598"/>
      <c r="Y103" s="598"/>
      <c r="Z103" s="598"/>
      <c r="AA103" s="911"/>
      <c r="AB103" s="966"/>
      <c r="AC103" s="713" t="str">
        <f>IFERROR(__xludf.DUMMYFUNCTION("""COMPUTED_VALUE"""),"Health Regen")</f>
        <v>Health Regen</v>
      </c>
      <c r="AD103" s="816" t="s">
        <v>171</v>
      </c>
      <c r="AE103" s="713">
        <v>68.0</v>
      </c>
      <c r="AF103" s="713"/>
      <c r="AG103" s="713">
        <v>100.0</v>
      </c>
      <c r="AH103" s="992" t="str">
        <f t="shared" si="19"/>
        <v/>
      </c>
      <c r="AI103" s="713"/>
      <c r="AJ103" s="713"/>
      <c r="AK103" s="713"/>
      <c r="AL103" s="713"/>
      <c r="AM103" s="713"/>
      <c r="AN103" s="713"/>
      <c r="AO103" s="713"/>
      <c r="AP103" s="713"/>
      <c r="AQ103" s="713"/>
      <c r="AR103" s="713"/>
      <c r="AS103" s="713"/>
      <c r="AT103" s="713"/>
      <c r="AU103" s="713"/>
      <c r="AV103" s="713"/>
      <c r="AW103" s="713"/>
      <c r="AX103" s="713"/>
      <c r="AY103" s="713"/>
      <c r="AZ103" s="713"/>
      <c r="BA103" s="713"/>
      <c r="BB103" s="713"/>
      <c r="BC103" s="713"/>
      <c r="BD103" s="713"/>
      <c r="BE103" s="713"/>
      <c r="BF103" s="713"/>
      <c r="BG103" s="713"/>
      <c r="BH103" s="713"/>
      <c r="BI103" s="713"/>
      <c r="BJ103" s="713"/>
      <c r="BK103" s="713"/>
      <c r="BL103" s="713"/>
      <c r="BM103" s="713"/>
      <c r="BN103" s="713"/>
      <c r="BO103" s="713"/>
      <c r="BP103" s="713"/>
      <c r="BQ103" s="713"/>
      <c r="BR103" s="713"/>
      <c r="BS103" s="713"/>
      <c r="BT103" s="713"/>
      <c r="BU103" s="713"/>
      <c r="BV103" s="713"/>
      <c r="BW103" s="713"/>
      <c r="BX103" s="713"/>
      <c r="BY103" s="713"/>
      <c r="BZ103" s="713"/>
      <c r="CA103" s="713"/>
      <c r="CB103" s="713"/>
      <c r="CC103" s="713"/>
      <c r="CD103" s="713"/>
      <c r="CE103" s="713"/>
      <c r="CF103" s="713"/>
      <c r="CG103" s="713"/>
      <c r="CH103" s="713"/>
      <c r="CI103" s="713"/>
      <c r="CJ103" s="713"/>
      <c r="CK103" s="713"/>
      <c r="CL103" s="713"/>
      <c r="CM103" s="713"/>
      <c r="CN103" s="713"/>
      <c r="CO103" s="713"/>
      <c r="CP103" s="713"/>
      <c r="CQ103" s="713"/>
      <c r="CR103" s="713"/>
      <c r="CS103" s="713"/>
      <c r="CT103" s="713"/>
      <c r="CU103" s="713"/>
      <c r="CV103" s="713"/>
      <c r="CW103" s="713"/>
      <c r="CX103" s="713"/>
      <c r="CY103" s="713"/>
      <c r="CZ103" s="713"/>
      <c r="DA103" s="713"/>
      <c r="DB103" s="713"/>
      <c r="DC103" s="713"/>
      <c r="DD103" s="713"/>
      <c r="DE103" s="713"/>
      <c r="DF103" s="713"/>
      <c r="DG103" s="713"/>
      <c r="DH103" s="713"/>
      <c r="DI103" s="713"/>
      <c r="DJ103" s="713"/>
      <c r="DK103" s="713"/>
      <c r="DL103" s="713"/>
      <c r="DM103" s="713"/>
      <c r="DN103" s="713"/>
      <c r="DO103" s="713"/>
      <c r="DP103" s="713"/>
      <c r="DQ103" s="713"/>
      <c r="DR103" s="713"/>
      <c r="DS103" s="713"/>
      <c r="DT103" s="713"/>
      <c r="DU103" s="713"/>
      <c r="DV103" s="713"/>
      <c r="DW103" s="713"/>
      <c r="DX103" s="713"/>
      <c r="DY103" s="713"/>
      <c r="DZ103" s="713"/>
      <c r="EA103" s="713"/>
      <c r="EB103" s="713"/>
      <c r="EC103" s="713"/>
      <c r="ED103" s="713"/>
      <c r="EE103" s="713"/>
      <c r="EF103" s="713"/>
      <c r="EG103" s="713"/>
      <c r="EH103" s="713"/>
      <c r="EI103" s="713"/>
      <c r="EJ103" s="713"/>
      <c r="EK103" s="713"/>
      <c r="EL103" s="713"/>
      <c r="EM103" s="713"/>
      <c r="EN103" s="713"/>
      <c r="EO103" s="713"/>
      <c r="EP103" s="713"/>
      <c r="EQ103" s="713"/>
      <c r="ER103" s="713"/>
      <c r="ES103" s="713"/>
      <c r="ET103" s="713"/>
      <c r="EU103" s="713"/>
      <c r="EV103" s="713"/>
      <c r="EW103" s="713"/>
      <c r="EX103" s="713"/>
      <c r="EY103" s="713"/>
      <c r="EZ103" s="713"/>
      <c r="FA103" s="713"/>
      <c r="FB103" s="713"/>
      <c r="FC103" s="713"/>
      <c r="FD103" s="713"/>
      <c r="FE103" s="713"/>
      <c r="FF103" s="713"/>
      <c r="FG103" s="713"/>
      <c r="FH103" s="713"/>
      <c r="FI103" s="713"/>
      <c r="FJ103" s="713"/>
      <c r="FK103" s="713"/>
      <c r="FL103" s="713"/>
      <c r="FM103" s="713"/>
      <c r="FN103" s="713"/>
      <c r="FO103" s="713"/>
      <c r="FP103" s="713"/>
      <c r="FQ103" s="713"/>
      <c r="FR103" s="713"/>
      <c r="FS103" s="713"/>
      <c r="FT103" s="713"/>
      <c r="FU103" s="713"/>
      <c r="FV103" s="713"/>
      <c r="FW103" s="713"/>
      <c r="FX103" s="713"/>
      <c r="FY103" s="713"/>
      <c r="FZ103" s="713"/>
      <c r="GA103" s="713"/>
      <c r="GB103" s="713"/>
      <c r="GC103" s="713"/>
      <c r="GD103" s="713"/>
      <c r="GE103" s="713"/>
      <c r="GF103" s="713"/>
      <c r="GG103" s="713"/>
      <c r="GH103" s="713"/>
      <c r="GI103" s="713"/>
      <c r="GJ103" s="713"/>
      <c r="GK103" s="713"/>
      <c r="GL103" s="713"/>
      <c r="GM103" s="713"/>
      <c r="GN103" s="713"/>
      <c r="GO103" s="713"/>
      <c r="GP103" s="713"/>
      <c r="GQ103" s="713"/>
      <c r="GR103" s="713"/>
      <c r="GS103" s="713"/>
      <c r="GT103" s="713"/>
      <c r="GU103" s="713"/>
      <c r="GV103" s="713"/>
      <c r="GW103" s="713"/>
      <c r="GX103" s="713"/>
      <c r="GY103" s="713"/>
      <c r="GZ103" s="713"/>
      <c r="HA103" s="713"/>
      <c r="HB103" s="713"/>
      <c r="HC103" s="713"/>
      <c r="HD103" s="713"/>
      <c r="HE103" s="713"/>
      <c r="HF103" s="713"/>
      <c r="HG103" s="713"/>
      <c r="HH103" s="713"/>
      <c r="HI103" s="713"/>
      <c r="HJ103" s="713"/>
      <c r="HK103" s="713"/>
      <c r="HL103" s="713"/>
      <c r="HM103" s="713"/>
      <c r="HN103" s="713"/>
      <c r="HO103" s="713"/>
      <c r="HP103" s="713"/>
      <c r="HQ103" s="713"/>
      <c r="HR103" s="713"/>
      <c r="HS103" s="713"/>
      <c r="HT103" s="713"/>
      <c r="HU103" s="713"/>
      <c r="HV103" s="713"/>
      <c r="HW103" s="713"/>
      <c r="HX103" s="713"/>
      <c r="HY103" s="713"/>
      <c r="HZ103" s="713"/>
      <c r="IA103" s="713"/>
      <c r="IB103" s="713"/>
      <c r="IC103" s="713"/>
      <c r="ID103" s="713"/>
      <c r="IE103" s="713"/>
      <c r="IF103" s="713"/>
      <c r="IG103" s="713"/>
      <c r="IH103" s="713"/>
    </row>
    <row r="104" hidden="1" outlineLevel="1">
      <c r="A104" s="598"/>
      <c r="B104" s="598"/>
      <c r="C104" s="598"/>
      <c r="D104" s="598"/>
      <c r="E104" s="598"/>
      <c r="F104" s="598"/>
      <c r="G104" s="598"/>
      <c r="H104" s="598"/>
      <c r="I104" s="598"/>
      <c r="J104" s="598"/>
      <c r="K104" s="598"/>
      <c r="L104" s="598"/>
      <c r="M104" s="598"/>
      <c r="N104" s="598"/>
      <c r="O104" s="598"/>
      <c r="P104" s="598"/>
      <c r="Q104" s="598"/>
      <c r="R104" s="598"/>
      <c r="S104" s="598"/>
      <c r="T104" s="598"/>
      <c r="U104" s="598"/>
      <c r="V104" s="598"/>
      <c r="W104" s="598"/>
      <c r="X104" s="598"/>
      <c r="Y104" s="598"/>
      <c r="Z104" s="598"/>
      <c r="AA104" s="911"/>
      <c r="AB104" s="966"/>
      <c r="AC104" s="713" t="str">
        <f>IFERROR(__xludf.DUMMYFUNCTION("""COMPUTED_VALUE"""),"Health Regen Mastery")</f>
        <v>Health Regen Mastery</v>
      </c>
      <c r="AD104" s="825" t="s">
        <v>297</v>
      </c>
      <c r="AE104" s="713">
        <v>0.0</v>
      </c>
      <c r="AF104" s="713"/>
      <c r="AG104" s="713">
        <v>9.0</v>
      </c>
      <c r="AH104" s="1001">
        <f>IFERROR(__xludf.DUMMYFUNCTION("IFERROR(IF(S5 = """", SEQUENCE(1, VALUE(VLOOKUP(U5, AD:AG, 4, false)) - VALUE(VLOOKUP(U5, AD:AG, 2, false)), VALUE(VLOOKUP(U5, AD:AG, 2, false)) + 1),
    IF(ISBETWEEN(S5, VALUE(VLOOKUP(U5, AD:AG, 2, false)), VALUE(VLOOKUP(U5, AD:AG, 4, false))),
        "&amp;"SEQUENCE(1, VALUE(VLOOKUP(U5, AD:AG, 4, false)) - S5, S5 + 1),
        """")))"),13.0)</f>
        <v>13</v>
      </c>
      <c r="AI104" s="713">
        <f>IFERROR(__xludf.DUMMYFUNCTION("""COMPUTED_VALUE"""),14.0)</f>
        <v>14</v>
      </c>
      <c r="AJ104" s="713">
        <f>IFERROR(__xludf.DUMMYFUNCTION("""COMPUTED_VALUE"""),15.0)</f>
        <v>15</v>
      </c>
      <c r="AK104" s="713">
        <f>IFERROR(__xludf.DUMMYFUNCTION("""COMPUTED_VALUE"""),16.0)</f>
        <v>16</v>
      </c>
      <c r="AL104" s="713">
        <f>IFERROR(__xludf.DUMMYFUNCTION("""COMPUTED_VALUE"""),17.0)</f>
        <v>17</v>
      </c>
      <c r="AM104" s="713">
        <f>IFERROR(__xludf.DUMMYFUNCTION("""COMPUTED_VALUE"""),18.0)</f>
        <v>18</v>
      </c>
      <c r="AN104" s="713">
        <f>IFERROR(__xludf.DUMMYFUNCTION("""COMPUTED_VALUE"""),19.0)</f>
        <v>19</v>
      </c>
      <c r="AO104" s="713">
        <f>IFERROR(__xludf.DUMMYFUNCTION("""COMPUTED_VALUE"""),20.0)</f>
        <v>20</v>
      </c>
      <c r="AP104" s="713"/>
      <c r="AQ104" s="713"/>
      <c r="AR104" s="713"/>
      <c r="AS104" s="713"/>
      <c r="AT104" s="713"/>
      <c r="AU104" s="713"/>
      <c r="AV104" s="713"/>
      <c r="AW104" s="713"/>
      <c r="AX104" s="713"/>
      <c r="AY104" s="713"/>
      <c r="AZ104" s="713"/>
      <c r="BA104" s="713"/>
      <c r="BB104" s="713"/>
      <c r="BC104" s="713"/>
      <c r="BD104" s="713"/>
      <c r="BE104" s="713"/>
      <c r="BF104" s="713"/>
      <c r="BG104" s="713"/>
      <c r="BH104" s="713"/>
      <c r="BI104" s="713"/>
      <c r="BJ104" s="713"/>
      <c r="BK104" s="713"/>
      <c r="BL104" s="713"/>
      <c r="BM104" s="713"/>
      <c r="BN104" s="713"/>
      <c r="BO104" s="713"/>
      <c r="BP104" s="713"/>
      <c r="BQ104" s="713"/>
      <c r="BR104" s="713"/>
      <c r="BS104" s="713"/>
      <c r="BT104" s="713"/>
      <c r="BU104" s="713"/>
      <c r="BV104" s="713"/>
      <c r="BW104" s="713"/>
      <c r="BX104" s="713"/>
      <c r="BY104" s="713"/>
      <c r="BZ104" s="713"/>
      <c r="CA104" s="713"/>
      <c r="CB104" s="713"/>
      <c r="CC104" s="713"/>
      <c r="CD104" s="713"/>
      <c r="CE104" s="713"/>
      <c r="CF104" s="713"/>
      <c r="CG104" s="713"/>
      <c r="CH104" s="713"/>
      <c r="CI104" s="713"/>
      <c r="CJ104" s="713"/>
      <c r="CK104" s="713"/>
      <c r="CL104" s="713"/>
      <c r="CM104" s="713"/>
      <c r="CN104" s="713"/>
      <c r="CO104" s="713"/>
      <c r="CP104" s="713"/>
      <c r="CQ104" s="713"/>
      <c r="CR104" s="713"/>
      <c r="CS104" s="713"/>
      <c r="CT104" s="713"/>
      <c r="CU104" s="713"/>
      <c r="CV104" s="713"/>
      <c r="CW104" s="713"/>
      <c r="CX104" s="713"/>
      <c r="CY104" s="713"/>
      <c r="CZ104" s="713"/>
      <c r="DA104" s="713"/>
      <c r="DB104" s="713"/>
      <c r="DC104" s="713"/>
      <c r="DD104" s="713"/>
      <c r="DE104" s="713"/>
      <c r="DF104" s="713"/>
      <c r="DG104" s="713"/>
      <c r="DH104" s="713"/>
      <c r="DI104" s="713"/>
      <c r="DJ104" s="713"/>
      <c r="DK104" s="713"/>
      <c r="DL104" s="713"/>
      <c r="DM104" s="713"/>
      <c r="DN104" s="713"/>
      <c r="DO104" s="713"/>
      <c r="DP104" s="713"/>
      <c r="DQ104" s="713"/>
      <c r="DR104" s="713"/>
      <c r="DS104" s="713"/>
      <c r="DT104" s="713"/>
      <c r="DU104" s="713"/>
      <c r="DV104" s="713"/>
      <c r="DW104" s="713"/>
      <c r="DX104" s="713"/>
      <c r="DY104" s="713"/>
      <c r="DZ104" s="713"/>
      <c r="EA104" s="713"/>
      <c r="EB104" s="713"/>
      <c r="EC104" s="713"/>
      <c r="ED104" s="713"/>
      <c r="EE104" s="713"/>
      <c r="EF104" s="713"/>
      <c r="EG104" s="713"/>
      <c r="EH104" s="713"/>
      <c r="EI104" s="713"/>
      <c r="EJ104" s="713"/>
      <c r="EK104" s="713"/>
      <c r="EL104" s="713"/>
      <c r="EM104" s="713"/>
      <c r="EN104" s="713"/>
      <c r="EO104" s="713"/>
      <c r="EP104" s="713"/>
      <c r="EQ104" s="713"/>
      <c r="ER104" s="713"/>
      <c r="ES104" s="713"/>
      <c r="ET104" s="713"/>
      <c r="EU104" s="713"/>
      <c r="EV104" s="713"/>
      <c r="EW104" s="713"/>
      <c r="EX104" s="713"/>
      <c r="EY104" s="713"/>
      <c r="EZ104" s="713"/>
      <c r="FA104" s="713"/>
      <c r="FB104" s="713"/>
      <c r="FC104" s="713"/>
      <c r="FD104" s="713"/>
      <c r="FE104" s="713"/>
      <c r="FF104" s="713"/>
      <c r="FG104" s="713"/>
      <c r="FH104" s="713"/>
      <c r="FI104" s="713"/>
      <c r="FJ104" s="713"/>
      <c r="FK104" s="713"/>
      <c r="FL104" s="713"/>
      <c r="FM104" s="713"/>
      <c r="FN104" s="713"/>
      <c r="FO104" s="713"/>
      <c r="FP104" s="713"/>
      <c r="FQ104" s="713"/>
      <c r="FR104" s="713"/>
      <c r="FS104" s="713"/>
      <c r="FT104" s="713"/>
      <c r="FU104" s="713"/>
      <c r="FV104" s="713"/>
      <c r="FW104" s="713"/>
      <c r="FX104" s="713"/>
      <c r="FY104" s="713"/>
      <c r="FZ104" s="713"/>
      <c r="GA104" s="713"/>
      <c r="GB104" s="713"/>
      <c r="GC104" s="713"/>
      <c r="GD104" s="713"/>
      <c r="GE104" s="713"/>
      <c r="GF104" s="713"/>
      <c r="GG104" s="713"/>
      <c r="GH104" s="713"/>
      <c r="GI104" s="713"/>
      <c r="GJ104" s="713"/>
      <c r="GK104" s="713"/>
      <c r="GL104" s="713"/>
      <c r="GM104" s="713"/>
      <c r="GN104" s="713"/>
      <c r="GO104" s="713"/>
      <c r="GP104" s="713"/>
      <c r="GQ104" s="713"/>
      <c r="GR104" s="713"/>
      <c r="GS104" s="713"/>
      <c r="GT104" s="713"/>
      <c r="GU104" s="713"/>
      <c r="GV104" s="713"/>
      <c r="GW104" s="713"/>
      <c r="GX104" s="713"/>
      <c r="GY104" s="713"/>
      <c r="GZ104" s="713"/>
      <c r="HA104" s="713"/>
      <c r="HB104" s="713"/>
      <c r="HC104" s="713"/>
      <c r="HD104" s="713"/>
      <c r="HE104" s="713"/>
      <c r="HF104" s="713"/>
      <c r="HG104" s="713"/>
      <c r="HH104" s="713"/>
      <c r="HI104" s="713"/>
      <c r="HJ104" s="713"/>
      <c r="HK104" s="713"/>
      <c r="HL104" s="713"/>
      <c r="HM104" s="713"/>
      <c r="HN104" s="713"/>
      <c r="HO104" s="713"/>
      <c r="HP104" s="713"/>
      <c r="HQ104" s="713"/>
      <c r="HR104" s="713"/>
      <c r="HS104" s="713"/>
      <c r="HT104" s="713"/>
      <c r="HU104" s="713"/>
      <c r="HV104" s="713"/>
      <c r="HW104" s="713"/>
      <c r="HX104" s="713"/>
      <c r="HY104" s="713"/>
      <c r="HZ104" s="713"/>
      <c r="IA104" s="713"/>
      <c r="IB104" s="713"/>
      <c r="IC104" s="713"/>
      <c r="ID104" s="713"/>
      <c r="IE104" s="713"/>
      <c r="IF104" s="713"/>
      <c r="IG104" s="713"/>
      <c r="IH104" s="713"/>
    </row>
    <row r="105" hidden="1" outlineLevel="1">
      <c r="A105" s="598"/>
      <c r="B105" s="598"/>
      <c r="C105" s="598"/>
      <c r="D105" s="598"/>
      <c r="E105" s="598"/>
      <c r="F105" s="598"/>
      <c r="G105" s="598"/>
      <c r="H105" s="598"/>
      <c r="I105" s="598"/>
      <c r="J105" s="598"/>
      <c r="K105" s="598"/>
      <c r="L105" s="598"/>
      <c r="M105" s="598"/>
      <c r="N105" s="598"/>
      <c r="O105" s="598"/>
      <c r="P105" s="598"/>
      <c r="Q105" s="598"/>
      <c r="R105" s="598"/>
      <c r="S105" s="598"/>
      <c r="T105" s="598"/>
      <c r="U105" s="598"/>
      <c r="V105" s="598"/>
      <c r="W105" s="598"/>
      <c r="X105" s="598"/>
      <c r="Y105" s="598"/>
      <c r="Z105" s="598"/>
      <c r="AA105" s="911"/>
      <c r="AB105" s="966"/>
      <c r="AC105" s="713" t="str">
        <f>IFERROR(__xludf.DUMMYFUNCTION("""COMPUTED_VALUE"""),"Improve Trade-off Perks")</f>
        <v>Improve Trade-off Perks</v>
      </c>
      <c r="AD105" s="816" t="s">
        <v>255</v>
      </c>
      <c r="AE105" s="713">
        <v>10.0</v>
      </c>
      <c r="AF105" s="713"/>
      <c r="AG105" s="713">
        <v>10.0</v>
      </c>
      <c r="AH105" s="1001" t="str">
        <f>IFERROR(__xludf.DUMMYFUNCTION("IFERROR(IF(S6 = """", SEQUENCE(1, VALUE(VLOOKUP(U6, AD:AG, 4, false)) - VALUE(VLOOKUP(U6, AD:AG, 2, false)), VALUE(VLOOKUP(U6, AD:AG, 2, false)) + 1),
    IF(ISBETWEEN(S6, VALUE(VLOOKUP(U6, AD:AG, 2, false)), VALUE(VLOOKUP(U6, AD:AG, 4, false))),
        "&amp;"SEQUENCE(1, VALUE(VLOOKUP(U6, AD:AG, 4, false)) - S6, S6 + 1),
        """")))"),"")</f>
        <v/>
      </c>
      <c r="AI105" s="713"/>
      <c r="AJ105" s="713"/>
      <c r="AK105" s="713"/>
      <c r="AL105" s="713"/>
      <c r="AM105" s="713"/>
      <c r="AN105" s="713"/>
      <c r="AO105" s="713"/>
      <c r="AP105" s="713"/>
      <c r="AQ105" s="713"/>
      <c r="AR105" s="713"/>
      <c r="AS105" s="713"/>
      <c r="AT105" s="713"/>
      <c r="AU105" s="713"/>
      <c r="AV105" s="713"/>
      <c r="AW105" s="713"/>
      <c r="AX105" s="713"/>
      <c r="AY105" s="713"/>
      <c r="AZ105" s="713"/>
      <c r="BA105" s="713"/>
      <c r="BB105" s="713"/>
      <c r="BC105" s="713"/>
      <c r="BD105" s="713"/>
      <c r="BE105" s="713"/>
      <c r="BF105" s="713"/>
      <c r="BG105" s="713"/>
      <c r="BH105" s="713"/>
      <c r="BI105" s="713"/>
      <c r="BJ105" s="713"/>
      <c r="BK105" s="713"/>
      <c r="BL105" s="713"/>
      <c r="BM105" s="713"/>
      <c r="BN105" s="713"/>
      <c r="BO105" s="713"/>
      <c r="BP105" s="713"/>
      <c r="BQ105" s="713"/>
      <c r="BR105" s="713"/>
      <c r="BS105" s="713"/>
      <c r="BT105" s="713"/>
      <c r="BU105" s="713"/>
      <c r="BV105" s="713"/>
      <c r="BW105" s="713"/>
      <c r="BX105" s="713"/>
      <c r="BY105" s="713"/>
      <c r="BZ105" s="713"/>
      <c r="CA105" s="713"/>
      <c r="CB105" s="713"/>
      <c r="CC105" s="713"/>
      <c r="CD105" s="713"/>
      <c r="CE105" s="713"/>
      <c r="CF105" s="713"/>
      <c r="CG105" s="713"/>
      <c r="CH105" s="713"/>
      <c r="CI105" s="713"/>
      <c r="CJ105" s="713"/>
      <c r="CK105" s="713"/>
      <c r="CL105" s="713"/>
      <c r="CM105" s="713"/>
      <c r="CN105" s="713"/>
      <c r="CO105" s="713"/>
      <c r="CP105" s="713"/>
      <c r="CQ105" s="713"/>
      <c r="CR105" s="713"/>
      <c r="CS105" s="713"/>
      <c r="CT105" s="713"/>
      <c r="CU105" s="713"/>
      <c r="CV105" s="713"/>
      <c r="CW105" s="713"/>
      <c r="CX105" s="713"/>
      <c r="CY105" s="713"/>
      <c r="CZ105" s="713"/>
      <c r="DA105" s="713"/>
      <c r="DB105" s="713"/>
      <c r="DC105" s="713"/>
      <c r="DD105" s="713"/>
      <c r="DE105" s="713"/>
      <c r="DF105" s="713"/>
      <c r="DG105" s="713"/>
      <c r="DH105" s="713"/>
      <c r="DI105" s="713"/>
      <c r="DJ105" s="713"/>
      <c r="DK105" s="713"/>
      <c r="DL105" s="713"/>
      <c r="DM105" s="713"/>
      <c r="DN105" s="713"/>
      <c r="DO105" s="713"/>
      <c r="DP105" s="713"/>
      <c r="DQ105" s="713"/>
      <c r="DR105" s="713"/>
      <c r="DS105" s="713"/>
      <c r="DT105" s="713"/>
      <c r="DU105" s="713"/>
      <c r="DV105" s="713"/>
      <c r="DW105" s="713"/>
      <c r="DX105" s="713"/>
      <c r="DY105" s="713"/>
      <c r="DZ105" s="713"/>
      <c r="EA105" s="713"/>
      <c r="EB105" s="713"/>
      <c r="EC105" s="713"/>
      <c r="ED105" s="713"/>
      <c r="EE105" s="713"/>
      <c r="EF105" s="713"/>
      <c r="EG105" s="713"/>
      <c r="EH105" s="713"/>
      <c r="EI105" s="713"/>
      <c r="EJ105" s="713"/>
      <c r="EK105" s="713"/>
      <c r="EL105" s="713"/>
      <c r="EM105" s="713"/>
      <c r="EN105" s="713"/>
      <c r="EO105" s="713"/>
      <c r="EP105" s="713"/>
      <c r="EQ105" s="713"/>
      <c r="ER105" s="713"/>
      <c r="ES105" s="713"/>
      <c r="ET105" s="713"/>
      <c r="EU105" s="713"/>
      <c r="EV105" s="713"/>
      <c r="EW105" s="713"/>
      <c r="EX105" s="713"/>
      <c r="EY105" s="713"/>
      <c r="EZ105" s="713"/>
      <c r="FA105" s="713"/>
      <c r="FB105" s="713"/>
      <c r="FC105" s="713"/>
      <c r="FD105" s="713"/>
      <c r="FE105" s="713"/>
      <c r="FF105" s="713"/>
      <c r="FG105" s="713"/>
      <c r="FH105" s="713"/>
      <c r="FI105" s="713"/>
      <c r="FJ105" s="713"/>
      <c r="FK105" s="713"/>
      <c r="FL105" s="713"/>
      <c r="FM105" s="713"/>
      <c r="FN105" s="713"/>
      <c r="FO105" s="713"/>
      <c r="FP105" s="713"/>
      <c r="FQ105" s="713"/>
      <c r="FR105" s="713"/>
      <c r="FS105" s="713"/>
      <c r="FT105" s="713"/>
      <c r="FU105" s="713"/>
      <c r="FV105" s="713"/>
      <c r="FW105" s="713"/>
      <c r="FX105" s="713"/>
      <c r="FY105" s="713"/>
      <c r="FZ105" s="713"/>
      <c r="GA105" s="713"/>
      <c r="GB105" s="713"/>
      <c r="GC105" s="713"/>
      <c r="GD105" s="713"/>
      <c r="GE105" s="713"/>
      <c r="GF105" s="713"/>
      <c r="GG105" s="713"/>
      <c r="GH105" s="713"/>
      <c r="GI105" s="713"/>
      <c r="GJ105" s="713"/>
      <c r="GK105" s="713"/>
      <c r="GL105" s="713"/>
      <c r="GM105" s="713"/>
      <c r="GN105" s="713"/>
      <c r="GO105" s="713"/>
      <c r="GP105" s="713"/>
      <c r="GQ105" s="713"/>
      <c r="GR105" s="713"/>
      <c r="GS105" s="713"/>
      <c r="GT105" s="713"/>
      <c r="GU105" s="713"/>
      <c r="GV105" s="713"/>
      <c r="GW105" s="713"/>
      <c r="GX105" s="713"/>
      <c r="GY105" s="713"/>
      <c r="GZ105" s="713"/>
      <c r="HA105" s="713"/>
      <c r="HB105" s="713"/>
      <c r="HC105" s="713"/>
      <c r="HD105" s="713"/>
      <c r="HE105" s="713"/>
      <c r="HF105" s="713"/>
      <c r="HG105" s="713"/>
      <c r="HH105" s="713"/>
      <c r="HI105" s="713"/>
      <c r="HJ105" s="713"/>
      <c r="HK105" s="713"/>
      <c r="HL105" s="713"/>
      <c r="HM105" s="713"/>
      <c r="HN105" s="713"/>
      <c r="HO105" s="713"/>
      <c r="HP105" s="713"/>
      <c r="HQ105" s="713"/>
      <c r="HR105" s="713"/>
      <c r="HS105" s="713"/>
      <c r="HT105" s="713"/>
      <c r="HU105" s="713"/>
      <c r="HV105" s="713"/>
      <c r="HW105" s="713"/>
      <c r="HX105" s="713"/>
      <c r="HY105" s="713"/>
      <c r="HZ105" s="713"/>
      <c r="IA105" s="713"/>
      <c r="IB105" s="713"/>
      <c r="IC105" s="713"/>
      <c r="ID105" s="713"/>
      <c r="IE105" s="713"/>
      <c r="IF105" s="713"/>
      <c r="IG105" s="713"/>
      <c r="IH105" s="713"/>
    </row>
    <row r="106" hidden="1" outlineLevel="1">
      <c r="A106" s="598"/>
      <c r="B106" s="598"/>
      <c r="C106" s="598"/>
      <c r="D106" s="598"/>
      <c r="E106" s="598"/>
      <c r="F106" s="598"/>
      <c r="G106" s="598"/>
      <c r="H106" s="598"/>
      <c r="I106" s="598"/>
      <c r="J106" s="598"/>
      <c r="K106" s="598"/>
      <c r="L106" s="598"/>
      <c r="M106" s="598"/>
      <c r="N106" s="598"/>
      <c r="O106" s="598"/>
      <c r="P106" s="598"/>
      <c r="Q106" s="598"/>
      <c r="R106" s="598"/>
      <c r="S106" s="598"/>
      <c r="T106" s="598"/>
      <c r="U106" s="598"/>
      <c r="V106" s="598"/>
      <c r="W106" s="598"/>
      <c r="X106" s="598"/>
      <c r="Y106" s="598"/>
      <c r="Z106" s="598"/>
      <c r="AA106" s="911"/>
      <c r="AB106" s="966"/>
      <c r="AC106" s="713" t="str">
        <f>IFERROR(__xludf.DUMMYFUNCTION("""COMPUTED_VALUE"""),"Inner Land Mine - Chrono Jump")</f>
        <v>Inner Land Mine - Chrono Jump</v>
      </c>
      <c r="AD106" s="825" t="s">
        <v>380</v>
      </c>
      <c r="AE106" s="713">
        <v>0.0</v>
      </c>
      <c r="AF106" s="713"/>
      <c r="AG106" s="713">
        <v>10.0</v>
      </c>
      <c r="AH106" s="1001" t="str">
        <f>IFERROR(__xludf.DUMMYFUNCTION("IFERROR(IF(S7 = """", SEQUENCE(1, VALUE(VLOOKUP(U7, AD:AG, 4, false)) - VALUE(VLOOKUP(U7, AD:AG, 2, false)), VALUE(VLOOKUP(U7, AD:AG, 2, false)) + 1),
    IF(ISBETWEEN(S7, VALUE(VLOOKUP(U7, AD:AG, 2, false)), VALUE(VLOOKUP(U7, AD:AG, 4, false))),
        "&amp;"SEQUENCE(1, VALUE(VLOOKUP(U7, AD:AG, 4, false)) - S7, S7 + 1),
        """")))"),"")</f>
        <v/>
      </c>
      <c r="AI106" s="713"/>
      <c r="AJ106" s="713"/>
      <c r="AK106" s="713"/>
      <c r="AL106" s="713"/>
      <c r="AM106" s="713"/>
      <c r="AN106" s="713"/>
      <c r="AO106" s="713"/>
      <c r="AP106" s="713"/>
      <c r="AQ106" s="713"/>
      <c r="AR106" s="713"/>
      <c r="AS106" s="713"/>
      <c r="AT106" s="713"/>
      <c r="AU106" s="713"/>
      <c r="AV106" s="713"/>
      <c r="AW106" s="713"/>
      <c r="AX106" s="713"/>
      <c r="AY106" s="713"/>
      <c r="AZ106" s="713"/>
      <c r="BA106" s="713"/>
      <c r="BB106" s="713"/>
      <c r="BC106" s="713"/>
      <c r="BD106" s="713"/>
      <c r="BE106" s="713"/>
      <c r="BF106" s="713"/>
      <c r="BG106" s="713"/>
      <c r="BH106" s="713"/>
      <c r="BI106" s="713"/>
      <c r="BJ106" s="713"/>
      <c r="BK106" s="713"/>
      <c r="BL106" s="713"/>
      <c r="BM106" s="713"/>
      <c r="BN106" s="713"/>
      <c r="BO106" s="713"/>
      <c r="BP106" s="713"/>
      <c r="BQ106" s="713"/>
      <c r="BR106" s="713"/>
      <c r="BS106" s="713"/>
      <c r="BT106" s="713"/>
      <c r="BU106" s="713"/>
      <c r="BV106" s="713"/>
      <c r="BW106" s="713"/>
      <c r="BX106" s="713"/>
      <c r="BY106" s="713"/>
      <c r="BZ106" s="713"/>
      <c r="CA106" s="713"/>
      <c r="CB106" s="713"/>
      <c r="CC106" s="713"/>
      <c r="CD106" s="713"/>
      <c r="CE106" s="713"/>
      <c r="CF106" s="713"/>
      <c r="CG106" s="713"/>
      <c r="CH106" s="713"/>
      <c r="CI106" s="713"/>
      <c r="CJ106" s="713"/>
      <c r="CK106" s="713"/>
      <c r="CL106" s="713"/>
      <c r="CM106" s="713"/>
      <c r="CN106" s="713"/>
      <c r="CO106" s="713"/>
      <c r="CP106" s="713"/>
      <c r="CQ106" s="713"/>
      <c r="CR106" s="713"/>
      <c r="CS106" s="713"/>
      <c r="CT106" s="713"/>
      <c r="CU106" s="713"/>
      <c r="CV106" s="713"/>
      <c r="CW106" s="713"/>
      <c r="CX106" s="713"/>
      <c r="CY106" s="713"/>
      <c r="CZ106" s="713"/>
      <c r="DA106" s="713"/>
      <c r="DB106" s="713"/>
      <c r="DC106" s="713"/>
      <c r="DD106" s="713"/>
      <c r="DE106" s="713"/>
      <c r="DF106" s="713"/>
      <c r="DG106" s="713"/>
      <c r="DH106" s="713"/>
      <c r="DI106" s="713"/>
      <c r="DJ106" s="713"/>
      <c r="DK106" s="713"/>
      <c r="DL106" s="713"/>
      <c r="DM106" s="713"/>
      <c r="DN106" s="713"/>
      <c r="DO106" s="713"/>
      <c r="DP106" s="713"/>
      <c r="DQ106" s="713"/>
      <c r="DR106" s="713"/>
      <c r="DS106" s="713"/>
      <c r="DT106" s="713"/>
      <c r="DU106" s="713"/>
      <c r="DV106" s="713"/>
      <c r="DW106" s="713"/>
      <c r="DX106" s="713"/>
      <c r="DY106" s="713"/>
      <c r="DZ106" s="713"/>
      <c r="EA106" s="713"/>
      <c r="EB106" s="713"/>
      <c r="EC106" s="713"/>
      <c r="ED106" s="713"/>
      <c r="EE106" s="713"/>
      <c r="EF106" s="713"/>
      <c r="EG106" s="713"/>
      <c r="EH106" s="713"/>
      <c r="EI106" s="713"/>
      <c r="EJ106" s="713"/>
      <c r="EK106" s="713"/>
      <c r="EL106" s="713"/>
      <c r="EM106" s="713"/>
      <c r="EN106" s="713"/>
      <c r="EO106" s="713"/>
      <c r="EP106" s="713"/>
      <c r="EQ106" s="713"/>
      <c r="ER106" s="713"/>
      <c r="ES106" s="713"/>
      <c r="ET106" s="713"/>
      <c r="EU106" s="713"/>
      <c r="EV106" s="713"/>
      <c r="EW106" s="713"/>
      <c r="EX106" s="713"/>
      <c r="EY106" s="713"/>
      <c r="EZ106" s="713"/>
      <c r="FA106" s="713"/>
      <c r="FB106" s="713"/>
      <c r="FC106" s="713"/>
      <c r="FD106" s="713"/>
      <c r="FE106" s="713"/>
      <c r="FF106" s="713"/>
      <c r="FG106" s="713"/>
      <c r="FH106" s="713"/>
      <c r="FI106" s="713"/>
      <c r="FJ106" s="713"/>
      <c r="FK106" s="713"/>
      <c r="FL106" s="713"/>
      <c r="FM106" s="713"/>
      <c r="FN106" s="713"/>
      <c r="FO106" s="713"/>
      <c r="FP106" s="713"/>
      <c r="FQ106" s="713"/>
      <c r="FR106" s="713"/>
      <c r="FS106" s="713"/>
      <c r="FT106" s="713"/>
      <c r="FU106" s="713"/>
      <c r="FV106" s="713"/>
      <c r="FW106" s="713"/>
      <c r="FX106" s="713"/>
      <c r="FY106" s="713"/>
      <c r="FZ106" s="713"/>
      <c r="GA106" s="713"/>
      <c r="GB106" s="713"/>
      <c r="GC106" s="713"/>
      <c r="GD106" s="713"/>
      <c r="GE106" s="713"/>
      <c r="GF106" s="713"/>
      <c r="GG106" s="713"/>
      <c r="GH106" s="713"/>
      <c r="GI106" s="713"/>
      <c r="GJ106" s="713"/>
      <c r="GK106" s="713"/>
      <c r="GL106" s="713"/>
      <c r="GM106" s="713"/>
      <c r="GN106" s="713"/>
      <c r="GO106" s="713"/>
      <c r="GP106" s="713"/>
      <c r="GQ106" s="713"/>
      <c r="GR106" s="713"/>
      <c r="GS106" s="713"/>
      <c r="GT106" s="713"/>
      <c r="GU106" s="713"/>
      <c r="GV106" s="713"/>
      <c r="GW106" s="713"/>
      <c r="GX106" s="713"/>
      <c r="GY106" s="713"/>
      <c r="GZ106" s="713"/>
      <c r="HA106" s="713"/>
      <c r="HB106" s="713"/>
      <c r="HC106" s="713"/>
      <c r="HD106" s="713"/>
      <c r="HE106" s="713"/>
      <c r="HF106" s="713"/>
      <c r="HG106" s="713"/>
      <c r="HH106" s="713"/>
      <c r="HI106" s="713"/>
      <c r="HJ106" s="713"/>
      <c r="HK106" s="713"/>
      <c r="HL106" s="713"/>
      <c r="HM106" s="713"/>
      <c r="HN106" s="713"/>
      <c r="HO106" s="713"/>
      <c r="HP106" s="713"/>
      <c r="HQ106" s="713"/>
      <c r="HR106" s="713"/>
      <c r="HS106" s="713"/>
      <c r="HT106" s="713"/>
      <c r="HU106" s="713"/>
      <c r="HV106" s="713"/>
      <c r="HW106" s="713"/>
      <c r="HX106" s="713"/>
      <c r="HY106" s="713"/>
      <c r="HZ106" s="713"/>
      <c r="IA106" s="713"/>
      <c r="IB106" s="713"/>
      <c r="IC106" s="713"/>
      <c r="ID106" s="713"/>
      <c r="IE106" s="713"/>
      <c r="IF106" s="713"/>
      <c r="IG106" s="713"/>
      <c r="IH106" s="713"/>
    </row>
    <row r="107" hidden="1" outlineLevel="1">
      <c r="A107" s="598"/>
      <c r="B107" s="598"/>
      <c r="C107" s="598"/>
      <c r="D107" s="598"/>
      <c r="E107" s="598"/>
      <c r="F107" s="598"/>
      <c r="G107" s="598"/>
      <c r="H107" s="598"/>
      <c r="I107" s="598"/>
      <c r="J107" s="598"/>
      <c r="K107" s="598"/>
      <c r="L107" s="598"/>
      <c r="M107" s="598"/>
      <c r="N107" s="598"/>
      <c r="O107" s="598"/>
      <c r="P107" s="598"/>
      <c r="Q107" s="598"/>
      <c r="R107" s="598"/>
      <c r="S107" s="598"/>
      <c r="T107" s="598"/>
      <c r="U107" s="598"/>
      <c r="V107" s="598"/>
      <c r="W107" s="598"/>
      <c r="X107" s="598"/>
      <c r="Y107" s="598"/>
      <c r="Z107" s="598"/>
      <c r="AA107" s="911"/>
      <c r="AB107" s="966"/>
      <c r="AC107" s="713" t="str">
        <f>IFERROR(__xludf.DUMMYFUNCTION("""COMPUTED_VALUE"""),"Inner Mine Blast Radius")</f>
        <v>Inner Mine Blast Radius</v>
      </c>
      <c r="AD107" s="816" t="s">
        <v>328</v>
      </c>
      <c r="AE107" s="713">
        <v>0.0</v>
      </c>
      <c r="AF107" s="713"/>
      <c r="AG107" s="713">
        <v>20.0</v>
      </c>
      <c r="AH107" s="1001" t="str">
        <f>IFERROR(__xludf.DUMMYFUNCTION("IFERROR(IF(S8 = """", SEQUENCE(1, VALUE(VLOOKUP(U8, AD:AG, 4, false)) - VALUE(VLOOKUP(U8, AD:AG, 2, false)), VALUE(VLOOKUP(U8, AD:AG, 2, false)) + 1),
    IF(ISBETWEEN(S8, VALUE(VLOOKUP(U8, AD:AG, 2, false)), VALUE(VLOOKUP(U8, AD:AG, 4, false))),
        "&amp;"SEQUENCE(1, VALUE(VLOOKUP(U8, AD:AG, 4, false)) - S8, S8 + 1),
        """")))"),"")</f>
        <v/>
      </c>
      <c r="AI107" s="713"/>
      <c r="AJ107" s="713"/>
      <c r="AK107" s="713"/>
      <c r="AL107" s="713"/>
      <c r="AM107" s="713"/>
      <c r="AN107" s="713"/>
      <c r="AO107" s="713"/>
      <c r="AP107" s="713"/>
      <c r="AQ107" s="713"/>
      <c r="AR107" s="713"/>
      <c r="AS107" s="713"/>
      <c r="AT107" s="713"/>
      <c r="AU107" s="713"/>
      <c r="AV107" s="713"/>
      <c r="AW107" s="713"/>
      <c r="AX107" s="713"/>
      <c r="AY107" s="713"/>
      <c r="AZ107" s="713"/>
      <c r="BA107" s="713"/>
      <c r="BB107" s="713"/>
      <c r="BC107" s="713"/>
      <c r="BD107" s="713"/>
      <c r="BE107" s="713"/>
      <c r="BF107" s="713"/>
      <c r="BG107" s="713"/>
      <c r="BH107" s="713"/>
      <c r="BI107" s="713"/>
      <c r="BJ107" s="713"/>
      <c r="BK107" s="713"/>
      <c r="BL107" s="713"/>
      <c r="BM107" s="713"/>
      <c r="BN107" s="713"/>
      <c r="BO107" s="713"/>
      <c r="BP107" s="713"/>
      <c r="BQ107" s="713"/>
      <c r="BR107" s="713"/>
      <c r="BS107" s="713"/>
      <c r="BT107" s="713"/>
      <c r="BU107" s="713"/>
      <c r="BV107" s="713"/>
      <c r="BW107" s="713"/>
      <c r="BX107" s="713"/>
      <c r="BY107" s="713"/>
      <c r="BZ107" s="713"/>
      <c r="CA107" s="713"/>
      <c r="CB107" s="713"/>
      <c r="CC107" s="713"/>
      <c r="CD107" s="713"/>
      <c r="CE107" s="713"/>
      <c r="CF107" s="713"/>
      <c r="CG107" s="713"/>
      <c r="CH107" s="713"/>
      <c r="CI107" s="713"/>
      <c r="CJ107" s="713"/>
      <c r="CK107" s="713"/>
      <c r="CL107" s="713"/>
      <c r="CM107" s="713"/>
      <c r="CN107" s="713"/>
      <c r="CO107" s="713"/>
      <c r="CP107" s="713"/>
      <c r="CQ107" s="713"/>
      <c r="CR107" s="713"/>
      <c r="CS107" s="713"/>
      <c r="CT107" s="713"/>
      <c r="CU107" s="713"/>
      <c r="CV107" s="713"/>
      <c r="CW107" s="713"/>
      <c r="CX107" s="713"/>
      <c r="CY107" s="713"/>
      <c r="CZ107" s="713"/>
      <c r="DA107" s="713"/>
      <c r="DB107" s="713"/>
      <c r="DC107" s="713"/>
      <c r="DD107" s="713"/>
      <c r="DE107" s="713"/>
      <c r="DF107" s="713"/>
      <c r="DG107" s="713"/>
      <c r="DH107" s="713"/>
      <c r="DI107" s="713"/>
      <c r="DJ107" s="713"/>
      <c r="DK107" s="713"/>
      <c r="DL107" s="713"/>
      <c r="DM107" s="713"/>
      <c r="DN107" s="713"/>
      <c r="DO107" s="713"/>
      <c r="DP107" s="713"/>
      <c r="DQ107" s="713"/>
      <c r="DR107" s="713"/>
      <c r="DS107" s="713"/>
      <c r="DT107" s="713"/>
      <c r="DU107" s="713"/>
      <c r="DV107" s="713"/>
      <c r="DW107" s="713"/>
      <c r="DX107" s="713"/>
      <c r="DY107" s="713"/>
      <c r="DZ107" s="713"/>
      <c r="EA107" s="713"/>
      <c r="EB107" s="713"/>
      <c r="EC107" s="713"/>
      <c r="ED107" s="713"/>
      <c r="EE107" s="713"/>
      <c r="EF107" s="713"/>
      <c r="EG107" s="713"/>
      <c r="EH107" s="713"/>
      <c r="EI107" s="713"/>
      <c r="EJ107" s="713"/>
      <c r="EK107" s="713"/>
      <c r="EL107" s="713"/>
      <c r="EM107" s="713"/>
      <c r="EN107" s="713"/>
      <c r="EO107" s="713"/>
      <c r="EP107" s="713"/>
      <c r="EQ107" s="713"/>
      <c r="ER107" s="713"/>
      <c r="ES107" s="713"/>
      <c r="ET107" s="713"/>
      <c r="EU107" s="713"/>
      <c r="EV107" s="713"/>
      <c r="EW107" s="713"/>
      <c r="EX107" s="713"/>
      <c r="EY107" s="713"/>
      <c r="EZ107" s="713"/>
      <c r="FA107" s="713"/>
      <c r="FB107" s="713"/>
      <c r="FC107" s="713"/>
      <c r="FD107" s="713"/>
      <c r="FE107" s="713"/>
      <c r="FF107" s="713"/>
      <c r="FG107" s="713"/>
      <c r="FH107" s="713"/>
      <c r="FI107" s="713"/>
      <c r="FJ107" s="713"/>
      <c r="FK107" s="713"/>
      <c r="FL107" s="713"/>
      <c r="FM107" s="713"/>
      <c r="FN107" s="713"/>
      <c r="FO107" s="713"/>
      <c r="FP107" s="713"/>
      <c r="FQ107" s="713"/>
      <c r="FR107" s="713"/>
      <c r="FS107" s="713"/>
      <c r="FT107" s="713"/>
      <c r="FU107" s="713"/>
      <c r="FV107" s="713"/>
      <c r="FW107" s="713"/>
      <c r="FX107" s="713"/>
      <c r="FY107" s="713"/>
      <c r="FZ107" s="713"/>
      <c r="GA107" s="713"/>
      <c r="GB107" s="713"/>
      <c r="GC107" s="713"/>
      <c r="GD107" s="713"/>
      <c r="GE107" s="713"/>
      <c r="GF107" s="713"/>
      <c r="GG107" s="713"/>
      <c r="GH107" s="713"/>
      <c r="GI107" s="713"/>
      <c r="GJ107" s="713"/>
      <c r="GK107" s="713"/>
      <c r="GL107" s="713"/>
      <c r="GM107" s="713"/>
      <c r="GN107" s="713"/>
      <c r="GO107" s="713"/>
      <c r="GP107" s="713"/>
      <c r="GQ107" s="713"/>
      <c r="GR107" s="713"/>
      <c r="GS107" s="713"/>
      <c r="GT107" s="713"/>
      <c r="GU107" s="713"/>
      <c r="GV107" s="713"/>
      <c r="GW107" s="713"/>
      <c r="GX107" s="713"/>
      <c r="GY107" s="713"/>
      <c r="GZ107" s="713"/>
      <c r="HA107" s="713"/>
      <c r="HB107" s="713"/>
      <c r="HC107" s="713"/>
      <c r="HD107" s="713"/>
      <c r="HE107" s="713"/>
      <c r="HF107" s="713"/>
      <c r="HG107" s="713"/>
      <c r="HH107" s="713"/>
      <c r="HI107" s="713"/>
      <c r="HJ107" s="713"/>
      <c r="HK107" s="713"/>
      <c r="HL107" s="713"/>
      <c r="HM107" s="713"/>
      <c r="HN107" s="713"/>
      <c r="HO107" s="713"/>
      <c r="HP107" s="713"/>
      <c r="HQ107" s="713"/>
      <c r="HR107" s="713"/>
      <c r="HS107" s="713"/>
      <c r="HT107" s="713"/>
      <c r="HU107" s="713"/>
      <c r="HV107" s="713"/>
      <c r="HW107" s="713"/>
      <c r="HX107" s="713"/>
      <c r="HY107" s="713"/>
      <c r="HZ107" s="713"/>
      <c r="IA107" s="713"/>
      <c r="IB107" s="713"/>
      <c r="IC107" s="713"/>
      <c r="ID107" s="713"/>
      <c r="IE107" s="713"/>
      <c r="IF107" s="713"/>
      <c r="IG107" s="713"/>
      <c r="IH107" s="713"/>
    </row>
    <row r="108" hidden="1" outlineLevel="1">
      <c r="A108" s="598"/>
      <c r="B108" s="598"/>
      <c r="C108" s="598"/>
      <c r="D108" s="598"/>
      <c r="E108" s="598"/>
      <c r="F108" s="598"/>
      <c r="G108" s="598"/>
      <c r="H108" s="598"/>
      <c r="I108" s="598"/>
      <c r="J108" s="598"/>
      <c r="K108" s="598"/>
      <c r="L108" s="598"/>
      <c r="M108" s="598"/>
      <c r="N108" s="598"/>
      <c r="O108" s="598"/>
      <c r="P108" s="598"/>
      <c r="Q108" s="598"/>
      <c r="R108" s="598"/>
      <c r="S108" s="598"/>
      <c r="T108" s="598"/>
      <c r="U108" s="598"/>
      <c r="V108" s="598"/>
      <c r="W108" s="598"/>
      <c r="X108" s="598"/>
      <c r="Y108" s="598"/>
      <c r="Z108" s="598"/>
      <c r="AA108" s="911"/>
      <c r="AB108" s="999"/>
      <c r="AC108" s="720" t="str">
        <f>IFERROR(__xludf.DUMMYFUNCTION("""COMPUTED_VALUE"""),"Inner Mine Rotation Speed")</f>
        <v>Inner Mine Rotation Speed</v>
      </c>
      <c r="AD108" s="913" t="s">
        <v>333</v>
      </c>
      <c r="AE108" s="720">
        <v>0.0</v>
      </c>
      <c r="AF108" s="720"/>
      <c r="AG108" s="720">
        <v>20.0</v>
      </c>
      <c r="AH108" s="1001" t="str">
        <f>IFERROR(__xludf.DUMMYFUNCTION("IFERROR(IF(S9 = """", SEQUENCE(1, VALUE(VLOOKUP(U9, AD:AG, 4, false)) - VALUE(VLOOKUP(U9, AD:AG, 2, false)), VALUE(VLOOKUP(U9, AD:AG, 2, false)) + 1),
    IF(ISBETWEEN(S9, VALUE(VLOOKUP(U9, AD:AG, 2, false)), VALUE(VLOOKUP(U9, AD:AG, 4, false))),
        "&amp;"SEQUENCE(1, VALUE(VLOOKUP(U9, AD:AG, 4, false)) - S9, S9 + 1),
        """")))"),"")</f>
        <v/>
      </c>
      <c r="AI108" s="720"/>
      <c r="AJ108" s="720"/>
      <c r="AK108" s="720"/>
      <c r="AL108" s="720"/>
      <c r="AM108" s="720"/>
      <c r="AN108" s="720"/>
      <c r="AO108" s="720"/>
      <c r="AP108" s="720"/>
      <c r="AQ108" s="720"/>
      <c r="AR108" s="720"/>
      <c r="AS108" s="720"/>
      <c r="AT108" s="720"/>
      <c r="AU108" s="720"/>
      <c r="AV108" s="720"/>
      <c r="AW108" s="720"/>
      <c r="AX108" s="720"/>
      <c r="AY108" s="720"/>
      <c r="AZ108" s="720"/>
      <c r="BA108" s="720"/>
      <c r="BB108" s="720"/>
      <c r="BC108" s="720"/>
      <c r="BD108" s="720"/>
      <c r="BE108" s="720"/>
      <c r="BF108" s="720"/>
      <c r="BG108" s="720"/>
      <c r="BH108" s="720"/>
      <c r="BI108" s="720"/>
      <c r="BJ108" s="720"/>
      <c r="BK108" s="720"/>
      <c r="BL108" s="720"/>
      <c r="BM108" s="720"/>
      <c r="BN108" s="720"/>
      <c r="BO108" s="720"/>
      <c r="BP108" s="720"/>
      <c r="BQ108" s="720"/>
      <c r="BR108" s="720"/>
      <c r="BS108" s="720"/>
      <c r="BT108" s="720"/>
      <c r="BU108" s="720"/>
      <c r="BV108" s="720"/>
      <c r="BW108" s="720"/>
      <c r="BX108" s="720"/>
      <c r="BY108" s="720"/>
      <c r="BZ108" s="720"/>
      <c r="CA108" s="720"/>
      <c r="CB108" s="720"/>
      <c r="CC108" s="720"/>
      <c r="CD108" s="720"/>
      <c r="CE108" s="720"/>
      <c r="CF108" s="720"/>
      <c r="CG108" s="720"/>
      <c r="CH108" s="720"/>
      <c r="CI108" s="720"/>
      <c r="CJ108" s="720"/>
      <c r="CK108" s="720"/>
      <c r="CL108" s="720"/>
      <c r="CM108" s="720"/>
      <c r="CN108" s="720"/>
      <c r="CO108" s="720"/>
      <c r="CP108" s="720"/>
      <c r="CQ108" s="720"/>
      <c r="CR108" s="720"/>
      <c r="CS108" s="720"/>
      <c r="CT108" s="720"/>
      <c r="CU108" s="720"/>
      <c r="CV108" s="720"/>
      <c r="CW108" s="720"/>
      <c r="CX108" s="720"/>
      <c r="CY108" s="720"/>
      <c r="CZ108" s="720"/>
      <c r="DA108" s="720"/>
      <c r="DB108" s="720"/>
      <c r="DC108" s="720"/>
      <c r="DD108" s="720"/>
      <c r="DE108" s="720"/>
      <c r="DF108" s="720"/>
      <c r="DG108" s="720"/>
      <c r="DH108" s="720"/>
      <c r="DI108" s="720"/>
      <c r="DJ108" s="720"/>
      <c r="DK108" s="720"/>
      <c r="DL108" s="720"/>
      <c r="DM108" s="720"/>
      <c r="DN108" s="720"/>
      <c r="DO108" s="720"/>
      <c r="DP108" s="720"/>
      <c r="DQ108" s="720"/>
      <c r="DR108" s="720"/>
      <c r="DS108" s="720"/>
      <c r="DT108" s="720"/>
      <c r="DU108" s="720"/>
      <c r="DV108" s="720"/>
      <c r="DW108" s="720"/>
      <c r="DX108" s="720"/>
      <c r="DY108" s="720"/>
      <c r="DZ108" s="720"/>
      <c r="EA108" s="720"/>
      <c r="EB108" s="720"/>
      <c r="EC108" s="720"/>
      <c r="ED108" s="720"/>
      <c r="EE108" s="720"/>
      <c r="EF108" s="720"/>
      <c r="EG108" s="720"/>
      <c r="EH108" s="720"/>
      <c r="EI108" s="720"/>
      <c r="EJ108" s="720"/>
      <c r="EK108" s="720"/>
      <c r="EL108" s="720"/>
      <c r="EM108" s="720"/>
      <c r="EN108" s="720"/>
      <c r="EO108" s="720"/>
      <c r="EP108" s="720"/>
      <c r="EQ108" s="720"/>
      <c r="ER108" s="720"/>
      <c r="ES108" s="720"/>
      <c r="ET108" s="720"/>
      <c r="EU108" s="720"/>
      <c r="EV108" s="720"/>
      <c r="EW108" s="720"/>
      <c r="EX108" s="720"/>
      <c r="EY108" s="720"/>
      <c r="EZ108" s="720"/>
      <c r="FA108" s="720"/>
      <c r="FB108" s="720"/>
      <c r="FC108" s="720"/>
      <c r="FD108" s="720"/>
      <c r="FE108" s="720"/>
      <c r="FF108" s="720"/>
      <c r="FG108" s="720"/>
      <c r="FH108" s="720"/>
      <c r="FI108" s="720"/>
      <c r="FJ108" s="720"/>
      <c r="FK108" s="720"/>
      <c r="FL108" s="720"/>
      <c r="FM108" s="720"/>
      <c r="FN108" s="720"/>
      <c r="FO108" s="720"/>
      <c r="FP108" s="720"/>
      <c r="FQ108" s="720"/>
      <c r="FR108" s="720"/>
      <c r="FS108" s="720"/>
      <c r="FT108" s="720"/>
      <c r="FU108" s="720"/>
      <c r="FV108" s="720"/>
      <c r="FW108" s="720"/>
      <c r="FX108" s="720"/>
      <c r="FY108" s="720"/>
      <c r="FZ108" s="720"/>
      <c r="GA108" s="720"/>
      <c r="GB108" s="720"/>
      <c r="GC108" s="720"/>
      <c r="GD108" s="720"/>
      <c r="GE108" s="720"/>
      <c r="GF108" s="720"/>
      <c r="GG108" s="720"/>
      <c r="GH108" s="720"/>
      <c r="GI108" s="720"/>
      <c r="GJ108" s="720"/>
      <c r="GK108" s="720"/>
      <c r="GL108" s="720"/>
      <c r="GM108" s="720"/>
      <c r="GN108" s="720"/>
      <c r="GO108" s="720"/>
      <c r="GP108" s="720"/>
      <c r="GQ108" s="720"/>
      <c r="GR108" s="720"/>
      <c r="GS108" s="720"/>
      <c r="GT108" s="720"/>
      <c r="GU108" s="720"/>
      <c r="GV108" s="720"/>
      <c r="GW108" s="720"/>
      <c r="GX108" s="720"/>
      <c r="GY108" s="720"/>
      <c r="GZ108" s="720"/>
      <c r="HA108" s="720"/>
      <c r="HB108" s="720"/>
      <c r="HC108" s="720"/>
      <c r="HD108" s="720"/>
      <c r="HE108" s="720"/>
      <c r="HF108" s="720"/>
      <c r="HG108" s="720"/>
      <c r="HH108" s="720"/>
      <c r="HI108" s="720"/>
      <c r="HJ108" s="720"/>
      <c r="HK108" s="720"/>
      <c r="HL108" s="720"/>
      <c r="HM108" s="720"/>
      <c r="HN108" s="720"/>
      <c r="HO108" s="720"/>
      <c r="HP108" s="720"/>
      <c r="HQ108" s="720"/>
      <c r="HR108" s="720"/>
      <c r="HS108" s="720"/>
      <c r="HT108" s="720"/>
      <c r="HU108" s="720"/>
      <c r="HV108" s="720"/>
      <c r="HW108" s="720"/>
      <c r="HX108" s="720"/>
      <c r="HY108" s="720"/>
      <c r="HZ108" s="720"/>
      <c r="IA108" s="720"/>
      <c r="IB108" s="720"/>
      <c r="IC108" s="720"/>
      <c r="ID108" s="720"/>
      <c r="IE108" s="720"/>
      <c r="IF108" s="720"/>
      <c r="IG108" s="720"/>
      <c r="IH108" s="720"/>
    </row>
    <row r="109" hidden="1" outlineLevel="1">
      <c r="A109" s="598"/>
      <c r="B109" s="598"/>
      <c r="C109" s="598"/>
      <c r="D109" s="598"/>
      <c r="E109" s="598"/>
      <c r="F109" s="598"/>
      <c r="G109" s="598"/>
      <c r="H109" s="598"/>
      <c r="I109" s="598"/>
      <c r="J109" s="598"/>
      <c r="K109" s="598"/>
      <c r="L109" s="598"/>
      <c r="M109" s="598"/>
      <c r="N109" s="598"/>
      <c r="O109" s="598"/>
      <c r="P109" s="598"/>
      <c r="Q109" s="598"/>
      <c r="R109" s="598"/>
      <c r="S109" s="598"/>
      <c r="T109" s="598"/>
      <c r="U109" s="598"/>
      <c r="V109" s="598"/>
      <c r="W109" s="598"/>
      <c r="X109" s="598"/>
      <c r="Y109" s="598"/>
      <c r="Z109" s="598"/>
      <c r="AA109" s="911"/>
      <c r="AB109" s="999"/>
      <c r="AC109" s="720" t="str">
        <f>IFERROR(__xludf.DUMMYFUNCTION("""COMPUTED_VALUE"""),"Inner Mine Stun")</f>
        <v>Inner Mine Stun</v>
      </c>
      <c r="AD109" s="913" t="s">
        <v>350</v>
      </c>
      <c r="AE109" s="720">
        <v>0.0</v>
      </c>
      <c r="AF109" s="720"/>
      <c r="AG109" s="720">
        <v>1.0</v>
      </c>
      <c r="AH109" s="1001" t="str">
        <f>IFERROR(__xludf.DUMMYFUNCTION("IFERROR(IF(S10 = """", SEQUENCE(1, VALUE(VLOOKUP(U10, AD:AG, 4, false)) - VALUE(VLOOKUP(U10, AD:AG, 2, false)), VALUE(VLOOKUP(U10, AD:AG, 2, false)) + 1),
    IF(ISBETWEEN(S10, VALUE(VLOOKUP(U10, AD:AG, 2, false)), VALUE(VLOOKUP(U10, AD:AG, 4, false))),
 "&amp;"       SEQUENCE(1, VALUE(VLOOKUP(U10, AD:AG, 4, false)) - S10, S10 + 1),
        """")))"),"")</f>
        <v/>
      </c>
      <c r="AI109" s="720"/>
      <c r="AJ109" s="720"/>
      <c r="AK109" s="720"/>
      <c r="AL109" s="720"/>
      <c r="AM109" s="720"/>
      <c r="AN109" s="720"/>
      <c r="AO109" s="720"/>
      <c r="AP109" s="720"/>
      <c r="AQ109" s="720"/>
      <c r="AR109" s="720"/>
      <c r="AS109" s="720"/>
      <c r="AT109" s="720"/>
      <c r="AU109" s="720"/>
      <c r="AV109" s="720"/>
      <c r="AW109" s="720"/>
      <c r="AX109" s="720"/>
      <c r="AY109" s="720"/>
      <c r="AZ109" s="720"/>
      <c r="BA109" s="720"/>
      <c r="BB109" s="720"/>
      <c r="BC109" s="720"/>
      <c r="BD109" s="720"/>
      <c r="BE109" s="720"/>
      <c r="BF109" s="720"/>
      <c r="BG109" s="720"/>
      <c r="BH109" s="720"/>
      <c r="BI109" s="720"/>
      <c r="BJ109" s="720"/>
      <c r="BK109" s="720"/>
      <c r="BL109" s="720"/>
      <c r="BM109" s="720"/>
      <c r="BN109" s="720"/>
      <c r="BO109" s="720"/>
      <c r="BP109" s="720"/>
      <c r="BQ109" s="720"/>
      <c r="BR109" s="720"/>
      <c r="BS109" s="720"/>
      <c r="BT109" s="720"/>
      <c r="BU109" s="720"/>
      <c r="BV109" s="720"/>
      <c r="BW109" s="720"/>
      <c r="BX109" s="720"/>
      <c r="BY109" s="720"/>
      <c r="BZ109" s="720"/>
      <c r="CA109" s="720"/>
      <c r="CB109" s="720"/>
      <c r="CC109" s="720"/>
      <c r="CD109" s="720"/>
      <c r="CE109" s="720"/>
      <c r="CF109" s="720"/>
      <c r="CG109" s="720"/>
      <c r="CH109" s="720"/>
      <c r="CI109" s="720"/>
      <c r="CJ109" s="720"/>
      <c r="CK109" s="720"/>
      <c r="CL109" s="720"/>
      <c r="CM109" s="720"/>
      <c r="CN109" s="720"/>
      <c r="CO109" s="720"/>
      <c r="CP109" s="720"/>
      <c r="CQ109" s="720"/>
      <c r="CR109" s="720"/>
      <c r="CS109" s="720"/>
      <c r="CT109" s="720"/>
      <c r="CU109" s="720"/>
      <c r="CV109" s="720"/>
      <c r="CW109" s="720"/>
      <c r="CX109" s="720"/>
      <c r="CY109" s="720"/>
      <c r="CZ109" s="720"/>
      <c r="DA109" s="720"/>
      <c r="DB109" s="720"/>
      <c r="DC109" s="720"/>
      <c r="DD109" s="720"/>
      <c r="DE109" s="720"/>
      <c r="DF109" s="720"/>
      <c r="DG109" s="720"/>
      <c r="DH109" s="720"/>
      <c r="DI109" s="720"/>
      <c r="DJ109" s="720"/>
      <c r="DK109" s="720"/>
      <c r="DL109" s="720"/>
      <c r="DM109" s="720"/>
      <c r="DN109" s="720"/>
      <c r="DO109" s="720"/>
      <c r="DP109" s="720"/>
      <c r="DQ109" s="720"/>
      <c r="DR109" s="720"/>
      <c r="DS109" s="720"/>
      <c r="DT109" s="720"/>
      <c r="DU109" s="720"/>
      <c r="DV109" s="720"/>
      <c r="DW109" s="720"/>
      <c r="DX109" s="720"/>
      <c r="DY109" s="720"/>
      <c r="DZ109" s="720"/>
      <c r="EA109" s="720"/>
      <c r="EB109" s="720"/>
      <c r="EC109" s="720"/>
      <c r="ED109" s="720"/>
      <c r="EE109" s="720"/>
      <c r="EF109" s="720"/>
      <c r="EG109" s="720"/>
      <c r="EH109" s="720"/>
      <c r="EI109" s="720"/>
      <c r="EJ109" s="720"/>
      <c r="EK109" s="720"/>
      <c r="EL109" s="720"/>
      <c r="EM109" s="720"/>
      <c r="EN109" s="720"/>
      <c r="EO109" s="720"/>
      <c r="EP109" s="720"/>
      <c r="EQ109" s="720"/>
      <c r="ER109" s="720"/>
      <c r="ES109" s="720"/>
      <c r="ET109" s="720"/>
      <c r="EU109" s="720"/>
      <c r="EV109" s="720"/>
      <c r="EW109" s="720"/>
      <c r="EX109" s="720"/>
      <c r="EY109" s="720"/>
      <c r="EZ109" s="720"/>
      <c r="FA109" s="720"/>
      <c r="FB109" s="720"/>
      <c r="FC109" s="720"/>
      <c r="FD109" s="720"/>
      <c r="FE109" s="720"/>
      <c r="FF109" s="720"/>
      <c r="FG109" s="720"/>
      <c r="FH109" s="720"/>
      <c r="FI109" s="720"/>
      <c r="FJ109" s="720"/>
      <c r="FK109" s="720"/>
      <c r="FL109" s="720"/>
      <c r="FM109" s="720"/>
      <c r="FN109" s="720"/>
      <c r="FO109" s="720"/>
      <c r="FP109" s="720"/>
      <c r="FQ109" s="720"/>
      <c r="FR109" s="720"/>
      <c r="FS109" s="720"/>
      <c r="FT109" s="720"/>
      <c r="FU109" s="720"/>
      <c r="FV109" s="720"/>
      <c r="FW109" s="720"/>
      <c r="FX109" s="720"/>
      <c r="FY109" s="720"/>
      <c r="FZ109" s="720"/>
      <c r="GA109" s="720"/>
      <c r="GB109" s="720"/>
      <c r="GC109" s="720"/>
      <c r="GD109" s="720"/>
      <c r="GE109" s="720"/>
      <c r="GF109" s="720"/>
      <c r="GG109" s="720"/>
      <c r="GH109" s="720"/>
      <c r="GI109" s="720"/>
      <c r="GJ109" s="720"/>
      <c r="GK109" s="720"/>
      <c r="GL109" s="720"/>
      <c r="GM109" s="720"/>
      <c r="GN109" s="720"/>
      <c r="GO109" s="720"/>
      <c r="GP109" s="720"/>
      <c r="GQ109" s="720"/>
      <c r="GR109" s="720"/>
      <c r="GS109" s="720"/>
      <c r="GT109" s="720"/>
      <c r="GU109" s="720"/>
      <c r="GV109" s="720"/>
      <c r="GW109" s="720"/>
      <c r="GX109" s="720"/>
      <c r="GY109" s="720"/>
      <c r="GZ109" s="720"/>
      <c r="HA109" s="720"/>
      <c r="HB109" s="720"/>
      <c r="HC109" s="720"/>
      <c r="HD109" s="720"/>
      <c r="HE109" s="720"/>
      <c r="HF109" s="720"/>
      <c r="HG109" s="720"/>
      <c r="HH109" s="720"/>
      <c r="HI109" s="720"/>
      <c r="HJ109" s="720"/>
      <c r="HK109" s="720"/>
      <c r="HL109" s="720"/>
      <c r="HM109" s="720"/>
      <c r="HN109" s="720"/>
      <c r="HO109" s="720"/>
      <c r="HP109" s="720"/>
      <c r="HQ109" s="720"/>
      <c r="HR109" s="720"/>
      <c r="HS109" s="720"/>
      <c r="HT109" s="720"/>
      <c r="HU109" s="720"/>
      <c r="HV109" s="720"/>
      <c r="HW109" s="720"/>
      <c r="HX109" s="720"/>
      <c r="HY109" s="720"/>
      <c r="HZ109" s="720"/>
      <c r="IA109" s="720"/>
      <c r="IB109" s="720"/>
      <c r="IC109" s="720"/>
      <c r="ID109" s="720"/>
      <c r="IE109" s="720"/>
      <c r="IF109" s="720"/>
      <c r="IG109" s="720"/>
      <c r="IH109" s="720"/>
    </row>
    <row r="110" hidden="1" outlineLevel="1">
      <c r="A110" s="598"/>
      <c r="B110" s="598"/>
      <c r="C110" s="598"/>
      <c r="D110" s="598"/>
      <c r="E110" s="598"/>
      <c r="F110" s="598"/>
      <c r="G110" s="598"/>
      <c r="H110" s="598"/>
      <c r="I110" s="598"/>
      <c r="J110" s="598"/>
      <c r="K110" s="598"/>
      <c r="L110" s="598"/>
      <c r="M110" s="598"/>
      <c r="N110" s="598"/>
      <c r="O110" s="598"/>
      <c r="P110" s="598"/>
      <c r="Q110" s="598"/>
      <c r="R110" s="598"/>
      <c r="S110" s="598"/>
      <c r="T110" s="598"/>
      <c r="U110" s="598"/>
      <c r="V110" s="598"/>
      <c r="W110" s="598"/>
      <c r="X110" s="598"/>
      <c r="Y110" s="598"/>
      <c r="Z110" s="598"/>
      <c r="AA110" s="911"/>
      <c r="AB110" s="999"/>
      <c r="AC110" s="720" t="str">
        <f>IFERROR(__xludf.DUMMYFUNCTION("""COMPUTED_VALUE"""),"Interest")</f>
        <v>Interest</v>
      </c>
      <c r="AD110" s="913" t="s">
        <v>218</v>
      </c>
      <c r="AE110" s="720">
        <v>11.0</v>
      </c>
      <c r="AF110" s="720"/>
      <c r="AG110" s="720">
        <v>99.0</v>
      </c>
      <c r="AH110" s="1001" t="str">
        <f>IFERROR(__xludf.DUMMYFUNCTION("IFERROR(IF(S11 = """", SEQUENCE(1, VALUE(VLOOKUP(U11, AD:AG, 4, false)) - VALUE(VLOOKUP(U11, AD:AG, 2, false)), VALUE(VLOOKUP(U11, AD:AG, 2, false)) + 1),
    IF(ISBETWEEN(S11, VALUE(VLOOKUP(U11, AD:AG, 2, false)), VALUE(VLOOKUP(U11, AD:AG, 4, false))),
 "&amp;"       SEQUENCE(1, VALUE(VLOOKUP(U11, AD:AG, 4, false)) - S11, S11 + 1),
        """")))"),"")</f>
        <v/>
      </c>
      <c r="AI110" s="720"/>
      <c r="AJ110" s="720"/>
      <c r="AK110" s="720"/>
      <c r="AL110" s="720"/>
      <c r="AM110" s="720"/>
      <c r="AN110" s="720"/>
      <c r="AO110" s="720"/>
      <c r="AP110" s="720"/>
      <c r="AQ110" s="720"/>
      <c r="AR110" s="720"/>
      <c r="AS110" s="720"/>
      <c r="AT110" s="720"/>
      <c r="AU110" s="720"/>
      <c r="AV110" s="720"/>
      <c r="AW110" s="720"/>
      <c r="AX110" s="720"/>
      <c r="AY110" s="720"/>
      <c r="AZ110" s="720"/>
      <c r="BA110" s="720"/>
      <c r="BB110" s="720"/>
      <c r="BC110" s="720"/>
      <c r="BD110" s="720"/>
      <c r="BE110" s="720"/>
      <c r="BF110" s="720"/>
      <c r="BG110" s="720"/>
      <c r="BH110" s="720"/>
      <c r="BI110" s="720"/>
      <c r="BJ110" s="720"/>
      <c r="BK110" s="720"/>
      <c r="BL110" s="720"/>
      <c r="BM110" s="720"/>
      <c r="BN110" s="720"/>
      <c r="BO110" s="720"/>
      <c r="BP110" s="720"/>
      <c r="BQ110" s="720"/>
      <c r="BR110" s="720"/>
      <c r="BS110" s="720"/>
      <c r="BT110" s="720"/>
      <c r="BU110" s="720"/>
      <c r="BV110" s="720"/>
      <c r="BW110" s="720"/>
      <c r="BX110" s="720"/>
      <c r="BY110" s="720"/>
      <c r="BZ110" s="720"/>
      <c r="CA110" s="720"/>
      <c r="CB110" s="720"/>
      <c r="CC110" s="720"/>
      <c r="CD110" s="720"/>
      <c r="CE110" s="720"/>
      <c r="CF110" s="720"/>
      <c r="CG110" s="720"/>
      <c r="CH110" s="720"/>
      <c r="CI110" s="720"/>
      <c r="CJ110" s="720"/>
      <c r="CK110" s="720"/>
      <c r="CL110" s="720"/>
      <c r="CM110" s="720"/>
      <c r="CN110" s="720"/>
      <c r="CO110" s="720"/>
      <c r="CP110" s="720"/>
      <c r="CQ110" s="720"/>
      <c r="CR110" s="720"/>
      <c r="CS110" s="720"/>
      <c r="CT110" s="720"/>
      <c r="CU110" s="720"/>
      <c r="CV110" s="720"/>
      <c r="CW110" s="720"/>
      <c r="CX110" s="720"/>
      <c r="CY110" s="720"/>
      <c r="CZ110" s="720"/>
      <c r="DA110" s="720"/>
      <c r="DB110" s="720"/>
      <c r="DC110" s="720"/>
      <c r="DD110" s="720"/>
      <c r="DE110" s="720"/>
      <c r="DF110" s="720"/>
      <c r="DG110" s="720"/>
      <c r="DH110" s="720"/>
      <c r="DI110" s="720"/>
      <c r="DJ110" s="720"/>
      <c r="DK110" s="720"/>
      <c r="DL110" s="720"/>
      <c r="DM110" s="720"/>
      <c r="DN110" s="720"/>
      <c r="DO110" s="720"/>
      <c r="DP110" s="720"/>
      <c r="DQ110" s="720"/>
      <c r="DR110" s="720"/>
      <c r="DS110" s="720"/>
      <c r="DT110" s="720"/>
      <c r="DU110" s="720"/>
      <c r="DV110" s="720"/>
      <c r="DW110" s="720"/>
      <c r="DX110" s="720"/>
      <c r="DY110" s="720"/>
      <c r="DZ110" s="720"/>
      <c r="EA110" s="720"/>
      <c r="EB110" s="720"/>
      <c r="EC110" s="720"/>
      <c r="ED110" s="720"/>
      <c r="EE110" s="720"/>
      <c r="EF110" s="720"/>
      <c r="EG110" s="720"/>
      <c r="EH110" s="720"/>
      <c r="EI110" s="720"/>
      <c r="EJ110" s="720"/>
      <c r="EK110" s="720"/>
      <c r="EL110" s="720"/>
      <c r="EM110" s="720"/>
      <c r="EN110" s="720"/>
      <c r="EO110" s="720"/>
      <c r="EP110" s="720"/>
      <c r="EQ110" s="720"/>
      <c r="ER110" s="720"/>
      <c r="ES110" s="720"/>
      <c r="ET110" s="720"/>
      <c r="EU110" s="720"/>
      <c r="EV110" s="720"/>
      <c r="EW110" s="720"/>
      <c r="EX110" s="720"/>
      <c r="EY110" s="720"/>
      <c r="EZ110" s="720"/>
      <c r="FA110" s="720"/>
      <c r="FB110" s="720"/>
      <c r="FC110" s="720"/>
      <c r="FD110" s="720"/>
      <c r="FE110" s="720"/>
      <c r="FF110" s="720"/>
      <c r="FG110" s="720"/>
      <c r="FH110" s="720"/>
      <c r="FI110" s="720"/>
      <c r="FJ110" s="720"/>
      <c r="FK110" s="720"/>
      <c r="FL110" s="720"/>
      <c r="FM110" s="720"/>
      <c r="FN110" s="720"/>
      <c r="FO110" s="720"/>
      <c r="FP110" s="720"/>
      <c r="FQ110" s="720"/>
      <c r="FR110" s="720"/>
      <c r="FS110" s="720"/>
      <c r="FT110" s="720"/>
      <c r="FU110" s="720"/>
      <c r="FV110" s="720"/>
      <c r="FW110" s="720"/>
      <c r="FX110" s="720"/>
      <c r="FY110" s="720"/>
      <c r="FZ110" s="720"/>
      <c r="GA110" s="720"/>
      <c r="GB110" s="720"/>
      <c r="GC110" s="720"/>
      <c r="GD110" s="720"/>
      <c r="GE110" s="720"/>
      <c r="GF110" s="720"/>
      <c r="GG110" s="720"/>
      <c r="GH110" s="720"/>
      <c r="GI110" s="720"/>
      <c r="GJ110" s="720"/>
      <c r="GK110" s="720"/>
      <c r="GL110" s="720"/>
      <c r="GM110" s="720"/>
      <c r="GN110" s="720"/>
      <c r="GO110" s="720"/>
      <c r="GP110" s="720"/>
      <c r="GQ110" s="720"/>
      <c r="GR110" s="720"/>
      <c r="GS110" s="720"/>
      <c r="GT110" s="720"/>
      <c r="GU110" s="720"/>
      <c r="GV110" s="720"/>
      <c r="GW110" s="720"/>
      <c r="GX110" s="720"/>
      <c r="GY110" s="720"/>
      <c r="GZ110" s="720"/>
      <c r="HA110" s="720"/>
      <c r="HB110" s="720"/>
      <c r="HC110" s="720"/>
      <c r="HD110" s="720"/>
      <c r="HE110" s="720"/>
      <c r="HF110" s="720"/>
      <c r="HG110" s="720"/>
      <c r="HH110" s="720"/>
      <c r="HI110" s="720"/>
      <c r="HJ110" s="720"/>
      <c r="HK110" s="720"/>
      <c r="HL110" s="720"/>
      <c r="HM110" s="720"/>
      <c r="HN110" s="720"/>
      <c r="HO110" s="720"/>
      <c r="HP110" s="720"/>
      <c r="HQ110" s="720"/>
      <c r="HR110" s="720"/>
      <c r="HS110" s="720"/>
      <c r="HT110" s="720"/>
      <c r="HU110" s="720"/>
      <c r="HV110" s="720"/>
      <c r="HW110" s="720"/>
      <c r="HX110" s="720"/>
      <c r="HY110" s="720"/>
      <c r="HZ110" s="720"/>
      <c r="IA110" s="720"/>
      <c r="IB110" s="720"/>
      <c r="IC110" s="720"/>
      <c r="ID110" s="720"/>
      <c r="IE110" s="720"/>
      <c r="IF110" s="720"/>
      <c r="IG110" s="720"/>
      <c r="IH110" s="720"/>
    </row>
    <row r="111" hidden="1" outlineLevel="1">
      <c r="A111" s="598"/>
      <c r="B111" s="598"/>
      <c r="C111" s="598"/>
      <c r="D111" s="598"/>
      <c r="E111" s="598"/>
      <c r="F111" s="598"/>
      <c r="G111" s="598"/>
      <c r="H111" s="598"/>
      <c r="I111" s="598"/>
      <c r="J111" s="598"/>
      <c r="K111" s="598"/>
      <c r="L111" s="598"/>
      <c r="M111" s="598"/>
      <c r="N111" s="598"/>
      <c r="O111" s="598"/>
      <c r="P111" s="598"/>
      <c r="Q111" s="598"/>
      <c r="R111" s="598"/>
      <c r="S111" s="598"/>
      <c r="T111" s="598"/>
      <c r="U111" s="598"/>
      <c r="V111" s="598"/>
      <c r="W111" s="598"/>
      <c r="X111" s="598"/>
      <c r="Y111" s="598"/>
      <c r="Z111" s="598"/>
      <c r="AA111" s="911"/>
      <c r="AB111" s="966"/>
      <c r="AC111" s="713" t="str">
        <f>IFERROR(__xludf.DUMMYFUNCTION("""COMPUTED_VALUE"""),"Intro Sprint Mastery")</f>
        <v>Intro Sprint Mastery</v>
      </c>
      <c r="AD111" s="825" t="s">
        <v>357</v>
      </c>
      <c r="AE111" s="713">
        <v>0.0</v>
      </c>
      <c r="AF111" s="713"/>
      <c r="AG111" s="713">
        <v>9.0</v>
      </c>
      <c r="AH111" s="1001" t="str">
        <f>IFERROR(__xludf.DUMMYFUNCTION("IFERROR(IF(S12 = """", SEQUENCE(1, VALUE(VLOOKUP(U12, AD:AG, 4, false)) - VALUE(VLOOKUP(U12, AD:AG, 2, false)), VALUE(VLOOKUP(U12, AD:AG, 2, false)) + 1),
    IF(ISBETWEEN(S12, VALUE(VLOOKUP(U12, AD:AG, 2, false)), VALUE(VLOOKUP(U12, AD:AG, 4, false))),
 "&amp;"       SEQUENCE(1, VALUE(VLOOKUP(U12, AD:AG, 4, false)) - S12, S12 + 1),
        """")))"),"")</f>
        <v/>
      </c>
      <c r="AI111" s="713"/>
      <c r="AJ111" s="713"/>
      <c r="AK111" s="713"/>
      <c r="AL111" s="713"/>
      <c r="AM111" s="713"/>
      <c r="AN111" s="713"/>
      <c r="AO111" s="713"/>
      <c r="AP111" s="713"/>
      <c r="AQ111" s="713"/>
      <c r="AR111" s="713"/>
      <c r="AS111" s="713"/>
      <c r="AT111" s="713"/>
      <c r="AU111" s="713"/>
      <c r="AV111" s="713"/>
      <c r="AW111" s="713"/>
      <c r="AX111" s="713"/>
      <c r="AY111" s="713"/>
      <c r="AZ111" s="713"/>
      <c r="BA111" s="713"/>
      <c r="BB111" s="713"/>
      <c r="BC111" s="713"/>
      <c r="BD111" s="713"/>
      <c r="BE111" s="713"/>
      <c r="BF111" s="713"/>
      <c r="BG111" s="713"/>
      <c r="BH111" s="713"/>
      <c r="BI111" s="713"/>
      <c r="BJ111" s="713"/>
      <c r="BK111" s="713"/>
      <c r="BL111" s="713"/>
      <c r="BM111" s="713"/>
      <c r="BN111" s="713"/>
      <c r="BO111" s="713"/>
      <c r="BP111" s="713"/>
      <c r="BQ111" s="713"/>
      <c r="BR111" s="713"/>
      <c r="BS111" s="713"/>
      <c r="BT111" s="713"/>
      <c r="BU111" s="713"/>
      <c r="BV111" s="713"/>
      <c r="BW111" s="713"/>
      <c r="BX111" s="713"/>
      <c r="BY111" s="713"/>
      <c r="BZ111" s="713"/>
      <c r="CA111" s="713"/>
      <c r="CB111" s="713"/>
      <c r="CC111" s="713"/>
      <c r="CD111" s="713"/>
      <c r="CE111" s="713"/>
      <c r="CF111" s="713"/>
      <c r="CG111" s="713"/>
      <c r="CH111" s="713"/>
      <c r="CI111" s="713"/>
      <c r="CJ111" s="713"/>
      <c r="CK111" s="713"/>
      <c r="CL111" s="713"/>
      <c r="CM111" s="713"/>
      <c r="CN111" s="713"/>
      <c r="CO111" s="713"/>
      <c r="CP111" s="713"/>
      <c r="CQ111" s="713"/>
      <c r="CR111" s="713"/>
      <c r="CS111" s="713"/>
      <c r="CT111" s="713"/>
      <c r="CU111" s="713"/>
      <c r="CV111" s="713"/>
      <c r="CW111" s="713"/>
      <c r="CX111" s="713"/>
      <c r="CY111" s="713"/>
      <c r="CZ111" s="713"/>
      <c r="DA111" s="713"/>
      <c r="DB111" s="713"/>
      <c r="DC111" s="713"/>
      <c r="DD111" s="713"/>
      <c r="DE111" s="713"/>
      <c r="DF111" s="713"/>
      <c r="DG111" s="713"/>
      <c r="DH111" s="713"/>
      <c r="DI111" s="713"/>
      <c r="DJ111" s="713"/>
      <c r="DK111" s="713"/>
      <c r="DL111" s="713"/>
      <c r="DM111" s="713"/>
      <c r="DN111" s="713"/>
      <c r="DO111" s="713"/>
      <c r="DP111" s="713"/>
      <c r="DQ111" s="713"/>
      <c r="DR111" s="713"/>
      <c r="DS111" s="713"/>
      <c r="DT111" s="713"/>
      <c r="DU111" s="713"/>
      <c r="DV111" s="713"/>
      <c r="DW111" s="713"/>
      <c r="DX111" s="713"/>
      <c r="DY111" s="713"/>
      <c r="DZ111" s="713"/>
      <c r="EA111" s="713"/>
      <c r="EB111" s="713"/>
      <c r="EC111" s="713"/>
      <c r="ED111" s="713"/>
      <c r="EE111" s="713"/>
      <c r="EF111" s="713"/>
      <c r="EG111" s="713"/>
      <c r="EH111" s="713"/>
      <c r="EI111" s="713"/>
      <c r="EJ111" s="713"/>
      <c r="EK111" s="713"/>
      <c r="EL111" s="713"/>
      <c r="EM111" s="713"/>
      <c r="EN111" s="713"/>
      <c r="EO111" s="713"/>
      <c r="EP111" s="713"/>
      <c r="EQ111" s="713"/>
      <c r="ER111" s="713"/>
      <c r="ES111" s="713"/>
      <c r="ET111" s="713"/>
      <c r="EU111" s="713"/>
      <c r="EV111" s="713"/>
      <c r="EW111" s="713"/>
      <c r="EX111" s="713"/>
      <c r="EY111" s="713"/>
      <c r="EZ111" s="713"/>
      <c r="FA111" s="713"/>
      <c r="FB111" s="713"/>
      <c r="FC111" s="713"/>
      <c r="FD111" s="713"/>
      <c r="FE111" s="713"/>
      <c r="FF111" s="713"/>
      <c r="FG111" s="713"/>
      <c r="FH111" s="713"/>
      <c r="FI111" s="713"/>
      <c r="FJ111" s="713"/>
      <c r="FK111" s="713"/>
      <c r="FL111" s="713"/>
      <c r="FM111" s="713"/>
      <c r="FN111" s="713"/>
      <c r="FO111" s="713"/>
      <c r="FP111" s="713"/>
      <c r="FQ111" s="713"/>
      <c r="FR111" s="713"/>
      <c r="FS111" s="713"/>
      <c r="FT111" s="713"/>
      <c r="FU111" s="713"/>
      <c r="FV111" s="713"/>
      <c r="FW111" s="713"/>
      <c r="FX111" s="713"/>
      <c r="FY111" s="713"/>
      <c r="FZ111" s="713"/>
      <c r="GA111" s="713"/>
      <c r="GB111" s="713"/>
      <c r="GC111" s="713"/>
      <c r="GD111" s="713"/>
      <c r="GE111" s="713"/>
      <c r="GF111" s="713"/>
      <c r="GG111" s="713"/>
      <c r="GH111" s="713"/>
      <c r="GI111" s="713"/>
      <c r="GJ111" s="713"/>
      <c r="GK111" s="713"/>
      <c r="GL111" s="713"/>
      <c r="GM111" s="713"/>
      <c r="GN111" s="713"/>
      <c r="GO111" s="713"/>
      <c r="GP111" s="713"/>
      <c r="GQ111" s="713"/>
      <c r="GR111" s="713"/>
      <c r="GS111" s="713"/>
      <c r="GT111" s="713"/>
      <c r="GU111" s="713"/>
      <c r="GV111" s="713"/>
      <c r="GW111" s="713"/>
      <c r="GX111" s="713"/>
      <c r="GY111" s="713"/>
      <c r="GZ111" s="713"/>
      <c r="HA111" s="713"/>
      <c r="HB111" s="713"/>
      <c r="HC111" s="713"/>
      <c r="HD111" s="713"/>
      <c r="HE111" s="713"/>
      <c r="HF111" s="713"/>
      <c r="HG111" s="713"/>
      <c r="HH111" s="713"/>
      <c r="HI111" s="713"/>
      <c r="HJ111" s="713"/>
      <c r="HK111" s="713"/>
      <c r="HL111" s="713"/>
      <c r="HM111" s="713"/>
      <c r="HN111" s="713"/>
      <c r="HO111" s="713"/>
      <c r="HP111" s="713"/>
      <c r="HQ111" s="713"/>
      <c r="HR111" s="713"/>
      <c r="HS111" s="713"/>
      <c r="HT111" s="713"/>
      <c r="HU111" s="713"/>
      <c r="HV111" s="713"/>
      <c r="HW111" s="713"/>
      <c r="HX111" s="713"/>
      <c r="HY111" s="713"/>
      <c r="HZ111" s="713"/>
      <c r="IA111" s="713"/>
      <c r="IB111" s="713"/>
      <c r="IC111" s="713"/>
      <c r="ID111" s="713"/>
      <c r="IE111" s="713"/>
      <c r="IF111" s="713"/>
      <c r="IG111" s="713"/>
      <c r="IH111" s="713"/>
    </row>
    <row r="112" hidden="1" outlineLevel="1">
      <c r="A112" s="598"/>
      <c r="B112" s="598"/>
      <c r="C112" s="598"/>
      <c r="D112" s="598"/>
      <c r="E112" s="598"/>
      <c r="F112" s="598"/>
      <c r="G112" s="598"/>
      <c r="H112" s="598"/>
      <c r="I112" s="598"/>
      <c r="J112" s="598"/>
      <c r="K112" s="598"/>
      <c r="L112" s="598"/>
      <c r="M112" s="598"/>
      <c r="N112" s="598"/>
      <c r="O112" s="598"/>
      <c r="P112" s="598"/>
      <c r="Q112" s="598"/>
      <c r="R112" s="598"/>
      <c r="S112" s="598"/>
      <c r="T112" s="598"/>
      <c r="U112" s="598"/>
      <c r="V112" s="598"/>
      <c r="W112" s="598"/>
      <c r="X112" s="598"/>
      <c r="Y112" s="598"/>
      <c r="Z112" s="598"/>
      <c r="AA112" s="911"/>
      <c r="AB112" s="966"/>
      <c r="AC112" s="713" t="str">
        <f>IFERROR(__xludf.DUMMYFUNCTION("""COMPUTED_VALUE"""),"Knockback Resistance")</f>
        <v>Knockback Resistance</v>
      </c>
      <c r="AD112" s="825" t="s">
        <v>179</v>
      </c>
      <c r="AE112" s="713">
        <v>0.0</v>
      </c>
      <c r="AF112" s="713"/>
      <c r="AG112" s="713">
        <v>20.0</v>
      </c>
      <c r="AH112" s="1001" t="str">
        <f>IFERROR(__xludf.DUMMYFUNCTION("IFERROR(IF(S13 = """", SEQUENCE(1, VALUE(VLOOKUP(U13, AD:AG, 4, false)) - VALUE(VLOOKUP(U13, AD:AG, 2, false)), VALUE(VLOOKUP(U13, AD:AG, 2, false)) + 1),
    IF(ISBETWEEN(S13, VALUE(VLOOKUP(U13, AD:AG, 2, false)), VALUE(VLOOKUP(U13, AD:AG, 4, false))),
 "&amp;"       SEQUENCE(1, VALUE(VLOOKUP(U13, AD:AG, 4, false)) - S13, S13 + 1),
        """")))"),"")</f>
        <v/>
      </c>
      <c r="AI112" s="713"/>
      <c r="AJ112" s="713"/>
      <c r="AK112" s="713"/>
      <c r="AL112" s="713"/>
      <c r="AM112" s="713"/>
      <c r="AN112" s="713"/>
      <c r="AO112" s="713"/>
      <c r="AP112" s="713"/>
      <c r="AQ112" s="713"/>
      <c r="AR112" s="713"/>
      <c r="AS112" s="713"/>
      <c r="AT112" s="713"/>
      <c r="AU112" s="713"/>
      <c r="AV112" s="713"/>
      <c r="AW112" s="713"/>
      <c r="AX112" s="713"/>
      <c r="AY112" s="713"/>
      <c r="AZ112" s="713"/>
      <c r="BA112" s="713"/>
      <c r="BB112" s="713"/>
      <c r="BC112" s="713"/>
      <c r="BD112" s="713"/>
      <c r="BE112" s="713"/>
      <c r="BF112" s="713"/>
      <c r="BG112" s="713"/>
      <c r="BH112" s="713"/>
      <c r="BI112" s="713"/>
      <c r="BJ112" s="713"/>
      <c r="BK112" s="713"/>
      <c r="BL112" s="713"/>
      <c r="BM112" s="713"/>
      <c r="BN112" s="713"/>
      <c r="BO112" s="713"/>
      <c r="BP112" s="713"/>
      <c r="BQ112" s="713"/>
      <c r="BR112" s="713"/>
      <c r="BS112" s="713"/>
      <c r="BT112" s="713"/>
      <c r="BU112" s="713"/>
      <c r="BV112" s="713"/>
      <c r="BW112" s="713"/>
      <c r="BX112" s="713"/>
      <c r="BY112" s="713"/>
      <c r="BZ112" s="713"/>
      <c r="CA112" s="713"/>
      <c r="CB112" s="713"/>
      <c r="CC112" s="713"/>
      <c r="CD112" s="713"/>
      <c r="CE112" s="713"/>
      <c r="CF112" s="713"/>
      <c r="CG112" s="713"/>
      <c r="CH112" s="713"/>
      <c r="CI112" s="713"/>
      <c r="CJ112" s="713"/>
      <c r="CK112" s="713"/>
      <c r="CL112" s="713"/>
      <c r="CM112" s="713"/>
      <c r="CN112" s="713"/>
      <c r="CO112" s="713"/>
      <c r="CP112" s="713"/>
      <c r="CQ112" s="713"/>
      <c r="CR112" s="713"/>
      <c r="CS112" s="713"/>
      <c r="CT112" s="713"/>
      <c r="CU112" s="713"/>
      <c r="CV112" s="713"/>
      <c r="CW112" s="713"/>
      <c r="CX112" s="713"/>
      <c r="CY112" s="713"/>
      <c r="CZ112" s="713"/>
      <c r="DA112" s="713"/>
      <c r="DB112" s="713"/>
      <c r="DC112" s="713"/>
      <c r="DD112" s="713"/>
      <c r="DE112" s="713"/>
      <c r="DF112" s="713"/>
      <c r="DG112" s="713"/>
      <c r="DH112" s="713"/>
      <c r="DI112" s="713"/>
      <c r="DJ112" s="713"/>
      <c r="DK112" s="713"/>
      <c r="DL112" s="713"/>
      <c r="DM112" s="713"/>
      <c r="DN112" s="713"/>
      <c r="DO112" s="713"/>
      <c r="DP112" s="713"/>
      <c r="DQ112" s="713"/>
      <c r="DR112" s="713"/>
      <c r="DS112" s="713"/>
      <c r="DT112" s="713"/>
      <c r="DU112" s="713"/>
      <c r="DV112" s="713"/>
      <c r="DW112" s="713"/>
      <c r="DX112" s="713"/>
      <c r="DY112" s="713"/>
      <c r="DZ112" s="713"/>
      <c r="EA112" s="713"/>
      <c r="EB112" s="713"/>
      <c r="EC112" s="713"/>
      <c r="ED112" s="713"/>
      <c r="EE112" s="713"/>
      <c r="EF112" s="713"/>
      <c r="EG112" s="713"/>
      <c r="EH112" s="713"/>
      <c r="EI112" s="713"/>
      <c r="EJ112" s="713"/>
      <c r="EK112" s="713"/>
      <c r="EL112" s="713"/>
      <c r="EM112" s="713"/>
      <c r="EN112" s="713"/>
      <c r="EO112" s="713"/>
      <c r="EP112" s="713"/>
      <c r="EQ112" s="713"/>
      <c r="ER112" s="713"/>
      <c r="ES112" s="713"/>
      <c r="ET112" s="713"/>
      <c r="EU112" s="713"/>
      <c r="EV112" s="713"/>
      <c r="EW112" s="713"/>
      <c r="EX112" s="713"/>
      <c r="EY112" s="713"/>
      <c r="EZ112" s="713"/>
      <c r="FA112" s="713"/>
      <c r="FB112" s="713"/>
      <c r="FC112" s="713"/>
      <c r="FD112" s="713"/>
      <c r="FE112" s="713"/>
      <c r="FF112" s="713"/>
      <c r="FG112" s="713"/>
      <c r="FH112" s="713"/>
      <c r="FI112" s="713"/>
      <c r="FJ112" s="713"/>
      <c r="FK112" s="713"/>
      <c r="FL112" s="713"/>
      <c r="FM112" s="713"/>
      <c r="FN112" s="713"/>
      <c r="FO112" s="713"/>
      <c r="FP112" s="713"/>
      <c r="FQ112" s="713"/>
      <c r="FR112" s="713"/>
      <c r="FS112" s="713"/>
      <c r="FT112" s="713"/>
      <c r="FU112" s="713"/>
      <c r="FV112" s="713"/>
      <c r="FW112" s="713"/>
      <c r="FX112" s="713"/>
      <c r="FY112" s="713"/>
      <c r="FZ112" s="713"/>
      <c r="GA112" s="713"/>
      <c r="GB112" s="713"/>
      <c r="GC112" s="713"/>
      <c r="GD112" s="713"/>
      <c r="GE112" s="713"/>
      <c r="GF112" s="713"/>
      <c r="GG112" s="713"/>
      <c r="GH112" s="713"/>
      <c r="GI112" s="713"/>
      <c r="GJ112" s="713"/>
      <c r="GK112" s="713"/>
      <c r="GL112" s="713"/>
      <c r="GM112" s="713"/>
      <c r="GN112" s="713"/>
      <c r="GO112" s="713"/>
      <c r="GP112" s="713"/>
      <c r="GQ112" s="713"/>
      <c r="GR112" s="713"/>
      <c r="GS112" s="713"/>
      <c r="GT112" s="713"/>
      <c r="GU112" s="713"/>
      <c r="GV112" s="713"/>
      <c r="GW112" s="713"/>
      <c r="GX112" s="713"/>
      <c r="GY112" s="713"/>
      <c r="GZ112" s="713"/>
      <c r="HA112" s="713"/>
      <c r="HB112" s="713"/>
      <c r="HC112" s="713"/>
      <c r="HD112" s="713"/>
      <c r="HE112" s="713"/>
      <c r="HF112" s="713"/>
      <c r="HG112" s="713"/>
      <c r="HH112" s="713"/>
      <c r="HI112" s="713"/>
      <c r="HJ112" s="713"/>
      <c r="HK112" s="713"/>
      <c r="HL112" s="713"/>
      <c r="HM112" s="713"/>
      <c r="HN112" s="713"/>
      <c r="HO112" s="713"/>
      <c r="HP112" s="713"/>
      <c r="HQ112" s="713"/>
      <c r="HR112" s="713"/>
      <c r="HS112" s="713"/>
      <c r="HT112" s="713"/>
      <c r="HU112" s="713"/>
      <c r="HV112" s="713"/>
      <c r="HW112" s="713"/>
      <c r="HX112" s="713"/>
      <c r="HY112" s="713"/>
      <c r="HZ112" s="713"/>
      <c r="IA112" s="713"/>
      <c r="IB112" s="713"/>
      <c r="IC112" s="713"/>
      <c r="ID112" s="713"/>
      <c r="IE112" s="713"/>
      <c r="IF112" s="713"/>
      <c r="IG112" s="713"/>
      <c r="IH112" s="713"/>
    </row>
    <row r="113" hidden="1" outlineLevel="1">
      <c r="A113" s="598"/>
      <c r="B113" s="598"/>
      <c r="C113" s="598"/>
      <c r="D113" s="598"/>
      <c r="E113" s="598"/>
      <c r="F113" s="598"/>
      <c r="G113" s="598"/>
      <c r="H113" s="598"/>
      <c r="I113" s="598"/>
      <c r="J113" s="598"/>
      <c r="K113" s="598"/>
      <c r="L113" s="598"/>
      <c r="M113" s="598"/>
      <c r="N113" s="598"/>
      <c r="O113" s="598"/>
      <c r="P113" s="598"/>
      <c r="Q113" s="598"/>
      <c r="R113" s="598"/>
      <c r="S113" s="598"/>
      <c r="T113" s="598"/>
      <c r="U113" s="598"/>
      <c r="V113" s="598"/>
      <c r="W113" s="598"/>
      <c r="X113" s="598"/>
      <c r="Y113" s="598"/>
      <c r="Z113" s="598"/>
      <c r="AA113" s="911"/>
      <c r="AB113" s="966"/>
      <c r="AC113" s="713" t="str">
        <f>IFERROR(__xludf.DUMMYFUNCTION("""COMPUTED_VALUE"""),"Labs Coin Discount")</f>
        <v>Labs Coin Discount</v>
      </c>
      <c r="AD113" s="816" t="s">
        <v>227</v>
      </c>
      <c r="AE113" s="713">
        <v>68.0</v>
      </c>
      <c r="AF113" s="713"/>
      <c r="AG113" s="713">
        <v>99.0</v>
      </c>
      <c r="AH113" s="1001" t="str">
        <f>IFERROR(__xludf.DUMMYFUNCTION("IFERROR(IF(S14 = """", SEQUENCE(1, VALUE(VLOOKUP(U14, AD:AG, 4, false)) - VALUE(VLOOKUP(U14, AD:AG, 2, false)), VALUE(VLOOKUP(U14, AD:AG, 2, false)) + 1),
    IF(ISBETWEEN(S14, VALUE(VLOOKUP(U14, AD:AG, 2, false)), VALUE(VLOOKUP(U14, AD:AG, 4, false))),
 "&amp;"       SEQUENCE(1, VALUE(VLOOKUP(U14, AD:AG, 4, false)) - S14, S14 + 1),
        """")))"),"")</f>
        <v/>
      </c>
      <c r="AI113" s="713"/>
      <c r="AJ113" s="713"/>
      <c r="AK113" s="713"/>
      <c r="AL113" s="713"/>
      <c r="AM113" s="713"/>
      <c r="AN113" s="713"/>
      <c r="AO113" s="713"/>
      <c r="AP113" s="713"/>
      <c r="AQ113" s="713"/>
      <c r="AR113" s="713"/>
      <c r="AS113" s="713"/>
      <c r="AT113" s="713"/>
      <c r="AU113" s="713"/>
      <c r="AV113" s="713"/>
      <c r="AW113" s="713"/>
      <c r="AX113" s="713"/>
      <c r="AY113" s="713"/>
      <c r="AZ113" s="713"/>
      <c r="BA113" s="713"/>
      <c r="BB113" s="713"/>
      <c r="BC113" s="713"/>
      <c r="BD113" s="713"/>
      <c r="BE113" s="713"/>
      <c r="BF113" s="713"/>
      <c r="BG113" s="713"/>
      <c r="BH113" s="713"/>
      <c r="BI113" s="713"/>
      <c r="BJ113" s="713"/>
      <c r="BK113" s="713"/>
      <c r="BL113" s="713"/>
      <c r="BM113" s="713"/>
      <c r="BN113" s="713"/>
      <c r="BO113" s="713"/>
      <c r="BP113" s="713"/>
      <c r="BQ113" s="713"/>
      <c r="BR113" s="713"/>
      <c r="BS113" s="713"/>
      <c r="BT113" s="713"/>
      <c r="BU113" s="713"/>
      <c r="BV113" s="713"/>
      <c r="BW113" s="713"/>
      <c r="BX113" s="713"/>
      <c r="BY113" s="713"/>
      <c r="BZ113" s="713"/>
      <c r="CA113" s="713"/>
      <c r="CB113" s="713"/>
      <c r="CC113" s="713"/>
      <c r="CD113" s="713"/>
      <c r="CE113" s="713"/>
      <c r="CF113" s="713"/>
      <c r="CG113" s="713"/>
      <c r="CH113" s="713"/>
      <c r="CI113" s="713"/>
      <c r="CJ113" s="713"/>
      <c r="CK113" s="713"/>
      <c r="CL113" s="713"/>
      <c r="CM113" s="713"/>
      <c r="CN113" s="713"/>
      <c r="CO113" s="713"/>
      <c r="CP113" s="713"/>
      <c r="CQ113" s="713"/>
      <c r="CR113" s="713"/>
      <c r="CS113" s="713"/>
      <c r="CT113" s="713"/>
      <c r="CU113" s="713"/>
      <c r="CV113" s="713"/>
      <c r="CW113" s="713"/>
      <c r="CX113" s="713"/>
      <c r="CY113" s="713"/>
      <c r="CZ113" s="713"/>
      <c r="DA113" s="713"/>
      <c r="DB113" s="713"/>
      <c r="DC113" s="713"/>
      <c r="DD113" s="713"/>
      <c r="DE113" s="713"/>
      <c r="DF113" s="713"/>
      <c r="DG113" s="713"/>
      <c r="DH113" s="713"/>
      <c r="DI113" s="713"/>
      <c r="DJ113" s="713"/>
      <c r="DK113" s="713"/>
      <c r="DL113" s="713"/>
      <c r="DM113" s="713"/>
      <c r="DN113" s="713"/>
      <c r="DO113" s="713"/>
      <c r="DP113" s="713"/>
      <c r="DQ113" s="713"/>
      <c r="DR113" s="713"/>
      <c r="DS113" s="713"/>
      <c r="DT113" s="713"/>
      <c r="DU113" s="713"/>
      <c r="DV113" s="713"/>
      <c r="DW113" s="713"/>
      <c r="DX113" s="713"/>
      <c r="DY113" s="713"/>
      <c r="DZ113" s="713"/>
      <c r="EA113" s="713"/>
      <c r="EB113" s="713"/>
      <c r="EC113" s="713"/>
      <c r="ED113" s="713"/>
      <c r="EE113" s="713"/>
      <c r="EF113" s="713"/>
      <c r="EG113" s="713"/>
      <c r="EH113" s="713"/>
      <c r="EI113" s="713"/>
      <c r="EJ113" s="713"/>
      <c r="EK113" s="713"/>
      <c r="EL113" s="713"/>
      <c r="EM113" s="713"/>
      <c r="EN113" s="713"/>
      <c r="EO113" s="713"/>
      <c r="EP113" s="713"/>
      <c r="EQ113" s="713"/>
      <c r="ER113" s="713"/>
      <c r="ES113" s="713"/>
      <c r="ET113" s="713"/>
      <c r="EU113" s="713"/>
      <c r="EV113" s="713"/>
      <c r="EW113" s="713"/>
      <c r="EX113" s="713"/>
      <c r="EY113" s="713"/>
      <c r="EZ113" s="713"/>
      <c r="FA113" s="713"/>
      <c r="FB113" s="713"/>
      <c r="FC113" s="713"/>
      <c r="FD113" s="713"/>
      <c r="FE113" s="713"/>
      <c r="FF113" s="713"/>
      <c r="FG113" s="713"/>
      <c r="FH113" s="713"/>
      <c r="FI113" s="713"/>
      <c r="FJ113" s="713"/>
      <c r="FK113" s="713"/>
      <c r="FL113" s="713"/>
      <c r="FM113" s="713"/>
      <c r="FN113" s="713"/>
      <c r="FO113" s="713"/>
      <c r="FP113" s="713"/>
      <c r="FQ113" s="713"/>
      <c r="FR113" s="713"/>
      <c r="FS113" s="713"/>
      <c r="FT113" s="713"/>
      <c r="FU113" s="713"/>
      <c r="FV113" s="713"/>
      <c r="FW113" s="713"/>
      <c r="FX113" s="713"/>
      <c r="FY113" s="713"/>
      <c r="FZ113" s="713"/>
      <c r="GA113" s="713"/>
      <c r="GB113" s="713"/>
      <c r="GC113" s="713"/>
      <c r="GD113" s="713"/>
      <c r="GE113" s="713"/>
      <c r="GF113" s="713"/>
      <c r="GG113" s="713"/>
      <c r="GH113" s="713"/>
      <c r="GI113" s="713"/>
      <c r="GJ113" s="713"/>
      <c r="GK113" s="713"/>
      <c r="GL113" s="713"/>
      <c r="GM113" s="713"/>
      <c r="GN113" s="713"/>
      <c r="GO113" s="713"/>
      <c r="GP113" s="713"/>
      <c r="GQ113" s="713"/>
      <c r="GR113" s="713"/>
      <c r="GS113" s="713"/>
      <c r="GT113" s="713"/>
      <c r="GU113" s="713"/>
      <c r="GV113" s="713"/>
      <c r="GW113" s="713"/>
      <c r="GX113" s="713"/>
      <c r="GY113" s="713"/>
      <c r="GZ113" s="713"/>
      <c r="HA113" s="713"/>
      <c r="HB113" s="713"/>
      <c r="HC113" s="713"/>
      <c r="HD113" s="713"/>
      <c r="HE113" s="713"/>
      <c r="HF113" s="713"/>
      <c r="HG113" s="713"/>
      <c r="HH113" s="713"/>
      <c r="HI113" s="713"/>
      <c r="HJ113" s="713"/>
      <c r="HK113" s="713"/>
      <c r="HL113" s="713"/>
      <c r="HM113" s="713"/>
      <c r="HN113" s="713"/>
      <c r="HO113" s="713"/>
      <c r="HP113" s="713"/>
      <c r="HQ113" s="713"/>
      <c r="HR113" s="713"/>
      <c r="HS113" s="713"/>
      <c r="HT113" s="713"/>
      <c r="HU113" s="713"/>
      <c r="HV113" s="713"/>
      <c r="HW113" s="713"/>
      <c r="HX113" s="713"/>
      <c r="HY113" s="713"/>
      <c r="HZ113" s="713"/>
      <c r="IA113" s="713"/>
      <c r="IB113" s="713"/>
      <c r="IC113" s="713"/>
      <c r="ID113" s="713"/>
      <c r="IE113" s="713"/>
      <c r="IF113" s="713"/>
      <c r="IG113" s="713"/>
      <c r="IH113" s="713"/>
    </row>
    <row r="114" hidden="1" outlineLevel="1">
      <c r="A114" s="598"/>
      <c r="B114" s="598"/>
      <c r="C114" s="598"/>
      <c r="D114" s="598"/>
      <c r="E114" s="598"/>
      <c r="F114" s="598"/>
      <c r="G114" s="598"/>
      <c r="H114" s="598"/>
      <c r="I114" s="598"/>
      <c r="J114" s="598"/>
      <c r="K114" s="598"/>
      <c r="L114" s="598"/>
      <c r="M114" s="598"/>
      <c r="N114" s="598"/>
      <c r="O114" s="598"/>
      <c r="P114" s="598"/>
      <c r="Q114" s="598"/>
      <c r="R114" s="598"/>
      <c r="S114" s="598"/>
      <c r="T114" s="598"/>
      <c r="U114" s="598"/>
      <c r="V114" s="598"/>
      <c r="W114" s="598"/>
      <c r="X114" s="598"/>
      <c r="Y114" s="598"/>
      <c r="Z114" s="598"/>
      <c r="AA114" s="911"/>
      <c r="AB114" s="966"/>
      <c r="AC114" s="713" t="str">
        <f>IFERROR(__xludf.DUMMYFUNCTION("""COMPUTED_VALUE"""),"Labs Speed")</f>
        <v>Labs Speed</v>
      </c>
      <c r="AD114" s="816" t="s">
        <v>238</v>
      </c>
      <c r="AE114" s="713">
        <v>91.0</v>
      </c>
      <c r="AF114" s="713"/>
      <c r="AG114" s="713">
        <v>99.0</v>
      </c>
      <c r="AH114" s="1001" t="str">
        <f>IFERROR(__xludf.DUMMYFUNCTION("IFERROR(IF(S15 = """", SEQUENCE(1, VALUE(VLOOKUP(U15, AD:AG, 4, false)) - VALUE(VLOOKUP(U15, AD:AG, 2, false)), VALUE(VLOOKUP(U15, AD:AG, 2, false)) + 1),
    IF(ISBETWEEN(S15, VALUE(VLOOKUP(U15, AD:AG, 2, false)), VALUE(VLOOKUP(U15, AD:AG, 4, false))),
 "&amp;"       SEQUENCE(1, VALUE(VLOOKUP(U15, AD:AG, 4, false)) - S15, S15 + 1),
        """")))"),"")</f>
        <v/>
      </c>
      <c r="AI114" s="713"/>
      <c r="AJ114" s="713"/>
      <c r="AK114" s="713"/>
      <c r="AL114" s="713"/>
      <c r="AM114" s="713"/>
      <c r="AN114" s="713"/>
      <c r="AO114" s="713"/>
      <c r="AP114" s="713"/>
      <c r="AQ114" s="713"/>
      <c r="AR114" s="713"/>
      <c r="AS114" s="713"/>
      <c r="AT114" s="713"/>
      <c r="AU114" s="713"/>
      <c r="AV114" s="713"/>
      <c r="AW114" s="713"/>
      <c r="AX114" s="713"/>
      <c r="AY114" s="713"/>
      <c r="AZ114" s="713"/>
      <c r="BA114" s="713"/>
      <c r="BB114" s="713"/>
      <c r="BC114" s="713"/>
      <c r="BD114" s="713"/>
      <c r="BE114" s="713"/>
      <c r="BF114" s="713"/>
      <c r="BG114" s="713"/>
      <c r="BH114" s="713"/>
      <c r="BI114" s="713"/>
      <c r="BJ114" s="713"/>
      <c r="BK114" s="713"/>
      <c r="BL114" s="713"/>
      <c r="BM114" s="713"/>
      <c r="BN114" s="713"/>
      <c r="BO114" s="713"/>
      <c r="BP114" s="713"/>
      <c r="BQ114" s="713"/>
      <c r="BR114" s="713"/>
      <c r="BS114" s="713"/>
      <c r="BT114" s="713"/>
      <c r="BU114" s="713"/>
      <c r="BV114" s="713"/>
      <c r="BW114" s="713"/>
      <c r="BX114" s="713"/>
      <c r="BY114" s="713"/>
      <c r="BZ114" s="713"/>
      <c r="CA114" s="713"/>
      <c r="CB114" s="713"/>
      <c r="CC114" s="713"/>
      <c r="CD114" s="713"/>
      <c r="CE114" s="713"/>
      <c r="CF114" s="713"/>
      <c r="CG114" s="713"/>
      <c r="CH114" s="713"/>
      <c r="CI114" s="713"/>
      <c r="CJ114" s="713"/>
      <c r="CK114" s="713"/>
      <c r="CL114" s="713"/>
      <c r="CM114" s="713"/>
      <c r="CN114" s="713"/>
      <c r="CO114" s="713"/>
      <c r="CP114" s="713"/>
      <c r="CQ114" s="713"/>
      <c r="CR114" s="713"/>
      <c r="CS114" s="713"/>
      <c r="CT114" s="713"/>
      <c r="CU114" s="713"/>
      <c r="CV114" s="713"/>
      <c r="CW114" s="713"/>
      <c r="CX114" s="713"/>
      <c r="CY114" s="713"/>
      <c r="CZ114" s="713"/>
      <c r="DA114" s="713"/>
      <c r="DB114" s="713"/>
      <c r="DC114" s="713"/>
      <c r="DD114" s="713"/>
      <c r="DE114" s="713"/>
      <c r="DF114" s="713"/>
      <c r="DG114" s="713"/>
      <c r="DH114" s="713"/>
      <c r="DI114" s="713"/>
      <c r="DJ114" s="713"/>
      <c r="DK114" s="713"/>
      <c r="DL114" s="713"/>
      <c r="DM114" s="713"/>
      <c r="DN114" s="713"/>
      <c r="DO114" s="713"/>
      <c r="DP114" s="713"/>
      <c r="DQ114" s="713"/>
      <c r="DR114" s="713"/>
      <c r="DS114" s="713"/>
      <c r="DT114" s="713"/>
      <c r="DU114" s="713"/>
      <c r="DV114" s="713"/>
      <c r="DW114" s="713"/>
      <c r="DX114" s="713"/>
      <c r="DY114" s="713"/>
      <c r="DZ114" s="713"/>
      <c r="EA114" s="713"/>
      <c r="EB114" s="713"/>
      <c r="EC114" s="713"/>
      <c r="ED114" s="713"/>
      <c r="EE114" s="713"/>
      <c r="EF114" s="713"/>
      <c r="EG114" s="713"/>
      <c r="EH114" s="713"/>
      <c r="EI114" s="713"/>
      <c r="EJ114" s="713"/>
      <c r="EK114" s="713"/>
      <c r="EL114" s="713"/>
      <c r="EM114" s="713"/>
      <c r="EN114" s="713"/>
      <c r="EO114" s="713"/>
      <c r="EP114" s="713"/>
      <c r="EQ114" s="713"/>
      <c r="ER114" s="713"/>
      <c r="ES114" s="713"/>
      <c r="ET114" s="713"/>
      <c r="EU114" s="713"/>
      <c r="EV114" s="713"/>
      <c r="EW114" s="713"/>
      <c r="EX114" s="713"/>
      <c r="EY114" s="713"/>
      <c r="EZ114" s="713"/>
      <c r="FA114" s="713"/>
      <c r="FB114" s="713"/>
      <c r="FC114" s="713"/>
      <c r="FD114" s="713"/>
      <c r="FE114" s="713"/>
      <c r="FF114" s="713"/>
      <c r="FG114" s="713"/>
      <c r="FH114" s="713"/>
      <c r="FI114" s="713"/>
      <c r="FJ114" s="713"/>
      <c r="FK114" s="713"/>
      <c r="FL114" s="713"/>
      <c r="FM114" s="713"/>
      <c r="FN114" s="713"/>
      <c r="FO114" s="713"/>
      <c r="FP114" s="713"/>
      <c r="FQ114" s="713"/>
      <c r="FR114" s="713"/>
      <c r="FS114" s="713"/>
      <c r="FT114" s="713"/>
      <c r="FU114" s="713"/>
      <c r="FV114" s="713"/>
      <c r="FW114" s="713"/>
      <c r="FX114" s="713"/>
      <c r="FY114" s="713"/>
      <c r="FZ114" s="713"/>
      <c r="GA114" s="713"/>
      <c r="GB114" s="713"/>
      <c r="GC114" s="713"/>
      <c r="GD114" s="713"/>
      <c r="GE114" s="713"/>
      <c r="GF114" s="713"/>
      <c r="GG114" s="713"/>
      <c r="GH114" s="713"/>
      <c r="GI114" s="713"/>
      <c r="GJ114" s="713"/>
      <c r="GK114" s="713"/>
      <c r="GL114" s="713"/>
      <c r="GM114" s="713"/>
      <c r="GN114" s="713"/>
      <c r="GO114" s="713"/>
      <c r="GP114" s="713"/>
      <c r="GQ114" s="713"/>
      <c r="GR114" s="713"/>
      <c r="GS114" s="713"/>
      <c r="GT114" s="713"/>
      <c r="GU114" s="713"/>
      <c r="GV114" s="713"/>
      <c r="GW114" s="713"/>
      <c r="GX114" s="713"/>
      <c r="GY114" s="713"/>
      <c r="GZ114" s="713"/>
      <c r="HA114" s="713"/>
      <c r="HB114" s="713"/>
      <c r="HC114" s="713"/>
      <c r="HD114" s="713"/>
      <c r="HE114" s="713"/>
      <c r="HF114" s="713"/>
      <c r="HG114" s="713"/>
      <c r="HH114" s="713"/>
      <c r="HI114" s="713"/>
      <c r="HJ114" s="713"/>
      <c r="HK114" s="713"/>
      <c r="HL114" s="713"/>
      <c r="HM114" s="713"/>
      <c r="HN114" s="713"/>
      <c r="HO114" s="713"/>
      <c r="HP114" s="713"/>
      <c r="HQ114" s="713"/>
      <c r="HR114" s="713"/>
      <c r="HS114" s="713"/>
      <c r="HT114" s="713"/>
      <c r="HU114" s="713"/>
      <c r="HV114" s="713"/>
      <c r="HW114" s="713"/>
      <c r="HX114" s="713"/>
      <c r="HY114" s="713"/>
      <c r="HZ114" s="713"/>
      <c r="IA114" s="713"/>
      <c r="IB114" s="713"/>
      <c r="IC114" s="713"/>
      <c r="ID114" s="713"/>
      <c r="IE114" s="713"/>
      <c r="IF114" s="713"/>
      <c r="IG114" s="713"/>
      <c r="IH114" s="713"/>
    </row>
    <row r="115" hidden="1" outlineLevel="1">
      <c r="A115" s="598"/>
      <c r="B115" s="598"/>
      <c r="C115" s="598"/>
      <c r="D115" s="598"/>
      <c r="E115" s="598"/>
      <c r="F115" s="598"/>
      <c r="G115" s="598"/>
      <c r="H115" s="598"/>
      <c r="I115" s="598"/>
      <c r="J115" s="598"/>
      <c r="K115" s="598"/>
      <c r="L115" s="598"/>
      <c r="M115" s="598"/>
      <c r="N115" s="598"/>
      <c r="O115" s="598"/>
      <c r="P115" s="598"/>
      <c r="Q115" s="598"/>
      <c r="R115" s="598"/>
      <c r="S115" s="598"/>
      <c r="T115" s="598"/>
      <c r="U115" s="598"/>
      <c r="V115" s="598"/>
      <c r="W115" s="598"/>
      <c r="X115" s="598"/>
      <c r="Y115" s="598"/>
      <c r="Z115" s="598"/>
      <c r="AA115" s="911"/>
      <c r="AB115" s="966"/>
      <c r="AC115" s="713" t="str">
        <f>IFERROR(__xludf.DUMMYFUNCTION("""COMPUTED_VALUE"""),"Land Mine Damage")</f>
        <v>Land Mine Damage</v>
      </c>
      <c r="AD115" s="816" t="s">
        <v>229</v>
      </c>
      <c r="AE115" s="713">
        <v>0.0</v>
      </c>
      <c r="AF115" s="713"/>
      <c r="AG115" s="713">
        <v>20.0</v>
      </c>
      <c r="AH115" s="1001" t="str">
        <f>IFERROR(__xludf.DUMMYFUNCTION("IFERROR(IF(S16 = """", SEQUENCE(1, VALUE(VLOOKUP(U16, AD:AG, 4, false)) - VALUE(VLOOKUP(U16, AD:AG, 2, false)), VALUE(VLOOKUP(U16, AD:AG, 2, false)) + 1),
    IF(ISBETWEEN(S16, VALUE(VLOOKUP(U16, AD:AG, 2, false)), VALUE(VLOOKUP(U16, AD:AG, 4, false))),
 "&amp;"       SEQUENCE(1, VALUE(VLOOKUP(U16, AD:AG, 4, false)) - S16, S16 + 1),
        """")))"),"")</f>
        <v/>
      </c>
      <c r="AI115" s="713"/>
      <c r="AJ115" s="713"/>
      <c r="AK115" s="713"/>
      <c r="AL115" s="713"/>
      <c r="AM115" s="713"/>
      <c r="AN115" s="713"/>
      <c r="AO115" s="713"/>
      <c r="AP115" s="713"/>
      <c r="AQ115" s="713"/>
      <c r="AR115" s="713"/>
      <c r="AS115" s="713"/>
      <c r="AT115" s="713"/>
      <c r="AU115" s="713"/>
      <c r="AV115" s="713"/>
      <c r="AW115" s="713"/>
      <c r="AX115" s="713"/>
      <c r="AY115" s="713"/>
      <c r="AZ115" s="713"/>
      <c r="BA115" s="713"/>
      <c r="BB115" s="713"/>
      <c r="BC115" s="713"/>
      <c r="BD115" s="713"/>
      <c r="BE115" s="713"/>
      <c r="BF115" s="713"/>
      <c r="BG115" s="713"/>
      <c r="BH115" s="713"/>
      <c r="BI115" s="713"/>
      <c r="BJ115" s="713"/>
      <c r="BK115" s="713"/>
      <c r="BL115" s="713"/>
      <c r="BM115" s="713"/>
      <c r="BN115" s="713"/>
      <c r="BO115" s="713"/>
      <c r="BP115" s="713"/>
      <c r="BQ115" s="713"/>
      <c r="BR115" s="713"/>
      <c r="BS115" s="713"/>
      <c r="BT115" s="713"/>
      <c r="BU115" s="713"/>
      <c r="BV115" s="713"/>
      <c r="BW115" s="713"/>
      <c r="BX115" s="713"/>
      <c r="BY115" s="713"/>
      <c r="BZ115" s="713"/>
      <c r="CA115" s="713"/>
      <c r="CB115" s="713"/>
      <c r="CC115" s="713"/>
      <c r="CD115" s="713"/>
      <c r="CE115" s="713"/>
      <c r="CF115" s="713"/>
      <c r="CG115" s="713"/>
      <c r="CH115" s="713"/>
      <c r="CI115" s="713"/>
      <c r="CJ115" s="713"/>
      <c r="CK115" s="713"/>
      <c r="CL115" s="713"/>
      <c r="CM115" s="713"/>
      <c r="CN115" s="713"/>
      <c r="CO115" s="713"/>
      <c r="CP115" s="713"/>
      <c r="CQ115" s="713"/>
      <c r="CR115" s="713"/>
      <c r="CS115" s="713"/>
      <c r="CT115" s="713"/>
      <c r="CU115" s="713"/>
      <c r="CV115" s="713"/>
      <c r="CW115" s="713"/>
      <c r="CX115" s="713"/>
      <c r="CY115" s="713"/>
      <c r="CZ115" s="713"/>
      <c r="DA115" s="713"/>
      <c r="DB115" s="713"/>
      <c r="DC115" s="713"/>
      <c r="DD115" s="713"/>
      <c r="DE115" s="713"/>
      <c r="DF115" s="713"/>
      <c r="DG115" s="713"/>
      <c r="DH115" s="713"/>
      <c r="DI115" s="713"/>
      <c r="DJ115" s="713"/>
      <c r="DK115" s="713"/>
      <c r="DL115" s="713"/>
      <c r="DM115" s="713"/>
      <c r="DN115" s="713"/>
      <c r="DO115" s="713"/>
      <c r="DP115" s="713"/>
      <c r="DQ115" s="713"/>
      <c r="DR115" s="713"/>
      <c r="DS115" s="713"/>
      <c r="DT115" s="713"/>
      <c r="DU115" s="713"/>
      <c r="DV115" s="713"/>
      <c r="DW115" s="713"/>
      <c r="DX115" s="713"/>
      <c r="DY115" s="713"/>
      <c r="DZ115" s="713"/>
      <c r="EA115" s="713"/>
      <c r="EB115" s="713"/>
      <c r="EC115" s="713"/>
      <c r="ED115" s="713"/>
      <c r="EE115" s="713"/>
      <c r="EF115" s="713"/>
      <c r="EG115" s="713"/>
      <c r="EH115" s="713"/>
      <c r="EI115" s="713"/>
      <c r="EJ115" s="713"/>
      <c r="EK115" s="713"/>
      <c r="EL115" s="713"/>
      <c r="EM115" s="713"/>
      <c r="EN115" s="713"/>
      <c r="EO115" s="713"/>
      <c r="EP115" s="713"/>
      <c r="EQ115" s="713"/>
      <c r="ER115" s="713"/>
      <c r="ES115" s="713"/>
      <c r="ET115" s="713"/>
      <c r="EU115" s="713"/>
      <c r="EV115" s="713"/>
      <c r="EW115" s="713"/>
      <c r="EX115" s="713"/>
      <c r="EY115" s="713"/>
      <c r="EZ115" s="713"/>
      <c r="FA115" s="713"/>
      <c r="FB115" s="713"/>
      <c r="FC115" s="713"/>
      <c r="FD115" s="713"/>
      <c r="FE115" s="713"/>
      <c r="FF115" s="713"/>
      <c r="FG115" s="713"/>
      <c r="FH115" s="713"/>
      <c r="FI115" s="713"/>
      <c r="FJ115" s="713"/>
      <c r="FK115" s="713"/>
      <c r="FL115" s="713"/>
      <c r="FM115" s="713"/>
      <c r="FN115" s="713"/>
      <c r="FO115" s="713"/>
      <c r="FP115" s="713"/>
      <c r="FQ115" s="713"/>
      <c r="FR115" s="713"/>
      <c r="FS115" s="713"/>
      <c r="FT115" s="713"/>
      <c r="FU115" s="713"/>
      <c r="FV115" s="713"/>
      <c r="FW115" s="713"/>
      <c r="FX115" s="713"/>
      <c r="FY115" s="713"/>
      <c r="FZ115" s="713"/>
      <c r="GA115" s="713"/>
      <c r="GB115" s="713"/>
      <c r="GC115" s="713"/>
      <c r="GD115" s="713"/>
      <c r="GE115" s="713"/>
      <c r="GF115" s="713"/>
      <c r="GG115" s="713"/>
      <c r="GH115" s="713"/>
      <c r="GI115" s="713"/>
      <c r="GJ115" s="713"/>
      <c r="GK115" s="713"/>
      <c r="GL115" s="713"/>
      <c r="GM115" s="713"/>
      <c r="GN115" s="713"/>
      <c r="GO115" s="713"/>
      <c r="GP115" s="713"/>
      <c r="GQ115" s="713"/>
      <c r="GR115" s="713"/>
      <c r="GS115" s="713"/>
      <c r="GT115" s="713"/>
      <c r="GU115" s="713"/>
      <c r="GV115" s="713"/>
      <c r="GW115" s="713"/>
      <c r="GX115" s="713"/>
      <c r="GY115" s="713"/>
      <c r="GZ115" s="713"/>
      <c r="HA115" s="713"/>
      <c r="HB115" s="713"/>
      <c r="HC115" s="713"/>
      <c r="HD115" s="713"/>
      <c r="HE115" s="713"/>
      <c r="HF115" s="713"/>
      <c r="HG115" s="713"/>
      <c r="HH115" s="713"/>
      <c r="HI115" s="713"/>
      <c r="HJ115" s="713"/>
      <c r="HK115" s="713"/>
      <c r="HL115" s="713"/>
      <c r="HM115" s="713"/>
      <c r="HN115" s="713"/>
      <c r="HO115" s="713"/>
      <c r="HP115" s="713"/>
      <c r="HQ115" s="713"/>
      <c r="HR115" s="713"/>
      <c r="HS115" s="713"/>
      <c r="HT115" s="713"/>
      <c r="HU115" s="713"/>
      <c r="HV115" s="713"/>
      <c r="HW115" s="713"/>
      <c r="HX115" s="713"/>
      <c r="HY115" s="713"/>
      <c r="HZ115" s="713"/>
      <c r="IA115" s="713"/>
      <c r="IB115" s="713"/>
      <c r="IC115" s="713"/>
      <c r="ID115" s="713"/>
      <c r="IE115" s="713"/>
      <c r="IF115" s="713"/>
      <c r="IG115" s="713"/>
      <c r="IH115" s="713"/>
    </row>
    <row r="116" hidden="1" outlineLevel="1">
      <c r="A116" s="598"/>
      <c r="B116" s="598"/>
      <c r="C116" s="598"/>
      <c r="D116" s="598"/>
      <c r="E116" s="598"/>
      <c r="F116" s="598"/>
      <c r="G116" s="598"/>
      <c r="H116" s="598"/>
      <c r="I116" s="598"/>
      <c r="J116" s="598"/>
      <c r="K116" s="598"/>
      <c r="L116" s="598"/>
      <c r="M116" s="598"/>
      <c r="N116" s="598"/>
      <c r="O116" s="598"/>
      <c r="P116" s="598"/>
      <c r="Q116" s="598"/>
      <c r="R116" s="598"/>
      <c r="S116" s="598"/>
      <c r="T116" s="598"/>
      <c r="U116" s="598"/>
      <c r="V116" s="598"/>
      <c r="W116" s="598"/>
      <c r="X116" s="598"/>
      <c r="Y116" s="598"/>
      <c r="Z116" s="598"/>
      <c r="AA116" s="911"/>
      <c r="AB116" s="966"/>
      <c r="AC116" s="713" t="str">
        <f>IFERROR(__xludf.DUMMYFUNCTION("""COMPUTED_VALUE"""),"Land Mine Decay")</f>
        <v>Land Mine Decay</v>
      </c>
      <c r="AD116" s="816" t="s">
        <v>240</v>
      </c>
      <c r="AE116" s="713">
        <v>13.0</v>
      </c>
      <c r="AF116" s="713"/>
      <c r="AG116" s="713">
        <v>35.0</v>
      </c>
      <c r="AH116" s="1001" t="str">
        <f>IFERROR(__xludf.DUMMYFUNCTION("IFERROR(IF(S17 = """", SEQUENCE(1, VALUE(VLOOKUP(U17, AD:AG, 4, false)) - VALUE(VLOOKUP(U17, AD:AG, 2, false)), VALUE(VLOOKUP(U17, AD:AG, 2, false)) + 1),
    IF(ISBETWEEN(S17, VALUE(VLOOKUP(U17, AD:AG, 2, false)), VALUE(VLOOKUP(U17, AD:AG, 4, false))),
 "&amp;"       SEQUENCE(1, VALUE(VLOOKUP(U17, AD:AG, 4, false)) - S17, S17 + 1),
        """")))"),"")</f>
        <v/>
      </c>
      <c r="AI116" s="713"/>
      <c r="AJ116" s="713"/>
      <c r="AK116" s="713"/>
      <c r="AL116" s="713"/>
      <c r="AM116" s="713"/>
      <c r="AN116" s="713"/>
      <c r="AO116" s="713"/>
      <c r="AP116" s="713"/>
      <c r="AQ116" s="713"/>
      <c r="AR116" s="713"/>
      <c r="AS116" s="713"/>
      <c r="AT116" s="713"/>
      <c r="AU116" s="713"/>
      <c r="AV116" s="713"/>
      <c r="AW116" s="713"/>
      <c r="AX116" s="713"/>
      <c r="AY116" s="713"/>
      <c r="AZ116" s="713"/>
      <c r="BA116" s="713"/>
      <c r="BB116" s="713"/>
      <c r="BC116" s="713"/>
      <c r="BD116" s="713"/>
      <c r="BE116" s="713"/>
      <c r="BF116" s="713"/>
      <c r="BG116" s="713"/>
      <c r="BH116" s="713"/>
      <c r="BI116" s="713"/>
      <c r="BJ116" s="713"/>
      <c r="BK116" s="713"/>
      <c r="BL116" s="713"/>
      <c r="BM116" s="713"/>
      <c r="BN116" s="713"/>
      <c r="BO116" s="713"/>
      <c r="BP116" s="713"/>
      <c r="BQ116" s="713"/>
      <c r="BR116" s="713"/>
      <c r="BS116" s="713"/>
      <c r="BT116" s="713"/>
      <c r="BU116" s="713"/>
      <c r="BV116" s="713"/>
      <c r="BW116" s="713"/>
      <c r="BX116" s="713"/>
      <c r="BY116" s="713"/>
      <c r="BZ116" s="713"/>
      <c r="CA116" s="713"/>
      <c r="CB116" s="713"/>
      <c r="CC116" s="713"/>
      <c r="CD116" s="713"/>
      <c r="CE116" s="713"/>
      <c r="CF116" s="713"/>
      <c r="CG116" s="713"/>
      <c r="CH116" s="713"/>
      <c r="CI116" s="713"/>
      <c r="CJ116" s="713"/>
      <c r="CK116" s="713"/>
      <c r="CL116" s="713"/>
      <c r="CM116" s="713"/>
      <c r="CN116" s="713"/>
      <c r="CO116" s="713"/>
      <c r="CP116" s="713"/>
      <c r="CQ116" s="713"/>
      <c r="CR116" s="713"/>
      <c r="CS116" s="713"/>
      <c r="CT116" s="713"/>
      <c r="CU116" s="713"/>
      <c r="CV116" s="713"/>
      <c r="CW116" s="713"/>
      <c r="CX116" s="713"/>
      <c r="CY116" s="713"/>
      <c r="CZ116" s="713"/>
      <c r="DA116" s="713"/>
      <c r="DB116" s="713"/>
      <c r="DC116" s="713"/>
      <c r="DD116" s="713"/>
      <c r="DE116" s="713"/>
      <c r="DF116" s="713"/>
      <c r="DG116" s="713"/>
      <c r="DH116" s="713"/>
      <c r="DI116" s="713"/>
      <c r="DJ116" s="713"/>
      <c r="DK116" s="713"/>
      <c r="DL116" s="713"/>
      <c r="DM116" s="713"/>
      <c r="DN116" s="713"/>
      <c r="DO116" s="713"/>
      <c r="DP116" s="713"/>
      <c r="DQ116" s="713"/>
      <c r="DR116" s="713"/>
      <c r="DS116" s="713"/>
      <c r="DT116" s="713"/>
      <c r="DU116" s="713"/>
      <c r="DV116" s="713"/>
      <c r="DW116" s="713"/>
      <c r="DX116" s="713"/>
      <c r="DY116" s="713"/>
      <c r="DZ116" s="713"/>
      <c r="EA116" s="713"/>
      <c r="EB116" s="713"/>
      <c r="EC116" s="713"/>
      <c r="ED116" s="713"/>
      <c r="EE116" s="713"/>
      <c r="EF116" s="713"/>
      <c r="EG116" s="713"/>
      <c r="EH116" s="713"/>
      <c r="EI116" s="713"/>
      <c r="EJ116" s="713"/>
      <c r="EK116" s="713"/>
      <c r="EL116" s="713"/>
      <c r="EM116" s="713"/>
      <c r="EN116" s="713"/>
      <c r="EO116" s="713"/>
      <c r="EP116" s="713"/>
      <c r="EQ116" s="713"/>
      <c r="ER116" s="713"/>
      <c r="ES116" s="713"/>
      <c r="ET116" s="713"/>
      <c r="EU116" s="713"/>
      <c r="EV116" s="713"/>
      <c r="EW116" s="713"/>
      <c r="EX116" s="713"/>
      <c r="EY116" s="713"/>
      <c r="EZ116" s="713"/>
      <c r="FA116" s="713"/>
      <c r="FB116" s="713"/>
      <c r="FC116" s="713"/>
      <c r="FD116" s="713"/>
      <c r="FE116" s="713"/>
      <c r="FF116" s="713"/>
      <c r="FG116" s="713"/>
      <c r="FH116" s="713"/>
      <c r="FI116" s="713"/>
      <c r="FJ116" s="713"/>
      <c r="FK116" s="713"/>
      <c r="FL116" s="713"/>
      <c r="FM116" s="713"/>
      <c r="FN116" s="713"/>
      <c r="FO116" s="713"/>
      <c r="FP116" s="713"/>
      <c r="FQ116" s="713"/>
      <c r="FR116" s="713"/>
      <c r="FS116" s="713"/>
      <c r="FT116" s="713"/>
      <c r="FU116" s="713"/>
      <c r="FV116" s="713"/>
      <c r="FW116" s="713"/>
      <c r="FX116" s="713"/>
      <c r="FY116" s="713"/>
      <c r="FZ116" s="713"/>
      <c r="GA116" s="713"/>
      <c r="GB116" s="713"/>
      <c r="GC116" s="713"/>
      <c r="GD116" s="713"/>
      <c r="GE116" s="713"/>
      <c r="GF116" s="713"/>
      <c r="GG116" s="713"/>
      <c r="GH116" s="713"/>
      <c r="GI116" s="713"/>
      <c r="GJ116" s="713"/>
      <c r="GK116" s="713"/>
      <c r="GL116" s="713"/>
      <c r="GM116" s="713"/>
      <c r="GN116" s="713"/>
      <c r="GO116" s="713"/>
      <c r="GP116" s="713"/>
      <c r="GQ116" s="713"/>
      <c r="GR116" s="713"/>
      <c r="GS116" s="713"/>
      <c r="GT116" s="713"/>
      <c r="GU116" s="713"/>
      <c r="GV116" s="713"/>
      <c r="GW116" s="713"/>
      <c r="GX116" s="713"/>
      <c r="GY116" s="713"/>
      <c r="GZ116" s="713"/>
      <c r="HA116" s="713"/>
      <c r="HB116" s="713"/>
      <c r="HC116" s="713"/>
      <c r="HD116" s="713"/>
      <c r="HE116" s="713"/>
      <c r="HF116" s="713"/>
      <c r="HG116" s="713"/>
      <c r="HH116" s="713"/>
      <c r="HI116" s="713"/>
      <c r="HJ116" s="713"/>
      <c r="HK116" s="713"/>
      <c r="HL116" s="713"/>
      <c r="HM116" s="713"/>
      <c r="HN116" s="713"/>
      <c r="HO116" s="713"/>
      <c r="HP116" s="713"/>
      <c r="HQ116" s="713"/>
      <c r="HR116" s="713"/>
      <c r="HS116" s="713"/>
      <c r="HT116" s="713"/>
      <c r="HU116" s="713"/>
      <c r="HV116" s="713"/>
      <c r="HW116" s="713"/>
      <c r="HX116" s="713"/>
      <c r="HY116" s="713"/>
      <c r="HZ116" s="713"/>
      <c r="IA116" s="713"/>
      <c r="IB116" s="713"/>
      <c r="IC116" s="713"/>
      <c r="ID116" s="713"/>
      <c r="IE116" s="713"/>
      <c r="IF116" s="713"/>
      <c r="IG116" s="713"/>
      <c r="IH116" s="713"/>
    </row>
    <row r="117" hidden="1" outlineLevel="1">
      <c r="A117" s="598"/>
      <c r="B117" s="598"/>
      <c r="C117" s="598"/>
      <c r="D117" s="598"/>
      <c r="E117" s="598"/>
      <c r="F117" s="598"/>
      <c r="G117" s="598"/>
      <c r="H117" s="598"/>
      <c r="I117" s="598"/>
      <c r="J117" s="598"/>
      <c r="K117" s="598"/>
      <c r="L117" s="598"/>
      <c r="M117" s="598"/>
      <c r="N117" s="598"/>
      <c r="O117" s="598"/>
      <c r="P117" s="598"/>
      <c r="Q117" s="598"/>
      <c r="R117" s="598"/>
      <c r="S117" s="598"/>
      <c r="T117" s="598"/>
      <c r="U117" s="598"/>
      <c r="V117" s="598"/>
      <c r="W117" s="598"/>
      <c r="X117" s="598"/>
      <c r="Y117" s="598"/>
      <c r="Z117" s="598"/>
      <c r="AA117" s="911"/>
      <c r="AB117" s="966"/>
      <c r="AC117" s="713" t="str">
        <f>IFERROR(__xludf.DUMMYFUNCTION("""COMPUTED_VALUE"""),"Land Mine Stun Mastery")</f>
        <v>Land Mine Stun Mastery</v>
      </c>
      <c r="AD117" s="825" t="s">
        <v>359</v>
      </c>
      <c r="AE117" s="713">
        <v>0.0</v>
      </c>
      <c r="AF117" s="713"/>
      <c r="AG117" s="713">
        <v>9.0</v>
      </c>
      <c r="AH117" s="1001" t="str">
        <f>IFERROR(__xludf.DUMMYFUNCTION("IFERROR(IF(S18 = """", SEQUENCE(1, VALUE(VLOOKUP(U18, AD:AG, 4, false)) - VALUE(VLOOKUP(U18, AD:AG, 2, false)), VALUE(VLOOKUP(U18, AD:AG, 2, false)) + 1),
    IF(ISBETWEEN(S18, VALUE(VLOOKUP(U18, AD:AG, 2, false)), VALUE(VLOOKUP(U18, AD:AG, 4, false))),
 "&amp;"       SEQUENCE(1, VALUE(VLOOKUP(U18, AD:AG, 4, false)) - S18, S18 + 1),
        """")))"),"")</f>
        <v/>
      </c>
      <c r="AI117" s="713"/>
      <c r="AJ117" s="713"/>
      <c r="AK117" s="713"/>
      <c r="AL117" s="713"/>
      <c r="AM117" s="713"/>
      <c r="AN117" s="713"/>
      <c r="AO117" s="713"/>
      <c r="AP117" s="713"/>
      <c r="AQ117" s="713"/>
      <c r="AR117" s="713"/>
      <c r="AS117" s="713"/>
      <c r="AT117" s="713"/>
      <c r="AU117" s="713"/>
      <c r="AV117" s="713"/>
      <c r="AW117" s="713"/>
      <c r="AX117" s="713"/>
      <c r="AY117" s="713"/>
      <c r="AZ117" s="713"/>
      <c r="BA117" s="713"/>
      <c r="BB117" s="713"/>
      <c r="BC117" s="713"/>
      <c r="BD117" s="713"/>
      <c r="BE117" s="713"/>
      <c r="BF117" s="713"/>
      <c r="BG117" s="713"/>
      <c r="BH117" s="713"/>
      <c r="BI117" s="713"/>
      <c r="BJ117" s="713"/>
      <c r="BK117" s="713"/>
      <c r="BL117" s="713"/>
      <c r="BM117" s="713"/>
      <c r="BN117" s="713"/>
      <c r="BO117" s="713"/>
      <c r="BP117" s="713"/>
      <c r="BQ117" s="713"/>
      <c r="BR117" s="713"/>
      <c r="BS117" s="713"/>
      <c r="BT117" s="713"/>
      <c r="BU117" s="713"/>
      <c r="BV117" s="713"/>
      <c r="BW117" s="713"/>
      <c r="BX117" s="713"/>
      <c r="BY117" s="713"/>
      <c r="BZ117" s="713"/>
      <c r="CA117" s="713"/>
      <c r="CB117" s="713"/>
      <c r="CC117" s="713"/>
      <c r="CD117" s="713"/>
      <c r="CE117" s="713"/>
      <c r="CF117" s="713"/>
      <c r="CG117" s="713"/>
      <c r="CH117" s="713"/>
      <c r="CI117" s="713"/>
      <c r="CJ117" s="713"/>
      <c r="CK117" s="713"/>
      <c r="CL117" s="713"/>
      <c r="CM117" s="713"/>
      <c r="CN117" s="713"/>
      <c r="CO117" s="713"/>
      <c r="CP117" s="713"/>
      <c r="CQ117" s="713"/>
      <c r="CR117" s="713"/>
      <c r="CS117" s="713"/>
      <c r="CT117" s="713"/>
      <c r="CU117" s="713"/>
      <c r="CV117" s="713"/>
      <c r="CW117" s="713"/>
      <c r="CX117" s="713"/>
      <c r="CY117" s="713"/>
      <c r="CZ117" s="713"/>
      <c r="DA117" s="713"/>
      <c r="DB117" s="713"/>
      <c r="DC117" s="713"/>
      <c r="DD117" s="713"/>
      <c r="DE117" s="713"/>
      <c r="DF117" s="713"/>
      <c r="DG117" s="713"/>
      <c r="DH117" s="713"/>
      <c r="DI117" s="713"/>
      <c r="DJ117" s="713"/>
      <c r="DK117" s="713"/>
      <c r="DL117" s="713"/>
      <c r="DM117" s="713"/>
      <c r="DN117" s="713"/>
      <c r="DO117" s="713"/>
      <c r="DP117" s="713"/>
      <c r="DQ117" s="713"/>
      <c r="DR117" s="713"/>
      <c r="DS117" s="713"/>
      <c r="DT117" s="713"/>
      <c r="DU117" s="713"/>
      <c r="DV117" s="713"/>
      <c r="DW117" s="713"/>
      <c r="DX117" s="713"/>
      <c r="DY117" s="713"/>
      <c r="DZ117" s="713"/>
      <c r="EA117" s="713"/>
      <c r="EB117" s="713"/>
      <c r="EC117" s="713"/>
      <c r="ED117" s="713"/>
      <c r="EE117" s="713"/>
      <c r="EF117" s="713"/>
      <c r="EG117" s="713"/>
      <c r="EH117" s="713"/>
      <c r="EI117" s="713"/>
      <c r="EJ117" s="713"/>
      <c r="EK117" s="713"/>
      <c r="EL117" s="713"/>
      <c r="EM117" s="713"/>
      <c r="EN117" s="713"/>
      <c r="EO117" s="713"/>
      <c r="EP117" s="713"/>
      <c r="EQ117" s="713"/>
      <c r="ER117" s="713"/>
      <c r="ES117" s="713"/>
      <c r="ET117" s="713"/>
      <c r="EU117" s="713"/>
      <c r="EV117" s="713"/>
      <c r="EW117" s="713"/>
      <c r="EX117" s="713"/>
      <c r="EY117" s="713"/>
      <c r="EZ117" s="713"/>
      <c r="FA117" s="713"/>
      <c r="FB117" s="713"/>
      <c r="FC117" s="713"/>
      <c r="FD117" s="713"/>
      <c r="FE117" s="713"/>
      <c r="FF117" s="713"/>
      <c r="FG117" s="713"/>
      <c r="FH117" s="713"/>
      <c r="FI117" s="713"/>
      <c r="FJ117" s="713"/>
      <c r="FK117" s="713"/>
      <c r="FL117" s="713"/>
      <c r="FM117" s="713"/>
      <c r="FN117" s="713"/>
      <c r="FO117" s="713"/>
      <c r="FP117" s="713"/>
      <c r="FQ117" s="713"/>
      <c r="FR117" s="713"/>
      <c r="FS117" s="713"/>
      <c r="FT117" s="713"/>
      <c r="FU117" s="713"/>
      <c r="FV117" s="713"/>
      <c r="FW117" s="713"/>
      <c r="FX117" s="713"/>
      <c r="FY117" s="713"/>
      <c r="FZ117" s="713"/>
      <c r="GA117" s="713"/>
      <c r="GB117" s="713"/>
      <c r="GC117" s="713"/>
      <c r="GD117" s="713"/>
      <c r="GE117" s="713"/>
      <c r="GF117" s="713"/>
      <c r="GG117" s="713"/>
      <c r="GH117" s="713"/>
      <c r="GI117" s="713"/>
      <c r="GJ117" s="713"/>
      <c r="GK117" s="713"/>
      <c r="GL117" s="713"/>
      <c r="GM117" s="713"/>
      <c r="GN117" s="713"/>
      <c r="GO117" s="713"/>
      <c r="GP117" s="713"/>
      <c r="GQ117" s="713"/>
      <c r="GR117" s="713"/>
      <c r="GS117" s="713"/>
      <c r="GT117" s="713"/>
      <c r="GU117" s="713"/>
      <c r="GV117" s="713"/>
      <c r="GW117" s="713"/>
      <c r="GX117" s="713"/>
      <c r="GY117" s="713"/>
      <c r="GZ117" s="713"/>
      <c r="HA117" s="713"/>
      <c r="HB117" s="713"/>
      <c r="HC117" s="713"/>
      <c r="HD117" s="713"/>
      <c r="HE117" s="713"/>
      <c r="HF117" s="713"/>
      <c r="HG117" s="713"/>
      <c r="HH117" s="713"/>
      <c r="HI117" s="713"/>
      <c r="HJ117" s="713"/>
      <c r="HK117" s="713"/>
      <c r="HL117" s="713"/>
      <c r="HM117" s="713"/>
      <c r="HN117" s="713"/>
      <c r="HO117" s="713"/>
      <c r="HP117" s="713"/>
      <c r="HQ117" s="713"/>
      <c r="HR117" s="713"/>
      <c r="HS117" s="713"/>
      <c r="HT117" s="713"/>
      <c r="HU117" s="713"/>
      <c r="HV117" s="713"/>
      <c r="HW117" s="713"/>
      <c r="HX117" s="713"/>
      <c r="HY117" s="713"/>
      <c r="HZ117" s="713"/>
      <c r="IA117" s="713"/>
      <c r="IB117" s="713"/>
      <c r="IC117" s="713"/>
      <c r="ID117" s="713"/>
      <c r="IE117" s="713"/>
      <c r="IF117" s="713"/>
      <c r="IG117" s="713"/>
      <c r="IH117" s="713"/>
    </row>
    <row r="118" hidden="1" outlineLevel="1">
      <c r="A118" s="598"/>
      <c r="B118" s="598"/>
      <c r="C118" s="598"/>
      <c r="D118" s="598"/>
      <c r="E118" s="598"/>
      <c r="F118" s="598"/>
      <c r="G118" s="598"/>
      <c r="H118" s="598"/>
      <c r="I118" s="598"/>
      <c r="J118" s="598"/>
      <c r="K118" s="598"/>
      <c r="L118" s="598"/>
      <c r="M118" s="598"/>
      <c r="N118" s="598"/>
      <c r="O118" s="598"/>
      <c r="P118" s="598"/>
      <c r="Q118" s="598"/>
      <c r="R118" s="598"/>
      <c r="S118" s="598"/>
      <c r="T118" s="598"/>
      <c r="U118" s="598"/>
      <c r="V118" s="598"/>
      <c r="W118" s="598"/>
      <c r="X118" s="598"/>
      <c r="Y118" s="598"/>
      <c r="Z118" s="598"/>
      <c r="AA118" s="911"/>
      <c r="AB118" s="966"/>
      <c r="AC118" s="713" t="str">
        <f>IFERROR(__xludf.DUMMYFUNCTION("""COMPUTED_VALUE"""),"Light Speed Shots")</f>
        <v>Light Speed Shots</v>
      </c>
      <c r="AD118" s="816" t="s">
        <v>261</v>
      </c>
      <c r="AE118" s="713">
        <v>1.0</v>
      </c>
      <c r="AF118" s="713"/>
      <c r="AG118" s="713">
        <v>1.0</v>
      </c>
      <c r="AH118" s="1001" t="str">
        <f>IFERROR(__xludf.DUMMYFUNCTION("IFERROR(IF(S19 = """", SEQUENCE(1, VALUE(VLOOKUP(U19, AD:AG, 4, false)) - VALUE(VLOOKUP(U19, AD:AG, 2, false)), VALUE(VLOOKUP(U19, AD:AG, 2, false)) + 1),
    IF(ISBETWEEN(S19, VALUE(VLOOKUP(U19, AD:AG, 2, false)), VALUE(VLOOKUP(U19, AD:AG, 4, false))),
 "&amp;"       SEQUENCE(1, VALUE(VLOOKUP(U19, AD:AG, 4, false)) - S19, S19 + 1),
        """")))"),"")</f>
        <v/>
      </c>
      <c r="AI118" s="713"/>
      <c r="AJ118" s="713"/>
      <c r="AK118" s="713"/>
      <c r="AL118" s="713"/>
      <c r="AM118" s="713"/>
      <c r="AN118" s="713"/>
      <c r="AO118" s="713"/>
      <c r="AP118" s="713"/>
      <c r="AQ118" s="713"/>
      <c r="AR118" s="713"/>
      <c r="AS118" s="713"/>
      <c r="AT118" s="713"/>
      <c r="AU118" s="713"/>
      <c r="AV118" s="713"/>
      <c r="AW118" s="713"/>
      <c r="AX118" s="713"/>
      <c r="AY118" s="713"/>
      <c r="AZ118" s="713"/>
      <c r="BA118" s="713"/>
      <c r="BB118" s="713"/>
      <c r="BC118" s="713"/>
      <c r="BD118" s="713"/>
      <c r="BE118" s="713"/>
      <c r="BF118" s="713"/>
      <c r="BG118" s="713"/>
      <c r="BH118" s="713"/>
      <c r="BI118" s="713"/>
      <c r="BJ118" s="713"/>
      <c r="BK118" s="713"/>
      <c r="BL118" s="713"/>
      <c r="BM118" s="713"/>
      <c r="BN118" s="713"/>
      <c r="BO118" s="713"/>
      <c r="BP118" s="713"/>
      <c r="BQ118" s="713"/>
      <c r="BR118" s="713"/>
      <c r="BS118" s="713"/>
      <c r="BT118" s="713"/>
      <c r="BU118" s="713"/>
      <c r="BV118" s="713"/>
      <c r="BW118" s="713"/>
      <c r="BX118" s="713"/>
      <c r="BY118" s="713"/>
      <c r="BZ118" s="713"/>
      <c r="CA118" s="713"/>
      <c r="CB118" s="713"/>
      <c r="CC118" s="713"/>
      <c r="CD118" s="713"/>
      <c r="CE118" s="713"/>
      <c r="CF118" s="713"/>
      <c r="CG118" s="713"/>
      <c r="CH118" s="713"/>
      <c r="CI118" s="713"/>
      <c r="CJ118" s="713"/>
      <c r="CK118" s="713"/>
      <c r="CL118" s="713"/>
      <c r="CM118" s="713"/>
      <c r="CN118" s="713"/>
      <c r="CO118" s="713"/>
      <c r="CP118" s="713"/>
      <c r="CQ118" s="713"/>
      <c r="CR118" s="713"/>
      <c r="CS118" s="713"/>
      <c r="CT118" s="713"/>
      <c r="CU118" s="713"/>
      <c r="CV118" s="713"/>
      <c r="CW118" s="713"/>
      <c r="CX118" s="713"/>
      <c r="CY118" s="713"/>
      <c r="CZ118" s="713"/>
      <c r="DA118" s="713"/>
      <c r="DB118" s="713"/>
      <c r="DC118" s="713"/>
      <c r="DD118" s="713"/>
      <c r="DE118" s="713"/>
      <c r="DF118" s="713"/>
      <c r="DG118" s="713"/>
      <c r="DH118" s="713"/>
      <c r="DI118" s="713"/>
      <c r="DJ118" s="713"/>
      <c r="DK118" s="713"/>
      <c r="DL118" s="713"/>
      <c r="DM118" s="713"/>
      <c r="DN118" s="713"/>
      <c r="DO118" s="713"/>
      <c r="DP118" s="713"/>
      <c r="DQ118" s="713"/>
      <c r="DR118" s="713"/>
      <c r="DS118" s="713"/>
      <c r="DT118" s="713"/>
      <c r="DU118" s="713"/>
      <c r="DV118" s="713"/>
      <c r="DW118" s="713"/>
      <c r="DX118" s="713"/>
      <c r="DY118" s="713"/>
      <c r="DZ118" s="713"/>
      <c r="EA118" s="713"/>
      <c r="EB118" s="713"/>
      <c r="EC118" s="713"/>
      <c r="ED118" s="713"/>
      <c r="EE118" s="713"/>
      <c r="EF118" s="713"/>
      <c r="EG118" s="713"/>
      <c r="EH118" s="713"/>
      <c r="EI118" s="713"/>
      <c r="EJ118" s="713"/>
      <c r="EK118" s="713"/>
      <c r="EL118" s="713"/>
      <c r="EM118" s="713"/>
      <c r="EN118" s="713"/>
      <c r="EO118" s="713"/>
      <c r="EP118" s="713"/>
      <c r="EQ118" s="713"/>
      <c r="ER118" s="713"/>
      <c r="ES118" s="713"/>
      <c r="ET118" s="713"/>
      <c r="EU118" s="713"/>
      <c r="EV118" s="713"/>
      <c r="EW118" s="713"/>
      <c r="EX118" s="713"/>
      <c r="EY118" s="713"/>
      <c r="EZ118" s="713"/>
      <c r="FA118" s="713"/>
      <c r="FB118" s="713"/>
      <c r="FC118" s="713"/>
      <c r="FD118" s="713"/>
      <c r="FE118" s="713"/>
      <c r="FF118" s="713"/>
      <c r="FG118" s="713"/>
      <c r="FH118" s="713"/>
      <c r="FI118" s="713"/>
      <c r="FJ118" s="713"/>
      <c r="FK118" s="713"/>
      <c r="FL118" s="713"/>
      <c r="FM118" s="713"/>
      <c r="FN118" s="713"/>
      <c r="FO118" s="713"/>
      <c r="FP118" s="713"/>
      <c r="FQ118" s="713"/>
      <c r="FR118" s="713"/>
      <c r="FS118" s="713"/>
      <c r="FT118" s="713"/>
      <c r="FU118" s="713"/>
      <c r="FV118" s="713"/>
      <c r="FW118" s="713"/>
      <c r="FX118" s="713"/>
      <c r="FY118" s="713"/>
      <c r="FZ118" s="713"/>
      <c r="GA118" s="713"/>
      <c r="GB118" s="713"/>
      <c r="GC118" s="713"/>
      <c r="GD118" s="713"/>
      <c r="GE118" s="713"/>
      <c r="GF118" s="713"/>
      <c r="GG118" s="713"/>
      <c r="GH118" s="713"/>
      <c r="GI118" s="713"/>
      <c r="GJ118" s="713"/>
      <c r="GK118" s="713"/>
      <c r="GL118" s="713"/>
      <c r="GM118" s="713"/>
      <c r="GN118" s="713"/>
      <c r="GO118" s="713"/>
      <c r="GP118" s="713"/>
      <c r="GQ118" s="713"/>
      <c r="GR118" s="713"/>
      <c r="GS118" s="713"/>
      <c r="GT118" s="713"/>
      <c r="GU118" s="713"/>
      <c r="GV118" s="713"/>
      <c r="GW118" s="713"/>
      <c r="GX118" s="713"/>
      <c r="GY118" s="713"/>
      <c r="GZ118" s="713"/>
      <c r="HA118" s="713"/>
      <c r="HB118" s="713"/>
      <c r="HC118" s="713"/>
      <c r="HD118" s="713"/>
      <c r="HE118" s="713"/>
      <c r="HF118" s="713"/>
      <c r="HG118" s="713"/>
      <c r="HH118" s="713"/>
      <c r="HI118" s="713"/>
      <c r="HJ118" s="713"/>
      <c r="HK118" s="713"/>
      <c r="HL118" s="713"/>
      <c r="HM118" s="713"/>
      <c r="HN118" s="713"/>
      <c r="HO118" s="713"/>
      <c r="HP118" s="713"/>
      <c r="HQ118" s="713"/>
      <c r="HR118" s="713"/>
      <c r="HS118" s="713"/>
      <c r="HT118" s="713"/>
      <c r="HU118" s="713"/>
      <c r="HV118" s="713"/>
      <c r="HW118" s="713"/>
      <c r="HX118" s="713"/>
      <c r="HY118" s="713"/>
      <c r="HZ118" s="713"/>
      <c r="IA118" s="713"/>
      <c r="IB118" s="713"/>
      <c r="IC118" s="713"/>
      <c r="ID118" s="713"/>
      <c r="IE118" s="713"/>
      <c r="IF118" s="713"/>
      <c r="IG118" s="713"/>
      <c r="IH118" s="713"/>
    </row>
    <row r="119" hidden="1" outlineLevel="1">
      <c r="A119" s="598"/>
      <c r="B119" s="598"/>
      <c r="C119" s="598"/>
      <c r="D119" s="598"/>
      <c r="E119" s="598"/>
      <c r="F119" s="598"/>
      <c r="G119" s="598"/>
      <c r="H119" s="598"/>
      <c r="I119" s="598"/>
      <c r="J119" s="598"/>
      <c r="K119" s="598"/>
      <c r="L119" s="598"/>
      <c r="M119" s="598"/>
      <c r="N119" s="598"/>
      <c r="O119" s="598"/>
      <c r="P119" s="598"/>
      <c r="Q119" s="598"/>
      <c r="R119" s="598"/>
      <c r="S119" s="598"/>
      <c r="T119" s="598"/>
      <c r="U119" s="598"/>
      <c r="V119" s="598"/>
      <c r="W119" s="598"/>
      <c r="X119" s="598"/>
      <c r="Y119" s="598"/>
      <c r="Z119" s="598"/>
      <c r="AA119" s="911"/>
      <c r="AB119" s="999"/>
      <c r="AC119" s="720" t="str">
        <f>IFERROR(__xludf.DUMMYFUNCTION("""COMPUTED_VALUE"""),"Lightning Amplifier - Scatter")</f>
        <v>Lightning Amplifier - Scatter</v>
      </c>
      <c r="AD119" s="913" t="s">
        <v>372</v>
      </c>
      <c r="AE119" s="720">
        <v>9.0</v>
      </c>
      <c r="AF119" s="720"/>
      <c r="AG119" s="720">
        <v>30.0</v>
      </c>
      <c r="AH119" s="1001" t="str">
        <f>IFERROR(__xludf.DUMMYFUNCTION("IFERROR(IF(S20 = """", SEQUENCE(1, VALUE(VLOOKUP(U20, AD:AG, 4, false)) - VALUE(VLOOKUP(U20, AD:AG, 2, false)), VALUE(VLOOKUP(U20, AD:AG, 2, false)) + 1),
    IF(ISBETWEEN(S20, VALUE(VLOOKUP(U20, AD:AG, 2, false)), VALUE(VLOOKUP(U20, AD:AG, 4, false))),
 "&amp;"       SEQUENCE(1, VALUE(VLOOKUP(U20, AD:AG, 4, false)) - S20, S20 + 1),
        """")))"),"")</f>
        <v/>
      </c>
      <c r="AI119" s="720"/>
      <c r="AJ119" s="720"/>
      <c r="AK119" s="720"/>
      <c r="AL119" s="720"/>
      <c r="AM119" s="720"/>
      <c r="AN119" s="720"/>
      <c r="AO119" s="720"/>
      <c r="AP119" s="720"/>
      <c r="AQ119" s="720"/>
      <c r="AR119" s="720"/>
      <c r="AS119" s="720"/>
      <c r="AT119" s="720"/>
      <c r="AU119" s="720"/>
      <c r="AV119" s="720"/>
      <c r="AW119" s="720"/>
      <c r="AX119" s="720"/>
      <c r="AY119" s="720"/>
      <c r="AZ119" s="720"/>
      <c r="BA119" s="720"/>
      <c r="BB119" s="720"/>
      <c r="BC119" s="720"/>
      <c r="BD119" s="720"/>
      <c r="BE119" s="720"/>
      <c r="BF119" s="720"/>
      <c r="BG119" s="720"/>
      <c r="BH119" s="720"/>
      <c r="BI119" s="720"/>
      <c r="BJ119" s="720"/>
      <c r="BK119" s="720"/>
      <c r="BL119" s="720"/>
      <c r="BM119" s="720"/>
      <c r="BN119" s="720"/>
      <c r="BO119" s="720"/>
      <c r="BP119" s="720"/>
      <c r="BQ119" s="720"/>
      <c r="BR119" s="720"/>
      <c r="BS119" s="720"/>
      <c r="BT119" s="720"/>
      <c r="BU119" s="720"/>
      <c r="BV119" s="720"/>
      <c r="BW119" s="720"/>
      <c r="BX119" s="720"/>
      <c r="BY119" s="720"/>
      <c r="BZ119" s="720"/>
      <c r="CA119" s="720"/>
      <c r="CB119" s="720"/>
      <c r="CC119" s="720"/>
      <c r="CD119" s="720"/>
      <c r="CE119" s="720"/>
      <c r="CF119" s="720"/>
      <c r="CG119" s="720"/>
      <c r="CH119" s="720"/>
      <c r="CI119" s="720"/>
      <c r="CJ119" s="720"/>
      <c r="CK119" s="720"/>
      <c r="CL119" s="720"/>
      <c r="CM119" s="720"/>
      <c r="CN119" s="720"/>
      <c r="CO119" s="720"/>
      <c r="CP119" s="720"/>
      <c r="CQ119" s="720"/>
      <c r="CR119" s="720"/>
      <c r="CS119" s="720"/>
      <c r="CT119" s="720"/>
      <c r="CU119" s="720"/>
      <c r="CV119" s="720"/>
      <c r="CW119" s="720"/>
      <c r="CX119" s="720"/>
      <c r="CY119" s="720"/>
      <c r="CZ119" s="720"/>
      <c r="DA119" s="720"/>
      <c r="DB119" s="720"/>
      <c r="DC119" s="720"/>
      <c r="DD119" s="720"/>
      <c r="DE119" s="720"/>
      <c r="DF119" s="720"/>
      <c r="DG119" s="720"/>
      <c r="DH119" s="720"/>
      <c r="DI119" s="720"/>
      <c r="DJ119" s="720"/>
      <c r="DK119" s="720"/>
      <c r="DL119" s="720"/>
      <c r="DM119" s="720"/>
      <c r="DN119" s="720"/>
      <c r="DO119" s="720"/>
      <c r="DP119" s="720"/>
      <c r="DQ119" s="720"/>
      <c r="DR119" s="720"/>
      <c r="DS119" s="720"/>
      <c r="DT119" s="720"/>
      <c r="DU119" s="720"/>
      <c r="DV119" s="720"/>
      <c r="DW119" s="720"/>
      <c r="DX119" s="720"/>
      <c r="DY119" s="720"/>
      <c r="DZ119" s="720"/>
      <c r="EA119" s="720"/>
      <c r="EB119" s="720"/>
      <c r="EC119" s="720"/>
      <c r="ED119" s="720"/>
      <c r="EE119" s="720"/>
      <c r="EF119" s="720"/>
      <c r="EG119" s="720"/>
      <c r="EH119" s="720"/>
      <c r="EI119" s="720"/>
      <c r="EJ119" s="720"/>
      <c r="EK119" s="720"/>
      <c r="EL119" s="720"/>
      <c r="EM119" s="720"/>
      <c r="EN119" s="720"/>
      <c r="EO119" s="720"/>
      <c r="EP119" s="720"/>
      <c r="EQ119" s="720"/>
      <c r="ER119" s="720"/>
      <c r="ES119" s="720"/>
      <c r="ET119" s="720"/>
      <c r="EU119" s="720"/>
      <c r="EV119" s="720"/>
      <c r="EW119" s="720"/>
      <c r="EX119" s="720"/>
      <c r="EY119" s="720"/>
      <c r="EZ119" s="720"/>
      <c r="FA119" s="720"/>
      <c r="FB119" s="720"/>
      <c r="FC119" s="720"/>
      <c r="FD119" s="720"/>
      <c r="FE119" s="720"/>
      <c r="FF119" s="720"/>
      <c r="FG119" s="720"/>
      <c r="FH119" s="720"/>
      <c r="FI119" s="720"/>
      <c r="FJ119" s="720"/>
      <c r="FK119" s="720"/>
      <c r="FL119" s="720"/>
      <c r="FM119" s="720"/>
      <c r="FN119" s="720"/>
      <c r="FO119" s="720"/>
      <c r="FP119" s="720"/>
      <c r="FQ119" s="720"/>
      <c r="FR119" s="720"/>
      <c r="FS119" s="720"/>
      <c r="FT119" s="720"/>
      <c r="FU119" s="720"/>
      <c r="FV119" s="720"/>
      <c r="FW119" s="720"/>
      <c r="FX119" s="720"/>
      <c r="FY119" s="720"/>
      <c r="FZ119" s="720"/>
      <c r="GA119" s="720"/>
      <c r="GB119" s="720"/>
      <c r="GC119" s="720"/>
      <c r="GD119" s="720"/>
      <c r="GE119" s="720"/>
      <c r="GF119" s="720"/>
      <c r="GG119" s="720"/>
      <c r="GH119" s="720"/>
      <c r="GI119" s="720"/>
      <c r="GJ119" s="720"/>
      <c r="GK119" s="720"/>
      <c r="GL119" s="720"/>
      <c r="GM119" s="720"/>
      <c r="GN119" s="720"/>
      <c r="GO119" s="720"/>
      <c r="GP119" s="720"/>
      <c r="GQ119" s="720"/>
      <c r="GR119" s="720"/>
      <c r="GS119" s="720"/>
      <c r="GT119" s="720"/>
      <c r="GU119" s="720"/>
      <c r="GV119" s="720"/>
      <c r="GW119" s="720"/>
      <c r="GX119" s="720"/>
      <c r="GY119" s="720"/>
      <c r="GZ119" s="720"/>
      <c r="HA119" s="720"/>
      <c r="HB119" s="720"/>
      <c r="HC119" s="720"/>
      <c r="HD119" s="720"/>
      <c r="HE119" s="720"/>
      <c r="HF119" s="720"/>
      <c r="HG119" s="720"/>
      <c r="HH119" s="720"/>
      <c r="HI119" s="720"/>
      <c r="HJ119" s="720"/>
      <c r="HK119" s="720"/>
      <c r="HL119" s="720"/>
      <c r="HM119" s="720"/>
      <c r="HN119" s="720"/>
      <c r="HO119" s="720"/>
      <c r="HP119" s="720"/>
      <c r="HQ119" s="720"/>
      <c r="HR119" s="720"/>
      <c r="HS119" s="720"/>
      <c r="HT119" s="720"/>
      <c r="HU119" s="720"/>
      <c r="HV119" s="720"/>
      <c r="HW119" s="720"/>
      <c r="HX119" s="720"/>
      <c r="HY119" s="720"/>
      <c r="HZ119" s="720"/>
      <c r="IA119" s="720"/>
      <c r="IB119" s="720"/>
      <c r="IC119" s="720"/>
      <c r="ID119" s="720"/>
      <c r="IE119" s="720"/>
      <c r="IF119" s="720"/>
      <c r="IG119" s="720"/>
      <c r="IH119" s="720"/>
    </row>
    <row r="120" hidden="1" outlineLevel="1">
      <c r="A120" s="598"/>
      <c r="B120" s="598"/>
      <c r="C120" s="598"/>
      <c r="D120" s="598"/>
      <c r="E120" s="598"/>
      <c r="F120" s="598"/>
      <c r="G120" s="598"/>
      <c r="H120" s="598"/>
      <c r="I120" s="598"/>
      <c r="J120" s="598"/>
      <c r="K120" s="598"/>
      <c r="L120" s="598"/>
      <c r="M120" s="598"/>
      <c r="N120" s="598"/>
      <c r="O120" s="598"/>
      <c r="P120" s="598"/>
      <c r="Q120" s="598"/>
      <c r="R120" s="598"/>
      <c r="S120" s="598"/>
      <c r="T120" s="598"/>
      <c r="U120" s="598"/>
      <c r="V120" s="598"/>
      <c r="W120" s="598"/>
      <c r="X120" s="598"/>
      <c r="Y120" s="598"/>
      <c r="Z120" s="598"/>
      <c r="AA120" s="911"/>
      <c r="AB120" s="999"/>
      <c r="AC120" s="720" t="str">
        <f>IFERROR(__xludf.DUMMYFUNCTION("""COMPUTED_VALUE"""),"Max Interest")</f>
        <v>Max Interest</v>
      </c>
      <c r="AD120" s="913" t="s">
        <v>230</v>
      </c>
      <c r="AE120" s="720">
        <v>8.0</v>
      </c>
      <c r="AF120" s="720"/>
      <c r="AG120" s="720">
        <v>15.0</v>
      </c>
      <c r="AH120" s="1001" t="str">
        <f>IFERROR(__xludf.DUMMYFUNCTION("IFERROR(IF(S21 = """", SEQUENCE(1, VALUE(VLOOKUP(U21, AD:AG, 4, false)) - VALUE(VLOOKUP(U21, AD:AG, 2, false)), VALUE(VLOOKUP(U21, AD:AG, 2, false)) + 1),
    IF(ISBETWEEN(S21, VALUE(VLOOKUP(U21, AD:AG, 2, false)), VALUE(VLOOKUP(U21, AD:AG, 4, false))),
 "&amp;"       SEQUENCE(1, VALUE(VLOOKUP(U21, AD:AG, 4, false)) - S21, S21 + 1),
        """")))"),"")</f>
        <v/>
      </c>
      <c r="AI120" s="720"/>
      <c r="AJ120" s="720"/>
      <c r="AK120" s="720"/>
      <c r="AL120" s="720"/>
      <c r="AM120" s="720"/>
      <c r="AN120" s="720"/>
      <c r="AO120" s="720"/>
      <c r="AP120" s="720"/>
      <c r="AQ120" s="720"/>
      <c r="AR120" s="720"/>
      <c r="AS120" s="720"/>
      <c r="AT120" s="720"/>
      <c r="AU120" s="720"/>
      <c r="AV120" s="720"/>
      <c r="AW120" s="720"/>
      <c r="AX120" s="720"/>
      <c r="AY120" s="720"/>
      <c r="AZ120" s="720"/>
      <c r="BA120" s="720"/>
      <c r="BB120" s="720"/>
      <c r="BC120" s="720"/>
      <c r="BD120" s="720"/>
      <c r="BE120" s="720"/>
      <c r="BF120" s="720"/>
      <c r="BG120" s="720"/>
      <c r="BH120" s="720"/>
      <c r="BI120" s="720"/>
      <c r="BJ120" s="720"/>
      <c r="BK120" s="720"/>
      <c r="BL120" s="720"/>
      <c r="BM120" s="720"/>
      <c r="BN120" s="720"/>
      <c r="BO120" s="720"/>
      <c r="BP120" s="720"/>
      <c r="BQ120" s="720"/>
      <c r="BR120" s="720"/>
      <c r="BS120" s="720"/>
      <c r="BT120" s="720"/>
      <c r="BU120" s="720"/>
      <c r="BV120" s="720"/>
      <c r="BW120" s="720"/>
      <c r="BX120" s="720"/>
      <c r="BY120" s="720"/>
      <c r="BZ120" s="720"/>
      <c r="CA120" s="720"/>
      <c r="CB120" s="720"/>
      <c r="CC120" s="720"/>
      <c r="CD120" s="720"/>
      <c r="CE120" s="720"/>
      <c r="CF120" s="720"/>
      <c r="CG120" s="720"/>
      <c r="CH120" s="720"/>
      <c r="CI120" s="720"/>
      <c r="CJ120" s="720"/>
      <c r="CK120" s="720"/>
      <c r="CL120" s="720"/>
      <c r="CM120" s="720"/>
      <c r="CN120" s="720"/>
      <c r="CO120" s="720"/>
      <c r="CP120" s="720"/>
      <c r="CQ120" s="720"/>
      <c r="CR120" s="720"/>
      <c r="CS120" s="720"/>
      <c r="CT120" s="720"/>
      <c r="CU120" s="720"/>
      <c r="CV120" s="720"/>
      <c r="CW120" s="720"/>
      <c r="CX120" s="720"/>
      <c r="CY120" s="720"/>
      <c r="CZ120" s="720"/>
      <c r="DA120" s="720"/>
      <c r="DB120" s="720"/>
      <c r="DC120" s="720"/>
      <c r="DD120" s="720"/>
      <c r="DE120" s="720"/>
      <c r="DF120" s="720"/>
      <c r="DG120" s="720"/>
      <c r="DH120" s="720"/>
      <c r="DI120" s="720"/>
      <c r="DJ120" s="720"/>
      <c r="DK120" s="720"/>
      <c r="DL120" s="720"/>
      <c r="DM120" s="720"/>
      <c r="DN120" s="720"/>
      <c r="DO120" s="720"/>
      <c r="DP120" s="720"/>
      <c r="DQ120" s="720"/>
      <c r="DR120" s="720"/>
      <c r="DS120" s="720"/>
      <c r="DT120" s="720"/>
      <c r="DU120" s="720"/>
      <c r="DV120" s="720"/>
      <c r="DW120" s="720"/>
      <c r="DX120" s="720"/>
      <c r="DY120" s="720"/>
      <c r="DZ120" s="720"/>
      <c r="EA120" s="720"/>
      <c r="EB120" s="720"/>
      <c r="EC120" s="720"/>
      <c r="ED120" s="720"/>
      <c r="EE120" s="720"/>
      <c r="EF120" s="720"/>
      <c r="EG120" s="720"/>
      <c r="EH120" s="720"/>
      <c r="EI120" s="720"/>
      <c r="EJ120" s="720"/>
      <c r="EK120" s="720"/>
      <c r="EL120" s="720"/>
      <c r="EM120" s="720"/>
      <c r="EN120" s="720"/>
      <c r="EO120" s="720"/>
      <c r="EP120" s="720"/>
      <c r="EQ120" s="720"/>
      <c r="ER120" s="720"/>
      <c r="ES120" s="720"/>
      <c r="ET120" s="720"/>
      <c r="EU120" s="720"/>
      <c r="EV120" s="720"/>
      <c r="EW120" s="720"/>
      <c r="EX120" s="720"/>
      <c r="EY120" s="720"/>
      <c r="EZ120" s="720"/>
      <c r="FA120" s="720"/>
      <c r="FB120" s="720"/>
      <c r="FC120" s="720"/>
      <c r="FD120" s="720"/>
      <c r="FE120" s="720"/>
      <c r="FF120" s="720"/>
      <c r="FG120" s="720"/>
      <c r="FH120" s="720"/>
      <c r="FI120" s="720"/>
      <c r="FJ120" s="720"/>
      <c r="FK120" s="720"/>
      <c r="FL120" s="720"/>
      <c r="FM120" s="720"/>
      <c r="FN120" s="720"/>
      <c r="FO120" s="720"/>
      <c r="FP120" s="720"/>
      <c r="FQ120" s="720"/>
      <c r="FR120" s="720"/>
      <c r="FS120" s="720"/>
      <c r="FT120" s="720"/>
      <c r="FU120" s="720"/>
      <c r="FV120" s="720"/>
      <c r="FW120" s="720"/>
      <c r="FX120" s="720"/>
      <c r="FY120" s="720"/>
      <c r="FZ120" s="720"/>
      <c r="GA120" s="720"/>
      <c r="GB120" s="720"/>
      <c r="GC120" s="720"/>
      <c r="GD120" s="720"/>
      <c r="GE120" s="720"/>
      <c r="GF120" s="720"/>
      <c r="GG120" s="720"/>
      <c r="GH120" s="720"/>
      <c r="GI120" s="720"/>
      <c r="GJ120" s="720"/>
      <c r="GK120" s="720"/>
      <c r="GL120" s="720"/>
      <c r="GM120" s="720"/>
      <c r="GN120" s="720"/>
      <c r="GO120" s="720"/>
      <c r="GP120" s="720"/>
      <c r="GQ120" s="720"/>
      <c r="GR120" s="720"/>
      <c r="GS120" s="720"/>
      <c r="GT120" s="720"/>
      <c r="GU120" s="720"/>
      <c r="GV120" s="720"/>
      <c r="GW120" s="720"/>
      <c r="GX120" s="720"/>
      <c r="GY120" s="720"/>
      <c r="GZ120" s="720"/>
      <c r="HA120" s="720"/>
      <c r="HB120" s="720"/>
      <c r="HC120" s="720"/>
      <c r="HD120" s="720"/>
      <c r="HE120" s="720"/>
      <c r="HF120" s="720"/>
      <c r="HG120" s="720"/>
      <c r="HH120" s="720"/>
      <c r="HI120" s="720"/>
      <c r="HJ120" s="720"/>
      <c r="HK120" s="720"/>
      <c r="HL120" s="720"/>
      <c r="HM120" s="720"/>
      <c r="HN120" s="720"/>
      <c r="HO120" s="720"/>
      <c r="HP120" s="720"/>
      <c r="HQ120" s="720"/>
      <c r="HR120" s="720"/>
      <c r="HS120" s="720"/>
      <c r="HT120" s="720"/>
      <c r="HU120" s="720"/>
      <c r="HV120" s="720"/>
      <c r="HW120" s="720"/>
      <c r="HX120" s="720"/>
      <c r="HY120" s="720"/>
      <c r="HZ120" s="720"/>
      <c r="IA120" s="720"/>
      <c r="IB120" s="720"/>
      <c r="IC120" s="720"/>
      <c r="ID120" s="720"/>
      <c r="IE120" s="720"/>
      <c r="IF120" s="720"/>
      <c r="IG120" s="720"/>
      <c r="IH120" s="720"/>
    </row>
    <row r="121" hidden="1" outlineLevel="1">
      <c r="A121" s="598"/>
      <c r="B121" s="598"/>
      <c r="C121" s="598"/>
      <c r="D121" s="598"/>
      <c r="E121" s="598"/>
      <c r="F121" s="598"/>
      <c r="G121" s="598"/>
      <c r="H121" s="598"/>
      <c r="I121" s="598"/>
      <c r="J121" s="598"/>
      <c r="K121" s="598"/>
      <c r="L121" s="598"/>
      <c r="M121" s="598"/>
      <c r="N121" s="598"/>
      <c r="O121" s="598"/>
      <c r="P121" s="598"/>
      <c r="Q121" s="598"/>
      <c r="R121" s="598"/>
      <c r="S121" s="598"/>
      <c r="T121" s="598"/>
      <c r="U121" s="598"/>
      <c r="V121" s="598"/>
      <c r="W121" s="598"/>
      <c r="X121" s="598"/>
      <c r="Y121" s="598"/>
      <c r="Z121" s="598"/>
      <c r="AA121" s="911"/>
      <c r="AB121" s="999"/>
      <c r="AC121" s="720" t="str">
        <f>IFERROR(__xludf.DUMMYFUNCTION("""COMPUTED_VALUE"""),"Max Rend Armor Multiplier")</f>
        <v>Max Rend Armor Multiplier</v>
      </c>
      <c r="AD121" s="913" t="s">
        <v>250</v>
      </c>
      <c r="AE121" s="720">
        <v>0.0</v>
      </c>
      <c r="AF121" s="720"/>
      <c r="AG121" s="720">
        <v>30.0</v>
      </c>
      <c r="AH121" s="1001" t="str">
        <f>IFERROR(__xludf.DUMMYFUNCTION("IFERROR(IF(S22 = """", SEQUENCE(1, VALUE(VLOOKUP(U22, AD:AG, 4, false)) - VALUE(VLOOKUP(U22, AD:AG, 2, false)), VALUE(VLOOKUP(U22, AD:AG, 2, false)) + 1),
    IF(ISBETWEEN(S22, VALUE(VLOOKUP(U22, AD:AG, 2, false)), VALUE(VLOOKUP(U22, AD:AG, 4, false))),
 "&amp;"       SEQUENCE(1, VALUE(VLOOKUP(U22, AD:AG, 4, false)) - S22, S22 + 1),
        """")))"),"")</f>
        <v/>
      </c>
      <c r="AI121" s="720"/>
      <c r="AJ121" s="720"/>
      <c r="AK121" s="720"/>
      <c r="AL121" s="720"/>
      <c r="AM121" s="720"/>
      <c r="AN121" s="720"/>
      <c r="AO121" s="720"/>
      <c r="AP121" s="720"/>
      <c r="AQ121" s="720"/>
      <c r="AR121" s="720"/>
      <c r="AS121" s="720"/>
      <c r="AT121" s="720"/>
      <c r="AU121" s="720"/>
      <c r="AV121" s="720"/>
      <c r="AW121" s="720"/>
      <c r="AX121" s="720"/>
      <c r="AY121" s="720"/>
      <c r="AZ121" s="720"/>
      <c r="BA121" s="720"/>
      <c r="BB121" s="720"/>
      <c r="BC121" s="720"/>
      <c r="BD121" s="720"/>
      <c r="BE121" s="720"/>
      <c r="BF121" s="720"/>
      <c r="BG121" s="720"/>
      <c r="BH121" s="720"/>
      <c r="BI121" s="720"/>
      <c r="BJ121" s="720"/>
      <c r="BK121" s="720"/>
      <c r="BL121" s="720"/>
      <c r="BM121" s="720"/>
      <c r="BN121" s="720"/>
      <c r="BO121" s="720"/>
      <c r="BP121" s="720"/>
      <c r="BQ121" s="720"/>
      <c r="BR121" s="720"/>
      <c r="BS121" s="720"/>
      <c r="BT121" s="720"/>
      <c r="BU121" s="720"/>
      <c r="BV121" s="720"/>
      <c r="BW121" s="720"/>
      <c r="BX121" s="720"/>
      <c r="BY121" s="720"/>
      <c r="BZ121" s="720"/>
      <c r="CA121" s="720"/>
      <c r="CB121" s="720"/>
      <c r="CC121" s="720"/>
      <c r="CD121" s="720"/>
      <c r="CE121" s="720"/>
      <c r="CF121" s="720"/>
      <c r="CG121" s="720"/>
      <c r="CH121" s="720"/>
      <c r="CI121" s="720"/>
      <c r="CJ121" s="720"/>
      <c r="CK121" s="720"/>
      <c r="CL121" s="720"/>
      <c r="CM121" s="720"/>
      <c r="CN121" s="720"/>
      <c r="CO121" s="720"/>
      <c r="CP121" s="720"/>
      <c r="CQ121" s="720"/>
      <c r="CR121" s="720"/>
      <c r="CS121" s="720"/>
      <c r="CT121" s="720"/>
      <c r="CU121" s="720"/>
      <c r="CV121" s="720"/>
      <c r="CW121" s="720"/>
      <c r="CX121" s="720"/>
      <c r="CY121" s="720"/>
      <c r="CZ121" s="720"/>
      <c r="DA121" s="720"/>
      <c r="DB121" s="720"/>
      <c r="DC121" s="720"/>
      <c r="DD121" s="720"/>
      <c r="DE121" s="720"/>
      <c r="DF121" s="720"/>
      <c r="DG121" s="720"/>
      <c r="DH121" s="720"/>
      <c r="DI121" s="720"/>
      <c r="DJ121" s="720"/>
      <c r="DK121" s="720"/>
      <c r="DL121" s="720"/>
      <c r="DM121" s="720"/>
      <c r="DN121" s="720"/>
      <c r="DO121" s="720"/>
      <c r="DP121" s="720"/>
      <c r="DQ121" s="720"/>
      <c r="DR121" s="720"/>
      <c r="DS121" s="720"/>
      <c r="DT121" s="720"/>
      <c r="DU121" s="720"/>
      <c r="DV121" s="720"/>
      <c r="DW121" s="720"/>
      <c r="DX121" s="720"/>
      <c r="DY121" s="720"/>
      <c r="DZ121" s="720"/>
      <c r="EA121" s="720"/>
      <c r="EB121" s="720"/>
      <c r="EC121" s="720"/>
      <c r="ED121" s="720"/>
      <c r="EE121" s="720"/>
      <c r="EF121" s="720"/>
      <c r="EG121" s="720"/>
      <c r="EH121" s="720"/>
      <c r="EI121" s="720"/>
      <c r="EJ121" s="720"/>
      <c r="EK121" s="720"/>
      <c r="EL121" s="720"/>
      <c r="EM121" s="720"/>
      <c r="EN121" s="720"/>
      <c r="EO121" s="720"/>
      <c r="EP121" s="720"/>
      <c r="EQ121" s="720"/>
      <c r="ER121" s="720"/>
      <c r="ES121" s="720"/>
      <c r="ET121" s="720"/>
      <c r="EU121" s="720"/>
      <c r="EV121" s="720"/>
      <c r="EW121" s="720"/>
      <c r="EX121" s="720"/>
      <c r="EY121" s="720"/>
      <c r="EZ121" s="720"/>
      <c r="FA121" s="720"/>
      <c r="FB121" s="720"/>
      <c r="FC121" s="720"/>
      <c r="FD121" s="720"/>
      <c r="FE121" s="720"/>
      <c r="FF121" s="720"/>
      <c r="FG121" s="720"/>
      <c r="FH121" s="720"/>
      <c r="FI121" s="720"/>
      <c r="FJ121" s="720"/>
      <c r="FK121" s="720"/>
      <c r="FL121" s="720"/>
      <c r="FM121" s="720"/>
      <c r="FN121" s="720"/>
      <c r="FO121" s="720"/>
      <c r="FP121" s="720"/>
      <c r="FQ121" s="720"/>
      <c r="FR121" s="720"/>
      <c r="FS121" s="720"/>
      <c r="FT121" s="720"/>
      <c r="FU121" s="720"/>
      <c r="FV121" s="720"/>
      <c r="FW121" s="720"/>
      <c r="FX121" s="720"/>
      <c r="FY121" s="720"/>
      <c r="FZ121" s="720"/>
      <c r="GA121" s="720"/>
      <c r="GB121" s="720"/>
      <c r="GC121" s="720"/>
      <c r="GD121" s="720"/>
      <c r="GE121" s="720"/>
      <c r="GF121" s="720"/>
      <c r="GG121" s="720"/>
      <c r="GH121" s="720"/>
      <c r="GI121" s="720"/>
      <c r="GJ121" s="720"/>
      <c r="GK121" s="720"/>
      <c r="GL121" s="720"/>
      <c r="GM121" s="720"/>
      <c r="GN121" s="720"/>
      <c r="GO121" s="720"/>
      <c r="GP121" s="720"/>
      <c r="GQ121" s="720"/>
      <c r="GR121" s="720"/>
      <c r="GS121" s="720"/>
      <c r="GT121" s="720"/>
      <c r="GU121" s="720"/>
      <c r="GV121" s="720"/>
      <c r="GW121" s="720"/>
      <c r="GX121" s="720"/>
      <c r="GY121" s="720"/>
      <c r="GZ121" s="720"/>
      <c r="HA121" s="720"/>
      <c r="HB121" s="720"/>
      <c r="HC121" s="720"/>
      <c r="HD121" s="720"/>
      <c r="HE121" s="720"/>
      <c r="HF121" s="720"/>
      <c r="HG121" s="720"/>
      <c r="HH121" s="720"/>
      <c r="HI121" s="720"/>
      <c r="HJ121" s="720"/>
      <c r="HK121" s="720"/>
      <c r="HL121" s="720"/>
      <c r="HM121" s="720"/>
      <c r="HN121" s="720"/>
      <c r="HO121" s="720"/>
      <c r="HP121" s="720"/>
      <c r="HQ121" s="720"/>
      <c r="HR121" s="720"/>
      <c r="HS121" s="720"/>
      <c r="HT121" s="720"/>
      <c r="HU121" s="720"/>
      <c r="HV121" s="720"/>
      <c r="HW121" s="720"/>
      <c r="HX121" s="720"/>
      <c r="HY121" s="720"/>
      <c r="HZ121" s="720"/>
      <c r="IA121" s="720"/>
      <c r="IB121" s="720"/>
      <c r="IC121" s="720"/>
      <c r="ID121" s="720"/>
      <c r="IE121" s="720"/>
      <c r="IF121" s="720"/>
      <c r="IG121" s="720"/>
      <c r="IH121" s="720"/>
    </row>
    <row r="122" hidden="1" outlineLevel="1">
      <c r="A122" s="598"/>
      <c r="B122" s="598"/>
      <c r="C122" s="598"/>
      <c r="D122" s="598"/>
      <c r="E122" s="598"/>
      <c r="F122" s="598"/>
      <c r="G122" s="598"/>
      <c r="H122" s="598"/>
      <c r="I122" s="598"/>
      <c r="J122" s="598"/>
      <c r="K122" s="598"/>
      <c r="L122" s="598"/>
      <c r="M122" s="598"/>
      <c r="N122" s="598"/>
      <c r="O122" s="598"/>
      <c r="P122" s="598"/>
      <c r="Q122" s="598"/>
      <c r="R122" s="598"/>
      <c r="S122" s="598"/>
      <c r="T122" s="598"/>
      <c r="U122" s="598"/>
      <c r="V122" s="598"/>
      <c r="W122" s="598"/>
      <c r="X122" s="598"/>
      <c r="Y122" s="598"/>
      <c r="Z122" s="598"/>
      <c r="AA122" s="911"/>
      <c r="AB122" s="999"/>
      <c r="AC122" s="720" t="str">
        <f>IFERROR(__xludf.DUMMYFUNCTION("""COMPUTED_VALUE"""),"Missile Amplifier")</f>
        <v>Missile Amplifier</v>
      </c>
      <c r="AD122" s="913" t="s">
        <v>343</v>
      </c>
      <c r="AE122" s="720">
        <v>0.0</v>
      </c>
      <c r="AF122" s="720"/>
      <c r="AG122" s="720">
        <v>25.0</v>
      </c>
      <c r="AH122" s="1001" t="str">
        <f>IFERROR(__xludf.DUMMYFUNCTION("IFERROR(IF(S23 = """", SEQUENCE(1, VALUE(VLOOKUP(U23, AD:AG, 4, false)) - VALUE(VLOOKUP(U23, AD:AG, 2, false)), VALUE(VLOOKUP(U23, AD:AG, 2, false)) + 1),
    IF(ISBETWEEN(S23, VALUE(VLOOKUP(U23, AD:AG, 2, false)), VALUE(VLOOKUP(U23, AD:AG, 4, false))),
 "&amp;"       SEQUENCE(1, VALUE(VLOOKUP(U23, AD:AG, 4, false)) - S23, S23 + 1),
        """")))"),"")</f>
        <v/>
      </c>
      <c r="AI122" s="720"/>
      <c r="AJ122" s="720"/>
      <c r="AK122" s="720"/>
      <c r="AL122" s="720"/>
      <c r="AM122" s="720"/>
      <c r="AN122" s="720"/>
      <c r="AO122" s="720"/>
      <c r="AP122" s="720"/>
      <c r="AQ122" s="720"/>
      <c r="AR122" s="720"/>
      <c r="AS122" s="720"/>
      <c r="AT122" s="720"/>
      <c r="AU122" s="720"/>
      <c r="AV122" s="720"/>
      <c r="AW122" s="720"/>
      <c r="AX122" s="720"/>
      <c r="AY122" s="720"/>
      <c r="AZ122" s="720"/>
      <c r="BA122" s="720"/>
      <c r="BB122" s="720"/>
      <c r="BC122" s="720"/>
      <c r="BD122" s="720"/>
      <c r="BE122" s="720"/>
      <c r="BF122" s="720"/>
      <c r="BG122" s="720"/>
      <c r="BH122" s="720"/>
      <c r="BI122" s="720"/>
      <c r="BJ122" s="720"/>
      <c r="BK122" s="720"/>
      <c r="BL122" s="720"/>
      <c r="BM122" s="720"/>
      <c r="BN122" s="720"/>
      <c r="BO122" s="720"/>
      <c r="BP122" s="720"/>
      <c r="BQ122" s="720"/>
      <c r="BR122" s="720"/>
      <c r="BS122" s="720"/>
      <c r="BT122" s="720"/>
      <c r="BU122" s="720"/>
      <c r="BV122" s="720"/>
      <c r="BW122" s="720"/>
      <c r="BX122" s="720"/>
      <c r="BY122" s="720"/>
      <c r="BZ122" s="720"/>
      <c r="CA122" s="720"/>
      <c r="CB122" s="720"/>
      <c r="CC122" s="720"/>
      <c r="CD122" s="720"/>
      <c r="CE122" s="720"/>
      <c r="CF122" s="720"/>
      <c r="CG122" s="720"/>
      <c r="CH122" s="720"/>
      <c r="CI122" s="720"/>
      <c r="CJ122" s="720"/>
      <c r="CK122" s="720"/>
      <c r="CL122" s="720"/>
      <c r="CM122" s="720"/>
      <c r="CN122" s="720"/>
      <c r="CO122" s="720"/>
      <c r="CP122" s="720"/>
      <c r="CQ122" s="720"/>
      <c r="CR122" s="720"/>
      <c r="CS122" s="720"/>
      <c r="CT122" s="720"/>
      <c r="CU122" s="720"/>
      <c r="CV122" s="720"/>
      <c r="CW122" s="720"/>
      <c r="CX122" s="720"/>
      <c r="CY122" s="720"/>
      <c r="CZ122" s="720"/>
      <c r="DA122" s="720"/>
      <c r="DB122" s="720"/>
      <c r="DC122" s="720"/>
      <c r="DD122" s="720"/>
      <c r="DE122" s="720"/>
      <c r="DF122" s="720"/>
      <c r="DG122" s="720"/>
      <c r="DH122" s="720"/>
      <c r="DI122" s="720"/>
      <c r="DJ122" s="720"/>
      <c r="DK122" s="720"/>
      <c r="DL122" s="720"/>
      <c r="DM122" s="720"/>
      <c r="DN122" s="720"/>
      <c r="DO122" s="720"/>
      <c r="DP122" s="720"/>
      <c r="DQ122" s="720"/>
      <c r="DR122" s="720"/>
      <c r="DS122" s="720"/>
      <c r="DT122" s="720"/>
      <c r="DU122" s="720"/>
      <c r="DV122" s="720"/>
      <c r="DW122" s="720"/>
      <c r="DX122" s="720"/>
      <c r="DY122" s="720"/>
      <c r="DZ122" s="720"/>
      <c r="EA122" s="720"/>
      <c r="EB122" s="720"/>
      <c r="EC122" s="720"/>
      <c r="ED122" s="720"/>
      <c r="EE122" s="720"/>
      <c r="EF122" s="720"/>
      <c r="EG122" s="720"/>
      <c r="EH122" s="720"/>
      <c r="EI122" s="720"/>
      <c r="EJ122" s="720"/>
      <c r="EK122" s="720"/>
      <c r="EL122" s="720"/>
      <c r="EM122" s="720"/>
      <c r="EN122" s="720"/>
      <c r="EO122" s="720"/>
      <c r="EP122" s="720"/>
      <c r="EQ122" s="720"/>
      <c r="ER122" s="720"/>
      <c r="ES122" s="720"/>
      <c r="ET122" s="720"/>
      <c r="EU122" s="720"/>
      <c r="EV122" s="720"/>
      <c r="EW122" s="720"/>
      <c r="EX122" s="720"/>
      <c r="EY122" s="720"/>
      <c r="EZ122" s="720"/>
      <c r="FA122" s="720"/>
      <c r="FB122" s="720"/>
      <c r="FC122" s="720"/>
      <c r="FD122" s="720"/>
      <c r="FE122" s="720"/>
      <c r="FF122" s="720"/>
      <c r="FG122" s="720"/>
      <c r="FH122" s="720"/>
      <c r="FI122" s="720"/>
      <c r="FJ122" s="720"/>
      <c r="FK122" s="720"/>
      <c r="FL122" s="720"/>
      <c r="FM122" s="720"/>
      <c r="FN122" s="720"/>
      <c r="FO122" s="720"/>
      <c r="FP122" s="720"/>
      <c r="FQ122" s="720"/>
      <c r="FR122" s="720"/>
      <c r="FS122" s="720"/>
      <c r="FT122" s="720"/>
      <c r="FU122" s="720"/>
      <c r="FV122" s="720"/>
      <c r="FW122" s="720"/>
      <c r="FX122" s="720"/>
      <c r="FY122" s="720"/>
      <c r="FZ122" s="720"/>
      <c r="GA122" s="720"/>
      <c r="GB122" s="720"/>
      <c r="GC122" s="720"/>
      <c r="GD122" s="720"/>
      <c r="GE122" s="720"/>
      <c r="GF122" s="720"/>
      <c r="GG122" s="720"/>
      <c r="GH122" s="720"/>
      <c r="GI122" s="720"/>
      <c r="GJ122" s="720"/>
      <c r="GK122" s="720"/>
      <c r="GL122" s="720"/>
      <c r="GM122" s="720"/>
      <c r="GN122" s="720"/>
      <c r="GO122" s="720"/>
      <c r="GP122" s="720"/>
      <c r="GQ122" s="720"/>
      <c r="GR122" s="720"/>
      <c r="GS122" s="720"/>
      <c r="GT122" s="720"/>
      <c r="GU122" s="720"/>
      <c r="GV122" s="720"/>
      <c r="GW122" s="720"/>
      <c r="GX122" s="720"/>
      <c r="GY122" s="720"/>
      <c r="GZ122" s="720"/>
      <c r="HA122" s="720"/>
      <c r="HB122" s="720"/>
      <c r="HC122" s="720"/>
      <c r="HD122" s="720"/>
      <c r="HE122" s="720"/>
      <c r="HF122" s="720"/>
      <c r="HG122" s="720"/>
      <c r="HH122" s="720"/>
      <c r="HI122" s="720"/>
      <c r="HJ122" s="720"/>
      <c r="HK122" s="720"/>
      <c r="HL122" s="720"/>
      <c r="HM122" s="720"/>
      <c r="HN122" s="720"/>
      <c r="HO122" s="720"/>
      <c r="HP122" s="720"/>
      <c r="HQ122" s="720"/>
      <c r="HR122" s="720"/>
      <c r="HS122" s="720"/>
      <c r="HT122" s="720"/>
      <c r="HU122" s="720"/>
      <c r="HV122" s="720"/>
      <c r="HW122" s="720"/>
      <c r="HX122" s="720"/>
      <c r="HY122" s="720"/>
      <c r="HZ122" s="720"/>
      <c r="IA122" s="720"/>
      <c r="IB122" s="720"/>
      <c r="IC122" s="720"/>
      <c r="ID122" s="720"/>
      <c r="IE122" s="720"/>
      <c r="IF122" s="720"/>
      <c r="IG122" s="720"/>
      <c r="IH122" s="720"/>
    </row>
    <row r="123" hidden="1" outlineLevel="1">
      <c r="A123" s="598"/>
      <c r="B123" s="598"/>
      <c r="C123" s="598"/>
      <c r="D123" s="598"/>
      <c r="E123" s="598"/>
      <c r="F123" s="598"/>
      <c r="G123" s="598"/>
      <c r="H123" s="598"/>
      <c r="I123" s="598"/>
      <c r="J123" s="598"/>
      <c r="K123" s="598"/>
      <c r="L123" s="598"/>
      <c r="M123" s="598"/>
      <c r="N123" s="598"/>
      <c r="O123" s="598"/>
      <c r="P123" s="598"/>
      <c r="Q123" s="598"/>
      <c r="R123" s="598"/>
      <c r="S123" s="598"/>
      <c r="T123" s="598"/>
      <c r="U123" s="598"/>
      <c r="V123" s="598"/>
      <c r="W123" s="598"/>
      <c r="X123" s="598"/>
      <c r="Y123" s="598"/>
      <c r="Z123" s="598"/>
      <c r="AA123" s="911"/>
      <c r="AB123" s="999"/>
      <c r="AC123" s="720" t="str">
        <f>IFERROR(__xludf.DUMMYFUNCTION("""COMPUTED_VALUE"""),"Missile Barrage")</f>
        <v>Missile Barrage</v>
      </c>
      <c r="AD123" s="913" t="s">
        <v>346</v>
      </c>
      <c r="AE123" s="720">
        <v>0.0</v>
      </c>
      <c r="AF123" s="720"/>
      <c r="AG123" s="720">
        <v>1.0</v>
      </c>
      <c r="AH123" s="1001" t="str">
        <f>IFERROR(__xludf.DUMMYFUNCTION("IFERROR(IF(S24 = """", SEQUENCE(1, VALUE(VLOOKUP(U24, AD:AG, 4, false)) - VALUE(VLOOKUP(U24, AD:AG, 2, false)), VALUE(VLOOKUP(U24, AD:AG, 2, false)) + 1),
    IF(ISBETWEEN(S24, VALUE(VLOOKUP(U24, AD:AG, 2, false)), VALUE(VLOOKUP(U24, AD:AG, 4, false))),
 "&amp;"       SEQUENCE(1, VALUE(VLOOKUP(U24, AD:AG, 4, false)) - S24, S24 + 1),
        """")))"),"")</f>
        <v/>
      </c>
      <c r="AI123" s="720"/>
      <c r="AJ123" s="720"/>
      <c r="AK123" s="720"/>
      <c r="AL123" s="720"/>
      <c r="AM123" s="720"/>
      <c r="AN123" s="720"/>
      <c r="AO123" s="720"/>
      <c r="AP123" s="720"/>
      <c r="AQ123" s="720"/>
      <c r="AR123" s="720"/>
      <c r="AS123" s="720"/>
      <c r="AT123" s="720"/>
      <c r="AU123" s="720"/>
      <c r="AV123" s="720"/>
      <c r="AW123" s="720"/>
      <c r="AX123" s="720"/>
      <c r="AY123" s="720"/>
      <c r="AZ123" s="720"/>
      <c r="BA123" s="720"/>
      <c r="BB123" s="720"/>
      <c r="BC123" s="720"/>
      <c r="BD123" s="720"/>
      <c r="BE123" s="720"/>
      <c r="BF123" s="720"/>
      <c r="BG123" s="720"/>
      <c r="BH123" s="720"/>
      <c r="BI123" s="720"/>
      <c r="BJ123" s="720"/>
      <c r="BK123" s="720"/>
      <c r="BL123" s="720"/>
      <c r="BM123" s="720"/>
      <c r="BN123" s="720"/>
      <c r="BO123" s="720"/>
      <c r="BP123" s="720"/>
      <c r="BQ123" s="720"/>
      <c r="BR123" s="720"/>
      <c r="BS123" s="720"/>
      <c r="BT123" s="720"/>
      <c r="BU123" s="720"/>
      <c r="BV123" s="720"/>
      <c r="BW123" s="720"/>
      <c r="BX123" s="720"/>
      <c r="BY123" s="720"/>
      <c r="BZ123" s="720"/>
      <c r="CA123" s="720"/>
      <c r="CB123" s="720"/>
      <c r="CC123" s="720"/>
      <c r="CD123" s="720"/>
      <c r="CE123" s="720"/>
      <c r="CF123" s="720"/>
      <c r="CG123" s="720"/>
      <c r="CH123" s="720"/>
      <c r="CI123" s="720"/>
      <c r="CJ123" s="720"/>
      <c r="CK123" s="720"/>
      <c r="CL123" s="720"/>
      <c r="CM123" s="720"/>
      <c r="CN123" s="720"/>
      <c r="CO123" s="720"/>
      <c r="CP123" s="720"/>
      <c r="CQ123" s="720"/>
      <c r="CR123" s="720"/>
      <c r="CS123" s="720"/>
      <c r="CT123" s="720"/>
      <c r="CU123" s="720"/>
      <c r="CV123" s="720"/>
      <c r="CW123" s="720"/>
      <c r="CX123" s="720"/>
      <c r="CY123" s="720"/>
      <c r="CZ123" s="720"/>
      <c r="DA123" s="720"/>
      <c r="DB123" s="720"/>
      <c r="DC123" s="720"/>
      <c r="DD123" s="720"/>
      <c r="DE123" s="720"/>
      <c r="DF123" s="720"/>
      <c r="DG123" s="720"/>
      <c r="DH123" s="720"/>
      <c r="DI123" s="720"/>
      <c r="DJ123" s="720"/>
      <c r="DK123" s="720"/>
      <c r="DL123" s="720"/>
      <c r="DM123" s="720"/>
      <c r="DN123" s="720"/>
      <c r="DO123" s="720"/>
      <c r="DP123" s="720"/>
      <c r="DQ123" s="720"/>
      <c r="DR123" s="720"/>
      <c r="DS123" s="720"/>
      <c r="DT123" s="720"/>
      <c r="DU123" s="720"/>
      <c r="DV123" s="720"/>
      <c r="DW123" s="720"/>
      <c r="DX123" s="720"/>
      <c r="DY123" s="720"/>
      <c r="DZ123" s="720"/>
      <c r="EA123" s="720"/>
      <c r="EB123" s="720"/>
      <c r="EC123" s="720"/>
      <c r="ED123" s="720"/>
      <c r="EE123" s="720"/>
      <c r="EF123" s="720"/>
      <c r="EG123" s="720"/>
      <c r="EH123" s="720"/>
      <c r="EI123" s="720"/>
      <c r="EJ123" s="720"/>
      <c r="EK123" s="720"/>
      <c r="EL123" s="720"/>
      <c r="EM123" s="720"/>
      <c r="EN123" s="720"/>
      <c r="EO123" s="720"/>
      <c r="EP123" s="720"/>
      <c r="EQ123" s="720"/>
      <c r="ER123" s="720"/>
      <c r="ES123" s="720"/>
      <c r="ET123" s="720"/>
      <c r="EU123" s="720"/>
      <c r="EV123" s="720"/>
      <c r="EW123" s="720"/>
      <c r="EX123" s="720"/>
      <c r="EY123" s="720"/>
      <c r="EZ123" s="720"/>
      <c r="FA123" s="720"/>
      <c r="FB123" s="720"/>
      <c r="FC123" s="720"/>
      <c r="FD123" s="720"/>
      <c r="FE123" s="720"/>
      <c r="FF123" s="720"/>
      <c r="FG123" s="720"/>
      <c r="FH123" s="720"/>
      <c r="FI123" s="720"/>
      <c r="FJ123" s="720"/>
      <c r="FK123" s="720"/>
      <c r="FL123" s="720"/>
      <c r="FM123" s="720"/>
      <c r="FN123" s="720"/>
      <c r="FO123" s="720"/>
      <c r="FP123" s="720"/>
      <c r="FQ123" s="720"/>
      <c r="FR123" s="720"/>
      <c r="FS123" s="720"/>
      <c r="FT123" s="720"/>
      <c r="FU123" s="720"/>
      <c r="FV123" s="720"/>
      <c r="FW123" s="720"/>
      <c r="FX123" s="720"/>
      <c r="FY123" s="720"/>
      <c r="FZ123" s="720"/>
      <c r="GA123" s="720"/>
      <c r="GB123" s="720"/>
      <c r="GC123" s="720"/>
      <c r="GD123" s="720"/>
      <c r="GE123" s="720"/>
      <c r="GF123" s="720"/>
      <c r="GG123" s="720"/>
      <c r="GH123" s="720"/>
      <c r="GI123" s="720"/>
      <c r="GJ123" s="720"/>
      <c r="GK123" s="720"/>
      <c r="GL123" s="720"/>
      <c r="GM123" s="720"/>
      <c r="GN123" s="720"/>
      <c r="GO123" s="720"/>
      <c r="GP123" s="720"/>
      <c r="GQ123" s="720"/>
      <c r="GR123" s="720"/>
      <c r="GS123" s="720"/>
      <c r="GT123" s="720"/>
      <c r="GU123" s="720"/>
      <c r="GV123" s="720"/>
      <c r="GW123" s="720"/>
      <c r="GX123" s="720"/>
      <c r="GY123" s="720"/>
      <c r="GZ123" s="720"/>
      <c r="HA123" s="720"/>
      <c r="HB123" s="720"/>
      <c r="HC123" s="720"/>
      <c r="HD123" s="720"/>
      <c r="HE123" s="720"/>
      <c r="HF123" s="720"/>
      <c r="HG123" s="720"/>
      <c r="HH123" s="720"/>
      <c r="HI123" s="720"/>
      <c r="HJ123" s="720"/>
      <c r="HK123" s="720"/>
      <c r="HL123" s="720"/>
      <c r="HM123" s="720"/>
      <c r="HN123" s="720"/>
      <c r="HO123" s="720"/>
      <c r="HP123" s="720"/>
      <c r="HQ123" s="720"/>
      <c r="HR123" s="720"/>
      <c r="HS123" s="720"/>
      <c r="HT123" s="720"/>
      <c r="HU123" s="720"/>
      <c r="HV123" s="720"/>
      <c r="HW123" s="720"/>
      <c r="HX123" s="720"/>
      <c r="HY123" s="720"/>
      <c r="HZ123" s="720"/>
      <c r="IA123" s="720"/>
      <c r="IB123" s="720"/>
      <c r="IC123" s="720"/>
      <c r="ID123" s="720"/>
      <c r="IE123" s="720"/>
      <c r="IF123" s="720"/>
      <c r="IG123" s="720"/>
      <c r="IH123" s="720"/>
    </row>
    <row r="124" hidden="1" outlineLevel="1">
      <c r="A124" s="598"/>
      <c r="B124" s="598"/>
      <c r="C124" s="598"/>
      <c r="D124" s="598"/>
      <c r="E124" s="598"/>
      <c r="F124" s="598"/>
      <c r="G124" s="598"/>
      <c r="H124" s="598"/>
      <c r="I124" s="598"/>
      <c r="J124" s="598"/>
      <c r="K124" s="598"/>
      <c r="L124" s="598"/>
      <c r="M124" s="598"/>
      <c r="N124" s="598"/>
      <c r="O124" s="598"/>
      <c r="P124" s="598"/>
      <c r="Q124" s="598"/>
      <c r="R124" s="598"/>
      <c r="S124" s="598"/>
      <c r="T124" s="598"/>
      <c r="U124" s="598"/>
      <c r="V124" s="598"/>
      <c r="W124" s="598"/>
      <c r="X124" s="598"/>
      <c r="Y124" s="598"/>
      <c r="Z124" s="598"/>
      <c r="AA124" s="911"/>
      <c r="AB124" s="999"/>
      <c r="AC124" s="720" t="str">
        <f>IFERROR(__xludf.DUMMYFUNCTION("""COMPUTED_VALUE"""),"Missile Barrage Quantity")</f>
        <v>Missile Barrage Quantity</v>
      </c>
      <c r="AD124" s="913" t="s">
        <v>348</v>
      </c>
      <c r="AE124" s="720">
        <v>0.0</v>
      </c>
      <c r="AF124" s="720"/>
      <c r="AG124" s="720">
        <v>6.0</v>
      </c>
      <c r="AH124" s="1002">
        <f t="shared" ref="AH124:AH143" si="20">IFERROR(SEQUENCE(1, VALUE(VLOOKUP(E31, AD:AG, 4, false)) - VALUE(VLOOKUP(E31, AD:AG, 2, false)), VLOOKUP(E31, AD:AG, 2, false)),"")</f>
        <v>23</v>
      </c>
      <c r="AI124" s="720">
        <v>24.0</v>
      </c>
      <c r="AJ124" s="720">
        <v>25.0</v>
      </c>
      <c r="AK124" s="720">
        <v>26.0</v>
      </c>
      <c r="AL124" s="720">
        <v>27.0</v>
      </c>
      <c r="AM124" s="720">
        <v>28.0</v>
      </c>
      <c r="AN124" s="720">
        <v>29.0</v>
      </c>
      <c r="AO124" s="720"/>
      <c r="AP124" s="720"/>
      <c r="AQ124" s="720"/>
      <c r="AR124" s="720"/>
      <c r="AS124" s="720"/>
      <c r="AT124" s="720"/>
      <c r="AU124" s="720"/>
      <c r="AV124" s="720"/>
      <c r="AW124" s="720"/>
      <c r="AX124" s="720"/>
      <c r="AY124" s="720"/>
      <c r="AZ124" s="720"/>
      <c r="BA124" s="720"/>
      <c r="BB124" s="720"/>
      <c r="BC124" s="720"/>
      <c r="BD124" s="720"/>
      <c r="BE124" s="720"/>
      <c r="BF124" s="720"/>
      <c r="BG124" s="720"/>
      <c r="BH124" s="720"/>
      <c r="BI124" s="720"/>
      <c r="BJ124" s="720"/>
      <c r="BK124" s="720"/>
      <c r="BL124" s="720"/>
      <c r="BM124" s="720"/>
      <c r="BN124" s="720"/>
      <c r="BO124" s="720"/>
      <c r="BP124" s="720"/>
      <c r="BQ124" s="720"/>
      <c r="BR124" s="720"/>
      <c r="BS124" s="720"/>
      <c r="BT124" s="720"/>
      <c r="BU124" s="720"/>
      <c r="BV124" s="720"/>
      <c r="BW124" s="720"/>
      <c r="BX124" s="720"/>
      <c r="BY124" s="720"/>
      <c r="BZ124" s="720"/>
      <c r="CA124" s="720"/>
      <c r="CB124" s="720"/>
      <c r="CC124" s="720"/>
      <c r="CD124" s="720"/>
      <c r="CE124" s="720"/>
      <c r="CF124" s="720"/>
      <c r="CG124" s="720"/>
      <c r="CH124" s="720"/>
      <c r="CI124" s="720"/>
      <c r="CJ124" s="720"/>
      <c r="CK124" s="720"/>
      <c r="CL124" s="720"/>
      <c r="CM124" s="720"/>
      <c r="CN124" s="720"/>
      <c r="CO124" s="720"/>
      <c r="CP124" s="720"/>
      <c r="CQ124" s="720"/>
      <c r="CR124" s="720"/>
      <c r="CS124" s="720"/>
      <c r="CT124" s="720"/>
      <c r="CU124" s="720"/>
      <c r="CV124" s="720"/>
      <c r="CW124" s="720"/>
      <c r="CX124" s="720"/>
      <c r="CY124" s="720"/>
      <c r="CZ124" s="720"/>
      <c r="DA124" s="720"/>
      <c r="DB124" s="720"/>
      <c r="DC124" s="720"/>
      <c r="DD124" s="720"/>
      <c r="DE124" s="720"/>
      <c r="DF124" s="720"/>
      <c r="DG124" s="720"/>
      <c r="DH124" s="720"/>
      <c r="DI124" s="720"/>
      <c r="DJ124" s="720"/>
      <c r="DK124" s="720"/>
      <c r="DL124" s="720"/>
      <c r="DM124" s="720"/>
      <c r="DN124" s="720"/>
      <c r="DO124" s="720"/>
      <c r="DP124" s="720"/>
      <c r="DQ124" s="720"/>
      <c r="DR124" s="720"/>
      <c r="DS124" s="720"/>
      <c r="DT124" s="720"/>
      <c r="DU124" s="720"/>
      <c r="DV124" s="720"/>
      <c r="DW124" s="720"/>
      <c r="DX124" s="720"/>
      <c r="DY124" s="720"/>
      <c r="DZ124" s="720"/>
      <c r="EA124" s="720"/>
      <c r="EB124" s="720"/>
      <c r="EC124" s="720"/>
      <c r="ED124" s="720"/>
      <c r="EE124" s="720"/>
      <c r="EF124" s="720"/>
      <c r="EG124" s="720"/>
      <c r="EH124" s="720"/>
      <c r="EI124" s="720"/>
      <c r="EJ124" s="720"/>
      <c r="EK124" s="720"/>
      <c r="EL124" s="720"/>
      <c r="EM124" s="720"/>
      <c r="EN124" s="720"/>
      <c r="EO124" s="720"/>
      <c r="EP124" s="720"/>
      <c r="EQ124" s="720"/>
      <c r="ER124" s="720"/>
      <c r="ES124" s="720"/>
      <c r="ET124" s="720"/>
      <c r="EU124" s="720"/>
      <c r="EV124" s="720"/>
      <c r="EW124" s="720"/>
      <c r="EX124" s="720"/>
      <c r="EY124" s="720"/>
      <c r="EZ124" s="720"/>
      <c r="FA124" s="720"/>
      <c r="FB124" s="720"/>
      <c r="FC124" s="720"/>
      <c r="FD124" s="720"/>
      <c r="FE124" s="720"/>
      <c r="FF124" s="720"/>
      <c r="FG124" s="720"/>
      <c r="FH124" s="720"/>
      <c r="FI124" s="720"/>
      <c r="FJ124" s="720"/>
      <c r="FK124" s="720"/>
      <c r="FL124" s="720"/>
      <c r="FM124" s="720"/>
      <c r="FN124" s="720"/>
      <c r="FO124" s="720"/>
      <c r="FP124" s="720"/>
      <c r="FQ124" s="720"/>
      <c r="FR124" s="720"/>
      <c r="FS124" s="720"/>
      <c r="FT124" s="720"/>
      <c r="FU124" s="720"/>
      <c r="FV124" s="720"/>
      <c r="FW124" s="720"/>
      <c r="FX124" s="720"/>
      <c r="FY124" s="720"/>
      <c r="FZ124" s="720"/>
      <c r="GA124" s="720"/>
      <c r="GB124" s="720"/>
      <c r="GC124" s="720"/>
      <c r="GD124" s="720"/>
      <c r="GE124" s="720"/>
      <c r="GF124" s="720"/>
      <c r="GG124" s="720"/>
      <c r="GH124" s="720"/>
      <c r="GI124" s="720"/>
      <c r="GJ124" s="720"/>
      <c r="GK124" s="720"/>
      <c r="GL124" s="720"/>
      <c r="GM124" s="720"/>
      <c r="GN124" s="720"/>
      <c r="GO124" s="720"/>
      <c r="GP124" s="720"/>
      <c r="GQ124" s="720"/>
      <c r="GR124" s="720"/>
      <c r="GS124" s="720"/>
      <c r="GT124" s="720"/>
      <c r="GU124" s="720"/>
      <c r="GV124" s="720"/>
      <c r="GW124" s="720"/>
      <c r="GX124" s="720"/>
      <c r="GY124" s="720"/>
      <c r="GZ124" s="720"/>
      <c r="HA124" s="720"/>
      <c r="HB124" s="720"/>
      <c r="HC124" s="720"/>
      <c r="HD124" s="720"/>
      <c r="HE124" s="720"/>
      <c r="HF124" s="720"/>
      <c r="HG124" s="720"/>
      <c r="HH124" s="720"/>
      <c r="HI124" s="720"/>
      <c r="HJ124" s="720"/>
      <c r="HK124" s="720"/>
      <c r="HL124" s="720"/>
      <c r="HM124" s="720"/>
      <c r="HN124" s="720"/>
      <c r="HO124" s="720"/>
      <c r="HP124" s="720"/>
      <c r="HQ124" s="720"/>
      <c r="HR124" s="720"/>
      <c r="HS124" s="720"/>
      <c r="HT124" s="720"/>
      <c r="HU124" s="720"/>
      <c r="HV124" s="720"/>
      <c r="HW124" s="720"/>
      <c r="HX124" s="720"/>
      <c r="HY124" s="720"/>
      <c r="HZ124" s="720"/>
      <c r="IA124" s="720"/>
      <c r="IB124" s="720"/>
      <c r="IC124" s="720"/>
      <c r="ID124" s="720"/>
      <c r="IE124" s="720"/>
      <c r="IF124" s="720"/>
      <c r="IG124" s="720"/>
      <c r="IH124" s="720"/>
    </row>
    <row r="125" hidden="1" outlineLevel="1">
      <c r="A125" s="598"/>
      <c r="B125" s="598"/>
      <c r="C125" s="598"/>
      <c r="D125" s="598"/>
      <c r="E125" s="598"/>
      <c r="F125" s="598"/>
      <c r="G125" s="598"/>
      <c r="H125" s="598"/>
      <c r="I125" s="598"/>
      <c r="J125" s="598"/>
      <c r="K125" s="598"/>
      <c r="L125" s="598"/>
      <c r="M125" s="598"/>
      <c r="N125" s="598"/>
      <c r="O125" s="598"/>
      <c r="P125" s="598"/>
      <c r="Q125" s="598"/>
      <c r="R125" s="598"/>
      <c r="S125" s="598"/>
      <c r="T125" s="598"/>
      <c r="U125" s="598"/>
      <c r="V125" s="598"/>
      <c r="W125" s="598"/>
      <c r="X125" s="598"/>
      <c r="Y125" s="598"/>
      <c r="Z125" s="598"/>
      <c r="AA125" s="911"/>
      <c r="AB125" s="999"/>
      <c r="AC125" s="720" t="str">
        <f>IFERROR(__xludf.DUMMYFUNCTION("""COMPUTED_VALUE"""),"Missile Despawn Time")</f>
        <v>Missile Despawn Time</v>
      </c>
      <c r="AD125" s="913" t="s">
        <v>158</v>
      </c>
      <c r="AE125" s="720">
        <v>0.0</v>
      </c>
      <c r="AF125" s="720"/>
      <c r="AG125" s="720">
        <v>20.0</v>
      </c>
      <c r="AH125" s="1002" t="str">
        <f t="shared" si="20"/>
        <v/>
      </c>
      <c r="AI125" s="720"/>
      <c r="AJ125" s="720"/>
      <c r="AK125" s="720"/>
      <c r="AL125" s="720"/>
      <c r="AM125" s="720"/>
      <c r="AN125" s="720"/>
      <c r="AO125" s="720"/>
      <c r="AP125" s="720"/>
      <c r="AQ125" s="720"/>
      <c r="AR125" s="720"/>
      <c r="AS125" s="720"/>
      <c r="AT125" s="720"/>
      <c r="AU125" s="720"/>
      <c r="AV125" s="720"/>
      <c r="AW125" s="720"/>
      <c r="AX125" s="720"/>
      <c r="AY125" s="720"/>
      <c r="AZ125" s="720"/>
      <c r="BA125" s="720"/>
      <c r="BB125" s="720"/>
      <c r="BC125" s="720"/>
      <c r="BD125" s="720"/>
      <c r="BE125" s="720"/>
      <c r="BF125" s="720"/>
      <c r="BG125" s="720"/>
      <c r="BH125" s="720"/>
      <c r="BI125" s="720"/>
      <c r="BJ125" s="720"/>
      <c r="BK125" s="720"/>
      <c r="BL125" s="720"/>
      <c r="BM125" s="720"/>
      <c r="BN125" s="720"/>
      <c r="BO125" s="720"/>
      <c r="BP125" s="720"/>
      <c r="BQ125" s="720"/>
      <c r="BR125" s="720"/>
      <c r="BS125" s="720"/>
      <c r="BT125" s="720"/>
      <c r="BU125" s="720"/>
      <c r="BV125" s="720"/>
      <c r="BW125" s="720"/>
      <c r="BX125" s="720"/>
      <c r="BY125" s="720"/>
      <c r="BZ125" s="720"/>
      <c r="CA125" s="720"/>
      <c r="CB125" s="720"/>
      <c r="CC125" s="720"/>
      <c r="CD125" s="720"/>
      <c r="CE125" s="720"/>
      <c r="CF125" s="720"/>
      <c r="CG125" s="720"/>
      <c r="CH125" s="720"/>
      <c r="CI125" s="720"/>
      <c r="CJ125" s="720"/>
      <c r="CK125" s="720"/>
      <c r="CL125" s="720"/>
      <c r="CM125" s="720"/>
      <c r="CN125" s="720"/>
      <c r="CO125" s="720"/>
      <c r="CP125" s="720"/>
      <c r="CQ125" s="720"/>
      <c r="CR125" s="720"/>
      <c r="CS125" s="720"/>
      <c r="CT125" s="720"/>
      <c r="CU125" s="720"/>
      <c r="CV125" s="720"/>
      <c r="CW125" s="720"/>
      <c r="CX125" s="720"/>
      <c r="CY125" s="720"/>
      <c r="CZ125" s="720"/>
      <c r="DA125" s="720"/>
      <c r="DB125" s="720"/>
      <c r="DC125" s="720"/>
      <c r="DD125" s="720"/>
      <c r="DE125" s="720"/>
      <c r="DF125" s="720"/>
      <c r="DG125" s="720"/>
      <c r="DH125" s="720"/>
      <c r="DI125" s="720"/>
      <c r="DJ125" s="720"/>
      <c r="DK125" s="720"/>
      <c r="DL125" s="720"/>
      <c r="DM125" s="720"/>
      <c r="DN125" s="720"/>
      <c r="DO125" s="720"/>
      <c r="DP125" s="720"/>
      <c r="DQ125" s="720"/>
      <c r="DR125" s="720"/>
      <c r="DS125" s="720"/>
      <c r="DT125" s="720"/>
      <c r="DU125" s="720"/>
      <c r="DV125" s="720"/>
      <c r="DW125" s="720"/>
      <c r="DX125" s="720"/>
      <c r="DY125" s="720"/>
      <c r="DZ125" s="720"/>
      <c r="EA125" s="720"/>
      <c r="EB125" s="720"/>
      <c r="EC125" s="720"/>
      <c r="ED125" s="720"/>
      <c r="EE125" s="720"/>
      <c r="EF125" s="720"/>
      <c r="EG125" s="720"/>
      <c r="EH125" s="720"/>
      <c r="EI125" s="720"/>
      <c r="EJ125" s="720"/>
      <c r="EK125" s="720"/>
      <c r="EL125" s="720"/>
      <c r="EM125" s="720"/>
      <c r="EN125" s="720"/>
      <c r="EO125" s="720"/>
      <c r="EP125" s="720"/>
      <c r="EQ125" s="720"/>
      <c r="ER125" s="720"/>
      <c r="ES125" s="720"/>
      <c r="ET125" s="720"/>
      <c r="EU125" s="720"/>
      <c r="EV125" s="720"/>
      <c r="EW125" s="720"/>
      <c r="EX125" s="720"/>
      <c r="EY125" s="720"/>
      <c r="EZ125" s="720"/>
      <c r="FA125" s="720"/>
      <c r="FB125" s="720"/>
      <c r="FC125" s="720"/>
      <c r="FD125" s="720"/>
      <c r="FE125" s="720"/>
      <c r="FF125" s="720"/>
      <c r="FG125" s="720"/>
      <c r="FH125" s="720"/>
      <c r="FI125" s="720"/>
      <c r="FJ125" s="720"/>
      <c r="FK125" s="720"/>
      <c r="FL125" s="720"/>
      <c r="FM125" s="720"/>
      <c r="FN125" s="720"/>
      <c r="FO125" s="720"/>
      <c r="FP125" s="720"/>
      <c r="FQ125" s="720"/>
      <c r="FR125" s="720"/>
      <c r="FS125" s="720"/>
      <c r="FT125" s="720"/>
      <c r="FU125" s="720"/>
      <c r="FV125" s="720"/>
      <c r="FW125" s="720"/>
      <c r="FX125" s="720"/>
      <c r="FY125" s="720"/>
      <c r="FZ125" s="720"/>
      <c r="GA125" s="720"/>
      <c r="GB125" s="720"/>
      <c r="GC125" s="720"/>
      <c r="GD125" s="720"/>
      <c r="GE125" s="720"/>
      <c r="GF125" s="720"/>
      <c r="GG125" s="720"/>
      <c r="GH125" s="720"/>
      <c r="GI125" s="720"/>
      <c r="GJ125" s="720"/>
      <c r="GK125" s="720"/>
      <c r="GL125" s="720"/>
      <c r="GM125" s="720"/>
      <c r="GN125" s="720"/>
      <c r="GO125" s="720"/>
      <c r="GP125" s="720"/>
      <c r="GQ125" s="720"/>
      <c r="GR125" s="720"/>
      <c r="GS125" s="720"/>
      <c r="GT125" s="720"/>
      <c r="GU125" s="720"/>
      <c r="GV125" s="720"/>
      <c r="GW125" s="720"/>
      <c r="GX125" s="720"/>
      <c r="GY125" s="720"/>
      <c r="GZ125" s="720"/>
      <c r="HA125" s="720"/>
      <c r="HB125" s="720"/>
      <c r="HC125" s="720"/>
      <c r="HD125" s="720"/>
      <c r="HE125" s="720"/>
      <c r="HF125" s="720"/>
      <c r="HG125" s="720"/>
      <c r="HH125" s="720"/>
      <c r="HI125" s="720"/>
      <c r="HJ125" s="720"/>
      <c r="HK125" s="720"/>
      <c r="HL125" s="720"/>
      <c r="HM125" s="720"/>
      <c r="HN125" s="720"/>
      <c r="HO125" s="720"/>
      <c r="HP125" s="720"/>
      <c r="HQ125" s="720"/>
      <c r="HR125" s="720"/>
      <c r="HS125" s="720"/>
      <c r="HT125" s="720"/>
      <c r="HU125" s="720"/>
      <c r="HV125" s="720"/>
      <c r="HW125" s="720"/>
      <c r="HX125" s="720"/>
      <c r="HY125" s="720"/>
      <c r="HZ125" s="720"/>
      <c r="IA125" s="720"/>
      <c r="IB125" s="720"/>
      <c r="IC125" s="720"/>
      <c r="ID125" s="720"/>
      <c r="IE125" s="720"/>
      <c r="IF125" s="720"/>
      <c r="IG125" s="720"/>
      <c r="IH125" s="720"/>
    </row>
    <row r="126" hidden="1" outlineLevel="1">
      <c r="A126" s="598"/>
      <c r="B126" s="598"/>
      <c r="C126" s="598"/>
      <c r="D126" s="598"/>
      <c r="E126" s="598"/>
      <c r="F126" s="598"/>
      <c r="G126" s="598"/>
      <c r="H126" s="598"/>
      <c r="I126" s="598"/>
      <c r="J126" s="598"/>
      <c r="K126" s="598"/>
      <c r="L126" s="598"/>
      <c r="M126" s="598"/>
      <c r="N126" s="598"/>
      <c r="O126" s="598"/>
      <c r="P126" s="598"/>
      <c r="Q126" s="598"/>
      <c r="R126" s="598"/>
      <c r="S126" s="598"/>
      <c r="T126" s="598"/>
      <c r="U126" s="598"/>
      <c r="V126" s="598"/>
      <c r="W126" s="598"/>
      <c r="X126" s="598"/>
      <c r="Y126" s="598"/>
      <c r="Z126" s="598"/>
      <c r="AA126" s="911"/>
      <c r="AB126" s="999"/>
      <c r="AC126" s="720" t="str">
        <f>IFERROR(__xludf.DUMMYFUNCTION("""COMPUTED_VALUE"""),"Missile Radius")</f>
        <v>Missile Radius</v>
      </c>
      <c r="AD126" s="913" t="s">
        <v>184</v>
      </c>
      <c r="AE126" s="720">
        <v>0.0</v>
      </c>
      <c r="AF126" s="720"/>
      <c r="AG126" s="720">
        <v>20.0</v>
      </c>
      <c r="AH126" s="1002" t="str">
        <f t="shared" si="20"/>
        <v/>
      </c>
      <c r="AI126" s="720"/>
      <c r="AJ126" s="720"/>
      <c r="AK126" s="720"/>
      <c r="AL126" s="720"/>
      <c r="AM126" s="720"/>
      <c r="AN126" s="720"/>
      <c r="AO126" s="720"/>
      <c r="AP126" s="720"/>
      <c r="AQ126" s="720"/>
      <c r="AR126" s="720"/>
      <c r="AS126" s="720"/>
      <c r="AT126" s="720"/>
      <c r="AU126" s="720"/>
      <c r="AV126" s="720"/>
      <c r="AW126" s="720"/>
      <c r="AX126" s="720"/>
      <c r="AY126" s="720"/>
      <c r="AZ126" s="720"/>
      <c r="BA126" s="720"/>
      <c r="BB126" s="720"/>
      <c r="BC126" s="720"/>
      <c r="BD126" s="720"/>
      <c r="BE126" s="720"/>
      <c r="BF126" s="720"/>
      <c r="BG126" s="720"/>
      <c r="BH126" s="720"/>
      <c r="BI126" s="720"/>
      <c r="BJ126" s="720"/>
      <c r="BK126" s="720"/>
      <c r="BL126" s="720"/>
      <c r="BM126" s="720"/>
      <c r="BN126" s="720"/>
      <c r="BO126" s="720"/>
      <c r="BP126" s="720"/>
      <c r="BQ126" s="720"/>
      <c r="BR126" s="720"/>
      <c r="BS126" s="720"/>
      <c r="BT126" s="720"/>
      <c r="BU126" s="720"/>
      <c r="BV126" s="720"/>
      <c r="BW126" s="720"/>
      <c r="BX126" s="720"/>
      <c r="BY126" s="720"/>
      <c r="BZ126" s="720"/>
      <c r="CA126" s="720"/>
      <c r="CB126" s="720"/>
      <c r="CC126" s="720"/>
      <c r="CD126" s="720"/>
      <c r="CE126" s="720"/>
      <c r="CF126" s="720"/>
      <c r="CG126" s="720"/>
      <c r="CH126" s="720"/>
      <c r="CI126" s="720"/>
      <c r="CJ126" s="720"/>
      <c r="CK126" s="720"/>
      <c r="CL126" s="720"/>
      <c r="CM126" s="720"/>
      <c r="CN126" s="720"/>
      <c r="CO126" s="720"/>
      <c r="CP126" s="720"/>
      <c r="CQ126" s="720"/>
      <c r="CR126" s="720"/>
      <c r="CS126" s="720"/>
      <c r="CT126" s="720"/>
      <c r="CU126" s="720"/>
      <c r="CV126" s="720"/>
      <c r="CW126" s="720"/>
      <c r="CX126" s="720"/>
      <c r="CY126" s="720"/>
      <c r="CZ126" s="720"/>
      <c r="DA126" s="720"/>
      <c r="DB126" s="720"/>
      <c r="DC126" s="720"/>
      <c r="DD126" s="720"/>
      <c r="DE126" s="720"/>
      <c r="DF126" s="720"/>
      <c r="DG126" s="720"/>
      <c r="DH126" s="720"/>
      <c r="DI126" s="720"/>
      <c r="DJ126" s="720"/>
      <c r="DK126" s="720"/>
      <c r="DL126" s="720"/>
      <c r="DM126" s="720"/>
      <c r="DN126" s="720"/>
      <c r="DO126" s="720"/>
      <c r="DP126" s="720"/>
      <c r="DQ126" s="720"/>
      <c r="DR126" s="720"/>
      <c r="DS126" s="720"/>
      <c r="DT126" s="720"/>
      <c r="DU126" s="720"/>
      <c r="DV126" s="720"/>
      <c r="DW126" s="720"/>
      <c r="DX126" s="720"/>
      <c r="DY126" s="720"/>
      <c r="DZ126" s="720"/>
      <c r="EA126" s="720"/>
      <c r="EB126" s="720"/>
      <c r="EC126" s="720"/>
      <c r="ED126" s="720"/>
      <c r="EE126" s="720"/>
      <c r="EF126" s="720"/>
      <c r="EG126" s="720"/>
      <c r="EH126" s="720"/>
      <c r="EI126" s="720"/>
      <c r="EJ126" s="720"/>
      <c r="EK126" s="720"/>
      <c r="EL126" s="720"/>
      <c r="EM126" s="720"/>
      <c r="EN126" s="720"/>
      <c r="EO126" s="720"/>
      <c r="EP126" s="720"/>
      <c r="EQ126" s="720"/>
      <c r="ER126" s="720"/>
      <c r="ES126" s="720"/>
      <c r="ET126" s="720"/>
      <c r="EU126" s="720"/>
      <c r="EV126" s="720"/>
      <c r="EW126" s="720"/>
      <c r="EX126" s="720"/>
      <c r="EY126" s="720"/>
      <c r="EZ126" s="720"/>
      <c r="FA126" s="720"/>
      <c r="FB126" s="720"/>
      <c r="FC126" s="720"/>
      <c r="FD126" s="720"/>
      <c r="FE126" s="720"/>
      <c r="FF126" s="720"/>
      <c r="FG126" s="720"/>
      <c r="FH126" s="720"/>
      <c r="FI126" s="720"/>
      <c r="FJ126" s="720"/>
      <c r="FK126" s="720"/>
      <c r="FL126" s="720"/>
      <c r="FM126" s="720"/>
      <c r="FN126" s="720"/>
      <c r="FO126" s="720"/>
      <c r="FP126" s="720"/>
      <c r="FQ126" s="720"/>
      <c r="FR126" s="720"/>
      <c r="FS126" s="720"/>
      <c r="FT126" s="720"/>
      <c r="FU126" s="720"/>
      <c r="FV126" s="720"/>
      <c r="FW126" s="720"/>
      <c r="FX126" s="720"/>
      <c r="FY126" s="720"/>
      <c r="FZ126" s="720"/>
      <c r="GA126" s="720"/>
      <c r="GB126" s="720"/>
      <c r="GC126" s="720"/>
      <c r="GD126" s="720"/>
      <c r="GE126" s="720"/>
      <c r="GF126" s="720"/>
      <c r="GG126" s="720"/>
      <c r="GH126" s="720"/>
      <c r="GI126" s="720"/>
      <c r="GJ126" s="720"/>
      <c r="GK126" s="720"/>
      <c r="GL126" s="720"/>
      <c r="GM126" s="720"/>
      <c r="GN126" s="720"/>
      <c r="GO126" s="720"/>
      <c r="GP126" s="720"/>
      <c r="GQ126" s="720"/>
      <c r="GR126" s="720"/>
      <c r="GS126" s="720"/>
      <c r="GT126" s="720"/>
      <c r="GU126" s="720"/>
      <c r="GV126" s="720"/>
      <c r="GW126" s="720"/>
      <c r="GX126" s="720"/>
      <c r="GY126" s="720"/>
      <c r="GZ126" s="720"/>
      <c r="HA126" s="720"/>
      <c r="HB126" s="720"/>
      <c r="HC126" s="720"/>
      <c r="HD126" s="720"/>
      <c r="HE126" s="720"/>
      <c r="HF126" s="720"/>
      <c r="HG126" s="720"/>
      <c r="HH126" s="720"/>
      <c r="HI126" s="720"/>
      <c r="HJ126" s="720"/>
      <c r="HK126" s="720"/>
      <c r="HL126" s="720"/>
      <c r="HM126" s="720"/>
      <c r="HN126" s="720"/>
      <c r="HO126" s="720"/>
      <c r="HP126" s="720"/>
      <c r="HQ126" s="720"/>
      <c r="HR126" s="720"/>
      <c r="HS126" s="720"/>
      <c r="HT126" s="720"/>
      <c r="HU126" s="720"/>
      <c r="HV126" s="720"/>
      <c r="HW126" s="720"/>
      <c r="HX126" s="720"/>
      <c r="HY126" s="720"/>
      <c r="HZ126" s="720"/>
      <c r="IA126" s="720"/>
      <c r="IB126" s="720"/>
      <c r="IC126" s="720"/>
      <c r="ID126" s="720"/>
      <c r="IE126" s="720"/>
      <c r="IF126" s="720"/>
      <c r="IG126" s="720"/>
      <c r="IH126" s="720"/>
    </row>
    <row r="127" hidden="1" outlineLevel="1">
      <c r="A127" s="598"/>
      <c r="B127" s="598"/>
      <c r="C127" s="598"/>
      <c r="D127" s="598"/>
      <c r="E127" s="598"/>
      <c r="F127" s="598"/>
      <c r="G127" s="598"/>
      <c r="H127" s="598"/>
      <c r="I127" s="598"/>
      <c r="J127" s="598"/>
      <c r="K127" s="598"/>
      <c r="L127" s="598"/>
      <c r="M127" s="598"/>
      <c r="N127" s="598"/>
      <c r="O127" s="598"/>
      <c r="P127" s="598"/>
      <c r="Q127" s="598"/>
      <c r="R127" s="598"/>
      <c r="S127" s="598"/>
      <c r="T127" s="598"/>
      <c r="U127" s="598"/>
      <c r="V127" s="598"/>
      <c r="W127" s="598"/>
      <c r="X127" s="598"/>
      <c r="Y127" s="598"/>
      <c r="Z127" s="598"/>
      <c r="AA127" s="911"/>
      <c r="AB127" s="999"/>
      <c r="AC127" s="720" t="str">
        <f>IFERROR(__xludf.DUMMYFUNCTION("""COMPUTED_VALUE"""),"Missiles Explosion")</f>
        <v>Missiles Explosion</v>
      </c>
      <c r="AD127" s="913" t="s">
        <v>173</v>
      </c>
      <c r="AE127" s="720">
        <v>0.0</v>
      </c>
      <c r="AF127" s="720"/>
      <c r="AG127" s="720">
        <v>1.0</v>
      </c>
      <c r="AH127" s="1002" t="str">
        <f t="shared" si="20"/>
        <v/>
      </c>
      <c r="AI127" s="720"/>
      <c r="AJ127" s="720"/>
      <c r="AK127" s="720"/>
      <c r="AL127" s="720"/>
      <c r="AM127" s="720"/>
      <c r="AN127" s="720"/>
      <c r="AO127" s="720"/>
      <c r="AP127" s="720"/>
      <c r="AQ127" s="720"/>
      <c r="AR127" s="720"/>
      <c r="AS127" s="720"/>
      <c r="AT127" s="720"/>
      <c r="AU127" s="720"/>
      <c r="AV127" s="720"/>
      <c r="AW127" s="720"/>
      <c r="AX127" s="720"/>
      <c r="AY127" s="720"/>
      <c r="AZ127" s="720"/>
      <c r="BA127" s="720"/>
      <c r="BB127" s="720"/>
      <c r="BC127" s="720"/>
      <c r="BD127" s="720"/>
      <c r="BE127" s="720"/>
      <c r="BF127" s="720"/>
      <c r="BG127" s="720"/>
      <c r="BH127" s="720"/>
      <c r="BI127" s="720"/>
      <c r="BJ127" s="720"/>
      <c r="BK127" s="720"/>
      <c r="BL127" s="720"/>
      <c r="BM127" s="720"/>
      <c r="BN127" s="720"/>
      <c r="BO127" s="720"/>
      <c r="BP127" s="720"/>
      <c r="BQ127" s="720"/>
      <c r="BR127" s="720"/>
      <c r="BS127" s="720"/>
      <c r="BT127" s="720"/>
      <c r="BU127" s="720"/>
      <c r="BV127" s="720"/>
      <c r="BW127" s="720"/>
      <c r="BX127" s="720"/>
      <c r="BY127" s="720"/>
      <c r="BZ127" s="720"/>
      <c r="CA127" s="720"/>
      <c r="CB127" s="720"/>
      <c r="CC127" s="720"/>
      <c r="CD127" s="720"/>
      <c r="CE127" s="720"/>
      <c r="CF127" s="720"/>
      <c r="CG127" s="720"/>
      <c r="CH127" s="720"/>
      <c r="CI127" s="720"/>
      <c r="CJ127" s="720"/>
      <c r="CK127" s="720"/>
      <c r="CL127" s="720"/>
      <c r="CM127" s="720"/>
      <c r="CN127" s="720"/>
      <c r="CO127" s="720"/>
      <c r="CP127" s="720"/>
      <c r="CQ127" s="720"/>
      <c r="CR127" s="720"/>
      <c r="CS127" s="720"/>
      <c r="CT127" s="720"/>
      <c r="CU127" s="720"/>
      <c r="CV127" s="720"/>
      <c r="CW127" s="720"/>
      <c r="CX127" s="720"/>
      <c r="CY127" s="720"/>
      <c r="CZ127" s="720"/>
      <c r="DA127" s="720"/>
      <c r="DB127" s="720"/>
      <c r="DC127" s="720"/>
      <c r="DD127" s="720"/>
      <c r="DE127" s="720"/>
      <c r="DF127" s="720"/>
      <c r="DG127" s="720"/>
      <c r="DH127" s="720"/>
      <c r="DI127" s="720"/>
      <c r="DJ127" s="720"/>
      <c r="DK127" s="720"/>
      <c r="DL127" s="720"/>
      <c r="DM127" s="720"/>
      <c r="DN127" s="720"/>
      <c r="DO127" s="720"/>
      <c r="DP127" s="720"/>
      <c r="DQ127" s="720"/>
      <c r="DR127" s="720"/>
      <c r="DS127" s="720"/>
      <c r="DT127" s="720"/>
      <c r="DU127" s="720"/>
      <c r="DV127" s="720"/>
      <c r="DW127" s="720"/>
      <c r="DX127" s="720"/>
      <c r="DY127" s="720"/>
      <c r="DZ127" s="720"/>
      <c r="EA127" s="720"/>
      <c r="EB127" s="720"/>
      <c r="EC127" s="720"/>
      <c r="ED127" s="720"/>
      <c r="EE127" s="720"/>
      <c r="EF127" s="720"/>
      <c r="EG127" s="720"/>
      <c r="EH127" s="720"/>
      <c r="EI127" s="720"/>
      <c r="EJ127" s="720"/>
      <c r="EK127" s="720"/>
      <c r="EL127" s="720"/>
      <c r="EM127" s="720"/>
      <c r="EN127" s="720"/>
      <c r="EO127" s="720"/>
      <c r="EP127" s="720"/>
      <c r="EQ127" s="720"/>
      <c r="ER127" s="720"/>
      <c r="ES127" s="720"/>
      <c r="ET127" s="720"/>
      <c r="EU127" s="720"/>
      <c r="EV127" s="720"/>
      <c r="EW127" s="720"/>
      <c r="EX127" s="720"/>
      <c r="EY127" s="720"/>
      <c r="EZ127" s="720"/>
      <c r="FA127" s="720"/>
      <c r="FB127" s="720"/>
      <c r="FC127" s="720"/>
      <c r="FD127" s="720"/>
      <c r="FE127" s="720"/>
      <c r="FF127" s="720"/>
      <c r="FG127" s="720"/>
      <c r="FH127" s="720"/>
      <c r="FI127" s="720"/>
      <c r="FJ127" s="720"/>
      <c r="FK127" s="720"/>
      <c r="FL127" s="720"/>
      <c r="FM127" s="720"/>
      <c r="FN127" s="720"/>
      <c r="FO127" s="720"/>
      <c r="FP127" s="720"/>
      <c r="FQ127" s="720"/>
      <c r="FR127" s="720"/>
      <c r="FS127" s="720"/>
      <c r="FT127" s="720"/>
      <c r="FU127" s="720"/>
      <c r="FV127" s="720"/>
      <c r="FW127" s="720"/>
      <c r="FX127" s="720"/>
      <c r="FY127" s="720"/>
      <c r="FZ127" s="720"/>
      <c r="GA127" s="720"/>
      <c r="GB127" s="720"/>
      <c r="GC127" s="720"/>
      <c r="GD127" s="720"/>
      <c r="GE127" s="720"/>
      <c r="GF127" s="720"/>
      <c r="GG127" s="720"/>
      <c r="GH127" s="720"/>
      <c r="GI127" s="720"/>
      <c r="GJ127" s="720"/>
      <c r="GK127" s="720"/>
      <c r="GL127" s="720"/>
      <c r="GM127" s="720"/>
      <c r="GN127" s="720"/>
      <c r="GO127" s="720"/>
      <c r="GP127" s="720"/>
      <c r="GQ127" s="720"/>
      <c r="GR127" s="720"/>
      <c r="GS127" s="720"/>
      <c r="GT127" s="720"/>
      <c r="GU127" s="720"/>
      <c r="GV127" s="720"/>
      <c r="GW127" s="720"/>
      <c r="GX127" s="720"/>
      <c r="GY127" s="720"/>
      <c r="GZ127" s="720"/>
      <c r="HA127" s="720"/>
      <c r="HB127" s="720"/>
      <c r="HC127" s="720"/>
      <c r="HD127" s="720"/>
      <c r="HE127" s="720"/>
      <c r="HF127" s="720"/>
      <c r="HG127" s="720"/>
      <c r="HH127" s="720"/>
      <c r="HI127" s="720"/>
      <c r="HJ127" s="720"/>
      <c r="HK127" s="720"/>
      <c r="HL127" s="720"/>
      <c r="HM127" s="720"/>
      <c r="HN127" s="720"/>
      <c r="HO127" s="720"/>
      <c r="HP127" s="720"/>
      <c r="HQ127" s="720"/>
      <c r="HR127" s="720"/>
      <c r="HS127" s="720"/>
      <c r="HT127" s="720"/>
      <c r="HU127" s="720"/>
      <c r="HV127" s="720"/>
      <c r="HW127" s="720"/>
      <c r="HX127" s="720"/>
      <c r="HY127" s="720"/>
      <c r="HZ127" s="720"/>
      <c r="IA127" s="720"/>
      <c r="IB127" s="720"/>
      <c r="IC127" s="720"/>
      <c r="ID127" s="720"/>
      <c r="IE127" s="720"/>
      <c r="IF127" s="720"/>
      <c r="IG127" s="720"/>
      <c r="IH127" s="720"/>
    </row>
    <row r="128" hidden="1" outlineLevel="1">
      <c r="A128" s="598"/>
      <c r="B128" s="598"/>
      <c r="C128" s="598"/>
      <c r="D128" s="598"/>
      <c r="E128" s="598"/>
      <c r="F128" s="598"/>
      <c r="G128" s="598"/>
      <c r="H128" s="598"/>
      <c r="I128" s="598"/>
      <c r="J128" s="598"/>
      <c r="K128" s="598"/>
      <c r="L128" s="598"/>
      <c r="M128" s="598"/>
      <c r="N128" s="598"/>
      <c r="O128" s="598"/>
      <c r="P128" s="598"/>
      <c r="Q128" s="598"/>
      <c r="R128" s="598"/>
      <c r="S128" s="598"/>
      <c r="T128" s="598"/>
      <c r="U128" s="598"/>
      <c r="V128" s="598"/>
      <c r="W128" s="598"/>
      <c r="X128" s="598"/>
      <c r="Y128" s="598"/>
      <c r="Z128" s="598"/>
      <c r="AA128" s="911"/>
      <c r="AB128" s="966"/>
      <c r="AC128" s="713" t="str">
        <f>IFERROR(__xludf.DUMMYFUNCTION("""COMPUTED_VALUE"""),"Module Coin Cost")</f>
        <v>Module Coin Cost</v>
      </c>
      <c r="AD128" s="816" t="s">
        <v>224</v>
      </c>
      <c r="AE128" s="713">
        <v>23.0</v>
      </c>
      <c r="AF128" s="713"/>
      <c r="AG128" s="713">
        <v>30.0</v>
      </c>
      <c r="AH128" s="1002" t="str">
        <f t="shared" si="20"/>
        <v/>
      </c>
      <c r="AI128" s="713"/>
      <c r="AJ128" s="713"/>
      <c r="AK128" s="713"/>
      <c r="AL128" s="713"/>
      <c r="AM128" s="713"/>
      <c r="AN128" s="713"/>
      <c r="AO128" s="713"/>
      <c r="AP128" s="713"/>
      <c r="AQ128" s="713"/>
      <c r="AR128" s="713"/>
      <c r="AS128" s="713"/>
      <c r="AT128" s="713"/>
      <c r="AU128" s="713"/>
      <c r="AV128" s="713"/>
      <c r="AW128" s="713"/>
      <c r="AX128" s="713"/>
      <c r="AY128" s="713"/>
      <c r="AZ128" s="713"/>
      <c r="BA128" s="713"/>
      <c r="BB128" s="713"/>
      <c r="BC128" s="713"/>
      <c r="BD128" s="713"/>
      <c r="BE128" s="713"/>
      <c r="BF128" s="713"/>
      <c r="BG128" s="713"/>
      <c r="BH128" s="713"/>
      <c r="BI128" s="713"/>
      <c r="BJ128" s="713"/>
      <c r="BK128" s="713"/>
      <c r="BL128" s="713"/>
      <c r="BM128" s="713"/>
      <c r="BN128" s="713"/>
      <c r="BO128" s="713"/>
      <c r="BP128" s="713"/>
      <c r="BQ128" s="713"/>
      <c r="BR128" s="713"/>
      <c r="BS128" s="713"/>
      <c r="BT128" s="713"/>
      <c r="BU128" s="713"/>
      <c r="BV128" s="713"/>
      <c r="BW128" s="713"/>
      <c r="BX128" s="713"/>
      <c r="BY128" s="713"/>
      <c r="BZ128" s="713"/>
      <c r="CA128" s="713"/>
      <c r="CB128" s="713"/>
      <c r="CC128" s="713"/>
      <c r="CD128" s="713"/>
      <c r="CE128" s="713"/>
      <c r="CF128" s="713"/>
      <c r="CG128" s="713"/>
      <c r="CH128" s="713"/>
      <c r="CI128" s="713"/>
      <c r="CJ128" s="713"/>
      <c r="CK128" s="713"/>
      <c r="CL128" s="713"/>
      <c r="CM128" s="713"/>
      <c r="CN128" s="713"/>
      <c r="CO128" s="713"/>
      <c r="CP128" s="713"/>
      <c r="CQ128" s="713"/>
      <c r="CR128" s="713"/>
      <c r="CS128" s="713"/>
      <c r="CT128" s="713"/>
      <c r="CU128" s="713"/>
      <c r="CV128" s="713"/>
      <c r="CW128" s="713"/>
      <c r="CX128" s="713"/>
      <c r="CY128" s="713"/>
      <c r="CZ128" s="713"/>
      <c r="DA128" s="713"/>
      <c r="DB128" s="713"/>
      <c r="DC128" s="713"/>
      <c r="DD128" s="713"/>
      <c r="DE128" s="713"/>
      <c r="DF128" s="713"/>
      <c r="DG128" s="713"/>
      <c r="DH128" s="713"/>
      <c r="DI128" s="713"/>
      <c r="DJ128" s="713"/>
      <c r="DK128" s="713"/>
      <c r="DL128" s="713"/>
      <c r="DM128" s="713"/>
      <c r="DN128" s="713"/>
      <c r="DO128" s="713"/>
      <c r="DP128" s="713"/>
      <c r="DQ128" s="713"/>
      <c r="DR128" s="713"/>
      <c r="DS128" s="713"/>
      <c r="DT128" s="713"/>
      <c r="DU128" s="713"/>
      <c r="DV128" s="713"/>
      <c r="DW128" s="713"/>
      <c r="DX128" s="713"/>
      <c r="DY128" s="713"/>
      <c r="DZ128" s="713"/>
      <c r="EA128" s="713"/>
      <c r="EB128" s="713"/>
      <c r="EC128" s="713"/>
      <c r="ED128" s="713"/>
      <c r="EE128" s="713"/>
      <c r="EF128" s="713"/>
      <c r="EG128" s="713"/>
      <c r="EH128" s="713"/>
      <c r="EI128" s="713"/>
      <c r="EJ128" s="713"/>
      <c r="EK128" s="713"/>
      <c r="EL128" s="713"/>
      <c r="EM128" s="713"/>
      <c r="EN128" s="713"/>
      <c r="EO128" s="713"/>
      <c r="EP128" s="713"/>
      <c r="EQ128" s="713"/>
      <c r="ER128" s="713"/>
      <c r="ES128" s="713"/>
      <c r="ET128" s="713"/>
      <c r="EU128" s="713"/>
      <c r="EV128" s="713"/>
      <c r="EW128" s="713"/>
      <c r="EX128" s="713"/>
      <c r="EY128" s="713"/>
      <c r="EZ128" s="713"/>
      <c r="FA128" s="713"/>
      <c r="FB128" s="713"/>
      <c r="FC128" s="713"/>
      <c r="FD128" s="713"/>
      <c r="FE128" s="713"/>
      <c r="FF128" s="713"/>
      <c r="FG128" s="713"/>
      <c r="FH128" s="713"/>
      <c r="FI128" s="713"/>
      <c r="FJ128" s="713"/>
      <c r="FK128" s="713"/>
      <c r="FL128" s="713"/>
      <c r="FM128" s="713"/>
      <c r="FN128" s="713"/>
      <c r="FO128" s="713"/>
      <c r="FP128" s="713"/>
      <c r="FQ128" s="713"/>
      <c r="FR128" s="713"/>
      <c r="FS128" s="713"/>
      <c r="FT128" s="713"/>
      <c r="FU128" s="713"/>
      <c r="FV128" s="713"/>
      <c r="FW128" s="713"/>
      <c r="FX128" s="713"/>
      <c r="FY128" s="713"/>
      <c r="FZ128" s="713"/>
      <c r="GA128" s="713"/>
      <c r="GB128" s="713"/>
      <c r="GC128" s="713"/>
      <c r="GD128" s="713"/>
      <c r="GE128" s="713"/>
      <c r="GF128" s="713"/>
      <c r="GG128" s="713"/>
      <c r="GH128" s="713"/>
      <c r="GI128" s="713"/>
      <c r="GJ128" s="713"/>
      <c r="GK128" s="713"/>
      <c r="GL128" s="713"/>
      <c r="GM128" s="713"/>
      <c r="GN128" s="713"/>
      <c r="GO128" s="713"/>
      <c r="GP128" s="713"/>
      <c r="GQ128" s="713"/>
      <c r="GR128" s="713"/>
      <c r="GS128" s="713"/>
      <c r="GT128" s="713"/>
      <c r="GU128" s="713"/>
      <c r="GV128" s="713"/>
      <c r="GW128" s="713"/>
      <c r="GX128" s="713"/>
      <c r="GY128" s="713"/>
      <c r="GZ128" s="713"/>
      <c r="HA128" s="713"/>
      <c r="HB128" s="713"/>
      <c r="HC128" s="713"/>
      <c r="HD128" s="713"/>
      <c r="HE128" s="713"/>
      <c r="HF128" s="713"/>
      <c r="HG128" s="713"/>
      <c r="HH128" s="713"/>
      <c r="HI128" s="713"/>
      <c r="HJ128" s="713"/>
      <c r="HK128" s="713"/>
      <c r="HL128" s="713"/>
      <c r="HM128" s="713"/>
      <c r="HN128" s="713"/>
      <c r="HO128" s="713"/>
      <c r="HP128" s="713"/>
      <c r="HQ128" s="713"/>
      <c r="HR128" s="713"/>
      <c r="HS128" s="713"/>
      <c r="HT128" s="713"/>
      <c r="HU128" s="713"/>
      <c r="HV128" s="713"/>
      <c r="HW128" s="713"/>
      <c r="HX128" s="713"/>
      <c r="HY128" s="713"/>
      <c r="HZ128" s="713"/>
      <c r="IA128" s="713"/>
      <c r="IB128" s="713"/>
      <c r="IC128" s="713"/>
      <c r="ID128" s="713"/>
      <c r="IE128" s="713"/>
      <c r="IF128" s="713"/>
      <c r="IG128" s="713"/>
      <c r="IH128" s="713"/>
    </row>
    <row r="129" hidden="1" outlineLevel="1">
      <c r="A129" s="598"/>
      <c r="B129" s="598"/>
      <c r="C129" s="598"/>
      <c r="D129" s="598"/>
      <c r="E129" s="598"/>
      <c r="F129" s="598"/>
      <c r="G129" s="598"/>
      <c r="H129" s="598"/>
      <c r="I129" s="598"/>
      <c r="J129" s="598"/>
      <c r="K129" s="598"/>
      <c r="L129" s="598"/>
      <c r="M129" s="598"/>
      <c r="N129" s="598"/>
      <c r="O129" s="598"/>
      <c r="P129" s="598"/>
      <c r="Q129" s="598"/>
      <c r="R129" s="598"/>
      <c r="S129" s="598"/>
      <c r="T129" s="598"/>
      <c r="U129" s="598"/>
      <c r="V129" s="598"/>
      <c r="W129" s="598"/>
      <c r="X129" s="598"/>
      <c r="Y129" s="598"/>
      <c r="Z129" s="598"/>
      <c r="AA129" s="911"/>
      <c r="AB129" s="966"/>
      <c r="AC129" s="713" t="str">
        <f>IFERROR(__xludf.DUMMYFUNCTION("""COMPUTED_VALUE"""),"Module Shards Cost")</f>
        <v>Module Shards Cost</v>
      </c>
      <c r="AD129" s="816" t="s">
        <v>211</v>
      </c>
      <c r="AE129" s="713">
        <v>30.0</v>
      </c>
      <c r="AF129" s="713"/>
      <c r="AG129" s="713">
        <v>30.0</v>
      </c>
      <c r="AH129" s="1002" t="str">
        <f t="shared" si="20"/>
        <v/>
      </c>
      <c r="AI129" s="713"/>
      <c r="AJ129" s="713"/>
      <c r="AK129" s="713"/>
      <c r="AL129" s="713"/>
      <c r="AM129" s="713"/>
      <c r="AN129" s="713"/>
      <c r="AO129" s="713"/>
      <c r="AP129" s="713"/>
      <c r="AQ129" s="713"/>
      <c r="AR129" s="713"/>
      <c r="AS129" s="713"/>
      <c r="AT129" s="713"/>
      <c r="AU129" s="713"/>
      <c r="AV129" s="713"/>
      <c r="AW129" s="713"/>
      <c r="AX129" s="713"/>
      <c r="AY129" s="713"/>
      <c r="AZ129" s="713"/>
      <c r="BA129" s="713"/>
      <c r="BB129" s="713"/>
      <c r="BC129" s="713"/>
      <c r="BD129" s="713"/>
      <c r="BE129" s="713"/>
      <c r="BF129" s="713"/>
      <c r="BG129" s="713"/>
      <c r="BH129" s="713"/>
      <c r="BI129" s="713"/>
      <c r="BJ129" s="713"/>
      <c r="BK129" s="713"/>
      <c r="BL129" s="713"/>
      <c r="BM129" s="713"/>
      <c r="BN129" s="713"/>
      <c r="BO129" s="713"/>
      <c r="BP129" s="713"/>
      <c r="BQ129" s="713"/>
      <c r="BR129" s="713"/>
      <c r="BS129" s="713"/>
      <c r="BT129" s="713"/>
      <c r="BU129" s="713"/>
      <c r="BV129" s="713"/>
      <c r="BW129" s="713"/>
      <c r="BX129" s="713"/>
      <c r="BY129" s="713"/>
      <c r="BZ129" s="713"/>
      <c r="CA129" s="713"/>
      <c r="CB129" s="713"/>
      <c r="CC129" s="713"/>
      <c r="CD129" s="713"/>
      <c r="CE129" s="713"/>
      <c r="CF129" s="713"/>
      <c r="CG129" s="713"/>
      <c r="CH129" s="713"/>
      <c r="CI129" s="713"/>
      <c r="CJ129" s="713"/>
      <c r="CK129" s="713"/>
      <c r="CL129" s="713"/>
      <c r="CM129" s="713"/>
      <c r="CN129" s="713"/>
      <c r="CO129" s="713"/>
      <c r="CP129" s="713"/>
      <c r="CQ129" s="713"/>
      <c r="CR129" s="713"/>
      <c r="CS129" s="713"/>
      <c r="CT129" s="713"/>
      <c r="CU129" s="713"/>
      <c r="CV129" s="713"/>
      <c r="CW129" s="713"/>
      <c r="CX129" s="713"/>
      <c r="CY129" s="713"/>
      <c r="CZ129" s="713"/>
      <c r="DA129" s="713"/>
      <c r="DB129" s="713"/>
      <c r="DC129" s="713"/>
      <c r="DD129" s="713"/>
      <c r="DE129" s="713"/>
      <c r="DF129" s="713"/>
      <c r="DG129" s="713"/>
      <c r="DH129" s="713"/>
      <c r="DI129" s="713"/>
      <c r="DJ129" s="713"/>
      <c r="DK129" s="713"/>
      <c r="DL129" s="713"/>
      <c r="DM129" s="713"/>
      <c r="DN129" s="713"/>
      <c r="DO129" s="713"/>
      <c r="DP129" s="713"/>
      <c r="DQ129" s="713"/>
      <c r="DR129" s="713"/>
      <c r="DS129" s="713"/>
      <c r="DT129" s="713"/>
      <c r="DU129" s="713"/>
      <c r="DV129" s="713"/>
      <c r="DW129" s="713"/>
      <c r="DX129" s="713"/>
      <c r="DY129" s="713"/>
      <c r="DZ129" s="713"/>
      <c r="EA129" s="713"/>
      <c r="EB129" s="713"/>
      <c r="EC129" s="713"/>
      <c r="ED129" s="713"/>
      <c r="EE129" s="713"/>
      <c r="EF129" s="713"/>
      <c r="EG129" s="713"/>
      <c r="EH129" s="713"/>
      <c r="EI129" s="713"/>
      <c r="EJ129" s="713"/>
      <c r="EK129" s="713"/>
      <c r="EL129" s="713"/>
      <c r="EM129" s="713"/>
      <c r="EN129" s="713"/>
      <c r="EO129" s="713"/>
      <c r="EP129" s="713"/>
      <c r="EQ129" s="713"/>
      <c r="ER129" s="713"/>
      <c r="ES129" s="713"/>
      <c r="ET129" s="713"/>
      <c r="EU129" s="713"/>
      <c r="EV129" s="713"/>
      <c r="EW129" s="713"/>
      <c r="EX129" s="713"/>
      <c r="EY129" s="713"/>
      <c r="EZ129" s="713"/>
      <c r="FA129" s="713"/>
      <c r="FB129" s="713"/>
      <c r="FC129" s="713"/>
      <c r="FD129" s="713"/>
      <c r="FE129" s="713"/>
      <c r="FF129" s="713"/>
      <c r="FG129" s="713"/>
      <c r="FH129" s="713"/>
      <c r="FI129" s="713"/>
      <c r="FJ129" s="713"/>
      <c r="FK129" s="713"/>
      <c r="FL129" s="713"/>
      <c r="FM129" s="713"/>
      <c r="FN129" s="713"/>
      <c r="FO129" s="713"/>
      <c r="FP129" s="713"/>
      <c r="FQ129" s="713"/>
      <c r="FR129" s="713"/>
      <c r="FS129" s="713"/>
      <c r="FT129" s="713"/>
      <c r="FU129" s="713"/>
      <c r="FV129" s="713"/>
      <c r="FW129" s="713"/>
      <c r="FX129" s="713"/>
      <c r="FY129" s="713"/>
      <c r="FZ129" s="713"/>
      <c r="GA129" s="713"/>
      <c r="GB129" s="713"/>
      <c r="GC129" s="713"/>
      <c r="GD129" s="713"/>
      <c r="GE129" s="713"/>
      <c r="GF129" s="713"/>
      <c r="GG129" s="713"/>
      <c r="GH129" s="713"/>
      <c r="GI129" s="713"/>
      <c r="GJ129" s="713"/>
      <c r="GK129" s="713"/>
      <c r="GL129" s="713"/>
      <c r="GM129" s="713"/>
      <c r="GN129" s="713"/>
      <c r="GO129" s="713"/>
      <c r="GP129" s="713"/>
      <c r="GQ129" s="713"/>
      <c r="GR129" s="713"/>
      <c r="GS129" s="713"/>
      <c r="GT129" s="713"/>
      <c r="GU129" s="713"/>
      <c r="GV129" s="713"/>
      <c r="GW129" s="713"/>
      <c r="GX129" s="713"/>
      <c r="GY129" s="713"/>
      <c r="GZ129" s="713"/>
      <c r="HA129" s="713"/>
      <c r="HB129" s="713"/>
      <c r="HC129" s="713"/>
      <c r="HD129" s="713"/>
      <c r="HE129" s="713"/>
      <c r="HF129" s="713"/>
      <c r="HG129" s="713"/>
      <c r="HH129" s="713"/>
      <c r="HI129" s="713"/>
      <c r="HJ129" s="713"/>
      <c r="HK129" s="713"/>
      <c r="HL129" s="713"/>
      <c r="HM129" s="713"/>
      <c r="HN129" s="713"/>
      <c r="HO129" s="713"/>
      <c r="HP129" s="713"/>
      <c r="HQ129" s="713"/>
      <c r="HR129" s="713"/>
      <c r="HS129" s="713"/>
      <c r="HT129" s="713"/>
      <c r="HU129" s="713"/>
      <c r="HV129" s="713"/>
      <c r="HW129" s="713"/>
      <c r="HX129" s="713"/>
      <c r="HY129" s="713"/>
      <c r="HZ129" s="713"/>
      <c r="IA129" s="713"/>
      <c r="IB129" s="713"/>
      <c r="IC129" s="713"/>
      <c r="ID129" s="713"/>
      <c r="IE129" s="713"/>
      <c r="IF129" s="713"/>
      <c r="IG129" s="713"/>
      <c r="IH129" s="713"/>
    </row>
    <row r="130" hidden="1" outlineLevel="1">
      <c r="A130" s="598"/>
      <c r="B130" s="598"/>
      <c r="C130" s="598"/>
      <c r="D130" s="598"/>
      <c r="E130" s="598"/>
      <c r="F130" s="598"/>
      <c r="G130" s="598"/>
      <c r="H130" s="598"/>
      <c r="I130" s="598"/>
      <c r="J130" s="598"/>
      <c r="K130" s="598"/>
      <c r="L130" s="598"/>
      <c r="M130" s="598"/>
      <c r="N130" s="598"/>
      <c r="O130" s="598"/>
      <c r="P130" s="598"/>
      <c r="Q130" s="598"/>
      <c r="R130" s="598"/>
      <c r="S130" s="598"/>
      <c r="T130" s="598"/>
      <c r="U130" s="598"/>
      <c r="V130" s="598"/>
      <c r="W130" s="598"/>
      <c r="X130" s="598"/>
      <c r="Y130" s="598"/>
      <c r="Z130" s="598"/>
      <c r="AA130" s="911"/>
      <c r="AB130" s="966"/>
      <c r="AC130" s="713" t="str">
        <f>IFERROR(__xludf.DUMMYFUNCTION("""COMPUTED_VALUE"""),"More Enemies")</f>
        <v>More Enemies</v>
      </c>
      <c r="AD130" s="940" t="s">
        <v>269</v>
      </c>
      <c r="AE130" s="713">
        <v>0.0</v>
      </c>
      <c r="AF130" s="713"/>
      <c r="AG130" s="713">
        <v>20.0</v>
      </c>
      <c r="AH130" s="1002" t="str">
        <f t="shared" si="20"/>
        <v/>
      </c>
      <c r="AI130" s="713"/>
      <c r="AJ130" s="713"/>
      <c r="AK130" s="713"/>
      <c r="AL130" s="713"/>
      <c r="AM130" s="713"/>
      <c r="AN130" s="713"/>
      <c r="AO130" s="713"/>
      <c r="AP130" s="713"/>
      <c r="AQ130" s="713"/>
      <c r="AR130" s="713"/>
      <c r="AS130" s="713"/>
      <c r="AT130" s="713"/>
      <c r="AU130" s="713"/>
      <c r="AV130" s="713"/>
      <c r="AW130" s="713"/>
      <c r="AX130" s="713"/>
      <c r="AY130" s="713"/>
      <c r="AZ130" s="713"/>
      <c r="BA130" s="713"/>
      <c r="BB130" s="713"/>
      <c r="BC130" s="713"/>
      <c r="BD130" s="713"/>
      <c r="BE130" s="713"/>
      <c r="BF130" s="713"/>
      <c r="BG130" s="713"/>
      <c r="BH130" s="713"/>
      <c r="BI130" s="713"/>
      <c r="BJ130" s="713"/>
      <c r="BK130" s="713"/>
      <c r="BL130" s="713"/>
      <c r="BM130" s="713"/>
      <c r="BN130" s="713"/>
      <c r="BO130" s="713"/>
      <c r="BP130" s="713"/>
      <c r="BQ130" s="713"/>
      <c r="BR130" s="713"/>
      <c r="BS130" s="713"/>
      <c r="BT130" s="713"/>
      <c r="BU130" s="713"/>
      <c r="BV130" s="713"/>
      <c r="BW130" s="713"/>
      <c r="BX130" s="713"/>
      <c r="BY130" s="713"/>
      <c r="BZ130" s="713"/>
      <c r="CA130" s="713"/>
      <c r="CB130" s="713"/>
      <c r="CC130" s="713"/>
      <c r="CD130" s="713"/>
      <c r="CE130" s="713"/>
      <c r="CF130" s="713"/>
      <c r="CG130" s="713"/>
      <c r="CH130" s="713"/>
      <c r="CI130" s="713"/>
      <c r="CJ130" s="713"/>
      <c r="CK130" s="713"/>
      <c r="CL130" s="713"/>
      <c r="CM130" s="713"/>
      <c r="CN130" s="713"/>
      <c r="CO130" s="713"/>
      <c r="CP130" s="713"/>
      <c r="CQ130" s="713"/>
      <c r="CR130" s="713"/>
      <c r="CS130" s="713"/>
      <c r="CT130" s="713"/>
      <c r="CU130" s="713"/>
      <c r="CV130" s="713"/>
      <c r="CW130" s="713"/>
      <c r="CX130" s="713"/>
      <c r="CY130" s="713"/>
      <c r="CZ130" s="713"/>
      <c r="DA130" s="713"/>
      <c r="DB130" s="713"/>
      <c r="DC130" s="713"/>
      <c r="DD130" s="713"/>
      <c r="DE130" s="713"/>
      <c r="DF130" s="713"/>
      <c r="DG130" s="713"/>
      <c r="DH130" s="713"/>
      <c r="DI130" s="713"/>
      <c r="DJ130" s="713"/>
      <c r="DK130" s="713"/>
      <c r="DL130" s="713"/>
      <c r="DM130" s="713"/>
      <c r="DN130" s="713"/>
      <c r="DO130" s="713"/>
      <c r="DP130" s="713"/>
      <c r="DQ130" s="713"/>
      <c r="DR130" s="713"/>
      <c r="DS130" s="713"/>
      <c r="DT130" s="713"/>
      <c r="DU130" s="713"/>
      <c r="DV130" s="713"/>
      <c r="DW130" s="713"/>
      <c r="DX130" s="713"/>
      <c r="DY130" s="713"/>
      <c r="DZ130" s="713"/>
      <c r="EA130" s="713"/>
      <c r="EB130" s="713"/>
      <c r="EC130" s="713"/>
      <c r="ED130" s="713"/>
      <c r="EE130" s="713"/>
      <c r="EF130" s="713"/>
      <c r="EG130" s="713"/>
      <c r="EH130" s="713"/>
      <c r="EI130" s="713"/>
      <c r="EJ130" s="713"/>
      <c r="EK130" s="713"/>
      <c r="EL130" s="713"/>
      <c r="EM130" s="713"/>
      <c r="EN130" s="713"/>
      <c r="EO130" s="713"/>
      <c r="EP130" s="713"/>
      <c r="EQ130" s="713"/>
      <c r="ER130" s="713"/>
      <c r="ES130" s="713"/>
      <c r="ET130" s="713"/>
      <c r="EU130" s="713"/>
      <c r="EV130" s="713"/>
      <c r="EW130" s="713"/>
      <c r="EX130" s="713"/>
      <c r="EY130" s="713"/>
      <c r="EZ130" s="713"/>
      <c r="FA130" s="713"/>
      <c r="FB130" s="713"/>
      <c r="FC130" s="713"/>
      <c r="FD130" s="713"/>
      <c r="FE130" s="713"/>
      <c r="FF130" s="713"/>
      <c r="FG130" s="713"/>
      <c r="FH130" s="713"/>
      <c r="FI130" s="713"/>
      <c r="FJ130" s="713"/>
      <c r="FK130" s="713"/>
      <c r="FL130" s="713"/>
      <c r="FM130" s="713"/>
      <c r="FN130" s="713"/>
      <c r="FO130" s="713"/>
      <c r="FP130" s="713"/>
      <c r="FQ130" s="713"/>
      <c r="FR130" s="713"/>
      <c r="FS130" s="713"/>
      <c r="FT130" s="713"/>
      <c r="FU130" s="713"/>
      <c r="FV130" s="713"/>
      <c r="FW130" s="713"/>
      <c r="FX130" s="713"/>
      <c r="FY130" s="713"/>
      <c r="FZ130" s="713"/>
      <c r="GA130" s="713"/>
      <c r="GB130" s="713"/>
      <c r="GC130" s="713"/>
      <c r="GD130" s="713"/>
      <c r="GE130" s="713"/>
      <c r="GF130" s="713"/>
      <c r="GG130" s="713"/>
      <c r="GH130" s="713"/>
      <c r="GI130" s="713"/>
      <c r="GJ130" s="713"/>
      <c r="GK130" s="713"/>
      <c r="GL130" s="713"/>
      <c r="GM130" s="713"/>
      <c r="GN130" s="713"/>
      <c r="GO130" s="713"/>
      <c r="GP130" s="713"/>
      <c r="GQ130" s="713"/>
      <c r="GR130" s="713"/>
      <c r="GS130" s="713"/>
      <c r="GT130" s="713"/>
      <c r="GU130" s="713"/>
      <c r="GV130" s="713"/>
      <c r="GW130" s="713"/>
      <c r="GX130" s="713"/>
      <c r="GY130" s="713"/>
      <c r="GZ130" s="713"/>
      <c r="HA130" s="713"/>
      <c r="HB130" s="713"/>
      <c r="HC130" s="713"/>
      <c r="HD130" s="713"/>
      <c r="HE130" s="713"/>
      <c r="HF130" s="713"/>
      <c r="HG130" s="713"/>
      <c r="HH130" s="713"/>
      <c r="HI130" s="713"/>
      <c r="HJ130" s="713"/>
      <c r="HK130" s="713"/>
      <c r="HL130" s="713"/>
      <c r="HM130" s="713"/>
      <c r="HN130" s="713"/>
      <c r="HO130" s="713"/>
      <c r="HP130" s="713"/>
      <c r="HQ130" s="713"/>
      <c r="HR130" s="713"/>
      <c r="HS130" s="713"/>
      <c r="HT130" s="713"/>
      <c r="HU130" s="713"/>
      <c r="HV130" s="713"/>
      <c r="HW130" s="713"/>
      <c r="HX130" s="713"/>
      <c r="HY130" s="713"/>
      <c r="HZ130" s="713"/>
      <c r="IA130" s="713"/>
      <c r="IB130" s="713"/>
      <c r="IC130" s="713"/>
      <c r="ID130" s="713"/>
      <c r="IE130" s="713"/>
      <c r="IF130" s="713"/>
      <c r="IG130" s="713"/>
      <c r="IH130" s="713"/>
    </row>
    <row r="131" hidden="1" outlineLevel="1">
      <c r="A131" s="598"/>
      <c r="B131" s="598"/>
      <c r="C131" s="598"/>
      <c r="D131" s="598"/>
      <c r="E131" s="598"/>
      <c r="F131" s="598"/>
      <c r="G131" s="598"/>
      <c r="H131" s="598"/>
      <c r="I131" s="598"/>
      <c r="J131" s="598"/>
      <c r="K131" s="598"/>
      <c r="L131" s="598"/>
      <c r="M131" s="598"/>
      <c r="N131" s="598"/>
      <c r="O131" s="598"/>
      <c r="P131" s="598"/>
      <c r="Q131" s="598"/>
      <c r="R131" s="598"/>
      <c r="S131" s="598"/>
      <c r="T131" s="598"/>
      <c r="U131" s="598"/>
      <c r="V131" s="598"/>
      <c r="W131" s="598"/>
      <c r="X131" s="598"/>
      <c r="Y131" s="598"/>
      <c r="Z131" s="598"/>
      <c r="AA131" s="911"/>
      <c r="AB131" s="966"/>
      <c r="AC131" s="713" t="str">
        <f>IFERROR(__xludf.DUMMYFUNCTION("""COMPUTED_VALUE"""),"More Round Stats")</f>
        <v>More Round Stats</v>
      </c>
      <c r="AD131" s="816" t="s">
        <v>260</v>
      </c>
      <c r="AE131" s="713">
        <v>1.0</v>
      </c>
      <c r="AF131" s="713"/>
      <c r="AG131" s="713">
        <v>1.0</v>
      </c>
      <c r="AH131" s="1002" t="str">
        <f t="shared" si="20"/>
        <v/>
      </c>
      <c r="AI131" s="713"/>
      <c r="AJ131" s="713"/>
      <c r="AK131" s="713"/>
      <c r="AL131" s="713"/>
      <c r="AM131" s="713"/>
      <c r="AN131" s="713"/>
      <c r="AO131" s="713"/>
      <c r="AP131" s="713"/>
      <c r="AQ131" s="713"/>
      <c r="AR131" s="713"/>
      <c r="AS131" s="713"/>
      <c r="AT131" s="713"/>
      <c r="AU131" s="713"/>
      <c r="AV131" s="713"/>
      <c r="AW131" s="713"/>
      <c r="AX131" s="713"/>
      <c r="AY131" s="713"/>
      <c r="AZ131" s="713"/>
      <c r="BA131" s="713"/>
      <c r="BB131" s="713"/>
      <c r="BC131" s="713"/>
      <c r="BD131" s="713"/>
      <c r="BE131" s="713"/>
      <c r="BF131" s="713"/>
      <c r="BG131" s="713"/>
      <c r="BH131" s="713"/>
      <c r="BI131" s="713"/>
      <c r="BJ131" s="713"/>
      <c r="BK131" s="713"/>
      <c r="BL131" s="713"/>
      <c r="BM131" s="713"/>
      <c r="BN131" s="713"/>
      <c r="BO131" s="713"/>
      <c r="BP131" s="713"/>
      <c r="BQ131" s="713"/>
      <c r="BR131" s="713"/>
      <c r="BS131" s="713"/>
      <c r="BT131" s="713"/>
      <c r="BU131" s="713"/>
      <c r="BV131" s="713"/>
      <c r="BW131" s="713"/>
      <c r="BX131" s="713"/>
      <c r="BY131" s="713"/>
      <c r="BZ131" s="713"/>
      <c r="CA131" s="713"/>
      <c r="CB131" s="713"/>
      <c r="CC131" s="713"/>
      <c r="CD131" s="713"/>
      <c r="CE131" s="713"/>
      <c r="CF131" s="713"/>
      <c r="CG131" s="713"/>
      <c r="CH131" s="713"/>
      <c r="CI131" s="713"/>
      <c r="CJ131" s="713"/>
      <c r="CK131" s="713"/>
      <c r="CL131" s="713"/>
      <c r="CM131" s="713"/>
      <c r="CN131" s="713"/>
      <c r="CO131" s="713"/>
      <c r="CP131" s="713"/>
      <c r="CQ131" s="713"/>
      <c r="CR131" s="713"/>
      <c r="CS131" s="713"/>
      <c r="CT131" s="713"/>
      <c r="CU131" s="713"/>
      <c r="CV131" s="713"/>
      <c r="CW131" s="713"/>
      <c r="CX131" s="713"/>
      <c r="CY131" s="713"/>
      <c r="CZ131" s="713"/>
      <c r="DA131" s="713"/>
      <c r="DB131" s="713"/>
      <c r="DC131" s="713"/>
      <c r="DD131" s="713"/>
      <c r="DE131" s="713"/>
      <c r="DF131" s="713"/>
      <c r="DG131" s="713"/>
      <c r="DH131" s="713"/>
      <c r="DI131" s="713"/>
      <c r="DJ131" s="713"/>
      <c r="DK131" s="713"/>
      <c r="DL131" s="713"/>
      <c r="DM131" s="713"/>
      <c r="DN131" s="713"/>
      <c r="DO131" s="713"/>
      <c r="DP131" s="713"/>
      <c r="DQ131" s="713"/>
      <c r="DR131" s="713"/>
      <c r="DS131" s="713"/>
      <c r="DT131" s="713"/>
      <c r="DU131" s="713"/>
      <c r="DV131" s="713"/>
      <c r="DW131" s="713"/>
      <c r="DX131" s="713"/>
      <c r="DY131" s="713"/>
      <c r="DZ131" s="713"/>
      <c r="EA131" s="713"/>
      <c r="EB131" s="713"/>
      <c r="EC131" s="713"/>
      <c r="ED131" s="713"/>
      <c r="EE131" s="713"/>
      <c r="EF131" s="713"/>
      <c r="EG131" s="713"/>
      <c r="EH131" s="713"/>
      <c r="EI131" s="713"/>
      <c r="EJ131" s="713"/>
      <c r="EK131" s="713"/>
      <c r="EL131" s="713"/>
      <c r="EM131" s="713"/>
      <c r="EN131" s="713"/>
      <c r="EO131" s="713"/>
      <c r="EP131" s="713"/>
      <c r="EQ131" s="713"/>
      <c r="ER131" s="713"/>
      <c r="ES131" s="713"/>
      <c r="ET131" s="713"/>
      <c r="EU131" s="713"/>
      <c r="EV131" s="713"/>
      <c r="EW131" s="713"/>
      <c r="EX131" s="713"/>
      <c r="EY131" s="713"/>
      <c r="EZ131" s="713"/>
      <c r="FA131" s="713"/>
      <c r="FB131" s="713"/>
      <c r="FC131" s="713"/>
      <c r="FD131" s="713"/>
      <c r="FE131" s="713"/>
      <c r="FF131" s="713"/>
      <c r="FG131" s="713"/>
      <c r="FH131" s="713"/>
      <c r="FI131" s="713"/>
      <c r="FJ131" s="713"/>
      <c r="FK131" s="713"/>
      <c r="FL131" s="713"/>
      <c r="FM131" s="713"/>
      <c r="FN131" s="713"/>
      <c r="FO131" s="713"/>
      <c r="FP131" s="713"/>
      <c r="FQ131" s="713"/>
      <c r="FR131" s="713"/>
      <c r="FS131" s="713"/>
      <c r="FT131" s="713"/>
      <c r="FU131" s="713"/>
      <c r="FV131" s="713"/>
      <c r="FW131" s="713"/>
      <c r="FX131" s="713"/>
      <c r="FY131" s="713"/>
      <c r="FZ131" s="713"/>
      <c r="GA131" s="713"/>
      <c r="GB131" s="713"/>
      <c r="GC131" s="713"/>
      <c r="GD131" s="713"/>
      <c r="GE131" s="713"/>
      <c r="GF131" s="713"/>
      <c r="GG131" s="713"/>
      <c r="GH131" s="713"/>
      <c r="GI131" s="713"/>
      <c r="GJ131" s="713"/>
      <c r="GK131" s="713"/>
      <c r="GL131" s="713"/>
      <c r="GM131" s="713"/>
      <c r="GN131" s="713"/>
      <c r="GO131" s="713"/>
      <c r="GP131" s="713"/>
      <c r="GQ131" s="713"/>
      <c r="GR131" s="713"/>
      <c r="GS131" s="713"/>
      <c r="GT131" s="713"/>
      <c r="GU131" s="713"/>
      <c r="GV131" s="713"/>
      <c r="GW131" s="713"/>
      <c r="GX131" s="713"/>
      <c r="GY131" s="713"/>
      <c r="GZ131" s="713"/>
      <c r="HA131" s="713"/>
      <c r="HB131" s="713"/>
      <c r="HC131" s="713"/>
      <c r="HD131" s="713"/>
      <c r="HE131" s="713"/>
      <c r="HF131" s="713"/>
      <c r="HG131" s="713"/>
      <c r="HH131" s="713"/>
      <c r="HI131" s="713"/>
      <c r="HJ131" s="713"/>
      <c r="HK131" s="713"/>
      <c r="HL131" s="713"/>
      <c r="HM131" s="713"/>
      <c r="HN131" s="713"/>
      <c r="HO131" s="713"/>
      <c r="HP131" s="713"/>
      <c r="HQ131" s="713"/>
      <c r="HR131" s="713"/>
      <c r="HS131" s="713"/>
      <c r="HT131" s="713"/>
      <c r="HU131" s="713"/>
      <c r="HV131" s="713"/>
      <c r="HW131" s="713"/>
      <c r="HX131" s="713"/>
      <c r="HY131" s="713"/>
      <c r="HZ131" s="713"/>
      <c r="IA131" s="713"/>
      <c r="IB131" s="713"/>
      <c r="IC131" s="713"/>
      <c r="ID131" s="713"/>
      <c r="IE131" s="713"/>
      <c r="IF131" s="713"/>
      <c r="IG131" s="713"/>
      <c r="IH131" s="713"/>
    </row>
    <row r="132" hidden="1" outlineLevel="1">
      <c r="A132" s="598"/>
      <c r="B132" s="598"/>
      <c r="C132" s="598"/>
      <c r="D132" s="598"/>
      <c r="E132" s="598"/>
      <c r="F132" s="598"/>
      <c r="G132" s="598"/>
      <c r="H132" s="598"/>
      <c r="I132" s="598"/>
      <c r="J132" s="598"/>
      <c r="K132" s="598"/>
      <c r="L132" s="598"/>
      <c r="M132" s="598"/>
      <c r="N132" s="598"/>
      <c r="O132" s="598"/>
      <c r="P132" s="598"/>
      <c r="Q132" s="598"/>
      <c r="R132" s="598"/>
      <c r="S132" s="598"/>
      <c r="T132" s="598"/>
      <c r="U132" s="598"/>
      <c r="V132" s="598"/>
      <c r="W132" s="598"/>
      <c r="X132" s="598"/>
      <c r="Y132" s="598"/>
      <c r="Z132" s="598"/>
      <c r="AA132" s="911"/>
      <c r="AB132" s="966"/>
      <c r="AC132" s="713" t="str">
        <f>IFERROR(__xludf.DUMMYFUNCTION("""COMPUTED_VALUE"""),"Nuke Mastery")</f>
        <v>Nuke Mastery</v>
      </c>
      <c r="AD132" s="825" t="s">
        <v>381</v>
      </c>
      <c r="AE132" s="713">
        <v>0.0</v>
      </c>
      <c r="AF132" s="713"/>
      <c r="AG132" s="713">
        <v>9.0</v>
      </c>
      <c r="AH132" s="1002" t="str">
        <f t="shared" si="20"/>
        <v/>
      </c>
      <c r="AI132" s="713"/>
      <c r="AJ132" s="713"/>
      <c r="AK132" s="713"/>
      <c r="AL132" s="713"/>
      <c r="AM132" s="713"/>
      <c r="AN132" s="713"/>
      <c r="AO132" s="713"/>
      <c r="AP132" s="713"/>
      <c r="AQ132" s="713"/>
      <c r="AR132" s="713"/>
      <c r="AS132" s="713"/>
      <c r="AT132" s="713"/>
      <c r="AU132" s="713"/>
      <c r="AV132" s="713"/>
      <c r="AW132" s="713"/>
      <c r="AX132" s="713"/>
      <c r="AY132" s="713"/>
      <c r="AZ132" s="713"/>
      <c r="BA132" s="713"/>
      <c r="BB132" s="713"/>
      <c r="BC132" s="713"/>
      <c r="BD132" s="713"/>
      <c r="BE132" s="713"/>
      <c r="BF132" s="713"/>
      <c r="BG132" s="713"/>
      <c r="BH132" s="713"/>
      <c r="BI132" s="713"/>
      <c r="BJ132" s="713"/>
      <c r="BK132" s="713"/>
      <c r="BL132" s="713"/>
      <c r="BM132" s="713"/>
      <c r="BN132" s="713"/>
      <c r="BO132" s="713"/>
      <c r="BP132" s="713"/>
      <c r="BQ132" s="713"/>
      <c r="BR132" s="713"/>
      <c r="BS132" s="713"/>
      <c r="BT132" s="713"/>
      <c r="BU132" s="713"/>
      <c r="BV132" s="713"/>
      <c r="BW132" s="713"/>
      <c r="BX132" s="713"/>
      <c r="BY132" s="713"/>
      <c r="BZ132" s="713"/>
      <c r="CA132" s="713"/>
      <c r="CB132" s="713"/>
      <c r="CC132" s="713"/>
      <c r="CD132" s="713"/>
      <c r="CE132" s="713"/>
      <c r="CF132" s="713"/>
      <c r="CG132" s="713"/>
      <c r="CH132" s="713"/>
      <c r="CI132" s="713"/>
      <c r="CJ132" s="713"/>
      <c r="CK132" s="713"/>
      <c r="CL132" s="713"/>
      <c r="CM132" s="713"/>
      <c r="CN132" s="713"/>
      <c r="CO132" s="713"/>
      <c r="CP132" s="713"/>
      <c r="CQ132" s="713"/>
      <c r="CR132" s="713"/>
      <c r="CS132" s="713"/>
      <c r="CT132" s="713"/>
      <c r="CU132" s="713"/>
      <c r="CV132" s="713"/>
      <c r="CW132" s="713"/>
      <c r="CX132" s="713"/>
      <c r="CY132" s="713"/>
      <c r="CZ132" s="713"/>
      <c r="DA132" s="713"/>
      <c r="DB132" s="713"/>
      <c r="DC132" s="713"/>
      <c r="DD132" s="713"/>
      <c r="DE132" s="713"/>
      <c r="DF132" s="713"/>
      <c r="DG132" s="713"/>
      <c r="DH132" s="713"/>
      <c r="DI132" s="713"/>
      <c r="DJ132" s="713"/>
      <c r="DK132" s="713"/>
      <c r="DL132" s="713"/>
      <c r="DM132" s="713"/>
      <c r="DN132" s="713"/>
      <c r="DO132" s="713"/>
      <c r="DP132" s="713"/>
      <c r="DQ132" s="713"/>
      <c r="DR132" s="713"/>
      <c r="DS132" s="713"/>
      <c r="DT132" s="713"/>
      <c r="DU132" s="713"/>
      <c r="DV132" s="713"/>
      <c r="DW132" s="713"/>
      <c r="DX132" s="713"/>
      <c r="DY132" s="713"/>
      <c r="DZ132" s="713"/>
      <c r="EA132" s="713"/>
      <c r="EB132" s="713"/>
      <c r="EC132" s="713"/>
      <c r="ED132" s="713"/>
      <c r="EE132" s="713"/>
      <c r="EF132" s="713"/>
      <c r="EG132" s="713"/>
      <c r="EH132" s="713"/>
      <c r="EI132" s="713"/>
      <c r="EJ132" s="713"/>
      <c r="EK132" s="713"/>
      <c r="EL132" s="713"/>
      <c r="EM132" s="713"/>
      <c r="EN132" s="713"/>
      <c r="EO132" s="713"/>
      <c r="EP132" s="713"/>
      <c r="EQ132" s="713"/>
      <c r="ER132" s="713"/>
      <c r="ES132" s="713"/>
      <c r="ET132" s="713"/>
      <c r="EU132" s="713"/>
      <c r="EV132" s="713"/>
      <c r="EW132" s="713"/>
      <c r="EX132" s="713"/>
      <c r="EY132" s="713"/>
      <c r="EZ132" s="713"/>
      <c r="FA132" s="713"/>
      <c r="FB132" s="713"/>
      <c r="FC132" s="713"/>
      <c r="FD132" s="713"/>
      <c r="FE132" s="713"/>
      <c r="FF132" s="713"/>
      <c r="FG132" s="713"/>
      <c r="FH132" s="713"/>
      <c r="FI132" s="713"/>
      <c r="FJ132" s="713"/>
      <c r="FK132" s="713"/>
      <c r="FL132" s="713"/>
      <c r="FM132" s="713"/>
      <c r="FN132" s="713"/>
      <c r="FO132" s="713"/>
      <c r="FP132" s="713"/>
      <c r="FQ132" s="713"/>
      <c r="FR132" s="713"/>
      <c r="FS132" s="713"/>
      <c r="FT132" s="713"/>
      <c r="FU132" s="713"/>
      <c r="FV132" s="713"/>
      <c r="FW132" s="713"/>
      <c r="FX132" s="713"/>
      <c r="FY132" s="713"/>
      <c r="FZ132" s="713"/>
      <c r="GA132" s="713"/>
      <c r="GB132" s="713"/>
      <c r="GC132" s="713"/>
      <c r="GD132" s="713"/>
      <c r="GE132" s="713"/>
      <c r="GF132" s="713"/>
      <c r="GG132" s="713"/>
      <c r="GH132" s="713"/>
      <c r="GI132" s="713"/>
      <c r="GJ132" s="713"/>
      <c r="GK132" s="713"/>
      <c r="GL132" s="713"/>
      <c r="GM132" s="713"/>
      <c r="GN132" s="713"/>
      <c r="GO132" s="713"/>
      <c r="GP132" s="713"/>
      <c r="GQ132" s="713"/>
      <c r="GR132" s="713"/>
      <c r="GS132" s="713"/>
      <c r="GT132" s="713"/>
      <c r="GU132" s="713"/>
      <c r="GV132" s="713"/>
      <c r="GW132" s="713"/>
      <c r="GX132" s="713"/>
      <c r="GY132" s="713"/>
      <c r="GZ132" s="713"/>
      <c r="HA132" s="713"/>
      <c r="HB132" s="713"/>
      <c r="HC132" s="713"/>
      <c r="HD132" s="713"/>
      <c r="HE132" s="713"/>
      <c r="HF132" s="713"/>
      <c r="HG132" s="713"/>
      <c r="HH132" s="713"/>
      <c r="HI132" s="713"/>
      <c r="HJ132" s="713"/>
      <c r="HK132" s="713"/>
      <c r="HL132" s="713"/>
      <c r="HM132" s="713"/>
      <c r="HN132" s="713"/>
      <c r="HO132" s="713"/>
      <c r="HP132" s="713"/>
      <c r="HQ132" s="713"/>
      <c r="HR132" s="713"/>
      <c r="HS132" s="713"/>
      <c r="HT132" s="713"/>
      <c r="HU132" s="713"/>
      <c r="HV132" s="713"/>
      <c r="HW132" s="713"/>
      <c r="HX132" s="713"/>
      <c r="HY132" s="713"/>
      <c r="HZ132" s="713"/>
      <c r="IA132" s="713"/>
      <c r="IB132" s="713"/>
      <c r="IC132" s="713"/>
      <c r="ID132" s="713"/>
      <c r="IE132" s="713"/>
      <c r="IF132" s="713"/>
      <c r="IG132" s="713"/>
      <c r="IH132" s="713"/>
    </row>
    <row r="133" hidden="1" outlineLevel="1">
      <c r="A133" s="598"/>
      <c r="B133" s="598"/>
      <c r="C133" s="598"/>
      <c r="D133" s="598"/>
      <c r="E133" s="598"/>
      <c r="F133" s="598"/>
      <c r="G133" s="598"/>
      <c r="H133" s="598"/>
      <c r="I133" s="598"/>
      <c r="J133" s="598"/>
      <c r="K133" s="598"/>
      <c r="L133" s="598"/>
      <c r="M133" s="598"/>
      <c r="N133" s="598"/>
      <c r="O133" s="598"/>
      <c r="P133" s="598"/>
      <c r="Q133" s="598"/>
      <c r="R133" s="598"/>
      <c r="S133" s="598"/>
      <c r="T133" s="598"/>
      <c r="U133" s="598"/>
      <c r="V133" s="598"/>
      <c r="W133" s="598"/>
      <c r="X133" s="598"/>
      <c r="Y133" s="598"/>
      <c r="Z133" s="598"/>
      <c r="AA133" s="911"/>
      <c r="AB133" s="966"/>
      <c r="AC133" s="713" t="str">
        <f>IFERROR(__xludf.DUMMYFUNCTION("""COMPUTED_VALUE"""),"Orb Boss Hit")</f>
        <v>Orb Boss Hit</v>
      </c>
      <c r="AD133" s="816" t="s">
        <v>262</v>
      </c>
      <c r="AE133" s="713">
        <v>10.0</v>
      </c>
      <c r="AF133" s="713"/>
      <c r="AG133" s="713">
        <v>10.0</v>
      </c>
      <c r="AH133" s="1002" t="str">
        <f t="shared" si="20"/>
        <v/>
      </c>
      <c r="AI133" s="713"/>
      <c r="AJ133" s="713"/>
      <c r="AK133" s="713"/>
      <c r="AL133" s="713"/>
      <c r="AM133" s="713"/>
      <c r="AN133" s="713"/>
      <c r="AO133" s="713"/>
      <c r="AP133" s="713"/>
      <c r="AQ133" s="713"/>
      <c r="AR133" s="713"/>
      <c r="AS133" s="713"/>
      <c r="AT133" s="713"/>
      <c r="AU133" s="713"/>
      <c r="AV133" s="713"/>
      <c r="AW133" s="713"/>
      <c r="AX133" s="713"/>
      <c r="AY133" s="713"/>
      <c r="AZ133" s="713"/>
      <c r="BA133" s="713"/>
      <c r="BB133" s="713"/>
      <c r="BC133" s="713"/>
      <c r="BD133" s="713"/>
      <c r="BE133" s="713"/>
      <c r="BF133" s="713"/>
      <c r="BG133" s="713"/>
      <c r="BH133" s="713"/>
      <c r="BI133" s="713"/>
      <c r="BJ133" s="713"/>
      <c r="BK133" s="713"/>
      <c r="BL133" s="713"/>
      <c r="BM133" s="713"/>
      <c r="BN133" s="713"/>
      <c r="BO133" s="713"/>
      <c r="BP133" s="713"/>
      <c r="BQ133" s="713"/>
      <c r="BR133" s="713"/>
      <c r="BS133" s="713"/>
      <c r="BT133" s="713"/>
      <c r="BU133" s="713"/>
      <c r="BV133" s="713"/>
      <c r="BW133" s="713"/>
      <c r="BX133" s="713"/>
      <c r="BY133" s="713"/>
      <c r="BZ133" s="713"/>
      <c r="CA133" s="713"/>
      <c r="CB133" s="713"/>
      <c r="CC133" s="713"/>
      <c r="CD133" s="713"/>
      <c r="CE133" s="713"/>
      <c r="CF133" s="713"/>
      <c r="CG133" s="713"/>
      <c r="CH133" s="713"/>
      <c r="CI133" s="713"/>
      <c r="CJ133" s="713"/>
      <c r="CK133" s="713"/>
      <c r="CL133" s="713"/>
      <c r="CM133" s="713"/>
      <c r="CN133" s="713"/>
      <c r="CO133" s="713"/>
      <c r="CP133" s="713"/>
      <c r="CQ133" s="713"/>
      <c r="CR133" s="713"/>
      <c r="CS133" s="713"/>
      <c r="CT133" s="713"/>
      <c r="CU133" s="713"/>
      <c r="CV133" s="713"/>
      <c r="CW133" s="713"/>
      <c r="CX133" s="713"/>
      <c r="CY133" s="713"/>
      <c r="CZ133" s="713"/>
      <c r="DA133" s="713"/>
      <c r="DB133" s="713"/>
      <c r="DC133" s="713"/>
      <c r="DD133" s="713"/>
      <c r="DE133" s="713"/>
      <c r="DF133" s="713"/>
      <c r="DG133" s="713"/>
      <c r="DH133" s="713"/>
      <c r="DI133" s="713"/>
      <c r="DJ133" s="713"/>
      <c r="DK133" s="713"/>
      <c r="DL133" s="713"/>
      <c r="DM133" s="713"/>
      <c r="DN133" s="713"/>
      <c r="DO133" s="713"/>
      <c r="DP133" s="713"/>
      <c r="DQ133" s="713"/>
      <c r="DR133" s="713"/>
      <c r="DS133" s="713"/>
      <c r="DT133" s="713"/>
      <c r="DU133" s="713"/>
      <c r="DV133" s="713"/>
      <c r="DW133" s="713"/>
      <c r="DX133" s="713"/>
      <c r="DY133" s="713"/>
      <c r="DZ133" s="713"/>
      <c r="EA133" s="713"/>
      <c r="EB133" s="713"/>
      <c r="EC133" s="713"/>
      <c r="ED133" s="713"/>
      <c r="EE133" s="713"/>
      <c r="EF133" s="713"/>
      <c r="EG133" s="713"/>
      <c r="EH133" s="713"/>
      <c r="EI133" s="713"/>
      <c r="EJ133" s="713"/>
      <c r="EK133" s="713"/>
      <c r="EL133" s="713"/>
      <c r="EM133" s="713"/>
      <c r="EN133" s="713"/>
      <c r="EO133" s="713"/>
      <c r="EP133" s="713"/>
      <c r="EQ133" s="713"/>
      <c r="ER133" s="713"/>
      <c r="ES133" s="713"/>
      <c r="ET133" s="713"/>
      <c r="EU133" s="713"/>
      <c r="EV133" s="713"/>
      <c r="EW133" s="713"/>
      <c r="EX133" s="713"/>
      <c r="EY133" s="713"/>
      <c r="EZ133" s="713"/>
      <c r="FA133" s="713"/>
      <c r="FB133" s="713"/>
      <c r="FC133" s="713"/>
      <c r="FD133" s="713"/>
      <c r="FE133" s="713"/>
      <c r="FF133" s="713"/>
      <c r="FG133" s="713"/>
      <c r="FH133" s="713"/>
      <c r="FI133" s="713"/>
      <c r="FJ133" s="713"/>
      <c r="FK133" s="713"/>
      <c r="FL133" s="713"/>
      <c r="FM133" s="713"/>
      <c r="FN133" s="713"/>
      <c r="FO133" s="713"/>
      <c r="FP133" s="713"/>
      <c r="FQ133" s="713"/>
      <c r="FR133" s="713"/>
      <c r="FS133" s="713"/>
      <c r="FT133" s="713"/>
      <c r="FU133" s="713"/>
      <c r="FV133" s="713"/>
      <c r="FW133" s="713"/>
      <c r="FX133" s="713"/>
      <c r="FY133" s="713"/>
      <c r="FZ133" s="713"/>
      <c r="GA133" s="713"/>
      <c r="GB133" s="713"/>
      <c r="GC133" s="713"/>
      <c r="GD133" s="713"/>
      <c r="GE133" s="713"/>
      <c r="GF133" s="713"/>
      <c r="GG133" s="713"/>
      <c r="GH133" s="713"/>
      <c r="GI133" s="713"/>
      <c r="GJ133" s="713"/>
      <c r="GK133" s="713"/>
      <c r="GL133" s="713"/>
      <c r="GM133" s="713"/>
      <c r="GN133" s="713"/>
      <c r="GO133" s="713"/>
      <c r="GP133" s="713"/>
      <c r="GQ133" s="713"/>
      <c r="GR133" s="713"/>
      <c r="GS133" s="713"/>
      <c r="GT133" s="713"/>
      <c r="GU133" s="713"/>
      <c r="GV133" s="713"/>
      <c r="GW133" s="713"/>
      <c r="GX133" s="713"/>
      <c r="GY133" s="713"/>
      <c r="GZ133" s="713"/>
      <c r="HA133" s="713"/>
      <c r="HB133" s="713"/>
      <c r="HC133" s="713"/>
      <c r="HD133" s="713"/>
      <c r="HE133" s="713"/>
      <c r="HF133" s="713"/>
      <c r="HG133" s="713"/>
      <c r="HH133" s="713"/>
      <c r="HI133" s="713"/>
      <c r="HJ133" s="713"/>
      <c r="HK133" s="713"/>
      <c r="HL133" s="713"/>
      <c r="HM133" s="713"/>
      <c r="HN133" s="713"/>
      <c r="HO133" s="713"/>
      <c r="HP133" s="713"/>
      <c r="HQ133" s="713"/>
      <c r="HR133" s="713"/>
      <c r="HS133" s="713"/>
      <c r="HT133" s="713"/>
      <c r="HU133" s="713"/>
      <c r="HV133" s="713"/>
      <c r="HW133" s="713"/>
      <c r="HX133" s="713"/>
      <c r="HY133" s="713"/>
      <c r="HZ133" s="713"/>
      <c r="IA133" s="713"/>
      <c r="IB133" s="713"/>
      <c r="IC133" s="713"/>
      <c r="ID133" s="713"/>
      <c r="IE133" s="713"/>
      <c r="IF133" s="713"/>
      <c r="IG133" s="713"/>
      <c r="IH133" s="713"/>
    </row>
    <row r="134" hidden="1" outlineLevel="1">
      <c r="A134" s="598"/>
      <c r="B134" s="598"/>
      <c r="C134" s="598"/>
      <c r="D134" s="598"/>
      <c r="E134" s="598"/>
      <c r="F134" s="598"/>
      <c r="G134" s="598"/>
      <c r="H134" s="598"/>
      <c r="I134" s="598"/>
      <c r="J134" s="598"/>
      <c r="K134" s="598"/>
      <c r="L134" s="598"/>
      <c r="M134" s="598"/>
      <c r="N134" s="598"/>
      <c r="O134" s="598"/>
      <c r="P134" s="598"/>
      <c r="Q134" s="598"/>
      <c r="R134" s="598"/>
      <c r="S134" s="598"/>
      <c r="T134" s="598"/>
      <c r="U134" s="598"/>
      <c r="V134" s="598"/>
      <c r="W134" s="598"/>
      <c r="X134" s="598"/>
      <c r="Y134" s="598"/>
      <c r="Z134" s="598"/>
      <c r="AA134" s="911"/>
      <c r="AB134" s="966"/>
      <c r="AC134" s="713" t="str">
        <f>IFERROR(__xludf.DUMMYFUNCTION("""COMPUTED_VALUE"""),"Orb Resistance")</f>
        <v>Orb Resistance</v>
      </c>
      <c r="AD134" s="825" t="s">
        <v>213</v>
      </c>
      <c r="AE134" s="713">
        <v>0.0</v>
      </c>
      <c r="AF134" s="713"/>
      <c r="AG134" s="713">
        <v>20.0</v>
      </c>
      <c r="AH134" s="1002" t="str">
        <f t="shared" si="20"/>
        <v/>
      </c>
      <c r="AI134" s="713"/>
      <c r="AJ134" s="713"/>
      <c r="AK134" s="713"/>
      <c r="AL134" s="713"/>
      <c r="AM134" s="713"/>
      <c r="AN134" s="713"/>
      <c r="AO134" s="713"/>
      <c r="AP134" s="713"/>
      <c r="AQ134" s="713"/>
      <c r="AR134" s="713"/>
      <c r="AS134" s="713"/>
      <c r="AT134" s="713"/>
      <c r="AU134" s="713"/>
      <c r="AV134" s="713"/>
      <c r="AW134" s="713"/>
      <c r="AX134" s="713"/>
      <c r="AY134" s="713"/>
      <c r="AZ134" s="713"/>
      <c r="BA134" s="713"/>
      <c r="BB134" s="713"/>
      <c r="BC134" s="713"/>
      <c r="BD134" s="713"/>
      <c r="BE134" s="713"/>
      <c r="BF134" s="713"/>
      <c r="BG134" s="713"/>
      <c r="BH134" s="713"/>
      <c r="BI134" s="713"/>
      <c r="BJ134" s="713"/>
      <c r="BK134" s="713"/>
      <c r="BL134" s="713"/>
      <c r="BM134" s="713"/>
      <c r="BN134" s="713"/>
      <c r="BO134" s="713"/>
      <c r="BP134" s="713"/>
      <c r="BQ134" s="713"/>
      <c r="BR134" s="713"/>
      <c r="BS134" s="713"/>
      <c r="BT134" s="713"/>
      <c r="BU134" s="713"/>
      <c r="BV134" s="713"/>
      <c r="BW134" s="713"/>
      <c r="BX134" s="713"/>
      <c r="BY134" s="713"/>
      <c r="BZ134" s="713"/>
      <c r="CA134" s="713"/>
      <c r="CB134" s="713"/>
      <c r="CC134" s="713"/>
      <c r="CD134" s="713"/>
      <c r="CE134" s="713"/>
      <c r="CF134" s="713"/>
      <c r="CG134" s="713"/>
      <c r="CH134" s="713"/>
      <c r="CI134" s="713"/>
      <c r="CJ134" s="713"/>
      <c r="CK134" s="713"/>
      <c r="CL134" s="713"/>
      <c r="CM134" s="713"/>
      <c r="CN134" s="713"/>
      <c r="CO134" s="713"/>
      <c r="CP134" s="713"/>
      <c r="CQ134" s="713"/>
      <c r="CR134" s="713"/>
      <c r="CS134" s="713"/>
      <c r="CT134" s="713"/>
      <c r="CU134" s="713"/>
      <c r="CV134" s="713"/>
      <c r="CW134" s="713"/>
      <c r="CX134" s="713"/>
      <c r="CY134" s="713"/>
      <c r="CZ134" s="713"/>
      <c r="DA134" s="713"/>
      <c r="DB134" s="713"/>
      <c r="DC134" s="713"/>
      <c r="DD134" s="713"/>
      <c r="DE134" s="713"/>
      <c r="DF134" s="713"/>
      <c r="DG134" s="713"/>
      <c r="DH134" s="713"/>
      <c r="DI134" s="713"/>
      <c r="DJ134" s="713"/>
      <c r="DK134" s="713"/>
      <c r="DL134" s="713"/>
      <c r="DM134" s="713"/>
      <c r="DN134" s="713"/>
      <c r="DO134" s="713"/>
      <c r="DP134" s="713"/>
      <c r="DQ134" s="713"/>
      <c r="DR134" s="713"/>
      <c r="DS134" s="713"/>
      <c r="DT134" s="713"/>
      <c r="DU134" s="713"/>
      <c r="DV134" s="713"/>
      <c r="DW134" s="713"/>
      <c r="DX134" s="713"/>
      <c r="DY134" s="713"/>
      <c r="DZ134" s="713"/>
      <c r="EA134" s="713"/>
      <c r="EB134" s="713"/>
      <c r="EC134" s="713"/>
      <c r="ED134" s="713"/>
      <c r="EE134" s="713"/>
      <c r="EF134" s="713"/>
      <c r="EG134" s="713"/>
      <c r="EH134" s="713"/>
      <c r="EI134" s="713"/>
      <c r="EJ134" s="713"/>
      <c r="EK134" s="713"/>
      <c r="EL134" s="713"/>
      <c r="EM134" s="713"/>
      <c r="EN134" s="713"/>
      <c r="EO134" s="713"/>
      <c r="EP134" s="713"/>
      <c r="EQ134" s="713"/>
      <c r="ER134" s="713"/>
      <c r="ES134" s="713"/>
      <c r="ET134" s="713"/>
      <c r="EU134" s="713"/>
      <c r="EV134" s="713"/>
      <c r="EW134" s="713"/>
      <c r="EX134" s="713"/>
      <c r="EY134" s="713"/>
      <c r="EZ134" s="713"/>
      <c r="FA134" s="713"/>
      <c r="FB134" s="713"/>
      <c r="FC134" s="713"/>
      <c r="FD134" s="713"/>
      <c r="FE134" s="713"/>
      <c r="FF134" s="713"/>
      <c r="FG134" s="713"/>
      <c r="FH134" s="713"/>
      <c r="FI134" s="713"/>
      <c r="FJ134" s="713"/>
      <c r="FK134" s="713"/>
      <c r="FL134" s="713"/>
      <c r="FM134" s="713"/>
      <c r="FN134" s="713"/>
      <c r="FO134" s="713"/>
      <c r="FP134" s="713"/>
      <c r="FQ134" s="713"/>
      <c r="FR134" s="713"/>
      <c r="FS134" s="713"/>
      <c r="FT134" s="713"/>
      <c r="FU134" s="713"/>
      <c r="FV134" s="713"/>
      <c r="FW134" s="713"/>
      <c r="FX134" s="713"/>
      <c r="FY134" s="713"/>
      <c r="FZ134" s="713"/>
      <c r="GA134" s="713"/>
      <c r="GB134" s="713"/>
      <c r="GC134" s="713"/>
      <c r="GD134" s="713"/>
      <c r="GE134" s="713"/>
      <c r="GF134" s="713"/>
      <c r="GG134" s="713"/>
      <c r="GH134" s="713"/>
      <c r="GI134" s="713"/>
      <c r="GJ134" s="713"/>
      <c r="GK134" s="713"/>
      <c r="GL134" s="713"/>
      <c r="GM134" s="713"/>
      <c r="GN134" s="713"/>
      <c r="GO134" s="713"/>
      <c r="GP134" s="713"/>
      <c r="GQ134" s="713"/>
      <c r="GR134" s="713"/>
      <c r="GS134" s="713"/>
      <c r="GT134" s="713"/>
      <c r="GU134" s="713"/>
      <c r="GV134" s="713"/>
      <c r="GW134" s="713"/>
      <c r="GX134" s="713"/>
      <c r="GY134" s="713"/>
      <c r="GZ134" s="713"/>
      <c r="HA134" s="713"/>
      <c r="HB134" s="713"/>
      <c r="HC134" s="713"/>
      <c r="HD134" s="713"/>
      <c r="HE134" s="713"/>
      <c r="HF134" s="713"/>
      <c r="HG134" s="713"/>
      <c r="HH134" s="713"/>
      <c r="HI134" s="713"/>
      <c r="HJ134" s="713"/>
      <c r="HK134" s="713"/>
      <c r="HL134" s="713"/>
      <c r="HM134" s="713"/>
      <c r="HN134" s="713"/>
      <c r="HO134" s="713"/>
      <c r="HP134" s="713"/>
      <c r="HQ134" s="713"/>
      <c r="HR134" s="713"/>
      <c r="HS134" s="713"/>
      <c r="HT134" s="713"/>
      <c r="HU134" s="713"/>
      <c r="HV134" s="713"/>
      <c r="HW134" s="713"/>
      <c r="HX134" s="713"/>
      <c r="HY134" s="713"/>
      <c r="HZ134" s="713"/>
      <c r="IA134" s="713"/>
      <c r="IB134" s="713"/>
      <c r="IC134" s="713"/>
      <c r="ID134" s="713"/>
      <c r="IE134" s="713"/>
      <c r="IF134" s="713"/>
      <c r="IG134" s="713"/>
      <c r="IH134" s="713"/>
    </row>
    <row r="135" hidden="1" outlineLevel="1">
      <c r="A135" s="598"/>
      <c r="B135" s="598"/>
      <c r="C135" s="598"/>
      <c r="D135" s="598"/>
      <c r="E135" s="598"/>
      <c r="F135" s="598"/>
      <c r="G135" s="598"/>
      <c r="H135" s="598"/>
      <c r="I135" s="598"/>
      <c r="J135" s="598"/>
      <c r="K135" s="598"/>
      <c r="L135" s="598"/>
      <c r="M135" s="598"/>
      <c r="N135" s="598"/>
      <c r="O135" s="598"/>
      <c r="P135" s="598"/>
      <c r="Q135" s="598"/>
      <c r="R135" s="598"/>
      <c r="S135" s="598"/>
      <c r="T135" s="598"/>
      <c r="U135" s="598"/>
      <c r="V135" s="598"/>
      <c r="W135" s="598"/>
      <c r="X135" s="598"/>
      <c r="Y135" s="598"/>
      <c r="Z135" s="598"/>
      <c r="AA135" s="911"/>
      <c r="AB135" s="966"/>
      <c r="AC135" s="713" t="str">
        <f>IFERROR(__xludf.DUMMYFUNCTION("""COMPUTED_VALUE"""),"Orbs Speed")</f>
        <v>Orbs Speed</v>
      </c>
      <c r="AD135" s="816" t="s">
        <v>217</v>
      </c>
      <c r="AE135" s="713">
        <v>20.0</v>
      </c>
      <c r="AF135" s="713"/>
      <c r="AG135" s="713">
        <v>20.0</v>
      </c>
      <c r="AH135" s="1002" t="str">
        <f t="shared" si="20"/>
        <v/>
      </c>
      <c r="AI135" s="713"/>
      <c r="AJ135" s="713"/>
      <c r="AK135" s="713"/>
      <c r="AL135" s="713"/>
      <c r="AM135" s="713"/>
      <c r="AN135" s="713"/>
      <c r="AO135" s="713"/>
      <c r="AP135" s="713"/>
      <c r="AQ135" s="713"/>
      <c r="AR135" s="713"/>
      <c r="AS135" s="713"/>
      <c r="AT135" s="713"/>
      <c r="AU135" s="713"/>
      <c r="AV135" s="713"/>
      <c r="AW135" s="713"/>
      <c r="AX135" s="713"/>
      <c r="AY135" s="713"/>
      <c r="AZ135" s="713"/>
      <c r="BA135" s="713"/>
      <c r="BB135" s="713"/>
      <c r="BC135" s="713"/>
      <c r="BD135" s="713"/>
      <c r="BE135" s="713"/>
      <c r="BF135" s="713"/>
      <c r="BG135" s="713"/>
      <c r="BH135" s="713"/>
      <c r="BI135" s="713"/>
      <c r="BJ135" s="713"/>
      <c r="BK135" s="713"/>
      <c r="BL135" s="713"/>
      <c r="BM135" s="713"/>
      <c r="BN135" s="713"/>
      <c r="BO135" s="713"/>
      <c r="BP135" s="713"/>
      <c r="BQ135" s="713"/>
      <c r="BR135" s="713"/>
      <c r="BS135" s="713"/>
      <c r="BT135" s="713"/>
      <c r="BU135" s="713"/>
      <c r="BV135" s="713"/>
      <c r="BW135" s="713"/>
      <c r="BX135" s="713"/>
      <c r="BY135" s="713"/>
      <c r="BZ135" s="713"/>
      <c r="CA135" s="713"/>
      <c r="CB135" s="713"/>
      <c r="CC135" s="713"/>
      <c r="CD135" s="713"/>
      <c r="CE135" s="713"/>
      <c r="CF135" s="713"/>
      <c r="CG135" s="713"/>
      <c r="CH135" s="713"/>
      <c r="CI135" s="713"/>
      <c r="CJ135" s="713"/>
      <c r="CK135" s="713"/>
      <c r="CL135" s="713"/>
      <c r="CM135" s="713"/>
      <c r="CN135" s="713"/>
      <c r="CO135" s="713"/>
      <c r="CP135" s="713"/>
      <c r="CQ135" s="713"/>
      <c r="CR135" s="713"/>
      <c r="CS135" s="713"/>
      <c r="CT135" s="713"/>
      <c r="CU135" s="713"/>
      <c r="CV135" s="713"/>
      <c r="CW135" s="713"/>
      <c r="CX135" s="713"/>
      <c r="CY135" s="713"/>
      <c r="CZ135" s="713"/>
      <c r="DA135" s="713"/>
      <c r="DB135" s="713"/>
      <c r="DC135" s="713"/>
      <c r="DD135" s="713"/>
      <c r="DE135" s="713"/>
      <c r="DF135" s="713"/>
      <c r="DG135" s="713"/>
      <c r="DH135" s="713"/>
      <c r="DI135" s="713"/>
      <c r="DJ135" s="713"/>
      <c r="DK135" s="713"/>
      <c r="DL135" s="713"/>
      <c r="DM135" s="713"/>
      <c r="DN135" s="713"/>
      <c r="DO135" s="713"/>
      <c r="DP135" s="713"/>
      <c r="DQ135" s="713"/>
      <c r="DR135" s="713"/>
      <c r="DS135" s="713"/>
      <c r="DT135" s="713"/>
      <c r="DU135" s="713"/>
      <c r="DV135" s="713"/>
      <c r="DW135" s="713"/>
      <c r="DX135" s="713"/>
      <c r="DY135" s="713"/>
      <c r="DZ135" s="713"/>
      <c r="EA135" s="713"/>
      <c r="EB135" s="713"/>
      <c r="EC135" s="713"/>
      <c r="ED135" s="713"/>
      <c r="EE135" s="713"/>
      <c r="EF135" s="713"/>
      <c r="EG135" s="713"/>
      <c r="EH135" s="713"/>
      <c r="EI135" s="713"/>
      <c r="EJ135" s="713"/>
      <c r="EK135" s="713"/>
      <c r="EL135" s="713"/>
      <c r="EM135" s="713"/>
      <c r="EN135" s="713"/>
      <c r="EO135" s="713"/>
      <c r="EP135" s="713"/>
      <c r="EQ135" s="713"/>
      <c r="ER135" s="713"/>
      <c r="ES135" s="713"/>
      <c r="ET135" s="713"/>
      <c r="EU135" s="713"/>
      <c r="EV135" s="713"/>
      <c r="EW135" s="713"/>
      <c r="EX135" s="713"/>
      <c r="EY135" s="713"/>
      <c r="EZ135" s="713"/>
      <c r="FA135" s="713"/>
      <c r="FB135" s="713"/>
      <c r="FC135" s="713"/>
      <c r="FD135" s="713"/>
      <c r="FE135" s="713"/>
      <c r="FF135" s="713"/>
      <c r="FG135" s="713"/>
      <c r="FH135" s="713"/>
      <c r="FI135" s="713"/>
      <c r="FJ135" s="713"/>
      <c r="FK135" s="713"/>
      <c r="FL135" s="713"/>
      <c r="FM135" s="713"/>
      <c r="FN135" s="713"/>
      <c r="FO135" s="713"/>
      <c r="FP135" s="713"/>
      <c r="FQ135" s="713"/>
      <c r="FR135" s="713"/>
      <c r="FS135" s="713"/>
      <c r="FT135" s="713"/>
      <c r="FU135" s="713"/>
      <c r="FV135" s="713"/>
      <c r="FW135" s="713"/>
      <c r="FX135" s="713"/>
      <c r="FY135" s="713"/>
      <c r="FZ135" s="713"/>
      <c r="GA135" s="713"/>
      <c r="GB135" s="713"/>
      <c r="GC135" s="713"/>
      <c r="GD135" s="713"/>
      <c r="GE135" s="713"/>
      <c r="GF135" s="713"/>
      <c r="GG135" s="713"/>
      <c r="GH135" s="713"/>
      <c r="GI135" s="713"/>
      <c r="GJ135" s="713"/>
      <c r="GK135" s="713"/>
      <c r="GL135" s="713"/>
      <c r="GM135" s="713"/>
      <c r="GN135" s="713"/>
      <c r="GO135" s="713"/>
      <c r="GP135" s="713"/>
      <c r="GQ135" s="713"/>
      <c r="GR135" s="713"/>
      <c r="GS135" s="713"/>
      <c r="GT135" s="713"/>
      <c r="GU135" s="713"/>
      <c r="GV135" s="713"/>
      <c r="GW135" s="713"/>
      <c r="GX135" s="713"/>
      <c r="GY135" s="713"/>
      <c r="GZ135" s="713"/>
      <c r="HA135" s="713"/>
      <c r="HB135" s="713"/>
      <c r="HC135" s="713"/>
      <c r="HD135" s="713"/>
      <c r="HE135" s="713"/>
      <c r="HF135" s="713"/>
      <c r="HG135" s="713"/>
      <c r="HH135" s="713"/>
      <c r="HI135" s="713"/>
      <c r="HJ135" s="713"/>
      <c r="HK135" s="713"/>
      <c r="HL135" s="713"/>
      <c r="HM135" s="713"/>
      <c r="HN135" s="713"/>
      <c r="HO135" s="713"/>
      <c r="HP135" s="713"/>
      <c r="HQ135" s="713"/>
      <c r="HR135" s="713"/>
      <c r="HS135" s="713"/>
      <c r="HT135" s="713"/>
      <c r="HU135" s="713"/>
      <c r="HV135" s="713"/>
      <c r="HW135" s="713"/>
      <c r="HX135" s="713"/>
      <c r="HY135" s="713"/>
      <c r="HZ135" s="713"/>
      <c r="IA135" s="713"/>
      <c r="IB135" s="713"/>
      <c r="IC135" s="713"/>
      <c r="ID135" s="713"/>
      <c r="IE135" s="713"/>
      <c r="IF135" s="713"/>
      <c r="IG135" s="713"/>
      <c r="IH135" s="713"/>
    </row>
    <row r="136" hidden="1" outlineLevel="1">
      <c r="A136" s="598"/>
      <c r="B136" s="598"/>
      <c r="C136" s="598"/>
      <c r="D136" s="598"/>
      <c r="E136" s="598"/>
      <c r="F136" s="598"/>
      <c r="G136" s="598"/>
      <c r="H136" s="598"/>
      <c r="I136" s="598"/>
      <c r="J136" s="598"/>
      <c r="K136" s="598"/>
      <c r="L136" s="598"/>
      <c r="M136" s="598"/>
      <c r="N136" s="598"/>
      <c r="O136" s="598"/>
      <c r="P136" s="598"/>
      <c r="Q136" s="598"/>
      <c r="R136" s="598"/>
      <c r="S136" s="598"/>
      <c r="T136" s="598"/>
      <c r="U136" s="598"/>
      <c r="V136" s="598"/>
      <c r="W136" s="598"/>
      <c r="X136" s="598"/>
      <c r="Y136" s="598"/>
      <c r="Z136" s="598"/>
      <c r="AA136" s="911"/>
      <c r="AB136" s="966"/>
      <c r="AC136" s="713" t="str">
        <f>IFERROR(__xludf.DUMMYFUNCTION("""COMPUTED_VALUE"""),"Package After Boss")</f>
        <v>Package After Boss</v>
      </c>
      <c r="AD136" s="816" t="s">
        <v>241</v>
      </c>
      <c r="AE136" s="713">
        <v>1.0</v>
      </c>
      <c r="AF136" s="713"/>
      <c r="AG136" s="713">
        <v>1.0</v>
      </c>
      <c r="AH136" s="1002" t="str">
        <f t="shared" si="20"/>
        <v/>
      </c>
      <c r="AI136" s="713"/>
      <c r="AJ136" s="713"/>
      <c r="AK136" s="713"/>
      <c r="AL136" s="713"/>
      <c r="AM136" s="713"/>
      <c r="AN136" s="713"/>
      <c r="AO136" s="713"/>
      <c r="AP136" s="713"/>
      <c r="AQ136" s="713"/>
      <c r="AR136" s="713"/>
      <c r="AS136" s="713"/>
      <c r="AT136" s="713"/>
      <c r="AU136" s="713"/>
      <c r="AV136" s="713"/>
      <c r="AW136" s="713"/>
      <c r="AX136" s="713"/>
      <c r="AY136" s="713"/>
      <c r="AZ136" s="713"/>
      <c r="BA136" s="713"/>
      <c r="BB136" s="713"/>
      <c r="BC136" s="713"/>
      <c r="BD136" s="713"/>
      <c r="BE136" s="713"/>
      <c r="BF136" s="713"/>
      <c r="BG136" s="713"/>
      <c r="BH136" s="713"/>
      <c r="BI136" s="713"/>
      <c r="BJ136" s="713"/>
      <c r="BK136" s="713"/>
      <c r="BL136" s="713"/>
      <c r="BM136" s="713"/>
      <c r="BN136" s="713"/>
      <c r="BO136" s="713"/>
      <c r="BP136" s="713"/>
      <c r="BQ136" s="713"/>
      <c r="BR136" s="713"/>
      <c r="BS136" s="713"/>
      <c r="BT136" s="713"/>
      <c r="BU136" s="713"/>
      <c r="BV136" s="713"/>
      <c r="BW136" s="713"/>
      <c r="BX136" s="713"/>
      <c r="BY136" s="713"/>
      <c r="BZ136" s="713"/>
      <c r="CA136" s="713"/>
      <c r="CB136" s="713"/>
      <c r="CC136" s="713"/>
      <c r="CD136" s="713"/>
      <c r="CE136" s="713"/>
      <c r="CF136" s="713"/>
      <c r="CG136" s="713"/>
      <c r="CH136" s="713"/>
      <c r="CI136" s="713"/>
      <c r="CJ136" s="713"/>
      <c r="CK136" s="713"/>
      <c r="CL136" s="713"/>
      <c r="CM136" s="713"/>
      <c r="CN136" s="713"/>
      <c r="CO136" s="713"/>
      <c r="CP136" s="713"/>
      <c r="CQ136" s="713"/>
      <c r="CR136" s="713"/>
      <c r="CS136" s="713"/>
      <c r="CT136" s="713"/>
      <c r="CU136" s="713"/>
      <c r="CV136" s="713"/>
      <c r="CW136" s="713"/>
      <c r="CX136" s="713"/>
      <c r="CY136" s="713"/>
      <c r="CZ136" s="713"/>
      <c r="DA136" s="713"/>
      <c r="DB136" s="713"/>
      <c r="DC136" s="713"/>
      <c r="DD136" s="713"/>
      <c r="DE136" s="713"/>
      <c r="DF136" s="713"/>
      <c r="DG136" s="713"/>
      <c r="DH136" s="713"/>
      <c r="DI136" s="713"/>
      <c r="DJ136" s="713"/>
      <c r="DK136" s="713"/>
      <c r="DL136" s="713"/>
      <c r="DM136" s="713"/>
      <c r="DN136" s="713"/>
      <c r="DO136" s="713"/>
      <c r="DP136" s="713"/>
      <c r="DQ136" s="713"/>
      <c r="DR136" s="713"/>
      <c r="DS136" s="713"/>
      <c r="DT136" s="713"/>
      <c r="DU136" s="713"/>
      <c r="DV136" s="713"/>
      <c r="DW136" s="713"/>
      <c r="DX136" s="713"/>
      <c r="DY136" s="713"/>
      <c r="DZ136" s="713"/>
      <c r="EA136" s="713"/>
      <c r="EB136" s="713"/>
      <c r="EC136" s="713"/>
      <c r="ED136" s="713"/>
      <c r="EE136" s="713"/>
      <c r="EF136" s="713"/>
      <c r="EG136" s="713"/>
      <c r="EH136" s="713"/>
      <c r="EI136" s="713"/>
      <c r="EJ136" s="713"/>
      <c r="EK136" s="713"/>
      <c r="EL136" s="713"/>
      <c r="EM136" s="713"/>
      <c r="EN136" s="713"/>
      <c r="EO136" s="713"/>
      <c r="EP136" s="713"/>
      <c r="EQ136" s="713"/>
      <c r="ER136" s="713"/>
      <c r="ES136" s="713"/>
      <c r="ET136" s="713"/>
      <c r="EU136" s="713"/>
      <c r="EV136" s="713"/>
      <c r="EW136" s="713"/>
      <c r="EX136" s="713"/>
      <c r="EY136" s="713"/>
      <c r="EZ136" s="713"/>
      <c r="FA136" s="713"/>
      <c r="FB136" s="713"/>
      <c r="FC136" s="713"/>
      <c r="FD136" s="713"/>
      <c r="FE136" s="713"/>
      <c r="FF136" s="713"/>
      <c r="FG136" s="713"/>
      <c r="FH136" s="713"/>
      <c r="FI136" s="713"/>
      <c r="FJ136" s="713"/>
      <c r="FK136" s="713"/>
      <c r="FL136" s="713"/>
      <c r="FM136" s="713"/>
      <c r="FN136" s="713"/>
      <c r="FO136" s="713"/>
      <c r="FP136" s="713"/>
      <c r="FQ136" s="713"/>
      <c r="FR136" s="713"/>
      <c r="FS136" s="713"/>
      <c r="FT136" s="713"/>
      <c r="FU136" s="713"/>
      <c r="FV136" s="713"/>
      <c r="FW136" s="713"/>
      <c r="FX136" s="713"/>
      <c r="FY136" s="713"/>
      <c r="FZ136" s="713"/>
      <c r="GA136" s="713"/>
      <c r="GB136" s="713"/>
      <c r="GC136" s="713"/>
      <c r="GD136" s="713"/>
      <c r="GE136" s="713"/>
      <c r="GF136" s="713"/>
      <c r="GG136" s="713"/>
      <c r="GH136" s="713"/>
      <c r="GI136" s="713"/>
      <c r="GJ136" s="713"/>
      <c r="GK136" s="713"/>
      <c r="GL136" s="713"/>
      <c r="GM136" s="713"/>
      <c r="GN136" s="713"/>
      <c r="GO136" s="713"/>
      <c r="GP136" s="713"/>
      <c r="GQ136" s="713"/>
      <c r="GR136" s="713"/>
      <c r="GS136" s="713"/>
      <c r="GT136" s="713"/>
      <c r="GU136" s="713"/>
      <c r="GV136" s="713"/>
      <c r="GW136" s="713"/>
      <c r="GX136" s="713"/>
      <c r="GY136" s="713"/>
      <c r="GZ136" s="713"/>
      <c r="HA136" s="713"/>
      <c r="HB136" s="713"/>
      <c r="HC136" s="713"/>
      <c r="HD136" s="713"/>
      <c r="HE136" s="713"/>
      <c r="HF136" s="713"/>
      <c r="HG136" s="713"/>
      <c r="HH136" s="713"/>
      <c r="HI136" s="713"/>
      <c r="HJ136" s="713"/>
      <c r="HK136" s="713"/>
      <c r="HL136" s="713"/>
      <c r="HM136" s="713"/>
      <c r="HN136" s="713"/>
      <c r="HO136" s="713"/>
      <c r="HP136" s="713"/>
      <c r="HQ136" s="713"/>
      <c r="HR136" s="713"/>
      <c r="HS136" s="713"/>
      <c r="HT136" s="713"/>
      <c r="HU136" s="713"/>
      <c r="HV136" s="713"/>
      <c r="HW136" s="713"/>
      <c r="HX136" s="713"/>
      <c r="HY136" s="713"/>
      <c r="HZ136" s="713"/>
      <c r="IA136" s="713"/>
      <c r="IB136" s="713"/>
      <c r="IC136" s="713"/>
      <c r="ID136" s="713"/>
      <c r="IE136" s="713"/>
      <c r="IF136" s="713"/>
      <c r="IG136" s="713"/>
      <c r="IH136" s="713"/>
    </row>
    <row r="137" hidden="1" outlineLevel="1">
      <c r="A137" s="598"/>
      <c r="B137" s="598"/>
      <c r="C137" s="598"/>
      <c r="D137" s="598"/>
      <c r="E137" s="598"/>
      <c r="F137" s="598"/>
      <c r="G137" s="598"/>
      <c r="H137" s="598"/>
      <c r="I137" s="598"/>
      <c r="J137" s="598"/>
      <c r="K137" s="598"/>
      <c r="L137" s="598"/>
      <c r="M137" s="598"/>
      <c r="N137" s="598"/>
      <c r="O137" s="598"/>
      <c r="P137" s="598"/>
      <c r="Q137" s="598"/>
      <c r="R137" s="598"/>
      <c r="S137" s="598"/>
      <c r="T137" s="598"/>
      <c r="U137" s="598"/>
      <c r="V137" s="598"/>
      <c r="W137" s="598"/>
      <c r="X137" s="598"/>
      <c r="Y137" s="598"/>
      <c r="Z137" s="598"/>
      <c r="AA137" s="911"/>
      <c r="AB137" s="966"/>
      <c r="AC137" s="713" t="str">
        <f>IFERROR(__xludf.DUMMYFUNCTION("""COMPUTED_VALUE"""),"Perk Option Quantity")</f>
        <v>Perk Option Quantity</v>
      </c>
      <c r="AD137" s="816" t="s">
        <v>221</v>
      </c>
      <c r="AE137" s="713">
        <v>2.0</v>
      </c>
      <c r="AF137" s="713"/>
      <c r="AG137" s="713">
        <v>2.0</v>
      </c>
      <c r="AH137" s="1002" t="str">
        <f t="shared" si="20"/>
        <v/>
      </c>
      <c r="AI137" s="713"/>
      <c r="AJ137" s="713"/>
      <c r="AK137" s="713"/>
      <c r="AL137" s="713"/>
      <c r="AM137" s="713"/>
      <c r="AN137" s="713"/>
      <c r="AO137" s="713"/>
      <c r="AP137" s="713"/>
      <c r="AQ137" s="713"/>
      <c r="AR137" s="713"/>
      <c r="AS137" s="713"/>
      <c r="AT137" s="713"/>
      <c r="AU137" s="713"/>
      <c r="AV137" s="713"/>
      <c r="AW137" s="713"/>
      <c r="AX137" s="713"/>
      <c r="AY137" s="713"/>
      <c r="AZ137" s="713"/>
      <c r="BA137" s="713"/>
      <c r="BB137" s="713"/>
      <c r="BC137" s="713"/>
      <c r="BD137" s="713"/>
      <c r="BE137" s="713"/>
      <c r="BF137" s="713"/>
      <c r="BG137" s="713"/>
      <c r="BH137" s="713"/>
      <c r="BI137" s="713"/>
      <c r="BJ137" s="713"/>
      <c r="BK137" s="713"/>
      <c r="BL137" s="713"/>
      <c r="BM137" s="713"/>
      <c r="BN137" s="713"/>
      <c r="BO137" s="713"/>
      <c r="BP137" s="713"/>
      <c r="BQ137" s="713"/>
      <c r="BR137" s="713"/>
      <c r="BS137" s="713"/>
      <c r="BT137" s="713"/>
      <c r="BU137" s="713"/>
      <c r="BV137" s="713"/>
      <c r="BW137" s="713"/>
      <c r="BX137" s="713"/>
      <c r="BY137" s="713"/>
      <c r="BZ137" s="713"/>
      <c r="CA137" s="713"/>
      <c r="CB137" s="713"/>
      <c r="CC137" s="713"/>
      <c r="CD137" s="713"/>
      <c r="CE137" s="713"/>
      <c r="CF137" s="713"/>
      <c r="CG137" s="713"/>
      <c r="CH137" s="713"/>
      <c r="CI137" s="713"/>
      <c r="CJ137" s="713"/>
      <c r="CK137" s="713"/>
      <c r="CL137" s="713"/>
      <c r="CM137" s="713"/>
      <c r="CN137" s="713"/>
      <c r="CO137" s="713"/>
      <c r="CP137" s="713"/>
      <c r="CQ137" s="713"/>
      <c r="CR137" s="713"/>
      <c r="CS137" s="713"/>
      <c r="CT137" s="713"/>
      <c r="CU137" s="713"/>
      <c r="CV137" s="713"/>
      <c r="CW137" s="713"/>
      <c r="CX137" s="713"/>
      <c r="CY137" s="713"/>
      <c r="CZ137" s="713"/>
      <c r="DA137" s="713"/>
      <c r="DB137" s="713"/>
      <c r="DC137" s="713"/>
      <c r="DD137" s="713"/>
      <c r="DE137" s="713"/>
      <c r="DF137" s="713"/>
      <c r="DG137" s="713"/>
      <c r="DH137" s="713"/>
      <c r="DI137" s="713"/>
      <c r="DJ137" s="713"/>
      <c r="DK137" s="713"/>
      <c r="DL137" s="713"/>
      <c r="DM137" s="713"/>
      <c r="DN137" s="713"/>
      <c r="DO137" s="713"/>
      <c r="DP137" s="713"/>
      <c r="DQ137" s="713"/>
      <c r="DR137" s="713"/>
      <c r="DS137" s="713"/>
      <c r="DT137" s="713"/>
      <c r="DU137" s="713"/>
      <c r="DV137" s="713"/>
      <c r="DW137" s="713"/>
      <c r="DX137" s="713"/>
      <c r="DY137" s="713"/>
      <c r="DZ137" s="713"/>
      <c r="EA137" s="713"/>
      <c r="EB137" s="713"/>
      <c r="EC137" s="713"/>
      <c r="ED137" s="713"/>
      <c r="EE137" s="713"/>
      <c r="EF137" s="713"/>
      <c r="EG137" s="713"/>
      <c r="EH137" s="713"/>
      <c r="EI137" s="713"/>
      <c r="EJ137" s="713"/>
      <c r="EK137" s="713"/>
      <c r="EL137" s="713"/>
      <c r="EM137" s="713"/>
      <c r="EN137" s="713"/>
      <c r="EO137" s="713"/>
      <c r="EP137" s="713"/>
      <c r="EQ137" s="713"/>
      <c r="ER137" s="713"/>
      <c r="ES137" s="713"/>
      <c r="ET137" s="713"/>
      <c r="EU137" s="713"/>
      <c r="EV137" s="713"/>
      <c r="EW137" s="713"/>
      <c r="EX137" s="713"/>
      <c r="EY137" s="713"/>
      <c r="EZ137" s="713"/>
      <c r="FA137" s="713"/>
      <c r="FB137" s="713"/>
      <c r="FC137" s="713"/>
      <c r="FD137" s="713"/>
      <c r="FE137" s="713"/>
      <c r="FF137" s="713"/>
      <c r="FG137" s="713"/>
      <c r="FH137" s="713"/>
      <c r="FI137" s="713"/>
      <c r="FJ137" s="713"/>
      <c r="FK137" s="713"/>
      <c r="FL137" s="713"/>
      <c r="FM137" s="713"/>
      <c r="FN137" s="713"/>
      <c r="FO137" s="713"/>
      <c r="FP137" s="713"/>
      <c r="FQ137" s="713"/>
      <c r="FR137" s="713"/>
      <c r="FS137" s="713"/>
      <c r="FT137" s="713"/>
      <c r="FU137" s="713"/>
      <c r="FV137" s="713"/>
      <c r="FW137" s="713"/>
      <c r="FX137" s="713"/>
      <c r="FY137" s="713"/>
      <c r="FZ137" s="713"/>
      <c r="GA137" s="713"/>
      <c r="GB137" s="713"/>
      <c r="GC137" s="713"/>
      <c r="GD137" s="713"/>
      <c r="GE137" s="713"/>
      <c r="GF137" s="713"/>
      <c r="GG137" s="713"/>
      <c r="GH137" s="713"/>
      <c r="GI137" s="713"/>
      <c r="GJ137" s="713"/>
      <c r="GK137" s="713"/>
      <c r="GL137" s="713"/>
      <c r="GM137" s="713"/>
      <c r="GN137" s="713"/>
      <c r="GO137" s="713"/>
      <c r="GP137" s="713"/>
      <c r="GQ137" s="713"/>
      <c r="GR137" s="713"/>
      <c r="GS137" s="713"/>
      <c r="GT137" s="713"/>
      <c r="GU137" s="713"/>
      <c r="GV137" s="713"/>
      <c r="GW137" s="713"/>
      <c r="GX137" s="713"/>
      <c r="GY137" s="713"/>
      <c r="GZ137" s="713"/>
      <c r="HA137" s="713"/>
      <c r="HB137" s="713"/>
      <c r="HC137" s="713"/>
      <c r="HD137" s="713"/>
      <c r="HE137" s="713"/>
      <c r="HF137" s="713"/>
      <c r="HG137" s="713"/>
      <c r="HH137" s="713"/>
      <c r="HI137" s="713"/>
      <c r="HJ137" s="713"/>
      <c r="HK137" s="713"/>
      <c r="HL137" s="713"/>
      <c r="HM137" s="713"/>
      <c r="HN137" s="713"/>
      <c r="HO137" s="713"/>
      <c r="HP137" s="713"/>
      <c r="HQ137" s="713"/>
      <c r="HR137" s="713"/>
      <c r="HS137" s="713"/>
      <c r="HT137" s="713"/>
      <c r="HU137" s="713"/>
      <c r="HV137" s="713"/>
      <c r="HW137" s="713"/>
      <c r="HX137" s="713"/>
      <c r="HY137" s="713"/>
      <c r="HZ137" s="713"/>
      <c r="IA137" s="713"/>
      <c r="IB137" s="713"/>
      <c r="IC137" s="713"/>
      <c r="ID137" s="713"/>
      <c r="IE137" s="713"/>
      <c r="IF137" s="713"/>
      <c r="IG137" s="713"/>
      <c r="IH137" s="713"/>
    </row>
    <row r="138" hidden="1" outlineLevel="1">
      <c r="A138" s="598"/>
      <c r="B138" s="598"/>
      <c r="C138" s="598"/>
      <c r="D138" s="598"/>
      <c r="E138" s="598"/>
      <c r="F138" s="598"/>
      <c r="G138" s="598"/>
      <c r="H138" s="598"/>
      <c r="I138" s="598"/>
      <c r="J138" s="598"/>
      <c r="K138" s="598"/>
      <c r="L138" s="598"/>
      <c r="M138" s="598"/>
      <c r="N138" s="598"/>
      <c r="O138" s="598"/>
      <c r="P138" s="598"/>
      <c r="Q138" s="598"/>
      <c r="R138" s="598"/>
      <c r="S138" s="598"/>
      <c r="T138" s="598"/>
      <c r="U138" s="598"/>
      <c r="V138" s="598"/>
      <c r="W138" s="598"/>
      <c r="X138" s="598"/>
      <c r="Y138" s="598"/>
      <c r="Z138" s="598"/>
      <c r="AA138" s="911"/>
      <c r="AB138" s="966"/>
      <c r="AC138" s="713" t="str">
        <f>IFERROR(__xludf.DUMMYFUNCTION("""COMPUTED_VALUE"""),"Plasma Cannon Mastery")</f>
        <v>Plasma Cannon Mastery</v>
      </c>
      <c r="AD138" s="825" t="s">
        <v>351</v>
      </c>
      <c r="AE138" s="713">
        <v>0.0</v>
      </c>
      <c r="AF138" s="713"/>
      <c r="AG138" s="713">
        <v>9.0</v>
      </c>
      <c r="AH138" s="1002" t="str">
        <f t="shared" si="20"/>
        <v/>
      </c>
      <c r="AI138" s="713"/>
      <c r="AJ138" s="713"/>
      <c r="AK138" s="713"/>
      <c r="AL138" s="713"/>
      <c r="AM138" s="713"/>
      <c r="AN138" s="713"/>
      <c r="AO138" s="713"/>
      <c r="AP138" s="713"/>
      <c r="AQ138" s="713"/>
      <c r="AR138" s="713"/>
      <c r="AS138" s="713"/>
      <c r="AT138" s="713"/>
      <c r="AU138" s="713"/>
      <c r="AV138" s="713"/>
      <c r="AW138" s="713"/>
      <c r="AX138" s="713"/>
      <c r="AY138" s="713"/>
      <c r="AZ138" s="713"/>
      <c r="BA138" s="713"/>
      <c r="BB138" s="713"/>
      <c r="BC138" s="713"/>
      <c r="BD138" s="713"/>
      <c r="BE138" s="713"/>
      <c r="BF138" s="713"/>
      <c r="BG138" s="713"/>
      <c r="BH138" s="713"/>
      <c r="BI138" s="713"/>
      <c r="BJ138" s="713"/>
      <c r="BK138" s="713"/>
      <c r="BL138" s="713"/>
      <c r="BM138" s="713"/>
      <c r="BN138" s="713"/>
      <c r="BO138" s="713"/>
      <c r="BP138" s="713"/>
      <c r="BQ138" s="713"/>
      <c r="BR138" s="713"/>
      <c r="BS138" s="713"/>
      <c r="BT138" s="713"/>
      <c r="BU138" s="713"/>
      <c r="BV138" s="713"/>
      <c r="BW138" s="713"/>
      <c r="BX138" s="713"/>
      <c r="BY138" s="713"/>
      <c r="BZ138" s="713"/>
      <c r="CA138" s="713"/>
      <c r="CB138" s="713"/>
      <c r="CC138" s="713"/>
      <c r="CD138" s="713"/>
      <c r="CE138" s="713"/>
      <c r="CF138" s="713"/>
      <c r="CG138" s="713"/>
      <c r="CH138" s="713"/>
      <c r="CI138" s="713"/>
      <c r="CJ138" s="713"/>
      <c r="CK138" s="713"/>
      <c r="CL138" s="713"/>
      <c r="CM138" s="713"/>
      <c r="CN138" s="713"/>
      <c r="CO138" s="713"/>
      <c r="CP138" s="713"/>
      <c r="CQ138" s="713"/>
      <c r="CR138" s="713"/>
      <c r="CS138" s="713"/>
      <c r="CT138" s="713"/>
      <c r="CU138" s="713"/>
      <c r="CV138" s="713"/>
      <c r="CW138" s="713"/>
      <c r="CX138" s="713"/>
      <c r="CY138" s="713"/>
      <c r="CZ138" s="713"/>
      <c r="DA138" s="713"/>
      <c r="DB138" s="713"/>
      <c r="DC138" s="713"/>
      <c r="DD138" s="713"/>
      <c r="DE138" s="713"/>
      <c r="DF138" s="713"/>
      <c r="DG138" s="713"/>
      <c r="DH138" s="713"/>
      <c r="DI138" s="713"/>
      <c r="DJ138" s="713"/>
      <c r="DK138" s="713"/>
      <c r="DL138" s="713"/>
      <c r="DM138" s="713"/>
      <c r="DN138" s="713"/>
      <c r="DO138" s="713"/>
      <c r="DP138" s="713"/>
      <c r="DQ138" s="713"/>
      <c r="DR138" s="713"/>
      <c r="DS138" s="713"/>
      <c r="DT138" s="713"/>
      <c r="DU138" s="713"/>
      <c r="DV138" s="713"/>
      <c r="DW138" s="713"/>
      <c r="DX138" s="713"/>
      <c r="DY138" s="713"/>
      <c r="DZ138" s="713"/>
      <c r="EA138" s="713"/>
      <c r="EB138" s="713"/>
      <c r="EC138" s="713"/>
      <c r="ED138" s="713"/>
      <c r="EE138" s="713"/>
      <c r="EF138" s="713"/>
      <c r="EG138" s="713"/>
      <c r="EH138" s="713"/>
      <c r="EI138" s="713"/>
      <c r="EJ138" s="713"/>
      <c r="EK138" s="713"/>
      <c r="EL138" s="713"/>
      <c r="EM138" s="713"/>
      <c r="EN138" s="713"/>
      <c r="EO138" s="713"/>
      <c r="EP138" s="713"/>
      <c r="EQ138" s="713"/>
      <c r="ER138" s="713"/>
      <c r="ES138" s="713"/>
      <c r="ET138" s="713"/>
      <c r="EU138" s="713"/>
      <c r="EV138" s="713"/>
      <c r="EW138" s="713"/>
      <c r="EX138" s="713"/>
      <c r="EY138" s="713"/>
      <c r="EZ138" s="713"/>
      <c r="FA138" s="713"/>
      <c r="FB138" s="713"/>
      <c r="FC138" s="713"/>
      <c r="FD138" s="713"/>
      <c r="FE138" s="713"/>
      <c r="FF138" s="713"/>
      <c r="FG138" s="713"/>
      <c r="FH138" s="713"/>
      <c r="FI138" s="713"/>
      <c r="FJ138" s="713"/>
      <c r="FK138" s="713"/>
      <c r="FL138" s="713"/>
      <c r="FM138" s="713"/>
      <c r="FN138" s="713"/>
      <c r="FO138" s="713"/>
      <c r="FP138" s="713"/>
      <c r="FQ138" s="713"/>
      <c r="FR138" s="713"/>
      <c r="FS138" s="713"/>
      <c r="FT138" s="713"/>
      <c r="FU138" s="713"/>
      <c r="FV138" s="713"/>
      <c r="FW138" s="713"/>
      <c r="FX138" s="713"/>
      <c r="FY138" s="713"/>
      <c r="FZ138" s="713"/>
      <c r="GA138" s="713"/>
      <c r="GB138" s="713"/>
      <c r="GC138" s="713"/>
      <c r="GD138" s="713"/>
      <c r="GE138" s="713"/>
      <c r="GF138" s="713"/>
      <c r="GG138" s="713"/>
      <c r="GH138" s="713"/>
      <c r="GI138" s="713"/>
      <c r="GJ138" s="713"/>
      <c r="GK138" s="713"/>
      <c r="GL138" s="713"/>
      <c r="GM138" s="713"/>
      <c r="GN138" s="713"/>
      <c r="GO138" s="713"/>
      <c r="GP138" s="713"/>
      <c r="GQ138" s="713"/>
      <c r="GR138" s="713"/>
      <c r="GS138" s="713"/>
      <c r="GT138" s="713"/>
      <c r="GU138" s="713"/>
      <c r="GV138" s="713"/>
      <c r="GW138" s="713"/>
      <c r="GX138" s="713"/>
      <c r="GY138" s="713"/>
      <c r="GZ138" s="713"/>
      <c r="HA138" s="713"/>
      <c r="HB138" s="713"/>
      <c r="HC138" s="713"/>
      <c r="HD138" s="713"/>
      <c r="HE138" s="713"/>
      <c r="HF138" s="713"/>
      <c r="HG138" s="713"/>
      <c r="HH138" s="713"/>
      <c r="HI138" s="713"/>
      <c r="HJ138" s="713"/>
      <c r="HK138" s="713"/>
      <c r="HL138" s="713"/>
      <c r="HM138" s="713"/>
      <c r="HN138" s="713"/>
      <c r="HO138" s="713"/>
      <c r="HP138" s="713"/>
      <c r="HQ138" s="713"/>
      <c r="HR138" s="713"/>
      <c r="HS138" s="713"/>
      <c r="HT138" s="713"/>
      <c r="HU138" s="713"/>
      <c r="HV138" s="713"/>
      <c r="HW138" s="713"/>
      <c r="HX138" s="713"/>
      <c r="HY138" s="713"/>
      <c r="HZ138" s="713"/>
      <c r="IA138" s="713"/>
      <c r="IB138" s="713"/>
      <c r="IC138" s="713"/>
      <c r="ID138" s="713"/>
      <c r="IE138" s="713"/>
      <c r="IF138" s="713"/>
      <c r="IG138" s="713"/>
      <c r="IH138" s="713"/>
    </row>
    <row r="139" hidden="1" outlineLevel="1">
      <c r="A139" s="598"/>
      <c r="B139" s="598"/>
      <c r="C139" s="598"/>
      <c r="D139" s="598"/>
      <c r="E139" s="598"/>
      <c r="F139" s="598"/>
      <c r="G139" s="598"/>
      <c r="H139" s="598"/>
      <c r="I139" s="598"/>
      <c r="J139" s="598"/>
      <c r="K139" s="598"/>
      <c r="L139" s="598"/>
      <c r="M139" s="598"/>
      <c r="N139" s="598"/>
      <c r="O139" s="598"/>
      <c r="P139" s="598"/>
      <c r="Q139" s="598"/>
      <c r="R139" s="598"/>
      <c r="S139" s="598"/>
      <c r="T139" s="598"/>
      <c r="U139" s="598"/>
      <c r="V139" s="598"/>
      <c r="W139" s="598"/>
      <c r="X139" s="598"/>
      <c r="Y139" s="598"/>
      <c r="Z139" s="598"/>
      <c r="AA139" s="911"/>
      <c r="AB139" s="966"/>
      <c r="AC139" s="713" t="str">
        <f>IFERROR(__xludf.DUMMYFUNCTION("""COMPUTED_VALUE"""),"Plasma Cannon Resistance")</f>
        <v>Plasma Cannon Resistance</v>
      </c>
      <c r="AD139" s="825" t="s">
        <v>225</v>
      </c>
      <c r="AE139" s="713">
        <v>0.0</v>
      </c>
      <c r="AF139" s="713"/>
      <c r="AG139" s="713">
        <v>20.0</v>
      </c>
      <c r="AH139" s="1002" t="str">
        <f t="shared" si="20"/>
        <v/>
      </c>
      <c r="AI139" s="713"/>
      <c r="AJ139" s="713"/>
      <c r="AK139" s="713"/>
      <c r="AL139" s="713"/>
      <c r="AM139" s="713"/>
      <c r="AN139" s="713"/>
      <c r="AO139" s="713"/>
      <c r="AP139" s="713"/>
      <c r="AQ139" s="713"/>
      <c r="AR139" s="713"/>
      <c r="AS139" s="713"/>
      <c r="AT139" s="713"/>
      <c r="AU139" s="713"/>
      <c r="AV139" s="713"/>
      <c r="AW139" s="713"/>
      <c r="AX139" s="713"/>
      <c r="AY139" s="713"/>
      <c r="AZ139" s="713"/>
      <c r="BA139" s="713"/>
      <c r="BB139" s="713"/>
      <c r="BC139" s="713"/>
      <c r="BD139" s="713"/>
      <c r="BE139" s="713"/>
      <c r="BF139" s="713"/>
      <c r="BG139" s="713"/>
      <c r="BH139" s="713"/>
      <c r="BI139" s="713"/>
      <c r="BJ139" s="713"/>
      <c r="BK139" s="713"/>
      <c r="BL139" s="713"/>
      <c r="BM139" s="713"/>
      <c r="BN139" s="713"/>
      <c r="BO139" s="713"/>
      <c r="BP139" s="713"/>
      <c r="BQ139" s="713"/>
      <c r="BR139" s="713"/>
      <c r="BS139" s="713"/>
      <c r="BT139" s="713"/>
      <c r="BU139" s="713"/>
      <c r="BV139" s="713"/>
      <c r="BW139" s="713"/>
      <c r="BX139" s="713"/>
      <c r="BY139" s="713"/>
      <c r="BZ139" s="713"/>
      <c r="CA139" s="713"/>
      <c r="CB139" s="713"/>
      <c r="CC139" s="713"/>
      <c r="CD139" s="713"/>
      <c r="CE139" s="713"/>
      <c r="CF139" s="713"/>
      <c r="CG139" s="713"/>
      <c r="CH139" s="713"/>
      <c r="CI139" s="713"/>
      <c r="CJ139" s="713"/>
      <c r="CK139" s="713"/>
      <c r="CL139" s="713"/>
      <c r="CM139" s="713"/>
      <c r="CN139" s="713"/>
      <c r="CO139" s="713"/>
      <c r="CP139" s="713"/>
      <c r="CQ139" s="713"/>
      <c r="CR139" s="713"/>
      <c r="CS139" s="713"/>
      <c r="CT139" s="713"/>
      <c r="CU139" s="713"/>
      <c r="CV139" s="713"/>
      <c r="CW139" s="713"/>
      <c r="CX139" s="713"/>
      <c r="CY139" s="713"/>
      <c r="CZ139" s="713"/>
      <c r="DA139" s="713"/>
      <c r="DB139" s="713"/>
      <c r="DC139" s="713"/>
      <c r="DD139" s="713"/>
      <c r="DE139" s="713"/>
      <c r="DF139" s="713"/>
      <c r="DG139" s="713"/>
      <c r="DH139" s="713"/>
      <c r="DI139" s="713"/>
      <c r="DJ139" s="713"/>
      <c r="DK139" s="713"/>
      <c r="DL139" s="713"/>
      <c r="DM139" s="713"/>
      <c r="DN139" s="713"/>
      <c r="DO139" s="713"/>
      <c r="DP139" s="713"/>
      <c r="DQ139" s="713"/>
      <c r="DR139" s="713"/>
      <c r="DS139" s="713"/>
      <c r="DT139" s="713"/>
      <c r="DU139" s="713"/>
      <c r="DV139" s="713"/>
      <c r="DW139" s="713"/>
      <c r="DX139" s="713"/>
      <c r="DY139" s="713"/>
      <c r="DZ139" s="713"/>
      <c r="EA139" s="713"/>
      <c r="EB139" s="713"/>
      <c r="EC139" s="713"/>
      <c r="ED139" s="713"/>
      <c r="EE139" s="713"/>
      <c r="EF139" s="713"/>
      <c r="EG139" s="713"/>
      <c r="EH139" s="713"/>
      <c r="EI139" s="713"/>
      <c r="EJ139" s="713"/>
      <c r="EK139" s="713"/>
      <c r="EL139" s="713"/>
      <c r="EM139" s="713"/>
      <c r="EN139" s="713"/>
      <c r="EO139" s="713"/>
      <c r="EP139" s="713"/>
      <c r="EQ139" s="713"/>
      <c r="ER139" s="713"/>
      <c r="ES139" s="713"/>
      <c r="ET139" s="713"/>
      <c r="EU139" s="713"/>
      <c r="EV139" s="713"/>
      <c r="EW139" s="713"/>
      <c r="EX139" s="713"/>
      <c r="EY139" s="713"/>
      <c r="EZ139" s="713"/>
      <c r="FA139" s="713"/>
      <c r="FB139" s="713"/>
      <c r="FC139" s="713"/>
      <c r="FD139" s="713"/>
      <c r="FE139" s="713"/>
      <c r="FF139" s="713"/>
      <c r="FG139" s="713"/>
      <c r="FH139" s="713"/>
      <c r="FI139" s="713"/>
      <c r="FJ139" s="713"/>
      <c r="FK139" s="713"/>
      <c r="FL139" s="713"/>
      <c r="FM139" s="713"/>
      <c r="FN139" s="713"/>
      <c r="FO139" s="713"/>
      <c r="FP139" s="713"/>
      <c r="FQ139" s="713"/>
      <c r="FR139" s="713"/>
      <c r="FS139" s="713"/>
      <c r="FT139" s="713"/>
      <c r="FU139" s="713"/>
      <c r="FV139" s="713"/>
      <c r="FW139" s="713"/>
      <c r="FX139" s="713"/>
      <c r="FY139" s="713"/>
      <c r="FZ139" s="713"/>
      <c r="GA139" s="713"/>
      <c r="GB139" s="713"/>
      <c r="GC139" s="713"/>
      <c r="GD139" s="713"/>
      <c r="GE139" s="713"/>
      <c r="GF139" s="713"/>
      <c r="GG139" s="713"/>
      <c r="GH139" s="713"/>
      <c r="GI139" s="713"/>
      <c r="GJ139" s="713"/>
      <c r="GK139" s="713"/>
      <c r="GL139" s="713"/>
      <c r="GM139" s="713"/>
      <c r="GN139" s="713"/>
      <c r="GO139" s="713"/>
      <c r="GP139" s="713"/>
      <c r="GQ139" s="713"/>
      <c r="GR139" s="713"/>
      <c r="GS139" s="713"/>
      <c r="GT139" s="713"/>
      <c r="GU139" s="713"/>
      <c r="GV139" s="713"/>
      <c r="GW139" s="713"/>
      <c r="GX139" s="713"/>
      <c r="GY139" s="713"/>
      <c r="GZ139" s="713"/>
      <c r="HA139" s="713"/>
      <c r="HB139" s="713"/>
      <c r="HC139" s="713"/>
      <c r="HD139" s="713"/>
      <c r="HE139" s="713"/>
      <c r="HF139" s="713"/>
      <c r="HG139" s="713"/>
      <c r="HH139" s="713"/>
      <c r="HI139" s="713"/>
      <c r="HJ139" s="713"/>
      <c r="HK139" s="713"/>
      <c r="HL139" s="713"/>
      <c r="HM139" s="713"/>
      <c r="HN139" s="713"/>
      <c r="HO139" s="713"/>
      <c r="HP139" s="713"/>
      <c r="HQ139" s="713"/>
      <c r="HR139" s="713"/>
      <c r="HS139" s="713"/>
      <c r="HT139" s="713"/>
      <c r="HU139" s="713"/>
      <c r="HV139" s="713"/>
      <c r="HW139" s="713"/>
      <c r="HX139" s="713"/>
      <c r="HY139" s="713"/>
      <c r="HZ139" s="713"/>
      <c r="IA139" s="713"/>
      <c r="IB139" s="713"/>
      <c r="IC139" s="713"/>
      <c r="ID139" s="713"/>
      <c r="IE139" s="713"/>
      <c r="IF139" s="713"/>
      <c r="IG139" s="713"/>
      <c r="IH139" s="713"/>
    </row>
    <row r="140" hidden="1" outlineLevel="1">
      <c r="A140" s="598"/>
      <c r="B140" s="598"/>
      <c r="C140" s="598"/>
      <c r="D140" s="598"/>
      <c r="E140" s="598"/>
      <c r="F140" s="598"/>
      <c r="G140" s="598"/>
      <c r="H140" s="598"/>
      <c r="I140" s="598"/>
      <c r="J140" s="598"/>
      <c r="K140" s="598"/>
      <c r="L140" s="598"/>
      <c r="M140" s="598"/>
      <c r="N140" s="598"/>
      <c r="O140" s="598"/>
      <c r="P140" s="598"/>
      <c r="Q140" s="598"/>
      <c r="R140" s="598"/>
      <c r="S140" s="598"/>
      <c r="T140" s="598"/>
      <c r="U140" s="598"/>
      <c r="V140" s="598"/>
      <c r="W140" s="598"/>
      <c r="X140" s="598"/>
      <c r="Y140" s="598"/>
      <c r="Z140" s="598"/>
      <c r="AA140" s="911"/>
      <c r="AB140" s="966"/>
      <c r="AC140" s="713" t="str">
        <f>IFERROR(__xludf.DUMMYFUNCTION("""COMPUTED_VALUE"""),"Protector Damage Reduction")</f>
        <v>Protector Damage Reduction</v>
      </c>
      <c r="AD140" s="816" t="s">
        <v>305</v>
      </c>
      <c r="AE140" s="713">
        <v>0.0</v>
      </c>
      <c r="AF140" s="713"/>
      <c r="AG140" s="713">
        <v>20.0</v>
      </c>
      <c r="AH140" s="1002" t="str">
        <f t="shared" si="20"/>
        <v/>
      </c>
      <c r="AI140" s="713"/>
      <c r="AJ140" s="713"/>
      <c r="AK140" s="713"/>
      <c r="AL140" s="713"/>
      <c r="AM140" s="713"/>
      <c r="AN140" s="713"/>
      <c r="AO140" s="713"/>
      <c r="AP140" s="713"/>
      <c r="AQ140" s="713"/>
      <c r="AR140" s="713"/>
      <c r="AS140" s="713"/>
      <c r="AT140" s="713"/>
      <c r="AU140" s="713"/>
      <c r="AV140" s="713"/>
      <c r="AW140" s="713"/>
      <c r="AX140" s="713"/>
      <c r="AY140" s="713"/>
      <c r="AZ140" s="713"/>
      <c r="BA140" s="713"/>
      <c r="BB140" s="713"/>
      <c r="BC140" s="713"/>
      <c r="BD140" s="713"/>
      <c r="BE140" s="713"/>
      <c r="BF140" s="713"/>
      <c r="BG140" s="713"/>
      <c r="BH140" s="713"/>
      <c r="BI140" s="713"/>
      <c r="BJ140" s="713"/>
      <c r="BK140" s="713"/>
      <c r="BL140" s="713"/>
      <c r="BM140" s="713"/>
      <c r="BN140" s="713"/>
      <c r="BO140" s="713"/>
      <c r="BP140" s="713"/>
      <c r="BQ140" s="713"/>
      <c r="BR140" s="713"/>
      <c r="BS140" s="713"/>
      <c r="BT140" s="713"/>
      <c r="BU140" s="713"/>
      <c r="BV140" s="713"/>
      <c r="BW140" s="713"/>
      <c r="BX140" s="713"/>
      <c r="BY140" s="713"/>
      <c r="BZ140" s="713"/>
      <c r="CA140" s="713"/>
      <c r="CB140" s="713"/>
      <c r="CC140" s="713"/>
      <c r="CD140" s="713"/>
      <c r="CE140" s="713"/>
      <c r="CF140" s="713"/>
      <c r="CG140" s="713"/>
      <c r="CH140" s="713"/>
      <c r="CI140" s="713"/>
      <c r="CJ140" s="713"/>
      <c r="CK140" s="713"/>
      <c r="CL140" s="713"/>
      <c r="CM140" s="713"/>
      <c r="CN140" s="713"/>
      <c r="CO140" s="713"/>
      <c r="CP140" s="713"/>
      <c r="CQ140" s="713"/>
      <c r="CR140" s="713"/>
      <c r="CS140" s="713"/>
      <c r="CT140" s="713"/>
      <c r="CU140" s="713"/>
      <c r="CV140" s="713"/>
      <c r="CW140" s="713"/>
      <c r="CX140" s="713"/>
      <c r="CY140" s="713"/>
      <c r="CZ140" s="713"/>
      <c r="DA140" s="713"/>
      <c r="DB140" s="713"/>
      <c r="DC140" s="713"/>
      <c r="DD140" s="713"/>
      <c r="DE140" s="713"/>
      <c r="DF140" s="713"/>
      <c r="DG140" s="713"/>
      <c r="DH140" s="713"/>
      <c r="DI140" s="713"/>
      <c r="DJ140" s="713"/>
      <c r="DK140" s="713"/>
      <c r="DL140" s="713"/>
      <c r="DM140" s="713"/>
      <c r="DN140" s="713"/>
      <c r="DO140" s="713"/>
      <c r="DP140" s="713"/>
      <c r="DQ140" s="713"/>
      <c r="DR140" s="713"/>
      <c r="DS140" s="713"/>
      <c r="DT140" s="713"/>
      <c r="DU140" s="713"/>
      <c r="DV140" s="713"/>
      <c r="DW140" s="713"/>
      <c r="DX140" s="713"/>
      <c r="DY140" s="713"/>
      <c r="DZ140" s="713"/>
      <c r="EA140" s="713"/>
      <c r="EB140" s="713"/>
      <c r="EC140" s="713"/>
      <c r="ED140" s="713"/>
      <c r="EE140" s="713"/>
      <c r="EF140" s="713"/>
      <c r="EG140" s="713"/>
      <c r="EH140" s="713"/>
      <c r="EI140" s="713"/>
      <c r="EJ140" s="713"/>
      <c r="EK140" s="713"/>
      <c r="EL140" s="713"/>
      <c r="EM140" s="713"/>
      <c r="EN140" s="713"/>
      <c r="EO140" s="713"/>
      <c r="EP140" s="713"/>
      <c r="EQ140" s="713"/>
      <c r="ER140" s="713"/>
      <c r="ES140" s="713"/>
      <c r="ET140" s="713"/>
      <c r="EU140" s="713"/>
      <c r="EV140" s="713"/>
      <c r="EW140" s="713"/>
      <c r="EX140" s="713"/>
      <c r="EY140" s="713"/>
      <c r="EZ140" s="713"/>
      <c r="FA140" s="713"/>
      <c r="FB140" s="713"/>
      <c r="FC140" s="713"/>
      <c r="FD140" s="713"/>
      <c r="FE140" s="713"/>
      <c r="FF140" s="713"/>
      <c r="FG140" s="713"/>
      <c r="FH140" s="713"/>
      <c r="FI140" s="713"/>
      <c r="FJ140" s="713"/>
      <c r="FK140" s="713"/>
      <c r="FL140" s="713"/>
      <c r="FM140" s="713"/>
      <c r="FN140" s="713"/>
      <c r="FO140" s="713"/>
      <c r="FP140" s="713"/>
      <c r="FQ140" s="713"/>
      <c r="FR140" s="713"/>
      <c r="FS140" s="713"/>
      <c r="FT140" s="713"/>
      <c r="FU140" s="713"/>
      <c r="FV140" s="713"/>
      <c r="FW140" s="713"/>
      <c r="FX140" s="713"/>
      <c r="FY140" s="713"/>
      <c r="FZ140" s="713"/>
      <c r="GA140" s="713"/>
      <c r="GB140" s="713"/>
      <c r="GC140" s="713"/>
      <c r="GD140" s="713"/>
      <c r="GE140" s="713"/>
      <c r="GF140" s="713"/>
      <c r="GG140" s="713"/>
      <c r="GH140" s="713"/>
      <c r="GI140" s="713"/>
      <c r="GJ140" s="713"/>
      <c r="GK140" s="713"/>
      <c r="GL140" s="713"/>
      <c r="GM140" s="713"/>
      <c r="GN140" s="713"/>
      <c r="GO140" s="713"/>
      <c r="GP140" s="713"/>
      <c r="GQ140" s="713"/>
      <c r="GR140" s="713"/>
      <c r="GS140" s="713"/>
      <c r="GT140" s="713"/>
      <c r="GU140" s="713"/>
      <c r="GV140" s="713"/>
      <c r="GW140" s="713"/>
      <c r="GX140" s="713"/>
      <c r="GY140" s="713"/>
      <c r="GZ140" s="713"/>
      <c r="HA140" s="713"/>
      <c r="HB140" s="713"/>
      <c r="HC140" s="713"/>
      <c r="HD140" s="713"/>
      <c r="HE140" s="713"/>
      <c r="HF140" s="713"/>
      <c r="HG140" s="713"/>
      <c r="HH140" s="713"/>
      <c r="HI140" s="713"/>
      <c r="HJ140" s="713"/>
      <c r="HK140" s="713"/>
      <c r="HL140" s="713"/>
      <c r="HM140" s="713"/>
      <c r="HN140" s="713"/>
      <c r="HO140" s="713"/>
      <c r="HP140" s="713"/>
      <c r="HQ140" s="713"/>
      <c r="HR140" s="713"/>
      <c r="HS140" s="713"/>
      <c r="HT140" s="713"/>
      <c r="HU140" s="713"/>
      <c r="HV140" s="713"/>
      <c r="HW140" s="713"/>
      <c r="HX140" s="713"/>
      <c r="HY140" s="713"/>
      <c r="HZ140" s="713"/>
      <c r="IA140" s="713"/>
      <c r="IB140" s="713"/>
      <c r="IC140" s="713"/>
      <c r="ID140" s="713"/>
      <c r="IE140" s="713"/>
      <c r="IF140" s="713"/>
      <c r="IG140" s="713"/>
      <c r="IH140" s="713"/>
    </row>
    <row r="141" hidden="1" outlineLevel="1">
      <c r="A141" s="598"/>
      <c r="B141" s="598"/>
      <c r="C141" s="598"/>
      <c r="D141" s="598"/>
      <c r="E141" s="598"/>
      <c r="F141" s="598"/>
      <c r="G141" s="598"/>
      <c r="H141" s="598"/>
      <c r="I141" s="598"/>
      <c r="J141" s="598"/>
      <c r="K141" s="598"/>
      <c r="L141" s="598"/>
      <c r="M141" s="598"/>
      <c r="N141" s="598"/>
      <c r="O141" s="598"/>
      <c r="P141" s="598"/>
      <c r="Q141" s="598"/>
      <c r="R141" s="598"/>
      <c r="S141" s="598"/>
      <c r="T141" s="598"/>
      <c r="U141" s="598"/>
      <c r="V141" s="598"/>
      <c r="W141" s="598"/>
      <c r="X141" s="598"/>
      <c r="Y141" s="598"/>
      <c r="Z141" s="598"/>
      <c r="AA141" s="911"/>
      <c r="AB141" s="966"/>
      <c r="AC141" s="713" t="str">
        <f>IFERROR(__xludf.DUMMYFUNCTION("""COMPUTED_VALUE"""),"Protector Health")</f>
        <v>Protector Health</v>
      </c>
      <c r="AD141" s="816" t="s">
        <v>291</v>
      </c>
      <c r="AE141" s="713">
        <v>0.0</v>
      </c>
      <c r="AF141" s="713"/>
      <c r="AG141" s="713">
        <v>30.0</v>
      </c>
      <c r="AH141" s="1002" t="str">
        <f t="shared" si="20"/>
        <v/>
      </c>
      <c r="AI141" s="713"/>
      <c r="AJ141" s="713"/>
      <c r="AK141" s="713"/>
      <c r="AL141" s="713"/>
      <c r="AM141" s="713"/>
      <c r="AN141" s="713"/>
      <c r="AO141" s="713"/>
      <c r="AP141" s="713"/>
      <c r="AQ141" s="713"/>
      <c r="AR141" s="713"/>
      <c r="AS141" s="713"/>
      <c r="AT141" s="713"/>
      <c r="AU141" s="713"/>
      <c r="AV141" s="713"/>
      <c r="AW141" s="713"/>
      <c r="AX141" s="713"/>
      <c r="AY141" s="713"/>
      <c r="AZ141" s="713"/>
      <c r="BA141" s="713"/>
      <c r="BB141" s="713"/>
      <c r="BC141" s="713"/>
      <c r="BD141" s="713"/>
      <c r="BE141" s="713"/>
      <c r="BF141" s="713"/>
      <c r="BG141" s="713"/>
      <c r="BH141" s="713"/>
      <c r="BI141" s="713"/>
      <c r="BJ141" s="713"/>
      <c r="BK141" s="713"/>
      <c r="BL141" s="713"/>
      <c r="BM141" s="713"/>
      <c r="BN141" s="713"/>
      <c r="BO141" s="713"/>
      <c r="BP141" s="713"/>
      <c r="BQ141" s="713"/>
      <c r="BR141" s="713"/>
      <c r="BS141" s="713"/>
      <c r="BT141" s="713"/>
      <c r="BU141" s="713"/>
      <c r="BV141" s="713"/>
      <c r="BW141" s="713"/>
      <c r="BX141" s="713"/>
      <c r="BY141" s="713"/>
      <c r="BZ141" s="713"/>
      <c r="CA141" s="713"/>
      <c r="CB141" s="713"/>
      <c r="CC141" s="713"/>
      <c r="CD141" s="713"/>
      <c r="CE141" s="713"/>
      <c r="CF141" s="713"/>
      <c r="CG141" s="713"/>
      <c r="CH141" s="713"/>
      <c r="CI141" s="713"/>
      <c r="CJ141" s="713"/>
      <c r="CK141" s="713"/>
      <c r="CL141" s="713"/>
      <c r="CM141" s="713"/>
      <c r="CN141" s="713"/>
      <c r="CO141" s="713"/>
      <c r="CP141" s="713"/>
      <c r="CQ141" s="713"/>
      <c r="CR141" s="713"/>
      <c r="CS141" s="713"/>
      <c r="CT141" s="713"/>
      <c r="CU141" s="713"/>
      <c r="CV141" s="713"/>
      <c r="CW141" s="713"/>
      <c r="CX141" s="713"/>
      <c r="CY141" s="713"/>
      <c r="CZ141" s="713"/>
      <c r="DA141" s="713"/>
      <c r="DB141" s="713"/>
      <c r="DC141" s="713"/>
      <c r="DD141" s="713"/>
      <c r="DE141" s="713"/>
      <c r="DF141" s="713"/>
      <c r="DG141" s="713"/>
      <c r="DH141" s="713"/>
      <c r="DI141" s="713"/>
      <c r="DJ141" s="713"/>
      <c r="DK141" s="713"/>
      <c r="DL141" s="713"/>
      <c r="DM141" s="713"/>
      <c r="DN141" s="713"/>
      <c r="DO141" s="713"/>
      <c r="DP141" s="713"/>
      <c r="DQ141" s="713"/>
      <c r="DR141" s="713"/>
      <c r="DS141" s="713"/>
      <c r="DT141" s="713"/>
      <c r="DU141" s="713"/>
      <c r="DV141" s="713"/>
      <c r="DW141" s="713"/>
      <c r="DX141" s="713"/>
      <c r="DY141" s="713"/>
      <c r="DZ141" s="713"/>
      <c r="EA141" s="713"/>
      <c r="EB141" s="713"/>
      <c r="EC141" s="713"/>
      <c r="ED141" s="713"/>
      <c r="EE141" s="713"/>
      <c r="EF141" s="713"/>
      <c r="EG141" s="713"/>
      <c r="EH141" s="713"/>
      <c r="EI141" s="713"/>
      <c r="EJ141" s="713"/>
      <c r="EK141" s="713"/>
      <c r="EL141" s="713"/>
      <c r="EM141" s="713"/>
      <c r="EN141" s="713"/>
      <c r="EO141" s="713"/>
      <c r="EP141" s="713"/>
      <c r="EQ141" s="713"/>
      <c r="ER141" s="713"/>
      <c r="ES141" s="713"/>
      <c r="ET141" s="713"/>
      <c r="EU141" s="713"/>
      <c r="EV141" s="713"/>
      <c r="EW141" s="713"/>
      <c r="EX141" s="713"/>
      <c r="EY141" s="713"/>
      <c r="EZ141" s="713"/>
      <c r="FA141" s="713"/>
      <c r="FB141" s="713"/>
      <c r="FC141" s="713"/>
      <c r="FD141" s="713"/>
      <c r="FE141" s="713"/>
      <c r="FF141" s="713"/>
      <c r="FG141" s="713"/>
      <c r="FH141" s="713"/>
      <c r="FI141" s="713"/>
      <c r="FJ141" s="713"/>
      <c r="FK141" s="713"/>
      <c r="FL141" s="713"/>
      <c r="FM141" s="713"/>
      <c r="FN141" s="713"/>
      <c r="FO141" s="713"/>
      <c r="FP141" s="713"/>
      <c r="FQ141" s="713"/>
      <c r="FR141" s="713"/>
      <c r="FS141" s="713"/>
      <c r="FT141" s="713"/>
      <c r="FU141" s="713"/>
      <c r="FV141" s="713"/>
      <c r="FW141" s="713"/>
      <c r="FX141" s="713"/>
      <c r="FY141" s="713"/>
      <c r="FZ141" s="713"/>
      <c r="GA141" s="713"/>
      <c r="GB141" s="713"/>
      <c r="GC141" s="713"/>
      <c r="GD141" s="713"/>
      <c r="GE141" s="713"/>
      <c r="GF141" s="713"/>
      <c r="GG141" s="713"/>
      <c r="GH141" s="713"/>
      <c r="GI141" s="713"/>
      <c r="GJ141" s="713"/>
      <c r="GK141" s="713"/>
      <c r="GL141" s="713"/>
      <c r="GM141" s="713"/>
      <c r="GN141" s="713"/>
      <c r="GO141" s="713"/>
      <c r="GP141" s="713"/>
      <c r="GQ141" s="713"/>
      <c r="GR141" s="713"/>
      <c r="GS141" s="713"/>
      <c r="GT141" s="713"/>
      <c r="GU141" s="713"/>
      <c r="GV141" s="713"/>
      <c r="GW141" s="713"/>
      <c r="GX141" s="713"/>
      <c r="GY141" s="713"/>
      <c r="GZ141" s="713"/>
      <c r="HA141" s="713"/>
      <c r="HB141" s="713"/>
      <c r="HC141" s="713"/>
      <c r="HD141" s="713"/>
      <c r="HE141" s="713"/>
      <c r="HF141" s="713"/>
      <c r="HG141" s="713"/>
      <c r="HH141" s="713"/>
      <c r="HI141" s="713"/>
      <c r="HJ141" s="713"/>
      <c r="HK141" s="713"/>
      <c r="HL141" s="713"/>
      <c r="HM141" s="713"/>
      <c r="HN141" s="713"/>
      <c r="HO141" s="713"/>
      <c r="HP141" s="713"/>
      <c r="HQ141" s="713"/>
      <c r="HR141" s="713"/>
      <c r="HS141" s="713"/>
      <c r="HT141" s="713"/>
      <c r="HU141" s="713"/>
      <c r="HV141" s="713"/>
      <c r="HW141" s="713"/>
      <c r="HX141" s="713"/>
      <c r="HY141" s="713"/>
      <c r="HZ141" s="713"/>
      <c r="IA141" s="713"/>
      <c r="IB141" s="713"/>
      <c r="IC141" s="713"/>
      <c r="ID141" s="713"/>
      <c r="IE141" s="713"/>
      <c r="IF141" s="713"/>
      <c r="IG141" s="713"/>
      <c r="IH141" s="713"/>
    </row>
    <row r="142" hidden="1" outlineLevel="1">
      <c r="A142" s="598"/>
      <c r="B142" s="598"/>
      <c r="C142" s="598"/>
      <c r="D142" s="598"/>
      <c r="E142" s="598"/>
      <c r="F142" s="598"/>
      <c r="G142" s="598"/>
      <c r="H142" s="598"/>
      <c r="I142" s="598"/>
      <c r="J142" s="598"/>
      <c r="K142" s="598"/>
      <c r="L142" s="598"/>
      <c r="M142" s="598"/>
      <c r="N142" s="598"/>
      <c r="O142" s="598"/>
      <c r="P142" s="598"/>
      <c r="Q142" s="598"/>
      <c r="R142" s="598"/>
      <c r="S142" s="598"/>
      <c r="T142" s="598"/>
      <c r="U142" s="598"/>
      <c r="V142" s="598"/>
      <c r="W142" s="598"/>
      <c r="X142" s="598"/>
      <c r="Y142" s="598"/>
      <c r="Z142" s="598"/>
      <c r="AA142" s="911"/>
      <c r="AB142" s="999"/>
      <c r="AC142" s="720" t="str">
        <f>IFERROR(__xludf.DUMMYFUNCTION("""COMPUTED_VALUE"""),"Protector Radius")</f>
        <v>Protector Radius</v>
      </c>
      <c r="AD142" s="913" t="s">
        <v>298</v>
      </c>
      <c r="AE142" s="720">
        <v>0.0</v>
      </c>
      <c r="AF142" s="720"/>
      <c r="AG142" s="720">
        <v>30.0</v>
      </c>
      <c r="AH142" s="1002" t="str">
        <f t="shared" si="20"/>
        <v/>
      </c>
      <c r="AI142" s="720"/>
      <c r="AJ142" s="720"/>
      <c r="AK142" s="720"/>
      <c r="AL142" s="720"/>
      <c r="AM142" s="720"/>
      <c r="AN142" s="720"/>
      <c r="AO142" s="720"/>
      <c r="AP142" s="720"/>
      <c r="AQ142" s="720"/>
      <c r="AR142" s="720"/>
      <c r="AS142" s="720"/>
      <c r="AT142" s="720"/>
      <c r="AU142" s="720"/>
      <c r="AV142" s="720"/>
      <c r="AW142" s="720"/>
      <c r="AX142" s="720"/>
      <c r="AY142" s="720"/>
      <c r="AZ142" s="720"/>
      <c r="BA142" s="720"/>
      <c r="BB142" s="720"/>
      <c r="BC142" s="720"/>
      <c r="BD142" s="720"/>
      <c r="BE142" s="720"/>
      <c r="BF142" s="720"/>
      <c r="BG142" s="720"/>
      <c r="BH142" s="720"/>
      <c r="BI142" s="720"/>
      <c r="BJ142" s="720"/>
      <c r="BK142" s="720"/>
      <c r="BL142" s="720"/>
      <c r="BM142" s="720"/>
      <c r="BN142" s="720"/>
      <c r="BO142" s="720"/>
      <c r="BP142" s="720"/>
      <c r="BQ142" s="720"/>
      <c r="BR142" s="720"/>
      <c r="BS142" s="720"/>
      <c r="BT142" s="720"/>
      <c r="BU142" s="720"/>
      <c r="BV142" s="720"/>
      <c r="BW142" s="720"/>
      <c r="BX142" s="720"/>
      <c r="BY142" s="720"/>
      <c r="BZ142" s="720"/>
      <c r="CA142" s="720"/>
      <c r="CB142" s="720"/>
      <c r="CC142" s="720"/>
      <c r="CD142" s="720"/>
      <c r="CE142" s="720"/>
      <c r="CF142" s="720"/>
      <c r="CG142" s="720"/>
      <c r="CH142" s="720"/>
      <c r="CI142" s="720"/>
      <c r="CJ142" s="720"/>
      <c r="CK142" s="720"/>
      <c r="CL142" s="720"/>
      <c r="CM142" s="720"/>
      <c r="CN142" s="720"/>
      <c r="CO142" s="720"/>
      <c r="CP142" s="720"/>
      <c r="CQ142" s="720"/>
      <c r="CR142" s="720"/>
      <c r="CS142" s="720"/>
      <c r="CT142" s="720"/>
      <c r="CU142" s="720"/>
      <c r="CV142" s="720"/>
      <c r="CW142" s="720"/>
      <c r="CX142" s="720"/>
      <c r="CY142" s="720"/>
      <c r="CZ142" s="720"/>
      <c r="DA142" s="720"/>
      <c r="DB142" s="720"/>
      <c r="DC142" s="720"/>
      <c r="DD142" s="720"/>
      <c r="DE142" s="720"/>
      <c r="DF142" s="720"/>
      <c r="DG142" s="720"/>
      <c r="DH142" s="720"/>
      <c r="DI142" s="720"/>
      <c r="DJ142" s="720"/>
      <c r="DK142" s="720"/>
      <c r="DL142" s="720"/>
      <c r="DM142" s="720"/>
      <c r="DN142" s="720"/>
      <c r="DO142" s="720"/>
      <c r="DP142" s="720"/>
      <c r="DQ142" s="720"/>
      <c r="DR142" s="720"/>
      <c r="DS142" s="720"/>
      <c r="DT142" s="720"/>
      <c r="DU142" s="720"/>
      <c r="DV142" s="720"/>
      <c r="DW142" s="720"/>
      <c r="DX142" s="720"/>
      <c r="DY142" s="720"/>
      <c r="DZ142" s="720"/>
      <c r="EA142" s="720"/>
      <c r="EB142" s="720"/>
      <c r="EC142" s="720"/>
      <c r="ED142" s="720"/>
      <c r="EE142" s="720"/>
      <c r="EF142" s="720"/>
      <c r="EG142" s="720"/>
      <c r="EH142" s="720"/>
      <c r="EI142" s="720"/>
      <c r="EJ142" s="720"/>
      <c r="EK142" s="720"/>
      <c r="EL142" s="720"/>
      <c r="EM142" s="720"/>
      <c r="EN142" s="720"/>
      <c r="EO142" s="720"/>
      <c r="EP142" s="720"/>
      <c r="EQ142" s="720"/>
      <c r="ER142" s="720"/>
      <c r="ES142" s="720"/>
      <c r="ET142" s="720"/>
      <c r="EU142" s="720"/>
      <c r="EV142" s="720"/>
      <c r="EW142" s="720"/>
      <c r="EX142" s="720"/>
      <c r="EY142" s="720"/>
      <c r="EZ142" s="720"/>
      <c r="FA142" s="720"/>
      <c r="FB142" s="720"/>
      <c r="FC142" s="720"/>
      <c r="FD142" s="720"/>
      <c r="FE142" s="720"/>
      <c r="FF142" s="720"/>
      <c r="FG142" s="720"/>
      <c r="FH142" s="720"/>
      <c r="FI142" s="720"/>
      <c r="FJ142" s="720"/>
      <c r="FK142" s="720"/>
      <c r="FL142" s="720"/>
      <c r="FM142" s="720"/>
      <c r="FN142" s="720"/>
      <c r="FO142" s="720"/>
      <c r="FP142" s="720"/>
      <c r="FQ142" s="720"/>
      <c r="FR142" s="720"/>
      <c r="FS142" s="720"/>
      <c r="FT142" s="720"/>
      <c r="FU142" s="720"/>
      <c r="FV142" s="720"/>
      <c r="FW142" s="720"/>
      <c r="FX142" s="720"/>
      <c r="FY142" s="720"/>
      <c r="FZ142" s="720"/>
      <c r="GA142" s="720"/>
      <c r="GB142" s="720"/>
      <c r="GC142" s="720"/>
      <c r="GD142" s="720"/>
      <c r="GE142" s="720"/>
      <c r="GF142" s="720"/>
      <c r="GG142" s="720"/>
      <c r="GH142" s="720"/>
      <c r="GI142" s="720"/>
      <c r="GJ142" s="720"/>
      <c r="GK142" s="720"/>
      <c r="GL142" s="720"/>
      <c r="GM142" s="720"/>
      <c r="GN142" s="720"/>
      <c r="GO142" s="720"/>
      <c r="GP142" s="720"/>
      <c r="GQ142" s="720"/>
      <c r="GR142" s="720"/>
      <c r="GS142" s="720"/>
      <c r="GT142" s="720"/>
      <c r="GU142" s="720"/>
      <c r="GV142" s="720"/>
      <c r="GW142" s="720"/>
      <c r="GX142" s="720"/>
      <c r="GY142" s="720"/>
      <c r="GZ142" s="720"/>
      <c r="HA142" s="720"/>
      <c r="HB142" s="720"/>
      <c r="HC142" s="720"/>
      <c r="HD142" s="720"/>
      <c r="HE142" s="720"/>
      <c r="HF142" s="720"/>
      <c r="HG142" s="720"/>
      <c r="HH142" s="720"/>
      <c r="HI142" s="720"/>
      <c r="HJ142" s="720"/>
      <c r="HK142" s="720"/>
      <c r="HL142" s="720"/>
      <c r="HM142" s="720"/>
      <c r="HN142" s="720"/>
      <c r="HO142" s="720"/>
      <c r="HP142" s="720"/>
      <c r="HQ142" s="720"/>
      <c r="HR142" s="720"/>
      <c r="HS142" s="720"/>
      <c r="HT142" s="720"/>
      <c r="HU142" s="720"/>
      <c r="HV142" s="720"/>
      <c r="HW142" s="720"/>
      <c r="HX142" s="720"/>
      <c r="HY142" s="720"/>
      <c r="HZ142" s="720"/>
      <c r="IA142" s="720"/>
      <c r="IB142" s="720"/>
      <c r="IC142" s="720"/>
      <c r="ID142" s="720"/>
      <c r="IE142" s="720"/>
      <c r="IF142" s="720"/>
      <c r="IG142" s="720"/>
      <c r="IH142" s="720"/>
    </row>
    <row r="143" hidden="1" outlineLevel="1">
      <c r="A143" s="598"/>
      <c r="B143" s="598"/>
      <c r="C143" s="598"/>
      <c r="D143" s="598"/>
      <c r="E143" s="598"/>
      <c r="F143" s="598"/>
      <c r="G143" s="598"/>
      <c r="H143" s="598"/>
      <c r="I143" s="598"/>
      <c r="J143" s="598"/>
      <c r="K143" s="598"/>
      <c r="L143" s="598"/>
      <c r="M143" s="598"/>
      <c r="N143" s="598"/>
      <c r="O143" s="598"/>
      <c r="P143" s="598"/>
      <c r="Q143" s="598"/>
      <c r="R143" s="598"/>
      <c r="S143" s="598"/>
      <c r="T143" s="598"/>
      <c r="U143" s="598"/>
      <c r="V143" s="598"/>
      <c r="W143" s="598"/>
      <c r="X143" s="598"/>
      <c r="Y143" s="598"/>
      <c r="Z143" s="598"/>
      <c r="AA143" s="911"/>
      <c r="AB143" s="999"/>
      <c r="AC143" s="720" t="str">
        <f>IFERROR(__xludf.DUMMYFUNCTION("""COMPUTED_VALUE"""),"Protector's Ultimate")</f>
        <v>Protector's Ultimate</v>
      </c>
      <c r="AD143" s="1003" t="s">
        <v>321</v>
      </c>
      <c r="AE143" s="720">
        <v>0.0</v>
      </c>
      <c r="AF143" s="720"/>
      <c r="AG143" s="720">
        <v>10.0</v>
      </c>
      <c r="AH143" s="1002" t="str">
        <f t="shared" si="20"/>
        <v/>
      </c>
      <c r="AI143" s="720"/>
      <c r="AJ143" s="720"/>
      <c r="AK143" s="720"/>
      <c r="AL143" s="720"/>
      <c r="AM143" s="720"/>
      <c r="AN143" s="720"/>
      <c r="AO143" s="720"/>
      <c r="AP143" s="720"/>
      <c r="AQ143" s="720"/>
      <c r="AR143" s="720"/>
      <c r="AS143" s="720"/>
      <c r="AT143" s="720"/>
      <c r="AU143" s="720"/>
      <c r="AV143" s="720"/>
      <c r="AW143" s="720"/>
      <c r="AX143" s="720"/>
      <c r="AY143" s="720"/>
      <c r="AZ143" s="720"/>
      <c r="BA143" s="720"/>
      <c r="BB143" s="720"/>
      <c r="BC143" s="720"/>
      <c r="BD143" s="720"/>
      <c r="BE143" s="720"/>
      <c r="BF143" s="720"/>
      <c r="BG143" s="720"/>
      <c r="BH143" s="720"/>
      <c r="BI143" s="720"/>
      <c r="BJ143" s="720"/>
      <c r="BK143" s="720"/>
      <c r="BL143" s="720"/>
      <c r="BM143" s="720"/>
      <c r="BN143" s="720"/>
      <c r="BO143" s="720"/>
      <c r="BP143" s="720"/>
      <c r="BQ143" s="720"/>
      <c r="BR143" s="720"/>
      <c r="BS143" s="720"/>
      <c r="BT143" s="720"/>
      <c r="BU143" s="720"/>
      <c r="BV143" s="720"/>
      <c r="BW143" s="720"/>
      <c r="BX143" s="720"/>
      <c r="BY143" s="720"/>
      <c r="BZ143" s="720"/>
      <c r="CA143" s="720"/>
      <c r="CB143" s="720"/>
      <c r="CC143" s="720"/>
      <c r="CD143" s="720"/>
      <c r="CE143" s="720"/>
      <c r="CF143" s="720"/>
      <c r="CG143" s="720"/>
      <c r="CH143" s="720"/>
      <c r="CI143" s="720"/>
      <c r="CJ143" s="720"/>
      <c r="CK143" s="720"/>
      <c r="CL143" s="720"/>
      <c r="CM143" s="720"/>
      <c r="CN143" s="720"/>
      <c r="CO143" s="720"/>
      <c r="CP143" s="720"/>
      <c r="CQ143" s="720"/>
      <c r="CR143" s="720"/>
      <c r="CS143" s="720"/>
      <c r="CT143" s="720"/>
      <c r="CU143" s="720"/>
      <c r="CV143" s="720"/>
      <c r="CW143" s="720"/>
      <c r="CX143" s="720"/>
      <c r="CY143" s="720"/>
      <c r="CZ143" s="720"/>
      <c r="DA143" s="720"/>
      <c r="DB143" s="720"/>
      <c r="DC143" s="720"/>
      <c r="DD143" s="720"/>
      <c r="DE143" s="720"/>
      <c r="DF143" s="720"/>
      <c r="DG143" s="720"/>
      <c r="DH143" s="720"/>
      <c r="DI143" s="720"/>
      <c r="DJ143" s="720"/>
      <c r="DK143" s="720"/>
      <c r="DL143" s="720"/>
      <c r="DM143" s="720"/>
      <c r="DN143" s="720"/>
      <c r="DO143" s="720"/>
      <c r="DP143" s="720"/>
      <c r="DQ143" s="720"/>
      <c r="DR143" s="720"/>
      <c r="DS143" s="720"/>
      <c r="DT143" s="720"/>
      <c r="DU143" s="720"/>
      <c r="DV143" s="720"/>
      <c r="DW143" s="720"/>
      <c r="DX143" s="720"/>
      <c r="DY143" s="720"/>
      <c r="DZ143" s="720"/>
      <c r="EA143" s="720"/>
      <c r="EB143" s="720"/>
      <c r="EC143" s="720"/>
      <c r="ED143" s="720"/>
      <c r="EE143" s="720"/>
      <c r="EF143" s="720"/>
      <c r="EG143" s="720"/>
      <c r="EH143" s="720"/>
      <c r="EI143" s="720"/>
      <c r="EJ143" s="720"/>
      <c r="EK143" s="720"/>
      <c r="EL143" s="720"/>
      <c r="EM143" s="720"/>
      <c r="EN143" s="720"/>
      <c r="EO143" s="720"/>
      <c r="EP143" s="720"/>
      <c r="EQ143" s="720"/>
      <c r="ER143" s="720"/>
      <c r="ES143" s="720"/>
      <c r="ET143" s="720"/>
      <c r="EU143" s="720"/>
      <c r="EV143" s="720"/>
      <c r="EW143" s="720"/>
      <c r="EX143" s="720"/>
      <c r="EY143" s="720"/>
      <c r="EZ143" s="720"/>
      <c r="FA143" s="720"/>
      <c r="FB143" s="720"/>
      <c r="FC143" s="720"/>
      <c r="FD143" s="720"/>
      <c r="FE143" s="720"/>
      <c r="FF143" s="720"/>
      <c r="FG143" s="720"/>
      <c r="FH143" s="720"/>
      <c r="FI143" s="720"/>
      <c r="FJ143" s="720"/>
      <c r="FK143" s="720"/>
      <c r="FL143" s="720"/>
      <c r="FM143" s="720"/>
      <c r="FN143" s="720"/>
      <c r="FO143" s="720"/>
      <c r="FP143" s="720"/>
      <c r="FQ143" s="720"/>
      <c r="FR143" s="720"/>
      <c r="FS143" s="720"/>
      <c r="FT143" s="720"/>
      <c r="FU143" s="720"/>
      <c r="FV143" s="720"/>
      <c r="FW143" s="720"/>
      <c r="FX143" s="720"/>
      <c r="FY143" s="720"/>
      <c r="FZ143" s="720"/>
      <c r="GA143" s="720"/>
      <c r="GB143" s="720"/>
      <c r="GC143" s="720"/>
      <c r="GD143" s="720"/>
      <c r="GE143" s="720"/>
      <c r="GF143" s="720"/>
      <c r="GG143" s="720"/>
      <c r="GH143" s="720"/>
      <c r="GI143" s="720"/>
      <c r="GJ143" s="720"/>
      <c r="GK143" s="720"/>
      <c r="GL143" s="720"/>
      <c r="GM143" s="720"/>
      <c r="GN143" s="720"/>
      <c r="GO143" s="720"/>
      <c r="GP143" s="720"/>
      <c r="GQ143" s="720"/>
      <c r="GR143" s="720"/>
      <c r="GS143" s="720"/>
      <c r="GT143" s="720"/>
      <c r="GU143" s="720"/>
      <c r="GV143" s="720"/>
      <c r="GW143" s="720"/>
      <c r="GX143" s="720"/>
      <c r="GY143" s="720"/>
      <c r="GZ143" s="720"/>
      <c r="HA143" s="720"/>
      <c r="HB143" s="720"/>
      <c r="HC143" s="720"/>
      <c r="HD143" s="720"/>
      <c r="HE143" s="720"/>
      <c r="HF143" s="720"/>
      <c r="HG143" s="720"/>
      <c r="HH143" s="720"/>
      <c r="HI143" s="720"/>
      <c r="HJ143" s="720"/>
      <c r="HK143" s="720"/>
      <c r="HL143" s="720"/>
      <c r="HM143" s="720"/>
      <c r="HN143" s="720"/>
      <c r="HO143" s="720"/>
      <c r="HP143" s="720"/>
      <c r="HQ143" s="720"/>
      <c r="HR143" s="720"/>
      <c r="HS143" s="720"/>
      <c r="HT143" s="720"/>
      <c r="HU143" s="720"/>
      <c r="HV143" s="720"/>
      <c r="HW143" s="720"/>
      <c r="HX143" s="720"/>
      <c r="HY143" s="720"/>
      <c r="HZ143" s="720"/>
      <c r="IA143" s="720"/>
      <c r="IB143" s="720"/>
      <c r="IC143" s="720"/>
      <c r="ID143" s="720"/>
      <c r="IE143" s="720"/>
      <c r="IF143" s="720"/>
      <c r="IG143" s="720"/>
      <c r="IH143" s="720"/>
    </row>
    <row r="144" hidden="1" outlineLevel="1">
      <c r="A144" s="598"/>
      <c r="B144" s="598"/>
      <c r="C144" s="598"/>
      <c r="D144" s="598"/>
      <c r="E144" s="598"/>
      <c r="F144" s="598"/>
      <c r="G144" s="598"/>
      <c r="H144" s="598"/>
      <c r="I144" s="598"/>
      <c r="J144" s="598"/>
      <c r="K144" s="598"/>
      <c r="L144" s="598"/>
      <c r="M144" s="598"/>
      <c r="N144" s="598"/>
      <c r="O144" s="598"/>
      <c r="P144" s="598"/>
      <c r="Q144" s="598"/>
      <c r="R144" s="598"/>
      <c r="S144" s="598"/>
      <c r="T144" s="598"/>
      <c r="U144" s="598"/>
      <c r="V144" s="598"/>
      <c r="W144" s="598"/>
      <c r="X144" s="598"/>
      <c r="Y144" s="598"/>
      <c r="Z144" s="598"/>
      <c r="AA144" s="911"/>
      <c r="AB144" s="999"/>
      <c r="AC144" s="720" t="str">
        <f>IFERROR(__xludf.DUMMYFUNCTION("""COMPUTED_VALUE"""),"Range")</f>
        <v>Range</v>
      </c>
      <c r="AD144" s="913" t="s">
        <v>195</v>
      </c>
      <c r="AE144" s="720">
        <v>33.0</v>
      </c>
      <c r="AF144" s="720"/>
      <c r="AG144" s="720">
        <v>80.0</v>
      </c>
      <c r="AH144" s="1004">
        <f>IFERROR(__xludf.DUMMYFUNCTION("IFERROR(IF(C31 = """", SEQUENCE(1, VALUE(VLOOKUP(E31, AD:AG, 4, false)) - VALUE(VLOOKUP(E31, AD:AG, 2, false)), VALUE(VLOOKUP(E31, AD:AG, 2, false)) + 1),
    IF(ISBETWEEN(C31, VALUE(VLOOKUP(E31, AD:AG, 2, false)), VALUE(VLOOKUP(E31, AD:AG, 4, false))),
 "&amp;"       SEQUENCE(1, VALUE(VLOOKUP(E31, AD:AG, 4, false)) - C31, C31 + 1),
        """")))"),24.0)</f>
        <v>24</v>
      </c>
      <c r="AI144" s="720">
        <f>IFERROR(__xludf.DUMMYFUNCTION("""COMPUTED_VALUE"""),25.0)</f>
        <v>25</v>
      </c>
      <c r="AJ144" s="720">
        <f>IFERROR(__xludf.DUMMYFUNCTION("""COMPUTED_VALUE"""),26.0)</f>
        <v>26</v>
      </c>
      <c r="AK144" s="720">
        <f>IFERROR(__xludf.DUMMYFUNCTION("""COMPUTED_VALUE"""),27.0)</f>
        <v>27</v>
      </c>
      <c r="AL144" s="720">
        <f>IFERROR(__xludf.DUMMYFUNCTION("""COMPUTED_VALUE"""),28.0)</f>
        <v>28</v>
      </c>
      <c r="AM144" s="720">
        <f>IFERROR(__xludf.DUMMYFUNCTION("""COMPUTED_VALUE"""),29.0)</f>
        <v>29</v>
      </c>
      <c r="AN144" s="720">
        <f>IFERROR(__xludf.DUMMYFUNCTION("""COMPUTED_VALUE"""),30.0)</f>
        <v>30</v>
      </c>
      <c r="AO144" s="720"/>
      <c r="AP144" s="720"/>
      <c r="AQ144" s="720"/>
      <c r="AR144" s="720"/>
      <c r="AS144" s="720"/>
      <c r="AT144" s="720"/>
      <c r="AU144" s="720"/>
      <c r="AV144" s="720"/>
      <c r="AW144" s="720"/>
      <c r="AX144" s="720"/>
      <c r="AY144" s="720"/>
      <c r="AZ144" s="720"/>
      <c r="BA144" s="720"/>
      <c r="BB144" s="720"/>
      <c r="BC144" s="720"/>
      <c r="BD144" s="720"/>
      <c r="BE144" s="720"/>
      <c r="BF144" s="720"/>
      <c r="BG144" s="720"/>
      <c r="BH144" s="720"/>
      <c r="BI144" s="720"/>
      <c r="BJ144" s="720"/>
      <c r="BK144" s="720"/>
      <c r="BL144" s="720"/>
      <c r="BM144" s="720"/>
      <c r="BN144" s="720"/>
      <c r="BO144" s="720"/>
      <c r="BP144" s="720"/>
      <c r="BQ144" s="720"/>
      <c r="BR144" s="720"/>
      <c r="BS144" s="720"/>
      <c r="BT144" s="720"/>
      <c r="BU144" s="720"/>
      <c r="BV144" s="720"/>
      <c r="BW144" s="720"/>
      <c r="BX144" s="720"/>
      <c r="BY144" s="720"/>
      <c r="BZ144" s="720"/>
      <c r="CA144" s="720"/>
      <c r="CB144" s="720"/>
      <c r="CC144" s="720"/>
      <c r="CD144" s="720"/>
      <c r="CE144" s="720"/>
      <c r="CF144" s="720"/>
      <c r="CG144" s="720"/>
      <c r="CH144" s="720"/>
      <c r="CI144" s="720"/>
      <c r="CJ144" s="720"/>
      <c r="CK144" s="720"/>
      <c r="CL144" s="720"/>
      <c r="CM144" s="720"/>
      <c r="CN144" s="720"/>
      <c r="CO144" s="720"/>
      <c r="CP144" s="720"/>
      <c r="CQ144" s="720"/>
      <c r="CR144" s="720"/>
      <c r="CS144" s="720"/>
      <c r="CT144" s="720"/>
      <c r="CU144" s="720"/>
      <c r="CV144" s="720"/>
      <c r="CW144" s="720"/>
      <c r="CX144" s="720"/>
      <c r="CY144" s="720"/>
      <c r="CZ144" s="720"/>
      <c r="DA144" s="720"/>
      <c r="DB144" s="720"/>
      <c r="DC144" s="720"/>
      <c r="DD144" s="720"/>
      <c r="DE144" s="720"/>
      <c r="DF144" s="720"/>
      <c r="DG144" s="720"/>
      <c r="DH144" s="720"/>
      <c r="DI144" s="720"/>
      <c r="DJ144" s="720"/>
      <c r="DK144" s="720"/>
      <c r="DL144" s="720"/>
      <c r="DM144" s="720"/>
      <c r="DN144" s="720"/>
      <c r="DO144" s="720"/>
      <c r="DP144" s="720"/>
      <c r="DQ144" s="720"/>
      <c r="DR144" s="720"/>
      <c r="DS144" s="720"/>
      <c r="DT144" s="720"/>
      <c r="DU144" s="720"/>
      <c r="DV144" s="720"/>
      <c r="DW144" s="720"/>
      <c r="DX144" s="720"/>
      <c r="DY144" s="720"/>
      <c r="DZ144" s="720"/>
      <c r="EA144" s="720"/>
      <c r="EB144" s="720"/>
      <c r="EC144" s="720"/>
      <c r="ED144" s="720"/>
      <c r="EE144" s="720"/>
      <c r="EF144" s="720"/>
      <c r="EG144" s="720"/>
      <c r="EH144" s="720"/>
      <c r="EI144" s="720"/>
      <c r="EJ144" s="720"/>
      <c r="EK144" s="720"/>
      <c r="EL144" s="720"/>
      <c r="EM144" s="720"/>
      <c r="EN144" s="720"/>
      <c r="EO144" s="720"/>
      <c r="EP144" s="720"/>
      <c r="EQ144" s="720"/>
      <c r="ER144" s="720"/>
      <c r="ES144" s="720"/>
      <c r="ET144" s="720"/>
      <c r="EU144" s="720"/>
      <c r="EV144" s="720"/>
      <c r="EW144" s="720"/>
      <c r="EX144" s="720"/>
      <c r="EY144" s="720"/>
      <c r="EZ144" s="720"/>
      <c r="FA144" s="720"/>
      <c r="FB144" s="720"/>
      <c r="FC144" s="720"/>
      <c r="FD144" s="720"/>
      <c r="FE144" s="720"/>
      <c r="FF144" s="720"/>
      <c r="FG144" s="720"/>
      <c r="FH144" s="720"/>
      <c r="FI144" s="720"/>
      <c r="FJ144" s="720"/>
      <c r="FK144" s="720"/>
      <c r="FL144" s="720"/>
      <c r="FM144" s="720"/>
      <c r="FN144" s="720"/>
      <c r="FO144" s="720"/>
      <c r="FP144" s="720"/>
      <c r="FQ144" s="720"/>
      <c r="FR144" s="720"/>
      <c r="FS144" s="720"/>
      <c r="FT144" s="720"/>
      <c r="FU144" s="720"/>
      <c r="FV144" s="720"/>
      <c r="FW144" s="720"/>
      <c r="FX144" s="720"/>
      <c r="FY144" s="720"/>
      <c r="FZ144" s="720"/>
      <c r="GA144" s="720"/>
      <c r="GB144" s="720"/>
      <c r="GC144" s="720"/>
      <c r="GD144" s="720"/>
      <c r="GE144" s="720"/>
      <c r="GF144" s="720"/>
      <c r="GG144" s="720"/>
      <c r="GH144" s="720"/>
      <c r="GI144" s="720"/>
      <c r="GJ144" s="720"/>
      <c r="GK144" s="720"/>
      <c r="GL144" s="720"/>
      <c r="GM144" s="720"/>
      <c r="GN144" s="720"/>
      <c r="GO144" s="720"/>
      <c r="GP144" s="720"/>
      <c r="GQ144" s="720"/>
      <c r="GR144" s="720"/>
      <c r="GS144" s="720"/>
      <c r="GT144" s="720"/>
      <c r="GU144" s="720"/>
      <c r="GV144" s="720"/>
      <c r="GW144" s="720"/>
      <c r="GX144" s="720"/>
      <c r="GY144" s="720"/>
      <c r="GZ144" s="720"/>
      <c r="HA144" s="720"/>
      <c r="HB144" s="720"/>
      <c r="HC144" s="720"/>
      <c r="HD144" s="720"/>
      <c r="HE144" s="720"/>
      <c r="HF144" s="720"/>
      <c r="HG144" s="720"/>
      <c r="HH144" s="720"/>
      <c r="HI144" s="720"/>
      <c r="HJ144" s="720"/>
      <c r="HK144" s="720"/>
      <c r="HL144" s="720"/>
      <c r="HM144" s="720"/>
      <c r="HN144" s="720"/>
      <c r="HO144" s="720"/>
      <c r="HP144" s="720"/>
      <c r="HQ144" s="720"/>
      <c r="HR144" s="720"/>
      <c r="HS144" s="720"/>
      <c r="HT144" s="720"/>
      <c r="HU144" s="720"/>
      <c r="HV144" s="720"/>
      <c r="HW144" s="720"/>
      <c r="HX144" s="720"/>
      <c r="HY144" s="720"/>
      <c r="HZ144" s="720"/>
      <c r="IA144" s="720"/>
      <c r="IB144" s="720"/>
      <c r="IC144" s="720"/>
      <c r="ID144" s="720"/>
      <c r="IE144" s="720"/>
      <c r="IF144" s="720"/>
      <c r="IG144" s="720"/>
      <c r="IH144" s="720"/>
    </row>
    <row r="145" hidden="1" outlineLevel="1">
      <c r="A145" s="598"/>
      <c r="B145" s="598"/>
      <c r="C145" s="598"/>
      <c r="D145" s="598"/>
      <c r="E145" s="598"/>
      <c r="F145" s="598"/>
      <c r="G145" s="598"/>
      <c r="H145" s="598"/>
      <c r="I145" s="598"/>
      <c r="J145" s="598"/>
      <c r="K145" s="598"/>
      <c r="L145" s="598"/>
      <c r="M145" s="598"/>
      <c r="N145" s="598"/>
      <c r="O145" s="598"/>
      <c r="P145" s="598"/>
      <c r="Q145" s="598"/>
      <c r="R145" s="598"/>
      <c r="S145" s="598"/>
      <c r="T145" s="598"/>
      <c r="U145" s="598"/>
      <c r="V145" s="598"/>
      <c r="W145" s="598"/>
      <c r="X145" s="598"/>
      <c r="Y145" s="598"/>
      <c r="Z145" s="598"/>
      <c r="AA145" s="911"/>
      <c r="AB145" s="999"/>
      <c r="AC145" s="720" t="str">
        <f>IFERROR(__xludf.DUMMYFUNCTION("""COMPUTED_VALUE"""),"Range Mastery")</f>
        <v>Range Mastery</v>
      </c>
      <c r="AD145" s="914" t="s">
        <v>304</v>
      </c>
      <c r="AE145" s="720">
        <v>0.0</v>
      </c>
      <c r="AF145" s="720"/>
      <c r="AG145" s="720">
        <v>9.0</v>
      </c>
      <c r="AH145" s="1004" t="str">
        <f>IFERROR(__xludf.DUMMYFUNCTION("IFERROR(IF(C32 = """", SEQUENCE(1, VALUE(VLOOKUP(E32, AD:AG, 4, false)) - VALUE(VLOOKUP(E32, AD:AG, 2, false)), VALUE(VLOOKUP(E32, AD:AG, 2, false)) + 1),
    IF(ISBETWEEN(C32, VALUE(VLOOKUP(E32, AD:AG, 2, false)), VALUE(VLOOKUP(E32, AD:AG, 4, false))),
 "&amp;"       SEQUENCE(1, VALUE(VLOOKUP(E32, AD:AG, 4, false)) - C32, C32 + 1),
        """")))"),"")</f>
        <v/>
      </c>
      <c r="AI145" s="720"/>
      <c r="AJ145" s="720"/>
      <c r="AK145" s="720"/>
      <c r="AL145" s="720"/>
      <c r="AM145" s="720"/>
      <c r="AN145" s="720"/>
      <c r="AO145" s="720"/>
      <c r="AP145" s="720"/>
      <c r="AQ145" s="720"/>
      <c r="AR145" s="720"/>
      <c r="AS145" s="720"/>
      <c r="AT145" s="720"/>
      <c r="AU145" s="720"/>
      <c r="AV145" s="720"/>
      <c r="AW145" s="720"/>
      <c r="AX145" s="720"/>
      <c r="AY145" s="720"/>
      <c r="AZ145" s="720"/>
      <c r="BA145" s="720"/>
      <c r="BB145" s="720"/>
      <c r="BC145" s="720"/>
      <c r="BD145" s="720"/>
      <c r="BE145" s="720"/>
      <c r="BF145" s="720"/>
      <c r="BG145" s="720"/>
      <c r="BH145" s="720"/>
      <c r="BI145" s="720"/>
      <c r="BJ145" s="720"/>
      <c r="BK145" s="720"/>
      <c r="BL145" s="720"/>
      <c r="BM145" s="720"/>
      <c r="BN145" s="720"/>
      <c r="BO145" s="720"/>
      <c r="BP145" s="720"/>
      <c r="BQ145" s="720"/>
      <c r="BR145" s="720"/>
      <c r="BS145" s="720"/>
      <c r="BT145" s="720"/>
      <c r="BU145" s="720"/>
      <c r="BV145" s="720"/>
      <c r="BW145" s="720"/>
      <c r="BX145" s="720"/>
      <c r="BY145" s="720"/>
      <c r="BZ145" s="720"/>
      <c r="CA145" s="720"/>
      <c r="CB145" s="720"/>
      <c r="CC145" s="720"/>
      <c r="CD145" s="720"/>
      <c r="CE145" s="720"/>
      <c r="CF145" s="720"/>
      <c r="CG145" s="720"/>
      <c r="CH145" s="720"/>
      <c r="CI145" s="720"/>
      <c r="CJ145" s="720"/>
      <c r="CK145" s="720"/>
      <c r="CL145" s="720"/>
      <c r="CM145" s="720"/>
      <c r="CN145" s="720"/>
      <c r="CO145" s="720"/>
      <c r="CP145" s="720"/>
      <c r="CQ145" s="720"/>
      <c r="CR145" s="720"/>
      <c r="CS145" s="720"/>
      <c r="CT145" s="720"/>
      <c r="CU145" s="720"/>
      <c r="CV145" s="720"/>
      <c r="CW145" s="720"/>
      <c r="CX145" s="720"/>
      <c r="CY145" s="720"/>
      <c r="CZ145" s="720"/>
      <c r="DA145" s="720"/>
      <c r="DB145" s="720"/>
      <c r="DC145" s="720"/>
      <c r="DD145" s="720"/>
      <c r="DE145" s="720"/>
      <c r="DF145" s="720"/>
      <c r="DG145" s="720"/>
      <c r="DH145" s="720"/>
      <c r="DI145" s="720"/>
      <c r="DJ145" s="720"/>
      <c r="DK145" s="720"/>
      <c r="DL145" s="720"/>
      <c r="DM145" s="720"/>
      <c r="DN145" s="720"/>
      <c r="DO145" s="720"/>
      <c r="DP145" s="720"/>
      <c r="DQ145" s="720"/>
      <c r="DR145" s="720"/>
      <c r="DS145" s="720"/>
      <c r="DT145" s="720"/>
      <c r="DU145" s="720"/>
      <c r="DV145" s="720"/>
      <c r="DW145" s="720"/>
      <c r="DX145" s="720"/>
      <c r="DY145" s="720"/>
      <c r="DZ145" s="720"/>
      <c r="EA145" s="720"/>
      <c r="EB145" s="720"/>
      <c r="EC145" s="720"/>
      <c r="ED145" s="720"/>
      <c r="EE145" s="720"/>
      <c r="EF145" s="720"/>
      <c r="EG145" s="720"/>
      <c r="EH145" s="720"/>
      <c r="EI145" s="720"/>
      <c r="EJ145" s="720"/>
      <c r="EK145" s="720"/>
      <c r="EL145" s="720"/>
      <c r="EM145" s="720"/>
      <c r="EN145" s="720"/>
      <c r="EO145" s="720"/>
      <c r="EP145" s="720"/>
      <c r="EQ145" s="720"/>
      <c r="ER145" s="720"/>
      <c r="ES145" s="720"/>
      <c r="ET145" s="720"/>
      <c r="EU145" s="720"/>
      <c r="EV145" s="720"/>
      <c r="EW145" s="720"/>
      <c r="EX145" s="720"/>
      <c r="EY145" s="720"/>
      <c r="EZ145" s="720"/>
      <c r="FA145" s="720"/>
      <c r="FB145" s="720"/>
      <c r="FC145" s="720"/>
      <c r="FD145" s="720"/>
      <c r="FE145" s="720"/>
      <c r="FF145" s="720"/>
      <c r="FG145" s="720"/>
      <c r="FH145" s="720"/>
      <c r="FI145" s="720"/>
      <c r="FJ145" s="720"/>
      <c r="FK145" s="720"/>
      <c r="FL145" s="720"/>
      <c r="FM145" s="720"/>
      <c r="FN145" s="720"/>
      <c r="FO145" s="720"/>
      <c r="FP145" s="720"/>
      <c r="FQ145" s="720"/>
      <c r="FR145" s="720"/>
      <c r="FS145" s="720"/>
      <c r="FT145" s="720"/>
      <c r="FU145" s="720"/>
      <c r="FV145" s="720"/>
      <c r="FW145" s="720"/>
      <c r="FX145" s="720"/>
      <c r="FY145" s="720"/>
      <c r="FZ145" s="720"/>
      <c r="GA145" s="720"/>
      <c r="GB145" s="720"/>
      <c r="GC145" s="720"/>
      <c r="GD145" s="720"/>
      <c r="GE145" s="720"/>
      <c r="GF145" s="720"/>
      <c r="GG145" s="720"/>
      <c r="GH145" s="720"/>
      <c r="GI145" s="720"/>
      <c r="GJ145" s="720"/>
      <c r="GK145" s="720"/>
      <c r="GL145" s="720"/>
      <c r="GM145" s="720"/>
      <c r="GN145" s="720"/>
      <c r="GO145" s="720"/>
      <c r="GP145" s="720"/>
      <c r="GQ145" s="720"/>
      <c r="GR145" s="720"/>
      <c r="GS145" s="720"/>
      <c r="GT145" s="720"/>
      <c r="GU145" s="720"/>
      <c r="GV145" s="720"/>
      <c r="GW145" s="720"/>
      <c r="GX145" s="720"/>
      <c r="GY145" s="720"/>
      <c r="GZ145" s="720"/>
      <c r="HA145" s="720"/>
      <c r="HB145" s="720"/>
      <c r="HC145" s="720"/>
      <c r="HD145" s="720"/>
      <c r="HE145" s="720"/>
      <c r="HF145" s="720"/>
      <c r="HG145" s="720"/>
      <c r="HH145" s="720"/>
      <c r="HI145" s="720"/>
      <c r="HJ145" s="720"/>
      <c r="HK145" s="720"/>
      <c r="HL145" s="720"/>
      <c r="HM145" s="720"/>
      <c r="HN145" s="720"/>
      <c r="HO145" s="720"/>
      <c r="HP145" s="720"/>
      <c r="HQ145" s="720"/>
      <c r="HR145" s="720"/>
      <c r="HS145" s="720"/>
      <c r="HT145" s="720"/>
      <c r="HU145" s="720"/>
      <c r="HV145" s="720"/>
      <c r="HW145" s="720"/>
      <c r="HX145" s="720"/>
      <c r="HY145" s="720"/>
      <c r="HZ145" s="720"/>
      <c r="IA145" s="720"/>
      <c r="IB145" s="720"/>
      <c r="IC145" s="720"/>
      <c r="ID145" s="720"/>
      <c r="IE145" s="720"/>
      <c r="IF145" s="720"/>
      <c r="IG145" s="720"/>
      <c r="IH145" s="720"/>
    </row>
    <row r="146" hidden="1" outlineLevel="1">
      <c r="A146" s="598"/>
      <c r="B146" s="598"/>
      <c r="C146" s="598"/>
      <c r="D146" s="598"/>
      <c r="E146" s="598"/>
      <c r="F146" s="598"/>
      <c r="G146" s="598"/>
      <c r="H146" s="598"/>
      <c r="I146" s="598"/>
      <c r="J146" s="598"/>
      <c r="K146" s="598"/>
      <c r="L146" s="598"/>
      <c r="M146" s="598"/>
      <c r="N146" s="598"/>
      <c r="O146" s="598"/>
      <c r="P146" s="598"/>
      <c r="Q146" s="598"/>
      <c r="R146" s="598"/>
      <c r="S146" s="598"/>
      <c r="T146" s="598"/>
      <c r="U146" s="598"/>
      <c r="V146" s="598"/>
      <c r="W146" s="598"/>
      <c r="X146" s="598"/>
      <c r="Y146" s="598"/>
      <c r="Z146" s="598"/>
      <c r="AA146" s="911"/>
      <c r="AB146" s="999"/>
      <c r="AC146" s="720" t="str">
        <f>IFERROR(__xludf.DUMMYFUNCTION("""COMPUTED_VALUE"""),"Ranged Enemy Attack")</f>
        <v>Ranged Enemy Attack</v>
      </c>
      <c r="AD146" s="913" t="s">
        <v>267</v>
      </c>
      <c r="AE146" s="720">
        <v>0.0</v>
      </c>
      <c r="AF146" s="720"/>
      <c r="AG146" s="720">
        <v>30.0</v>
      </c>
      <c r="AH146" s="1004" t="str">
        <f>IFERROR(__xludf.DUMMYFUNCTION("IFERROR(IF(C33 = """", SEQUENCE(1, VALUE(VLOOKUP(E33, AD:AG, 4, false)) - VALUE(VLOOKUP(E33, AD:AG, 2, false)), VALUE(VLOOKUP(E33, AD:AG, 2, false)) + 1),
    IF(ISBETWEEN(C33, VALUE(VLOOKUP(E33, AD:AG, 2, false)), VALUE(VLOOKUP(E33, AD:AG, 4, false))),
 "&amp;"       SEQUENCE(1, VALUE(VLOOKUP(E33, AD:AG, 4, false)) - C33, C33 + 1),
        """")))"),"")</f>
        <v/>
      </c>
      <c r="AI146" s="720"/>
      <c r="AJ146" s="720"/>
      <c r="AK146" s="720"/>
      <c r="AL146" s="720"/>
      <c r="AM146" s="720"/>
      <c r="AN146" s="720"/>
      <c r="AO146" s="720"/>
      <c r="AP146" s="720"/>
      <c r="AQ146" s="720"/>
      <c r="AR146" s="720"/>
      <c r="AS146" s="720"/>
      <c r="AT146" s="720"/>
      <c r="AU146" s="720"/>
      <c r="AV146" s="720"/>
      <c r="AW146" s="720"/>
      <c r="AX146" s="720"/>
      <c r="AY146" s="720"/>
      <c r="AZ146" s="720"/>
      <c r="BA146" s="720"/>
      <c r="BB146" s="720"/>
      <c r="BC146" s="720"/>
      <c r="BD146" s="720"/>
      <c r="BE146" s="720"/>
      <c r="BF146" s="720"/>
      <c r="BG146" s="720"/>
      <c r="BH146" s="720"/>
      <c r="BI146" s="720"/>
      <c r="BJ146" s="720"/>
      <c r="BK146" s="720"/>
      <c r="BL146" s="720"/>
      <c r="BM146" s="720"/>
      <c r="BN146" s="720"/>
      <c r="BO146" s="720"/>
      <c r="BP146" s="720"/>
      <c r="BQ146" s="720"/>
      <c r="BR146" s="720"/>
      <c r="BS146" s="720"/>
      <c r="BT146" s="720"/>
      <c r="BU146" s="720"/>
      <c r="BV146" s="720"/>
      <c r="BW146" s="720"/>
      <c r="BX146" s="720"/>
      <c r="BY146" s="720"/>
      <c r="BZ146" s="720"/>
      <c r="CA146" s="720"/>
      <c r="CB146" s="720"/>
      <c r="CC146" s="720"/>
      <c r="CD146" s="720"/>
      <c r="CE146" s="720"/>
      <c r="CF146" s="720"/>
      <c r="CG146" s="720"/>
      <c r="CH146" s="720"/>
      <c r="CI146" s="720"/>
      <c r="CJ146" s="720"/>
      <c r="CK146" s="720"/>
      <c r="CL146" s="720"/>
      <c r="CM146" s="720"/>
      <c r="CN146" s="720"/>
      <c r="CO146" s="720"/>
      <c r="CP146" s="720"/>
      <c r="CQ146" s="720"/>
      <c r="CR146" s="720"/>
      <c r="CS146" s="720"/>
      <c r="CT146" s="720"/>
      <c r="CU146" s="720"/>
      <c r="CV146" s="720"/>
      <c r="CW146" s="720"/>
      <c r="CX146" s="720"/>
      <c r="CY146" s="720"/>
      <c r="CZ146" s="720"/>
      <c r="DA146" s="720"/>
      <c r="DB146" s="720"/>
      <c r="DC146" s="720"/>
      <c r="DD146" s="720"/>
      <c r="DE146" s="720"/>
      <c r="DF146" s="720"/>
      <c r="DG146" s="720"/>
      <c r="DH146" s="720"/>
      <c r="DI146" s="720"/>
      <c r="DJ146" s="720"/>
      <c r="DK146" s="720"/>
      <c r="DL146" s="720"/>
      <c r="DM146" s="720"/>
      <c r="DN146" s="720"/>
      <c r="DO146" s="720"/>
      <c r="DP146" s="720"/>
      <c r="DQ146" s="720"/>
      <c r="DR146" s="720"/>
      <c r="DS146" s="720"/>
      <c r="DT146" s="720"/>
      <c r="DU146" s="720"/>
      <c r="DV146" s="720"/>
      <c r="DW146" s="720"/>
      <c r="DX146" s="720"/>
      <c r="DY146" s="720"/>
      <c r="DZ146" s="720"/>
      <c r="EA146" s="720"/>
      <c r="EB146" s="720"/>
      <c r="EC146" s="720"/>
      <c r="ED146" s="720"/>
      <c r="EE146" s="720"/>
      <c r="EF146" s="720"/>
      <c r="EG146" s="720"/>
      <c r="EH146" s="720"/>
      <c r="EI146" s="720"/>
      <c r="EJ146" s="720"/>
      <c r="EK146" s="720"/>
      <c r="EL146" s="720"/>
      <c r="EM146" s="720"/>
      <c r="EN146" s="720"/>
      <c r="EO146" s="720"/>
      <c r="EP146" s="720"/>
      <c r="EQ146" s="720"/>
      <c r="ER146" s="720"/>
      <c r="ES146" s="720"/>
      <c r="ET146" s="720"/>
      <c r="EU146" s="720"/>
      <c r="EV146" s="720"/>
      <c r="EW146" s="720"/>
      <c r="EX146" s="720"/>
      <c r="EY146" s="720"/>
      <c r="EZ146" s="720"/>
      <c r="FA146" s="720"/>
      <c r="FB146" s="720"/>
      <c r="FC146" s="720"/>
      <c r="FD146" s="720"/>
      <c r="FE146" s="720"/>
      <c r="FF146" s="720"/>
      <c r="FG146" s="720"/>
      <c r="FH146" s="720"/>
      <c r="FI146" s="720"/>
      <c r="FJ146" s="720"/>
      <c r="FK146" s="720"/>
      <c r="FL146" s="720"/>
      <c r="FM146" s="720"/>
      <c r="FN146" s="720"/>
      <c r="FO146" s="720"/>
      <c r="FP146" s="720"/>
      <c r="FQ146" s="720"/>
      <c r="FR146" s="720"/>
      <c r="FS146" s="720"/>
      <c r="FT146" s="720"/>
      <c r="FU146" s="720"/>
      <c r="FV146" s="720"/>
      <c r="FW146" s="720"/>
      <c r="FX146" s="720"/>
      <c r="FY146" s="720"/>
      <c r="FZ146" s="720"/>
      <c r="GA146" s="720"/>
      <c r="GB146" s="720"/>
      <c r="GC146" s="720"/>
      <c r="GD146" s="720"/>
      <c r="GE146" s="720"/>
      <c r="GF146" s="720"/>
      <c r="GG146" s="720"/>
      <c r="GH146" s="720"/>
      <c r="GI146" s="720"/>
      <c r="GJ146" s="720"/>
      <c r="GK146" s="720"/>
      <c r="GL146" s="720"/>
      <c r="GM146" s="720"/>
      <c r="GN146" s="720"/>
      <c r="GO146" s="720"/>
      <c r="GP146" s="720"/>
      <c r="GQ146" s="720"/>
      <c r="GR146" s="720"/>
      <c r="GS146" s="720"/>
      <c r="GT146" s="720"/>
      <c r="GU146" s="720"/>
      <c r="GV146" s="720"/>
      <c r="GW146" s="720"/>
      <c r="GX146" s="720"/>
      <c r="GY146" s="720"/>
      <c r="GZ146" s="720"/>
      <c r="HA146" s="720"/>
      <c r="HB146" s="720"/>
      <c r="HC146" s="720"/>
      <c r="HD146" s="720"/>
      <c r="HE146" s="720"/>
      <c r="HF146" s="720"/>
      <c r="HG146" s="720"/>
      <c r="HH146" s="720"/>
      <c r="HI146" s="720"/>
      <c r="HJ146" s="720"/>
      <c r="HK146" s="720"/>
      <c r="HL146" s="720"/>
      <c r="HM146" s="720"/>
      <c r="HN146" s="720"/>
      <c r="HO146" s="720"/>
      <c r="HP146" s="720"/>
      <c r="HQ146" s="720"/>
      <c r="HR146" s="720"/>
      <c r="HS146" s="720"/>
      <c r="HT146" s="720"/>
      <c r="HU146" s="720"/>
      <c r="HV146" s="720"/>
      <c r="HW146" s="720"/>
      <c r="HX146" s="720"/>
      <c r="HY146" s="720"/>
      <c r="HZ146" s="720"/>
      <c r="IA146" s="720"/>
      <c r="IB146" s="720"/>
      <c r="IC146" s="720"/>
      <c r="ID146" s="720"/>
      <c r="IE146" s="720"/>
      <c r="IF146" s="720"/>
      <c r="IG146" s="720"/>
      <c r="IH146" s="720"/>
    </row>
    <row r="147" hidden="1" outlineLevel="1">
      <c r="A147" s="598"/>
      <c r="B147" s="598"/>
      <c r="C147" s="598"/>
      <c r="D147" s="598"/>
      <c r="E147" s="598"/>
      <c r="F147" s="598"/>
      <c r="G147" s="598"/>
      <c r="H147" s="598"/>
      <c r="I147" s="598"/>
      <c r="J147" s="598"/>
      <c r="K147" s="598"/>
      <c r="L147" s="598"/>
      <c r="M147" s="598"/>
      <c r="N147" s="598"/>
      <c r="O147" s="598"/>
      <c r="P147" s="598"/>
      <c r="Q147" s="598"/>
      <c r="R147" s="598"/>
      <c r="S147" s="598"/>
      <c r="T147" s="598"/>
      <c r="U147" s="598"/>
      <c r="V147" s="598"/>
      <c r="W147" s="598"/>
      <c r="X147" s="598"/>
      <c r="Y147" s="598"/>
      <c r="Z147" s="598"/>
      <c r="AA147" s="911"/>
      <c r="AB147" s="999"/>
      <c r="AC147" s="720" t="str">
        <f>IFERROR(__xludf.DUMMYFUNCTION("""COMPUTED_VALUE"""),"Ranged Enemy Health")</f>
        <v>Ranged Enemy Health</v>
      </c>
      <c r="AD147" s="913" t="s">
        <v>257</v>
      </c>
      <c r="AE147" s="720">
        <v>0.0</v>
      </c>
      <c r="AF147" s="720"/>
      <c r="AG147" s="720">
        <v>30.0</v>
      </c>
      <c r="AH147" s="1004" t="str">
        <f>IFERROR(__xludf.DUMMYFUNCTION("IFERROR(IF(C34 = """", SEQUENCE(1, VALUE(VLOOKUP(E34, AD:AG, 4, false)) - VALUE(VLOOKUP(E34, AD:AG, 2, false)), VALUE(VLOOKUP(E34, AD:AG, 2, false)) + 1),
    IF(ISBETWEEN(C34, VALUE(VLOOKUP(E34, AD:AG, 2, false)), VALUE(VLOOKUP(E34, AD:AG, 4, false))),
 "&amp;"       SEQUENCE(1, VALUE(VLOOKUP(E34, AD:AG, 4, false)) - C34, C34 + 1),
        """")))"),"")</f>
        <v/>
      </c>
      <c r="AI147" s="720"/>
      <c r="AJ147" s="720"/>
      <c r="AK147" s="720"/>
      <c r="AL147" s="720"/>
      <c r="AM147" s="720"/>
      <c r="AN147" s="720"/>
      <c r="AO147" s="720"/>
      <c r="AP147" s="720"/>
      <c r="AQ147" s="720"/>
      <c r="AR147" s="720"/>
      <c r="AS147" s="720"/>
      <c r="AT147" s="720"/>
      <c r="AU147" s="720"/>
      <c r="AV147" s="720"/>
      <c r="AW147" s="720"/>
      <c r="AX147" s="720"/>
      <c r="AY147" s="720"/>
      <c r="AZ147" s="720"/>
      <c r="BA147" s="720"/>
      <c r="BB147" s="720"/>
      <c r="BC147" s="720"/>
      <c r="BD147" s="720"/>
      <c r="BE147" s="720"/>
      <c r="BF147" s="720"/>
      <c r="BG147" s="720"/>
      <c r="BH147" s="720"/>
      <c r="BI147" s="720"/>
      <c r="BJ147" s="720"/>
      <c r="BK147" s="720"/>
      <c r="BL147" s="720"/>
      <c r="BM147" s="720"/>
      <c r="BN147" s="720"/>
      <c r="BO147" s="720"/>
      <c r="BP147" s="720"/>
      <c r="BQ147" s="720"/>
      <c r="BR147" s="720"/>
      <c r="BS147" s="720"/>
      <c r="BT147" s="720"/>
      <c r="BU147" s="720"/>
      <c r="BV147" s="720"/>
      <c r="BW147" s="720"/>
      <c r="BX147" s="720"/>
      <c r="BY147" s="720"/>
      <c r="BZ147" s="720"/>
      <c r="CA147" s="720"/>
      <c r="CB147" s="720"/>
      <c r="CC147" s="720"/>
      <c r="CD147" s="720"/>
      <c r="CE147" s="720"/>
      <c r="CF147" s="720"/>
      <c r="CG147" s="720"/>
      <c r="CH147" s="720"/>
      <c r="CI147" s="720"/>
      <c r="CJ147" s="720"/>
      <c r="CK147" s="720"/>
      <c r="CL147" s="720"/>
      <c r="CM147" s="720"/>
      <c r="CN147" s="720"/>
      <c r="CO147" s="720"/>
      <c r="CP147" s="720"/>
      <c r="CQ147" s="720"/>
      <c r="CR147" s="720"/>
      <c r="CS147" s="720"/>
      <c r="CT147" s="720"/>
      <c r="CU147" s="720"/>
      <c r="CV147" s="720"/>
      <c r="CW147" s="720"/>
      <c r="CX147" s="720"/>
      <c r="CY147" s="720"/>
      <c r="CZ147" s="720"/>
      <c r="DA147" s="720"/>
      <c r="DB147" s="720"/>
      <c r="DC147" s="720"/>
      <c r="DD147" s="720"/>
      <c r="DE147" s="720"/>
      <c r="DF147" s="720"/>
      <c r="DG147" s="720"/>
      <c r="DH147" s="720"/>
      <c r="DI147" s="720"/>
      <c r="DJ147" s="720"/>
      <c r="DK147" s="720"/>
      <c r="DL147" s="720"/>
      <c r="DM147" s="720"/>
      <c r="DN147" s="720"/>
      <c r="DO147" s="720"/>
      <c r="DP147" s="720"/>
      <c r="DQ147" s="720"/>
      <c r="DR147" s="720"/>
      <c r="DS147" s="720"/>
      <c r="DT147" s="720"/>
      <c r="DU147" s="720"/>
      <c r="DV147" s="720"/>
      <c r="DW147" s="720"/>
      <c r="DX147" s="720"/>
      <c r="DY147" s="720"/>
      <c r="DZ147" s="720"/>
      <c r="EA147" s="720"/>
      <c r="EB147" s="720"/>
      <c r="EC147" s="720"/>
      <c r="ED147" s="720"/>
      <c r="EE147" s="720"/>
      <c r="EF147" s="720"/>
      <c r="EG147" s="720"/>
      <c r="EH147" s="720"/>
      <c r="EI147" s="720"/>
      <c r="EJ147" s="720"/>
      <c r="EK147" s="720"/>
      <c r="EL147" s="720"/>
      <c r="EM147" s="720"/>
      <c r="EN147" s="720"/>
      <c r="EO147" s="720"/>
      <c r="EP147" s="720"/>
      <c r="EQ147" s="720"/>
      <c r="ER147" s="720"/>
      <c r="ES147" s="720"/>
      <c r="ET147" s="720"/>
      <c r="EU147" s="720"/>
      <c r="EV147" s="720"/>
      <c r="EW147" s="720"/>
      <c r="EX147" s="720"/>
      <c r="EY147" s="720"/>
      <c r="EZ147" s="720"/>
      <c r="FA147" s="720"/>
      <c r="FB147" s="720"/>
      <c r="FC147" s="720"/>
      <c r="FD147" s="720"/>
      <c r="FE147" s="720"/>
      <c r="FF147" s="720"/>
      <c r="FG147" s="720"/>
      <c r="FH147" s="720"/>
      <c r="FI147" s="720"/>
      <c r="FJ147" s="720"/>
      <c r="FK147" s="720"/>
      <c r="FL147" s="720"/>
      <c r="FM147" s="720"/>
      <c r="FN147" s="720"/>
      <c r="FO147" s="720"/>
      <c r="FP147" s="720"/>
      <c r="FQ147" s="720"/>
      <c r="FR147" s="720"/>
      <c r="FS147" s="720"/>
      <c r="FT147" s="720"/>
      <c r="FU147" s="720"/>
      <c r="FV147" s="720"/>
      <c r="FW147" s="720"/>
      <c r="FX147" s="720"/>
      <c r="FY147" s="720"/>
      <c r="FZ147" s="720"/>
      <c r="GA147" s="720"/>
      <c r="GB147" s="720"/>
      <c r="GC147" s="720"/>
      <c r="GD147" s="720"/>
      <c r="GE147" s="720"/>
      <c r="GF147" s="720"/>
      <c r="GG147" s="720"/>
      <c r="GH147" s="720"/>
      <c r="GI147" s="720"/>
      <c r="GJ147" s="720"/>
      <c r="GK147" s="720"/>
      <c r="GL147" s="720"/>
      <c r="GM147" s="720"/>
      <c r="GN147" s="720"/>
      <c r="GO147" s="720"/>
      <c r="GP147" s="720"/>
      <c r="GQ147" s="720"/>
      <c r="GR147" s="720"/>
      <c r="GS147" s="720"/>
      <c r="GT147" s="720"/>
      <c r="GU147" s="720"/>
      <c r="GV147" s="720"/>
      <c r="GW147" s="720"/>
      <c r="GX147" s="720"/>
      <c r="GY147" s="720"/>
      <c r="GZ147" s="720"/>
      <c r="HA147" s="720"/>
      <c r="HB147" s="720"/>
      <c r="HC147" s="720"/>
      <c r="HD147" s="720"/>
      <c r="HE147" s="720"/>
      <c r="HF147" s="720"/>
      <c r="HG147" s="720"/>
      <c r="HH147" s="720"/>
      <c r="HI147" s="720"/>
      <c r="HJ147" s="720"/>
      <c r="HK147" s="720"/>
      <c r="HL147" s="720"/>
      <c r="HM147" s="720"/>
      <c r="HN147" s="720"/>
      <c r="HO147" s="720"/>
      <c r="HP147" s="720"/>
      <c r="HQ147" s="720"/>
      <c r="HR147" s="720"/>
      <c r="HS147" s="720"/>
      <c r="HT147" s="720"/>
      <c r="HU147" s="720"/>
      <c r="HV147" s="720"/>
      <c r="HW147" s="720"/>
      <c r="HX147" s="720"/>
      <c r="HY147" s="720"/>
      <c r="HZ147" s="720"/>
      <c r="IA147" s="720"/>
      <c r="IB147" s="720"/>
      <c r="IC147" s="720"/>
      <c r="ID147" s="720"/>
      <c r="IE147" s="720"/>
      <c r="IF147" s="720"/>
      <c r="IG147" s="720"/>
      <c r="IH147" s="720"/>
    </row>
    <row r="148" hidden="1" outlineLevel="1">
      <c r="A148" s="598"/>
      <c r="B148" s="598"/>
      <c r="C148" s="598"/>
      <c r="D148" s="598"/>
      <c r="E148" s="598"/>
      <c r="F148" s="598"/>
      <c r="G148" s="598"/>
      <c r="H148" s="598"/>
      <c r="I148" s="598"/>
      <c r="J148" s="598"/>
      <c r="K148" s="598"/>
      <c r="L148" s="598"/>
      <c r="M148" s="598"/>
      <c r="N148" s="598"/>
      <c r="O148" s="598"/>
      <c r="P148" s="598"/>
      <c r="Q148" s="598"/>
      <c r="R148" s="598"/>
      <c r="S148" s="598"/>
      <c r="T148" s="598"/>
      <c r="U148" s="598"/>
      <c r="V148" s="598"/>
      <c r="W148" s="598"/>
      <c r="X148" s="598"/>
      <c r="Y148" s="598"/>
      <c r="Z148" s="598"/>
      <c r="AA148" s="911"/>
      <c r="AB148" s="999"/>
      <c r="AC148" s="720" t="str">
        <f>IFERROR(__xludf.DUMMYFUNCTION("""COMPUTED_VALUE"""),"Ranged Enemy Range")</f>
        <v>Ranged Enemy Range</v>
      </c>
      <c r="AD148" s="913" t="s">
        <v>345</v>
      </c>
      <c r="AE148" s="720">
        <v>0.0</v>
      </c>
      <c r="AF148" s="720"/>
      <c r="AG148" s="720">
        <v>30.0</v>
      </c>
      <c r="AH148" s="1004" t="str">
        <f>IFERROR(__xludf.DUMMYFUNCTION("IFERROR(IF(C35 = """", SEQUENCE(1, VALUE(VLOOKUP(E35, AD:AG, 4, false)) - VALUE(VLOOKUP(E35, AD:AG, 2, false)), VALUE(VLOOKUP(E35, AD:AG, 2, false)) + 1),
    IF(ISBETWEEN(C35, VALUE(VLOOKUP(E35, AD:AG, 2, false)), VALUE(VLOOKUP(E35, AD:AG, 4, false))),
 "&amp;"       SEQUENCE(1, VALUE(VLOOKUP(E35, AD:AG, 4, false)) - C35, C35 + 1),
        """")))"),"")</f>
        <v/>
      </c>
      <c r="AI148" s="720"/>
      <c r="AJ148" s="720"/>
      <c r="AK148" s="720"/>
      <c r="AL148" s="720"/>
      <c r="AM148" s="720"/>
      <c r="AN148" s="720"/>
      <c r="AO148" s="720"/>
      <c r="AP148" s="720"/>
      <c r="AQ148" s="720"/>
      <c r="AR148" s="720"/>
      <c r="AS148" s="720"/>
      <c r="AT148" s="720"/>
      <c r="AU148" s="720"/>
      <c r="AV148" s="720"/>
      <c r="AW148" s="720"/>
      <c r="AX148" s="720"/>
      <c r="AY148" s="720"/>
      <c r="AZ148" s="720"/>
      <c r="BA148" s="720"/>
      <c r="BB148" s="720"/>
      <c r="BC148" s="720"/>
      <c r="BD148" s="720"/>
      <c r="BE148" s="720"/>
      <c r="BF148" s="720"/>
      <c r="BG148" s="720"/>
      <c r="BH148" s="720"/>
      <c r="BI148" s="720"/>
      <c r="BJ148" s="720"/>
      <c r="BK148" s="720"/>
      <c r="BL148" s="720"/>
      <c r="BM148" s="720"/>
      <c r="BN148" s="720"/>
      <c r="BO148" s="720"/>
      <c r="BP148" s="720"/>
      <c r="BQ148" s="720"/>
      <c r="BR148" s="720"/>
      <c r="BS148" s="720"/>
      <c r="BT148" s="720"/>
      <c r="BU148" s="720"/>
      <c r="BV148" s="720"/>
      <c r="BW148" s="720"/>
      <c r="BX148" s="720"/>
      <c r="BY148" s="720"/>
      <c r="BZ148" s="720"/>
      <c r="CA148" s="720"/>
      <c r="CB148" s="720"/>
      <c r="CC148" s="720"/>
      <c r="CD148" s="720"/>
      <c r="CE148" s="720"/>
      <c r="CF148" s="720"/>
      <c r="CG148" s="720"/>
      <c r="CH148" s="720"/>
      <c r="CI148" s="720"/>
      <c r="CJ148" s="720"/>
      <c r="CK148" s="720"/>
      <c r="CL148" s="720"/>
      <c r="CM148" s="720"/>
      <c r="CN148" s="720"/>
      <c r="CO148" s="720"/>
      <c r="CP148" s="720"/>
      <c r="CQ148" s="720"/>
      <c r="CR148" s="720"/>
      <c r="CS148" s="720"/>
      <c r="CT148" s="720"/>
      <c r="CU148" s="720"/>
      <c r="CV148" s="720"/>
      <c r="CW148" s="720"/>
      <c r="CX148" s="720"/>
      <c r="CY148" s="720"/>
      <c r="CZ148" s="720"/>
      <c r="DA148" s="720"/>
      <c r="DB148" s="720"/>
      <c r="DC148" s="720"/>
      <c r="DD148" s="720"/>
      <c r="DE148" s="720"/>
      <c r="DF148" s="720"/>
      <c r="DG148" s="720"/>
      <c r="DH148" s="720"/>
      <c r="DI148" s="720"/>
      <c r="DJ148" s="720"/>
      <c r="DK148" s="720"/>
      <c r="DL148" s="720"/>
      <c r="DM148" s="720"/>
      <c r="DN148" s="720"/>
      <c r="DO148" s="720"/>
      <c r="DP148" s="720"/>
      <c r="DQ148" s="720"/>
      <c r="DR148" s="720"/>
      <c r="DS148" s="720"/>
      <c r="DT148" s="720"/>
      <c r="DU148" s="720"/>
      <c r="DV148" s="720"/>
      <c r="DW148" s="720"/>
      <c r="DX148" s="720"/>
      <c r="DY148" s="720"/>
      <c r="DZ148" s="720"/>
      <c r="EA148" s="720"/>
      <c r="EB148" s="720"/>
      <c r="EC148" s="720"/>
      <c r="ED148" s="720"/>
      <c r="EE148" s="720"/>
      <c r="EF148" s="720"/>
      <c r="EG148" s="720"/>
      <c r="EH148" s="720"/>
      <c r="EI148" s="720"/>
      <c r="EJ148" s="720"/>
      <c r="EK148" s="720"/>
      <c r="EL148" s="720"/>
      <c r="EM148" s="720"/>
      <c r="EN148" s="720"/>
      <c r="EO148" s="720"/>
      <c r="EP148" s="720"/>
      <c r="EQ148" s="720"/>
      <c r="ER148" s="720"/>
      <c r="ES148" s="720"/>
      <c r="ET148" s="720"/>
      <c r="EU148" s="720"/>
      <c r="EV148" s="720"/>
      <c r="EW148" s="720"/>
      <c r="EX148" s="720"/>
      <c r="EY148" s="720"/>
      <c r="EZ148" s="720"/>
      <c r="FA148" s="720"/>
      <c r="FB148" s="720"/>
      <c r="FC148" s="720"/>
      <c r="FD148" s="720"/>
      <c r="FE148" s="720"/>
      <c r="FF148" s="720"/>
      <c r="FG148" s="720"/>
      <c r="FH148" s="720"/>
      <c r="FI148" s="720"/>
      <c r="FJ148" s="720"/>
      <c r="FK148" s="720"/>
      <c r="FL148" s="720"/>
      <c r="FM148" s="720"/>
      <c r="FN148" s="720"/>
      <c r="FO148" s="720"/>
      <c r="FP148" s="720"/>
      <c r="FQ148" s="720"/>
      <c r="FR148" s="720"/>
      <c r="FS148" s="720"/>
      <c r="FT148" s="720"/>
      <c r="FU148" s="720"/>
      <c r="FV148" s="720"/>
      <c r="FW148" s="720"/>
      <c r="FX148" s="720"/>
      <c r="FY148" s="720"/>
      <c r="FZ148" s="720"/>
      <c r="GA148" s="720"/>
      <c r="GB148" s="720"/>
      <c r="GC148" s="720"/>
      <c r="GD148" s="720"/>
      <c r="GE148" s="720"/>
      <c r="GF148" s="720"/>
      <c r="GG148" s="720"/>
      <c r="GH148" s="720"/>
      <c r="GI148" s="720"/>
      <c r="GJ148" s="720"/>
      <c r="GK148" s="720"/>
      <c r="GL148" s="720"/>
      <c r="GM148" s="720"/>
      <c r="GN148" s="720"/>
      <c r="GO148" s="720"/>
      <c r="GP148" s="720"/>
      <c r="GQ148" s="720"/>
      <c r="GR148" s="720"/>
      <c r="GS148" s="720"/>
      <c r="GT148" s="720"/>
      <c r="GU148" s="720"/>
      <c r="GV148" s="720"/>
      <c r="GW148" s="720"/>
      <c r="GX148" s="720"/>
      <c r="GY148" s="720"/>
      <c r="GZ148" s="720"/>
      <c r="HA148" s="720"/>
      <c r="HB148" s="720"/>
      <c r="HC148" s="720"/>
      <c r="HD148" s="720"/>
      <c r="HE148" s="720"/>
      <c r="HF148" s="720"/>
      <c r="HG148" s="720"/>
      <c r="HH148" s="720"/>
      <c r="HI148" s="720"/>
      <c r="HJ148" s="720"/>
      <c r="HK148" s="720"/>
      <c r="HL148" s="720"/>
      <c r="HM148" s="720"/>
      <c r="HN148" s="720"/>
      <c r="HO148" s="720"/>
      <c r="HP148" s="720"/>
      <c r="HQ148" s="720"/>
      <c r="HR148" s="720"/>
      <c r="HS148" s="720"/>
      <c r="HT148" s="720"/>
      <c r="HU148" s="720"/>
      <c r="HV148" s="720"/>
      <c r="HW148" s="720"/>
      <c r="HX148" s="720"/>
      <c r="HY148" s="720"/>
      <c r="HZ148" s="720"/>
      <c r="IA148" s="720"/>
      <c r="IB148" s="720"/>
      <c r="IC148" s="720"/>
      <c r="ID148" s="720"/>
      <c r="IE148" s="720"/>
      <c r="IF148" s="720"/>
      <c r="IG148" s="720"/>
      <c r="IH148" s="720"/>
    </row>
    <row r="149" hidden="1" outlineLevel="1">
      <c r="A149" s="598"/>
      <c r="B149" s="598"/>
      <c r="C149" s="598"/>
      <c r="D149" s="598"/>
      <c r="E149" s="598"/>
      <c r="F149" s="598"/>
      <c r="G149" s="598"/>
      <c r="H149" s="598"/>
      <c r="I149" s="598"/>
      <c r="J149" s="598"/>
      <c r="K149" s="598"/>
      <c r="L149" s="598"/>
      <c r="M149" s="598"/>
      <c r="N149" s="598"/>
      <c r="O149" s="598"/>
      <c r="P149" s="598"/>
      <c r="Q149" s="598"/>
      <c r="R149" s="598"/>
      <c r="S149" s="598"/>
      <c r="T149" s="598"/>
      <c r="U149" s="598"/>
      <c r="V149" s="598"/>
      <c r="W149" s="598"/>
      <c r="X149" s="598"/>
      <c r="Y149" s="598"/>
      <c r="Z149" s="598"/>
      <c r="AA149" s="911"/>
      <c r="AB149" s="999"/>
      <c r="AC149" s="720" t="str">
        <f>IFERROR(__xludf.DUMMYFUNCTION("""COMPUTED_VALUE"""),"Ranged Ultimate")</f>
        <v>Ranged Ultimate</v>
      </c>
      <c r="AD149" s="1003" t="s">
        <v>293</v>
      </c>
      <c r="AE149" s="720">
        <v>0.0</v>
      </c>
      <c r="AF149" s="720"/>
      <c r="AG149" s="720">
        <v>10.0</v>
      </c>
      <c r="AH149" s="1004" t="str">
        <f>IFERROR(__xludf.DUMMYFUNCTION("IFERROR(IF(C36 = """", SEQUENCE(1, VALUE(VLOOKUP(E36, AD:AG, 4, false)) - VALUE(VLOOKUP(E36, AD:AG, 2, false)), VALUE(VLOOKUP(E36, AD:AG, 2, false)) + 1),
    IF(ISBETWEEN(C36, VALUE(VLOOKUP(E36, AD:AG, 2, false)), VALUE(VLOOKUP(E36, AD:AG, 4, false))),
 "&amp;"       SEQUENCE(1, VALUE(VLOOKUP(E36, AD:AG, 4, false)) - C36, C36 + 1),
        """")))"),"")</f>
        <v/>
      </c>
      <c r="AI149" s="720"/>
      <c r="AJ149" s="720"/>
      <c r="AK149" s="720"/>
      <c r="AL149" s="720"/>
      <c r="AM149" s="720"/>
      <c r="AN149" s="720"/>
      <c r="AO149" s="720"/>
      <c r="AP149" s="720"/>
      <c r="AQ149" s="720"/>
      <c r="AR149" s="720"/>
      <c r="AS149" s="720"/>
      <c r="AT149" s="720"/>
      <c r="AU149" s="720"/>
      <c r="AV149" s="720"/>
      <c r="AW149" s="720"/>
      <c r="AX149" s="720"/>
      <c r="AY149" s="720"/>
      <c r="AZ149" s="720"/>
      <c r="BA149" s="720"/>
      <c r="BB149" s="720"/>
      <c r="BC149" s="720"/>
      <c r="BD149" s="720"/>
      <c r="BE149" s="720"/>
      <c r="BF149" s="720"/>
      <c r="BG149" s="720"/>
      <c r="BH149" s="720"/>
      <c r="BI149" s="720"/>
      <c r="BJ149" s="720"/>
      <c r="BK149" s="720"/>
      <c r="BL149" s="720"/>
      <c r="BM149" s="720"/>
      <c r="BN149" s="720"/>
      <c r="BO149" s="720"/>
      <c r="BP149" s="720"/>
      <c r="BQ149" s="720"/>
      <c r="BR149" s="720"/>
      <c r="BS149" s="720"/>
      <c r="BT149" s="720"/>
      <c r="BU149" s="720"/>
      <c r="BV149" s="720"/>
      <c r="BW149" s="720"/>
      <c r="BX149" s="720"/>
      <c r="BY149" s="720"/>
      <c r="BZ149" s="720"/>
      <c r="CA149" s="720"/>
      <c r="CB149" s="720"/>
      <c r="CC149" s="720"/>
      <c r="CD149" s="720"/>
      <c r="CE149" s="720"/>
      <c r="CF149" s="720"/>
      <c r="CG149" s="720"/>
      <c r="CH149" s="720"/>
      <c r="CI149" s="720"/>
      <c r="CJ149" s="720"/>
      <c r="CK149" s="720"/>
      <c r="CL149" s="720"/>
      <c r="CM149" s="720"/>
      <c r="CN149" s="720"/>
      <c r="CO149" s="720"/>
      <c r="CP149" s="720"/>
      <c r="CQ149" s="720"/>
      <c r="CR149" s="720"/>
      <c r="CS149" s="720"/>
      <c r="CT149" s="720"/>
      <c r="CU149" s="720"/>
      <c r="CV149" s="720"/>
      <c r="CW149" s="720"/>
      <c r="CX149" s="720"/>
      <c r="CY149" s="720"/>
      <c r="CZ149" s="720"/>
      <c r="DA149" s="720"/>
      <c r="DB149" s="720"/>
      <c r="DC149" s="720"/>
      <c r="DD149" s="720"/>
      <c r="DE149" s="720"/>
      <c r="DF149" s="720"/>
      <c r="DG149" s="720"/>
      <c r="DH149" s="720"/>
      <c r="DI149" s="720"/>
      <c r="DJ149" s="720"/>
      <c r="DK149" s="720"/>
      <c r="DL149" s="720"/>
      <c r="DM149" s="720"/>
      <c r="DN149" s="720"/>
      <c r="DO149" s="720"/>
      <c r="DP149" s="720"/>
      <c r="DQ149" s="720"/>
      <c r="DR149" s="720"/>
      <c r="DS149" s="720"/>
      <c r="DT149" s="720"/>
      <c r="DU149" s="720"/>
      <c r="DV149" s="720"/>
      <c r="DW149" s="720"/>
      <c r="DX149" s="720"/>
      <c r="DY149" s="720"/>
      <c r="DZ149" s="720"/>
      <c r="EA149" s="720"/>
      <c r="EB149" s="720"/>
      <c r="EC149" s="720"/>
      <c r="ED149" s="720"/>
      <c r="EE149" s="720"/>
      <c r="EF149" s="720"/>
      <c r="EG149" s="720"/>
      <c r="EH149" s="720"/>
      <c r="EI149" s="720"/>
      <c r="EJ149" s="720"/>
      <c r="EK149" s="720"/>
      <c r="EL149" s="720"/>
      <c r="EM149" s="720"/>
      <c r="EN149" s="720"/>
      <c r="EO149" s="720"/>
      <c r="EP149" s="720"/>
      <c r="EQ149" s="720"/>
      <c r="ER149" s="720"/>
      <c r="ES149" s="720"/>
      <c r="ET149" s="720"/>
      <c r="EU149" s="720"/>
      <c r="EV149" s="720"/>
      <c r="EW149" s="720"/>
      <c r="EX149" s="720"/>
      <c r="EY149" s="720"/>
      <c r="EZ149" s="720"/>
      <c r="FA149" s="720"/>
      <c r="FB149" s="720"/>
      <c r="FC149" s="720"/>
      <c r="FD149" s="720"/>
      <c r="FE149" s="720"/>
      <c r="FF149" s="720"/>
      <c r="FG149" s="720"/>
      <c r="FH149" s="720"/>
      <c r="FI149" s="720"/>
      <c r="FJ149" s="720"/>
      <c r="FK149" s="720"/>
      <c r="FL149" s="720"/>
      <c r="FM149" s="720"/>
      <c r="FN149" s="720"/>
      <c r="FO149" s="720"/>
      <c r="FP149" s="720"/>
      <c r="FQ149" s="720"/>
      <c r="FR149" s="720"/>
      <c r="FS149" s="720"/>
      <c r="FT149" s="720"/>
      <c r="FU149" s="720"/>
      <c r="FV149" s="720"/>
      <c r="FW149" s="720"/>
      <c r="FX149" s="720"/>
      <c r="FY149" s="720"/>
      <c r="FZ149" s="720"/>
      <c r="GA149" s="720"/>
      <c r="GB149" s="720"/>
      <c r="GC149" s="720"/>
      <c r="GD149" s="720"/>
      <c r="GE149" s="720"/>
      <c r="GF149" s="720"/>
      <c r="GG149" s="720"/>
      <c r="GH149" s="720"/>
      <c r="GI149" s="720"/>
      <c r="GJ149" s="720"/>
      <c r="GK149" s="720"/>
      <c r="GL149" s="720"/>
      <c r="GM149" s="720"/>
      <c r="GN149" s="720"/>
      <c r="GO149" s="720"/>
      <c r="GP149" s="720"/>
      <c r="GQ149" s="720"/>
      <c r="GR149" s="720"/>
      <c r="GS149" s="720"/>
      <c r="GT149" s="720"/>
      <c r="GU149" s="720"/>
      <c r="GV149" s="720"/>
      <c r="GW149" s="720"/>
      <c r="GX149" s="720"/>
      <c r="GY149" s="720"/>
      <c r="GZ149" s="720"/>
      <c r="HA149" s="720"/>
      <c r="HB149" s="720"/>
      <c r="HC149" s="720"/>
      <c r="HD149" s="720"/>
      <c r="HE149" s="720"/>
      <c r="HF149" s="720"/>
      <c r="HG149" s="720"/>
      <c r="HH149" s="720"/>
      <c r="HI149" s="720"/>
      <c r="HJ149" s="720"/>
      <c r="HK149" s="720"/>
      <c r="HL149" s="720"/>
      <c r="HM149" s="720"/>
      <c r="HN149" s="720"/>
      <c r="HO149" s="720"/>
      <c r="HP149" s="720"/>
      <c r="HQ149" s="720"/>
      <c r="HR149" s="720"/>
      <c r="HS149" s="720"/>
      <c r="HT149" s="720"/>
      <c r="HU149" s="720"/>
      <c r="HV149" s="720"/>
      <c r="HW149" s="720"/>
      <c r="HX149" s="720"/>
      <c r="HY149" s="720"/>
      <c r="HZ149" s="720"/>
      <c r="IA149" s="720"/>
      <c r="IB149" s="720"/>
      <c r="IC149" s="720"/>
      <c r="ID149" s="720"/>
      <c r="IE149" s="720"/>
      <c r="IF149" s="720"/>
      <c r="IG149" s="720"/>
      <c r="IH149" s="720"/>
    </row>
    <row r="150" hidden="1" outlineLevel="1">
      <c r="A150" s="598"/>
      <c r="B150" s="598"/>
      <c r="C150" s="598"/>
      <c r="D150" s="598"/>
      <c r="E150" s="598"/>
      <c r="F150" s="598"/>
      <c r="G150" s="598"/>
      <c r="H150" s="598"/>
      <c r="I150" s="598"/>
      <c r="J150" s="598"/>
      <c r="K150" s="598"/>
      <c r="L150" s="598"/>
      <c r="M150" s="598"/>
      <c r="N150" s="598"/>
      <c r="O150" s="598"/>
      <c r="P150" s="598"/>
      <c r="Q150" s="598"/>
      <c r="R150" s="598"/>
      <c r="S150" s="598"/>
      <c r="T150" s="598"/>
      <c r="U150" s="598"/>
      <c r="V150" s="598"/>
      <c r="W150" s="598"/>
      <c r="X150" s="598"/>
      <c r="Y150" s="598"/>
      <c r="Z150" s="598"/>
      <c r="AA150" s="911"/>
      <c r="AB150" s="966"/>
      <c r="AC150" s="713" t="str">
        <f>IFERROR(__xludf.DUMMYFUNCTION("""COMPUTED_VALUE"""),"Rare Drop Chance")</f>
        <v>Rare Drop Chance</v>
      </c>
      <c r="AD150" s="825" t="s">
        <v>236</v>
      </c>
      <c r="AE150" s="713">
        <v>10.0</v>
      </c>
      <c r="AF150" s="713">
        <v>10.0</v>
      </c>
      <c r="AG150" s="713">
        <v>10.0</v>
      </c>
      <c r="AH150" s="1004" t="str">
        <f>IFERROR(__xludf.DUMMYFUNCTION("IFERROR(IF(C37 = """", SEQUENCE(1, VALUE(VLOOKUP(E37, AD:AG, 4, false)) - VALUE(VLOOKUP(E37, AD:AG, 2, false)), VALUE(VLOOKUP(E37, AD:AG, 2, false)) + 1),
    IF(ISBETWEEN(C37, VALUE(VLOOKUP(E37, AD:AG, 2, false)), VALUE(VLOOKUP(E37, AD:AG, 4, false))),
 "&amp;"       SEQUENCE(1, VALUE(VLOOKUP(E37, AD:AG, 4, false)) - C37, C37 + 1),
        """")))"),"")</f>
        <v/>
      </c>
      <c r="AI150" s="713"/>
      <c r="AJ150" s="713"/>
      <c r="AK150" s="713"/>
      <c r="AL150" s="713"/>
      <c r="AM150" s="713"/>
      <c r="AN150" s="713"/>
      <c r="AO150" s="713"/>
      <c r="AP150" s="713"/>
      <c r="AQ150" s="713"/>
      <c r="AR150" s="713"/>
      <c r="AS150" s="713"/>
      <c r="AT150" s="713"/>
      <c r="AU150" s="713"/>
      <c r="AV150" s="713"/>
      <c r="AW150" s="713"/>
      <c r="AX150" s="713"/>
      <c r="AY150" s="713"/>
      <c r="AZ150" s="713"/>
      <c r="BA150" s="713"/>
      <c r="BB150" s="713"/>
      <c r="BC150" s="713"/>
      <c r="BD150" s="713"/>
      <c r="BE150" s="713"/>
      <c r="BF150" s="713"/>
      <c r="BG150" s="713"/>
      <c r="BH150" s="713"/>
      <c r="BI150" s="713"/>
      <c r="BJ150" s="713"/>
      <c r="BK150" s="713"/>
      <c r="BL150" s="713"/>
      <c r="BM150" s="713"/>
      <c r="BN150" s="713"/>
      <c r="BO150" s="713"/>
      <c r="BP150" s="713"/>
      <c r="BQ150" s="713"/>
      <c r="BR150" s="713"/>
      <c r="BS150" s="713"/>
      <c r="BT150" s="713"/>
      <c r="BU150" s="713"/>
      <c r="BV150" s="713"/>
      <c r="BW150" s="713"/>
      <c r="BX150" s="713"/>
      <c r="BY150" s="713"/>
      <c r="BZ150" s="713"/>
      <c r="CA150" s="713"/>
      <c r="CB150" s="713"/>
      <c r="CC150" s="713"/>
      <c r="CD150" s="713"/>
      <c r="CE150" s="713"/>
      <c r="CF150" s="713"/>
      <c r="CG150" s="713"/>
      <c r="CH150" s="713"/>
      <c r="CI150" s="713"/>
      <c r="CJ150" s="713"/>
      <c r="CK150" s="713"/>
      <c r="CL150" s="713"/>
      <c r="CM150" s="713"/>
      <c r="CN150" s="713"/>
      <c r="CO150" s="713"/>
      <c r="CP150" s="713"/>
      <c r="CQ150" s="713"/>
      <c r="CR150" s="713"/>
      <c r="CS150" s="713"/>
      <c r="CT150" s="713"/>
      <c r="CU150" s="713"/>
      <c r="CV150" s="713"/>
      <c r="CW150" s="713"/>
      <c r="CX150" s="713"/>
      <c r="CY150" s="713"/>
      <c r="CZ150" s="713"/>
      <c r="DA150" s="713"/>
      <c r="DB150" s="713"/>
      <c r="DC150" s="713"/>
      <c r="DD150" s="713"/>
      <c r="DE150" s="713"/>
      <c r="DF150" s="713"/>
      <c r="DG150" s="713"/>
      <c r="DH150" s="713"/>
      <c r="DI150" s="713"/>
      <c r="DJ150" s="713"/>
      <c r="DK150" s="713"/>
      <c r="DL150" s="713"/>
      <c r="DM150" s="713"/>
      <c r="DN150" s="713"/>
      <c r="DO150" s="713"/>
      <c r="DP150" s="713"/>
      <c r="DQ150" s="713"/>
      <c r="DR150" s="713"/>
      <c r="DS150" s="713"/>
      <c r="DT150" s="713"/>
      <c r="DU150" s="713"/>
      <c r="DV150" s="713"/>
      <c r="DW150" s="713"/>
      <c r="DX150" s="713"/>
      <c r="DY150" s="713"/>
      <c r="DZ150" s="713"/>
      <c r="EA150" s="713"/>
      <c r="EB150" s="713"/>
      <c r="EC150" s="713"/>
      <c r="ED150" s="713"/>
      <c r="EE150" s="713"/>
      <c r="EF150" s="713"/>
      <c r="EG150" s="713"/>
      <c r="EH150" s="713"/>
      <c r="EI150" s="713"/>
      <c r="EJ150" s="713"/>
      <c r="EK150" s="713"/>
      <c r="EL150" s="713"/>
      <c r="EM150" s="713"/>
      <c r="EN150" s="713"/>
      <c r="EO150" s="713"/>
      <c r="EP150" s="713"/>
      <c r="EQ150" s="713"/>
      <c r="ER150" s="713"/>
      <c r="ES150" s="713"/>
      <c r="ET150" s="713"/>
      <c r="EU150" s="713"/>
      <c r="EV150" s="713"/>
      <c r="EW150" s="713"/>
      <c r="EX150" s="713"/>
      <c r="EY150" s="713"/>
      <c r="EZ150" s="713"/>
      <c r="FA150" s="713"/>
      <c r="FB150" s="713"/>
      <c r="FC150" s="713"/>
      <c r="FD150" s="713"/>
      <c r="FE150" s="713"/>
      <c r="FF150" s="713"/>
      <c r="FG150" s="713"/>
      <c r="FH150" s="713"/>
      <c r="FI150" s="713"/>
      <c r="FJ150" s="713"/>
      <c r="FK150" s="713"/>
      <c r="FL150" s="713"/>
      <c r="FM150" s="713"/>
      <c r="FN150" s="713"/>
      <c r="FO150" s="713"/>
      <c r="FP150" s="713"/>
      <c r="FQ150" s="713"/>
      <c r="FR150" s="713"/>
      <c r="FS150" s="713"/>
      <c r="FT150" s="713"/>
      <c r="FU150" s="713"/>
      <c r="FV150" s="713"/>
      <c r="FW150" s="713"/>
      <c r="FX150" s="713"/>
      <c r="FY150" s="713"/>
      <c r="FZ150" s="713"/>
      <c r="GA150" s="713"/>
      <c r="GB150" s="713"/>
      <c r="GC150" s="713"/>
      <c r="GD150" s="713"/>
      <c r="GE150" s="713"/>
      <c r="GF150" s="713"/>
      <c r="GG150" s="713"/>
      <c r="GH150" s="713"/>
      <c r="GI150" s="713"/>
      <c r="GJ150" s="713"/>
      <c r="GK150" s="713"/>
      <c r="GL150" s="713"/>
      <c r="GM150" s="713"/>
      <c r="GN150" s="713"/>
      <c r="GO150" s="713"/>
      <c r="GP150" s="713"/>
      <c r="GQ150" s="713"/>
      <c r="GR150" s="713"/>
      <c r="GS150" s="713"/>
      <c r="GT150" s="713"/>
      <c r="GU150" s="713"/>
      <c r="GV150" s="713"/>
      <c r="GW150" s="713"/>
      <c r="GX150" s="713"/>
      <c r="GY150" s="713"/>
      <c r="GZ150" s="713"/>
      <c r="HA150" s="713"/>
      <c r="HB150" s="713"/>
      <c r="HC150" s="713"/>
      <c r="HD150" s="713"/>
      <c r="HE150" s="713"/>
      <c r="HF150" s="713"/>
      <c r="HG150" s="713"/>
      <c r="HH150" s="713"/>
      <c r="HI150" s="713"/>
      <c r="HJ150" s="713"/>
      <c r="HK150" s="713"/>
      <c r="HL150" s="713"/>
      <c r="HM150" s="713"/>
      <c r="HN150" s="713"/>
      <c r="HO150" s="713"/>
      <c r="HP150" s="713"/>
      <c r="HQ150" s="713"/>
      <c r="HR150" s="713"/>
      <c r="HS150" s="713"/>
      <c r="HT150" s="713"/>
      <c r="HU150" s="713"/>
      <c r="HV150" s="713"/>
      <c r="HW150" s="713"/>
      <c r="HX150" s="713"/>
      <c r="HY150" s="713"/>
      <c r="HZ150" s="713"/>
      <c r="IA150" s="713"/>
      <c r="IB150" s="713"/>
      <c r="IC150" s="713"/>
      <c r="ID150" s="713"/>
      <c r="IE150" s="713"/>
      <c r="IF150" s="713"/>
      <c r="IG150" s="713"/>
      <c r="IH150" s="713"/>
    </row>
    <row r="151" hidden="1" outlineLevel="1">
      <c r="A151" s="598"/>
      <c r="B151" s="598"/>
      <c r="C151" s="598"/>
      <c r="D151" s="598"/>
      <c r="E151" s="598"/>
      <c r="F151" s="598"/>
      <c r="G151" s="598"/>
      <c r="H151" s="598"/>
      <c r="I151" s="598"/>
      <c r="J151" s="598"/>
      <c r="K151" s="598"/>
      <c r="L151" s="598"/>
      <c r="M151" s="598"/>
      <c r="N151" s="598"/>
      <c r="O151" s="598"/>
      <c r="P151" s="598"/>
      <c r="Q151" s="598"/>
      <c r="R151" s="598"/>
      <c r="S151" s="598"/>
      <c r="T151" s="598"/>
      <c r="U151" s="598"/>
      <c r="V151" s="598"/>
      <c r="W151" s="598"/>
      <c r="X151" s="598"/>
      <c r="Y151" s="598"/>
      <c r="Z151" s="598"/>
      <c r="AA151" s="911"/>
      <c r="AB151" s="966"/>
      <c r="AC151" s="713" t="str">
        <f>IFERROR(__xludf.DUMMYFUNCTION("""COMPUTED_VALUE"""),"Ray Enemy Attack")</f>
        <v>Ray Enemy Attack</v>
      </c>
      <c r="AD151" s="816" t="s">
        <v>312</v>
      </c>
      <c r="AE151" s="713">
        <v>0.0</v>
      </c>
      <c r="AF151" s="713"/>
      <c r="AG151" s="713">
        <v>30.0</v>
      </c>
      <c r="AH151" s="1004" t="str">
        <f>IFERROR(__xludf.DUMMYFUNCTION("IFERROR(IF(C38 = """", SEQUENCE(1, VALUE(VLOOKUP(E38, AD:AG, 4, false)) - VALUE(VLOOKUP(E38, AD:AG, 2, false)), VALUE(VLOOKUP(E38, AD:AG, 2, false)) + 1),
    IF(ISBETWEEN(C38, VALUE(VLOOKUP(E38, AD:AG, 2, false)), VALUE(VLOOKUP(E38, AD:AG, 4, false))),
 "&amp;"       SEQUENCE(1, VALUE(VLOOKUP(E38, AD:AG, 4, false)) - C38, C38 + 1),
        """")))"),"")</f>
        <v/>
      </c>
      <c r="AI151" s="713"/>
      <c r="AJ151" s="713"/>
      <c r="AK151" s="713"/>
      <c r="AL151" s="713"/>
      <c r="AM151" s="713"/>
      <c r="AN151" s="713"/>
      <c r="AO151" s="713"/>
      <c r="AP151" s="713"/>
      <c r="AQ151" s="713"/>
      <c r="AR151" s="713"/>
      <c r="AS151" s="713"/>
      <c r="AT151" s="713"/>
      <c r="AU151" s="713"/>
      <c r="AV151" s="713"/>
      <c r="AW151" s="713"/>
      <c r="AX151" s="713"/>
      <c r="AY151" s="713"/>
      <c r="AZ151" s="713"/>
      <c r="BA151" s="713"/>
      <c r="BB151" s="713"/>
      <c r="BC151" s="713"/>
      <c r="BD151" s="713"/>
      <c r="BE151" s="713"/>
      <c r="BF151" s="713"/>
      <c r="BG151" s="713"/>
      <c r="BH151" s="713"/>
      <c r="BI151" s="713"/>
      <c r="BJ151" s="713"/>
      <c r="BK151" s="713"/>
      <c r="BL151" s="713"/>
      <c r="BM151" s="713"/>
      <c r="BN151" s="713"/>
      <c r="BO151" s="713"/>
      <c r="BP151" s="713"/>
      <c r="BQ151" s="713"/>
      <c r="BR151" s="713"/>
      <c r="BS151" s="713"/>
      <c r="BT151" s="713"/>
      <c r="BU151" s="713"/>
      <c r="BV151" s="713"/>
      <c r="BW151" s="713"/>
      <c r="BX151" s="713"/>
      <c r="BY151" s="713"/>
      <c r="BZ151" s="713"/>
      <c r="CA151" s="713"/>
      <c r="CB151" s="713"/>
      <c r="CC151" s="713"/>
      <c r="CD151" s="713"/>
      <c r="CE151" s="713"/>
      <c r="CF151" s="713"/>
      <c r="CG151" s="713"/>
      <c r="CH151" s="713"/>
      <c r="CI151" s="713"/>
      <c r="CJ151" s="713"/>
      <c r="CK151" s="713"/>
      <c r="CL151" s="713"/>
      <c r="CM151" s="713"/>
      <c r="CN151" s="713"/>
      <c r="CO151" s="713"/>
      <c r="CP151" s="713"/>
      <c r="CQ151" s="713"/>
      <c r="CR151" s="713"/>
      <c r="CS151" s="713"/>
      <c r="CT151" s="713"/>
      <c r="CU151" s="713"/>
      <c r="CV151" s="713"/>
      <c r="CW151" s="713"/>
      <c r="CX151" s="713"/>
      <c r="CY151" s="713"/>
      <c r="CZ151" s="713"/>
      <c r="DA151" s="713"/>
      <c r="DB151" s="713"/>
      <c r="DC151" s="713"/>
      <c r="DD151" s="713"/>
      <c r="DE151" s="713"/>
      <c r="DF151" s="713"/>
      <c r="DG151" s="713"/>
      <c r="DH151" s="713"/>
      <c r="DI151" s="713"/>
      <c r="DJ151" s="713"/>
      <c r="DK151" s="713"/>
      <c r="DL151" s="713"/>
      <c r="DM151" s="713"/>
      <c r="DN151" s="713"/>
      <c r="DO151" s="713"/>
      <c r="DP151" s="713"/>
      <c r="DQ151" s="713"/>
      <c r="DR151" s="713"/>
      <c r="DS151" s="713"/>
      <c r="DT151" s="713"/>
      <c r="DU151" s="713"/>
      <c r="DV151" s="713"/>
      <c r="DW151" s="713"/>
      <c r="DX151" s="713"/>
      <c r="DY151" s="713"/>
      <c r="DZ151" s="713"/>
      <c r="EA151" s="713"/>
      <c r="EB151" s="713"/>
      <c r="EC151" s="713"/>
      <c r="ED151" s="713"/>
      <c r="EE151" s="713"/>
      <c r="EF151" s="713"/>
      <c r="EG151" s="713"/>
      <c r="EH151" s="713"/>
      <c r="EI151" s="713"/>
      <c r="EJ151" s="713"/>
      <c r="EK151" s="713"/>
      <c r="EL151" s="713"/>
      <c r="EM151" s="713"/>
      <c r="EN151" s="713"/>
      <c r="EO151" s="713"/>
      <c r="EP151" s="713"/>
      <c r="EQ151" s="713"/>
      <c r="ER151" s="713"/>
      <c r="ES151" s="713"/>
      <c r="ET151" s="713"/>
      <c r="EU151" s="713"/>
      <c r="EV151" s="713"/>
      <c r="EW151" s="713"/>
      <c r="EX151" s="713"/>
      <c r="EY151" s="713"/>
      <c r="EZ151" s="713"/>
      <c r="FA151" s="713"/>
      <c r="FB151" s="713"/>
      <c r="FC151" s="713"/>
      <c r="FD151" s="713"/>
      <c r="FE151" s="713"/>
      <c r="FF151" s="713"/>
      <c r="FG151" s="713"/>
      <c r="FH151" s="713"/>
      <c r="FI151" s="713"/>
      <c r="FJ151" s="713"/>
      <c r="FK151" s="713"/>
      <c r="FL151" s="713"/>
      <c r="FM151" s="713"/>
      <c r="FN151" s="713"/>
      <c r="FO151" s="713"/>
      <c r="FP151" s="713"/>
      <c r="FQ151" s="713"/>
      <c r="FR151" s="713"/>
      <c r="FS151" s="713"/>
      <c r="FT151" s="713"/>
      <c r="FU151" s="713"/>
      <c r="FV151" s="713"/>
      <c r="FW151" s="713"/>
      <c r="FX151" s="713"/>
      <c r="FY151" s="713"/>
      <c r="FZ151" s="713"/>
      <c r="GA151" s="713"/>
      <c r="GB151" s="713"/>
      <c r="GC151" s="713"/>
      <c r="GD151" s="713"/>
      <c r="GE151" s="713"/>
      <c r="GF151" s="713"/>
      <c r="GG151" s="713"/>
      <c r="GH151" s="713"/>
      <c r="GI151" s="713"/>
      <c r="GJ151" s="713"/>
      <c r="GK151" s="713"/>
      <c r="GL151" s="713"/>
      <c r="GM151" s="713"/>
      <c r="GN151" s="713"/>
      <c r="GO151" s="713"/>
      <c r="GP151" s="713"/>
      <c r="GQ151" s="713"/>
      <c r="GR151" s="713"/>
      <c r="GS151" s="713"/>
      <c r="GT151" s="713"/>
      <c r="GU151" s="713"/>
      <c r="GV151" s="713"/>
      <c r="GW151" s="713"/>
      <c r="GX151" s="713"/>
      <c r="GY151" s="713"/>
      <c r="GZ151" s="713"/>
      <c r="HA151" s="713"/>
      <c r="HB151" s="713"/>
      <c r="HC151" s="713"/>
      <c r="HD151" s="713"/>
      <c r="HE151" s="713"/>
      <c r="HF151" s="713"/>
      <c r="HG151" s="713"/>
      <c r="HH151" s="713"/>
      <c r="HI151" s="713"/>
      <c r="HJ151" s="713"/>
      <c r="HK151" s="713"/>
      <c r="HL151" s="713"/>
      <c r="HM151" s="713"/>
      <c r="HN151" s="713"/>
      <c r="HO151" s="713"/>
      <c r="HP151" s="713"/>
      <c r="HQ151" s="713"/>
      <c r="HR151" s="713"/>
      <c r="HS151" s="713"/>
      <c r="HT151" s="713"/>
      <c r="HU151" s="713"/>
      <c r="HV151" s="713"/>
      <c r="HW151" s="713"/>
      <c r="HX151" s="713"/>
      <c r="HY151" s="713"/>
      <c r="HZ151" s="713"/>
      <c r="IA151" s="713"/>
      <c r="IB151" s="713"/>
      <c r="IC151" s="713"/>
      <c r="ID151" s="713"/>
      <c r="IE151" s="713"/>
      <c r="IF151" s="713"/>
      <c r="IG151" s="713"/>
      <c r="IH151" s="713"/>
    </row>
    <row r="152" hidden="1" outlineLevel="1">
      <c r="A152" s="598"/>
      <c r="B152" s="598"/>
      <c r="C152" s="598"/>
      <c r="D152" s="598"/>
      <c r="E152" s="598"/>
      <c r="F152" s="598"/>
      <c r="G152" s="598"/>
      <c r="H152" s="598"/>
      <c r="I152" s="598"/>
      <c r="J152" s="598"/>
      <c r="K152" s="598"/>
      <c r="L152" s="598"/>
      <c r="M152" s="598"/>
      <c r="N152" s="598"/>
      <c r="O152" s="598"/>
      <c r="P152" s="598"/>
      <c r="Q152" s="598"/>
      <c r="R152" s="598"/>
      <c r="S152" s="598"/>
      <c r="T152" s="598"/>
      <c r="U152" s="598"/>
      <c r="V152" s="598"/>
      <c r="W152" s="598"/>
      <c r="X152" s="598"/>
      <c r="Y152" s="598"/>
      <c r="Z152" s="598"/>
      <c r="AA152" s="911"/>
      <c r="AB152" s="966"/>
      <c r="AC152" s="713" t="str">
        <f>IFERROR(__xludf.DUMMYFUNCTION("""COMPUTED_VALUE"""),"Ray Enemy Health")</f>
        <v>Ray Enemy Health</v>
      </c>
      <c r="AD152" s="816" t="s">
        <v>319</v>
      </c>
      <c r="AE152" s="713">
        <v>0.0</v>
      </c>
      <c r="AF152" s="713"/>
      <c r="AG152" s="713">
        <v>30.0</v>
      </c>
      <c r="AH152" s="1004" t="str">
        <f>IFERROR(__xludf.DUMMYFUNCTION("IFERROR(IF(C39 = """", SEQUENCE(1, VALUE(VLOOKUP(E39, AD:AG, 4, false)) - VALUE(VLOOKUP(E39, AD:AG, 2, false)), VALUE(VLOOKUP(E39, AD:AG, 2, false)) + 1),
    IF(ISBETWEEN(C39, VALUE(VLOOKUP(E39, AD:AG, 2, false)), VALUE(VLOOKUP(E39, AD:AG, 4, false))),
 "&amp;"       SEQUENCE(1, VALUE(VLOOKUP(E39, AD:AG, 4, false)) - C39, C39 + 1),
        """")))"),"")</f>
        <v/>
      </c>
      <c r="AI152" s="713"/>
      <c r="AJ152" s="713"/>
      <c r="AK152" s="713"/>
      <c r="AL152" s="713"/>
      <c r="AM152" s="713"/>
      <c r="AN152" s="713"/>
      <c r="AO152" s="713"/>
      <c r="AP152" s="713"/>
      <c r="AQ152" s="713"/>
      <c r="AR152" s="713"/>
      <c r="AS152" s="713"/>
      <c r="AT152" s="713"/>
      <c r="AU152" s="713"/>
      <c r="AV152" s="713"/>
      <c r="AW152" s="713"/>
      <c r="AX152" s="713"/>
      <c r="AY152" s="713"/>
      <c r="AZ152" s="713"/>
      <c r="BA152" s="713"/>
      <c r="BB152" s="713"/>
      <c r="BC152" s="713"/>
      <c r="BD152" s="713"/>
      <c r="BE152" s="713"/>
      <c r="BF152" s="713"/>
      <c r="BG152" s="713"/>
      <c r="BH152" s="713"/>
      <c r="BI152" s="713"/>
      <c r="BJ152" s="713"/>
      <c r="BK152" s="713"/>
      <c r="BL152" s="713"/>
      <c r="BM152" s="713"/>
      <c r="BN152" s="713"/>
      <c r="BO152" s="713"/>
      <c r="BP152" s="713"/>
      <c r="BQ152" s="713"/>
      <c r="BR152" s="713"/>
      <c r="BS152" s="713"/>
      <c r="BT152" s="713"/>
      <c r="BU152" s="713"/>
      <c r="BV152" s="713"/>
      <c r="BW152" s="713"/>
      <c r="BX152" s="713"/>
      <c r="BY152" s="713"/>
      <c r="BZ152" s="713"/>
      <c r="CA152" s="713"/>
      <c r="CB152" s="713"/>
      <c r="CC152" s="713"/>
      <c r="CD152" s="713"/>
      <c r="CE152" s="713"/>
      <c r="CF152" s="713"/>
      <c r="CG152" s="713"/>
      <c r="CH152" s="713"/>
      <c r="CI152" s="713"/>
      <c r="CJ152" s="713"/>
      <c r="CK152" s="713"/>
      <c r="CL152" s="713"/>
      <c r="CM152" s="713"/>
      <c r="CN152" s="713"/>
      <c r="CO152" s="713"/>
      <c r="CP152" s="713"/>
      <c r="CQ152" s="713"/>
      <c r="CR152" s="713"/>
      <c r="CS152" s="713"/>
      <c r="CT152" s="713"/>
      <c r="CU152" s="713"/>
      <c r="CV152" s="713"/>
      <c r="CW152" s="713"/>
      <c r="CX152" s="713"/>
      <c r="CY152" s="713"/>
      <c r="CZ152" s="713"/>
      <c r="DA152" s="713"/>
      <c r="DB152" s="713"/>
      <c r="DC152" s="713"/>
      <c r="DD152" s="713"/>
      <c r="DE152" s="713"/>
      <c r="DF152" s="713"/>
      <c r="DG152" s="713"/>
      <c r="DH152" s="713"/>
      <c r="DI152" s="713"/>
      <c r="DJ152" s="713"/>
      <c r="DK152" s="713"/>
      <c r="DL152" s="713"/>
      <c r="DM152" s="713"/>
      <c r="DN152" s="713"/>
      <c r="DO152" s="713"/>
      <c r="DP152" s="713"/>
      <c r="DQ152" s="713"/>
      <c r="DR152" s="713"/>
      <c r="DS152" s="713"/>
      <c r="DT152" s="713"/>
      <c r="DU152" s="713"/>
      <c r="DV152" s="713"/>
      <c r="DW152" s="713"/>
      <c r="DX152" s="713"/>
      <c r="DY152" s="713"/>
      <c r="DZ152" s="713"/>
      <c r="EA152" s="713"/>
      <c r="EB152" s="713"/>
      <c r="EC152" s="713"/>
      <c r="ED152" s="713"/>
      <c r="EE152" s="713"/>
      <c r="EF152" s="713"/>
      <c r="EG152" s="713"/>
      <c r="EH152" s="713"/>
      <c r="EI152" s="713"/>
      <c r="EJ152" s="713"/>
      <c r="EK152" s="713"/>
      <c r="EL152" s="713"/>
      <c r="EM152" s="713"/>
      <c r="EN152" s="713"/>
      <c r="EO152" s="713"/>
      <c r="EP152" s="713"/>
      <c r="EQ152" s="713"/>
      <c r="ER152" s="713"/>
      <c r="ES152" s="713"/>
      <c r="ET152" s="713"/>
      <c r="EU152" s="713"/>
      <c r="EV152" s="713"/>
      <c r="EW152" s="713"/>
      <c r="EX152" s="713"/>
      <c r="EY152" s="713"/>
      <c r="EZ152" s="713"/>
      <c r="FA152" s="713"/>
      <c r="FB152" s="713"/>
      <c r="FC152" s="713"/>
      <c r="FD152" s="713"/>
      <c r="FE152" s="713"/>
      <c r="FF152" s="713"/>
      <c r="FG152" s="713"/>
      <c r="FH152" s="713"/>
      <c r="FI152" s="713"/>
      <c r="FJ152" s="713"/>
      <c r="FK152" s="713"/>
      <c r="FL152" s="713"/>
      <c r="FM152" s="713"/>
      <c r="FN152" s="713"/>
      <c r="FO152" s="713"/>
      <c r="FP152" s="713"/>
      <c r="FQ152" s="713"/>
      <c r="FR152" s="713"/>
      <c r="FS152" s="713"/>
      <c r="FT152" s="713"/>
      <c r="FU152" s="713"/>
      <c r="FV152" s="713"/>
      <c r="FW152" s="713"/>
      <c r="FX152" s="713"/>
      <c r="FY152" s="713"/>
      <c r="FZ152" s="713"/>
      <c r="GA152" s="713"/>
      <c r="GB152" s="713"/>
      <c r="GC152" s="713"/>
      <c r="GD152" s="713"/>
      <c r="GE152" s="713"/>
      <c r="GF152" s="713"/>
      <c r="GG152" s="713"/>
      <c r="GH152" s="713"/>
      <c r="GI152" s="713"/>
      <c r="GJ152" s="713"/>
      <c r="GK152" s="713"/>
      <c r="GL152" s="713"/>
      <c r="GM152" s="713"/>
      <c r="GN152" s="713"/>
      <c r="GO152" s="713"/>
      <c r="GP152" s="713"/>
      <c r="GQ152" s="713"/>
      <c r="GR152" s="713"/>
      <c r="GS152" s="713"/>
      <c r="GT152" s="713"/>
      <c r="GU152" s="713"/>
      <c r="GV152" s="713"/>
      <c r="GW152" s="713"/>
      <c r="GX152" s="713"/>
      <c r="GY152" s="713"/>
      <c r="GZ152" s="713"/>
      <c r="HA152" s="713"/>
      <c r="HB152" s="713"/>
      <c r="HC152" s="713"/>
      <c r="HD152" s="713"/>
      <c r="HE152" s="713"/>
      <c r="HF152" s="713"/>
      <c r="HG152" s="713"/>
      <c r="HH152" s="713"/>
      <c r="HI152" s="713"/>
      <c r="HJ152" s="713"/>
      <c r="HK152" s="713"/>
      <c r="HL152" s="713"/>
      <c r="HM152" s="713"/>
      <c r="HN152" s="713"/>
      <c r="HO152" s="713"/>
      <c r="HP152" s="713"/>
      <c r="HQ152" s="713"/>
      <c r="HR152" s="713"/>
      <c r="HS152" s="713"/>
      <c r="HT152" s="713"/>
      <c r="HU152" s="713"/>
      <c r="HV152" s="713"/>
      <c r="HW152" s="713"/>
      <c r="HX152" s="713"/>
      <c r="HY152" s="713"/>
      <c r="HZ152" s="713"/>
      <c r="IA152" s="713"/>
      <c r="IB152" s="713"/>
      <c r="IC152" s="713"/>
      <c r="ID152" s="713"/>
      <c r="IE152" s="713"/>
      <c r="IF152" s="713"/>
      <c r="IG152" s="713"/>
      <c r="IH152" s="713"/>
    </row>
    <row r="153" hidden="1" outlineLevel="1">
      <c r="A153" s="598"/>
      <c r="B153" s="598"/>
      <c r="C153" s="598"/>
      <c r="D153" s="598"/>
      <c r="E153" s="598"/>
      <c r="F153" s="598"/>
      <c r="G153" s="598"/>
      <c r="H153" s="598"/>
      <c r="I153" s="598"/>
      <c r="J153" s="598"/>
      <c r="K153" s="598"/>
      <c r="L153" s="598"/>
      <c r="M153" s="598"/>
      <c r="N153" s="598"/>
      <c r="O153" s="598"/>
      <c r="P153" s="598"/>
      <c r="Q153" s="598"/>
      <c r="R153" s="598"/>
      <c r="S153" s="598"/>
      <c r="T153" s="598"/>
      <c r="U153" s="598"/>
      <c r="V153" s="598"/>
      <c r="W153" s="598"/>
      <c r="X153" s="598"/>
      <c r="Y153" s="598"/>
      <c r="Z153" s="598"/>
      <c r="AA153" s="911"/>
      <c r="AB153" s="966"/>
      <c r="AC153" s="713" t="str">
        <f>IFERROR(__xludf.DUMMYFUNCTION("""COMPUTED_VALUE"""),"Recharge Demon Mode")</f>
        <v>Recharge Demon Mode</v>
      </c>
      <c r="AD153" s="816" t="s">
        <v>254</v>
      </c>
      <c r="AE153" s="713">
        <v>4.0</v>
      </c>
      <c r="AF153" s="713"/>
      <c r="AG153" s="713">
        <v>7.0</v>
      </c>
      <c r="AH153" s="1004" t="str">
        <f>IFERROR(__xludf.DUMMYFUNCTION("IFERROR(IF(C40 = """", SEQUENCE(1, VALUE(VLOOKUP(E40, AD:AG, 4, false)) - VALUE(VLOOKUP(E40, AD:AG, 2, false)), VALUE(VLOOKUP(E40, AD:AG, 2, false)) + 1),
    IF(ISBETWEEN(C40, VALUE(VLOOKUP(E40, AD:AG, 2, false)), VALUE(VLOOKUP(E40, AD:AG, 4, false))),
 "&amp;"       SEQUENCE(1, VALUE(VLOOKUP(E40, AD:AG, 4, false)) - C40, C40 + 1),
        """")))"),"")</f>
        <v/>
      </c>
      <c r="AI153" s="713"/>
      <c r="AJ153" s="713"/>
      <c r="AK153" s="713"/>
      <c r="AL153" s="713"/>
      <c r="AM153" s="713"/>
      <c r="AN153" s="713"/>
      <c r="AO153" s="713"/>
      <c r="AP153" s="713"/>
      <c r="AQ153" s="713"/>
      <c r="AR153" s="713"/>
      <c r="AS153" s="713"/>
      <c r="AT153" s="713"/>
      <c r="AU153" s="713"/>
      <c r="AV153" s="713"/>
      <c r="AW153" s="713"/>
      <c r="AX153" s="713"/>
      <c r="AY153" s="713"/>
      <c r="AZ153" s="713"/>
      <c r="BA153" s="713"/>
      <c r="BB153" s="713"/>
      <c r="BC153" s="713"/>
      <c r="BD153" s="713"/>
      <c r="BE153" s="713"/>
      <c r="BF153" s="713"/>
      <c r="BG153" s="713"/>
      <c r="BH153" s="713"/>
      <c r="BI153" s="713"/>
      <c r="BJ153" s="713"/>
      <c r="BK153" s="713"/>
      <c r="BL153" s="713"/>
      <c r="BM153" s="713"/>
      <c r="BN153" s="713"/>
      <c r="BO153" s="713"/>
      <c r="BP153" s="713"/>
      <c r="BQ153" s="713"/>
      <c r="BR153" s="713"/>
      <c r="BS153" s="713"/>
      <c r="BT153" s="713"/>
      <c r="BU153" s="713"/>
      <c r="BV153" s="713"/>
      <c r="BW153" s="713"/>
      <c r="BX153" s="713"/>
      <c r="BY153" s="713"/>
      <c r="BZ153" s="713"/>
      <c r="CA153" s="713"/>
      <c r="CB153" s="713"/>
      <c r="CC153" s="713"/>
      <c r="CD153" s="713"/>
      <c r="CE153" s="713"/>
      <c r="CF153" s="713"/>
      <c r="CG153" s="713"/>
      <c r="CH153" s="713"/>
      <c r="CI153" s="713"/>
      <c r="CJ153" s="713"/>
      <c r="CK153" s="713"/>
      <c r="CL153" s="713"/>
      <c r="CM153" s="713"/>
      <c r="CN153" s="713"/>
      <c r="CO153" s="713"/>
      <c r="CP153" s="713"/>
      <c r="CQ153" s="713"/>
      <c r="CR153" s="713"/>
      <c r="CS153" s="713"/>
      <c r="CT153" s="713"/>
      <c r="CU153" s="713"/>
      <c r="CV153" s="713"/>
      <c r="CW153" s="713"/>
      <c r="CX153" s="713"/>
      <c r="CY153" s="713"/>
      <c r="CZ153" s="713"/>
      <c r="DA153" s="713"/>
      <c r="DB153" s="713"/>
      <c r="DC153" s="713"/>
      <c r="DD153" s="713"/>
      <c r="DE153" s="713"/>
      <c r="DF153" s="713"/>
      <c r="DG153" s="713"/>
      <c r="DH153" s="713"/>
      <c r="DI153" s="713"/>
      <c r="DJ153" s="713"/>
      <c r="DK153" s="713"/>
      <c r="DL153" s="713"/>
      <c r="DM153" s="713"/>
      <c r="DN153" s="713"/>
      <c r="DO153" s="713"/>
      <c r="DP153" s="713"/>
      <c r="DQ153" s="713"/>
      <c r="DR153" s="713"/>
      <c r="DS153" s="713"/>
      <c r="DT153" s="713"/>
      <c r="DU153" s="713"/>
      <c r="DV153" s="713"/>
      <c r="DW153" s="713"/>
      <c r="DX153" s="713"/>
      <c r="DY153" s="713"/>
      <c r="DZ153" s="713"/>
      <c r="EA153" s="713"/>
      <c r="EB153" s="713"/>
      <c r="EC153" s="713"/>
      <c r="ED153" s="713"/>
      <c r="EE153" s="713"/>
      <c r="EF153" s="713"/>
      <c r="EG153" s="713"/>
      <c r="EH153" s="713"/>
      <c r="EI153" s="713"/>
      <c r="EJ153" s="713"/>
      <c r="EK153" s="713"/>
      <c r="EL153" s="713"/>
      <c r="EM153" s="713"/>
      <c r="EN153" s="713"/>
      <c r="EO153" s="713"/>
      <c r="EP153" s="713"/>
      <c r="EQ153" s="713"/>
      <c r="ER153" s="713"/>
      <c r="ES153" s="713"/>
      <c r="ET153" s="713"/>
      <c r="EU153" s="713"/>
      <c r="EV153" s="713"/>
      <c r="EW153" s="713"/>
      <c r="EX153" s="713"/>
      <c r="EY153" s="713"/>
      <c r="EZ153" s="713"/>
      <c r="FA153" s="713"/>
      <c r="FB153" s="713"/>
      <c r="FC153" s="713"/>
      <c r="FD153" s="713"/>
      <c r="FE153" s="713"/>
      <c r="FF153" s="713"/>
      <c r="FG153" s="713"/>
      <c r="FH153" s="713"/>
      <c r="FI153" s="713"/>
      <c r="FJ153" s="713"/>
      <c r="FK153" s="713"/>
      <c r="FL153" s="713"/>
      <c r="FM153" s="713"/>
      <c r="FN153" s="713"/>
      <c r="FO153" s="713"/>
      <c r="FP153" s="713"/>
      <c r="FQ153" s="713"/>
      <c r="FR153" s="713"/>
      <c r="FS153" s="713"/>
      <c r="FT153" s="713"/>
      <c r="FU153" s="713"/>
      <c r="FV153" s="713"/>
      <c r="FW153" s="713"/>
      <c r="FX153" s="713"/>
      <c r="FY153" s="713"/>
      <c r="FZ153" s="713"/>
      <c r="GA153" s="713"/>
      <c r="GB153" s="713"/>
      <c r="GC153" s="713"/>
      <c r="GD153" s="713"/>
      <c r="GE153" s="713"/>
      <c r="GF153" s="713"/>
      <c r="GG153" s="713"/>
      <c r="GH153" s="713"/>
      <c r="GI153" s="713"/>
      <c r="GJ153" s="713"/>
      <c r="GK153" s="713"/>
      <c r="GL153" s="713"/>
      <c r="GM153" s="713"/>
      <c r="GN153" s="713"/>
      <c r="GO153" s="713"/>
      <c r="GP153" s="713"/>
      <c r="GQ153" s="713"/>
      <c r="GR153" s="713"/>
      <c r="GS153" s="713"/>
      <c r="GT153" s="713"/>
      <c r="GU153" s="713"/>
      <c r="GV153" s="713"/>
      <c r="GW153" s="713"/>
      <c r="GX153" s="713"/>
      <c r="GY153" s="713"/>
      <c r="GZ153" s="713"/>
      <c r="HA153" s="713"/>
      <c r="HB153" s="713"/>
      <c r="HC153" s="713"/>
      <c r="HD153" s="713"/>
      <c r="HE153" s="713"/>
      <c r="HF153" s="713"/>
      <c r="HG153" s="713"/>
      <c r="HH153" s="713"/>
      <c r="HI153" s="713"/>
      <c r="HJ153" s="713"/>
      <c r="HK153" s="713"/>
      <c r="HL153" s="713"/>
      <c r="HM153" s="713"/>
      <c r="HN153" s="713"/>
      <c r="HO153" s="713"/>
      <c r="HP153" s="713"/>
      <c r="HQ153" s="713"/>
      <c r="HR153" s="713"/>
      <c r="HS153" s="713"/>
      <c r="HT153" s="713"/>
      <c r="HU153" s="713"/>
      <c r="HV153" s="713"/>
      <c r="HW153" s="713"/>
      <c r="HX153" s="713"/>
      <c r="HY153" s="713"/>
      <c r="HZ153" s="713"/>
      <c r="IA153" s="713"/>
      <c r="IB153" s="713"/>
      <c r="IC153" s="713"/>
      <c r="ID153" s="713"/>
      <c r="IE153" s="713"/>
      <c r="IF153" s="713"/>
      <c r="IG153" s="713"/>
      <c r="IH153" s="713"/>
    </row>
    <row r="154" hidden="1" outlineLevel="1">
      <c r="A154" s="598"/>
      <c r="B154" s="598"/>
      <c r="C154" s="598"/>
      <c r="D154" s="598"/>
      <c r="E154" s="598"/>
      <c r="F154" s="598"/>
      <c r="G154" s="598"/>
      <c r="H154" s="598"/>
      <c r="I154" s="598"/>
      <c r="J154" s="598"/>
      <c r="K154" s="598"/>
      <c r="L154" s="598"/>
      <c r="M154" s="598"/>
      <c r="N154" s="598"/>
      <c r="O154" s="598"/>
      <c r="P154" s="598"/>
      <c r="Q154" s="598"/>
      <c r="R154" s="598"/>
      <c r="S154" s="598"/>
      <c r="T154" s="598"/>
      <c r="U154" s="598"/>
      <c r="V154" s="598"/>
      <c r="W154" s="598"/>
      <c r="X154" s="598"/>
      <c r="Y154" s="598"/>
      <c r="Z154" s="598"/>
      <c r="AA154" s="911"/>
      <c r="AB154" s="1000"/>
      <c r="AC154" s="714" t="str">
        <f>IFERROR(__xludf.DUMMYFUNCTION("""COMPUTED_VALUE"""),"Recharge Missile Barrage")</f>
        <v>Recharge Missile Barrage</v>
      </c>
      <c r="AD154" s="825" t="s">
        <v>364</v>
      </c>
      <c r="AE154" s="714">
        <v>0.0</v>
      </c>
      <c r="AF154" s="714"/>
      <c r="AG154" s="714">
        <v>7.0</v>
      </c>
      <c r="AH154" s="1004" t="str">
        <f>IFERROR(__xludf.DUMMYFUNCTION("IFERROR(IF(C41 = """", SEQUENCE(1, VALUE(VLOOKUP(E41, AD:AG, 4, false)) - VALUE(VLOOKUP(E41, AD:AG, 2, false)), VALUE(VLOOKUP(E41, AD:AG, 2, false)) + 1),
    IF(ISBETWEEN(C41, VALUE(VLOOKUP(E41, AD:AG, 2, false)), VALUE(VLOOKUP(E41, AD:AG, 4, false))),
 "&amp;"       SEQUENCE(1, VALUE(VLOOKUP(E41, AD:AG, 4, false)) - C41, C41 + 1),
        """")))"),"")</f>
        <v/>
      </c>
      <c r="AI154" s="714"/>
      <c r="AJ154" s="714"/>
      <c r="AK154" s="714"/>
      <c r="AL154" s="714"/>
      <c r="AM154" s="714"/>
      <c r="AN154" s="714"/>
      <c r="AO154" s="714"/>
      <c r="AP154" s="714"/>
      <c r="AQ154" s="714"/>
      <c r="AR154" s="714"/>
      <c r="AS154" s="714"/>
      <c r="AT154" s="714"/>
      <c r="AU154" s="714"/>
      <c r="AV154" s="714"/>
      <c r="AW154" s="714"/>
      <c r="AX154" s="714"/>
      <c r="AY154" s="714"/>
      <c r="AZ154" s="714"/>
      <c r="BA154" s="714"/>
      <c r="BB154" s="714"/>
      <c r="BC154" s="714"/>
      <c r="BD154" s="714"/>
      <c r="BE154" s="714"/>
      <c r="BF154" s="714"/>
      <c r="BG154" s="714"/>
      <c r="BH154" s="714"/>
      <c r="BI154" s="714"/>
      <c r="BJ154" s="714"/>
      <c r="BK154" s="714"/>
      <c r="BL154" s="714"/>
      <c r="BM154" s="714"/>
      <c r="BN154" s="714"/>
      <c r="BO154" s="714"/>
      <c r="BP154" s="714"/>
      <c r="BQ154" s="714"/>
      <c r="BR154" s="714"/>
      <c r="BS154" s="714"/>
      <c r="BT154" s="714"/>
      <c r="BU154" s="714"/>
      <c r="BV154" s="714"/>
      <c r="BW154" s="714"/>
      <c r="BX154" s="714"/>
      <c r="BY154" s="714"/>
      <c r="BZ154" s="714"/>
      <c r="CA154" s="714"/>
      <c r="CB154" s="714"/>
      <c r="CC154" s="714"/>
      <c r="CD154" s="714"/>
      <c r="CE154" s="714"/>
      <c r="CF154" s="714"/>
      <c r="CG154" s="714"/>
      <c r="CH154" s="714"/>
      <c r="CI154" s="714"/>
      <c r="CJ154" s="714"/>
      <c r="CK154" s="714"/>
      <c r="CL154" s="714"/>
      <c r="CM154" s="714"/>
      <c r="CN154" s="714"/>
      <c r="CO154" s="714"/>
      <c r="CP154" s="714"/>
      <c r="CQ154" s="714"/>
      <c r="CR154" s="714"/>
      <c r="CS154" s="714"/>
      <c r="CT154" s="714"/>
      <c r="CU154" s="714"/>
      <c r="CV154" s="714"/>
      <c r="CW154" s="714"/>
      <c r="CX154" s="714"/>
      <c r="CY154" s="714"/>
      <c r="CZ154" s="714"/>
      <c r="DA154" s="714"/>
      <c r="DB154" s="714"/>
      <c r="DC154" s="714"/>
      <c r="DD154" s="714"/>
      <c r="DE154" s="714"/>
      <c r="DF154" s="714"/>
      <c r="DG154" s="714"/>
      <c r="DH154" s="714"/>
      <c r="DI154" s="714"/>
      <c r="DJ154" s="714"/>
      <c r="DK154" s="714"/>
      <c r="DL154" s="714"/>
      <c r="DM154" s="714"/>
      <c r="DN154" s="714"/>
      <c r="DO154" s="714"/>
      <c r="DP154" s="714"/>
      <c r="DQ154" s="714"/>
      <c r="DR154" s="714"/>
      <c r="DS154" s="714"/>
      <c r="DT154" s="714"/>
      <c r="DU154" s="714"/>
      <c r="DV154" s="714"/>
      <c r="DW154" s="714"/>
      <c r="DX154" s="714"/>
      <c r="DY154" s="714"/>
      <c r="DZ154" s="714"/>
      <c r="EA154" s="714"/>
      <c r="EB154" s="714"/>
      <c r="EC154" s="714"/>
      <c r="ED154" s="714"/>
      <c r="EE154" s="714"/>
      <c r="EF154" s="714"/>
      <c r="EG154" s="714"/>
      <c r="EH154" s="714"/>
      <c r="EI154" s="714"/>
      <c r="EJ154" s="714"/>
      <c r="EK154" s="714"/>
      <c r="EL154" s="714"/>
      <c r="EM154" s="714"/>
      <c r="EN154" s="714"/>
      <c r="EO154" s="714"/>
      <c r="EP154" s="714"/>
      <c r="EQ154" s="714"/>
      <c r="ER154" s="714"/>
      <c r="ES154" s="714"/>
      <c r="ET154" s="714"/>
      <c r="EU154" s="714"/>
      <c r="EV154" s="714"/>
      <c r="EW154" s="714"/>
      <c r="EX154" s="714"/>
      <c r="EY154" s="714"/>
      <c r="EZ154" s="714"/>
      <c r="FA154" s="714"/>
      <c r="FB154" s="714"/>
      <c r="FC154" s="714"/>
      <c r="FD154" s="714"/>
      <c r="FE154" s="714"/>
      <c r="FF154" s="714"/>
      <c r="FG154" s="714"/>
      <c r="FH154" s="714"/>
      <c r="FI154" s="714"/>
      <c r="FJ154" s="714"/>
      <c r="FK154" s="714"/>
      <c r="FL154" s="714"/>
      <c r="FM154" s="714"/>
      <c r="FN154" s="714"/>
      <c r="FO154" s="714"/>
      <c r="FP154" s="714"/>
      <c r="FQ154" s="714"/>
      <c r="FR154" s="714"/>
      <c r="FS154" s="714"/>
      <c r="FT154" s="714"/>
      <c r="FU154" s="714"/>
      <c r="FV154" s="714"/>
      <c r="FW154" s="714"/>
      <c r="FX154" s="714"/>
      <c r="FY154" s="714"/>
      <c r="FZ154" s="714"/>
      <c r="GA154" s="714"/>
      <c r="GB154" s="714"/>
      <c r="GC154" s="714"/>
      <c r="GD154" s="714"/>
      <c r="GE154" s="714"/>
      <c r="GF154" s="714"/>
      <c r="GG154" s="714"/>
      <c r="GH154" s="714"/>
      <c r="GI154" s="714"/>
      <c r="GJ154" s="714"/>
      <c r="GK154" s="714"/>
      <c r="GL154" s="714"/>
      <c r="GM154" s="714"/>
      <c r="GN154" s="714"/>
      <c r="GO154" s="714"/>
      <c r="GP154" s="714"/>
      <c r="GQ154" s="714"/>
      <c r="GR154" s="714"/>
      <c r="GS154" s="714"/>
      <c r="GT154" s="714"/>
      <c r="GU154" s="714"/>
      <c r="GV154" s="714"/>
      <c r="GW154" s="714"/>
      <c r="GX154" s="714"/>
      <c r="GY154" s="714"/>
      <c r="GZ154" s="714"/>
      <c r="HA154" s="714"/>
      <c r="HB154" s="714"/>
      <c r="HC154" s="714"/>
      <c r="HD154" s="714"/>
      <c r="HE154" s="714"/>
      <c r="HF154" s="714"/>
      <c r="HG154" s="714"/>
      <c r="HH154" s="714"/>
      <c r="HI154" s="714"/>
      <c r="HJ154" s="714"/>
      <c r="HK154" s="714"/>
      <c r="HL154" s="714"/>
      <c r="HM154" s="714"/>
      <c r="HN154" s="714"/>
      <c r="HO154" s="714"/>
      <c r="HP154" s="714"/>
      <c r="HQ154" s="714"/>
      <c r="HR154" s="714"/>
      <c r="HS154" s="714"/>
      <c r="HT154" s="714"/>
      <c r="HU154" s="714"/>
      <c r="HV154" s="714"/>
      <c r="HW154" s="714"/>
      <c r="HX154" s="714"/>
      <c r="HY154" s="714"/>
      <c r="HZ154" s="714"/>
      <c r="IA154" s="714"/>
      <c r="IB154" s="714"/>
      <c r="IC154" s="714"/>
      <c r="ID154" s="714"/>
      <c r="IE154" s="714"/>
      <c r="IF154" s="714"/>
      <c r="IG154" s="714"/>
      <c r="IH154" s="714"/>
    </row>
    <row r="155" hidden="1" outlineLevel="1">
      <c r="A155" s="598"/>
      <c r="B155" s="598"/>
      <c r="C155" s="598"/>
      <c r="D155" s="598"/>
      <c r="E155" s="598"/>
      <c r="F155" s="598"/>
      <c r="G155" s="598"/>
      <c r="H155" s="598"/>
      <c r="I155" s="598"/>
      <c r="J155" s="598"/>
      <c r="K155" s="598"/>
      <c r="L155" s="598"/>
      <c r="M155" s="598"/>
      <c r="N155" s="598"/>
      <c r="O155" s="598"/>
      <c r="P155" s="598"/>
      <c r="Q155" s="598"/>
      <c r="R155" s="598"/>
      <c r="S155" s="598"/>
      <c r="T155" s="598"/>
      <c r="U155" s="598"/>
      <c r="V155" s="598"/>
      <c r="W155" s="598"/>
      <c r="X155" s="598"/>
      <c r="Y155" s="598"/>
      <c r="Z155" s="598"/>
      <c r="AA155" s="911"/>
      <c r="AB155" s="1000"/>
      <c r="AC155" s="714" t="str">
        <f>IFERROR(__xludf.DUMMYFUNCTION("""COMPUTED_VALUE"""),"Recharge Nuke")</f>
        <v>Recharge Nuke</v>
      </c>
      <c r="AD155" s="825" t="s">
        <v>265</v>
      </c>
      <c r="AE155" s="714">
        <v>2.0</v>
      </c>
      <c r="AF155" s="714"/>
      <c r="AG155" s="714">
        <v>7.0</v>
      </c>
      <c r="AH155" s="1004" t="str">
        <f>IFERROR(__xludf.DUMMYFUNCTION("IFERROR(IF(C42 = """", SEQUENCE(1, VALUE(VLOOKUP(E42, AD:AG, 4, false)) - VALUE(VLOOKUP(E42, AD:AG, 2, false)), VALUE(VLOOKUP(E42, AD:AG, 2, false)) + 1),
    IF(ISBETWEEN(C42, VALUE(VLOOKUP(E42, AD:AG, 2, false)), VALUE(VLOOKUP(E42, AD:AG, 4, false))),
 "&amp;"       SEQUENCE(1, VALUE(VLOOKUP(E42, AD:AG, 4, false)) - C42, C42 + 1),
        """")))"),"")</f>
        <v/>
      </c>
      <c r="AI155" s="714"/>
      <c r="AJ155" s="714"/>
      <c r="AK155" s="714"/>
      <c r="AL155" s="714"/>
      <c r="AM155" s="714"/>
      <c r="AN155" s="714"/>
      <c r="AO155" s="714"/>
      <c r="AP155" s="714"/>
      <c r="AQ155" s="714"/>
      <c r="AR155" s="714"/>
      <c r="AS155" s="714"/>
      <c r="AT155" s="714"/>
      <c r="AU155" s="714"/>
      <c r="AV155" s="714"/>
      <c r="AW155" s="714"/>
      <c r="AX155" s="714"/>
      <c r="AY155" s="714"/>
      <c r="AZ155" s="714"/>
      <c r="BA155" s="714"/>
      <c r="BB155" s="714"/>
      <c r="BC155" s="714"/>
      <c r="BD155" s="714"/>
      <c r="BE155" s="714"/>
      <c r="BF155" s="714"/>
      <c r="BG155" s="714"/>
      <c r="BH155" s="714"/>
      <c r="BI155" s="714"/>
      <c r="BJ155" s="714"/>
      <c r="BK155" s="714"/>
      <c r="BL155" s="714"/>
      <c r="BM155" s="714"/>
      <c r="BN155" s="714"/>
      <c r="BO155" s="714"/>
      <c r="BP155" s="714"/>
      <c r="BQ155" s="714"/>
      <c r="BR155" s="714"/>
      <c r="BS155" s="714"/>
      <c r="BT155" s="714"/>
      <c r="BU155" s="714"/>
      <c r="BV155" s="714"/>
      <c r="BW155" s="714"/>
      <c r="BX155" s="714"/>
      <c r="BY155" s="714"/>
      <c r="BZ155" s="714"/>
      <c r="CA155" s="714"/>
      <c r="CB155" s="714"/>
      <c r="CC155" s="714"/>
      <c r="CD155" s="714"/>
      <c r="CE155" s="714"/>
      <c r="CF155" s="714"/>
      <c r="CG155" s="714"/>
      <c r="CH155" s="714"/>
      <c r="CI155" s="714"/>
      <c r="CJ155" s="714"/>
      <c r="CK155" s="714"/>
      <c r="CL155" s="714"/>
      <c r="CM155" s="714"/>
      <c r="CN155" s="714"/>
      <c r="CO155" s="714"/>
      <c r="CP155" s="714"/>
      <c r="CQ155" s="714"/>
      <c r="CR155" s="714"/>
      <c r="CS155" s="714"/>
      <c r="CT155" s="714"/>
      <c r="CU155" s="714"/>
      <c r="CV155" s="714"/>
      <c r="CW155" s="714"/>
      <c r="CX155" s="714"/>
      <c r="CY155" s="714"/>
      <c r="CZ155" s="714"/>
      <c r="DA155" s="714"/>
      <c r="DB155" s="714"/>
      <c r="DC155" s="714"/>
      <c r="DD155" s="714"/>
      <c r="DE155" s="714"/>
      <c r="DF155" s="714"/>
      <c r="DG155" s="714"/>
      <c r="DH155" s="714"/>
      <c r="DI155" s="714"/>
      <c r="DJ155" s="714"/>
      <c r="DK155" s="714"/>
      <c r="DL155" s="714"/>
      <c r="DM155" s="714"/>
      <c r="DN155" s="714"/>
      <c r="DO155" s="714"/>
      <c r="DP155" s="714"/>
      <c r="DQ155" s="714"/>
      <c r="DR155" s="714"/>
      <c r="DS155" s="714"/>
      <c r="DT155" s="714"/>
      <c r="DU155" s="714"/>
      <c r="DV155" s="714"/>
      <c r="DW155" s="714"/>
      <c r="DX155" s="714"/>
      <c r="DY155" s="714"/>
      <c r="DZ155" s="714"/>
      <c r="EA155" s="714"/>
      <c r="EB155" s="714"/>
      <c r="EC155" s="714"/>
      <c r="ED155" s="714"/>
      <c r="EE155" s="714"/>
      <c r="EF155" s="714"/>
      <c r="EG155" s="714"/>
      <c r="EH155" s="714"/>
      <c r="EI155" s="714"/>
      <c r="EJ155" s="714"/>
      <c r="EK155" s="714"/>
      <c r="EL155" s="714"/>
      <c r="EM155" s="714"/>
      <c r="EN155" s="714"/>
      <c r="EO155" s="714"/>
      <c r="EP155" s="714"/>
      <c r="EQ155" s="714"/>
      <c r="ER155" s="714"/>
      <c r="ES155" s="714"/>
      <c r="ET155" s="714"/>
      <c r="EU155" s="714"/>
      <c r="EV155" s="714"/>
      <c r="EW155" s="714"/>
      <c r="EX155" s="714"/>
      <c r="EY155" s="714"/>
      <c r="EZ155" s="714"/>
      <c r="FA155" s="714"/>
      <c r="FB155" s="714"/>
      <c r="FC155" s="714"/>
      <c r="FD155" s="714"/>
      <c r="FE155" s="714"/>
      <c r="FF155" s="714"/>
      <c r="FG155" s="714"/>
      <c r="FH155" s="714"/>
      <c r="FI155" s="714"/>
      <c r="FJ155" s="714"/>
      <c r="FK155" s="714"/>
      <c r="FL155" s="714"/>
      <c r="FM155" s="714"/>
      <c r="FN155" s="714"/>
      <c r="FO155" s="714"/>
      <c r="FP155" s="714"/>
      <c r="FQ155" s="714"/>
      <c r="FR155" s="714"/>
      <c r="FS155" s="714"/>
      <c r="FT155" s="714"/>
      <c r="FU155" s="714"/>
      <c r="FV155" s="714"/>
      <c r="FW155" s="714"/>
      <c r="FX155" s="714"/>
      <c r="FY155" s="714"/>
      <c r="FZ155" s="714"/>
      <c r="GA155" s="714"/>
      <c r="GB155" s="714"/>
      <c r="GC155" s="714"/>
      <c r="GD155" s="714"/>
      <c r="GE155" s="714"/>
      <c r="GF155" s="714"/>
      <c r="GG155" s="714"/>
      <c r="GH155" s="714"/>
      <c r="GI155" s="714"/>
      <c r="GJ155" s="714"/>
      <c r="GK155" s="714"/>
      <c r="GL155" s="714"/>
      <c r="GM155" s="714"/>
      <c r="GN155" s="714"/>
      <c r="GO155" s="714"/>
      <c r="GP155" s="714"/>
      <c r="GQ155" s="714"/>
      <c r="GR155" s="714"/>
      <c r="GS155" s="714"/>
      <c r="GT155" s="714"/>
      <c r="GU155" s="714"/>
      <c r="GV155" s="714"/>
      <c r="GW155" s="714"/>
      <c r="GX155" s="714"/>
      <c r="GY155" s="714"/>
      <c r="GZ155" s="714"/>
      <c r="HA155" s="714"/>
      <c r="HB155" s="714"/>
      <c r="HC155" s="714"/>
      <c r="HD155" s="714"/>
      <c r="HE155" s="714"/>
      <c r="HF155" s="714"/>
      <c r="HG155" s="714"/>
      <c r="HH155" s="714"/>
      <c r="HI155" s="714"/>
      <c r="HJ155" s="714"/>
      <c r="HK155" s="714"/>
      <c r="HL155" s="714"/>
      <c r="HM155" s="714"/>
      <c r="HN155" s="714"/>
      <c r="HO155" s="714"/>
      <c r="HP155" s="714"/>
      <c r="HQ155" s="714"/>
      <c r="HR155" s="714"/>
      <c r="HS155" s="714"/>
      <c r="HT155" s="714"/>
      <c r="HU155" s="714"/>
      <c r="HV155" s="714"/>
      <c r="HW155" s="714"/>
      <c r="HX155" s="714"/>
      <c r="HY155" s="714"/>
      <c r="HZ155" s="714"/>
      <c r="IA155" s="714"/>
      <c r="IB155" s="714"/>
      <c r="IC155" s="714"/>
      <c r="ID155" s="714"/>
      <c r="IE155" s="714"/>
      <c r="IF155" s="714"/>
      <c r="IG155" s="714"/>
      <c r="IH155" s="714"/>
    </row>
    <row r="156" hidden="1" outlineLevel="1">
      <c r="A156" s="598"/>
      <c r="B156" s="598"/>
      <c r="C156" s="598"/>
      <c r="D156" s="598"/>
      <c r="E156" s="598"/>
      <c r="F156" s="598"/>
      <c r="G156" s="598"/>
      <c r="H156" s="598"/>
      <c r="I156" s="598"/>
      <c r="J156" s="598"/>
      <c r="K156" s="598"/>
      <c r="L156" s="598"/>
      <c r="M156" s="598"/>
      <c r="N156" s="598"/>
      <c r="O156" s="598"/>
      <c r="P156" s="598"/>
      <c r="Q156" s="598"/>
      <c r="R156" s="598"/>
      <c r="S156" s="598"/>
      <c r="T156" s="598"/>
      <c r="U156" s="598"/>
      <c r="V156" s="598"/>
      <c r="W156" s="598"/>
      <c r="X156" s="598"/>
      <c r="Y156" s="598"/>
      <c r="Z156" s="598"/>
      <c r="AA156" s="911"/>
      <c r="AB156" s="1000"/>
      <c r="AC156" s="714" t="str">
        <f>IFERROR(__xludf.DUMMYFUNCTION("""COMPUTED_VALUE"""),"Recharge Second Wind")</f>
        <v>Recharge Second Wind</v>
      </c>
      <c r="AD156" s="825" t="s">
        <v>243</v>
      </c>
      <c r="AE156" s="714">
        <v>7.0</v>
      </c>
      <c r="AF156" s="714"/>
      <c r="AG156" s="714">
        <v>7.0</v>
      </c>
      <c r="AH156" s="1004" t="str">
        <f>IFERROR(__xludf.DUMMYFUNCTION("IFERROR(IF(C43 = """", SEQUENCE(1, VALUE(VLOOKUP(E43, AD:AG, 4, false)) - VALUE(VLOOKUP(E43, AD:AG, 2, false)), VALUE(VLOOKUP(E43, AD:AG, 2, false)) + 1),
    IF(ISBETWEEN(C43, VALUE(VLOOKUP(E43, AD:AG, 2, false)), VALUE(VLOOKUP(E43, AD:AG, 4, false))),
 "&amp;"       SEQUENCE(1, VALUE(VLOOKUP(E43, AD:AG, 4, false)) - C43, C43 + 1),
        """")))"),"")</f>
        <v/>
      </c>
      <c r="AI156" s="714"/>
      <c r="AJ156" s="714"/>
      <c r="AK156" s="714"/>
      <c r="AL156" s="714"/>
      <c r="AM156" s="714"/>
      <c r="AN156" s="714"/>
      <c r="AO156" s="714"/>
      <c r="AP156" s="714"/>
      <c r="AQ156" s="714"/>
      <c r="AR156" s="714"/>
      <c r="AS156" s="714"/>
      <c r="AT156" s="714"/>
      <c r="AU156" s="714"/>
      <c r="AV156" s="714"/>
      <c r="AW156" s="714"/>
      <c r="AX156" s="714"/>
      <c r="AY156" s="714"/>
      <c r="AZ156" s="714"/>
      <c r="BA156" s="714"/>
      <c r="BB156" s="714"/>
      <c r="BC156" s="714"/>
      <c r="BD156" s="714"/>
      <c r="BE156" s="714"/>
      <c r="BF156" s="714"/>
      <c r="BG156" s="714"/>
      <c r="BH156" s="714"/>
      <c r="BI156" s="714"/>
      <c r="BJ156" s="714"/>
      <c r="BK156" s="714"/>
      <c r="BL156" s="714"/>
      <c r="BM156" s="714"/>
      <c r="BN156" s="714"/>
      <c r="BO156" s="714"/>
      <c r="BP156" s="714"/>
      <c r="BQ156" s="714"/>
      <c r="BR156" s="714"/>
      <c r="BS156" s="714"/>
      <c r="BT156" s="714"/>
      <c r="BU156" s="714"/>
      <c r="BV156" s="714"/>
      <c r="BW156" s="714"/>
      <c r="BX156" s="714"/>
      <c r="BY156" s="714"/>
      <c r="BZ156" s="714"/>
      <c r="CA156" s="714"/>
      <c r="CB156" s="714"/>
      <c r="CC156" s="714"/>
      <c r="CD156" s="714"/>
      <c r="CE156" s="714"/>
      <c r="CF156" s="714"/>
      <c r="CG156" s="714"/>
      <c r="CH156" s="714"/>
      <c r="CI156" s="714"/>
      <c r="CJ156" s="714"/>
      <c r="CK156" s="714"/>
      <c r="CL156" s="714"/>
      <c r="CM156" s="714"/>
      <c r="CN156" s="714"/>
      <c r="CO156" s="714"/>
      <c r="CP156" s="714"/>
      <c r="CQ156" s="714"/>
      <c r="CR156" s="714"/>
      <c r="CS156" s="714"/>
      <c r="CT156" s="714"/>
      <c r="CU156" s="714"/>
      <c r="CV156" s="714"/>
      <c r="CW156" s="714"/>
      <c r="CX156" s="714"/>
      <c r="CY156" s="714"/>
      <c r="CZ156" s="714"/>
      <c r="DA156" s="714"/>
      <c r="DB156" s="714"/>
      <c r="DC156" s="714"/>
      <c r="DD156" s="714"/>
      <c r="DE156" s="714"/>
      <c r="DF156" s="714"/>
      <c r="DG156" s="714"/>
      <c r="DH156" s="714"/>
      <c r="DI156" s="714"/>
      <c r="DJ156" s="714"/>
      <c r="DK156" s="714"/>
      <c r="DL156" s="714"/>
      <c r="DM156" s="714"/>
      <c r="DN156" s="714"/>
      <c r="DO156" s="714"/>
      <c r="DP156" s="714"/>
      <c r="DQ156" s="714"/>
      <c r="DR156" s="714"/>
      <c r="DS156" s="714"/>
      <c r="DT156" s="714"/>
      <c r="DU156" s="714"/>
      <c r="DV156" s="714"/>
      <c r="DW156" s="714"/>
      <c r="DX156" s="714"/>
      <c r="DY156" s="714"/>
      <c r="DZ156" s="714"/>
      <c r="EA156" s="714"/>
      <c r="EB156" s="714"/>
      <c r="EC156" s="714"/>
      <c r="ED156" s="714"/>
      <c r="EE156" s="714"/>
      <c r="EF156" s="714"/>
      <c r="EG156" s="714"/>
      <c r="EH156" s="714"/>
      <c r="EI156" s="714"/>
      <c r="EJ156" s="714"/>
      <c r="EK156" s="714"/>
      <c r="EL156" s="714"/>
      <c r="EM156" s="714"/>
      <c r="EN156" s="714"/>
      <c r="EO156" s="714"/>
      <c r="EP156" s="714"/>
      <c r="EQ156" s="714"/>
      <c r="ER156" s="714"/>
      <c r="ES156" s="714"/>
      <c r="ET156" s="714"/>
      <c r="EU156" s="714"/>
      <c r="EV156" s="714"/>
      <c r="EW156" s="714"/>
      <c r="EX156" s="714"/>
      <c r="EY156" s="714"/>
      <c r="EZ156" s="714"/>
      <c r="FA156" s="714"/>
      <c r="FB156" s="714"/>
      <c r="FC156" s="714"/>
      <c r="FD156" s="714"/>
      <c r="FE156" s="714"/>
      <c r="FF156" s="714"/>
      <c r="FG156" s="714"/>
      <c r="FH156" s="714"/>
      <c r="FI156" s="714"/>
      <c r="FJ156" s="714"/>
      <c r="FK156" s="714"/>
      <c r="FL156" s="714"/>
      <c r="FM156" s="714"/>
      <c r="FN156" s="714"/>
      <c r="FO156" s="714"/>
      <c r="FP156" s="714"/>
      <c r="FQ156" s="714"/>
      <c r="FR156" s="714"/>
      <c r="FS156" s="714"/>
      <c r="FT156" s="714"/>
      <c r="FU156" s="714"/>
      <c r="FV156" s="714"/>
      <c r="FW156" s="714"/>
      <c r="FX156" s="714"/>
      <c r="FY156" s="714"/>
      <c r="FZ156" s="714"/>
      <c r="GA156" s="714"/>
      <c r="GB156" s="714"/>
      <c r="GC156" s="714"/>
      <c r="GD156" s="714"/>
      <c r="GE156" s="714"/>
      <c r="GF156" s="714"/>
      <c r="GG156" s="714"/>
      <c r="GH156" s="714"/>
      <c r="GI156" s="714"/>
      <c r="GJ156" s="714"/>
      <c r="GK156" s="714"/>
      <c r="GL156" s="714"/>
      <c r="GM156" s="714"/>
      <c r="GN156" s="714"/>
      <c r="GO156" s="714"/>
      <c r="GP156" s="714"/>
      <c r="GQ156" s="714"/>
      <c r="GR156" s="714"/>
      <c r="GS156" s="714"/>
      <c r="GT156" s="714"/>
      <c r="GU156" s="714"/>
      <c r="GV156" s="714"/>
      <c r="GW156" s="714"/>
      <c r="GX156" s="714"/>
      <c r="GY156" s="714"/>
      <c r="GZ156" s="714"/>
      <c r="HA156" s="714"/>
      <c r="HB156" s="714"/>
      <c r="HC156" s="714"/>
      <c r="HD156" s="714"/>
      <c r="HE156" s="714"/>
      <c r="HF156" s="714"/>
      <c r="HG156" s="714"/>
      <c r="HH156" s="714"/>
      <c r="HI156" s="714"/>
      <c r="HJ156" s="714"/>
      <c r="HK156" s="714"/>
      <c r="HL156" s="714"/>
      <c r="HM156" s="714"/>
      <c r="HN156" s="714"/>
      <c r="HO156" s="714"/>
      <c r="HP156" s="714"/>
      <c r="HQ156" s="714"/>
      <c r="HR156" s="714"/>
      <c r="HS156" s="714"/>
      <c r="HT156" s="714"/>
      <c r="HU156" s="714"/>
      <c r="HV156" s="714"/>
      <c r="HW156" s="714"/>
      <c r="HX156" s="714"/>
      <c r="HY156" s="714"/>
      <c r="HZ156" s="714"/>
      <c r="IA156" s="714"/>
      <c r="IB156" s="714"/>
      <c r="IC156" s="714"/>
      <c r="ID156" s="714"/>
      <c r="IE156" s="714"/>
      <c r="IF156" s="714"/>
      <c r="IG156" s="714"/>
      <c r="IH156" s="714"/>
    </row>
    <row r="157" hidden="1" outlineLevel="1">
      <c r="A157" s="598"/>
      <c r="B157" s="598"/>
      <c r="C157" s="598"/>
      <c r="D157" s="598"/>
      <c r="E157" s="598"/>
      <c r="F157" s="598"/>
      <c r="G157" s="598"/>
      <c r="H157" s="598"/>
      <c r="I157" s="598"/>
      <c r="J157" s="598"/>
      <c r="K157" s="598"/>
      <c r="L157" s="598"/>
      <c r="M157" s="598"/>
      <c r="N157" s="598"/>
      <c r="O157" s="598"/>
      <c r="P157" s="598"/>
      <c r="Q157" s="598"/>
      <c r="R157" s="598"/>
      <c r="S157" s="598"/>
      <c r="T157" s="598"/>
      <c r="U157" s="598"/>
      <c r="V157" s="598"/>
      <c r="W157" s="598"/>
      <c r="X157" s="598"/>
      <c r="Y157" s="598"/>
      <c r="Z157" s="598"/>
      <c r="AA157" s="911"/>
      <c r="AB157" s="1000"/>
      <c r="AC157" s="714" t="str">
        <f>IFERROR(__xludf.DUMMYFUNCTION("""COMPUTED_VALUE"""),"Recovery Package Amount")</f>
        <v>Recovery Package Amount</v>
      </c>
      <c r="AD157" s="825" t="s">
        <v>252</v>
      </c>
      <c r="AE157" s="714">
        <v>0.0</v>
      </c>
      <c r="AF157" s="714"/>
      <c r="AG157" s="714">
        <v>20.0</v>
      </c>
      <c r="AH157" s="1004" t="str">
        <f>IFERROR(__xludf.DUMMYFUNCTION("IFERROR(IF(C44 = """", SEQUENCE(1, VALUE(VLOOKUP(E44, AD:AG, 4, false)) - VALUE(VLOOKUP(E44, AD:AG, 2, false)), VALUE(VLOOKUP(E44, AD:AG, 2, false)) + 1),
    IF(ISBETWEEN(C44, VALUE(VLOOKUP(E44, AD:AG, 2, false)), VALUE(VLOOKUP(E44, AD:AG, 4, false))),
 "&amp;"       SEQUENCE(1, VALUE(VLOOKUP(E44, AD:AG, 4, false)) - C44, C44 + 1),
        """")))"),"")</f>
        <v/>
      </c>
      <c r="AI157" s="714"/>
      <c r="AJ157" s="714"/>
      <c r="AK157" s="714"/>
      <c r="AL157" s="714"/>
      <c r="AM157" s="714"/>
      <c r="AN157" s="714"/>
      <c r="AO157" s="714"/>
      <c r="AP157" s="714"/>
      <c r="AQ157" s="714"/>
      <c r="AR157" s="714"/>
      <c r="AS157" s="714"/>
      <c r="AT157" s="714"/>
      <c r="AU157" s="714"/>
      <c r="AV157" s="714"/>
      <c r="AW157" s="714"/>
      <c r="AX157" s="714"/>
      <c r="AY157" s="714"/>
      <c r="AZ157" s="714"/>
      <c r="BA157" s="714"/>
      <c r="BB157" s="714"/>
      <c r="BC157" s="714"/>
      <c r="BD157" s="714"/>
      <c r="BE157" s="714"/>
      <c r="BF157" s="714"/>
      <c r="BG157" s="714"/>
      <c r="BH157" s="714"/>
      <c r="BI157" s="714"/>
      <c r="BJ157" s="714"/>
      <c r="BK157" s="714"/>
      <c r="BL157" s="714"/>
      <c r="BM157" s="714"/>
      <c r="BN157" s="714"/>
      <c r="BO157" s="714"/>
      <c r="BP157" s="714"/>
      <c r="BQ157" s="714"/>
      <c r="BR157" s="714"/>
      <c r="BS157" s="714"/>
      <c r="BT157" s="714"/>
      <c r="BU157" s="714"/>
      <c r="BV157" s="714"/>
      <c r="BW157" s="714"/>
      <c r="BX157" s="714"/>
      <c r="BY157" s="714"/>
      <c r="BZ157" s="714"/>
      <c r="CA157" s="714"/>
      <c r="CB157" s="714"/>
      <c r="CC157" s="714"/>
      <c r="CD157" s="714"/>
      <c r="CE157" s="714"/>
      <c r="CF157" s="714"/>
      <c r="CG157" s="714"/>
      <c r="CH157" s="714"/>
      <c r="CI157" s="714"/>
      <c r="CJ157" s="714"/>
      <c r="CK157" s="714"/>
      <c r="CL157" s="714"/>
      <c r="CM157" s="714"/>
      <c r="CN157" s="714"/>
      <c r="CO157" s="714"/>
      <c r="CP157" s="714"/>
      <c r="CQ157" s="714"/>
      <c r="CR157" s="714"/>
      <c r="CS157" s="714"/>
      <c r="CT157" s="714"/>
      <c r="CU157" s="714"/>
      <c r="CV157" s="714"/>
      <c r="CW157" s="714"/>
      <c r="CX157" s="714"/>
      <c r="CY157" s="714"/>
      <c r="CZ157" s="714"/>
      <c r="DA157" s="714"/>
      <c r="DB157" s="714"/>
      <c r="DC157" s="714"/>
      <c r="DD157" s="714"/>
      <c r="DE157" s="714"/>
      <c r="DF157" s="714"/>
      <c r="DG157" s="714"/>
      <c r="DH157" s="714"/>
      <c r="DI157" s="714"/>
      <c r="DJ157" s="714"/>
      <c r="DK157" s="714"/>
      <c r="DL157" s="714"/>
      <c r="DM157" s="714"/>
      <c r="DN157" s="714"/>
      <c r="DO157" s="714"/>
      <c r="DP157" s="714"/>
      <c r="DQ157" s="714"/>
      <c r="DR157" s="714"/>
      <c r="DS157" s="714"/>
      <c r="DT157" s="714"/>
      <c r="DU157" s="714"/>
      <c r="DV157" s="714"/>
      <c r="DW157" s="714"/>
      <c r="DX157" s="714"/>
      <c r="DY157" s="714"/>
      <c r="DZ157" s="714"/>
      <c r="EA157" s="714"/>
      <c r="EB157" s="714"/>
      <c r="EC157" s="714"/>
      <c r="ED157" s="714"/>
      <c r="EE157" s="714"/>
      <c r="EF157" s="714"/>
      <c r="EG157" s="714"/>
      <c r="EH157" s="714"/>
      <c r="EI157" s="714"/>
      <c r="EJ157" s="714"/>
      <c r="EK157" s="714"/>
      <c r="EL157" s="714"/>
      <c r="EM157" s="714"/>
      <c r="EN157" s="714"/>
      <c r="EO157" s="714"/>
      <c r="EP157" s="714"/>
      <c r="EQ157" s="714"/>
      <c r="ER157" s="714"/>
      <c r="ES157" s="714"/>
      <c r="ET157" s="714"/>
      <c r="EU157" s="714"/>
      <c r="EV157" s="714"/>
      <c r="EW157" s="714"/>
      <c r="EX157" s="714"/>
      <c r="EY157" s="714"/>
      <c r="EZ157" s="714"/>
      <c r="FA157" s="714"/>
      <c r="FB157" s="714"/>
      <c r="FC157" s="714"/>
      <c r="FD157" s="714"/>
      <c r="FE157" s="714"/>
      <c r="FF157" s="714"/>
      <c r="FG157" s="714"/>
      <c r="FH157" s="714"/>
      <c r="FI157" s="714"/>
      <c r="FJ157" s="714"/>
      <c r="FK157" s="714"/>
      <c r="FL157" s="714"/>
      <c r="FM157" s="714"/>
      <c r="FN157" s="714"/>
      <c r="FO157" s="714"/>
      <c r="FP157" s="714"/>
      <c r="FQ157" s="714"/>
      <c r="FR157" s="714"/>
      <c r="FS157" s="714"/>
      <c r="FT157" s="714"/>
      <c r="FU157" s="714"/>
      <c r="FV157" s="714"/>
      <c r="FW157" s="714"/>
      <c r="FX157" s="714"/>
      <c r="FY157" s="714"/>
      <c r="FZ157" s="714"/>
      <c r="GA157" s="714"/>
      <c r="GB157" s="714"/>
      <c r="GC157" s="714"/>
      <c r="GD157" s="714"/>
      <c r="GE157" s="714"/>
      <c r="GF157" s="714"/>
      <c r="GG157" s="714"/>
      <c r="GH157" s="714"/>
      <c r="GI157" s="714"/>
      <c r="GJ157" s="714"/>
      <c r="GK157" s="714"/>
      <c r="GL157" s="714"/>
      <c r="GM157" s="714"/>
      <c r="GN157" s="714"/>
      <c r="GO157" s="714"/>
      <c r="GP157" s="714"/>
      <c r="GQ157" s="714"/>
      <c r="GR157" s="714"/>
      <c r="GS157" s="714"/>
      <c r="GT157" s="714"/>
      <c r="GU157" s="714"/>
      <c r="GV157" s="714"/>
      <c r="GW157" s="714"/>
      <c r="GX157" s="714"/>
      <c r="GY157" s="714"/>
      <c r="GZ157" s="714"/>
      <c r="HA157" s="714"/>
      <c r="HB157" s="714"/>
      <c r="HC157" s="714"/>
      <c r="HD157" s="714"/>
      <c r="HE157" s="714"/>
      <c r="HF157" s="714"/>
      <c r="HG157" s="714"/>
      <c r="HH157" s="714"/>
      <c r="HI157" s="714"/>
      <c r="HJ157" s="714"/>
      <c r="HK157" s="714"/>
      <c r="HL157" s="714"/>
      <c r="HM157" s="714"/>
      <c r="HN157" s="714"/>
      <c r="HO157" s="714"/>
      <c r="HP157" s="714"/>
      <c r="HQ157" s="714"/>
      <c r="HR157" s="714"/>
      <c r="HS157" s="714"/>
      <c r="HT157" s="714"/>
      <c r="HU157" s="714"/>
      <c r="HV157" s="714"/>
      <c r="HW157" s="714"/>
      <c r="HX157" s="714"/>
      <c r="HY157" s="714"/>
      <c r="HZ157" s="714"/>
      <c r="IA157" s="714"/>
      <c r="IB157" s="714"/>
      <c r="IC157" s="714"/>
      <c r="ID157" s="714"/>
      <c r="IE157" s="714"/>
      <c r="IF157" s="714"/>
      <c r="IG157" s="714"/>
      <c r="IH157" s="714"/>
    </row>
    <row r="158" hidden="1" outlineLevel="1">
      <c r="A158" s="598"/>
      <c r="B158" s="598"/>
      <c r="C158" s="598"/>
      <c r="D158" s="598"/>
      <c r="E158" s="598"/>
      <c r="F158" s="598"/>
      <c r="G158" s="598"/>
      <c r="H158" s="598"/>
      <c r="I158" s="598"/>
      <c r="J158" s="598"/>
      <c r="K158" s="598"/>
      <c r="L158" s="598"/>
      <c r="M158" s="598"/>
      <c r="N158" s="598"/>
      <c r="O158" s="598"/>
      <c r="P158" s="598"/>
      <c r="Q158" s="598"/>
      <c r="R158" s="598"/>
      <c r="S158" s="598"/>
      <c r="T158" s="598"/>
      <c r="U158" s="598"/>
      <c r="V158" s="598"/>
      <c r="W158" s="598"/>
      <c r="X158" s="598"/>
      <c r="Y158" s="598"/>
      <c r="Z158" s="598"/>
      <c r="AA158" s="911"/>
      <c r="AB158" s="1000"/>
      <c r="AC158" s="714" t="str">
        <f>IFERROR(__xludf.DUMMYFUNCTION("""COMPUTED_VALUE"""),"Recovery Package Chance")</f>
        <v>Recovery Package Chance</v>
      </c>
      <c r="AD158" s="825" t="s">
        <v>272</v>
      </c>
      <c r="AE158" s="714">
        <v>20.0</v>
      </c>
      <c r="AF158" s="714"/>
      <c r="AG158" s="714">
        <v>20.0</v>
      </c>
      <c r="AH158" s="1004" t="str">
        <f>IFERROR(__xludf.DUMMYFUNCTION("IFERROR(IF(C45 = """", SEQUENCE(1, VALUE(VLOOKUP(E45, AD:AG, 4, false)) - VALUE(VLOOKUP(E45, AD:AG, 2, false)), VALUE(VLOOKUP(E45, AD:AG, 2, false)) + 1),
    IF(ISBETWEEN(C45, VALUE(VLOOKUP(E45, AD:AG, 2, false)), VALUE(VLOOKUP(E45, AD:AG, 4, false))),
 "&amp;"       SEQUENCE(1, VALUE(VLOOKUP(E45, AD:AG, 4, false)) - C45, C45 + 1),
        """")))"),"")</f>
        <v/>
      </c>
      <c r="AI158" s="714"/>
      <c r="AJ158" s="714"/>
      <c r="AK158" s="714"/>
      <c r="AL158" s="714"/>
      <c r="AM158" s="714"/>
      <c r="AN158" s="714"/>
      <c r="AO158" s="714"/>
      <c r="AP158" s="714"/>
      <c r="AQ158" s="714"/>
      <c r="AR158" s="714"/>
      <c r="AS158" s="714"/>
      <c r="AT158" s="714"/>
      <c r="AU158" s="714"/>
      <c r="AV158" s="714"/>
      <c r="AW158" s="714"/>
      <c r="AX158" s="714"/>
      <c r="AY158" s="714"/>
      <c r="AZ158" s="714"/>
      <c r="BA158" s="714"/>
      <c r="BB158" s="714"/>
      <c r="BC158" s="714"/>
      <c r="BD158" s="714"/>
      <c r="BE158" s="714"/>
      <c r="BF158" s="714"/>
      <c r="BG158" s="714"/>
      <c r="BH158" s="714"/>
      <c r="BI158" s="714"/>
      <c r="BJ158" s="714"/>
      <c r="BK158" s="714"/>
      <c r="BL158" s="714"/>
      <c r="BM158" s="714"/>
      <c r="BN158" s="714"/>
      <c r="BO158" s="714"/>
      <c r="BP158" s="714"/>
      <c r="BQ158" s="714"/>
      <c r="BR158" s="714"/>
      <c r="BS158" s="714"/>
      <c r="BT158" s="714"/>
      <c r="BU158" s="714"/>
      <c r="BV158" s="714"/>
      <c r="BW158" s="714"/>
      <c r="BX158" s="714"/>
      <c r="BY158" s="714"/>
      <c r="BZ158" s="714"/>
      <c r="CA158" s="714"/>
      <c r="CB158" s="714"/>
      <c r="CC158" s="714"/>
      <c r="CD158" s="714"/>
      <c r="CE158" s="714"/>
      <c r="CF158" s="714"/>
      <c r="CG158" s="714"/>
      <c r="CH158" s="714"/>
      <c r="CI158" s="714"/>
      <c r="CJ158" s="714"/>
      <c r="CK158" s="714"/>
      <c r="CL158" s="714"/>
      <c r="CM158" s="714"/>
      <c r="CN158" s="714"/>
      <c r="CO158" s="714"/>
      <c r="CP158" s="714"/>
      <c r="CQ158" s="714"/>
      <c r="CR158" s="714"/>
      <c r="CS158" s="714"/>
      <c r="CT158" s="714"/>
      <c r="CU158" s="714"/>
      <c r="CV158" s="714"/>
      <c r="CW158" s="714"/>
      <c r="CX158" s="714"/>
      <c r="CY158" s="714"/>
      <c r="CZ158" s="714"/>
      <c r="DA158" s="714"/>
      <c r="DB158" s="714"/>
      <c r="DC158" s="714"/>
      <c r="DD158" s="714"/>
      <c r="DE158" s="714"/>
      <c r="DF158" s="714"/>
      <c r="DG158" s="714"/>
      <c r="DH158" s="714"/>
      <c r="DI158" s="714"/>
      <c r="DJ158" s="714"/>
      <c r="DK158" s="714"/>
      <c r="DL158" s="714"/>
      <c r="DM158" s="714"/>
      <c r="DN158" s="714"/>
      <c r="DO158" s="714"/>
      <c r="DP158" s="714"/>
      <c r="DQ158" s="714"/>
      <c r="DR158" s="714"/>
      <c r="DS158" s="714"/>
      <c r="DT158" s="714"/>
      <c r="DU158" s="714"/>
      <c r="DV158" s="714"/>
      <c r="DW158" s="714"/>
      <c r="DX158" s="714"/>
      <c r="DY158" s="714"/>
      <c r="DZ158" s="714"/>
      <c r="EA158" s="714"/>
      <c r="EB158" s="714"/>
      <c r="EC158" s="714"/>
      <c r="ED158" s="714"/>
      <c r="EE158" s="714"/>
      <c r="EF158" s="714"/>
      <c r="EG158" s="714"/>
      <c r="EH158" s="714"/>
      <c r="EI158" s="714"/>
      <c r="EJ158" s="714"/>
      <c r="EK158" s="714"/>
      <c r="EL158" s="714"/>
      <c r="EM158" s="714"/>
      <c r="EN158" s="714"/>
      <c r="EO158" s="714"/>
      <c r="EP158" s="714"/>
      <c r="EQ158" s="714"/>
      <c r="ER158" s="714"/>
      <c r="ES158" s="714"/>
      <c r="ET158" s="714"/>
      <c r="EU158" s="714"/>
      <c r="EV158" s="714"/>
      <c r="EW158" s="714"/>
      <c r="EX158" s="714"/>
      <c r="EY158" s="714"/>
      <c r="EZ158" s="714"/>
      <c r="FA158" s="714"/>
      <c r="FB158" s="714"/>
      <c r="FC158" s="714"/>
      <c r="FD158" s="714"/>
      <c r="FE158" s="714"/>
      <c r="FF158" s="714"/>
      <c r="FG158" s="714"/>
      <c r="FH158" s="714"/>
      <c r="FI158" s="714"/>
      <c r="FJ158" s="714"/>
      <c r="FK158" s="714"/>
      <c r="FL158" s="714"/>
      <c r="FM158" s="714"/>
      <c r="FN158" s="714"/>
      <c r="FO158" s="714"/>
      <c r="FP158" s="714"/>
      <c r="FQ158" s="714"/>
      <c r="FR158" s="714"/>
      <c r="FS158" s="714"/>
      <c r="FT158" s="714"/>
      <c r="FU158" s="714"/>
      <c r="FV158" s="714"/>
      <c r="FW158" s="714"/>
      <c r="FX158" s="714"/>
      <c r="FY158" s="714"/>
      <c r="FZ158" s="714"/>
      <c r="GA158" s="714"/>
      <c r="GB158" s="714"/>
      <c r="GC158" s="714"/>
      <c r="GD158" s="714"/>
      <c r="GE158" s="714"/>
      <c r="GF158" s="714"/>
      <c r="GG158" s="714"/>
      <c r="GH158" s="714"/>
      <c r="GI158" s="714"/>
      <c r="GJ158" s="714"/>
      <c r="GK158" s="714"/>
      <c r="GL158" s="714"/>
      <c r="GM158" s="714"/>
      <c r="GN158" s="714"/>
      <c r="GO158" s="714"/>
      <c r="GP158" s="714"/>
      <c r="GQ158" s="714"/>
      <c r="GR158" s="714"/>
      <c r="GS158" s="714"/>
      <c r="GT158" s="714"/>
      <c r="GU158" s="714"/>
      <c r="GV158" s="714"/>
      <c r="GW158" s="714"/>
      <c r="GX158" s="714"/>
      <c r="GY158" s="714"/>
      <c r="GZ158" s="714"/>
      <c r="HA158" s="714"/>
      <c r="HB158" s="714"/>
      <c r="HC158" s="714"/>
      <c r="HD158" s="714"/>
      <c r="HE158" s="714"/>
      <c r="HF158" s="714"/>
      <c r="HG158" s="714"/>
      <c r="HH158" s="714"/>
      <c r="HI158" s="714"/>
      <c r="HJ158" s="714"/>
      <c r="HK158" s="714"/>
      <c r="HL158" s="714"/>
      <c r="HM158" s="714"/>
      <c r="HN158" s="714"/>
      <c r="HO158" s="714"/>
      <c r="HP158" s="714"/>
      <c r="HQ158" s="714"/>
      <c r="HR158" s="714"/>
      <c r="HS158" s="714"/>
      <c r="HT158" s="714"/>
      <c r="HU158" s="714"/>
      <c r="HV158" s="714"/>
      <c r="HW158" s="714"/>
      <c r="HX158" s="714"/>
      <c r="HY158" s="714"/>
      <c r="HZ158" s="714"/>
      <c r="IA158" s="714"/>
      <c r="IB158" s="714"/>
      <c r="IC158" s="714"/>
      <c r="ID158" s="714"/>
      <c r="IE158" s="714"/>
      <c r="IF158" s="714"/>
      <c r="IG158" s="714"/>
      <c r="IH158" s="714"/>
    </row>
    <row r="159" hidden="1" outlineLevel="1">
      <c r="A159" s="598"/>
      <c r="B159" s="598"/>
      <c r="C159" s="598"/>
      <c r="D159" s="598"/>
      <c r="E159" s="598"/>
      <c r="F159" s="598"/>
      <c r="G159" s="598"/>
      <c r="H159" s="598"/>
      <c r="I159" s="598"/>
      <c r="J159" s="598"/>
      <c r="K159" s="598"/>
      <c r="L159" s="598"/>
      <c r="M159" s="598"/>
      <c r="N159" s="598"/>
      <c r="O159" s="598"/>
      <c r="P159" s="598"/>
      <c r="Q159" s="598"/>
      <c r="R159" s="598"/>
      <c r="S159" s="598"/>
      <c r="T159" s="598"/>
      <c r="U159" s="598"/>
      <c r="V159" s="598"/>
      <c r="W159" s="598"/>
      <c r="X159" s="598"/>
      <c r="Y159" s="598"/>
      <c r="Z159" s="598"/>
      <c r="AA159" s="911"/>
      <c r="AB159" s="1000"/>
      <c r="AC159" s="714" t="str">
        <f>IFERROR(__xludf.DUMMYFUNCTION("""COMPUTED_VALUE"""),"Recovery Package Chance Mastery")</f>
        <v>Recovery Package Chance Mastery</v>
      </c>
      <c r="AD159" s="825" t="s">
        <v>361</v>
      </c>
      <c r="AE159" s="714">
        <v>3.0</v>
      </c>
      <c r="AF159" s="714"/>
      <c r="AG159" s="714">
        <v>9.0</v>
      </c>
      <c r="AH159" s="1004" t="str">
        <f>IFERROR(__xludf.DUMMYFUNCTION("IFERROR(IF(C46 = """", SEQUENCE(1, VALUE(VLOOKUP(E46, AD:AG, 4, false)) - VALUE(VLOOKUP(E46, AD:AG, 2, false)), VALUE(VLOOKUP(E46, AD:AG, 2, false)) + 1),
    IF(ISBETWEEN(C46, VALUE(VLOOKUP(E46, AD:AG, 2, false)), VALUE(VLOOKUP(E46, AD:AG, 4, false))),
 "&amp;"       SEQUENCE(1, VALUE(VLOOKUP(E46, AD:AG, 4, false)) - C46, C46 + 1),
        """")))"),"")</f>
        <v/>
      </c>
      <c r="AI159" s="714"/>
      <c r="AJ159" s="714"/>
      <c r="AK159" s="714"/>
      <c r="AL159" s="714"/>
      <c r="AM159" s="714"/>
      <c r="AN159" s="714"/>
      <c r="AO159" s="714"/>
      <c r="AP159" s="714"/>
      <c r="AQ159" s="714"/>
      <c r="AR159" s="714"/>
      <c r="AS159" s="714"/>
      <c r="AT159" s="714"/>
      <c r="AU159" s="714"/>
      <c r="AV159" s="714"/>
      <c r="AW159" s="714"/>
      <c r="AX159" s="714"/>
      <c r="AY159" s="714"/>
      <c r="AZ159" s="714"/>
      <c r="BA159" s="714"/>
      <c r="BB159" s="714"/>
      <c r="BC159" s="714"/>
      <c r="BD159" s="714"/>
      <c r="BE159" s="714"/>
      <c r="BF159" s="714"/>
      <c r="BG159" s="714"/>
      <c r="BH159" s="714"/>
      <c r="BI159" s="714"/>
      <c r="BJ159" s="714"/>
      <c r="BK159" s="714"/>
      <c r="BL159" s="714"/>
      <c r="BM159" s="714"/>
      <c r="BN159" s="714"/>
      <c r="BO159" s="714"/>
      <c r="BP159" s="714"/>
      <c r="BQ159" s="714"/>
      <c r="BR159" s="714"/>
      <c r="BS159" s="714"/>
      <c r="BT159" s="714"/>
      <c r="BU159" s="714"/>
      <c r="BV159" s="714"/>
      <c r="BW159" s="714"/>
      <c r="BX159" s="714"/>
      <c r="BY159" s="714"/>
      <c r="BZ159" s="714"/>
      <c r="CA159" s="714"/>
      <c r="CB159" s="714"/>
      <c r="CC159" s="714"/>
      <c r="CD159" s="714"/>
      <c r="CE159" s="714"/>
      <c r="CF159" s="714"/>
      <c r="CG159" s="714"/>
      <c r="CH159" s="714"/>
      <c r="CI159" s="714"/>
      <c r="CJ159" s="714"/>
      <c r="CK159" s="714"/>
      <c r="CL159" s="714"/>
      <c r="CM159" s="714"/>
      <c r="CN159" s="714"/>
      <c r="CO159" s="714"/>
      <c r="CP159" s="714"/>
      <c r="CQ159" s="714"/>
      <c r="CR159" s="714"/>
      <c r="CS159" s="714"/>
      <c r="CT159" s="714"/>
      <c r="CU159" s="714"/>
      <c r="CV159" s="714"/>
      <c r="CW159" s="714"/>
      <c r="CX159" s="714"/>
      <c r="CY159" s="714"/>
      <c r="CZ159" s="714"/>
      <c r="DA159" s="714"/>
      <c r="DB159" s="714"/>
      <c r="DC159" s="714"/>
      <c r="DD159" s="714"/>
      <c r="DE159" s="714"/>
      <c r="DF159" s="714"/>
      <c r="DG159" s="714"/>
      <c r="DH159" s="714"/>
      <c r="DI159" s="714"/>
      <c r="DJ159" s="714"/>
      <c r="DK159" s="714"/>
      <c r="DL159" s="714"/>
      <c r="DM159" s="714"/>
      <c r="DN159" s="714"/>
      <c r="DO159" s="714"/>
      <c r="DP159" s="714"/>
      <c r="DQ159" s="714"/>
      <c r="DR159" s="714"/>
      <c r="DS159" s="714"/>
      <c r="DT159" s="714"/>
      <c r="DU159" s="714"/>
      <c r="DV159" s="714"/>
      <c r="DW159" s="714"/>
      <c r="DX159" s="714"/>
      <c r="DY159" s="714"/>
      <c r="DZ159" s="714"/>
      <c r="EA159" s="714"/>
      <c r="EB159" s="714"/>
      <c r="EC159" s="714"/>
      <c r="ED159" s="714"/>
      <c r="EE159" s="714"/>
      <c r="EF159" s="714"/>
      <c r="EG159" s="714"/>
      <c r="EH159" s="714"/>
      <c r="EI159" s="714"/>
      <c r="EJ159" s="714"/>
      <c r="EK159" s="714"/>
      <c r="EL159" s="714"/>
      <c r="EM159" s="714"/>
      <c r="EN159" s="714"/>
      <c r="EO159" s="714"/>
      <c r="EP159" s="714"/>
      <c r="EQ159" s="714"/>
      <c r="ER159" s="714"/>
      <c r="ES159" s="714"/>
      <c r="ET159" s="714"/>
      <c r="EU159" s="714"/>
      <c r="EV159" s="714"/>
      <c r="EW159" s="714"/>
      <c r="EX159" s="714"/>
      <c r="EY159" s="714"/>
      <c r="EZ159" s="714"/>
      <c r="FA159" s="714"/>
      <c r="FB159" s="714"/>
      <c r="FC159" s="714"/>
      <c r="FD159" s="714"/>
      <c r="FE159" s="714"/>
      <c r="FF159" s="714"/>
      <c r="FG159" s="714"/>
      <c r="FH159" s="714"/>
      <c r="FI159" s="714"/>
      <c r="FJ159" s="714"/>
      <c r="FK159" s="714"/>
      <c r="FL159" s="714"/>
      <c r="FM159" s="714"/>
      <c r="FN159" s="714"/>
      <c r="FO159" s="714"/>
      <c r="FP159" s="714"/>
      <c r="FQ159" s="714"/>
      <c r="FR159" s="714"/>
      <c r="FS159" s="714"/>
      <c r="FT159" s="714"/>
      <c r="FU159" s="714"/>
      <c r="FV159" s="714"/>
      <c r="FW159" s="714"/>
      <c r="FX159" s="714"/>
      <c r="FY159" s="714"/>
      <c r="FZ159" s="714"/>
      <c r="GA159" s="714"/>
      <c r="GB159" s="714"/>
      <c r="GC159" s="714"/>
      <c r="GD159" s="714"/>
      <c r="GE159" s="714"/>
      <c r="GF159" s="714"/>
      <c r="GG159" s="714"/>
      <c r="GH159" s="714"/>
      <c r="GI159" s="714"/>
      <c r="GJ159" s="714"/>
      <c r="GK159" s="714"/>
      <c r="GL159" s="714"/>
      <c r="GM159" s="714"/>
      <c r="GN159" s="714"/>
      <c r="GO159" s="714"/>
      <c r="GP159" s="714"/>
      <c r="GQ159" s="714"/>
      <c r="GR159" s="714"/>
      <c r="GS159" s="714"/>
      <c r="GT159" s="714"/>
      <c r="GU159" s="714"/>
      <c r="GV159" s="714"/>
      <c r="GW159" s="714"/>
      <c r="GX159" s="714"/>
      <c r="GY159" s="714"/>
      <c r="GZ159" s="714"/>
      <c r="HA159" s="714"/>
      <c r="HB159" s="714"/>
      <c r="HC159" s="714"/>
      <c r="HD159" s="714"/>
      <c r="HE159" s="714"/>
      <c r="HF159" s="714"/>
      <c r="HG159" s="714"/>
      <c r="HH159" s="714"/>
      <c r="HI159" s="714"/>
      <c r="HJ159" s="714"/>
      <c r="HK159" s="714"/>
      <c r="HL159" s="714"/>
      <c r="HM159" s="714"/>
      <c r="HN159" s="714"/>
      <c r="HO159" s="714"/>
      <c r="HP159" s="714"/>
      <c r="HQ159" s="714"/>
      <c r="HR159" s="714"/>
      <c r="HS159" s="714"/>
      <c r="HT159" s="714"/>
      <c r="HU159" s="714"/>
      <c r="HV159" s="714"/>
      <c r="HW159" s="714"/>
      <c r="HX159" s="714"/>
      <c r="HY159" s="714"/>
      <c r="HZ159" s="714"/>
      <c r="IA159" s="714"/>
      <c r="IB159" s="714"/>
      <c r="IC159" s="714"/>
      <c r="ID159" s="714"/>
      <c r="IE159" s="714"/>
      <c r="IF159" s="714"/>
      <c r="IG159" s="714"/>
      <c r="IH159" s="714"/>
    </row>
    <row r="160" hidden="1" outlineLevel="1">
      <c r="A160" s="598"/>
      <c r="B160" s="598"/>
      <c r="C160" s="598"/>
      <c r="D160" s="598"/>
      <c r="E160" s="598"/>
      <c r="F160" s="598"/>
      <c r="G160" s="598"/>
      <c r="H160" s="598"/>
      <c r="I160" s="598"/>
      <c r="J160" s="598"/>
      <c r="K160" s="598"/>
      <c r="L160" s="598"/>
      <c r="M160" s="598"/>
      <c r="N160" s="598"/>
      <c r="O160" s="598"/>
      <c r="P160" s="598"/>
      <c r="Q160" s="598"/>
      <c r="R160" s="598"/>
      <c r="S160" s="598"/>
      <c r="T160" s="598"/>
      <c r="U160" s="598"/>
      <c r="V160" s="598"/>
      <c r="W160" s="598"/>
      <c r="X160" s="598"/>
      <c r="Y160" s="598"/>
      <c r="Z160" s="598"/>
      <c r="AA160" s="911"/>
      <c r="AB160" s="1000"/>
      <c r="AC160" s="714" t="str">
        <f>IFERROR(__xludf.DUMMYFUNCTION("""COMPUTED_VALUE"""),"Recovery Package Max")</f>
        <v>Recovery Package Max</v>
      </c>
      <c r="AD160" s="825" t="s">
        <v>263</v>
      </c>
      <c r="AE160" s="714">
        <v>0.0</v>
      </c>
      <c r="AF160" s="714"/>
      <c r="AG160" s="714">
        <v>20.0</v>
      </c>
      <c r="AH160" s="1004" t="str">
        <f>IFERROR(__xludf.DUMMYFUNCTION("IFERROR(IF(C47 = """", SEQUENCE(1, VALUE(VLOOKUP(E47, AD:AG, 4, false)) - VALUE(VLOOKUP(E47, AD:AG, 2, false)), VALUE(VLOOKUP(E47, AD:AG, 2, false)) + 1),
    IF(ISBETWEEN(C47, VALUE(VLOOKUP(E47, AD:AG, 2, false)), VALUE(VLOOKUP(E47, AD:AG, 4, false))),
 "&amp;"       SEQUENCE(1, VALUE(VLOOKUP(E47, AD:AG, 4, false)) - C47, C47 + 1),
        """")))"),"")</f>
        <v/>
      </c>
      <c r="AI160" s="714"/>
      <c r="AJ160" s="714"/>
      <c r="AK160" s="714"/>
      <c r="AL160" s="714"/>
      <c r="AM160" s="714"/>
      <c r="AN160" s="714"/>
      <c r="AO160" s="714"/>
      <c r="AP160" s="714"/>
      <c r="AQ160" s="714"/>
      <c r="AR160" s="714"/>
      <c r="AS160" s="714"/>
      <c r="AT160" s="714"/>
      <c r="AU160" s="714"/>
      <c r="AV160" s="714"/>
      <c r="AW160" s="714"/>
      <c r="AX160" s="714"/>
      <c r="AY160" s="714"/>
      <c r="AZ160" s="714"/>
      <c r="BA160" s="714"/>
      <c r="BB160" s="714"/>
      <c r="BC160" s="714"/>
      <c r="BD160" s="714"/>
      <c r="BE160" s="714"/>
      <c r="BF160" s="714"/>
      <c r="BG160" s="714"/>
      <c r="BH160" s="714"/>
      <c r="BI160" s="714"/>
      <c r="BJ160" s="714"/>
      <c r="BK160" s="714"/>
      <c r="BL160" s="714"/>
      <c r="BM160" s="714"/>
      <c r="BN160" s="714"/>
      <c r="BO160" s="714"/>
      <c r="BP160" s="714"/>
      <c r="BQ160" s="714"/>
      <c r="BR160" s="714"/>
      <c r="BS160" s="714"/>
      <c r="BT160" s="714"/>
      <c r="BU160" s="714"/>
      <c r="BV160" s="714"/>
      <c r="BW160" s="714"/>
      <c r="BX160" s="714"/>
      <c r="BY160" s="714"/>
      <c r="BZ160" s="714"/>
      <c r="CA160" s="714"/>
      <c r="CB160" s="714"/>
      <c r="CC160" s="714"/>
      <c r="CD160" s="714"/>
      <c r="CE160" s="714"/>
      <c r="CF160" s="714"/>
      <c r="CG160" s="714"/>
      <c r="CH160" s="714"/>
      <c r="CI160" s="714"/>
      <c r="CJ160" s="714"/>
      <c r="CK160" s="714"/>
      <c r="CL160" s="714"/>
      <c r="CM160" s="714"/>
      <c r="CN160" s="714"/>
      <c r="CO160" s="714"/>
      <c r="CP160" s="714"/>
      <c r="CQ160" s="714"/>
      <c r="CR160" s="714"/>
      <c r="CS160" s="714"/>
      <c r="CT160" s="714"/>
      <c r="CU160" s="714"/>
      <c r="CV160" s="714"/>
      <c r="CW160" s="714"/>
      <c r="CX160" s="714"/>
      <c r="CY160" s="714"/>
      <c r="CZ160" s="714"/>
      <c r="DA160" s="714"/>
      <c r="DB160" s="714"/>
      <c r="DC160" s="714"/>
      <c r="DD160" s="714"/>
      <c r="DE160" s="714"/>
      <c r="DF160" s="714"/>
      <c r="DG160" s="714"/>
      <c r="DH160" s="714"/>
      <c r="DI160" s="714"/>
      <c r="DJ160" s="714"/>
      <c r="DK160" s="714"/>
      <c r="DL160" s="714"/>
      <c r="DM160" s="714"/>
      <c r="DN160" s="714"/>
      <c r="DO160" s="714"/>
      <c r="DP160" s="714"/>
      <c r="DQ160" s="714"/>
      <c r="DR160" s="714"/>
      <c r="DS160" s="714"/>
      <c r="DT160" s="714"/>
      <c r="DU160" s="714"/>
      <c r="DV160" s="714"/>
      <c r="DW160" s="714"/>
      <c r="DX160" s="714"/>
      <c r="DY160" s="714"/>
      <c r="DZ160" s="714"/>
      <c r="EA160" s="714"/>
      <c r="EB160" s="714"/>
      <c r="EC160" s="714"/>
      <c r="ED160" s="714"/>
      <c r="EE160" s="714"/>
      <c r="EF160" s="714"/>
      <c r="EG160" s="714"/>
      <c r="EH160" s="714"/>
      <c r="EI160" s="714"/>
      <c r="EJ160" s="714"/>
      <c r="EK160" s="714"/>
      <c r="EL160" s="714"/>
      <c r="EM160" s="714"/>
      <c r="EN160" s="714"/>
      <c r="EO160" s="714"/>
      <c r="EP160" s="714"/>
      <c r="EQ160" s="714"/>
      <c r="ER160" s="714"/>
      <c r="ES160" s="714"/>
      <c r="ET160" s="714"/>
      <c r="EU160" s="714"/>
      <c r="EV160" s="714"/>
      <c r="EW160" s="714"/>
      <c r="EX160" s="714"/>
      <c r="EY160" s="714"/>
      <c r="EZ160" s="714"/>
      <c r="FA160" s="714"/>
      <c r="FB160" s="714"/>
      <c r="FC160" s="714"/>
      <c r="FD160" s="714"/>
      <c r="FE160" s="714"/>
      <c r="FF160" s="714"/>
      <c r="FG160" s="714"/>
      <c r="FH160" s="714"/>
      <c r="FI160" s="714"/>
      <c r="FJ160" s="714"/>
      <c r="FK160" s="714"/>
      <c r="FL160" s="714"/>
      <c r="FM160" s="714"/>
      <c r="FN160" s="714"/>
      <c r="FO160" s="714"/>
      <c r="FP160" s="714"/>
      <c r="FQ160" s="714"/>
      <c r="FR160" s="714"/>
      <c r="FS160" s="714"/>
      <c r="FT160" s="714"/>
      <c r="FU160" s="714"/>
      <c r="FV160" s="714"/>
      <c r="FW160" s="714"/>
      <c r="FX160" s="714"/>
      <c r="FY160" s="714"/>
      <c r="FZ160" s="714"/>
      <c r="GA160" s="714"/>
      <c r="GB160" s="714"/>
      <c r="GC160" s="714"/>
      <c r="GD160" s="714"/>
      <c r="GE160" s="714"/>
      <c r="GF160" s="714"/>
      <c r="GG160" s="714"/>
      <c r="GH160" s="714"/>
      <c r="GI160" s="714"/>
      <c r="GJ160" s="714"/>
      <c r="GK160" s="714"/>
      <c r="GL160" s="714"/>
      <c r="GM160" s="714"/>
      <c r="GN160" s="714"/>
      <c r="GO160" s="714"/>
      <c r="GP160" s="714"/>
      <c r="GQ160" s="714"/>
      <c r="GR160" s="714"/>
      <c r="GS160" s="714"/>
      <c r="GT160" s="714"/>
      <c r="GU160" s="714"/>
      <c r="GV160" s="714"/>
      <c r="GW160" s="714"/>
      <c r="GX160" s="714"/>
      <c r="GY160" s="714"/>
      <c r="GZ160" s="714"/>
      <c r="HA160" s="714"/>
      <c r="HB160" s="714"/>
      <c r="HC160" s="714"/>
      <c r="HD160" s="714"/>
      <c r="HE160" s="714"/>
      <c r="HF160" s="714"/>
      <c r="HG160" s="714"/>
      <c r="HH160" s="714"/>
      <c r="HI160" s="714"/>
      <c r="HJ160" s="714"/>
      <c r="HK160" s="714"/>
      <c r="HL160" s="714"/>
      <c r="HM160" s="714"/>
      <c r="HN160" s="714"/>
      <c r="HO160" s="714"/>
      <c r="HP160" s="714"/>
      <c r="HQ160" s="714"/>
      <c r="HR160" s="714"/>
      <c r="HS160" s="714"/>
      <c r="HT160" s="714"/>
      <c r="HU160" s="714"/>
      <c r="HV160" s="714"/>
      <c r="HW160" s="714"/>
      <c r="HX160" s="714"/>
      <c r="HY160" s="714"/>
      <c r="HZ160" s="714"/>
      <c r="IA160" s="714"/>
      <c r="IB160" s="714"/>
      <c r="IC160" s="714"/>
      <c r="ID160" s="714"/>
      <c r="IE160" s="714"/>
      <c r="IF160" s="714"/>
      <c r="IG160" s="714"/>
      <c r="IH160" s="714"/>
    </row>
    <row r="161" hidden="1" outlineLevel="1">
      <c r="A161" s="598"/>
      <c r="B161" s="598"/>
      <c r="C161" s="598"/>
      <c r="D161" s="598"/>
      <c r="E161" s="598"/>
      <c r="F161" s="598"/>
      <c r="G161" s="598"/>
      <c r="H161" s="598"/>
      <c r="I161" s="598"/>
      <c r="J161" s="598"/>
      <c r="K161" s="598"/>
      <c r="L161" s="598"/>
      <c r="M161" s="598"/>
      <c r="N161" s="598"/>
      <c r="O161" s="598"/>
      <c r="P161" s="598"/>
      <c r="Q161" s="598"/>
      <c r="R161" s="598"/>
      <c r="S161" s="598"/>
      <c r="T161" s="598"/>
      <c r="U161" s="598"/>
      <c r="V161" s="598"/>
      <c r="W161" s="598"/>
      <c r="X161" s="598"/>
      <c r="Y161" s="598"/>
      <c r="Z161" s="598"/>
      <c r="AA161" s="911"/>
      <c r="AB161" s="1000"/>
      <c r="AC161" s="714" t="str">
        <f>IFERROR(__xludf.DUMMYFUNCTION("""COMPUTED_VALUE"""),"Reroll Daily Mission")</f>
        <v>Reroll Daily Mission</v>
      </c>
      <c r="AD161" s="825" t="s">
        <v>294</v>
      </c>
      <c r="AE161" s="714">
        <v>1.0</v>
      </c>
      <c r="AF161" s="714"/>
      <c r="AG161" s="714">
        <v>1.0</v>
      </c>
      <c r="AH161" s="1004" t="str">
        <f>IFERROR(__xludf.DUMMYFUNCTION("IFERROR(IF(C48 = """", SEQUENCE(1, VALUE(VLOOKUP(E48, AD:AG, 4, false)) - VALUE(VLOOKUP(E48, AD:AG, 2, false)), VALUE(VLOOKUP(E48, AD:AG, 2, false)) + 1),
    IF(ISBETWEEN(C48, VALUE(VLOOKUP(E48, AD:AG, 2, false)), VALUE(VLOOKUP(E48, AD:AG, 4, false))),
 "&amp;"       SEQUENCE(1, VALUE(VLOOKUP(E48, AD:AG, 4, false)) - C48, C48 + 1),
        """")))"),"")</f>
        <v/>
      </c>
      <c r="AI161" s="714"/>
      <c r="AJ161" s="714"/>
      <c r="AK161" s="714"/>
      <c r="AL161" s="714"/>
      <c r="AM161" s="714"/>
      <c r="AN161" s="714"/>
      <c r="AO161" s="714"/>
      <c r="AP161" s="714"/>
      <c r="AQ161" s="714"/>
      <c r="AR161" s="714"/>
      <c r="AS161" s="714"/>
      <c r="AT161" s="714"/>
      <c r="AU161" s="714"/>
      <c r="AV161" s="714"/>
      <c r="AW161" s="714"/>
      <c r="AX161" s="714"/>
      <c r="AY161" s="714"/>
      <c r="AZ161" s="714"/>
      <c r="BA161" s="714"/>
      <c r="BB161" s="714"/>
      <c r="BC161" s="714"/>
      <c r="BD161" s="714"/>
      <c r="BE161" s="714"/>
      <c r="BF161" s="714"/>
      <c r="BG161" s="714"/>
      <c r="BH161" s="714"/>
      <c r="BI161" s="714"/>
      <c r="BJ161" s="714"/>
      <c r="BK161" s="714"/>
      <c r="BL161" s="714"/>
      <c r="BM161" s="714"/>
      <c r="BN161" s="714"/>
      <c r="BO161" s="714"/>
      <c r="BP161" s="714"/>
      <c r="BQ161" s="714"/>
      <c r="BR161" s="714"/>
      <c r="BS161" s="714"/>
      <c r="BT161" s="714"/>
      <c r="BU161" s="714"/>
      <c r="BV161" s="714"/>
      <c r="BW161" s="714"/>
      <c r="BX161" s="714"/>
      <c r="BY161" s="714"/>
      <c r="BZ161" s="714"/>
      <c r="CA161" s="714"/>
      <c r="CB161" s="714"/>
      <c r="CC161" s="714"/>
      <c r="CD161" s="714"/>
      <c r="CE161" s="714"/>
      <c r="CF161" s="714"/>
      <c r="CG161" s="714"/>
      <c r="CH161" s="714"/>
      <c r="CI161" s="714"/>
      <c r="CJ161" s="714"/>
      <c r="CK161" s="714"/>
      <c r="CL161" s="714"/>
      <c r="CM161" s="714"/>
      <c r="CN161" s="714"/>
      <c r="CO161" s="714"/>
      <c r="CP161" s="714"/>
      <c r="CQ161" s="714"/>
      <c r="CR161" s="714"/>
      <c r="CS161" s="714"/>
      <c r="CT161" s="714"/>
      <c r="CU161" s="714"/>
      <c r="CV161" s="714"/>
      <c r="CW161" s="714"/>
      <c r="CX161" s="714"/>
      <c r="CY161" s="714"/>
      <c r="CZ161" s="714"/>
      <c r="DA161" s="714"/>
      <c r="DB161" s="714"/>
      <c r="DC161" s="714"/>
      <c r="DD161" s="714"/>
      <c r="DE161" s="714"/>
      <c r="DF161" s="714"/>
      <c r="DG161" s="714"/>
      <c r="DH161" s="714"/>
      <c r="DI161" s="714"/>
      <c r="DJ161" s="714"/>
      <c r="DK161" s="714"/>
      <c r="DL161" s="714"/>
      <c r="DM161" s="714"/>
      <c r="DN161" s="714"/>
      <c r="DO161" s="714"/>
      <c r="DP161" s="714"/>
      <c r="DQ161" s="714"/>
      <c r="DR161" s="714"/>
      <c r="DS161" s="714"/>
      <c r="DT161" s="714"/>
      <c r="DU161" s="714"/>
      <c r="DV161" s="714"/>
      <c r="DW161" s="714"/>
      <c r="DX161" s="714"/>
      <c r="DY161" s="714"/>
      <c r="DZ161" s="714"/>
      <c r="EA161" s="714"/>
      <c r="EB161" s="714"/>
      <c r="EC161" s="714"/>
      <c r="ED161" s="714"/>
      <c r="EE161" s="714"/>
      <c r="EF161" s="714"/>
      <c r="EG161" s="714"/>
      <c r="EH161" s="714"/>
      <c r="EI161" s="714"/>
      <c r="EJ161" s="714"/>
      <c r="EK161" s="714"/>
      <c r="EL161" s="714"/>
      <c r="EM161" s="714"/>
      <c r="EN161" s="714"/>
      <c r="EO161" s="714"/>
      <c r="EP161" s="714"/>
      <c r="EQ161" s="714"/>
      <c r="ER161" s="714"/>
      <c r="ES161" s="714"/>
      <c r="ET161" s="714"/>
      <c r="EU161" s="714"/>
      <c r="EV161" s="714"/>
      <c r="EW161" s="714"/>
      <c r="EX161" s="714"/>
      <c r="EY161" s="714"/>
      <c r="EZ161" s="714"/>
      <c r="FA161" s="714"/>
      <c r="FB161" s="714"/>
      <c r="FC161" s="714"/>
      <c r="FD161" s="714"/>
      <c r="FE161" s="714"/>
      <c r="FF161" s="714"/>
      <c r="FG161" s="714"/>
      <c r="FH161" s="714"/>
      <c r="FI161" s="714"/>
      <c r="FJ161" s="714"/>
      <c r="FK161" s="714"/>
      <c r="FL161" s="714"/>
      <c r="FM161" s="714"/>
      <c r="FN161" s="714"/>
      <c r="FO161" s="714"/>
      <c r="FP161" s="714"/>
      <c r="FQ161" s="714"/>
      <c r="FR161" s="714"/>
      <c r="FS161" s="714"/>
      <c r="FT161" s="714"/>
      <c r="FU161" s="714"/>
      <c r="FV161" s="714"/>
      <c r="FW161" s="714"/>
      <c r="FX161" s="714"/>
      <c r="FY161" s="714"/>
      <c r="FZ161" s="714"/>
      <c r="GA161" s="714"/>
      <c r="GB161" s="714"/>
      <c r="GC161" s="714"/>
      <c r="GD161" s="714"/>
      <c r="GE161" s="714"/>
      <c r="GF161" s="714"/>
      <c r="GG161" s="714"/>
      <c r="GH161" s="714"/>
      <c r="GI161" s="714"/>
      <c r="GJ161" s="714"/>
      <c r="GK161" s="714"/>
      <c r="GL161" s="714"/>
      <c r="GM161" s="714"/>
      <c r="GN161" s="714"/>
      <c r="GO161" s="714"/>
      <c r="GP161" s="714"/>
      <c r="GQ161" s="714"/>
      <c r="GR161" s="714"/>
      <c r="GS161" s="714"/>
      <c r="GT161" s="714"/>
      <c r="GU161" s="714"/>
      <c r="GV161" s="714"/>
      <c r="GW161" s="714"/>
      <c r="GX161" s="714"/>
      <c r="GY161" s="714"/>
      <c r="GZ161" s="714"/>
      <c r="HA161" s="714"/>
      <c r="HB161" s="714"/>
      <c r="HC161" s="714"/>
      <c r="HD161" s="714"/>
      <c r="HE161" s="714"/>
      <c r="HF161" s="714"/>
      <c r="HG161" s="714"/>
      <c r="HH161" s="714"/>
      <c r="HI161" s="714"/>
      <c r="HJ161" s="714"/>
      <c r="HK161" s="714"/>
      <c r="HL161" s="714"/>
      <c r="HM161" s="714"/>
      <c r="HN161" s="714"/>
      <c r="HO161" s="714"/>
      <c r="HP161" s="714"/>
      <c r="HQ161" s="714"/>
      <c r="HR161" s="714"/>
      <c r="HS161" s="714"/>
      <c r="HT161" s="714"/>
      <c r="HU161" s="714"/>
      <c r="HV161" s="714"/>
      <c r="HW161" s="714"/>
      <c r="HX161" s="714"/>
      <c r="HY161" s="714"/>
      <c r="HZ161" s="714"/>
      <c r="IA161" s="714"/>
      <c r="IB161" s="714"/>
      <c r="IC161" s="714"/>
      <c r="ID161" s="714"/>
      <c r="IE161" s="714"/>
      <c r="IF161" s="714"/>
      <c r="IG161" s="714"/>
      <c r="IH161" s="714"/>
    </row>
    <row r="162" hidden="1" outlineLevel="1">
      <c r="A162" s="598"/>
      <c r="B162" s="598"/>
      <c r="C162" s="598"/>
      <c r="D162" s="598"/>
      <c r="E162" s="598"/>
      <c r="F162" s="598"/>
      <c r="G162" s="598"/>
      <c r="H162" s="598"/>
      <c r="I162" s="598"/>
      <c r="J162" s="598"/>
      <c r="K162" s="598"/>
      <c r="L162" s="598"/>
      <c r="M162" s="598"/>
      <c r="N162" s="598"/>
      <c r="O162" s="598"/>
      <c r="P162" s="598"/>
      <c r="Q162" s="598"/>
      <c r="R162" s="598"/>
      <c r="S162" s="598"/>
      <c r="T162" s="598"/>
      <c r="U162" s="598"/>
      <c r="V162" s="598"/>
      <c r="W162" s="598"/>
      <c r="X162" s="598"/>
      <c r="Y162" s="598"/>
      <c r="Z162" s="598"/>
      <c r="AA162" s="911"/>
      <c r="AB162" s="1000"/>
      <c r="AC162" s="714" t="str">
        <f>IFERROR(__xludf.DUMMYFUNCTION("""COMPUTED_VALUE"""),"Reroll Shards")</f>
        <v>Reroll Shards</v>
      </c>
      <c r="AD162" s="825" t="s">
        <v>178</v>
      </c>
      <c r="AE162" s="714">
        <v>100.0</v>
      </c>
      <c r="AF162" s="714">
        <v>100.0</v>
      </c>
      <c r="AG162" s="714">
        <v>100.0</v>
      </c>
      <c r="AH162" s="1004" t="str">
        <f>IFERROR(__xludf.DUMMYFUNCTION("IFERROR(IF(C49 = """", SEQUENCE(1, VALUE(VLOOKUP(E49, AD:AG, 4, false)) - VALUE(VLOOKUP(E49, AD:AG, 2, false)), VALUE(VLOOKUP(E49, AD:AG, 2, false)) + 1),
    IF(ISBETWEEN(C49, VALUE(VLOOKUP(E49, AD:AG, 2, false)), VALUE(VLOOKUP(E49, AD:AG, 4, false))),
 "&amp;"       SEQUENCE(1, VALUE(VLOOKUP(E49, AD:AG, 4, false)) - C49, C49 + 1),
        """")))"),"")</f>
        <v/>
      </c>
      <c r="AI162" s="714"/>
      <c r="AJ162" s="714"/>
      <c r="AK162" s="714"/>
      <c r="AL162" s="714"/>
      <c r="AM162" s="714"/>
      <c r="AN162" s="714"/>
      <c r="AO162" s="714"/>
      <c r="AP162" s="714"/>
      <c r="AQ162" s="714"/>
      <c r="AR162" s="714"/>
      <c r="AS162" s="714"/>
      <c r="AT162" s="714"/>
      <c r="AU162" s="714"/>
      <c r="AV162" s="714"/>
      <c r="AW162" s="714"/>
      <c r="AX162" s="714"/>
      <c r="AY162" s="714"/>
      <c r="AZ162" s="714"/>
      <c r="BA162" s="714"/>
      <c r="BB162" s="714"/>
      <c r="BC162" s="714"/>
      <c r="BD162" s="714"/>
      <c r="BE162" s="714"/>
      <c r="BF162" s="714"/>
      <c r="BG162" s="714"/>
      <c r="BH162" s="714"/>
      <c r="BI162" s="714"/>
      <c r="BJ162" s="714"/>
      <c r="BK162" s="714"/>
      <c r="BL162" s="714"/>
      <c r="BM162" s="714"/>
      <c r="BN162" s="714"/>
      <c r="BO162" s="714"/>
      <c r="BP162" s="714"/>
      <c r="BQ162" s="714"/>
      <c r="BR162" s="714"/>
      <c r="BS162" s="714"/>
      <c r="BT162" s="714"/>
      <c r="BU162" s="714"/>
      <c r="BV162" s="714"/>
      <c r="BW162" s="714"/>
      <c r="BX162" s="714"/>
      <c r="BY162" s="714"/>
      <c r="BZ162" s="714"/>
      <c r="CA162" s="714"/>
      <c r="CB162" s="714"/>
      <c r="CC162" s="714"/>
      <c r="CD162" s="714"/>
      <c r="CE162" s="714"/>
      <c r="CF162" s="714"/>
      <c r="CG162" s="714"/>
      <c r="CH162" s="714"/>
      <c r="CI162" s="714"/>
      <c r="CJ162" s="714"/>
      <c r="CK162" s="714"/>
      <c r="CL162" s="714"/>
      <c r="CM162" s="714"/>
      <c r="CN162" s="714"/>
      <c r="CO162" s="714"/>
      <c r="CP162" s="714"/>
      <c r="CQ162" s="714"/>
      <c r="CR162" s="714"/>
      <c r="CS162" s="714"/>
      <c r="CT162" s="714"/>
      <c r="CU162" s="714"/>
      <c r="CV162" s="714"/>
      <c r="CW162" s="714"/>
      <c r="CX162" s="714"/>
      <c r="CY162" s="714"/>
      <c r="CZ162" s="714"/>
      <c r="DA162" s="714"/>
      <c r="DB162" s="714"/>
      <c r="DC162" s="714"/>
      <c r="DD162" s="714"/>
      <c r="DE162" s="714"/>
      <c r="DF162" s="714"/>
      <c r="DG162" s="714"/>
      <c r="DH162" s="714"/>
      <c r="DI162" s="714"/>
      <c r="DJ162" s="714"/>
      <c r="DK162" s="714"/>
      <c r="DL162" s="714"/>
      <c r="DM162" s="714"/>
      <c r="DN162" s="714"/>
      <c r="DO162" s="714"/>
      <c r="DP162" s="714"/>
      <c r="DQ162" s="714"/>
      <c r="DR162" s="714"/>
      <c r="DS162" s="714"/>
      <c r="DT162" s="714"/>
      <c r="DU162" s="714"/>
      <c r="DV162" s="714"/>
      <c r="DW162" s="714"/>
      <c r="DX162" s="714"/>
      <c r="DY162" s="714"/>
      <c r="DZ162" s="714"/>
      <c r="EA162" s="714"/>
      <c r="EB162" s="714"/>
      <c r="EC162" s="714"/>
      <c r="ED162" s="714"/>
      <c r="EE162" s="714"/>
      <c r="EF162" s="714"/>
      <c r="EG162" s="714"/>
      <c r="EH162" s="714"/>
      <c r="EI162" s="714"/>
      <c r="EJ162" s="714"/>
      <c r="EK162" s="714"/>
      <c r="EL162" s="714"/>
      <c r="EM162" s="714"/>
      <c r="EN162" s="714"/>
      <c r="EO162" s="714"/>
      <c r="EP162" s="714"/>
      <c r="EQ162" s="714"/>
      <c r="ER162" s="714"/>
      <c r="ES162" s="714"/>
      <c r="ET162" s="714"/>
      <c r="EU162" s="714"/>
      <c r="EV162" s="714"/>
      <c r="EW162" s="714"/>
      <c r="EX162" s="714"/>
      <c r="EY162" s="714"/>
      <c r="EZ162" s="714"/>
      <c r="FA162" s="714"/>
      <c r="FB162" s="714"/>
      <c r="FC162" s="714"/>
      <c r="FD162" s="714"/>
      <c r="FE162" s="714"/>
      <c r="FF162" s="714"/>
      <c r="FG162" s="714"/>
      <c r="FH162" s="714"/>
      <c r="FI162" s="714"/>
      <c r="FJ162" s="714"/>
      <c r="FK162" s="714"/>
      <c r="FL162" s="714"/>
      <c r="FM162" s="714"/>
      <c r="FN162" s="714"/>
      <c r="FO162" s="714"/>
      <c r="FP162" s="714"/>
      <c r="FQ162" s="714"/>
      <c r="FR162" s="714"/>
      <c r="FS162" s="714"/>
      <c r="FT162" s="714"/>
      <c r="FU162" s="714"/>
      <c r="FV162" s="714"/>
      <c r="FW162" s="714"/>
      <c r="FX162" s="714"/>
      <c r="FY162" s="714"/>
      <c r="FZ162" s="714"/>
      <c r="GA162" s="714"/>
      <c r="GB162" s="714"/>
      <c r="GC162" s="714"/>
      <c r="GD162" s="714"/>
      <c r="GE162" s="714"/>
      <c r="GF162" s="714"/>
      <c r="GG162" s="714"/>
      <c r="GH162" s="714"/>
      <c r="GI162" s="714"/>
      <c r="GJ162" s="714"/>
      <c r="GK162" s="714"/>
      <c r="GL162" s="714"/>
      <c r="GM162" s="714"/>
      <c r="GN162" s="714"/>
      <c r="GO162" s="714"/>
      <c r="GP162" s="714"/>
      <c r="GQ162" s="714"/>
      <c r="GR162" s="714"/>
      <c r="GS162" s="714"/>
      <c r="GT162" s="714"/>
      <c r="GU162" s="714"/>
      <c r="GV162" s="714"/>
      <c r="GW162" s="714"/>
      <c r="GX162" s="714"/>
      <c r="GY162" s="714"/>
      <c r="GZ162" s="714"/>
      <c r="HA162" s="714"/>
      <c r="HB162" s="714"/>
      <c r="HC162" s="714"/>
      <c r="HD162" s="714"/>
      <c r="HE162" s="714"/>
      <c r="HF162" s="714"/>
      <c r="HG162" s="714"/>
      <c r="HH162" s="714"/>
      <c r="HI162" s="714"/>
      <c r="HJ162" s="714"/>
      <c r="HK162" s="714"/>
      <c r="HL162" s="714"/>
      <c r="HM162" s="714"/>
      <c r="HN162" s="714"/>
      <c r="HO162" s="714"/>
      <c r="HP162" s="714"/>
      <c r="HQ162" s="714"/>
      <c r="HR162" s="714"/>
      <c r="HS162" s="714"/>
      <c r="HT162" s="714"/>
      <c r="HU162" s="714"/>
      <c r="HV162" s="714"/>
      <c r="HW162" s="714"/>
      <c r="HX162" s="714"/>
      <c r="HY162" s="714"/>
      <c r="HZ162" s="714"/>
      <c r="IA162" s="714"/>
      <c r="IB162" s="714"/>
      <c r="IC162" s="714"/>
      <c r="ID162" s="714"/>
      <c r="IE162" s="714"/>
      <c r="IF162" s="714"/>
      <c r="IG162" s="714"/>
      <c r="IH162" s="714"/>
    </row>
    <row r="163" hidden="1" outlineLevel="1">
      <c r="A163" s="598"/>
      <c r="B163" s="598"/>
      <c r="C163" s="598"/>
      <c r="D163" s="598"/>
      <c r="E163" s="598"/>
      <c r="F163" s="598"/>
      <c r="G163" s="598"/>
      <c r="H163" s="598"/>
      <c r="I163" s="598"/>
      <c r="J163" s="598"/>
      <c r="K163" s="598"/>
      <c r="L163" s="598"/>
      <c r="M163" s="598"/>
      <c r="N163" s="598"/>
      <c r="O163" s="598"/>
      <c r="P163" s="598"/>
      <c r="Q163" s="598"/>
      <c r="R163" s="598"/>
      <c r="S163" s="598"/>
      <c r="T163" s="598"/>
      <c r="U163" s="598"/>
      <c r="V163" s="598"/>
      <c r="W163" s="598"/>
      <c r="X163" s="598"/>
      <c r="Y163" s="598"/>
      <c r="Z163" s="598"/>
      <c r="AA163" s="911"/>
      <c r="AB163" s="1000"/>
      <c r="AC163" s="714" t="str">
        <f>IFERROR(__xludf.DUMMYFUNCTION("""COMPUTED_VALUE"""),"Scatter Enemy Attack")</f>
        <v>Scatter Enemy Attack</v>
      </c>
      <c r="AD163" s="825" t="s">
        <v>335</v>
      </c>
      <c r="AE163" s="714">
        <v>0.0</v>
      </c>
      <c r="AF163" s="714"/>
      <c r="AG163" s="714">
        <v>30.0</v>
      </c>
      <c r="AH163" s="1004" t="str">
        <f>IFERROR(__xludf.DUMMYFUNCTION("IFERROR(IF(C50 = """", SEQUENCE(1, VALUE(VLOOKUP(E50, AD:AG, 4, false)) - VALUE(VLOOKUP(E50, AD:AG, 2, false)), VALUE(VLOOKUP(E50, AD:AG, 2, false)) + 1),
    IF(ISBETWEEN(C50, VALUE(VLOOKUP(E50, AD:AG, 2, false)), VALUE(VLOOKUP(E50, AD:AG, 4, false))),
 "&amp;"       SEQUENCE(1, VALUE(VLOOKUP(E50, AD:AG, 4, false)) - C50, C50 + 1),
        """")))"),"")</f>
        <v/>
      </c>
      <c r="AI163" s="714"/>
      <c r="AJ163" s="714"/>
      <c r="AK163" s="714"/>
      <c r="AL163" s="714"/>
      <c r="AM163" s="714"/>
      <c r="AN163" s="714"/>
      <c r="AO163" s="714"/>
      <c r="AP163" s="714"/>
      <c r="AQ163" s="714"/>
      <c r="AR163" s="714"/>
      <c r="AS163" s="714"/>
      <c r="AT163" s="714"/>
      <c r="AU163" s="714"/>
      <c r="AV163" s="714"/>
      <c r="AW163" s="714"/>
      <c r="AX163" s="714"/>
      <c r="AY163" s="714"/>
      <c r="AZ163" s="714"/>
      <c r="BA163" s="714"/>
      <c r="BB163" s="714"/>
      <c r="BC163" s="714"/>
      <c r="BD163" s="714"/>
      <c r="BE163" s="714"/>
      <c r="BF163" s="714"/>
      <c r="BG163" s="714"/>
      <c r="BH163" s="714"/>
      <c r="BI163" s="714"/>
      <c r="BJ163" s="714"/>
      <c r="BK163" s="714"/>
      <c r="BL163" s="714"/>
      <c r="BM163" s="714"/>
      <c r="BN163" s="714"/>
      <c r="BO163" s="714"/>
      <c r="BP163" s="714"/>
      <c r="BQ163" s="714"/>
      <c r="BR163" s="714"/>
      <c r="BS163" s="714"/>
      <c r="BT163" s="714"/>
      <c r="BU163" s="714"/>
      <c r="BV163" s="714"/>
      <c r="BW163" s="714"/>
      <c r="BX163" s="714"/>
      <c r="BY163" s="714"/>
      <c r="BZ163" s="714"/>
      <c r="CA163" s="714"/>
      <c r="CB163" s="714"/>
      <c r="CC163" s="714"/>
      <c r="CD163" s="714"/>
      <c r="CE163" s="714"/>
      <c r="CF163" s="714"/>
      <c r="CG163" s="714"/>
      <c r="CH163" s="714"/>
      <c r="CI163" s="714"/>
      <c r="CJ163" s="714"/>
      <c r="CK163" s="714"/>
      <c r="CL163" s="714"/>
      <c r="CM163" s="714"/>
      <c r="CN163" s="714"/>
      <c r="CO163" s="714"/>
      <c r="CP163" s="714"/>
      <c r="CQ163" s="714"/>
      <c r="CR163" s="714"/>
      <c r="CS163" s="714"/>
      <c r="CT163" s="714"/>
      <c r="CU163" s="714"/>
      <c r="CV163" s="714"/>
      <c r="CW163" s="714"/>
      <c r="CX163" s="714"/>
      <c r="CY163" s="714"/>
      <c r="CZ163" s="714"/>
      <c r="DA163" s="714"/>
      <c r="DB163" s="714"/>
      <c r="DC163" s="714"/>
      <c r="DD163" s="714"/>
      <c r="DE163" s="714"/>
      <c r="DF163" s="714"/>
      <c r="DG163" s="714"/>
      <c r="DH163" s="714"/>
      <c r="DI163" s="714"/>
      <c r="DJ163" s="714"/>
      <c r="DK163" s="714"/>
      <c r="DL163" s="714"/>
      <c r="DM163" s="714"/>
      <c r="DN163" s="714"/>
      <c r="DO163" s="714"/>
      <c r="DP163" s="714"/>
      <c r="DQ163" s="714"/>
      <c r="DR163" s="714"/>
      <c r="DS163" s="714"/>
      <c r="DT163" s="714"/>
      <c r="DU163" s="714"/>
      <c r="DV163" s="714"/>
      <c r="DW163" s="714"/>
      <c r="DX163" s="714"/>
      <c r="DY163" s="714"/>
      <c r="DZ163" s="714"/>
      <c r="EA163" s="714"/>
      <c r="EB163" s="714"/>
      <c r="EC163" s="714"/>
      <c r="ED163" s="714"/>
      <c r="EE163" s="714"/>
      <c r="EF163" s="714"/>
      <c r="EG163" s="714"/>
      <c r="EH163" s="714"/>
      <c r="EI163" s="714"/>
      <c r="EJ163" s="714"/>
      <c r="EK163" s="714"/>
      <c r="EL163" s="714"/>
      <c r="EM163" s="714"/>
      <c r="EN163" s="714"/>
      <c r="EO163" s="714"/>
      <c r="EP163" s="714"/>
      <c r="EQ163" s="714"/>
      <c r="ER163" s="714"/>
      <c r="ES163" s="714"/>
      <c r="ET163" s="714"/>
      <c r="EU163" s="714"/>
      <c r="EV163" s="714"/>
      <c r="EW163" s="714"/>
      <c r="EX163" s="714"/>
      <c r="EY163" s="714"/>
      <c r="EZ163" s="714"/>
      <c r="FA163" s="714"/>
      <c r="FB163" s="714"/>
      <c r="FC163" s="714"/>
      <c r="FD163" s="714"/>
      <c r="FE163" s="714"/>
      <c r="FF163" s="714"/>
      <c r="FG163" s="714"/>
      <c r="FH163" s="714"/>
      <c r="FI163" s="714"/>
      <c r="FJ163" s="714"/>
      <c r="FK163" s="714"/>
      <c r="FL163" s="714"/>
      <c r="FM163" s="714"/>
      <c r="FN163" s="714"/>
      <c r="FO163" s="714"/>
      <c r="FP163" s="714"/>
      <c r="FQ163" s="714"/>
      <c r="FR163" s="714"/>
      <c r="FS163" s="714"/>
      <c r="FT163" s="714"/>
      <c r="FU163" s="714"/>
      <c r="FV163" s="714"/>
      <c r="FW163" s="714"/>
      <c r="FX163" s="714"/>
      <c r="FY163" s="714"/>
      <c r="FZ163" s="714"/>
      <c r="GA163" s="714"/>
      <c r="GB163" s="714"/>
      <c r="GC163" s="714"/>
      <c r="GD163" s="714"/>
      <c r="GE163" s="714"/>
      <c r="GF163" s="714"/>
      <c r="GG163" s="714"/>
      <c r="GH163" s="714"/>
      <c r="GI163" s="714"/>
      <c r="GJ163" s="714"/>
      <c r="GK163" s="714"/>
      <c r="GL163" s="714"/>
      <c r="GM163" s="714"/>
      <c r="GN163" s="714"/>
      <c r="GO163" s="714"/>
      <c r="GP163" s="714"/>
      <c r="GQ163" s="714"/>
      <c r="GR163" s="714"/>
      <c r="GS163" s="714"/>
      <c r="GT163" s="714"/>
      <c r="GU163" s="714"/>
      <c r="GV163" s="714"/>
      <c r="GW163" s="714"/>
      <c r="GX163" s="714"/>
      <c r="GY163" s="714"/>
      <c r="GZ163" s="714"/>
      <c r="HA163" s="714"/>
      <c r="HB163" s="714"/>
      <c r="HC163" s="714"/>
      <c r="HD163" s="714"/>
      <c r="HE163" s="714"/>
      <c r="HF163" s="714"/>
      <c r="HG163" s="714"/>
      <c r="HH163" s="714"/>
      <c r="HI163" s="714"/>
      <c r="HJ163" s="714"/>
      <c r="HK163" s="714"/>
      <c r="HL163" s="714"/>
      <c r="HM163" s="714"/>
      <c r="HN163" s="714"/>
      <c r="HO163" s="714"/>
      <c r="HP163" s="714"/>
      <c r="HQ163" s="714"/>
      <c r="HR163" s="714"/>
      <c r="HS163" s="714"/>
      <c r="HT163" s="714"/>
      <c r="HU163" s="714"/>
      <c r="HV163" s="714"/>
      <c r="HW163" s="714"/>
      <c r="HX163" s="714"/>
      <c r="HY163" s="714"/>
      <c r="HZ163" s="714"/>
      <c r="IA163" s="714"/>
      <c r="IB163" s="714"/>
      <c r="IC163" s="714"/>
      <c r="ID163" s="714"/>
      <c r="IE163" s="714"/>
      <c r="IF163" s="714"/>
      <c r="IG163" s="714"/>
      <c r="IH163" s="714"/>
    </row>
    <row r="164" hidden="1" outlineLevel="1">
      <c r="A164" s="598"/>
      <c r="B164" s="598"/>
      <c r="C164" s="598"/>
      <c r="D164" s="598"/>
      <c r="E164" s="598"/>
      <c r="F164" s="598"/>
      <c r="G164" s="598"/>
      <c r="H164" s="598"/>
      <c r="I164" s="598"/>
      <c r="J164" s="598"/>
      <c r="K164" s="598"/>
      <c r="L164" s="598"/>
      <c r="M164" s="598"/>
      <c r="N164" s="598"/>
      <c r="O164" s="598"/>
      <c r="P164" s="598"/>
      <c r="Q164" s="598"/>
      <c r="R164" s="598"/>
      <c r="S164" s="598"/>
      <c r="T164" s="598"/>
      <c r="U164" s="598"/>
      <c r="V164" s="598"/>
      <c r="W164" s="598"/>
      <c r="X164" s="598"/>
      <c r="Y164" s="598"/>
      <c r="Z164" s="598"/>
      <c r="AA164" s="911"/>
      <c r="AB164" s="1000"/>
      <c r="AC164" s="714" t="str">
        <f>IFERROR(__xludf.DUMMYFUNCTION("""COMPUTED_VALUE"""),"Scatter Enemy Health")</f>
        <v>Scatter Enemy Health</v>
      </c>
      <c r="AD164" s="825" t="s">
        <v>340</v>
      </c>
      <c r="AE164" s="714">
        <v>0.0</v>
      </c>
      <c r="AF164" s="714"/>
      <c r="AG164" s="714">
        <v>30.0</v>
      </c>
      <c r="AH164" s="1005">
        <f t="shared" ref="AH164:AH183" si="21">IFERROR(SEQUENCE(1, VALUE(VLOOKUP(M31, AD:AG, 4, false)) - VALUE(VLOOKUP(M31, AD:AG, 2, false)), VLOOKUP(M31, AD:AG, 2, false)),"")</f>
        <v>83</v>
      </c>
      <c r="AI164" s="714">
        <v>84.0</v>
      </c>
      <c r="AJ164" s="714">
        <v>85.0</v>
      </c>
      <c r="AK164" s="714">
        <v>86.0</v>
      </c>
      <c r="AL164" s="714">
        <v>87.0</v>
      </c>
      <c r="AM164" s="714">
        <v>88.0</v>
      </c>
      <c r="AN164" s="714">
        <v>89.0</v>
      </c>
      <c r="AO164" s="714">
        <v>90.0</v>
      </c>
      <c r="AP164" s="714">
        <v>91.0</v>
      </c>
      <c r="AQ164" s="714">
        <v>92.0</v>
      </c>
      <c r="AR164" s="714">
        <v>93.0</v>
      </c>
      <c r="AS164" s="714">
        <v>94.0</v>
      </c>
      <c r="AT164" s="714">
        <v>95.0</v>
      </c>
      <c r="AU164" s="714">
        <v>96.0</v>
      </c>
      <c r="AV164" s="714">
        <v>97.0</v>
      </c>
      <c r="AW164" s="714">
        <v>98.0</v>
      </c>
      <c r="AX164" s="714"/>
      <c r="AY164" s="714"/>
      <c r="AZ164" s="714"/>
      <c r="BA164" s="714"/>
      <c r="BB164" s="714"/>
      <c r="BC164" s="714"/>
      <c r="BD164" s="714"/>
      <c r="BE164" s="714"/>
      <c r="BF164" s="714"/>
      <c r="BG164" s="714"/>
      <c r="BH164" s="714"/>
      <c r="BI164" s="714"/>
      <c r="BJ164" s="714"/>
      <c r="BK164" s="714"/>
      <c r="BL164" s="714"/>
      <c r="BM164" s="714"/>
      <c r="BN164" s="714"/>
      <c r="BO164" s="714"/>
      <c r="BP164" s="714"/>
      <c r="BQ164" s="714"/>
      <c r="BR164" s="714"/>
      <c r="BS164" s="714"/>
      <c r="BT164" s="714"/>
      <c r="BU164" s="714"/>
      <c r="BV164" s="714"/>
      <c r="BW164" s="714"/>
      <c r="BX164" s="714"/>
      <c r="BY164" s="714"/>
      <c r="BZ164" s="714"/>
      <c r="CA164" s="714"/>
      <c r="CB164" s="714"/>
      <c r="CC164" s="714"/>
      <c r="CD164" s="714"/>
      <c r="CE164" s="714"/>
      <c r="CF164" s="714"/>
      <c r="CG164" s="714"/>
      <c r="CH164" s="714"/>
      <c r="CI164" s="714"/>
      <c r="CJ164" s="714"/>
      <c r="CK164" s="714"/>
      <c r="CL164" s="714"/>
      <c r="CM164" s="714"/>
      <c r="CN164" s="714"/>
      <c r="CO164" s="714"/>
      <c r="CP164" s="714"/>
      <c r="CQ164" s="714"/>
      <c r="CR164" s="714"/>
      <c r="CS164" s="714"/>
      <c r="CT164" s="714"/>
      <c r="CU164" s="714"/>
      <c r="CV164" s="714"/>
      <c r="CW164" s="714"/>
      <c r="CX164" s="714"/>
      <c r="CY164" s="714"/>
      <c r="CZ164" s="714"/>
      <c r="DA164" s="714"/>
      <c r="DB164" s="714"/>
      <c r="DC164" s="714"/>
      <c r="DD164" s="714"/>
      <c r="DE164" s="714"/>
      <c r="DF164" s="714"/>
      <c r="DG164" s="714"/>
      <c r="DH164" s="714"/>
      <c r="DI164" s="714"/>
      <c r="DJ164" s="714"/>
      <c r="DK164" s="714"/>
      <c r="DL164" s="714"/>
      <c r="DM164" s="714"/>
      <c r="DN164" s="714"/>
      <c r="DO164" s="714"/>
      <c r="DP164" s="714"/>
      <c r="DQ164" s="714"/>
      <c r="DR164" s="714"/>
      <c r="DS164" s="714"/>
      <c r="DT164" s="714"/>
      <c r="DU164" s="714"/>
      <c r="DV164" s="714"/>
      <c r="DW164" s="714"/>
      <c r="DX164" s="714"/>
      <c r="DY164" s="714"/>
      <c r="DZ164" s="714"/>
      <c r="EA164" s="714"/>
      <c r="EB164" s="714"/>
      <c r="EC164" s="714"/>
      <c r="ED164" s="714"/>
      <c r="EE164" s="714"/>
      <c r="EF164" s="714"/>
      <c r="EG164" s="714"/>
      <c r="EH164" s="714"/>
      <c r="EI164" s="714"/>
      <c r="EJ164" s="714"/>
      <c r="EK164" s="714"/>
      <c r="EL164" s="714"/>
      <c r="EM164" s="714"/>
      <c r="EN164" s="714"/>
      <c r="EO164" s="714"/>
      <c r="EP164" s="714"/>
      <c r="EQ164" s="714"/>
      <c r="ER164" s="714"/>
      <c r="ES164" s="714"/>
      <c r="ET164" s="714"/>
      <c r="EU164" s="714"/>
      <c r="EV164" s="714"/>
      <c r="EW164" s="714"/>
      <c r="EX164" s="714"/>
      <c r="EY164" s="714"/>
      <c r="EZ164" s="714"/>
      <c r="FA164" s="714"/>
      <c r="FB164" s="714"/>
      <c r="FC164" s="714"/>
      <c r="FD164" s="714"/>
      <c r="FE164" s="714"/>
      <c r="FF164" s="714"/>
      <c r="FG164" s="714"/>
      <c r="FH164" s="714"/>
      <c r="FI164" s="714"/>
      <c r="FJ164" s="714"/>
      <c r="FK164" s="714"/>
      <c r="FL164" s="714"/>
      <c r="FM164" s="714"/>
      <c r="FN164" s="714"/>
      <c r="FO164" s="714"/>
      <c r="FP164" s="714"/>
      <c r="FQ164" s="714"/>
      <c r="FR164" s="714"/>
      <c r="FS164" s="714"/>
      <c r="FT164" s="714"/>
      <c r="FU164" s="714"/>
      <c r="FV164" s="714"/>
      <c r="FW164" s="714"/>
      <c r="FX164" s="714"/>
      <c r="FY164" s="714"/>
      <c r="FZ164" s="714"/>
      <c r="GA164" s="714"/>
      <c r="GB164" s="714"/>
      <c r="GC164" s="714"/>
      <c r="GD164" s="714"/>
      <c r="GE164" s="714"/>
      <c r="GF164" s="714"/>
      <c r="GG164" s="714"/>
      <c r="GH164" s="714"/>
      <c r="GI164" s="714"/>
      <c r="GJ164" s="714"/>
      <c r="GK164" s="714"/>
      <c r="GL164" s="714"/>
      <c r="GM164" s="714"/>
      <c r="GN164" s="714"/>
      <c r="GO164" s="714"/>
      <c r="GP164" s="714"/>
      <c r="GQ164" s="714"/>
      <c r="GR164" s="714"/>
      <c r="GS164" s="714"/>
      <c r="GT164" s="714"/>
      <c r="GU164" s="714"/>
      <c r="GV164" s="714"/>
      <c r="GW164" s="714"/>
      <c r="GX164" s="714"/>
      <c r="GY164" s="714"/>
      <c r="GZ164" s="714"/>
      <c r="HA164" s="714"/>
      <c r="HB164" s="714"/>
      <c r="HC164" s="714"/>
      <c r="HD164" s="714"/>
      <c r="HE164" s="714"/>
      <c r="HF164" s="714"/>
      <c r="HG164" s="714"/>
      <c r="HH164" s="714"/>
      <c r="HI164" s="714"/>
      <c r="HJ164" s="714"/>
      <c r="HK164" s="714"/>
      <c r="HL164" s="714"/>
      <c r="HM164" s="714"/>
      <c r="HN164" s="714"/>
      <c r="HO164" s="714"/>
      <c r="HP164" s="714"/>
      <c r="HQ164" s="714"/>
      <c r="HR164" s="714"/>
      <c r="HS164" s="714"/>
      <c r="HT164" s="714"/>
      <c r="HU164" s="714"/>
      <c r="HV164" s="714"/>
      <c r="HW164" s="714"/>
      <c r="HX164" s="714"/>
      <c r="HY164" s="714"/>
      <c r="HZ164" s="714"/>
      <c r="IA164" s="714"/>
      <c r="IB164" s="714"/>
      <c r="IC164" s="714"/>
      <c r="ID164" s="714"/>
      <c r="IE164" s="714"/>
      <c r="IF164" s="714"/>
      <c r="IG164" s="714"/>
      <c r="IH164" s="714"/>
    </row>
    <row r="165" hidden="1" outlineLevel="1">
      <c r="A165" s="598"/>
      <c r="B165" s="598"/>
      <c r="C165" s="598"/>
      <c r="D165" s="598"/>
      <c r="E165" s="598"/>
      <c r="F165" s="598"/>
      <c r="G165" s="598"/>
      <c r="H165" s="598"/>
      <c r="I165" s="598"/>
      <c r="J165" s="598"/>
      <c r="K165" s="598"/>
      <c r="L165" s="598"/>
      <c r="M165" s="598"/>
      <c r="N165" s="598"/>
      <c r="O165" s="598"/>
      <c r="P165" s="598"/>
      <c r="Q165" s="598"/>
      <c r="R165" s="598"/>
      <c r="S165" s="598"/>
      <c r="T165" s="598"/>
      <c r="U165" s="598"/>
      <c r="V165" s="598"/>
      <c r="W165" s="598"/>
      <c r="X165" s="598"/>
      <c r="Y165" s="598"/>
      <c r="Z165" s="598"/>
      <c r="AA165" s="911"/>
      <c r="AB165" s="1000"/>
      <c r="AC165" s="714" t="str">
        <f>IFERROR(__xludf.DUMMYFUNCTION("""COMPUTED_VALUE"""),"Second Wind Blast")</f>
        <v>Second Wind Blast</v>
      </c>
      <c r="AD165" s="825" t="s">
        <v>159</v>
      </c>
      <c r="AE165" s="714">
        <v>4.0</v>
      </c>
      <c r="AF165" s="714"/>
      <c r="AG165" s="714">
        <v>4.0</v>
      </c>
      <c r="AH165" s="1005" t="str">
        <f t="shared" si="21"/>
        <v/>
      </c>
      <c r="AI165" s="714"/>
      <c r="AJ165" s="714"/>
      <c r="AK165" s="714"/>
      <c r="AL165" s="714"/>
      <c r="AM165" s="714"/>
      <c r="AN165" s="714"/>
      <c r="AO165" s="714"/>
      <c r="AP165" s="714"/>
      <c r="AQ165" s="714"/>
      <c r="AR165" s="714"/>
      <c r="AS165" s="714"/>
      <c r="AT165" s="714"/>
      <c r="AU165" s="714"/>
      <c r="AV165" s="714"/>
      <c r="AW165" s="714"/>
      <c r="AX165" s="714"/>
      <c r="AY165" s="714"/>
      <c r="AZ165" s="714"/>
      <c r="BA165" s="714"/>
      <c r="BB165" s="714"/>
      <c r="BC165" s="714"/>
      <c r="BD165" s="714"/>
      <c r="BE165" s="714"/>
      <c r="BF165" s="714"/>
      <c r="BG165" s="714"/>
      <c r="BH165" s="714"/>
      <c r="BI165" s="714"/>
      <c r="BJ165" s="714"/>
      <c r="BK165" s="714"/>
      <c r="BL165" s="714"/>
      <c r="BM165" s="714"/>
      <c r="BN165" s="714"/>
      <c r="BO165" s="714"/>
      <c r="BP165" s="714"/>
      <c r="BQ165" s="714"/>
      <c r="BR165" s="714"/>
      <c r="BS165" s="714"/>
      <c r="BT165" s="714"/>
      <c r="BU165" s="714"/>
      <c r="BV165" s="714"/>
      <c r="BW165" s="714"/>
      <c r="BX165" s="714"/>
      <c r="BY165" s="714"/>
      <c r="BZ165" s="714"/>
      <c r="CA165" s="714"/>
      <c r="CB165" s="714"/>
      <c r="CC165" s="714"/>
      <c r="CD165" s="714"/>
      <c r="CE165" s="714"/>
      <c r="CF165" s="714"/>
      <c r="CG165" s="714"/>
      <c r="CH165" s="714"/>
      <c r="CI165" s="714"/>
      <c r="CJ165" s="714"/>
      <c r="CK165" s="714"/>
      <c r="CL165" s="714"/>
      <c r="CM165" s="714"/>
      <c r="CN165" s="714"/>
      <c r="CO165" s="714"/>
      <c r="CP165" s="714"/>
      <c r="CQ165" s="714"/>
      <c r="CR165" s="714"/>
      <c r="CS165" s="714"/>
      <c r="CT165" s="714"/>
      <c r="CU165" s="714"/>
      <c r="CV165" s="714"/>
      <c r="CW165" s="714"/>
      <c r="CX165" s="714"/>
      <c r="CY165" s="714"/>
      <c r="CZ165" s="714"/>
      <c r="DA165" s="714"/>
      <c r="DB165" s="714"/>
      <c r="DC165" s="714"/>
      <c r="DD165" s="714"/>
      <c r="DE165" s="714"/>
      <c r="DF165" s="714"/>
      <c r="DG165" s="714"/>
      <c r="DH165" s="714"/>
      <c r="DI165" s="714"/>
      <c r="DJ165" s="714"/>
      <c r="DK165" s="714"/>
      <c r="DL165" s="714"/>
      <c r="DM165" s="714"/>
      <c r="DN165" s="714"/>
      <c r="DO165" s="714"/>
      <c r="DP165" s="714"/>
      <c r="DQ165" s="714"/>
      <c r="DR165" s="714"/>
      <c r="DS165" s="714"/>
      <c r="DT165" s="714"/>
      <c r="DU165" s="714"/>
      <c r="DV165" s="714"/>
      <c r="DW165" s="714"/>
      <c r="DX165" s="714"/>
      <c r="DY165" s="714"/>
      <c r="DZ165" s="714"/>
      <c r="EA165" s="714"/>
      <c r="EB165" s="714"/>
      <c r="EC165" s="714"/>
      <c r="ED165" s="714"/>
      <c r="EE165" s="714"/>
      <c r="EF165" s="714"/>
      <c r="EG165" s="714"/>
      <c r="EH165" s="714"/>
      <c r="EI165" s="714"/>
      <c r="EJ165" s="714"/>
      <c r="EK165" s="714"/>
      <c r="EL165" s="714"/>
      <c r="EM165" s="714"/>
      <c r="EN165" s="714"/>
      <c r="EO165" s="714"/>
      <c r="EP165" s="714"/>
      <c r="EQ165" s="714"/>
      <c r="ER165" s="714"/>
      <c r="ES165" s="714"/>
      <c r="ET165" s="714"/>
      <c r="EU165" s="714"/>
      <c r="EV165" s="714"/>
      <c r="EW165" s="714"/>
      <c r="EX165" s="714"/>
      <c r="EY165" s="714"/>
      <c r="EZ165" s="714"/>
      <c r="FA165" s="714"/>
      <c r="FB165" s="714"/>
      <c r="FC165" s="714"/>
      <c r="FD165" s="714"/>
      <c r="FE165" s="714"/>
      <c r="FF165" s="714"/>
      <c r="FG165" s="714"/>
      <c r="FH165" s="714"/>
      <c r="FI165" s="714"/>
      <c r="FJ165" s="714"/>
      <c r="FK165" s="714"/>
      <c r="FL165" s="714"/>
      <c r="FM165" s="714"/>
      <c r="FN165" s="714"/>
      <c r="FO165" s="714"/>
      <c r="FP165" s="714"/>
      <c r="FQ165" s="714"/>
      <c r="FR165" s="714"/>
      <c r="FS165" s="714"/>
      <c r="FT165" s="714"/>
      <c r="FU165" s="714"/>
      <c r="FV165" s="714"/>
      <c r="FW165" s="714"/>
      <c r="FX165" s="714"/>
      <c r="FY165" s="714"/>
      <c r="FZ165" s="714"/>
      <c r="GA165" s="714"/>
      <c r="GB165" s="714"/>
      <c r="GC165" s="714"/>
      <c r="GD165" s="714"/>
      <c r="GE165" s="714"/>
      <c r="GF165" s="714"/>
      <c r="GG165" s="714"/>
      <c r="GH165" s="714"/>
      <c r="GI165" s="714"/>
      <c r="GJ165" s="714"/>
      <c r="GK165" s="714"/>
      <c r="GL165" s="714"/>
      <c r="GM165" s="714"/>
      <c r="GN165" s="714"/>
      <c r="GO165" s="714"/>
      <c r="GP165" s="714"/>
      <c r="GQ165" s="714"/>
      <c r="GR165" s="714"/>
      <c r="GS165" s="714"/>
      <c r="GT165" s="714"/>
      <c r="GU165" s="714"/>
      <c r="GV165" s="714"/>
      <c r="GW165" s="714"/>
      <c r="GX165" s="714"/>
      <c r="GY165" s="714"/>
      <c r="GZ165" s="714"/>
      <c r="HA165" s="714"/>
      <c r="HB165" s="714"/>
      <c r="HC165" s="714"/>
      <c r="HD165" s="714"/>
      <c r="HE165" s="714"/>
      <c r="HF165" s="714"/>
      <c r="HG165" s="714"/>
      <c r="HH165" s="714"/>
      <c r="HI165" s="714"/>
      <c r="HJ165" s="714"/>
      <c r="HK165" s="714"/>
      <c r="HL165" s="714"/>
      <c r="HM165" s="714"/>
      <c r="HN165" s="714"/>
      <c r="HO165" s="714"/>
      <c r="HP165" s="714"/>
      <c r="HQ165" s="714"/>
      <c r="HR165" s="714"/>
      <c r="HS165" s="714"/>
      <c r="HT165" s="714"/>
      <c r="HU165" s="714"/>
      <c r="HV165" s="714"/>
      <c r="HW165" s="714"/>
      <c r="HX165" s="714"/>
      <c r="HY165" s="714"/>
      <c r="HZ165" s="714"/>
      <c r="IA165" s="714"/>
      <c r="IB165" s="714"/>
      <c r="IC165" s="714"/>
      <c r="ID165" s="714"/>
      <c r="IE165" s="714"/>
      <c r="IF165" s="714"/>
      <c r="IG165" s="714"/>
      <c r="IH165" s="714"/>
    </row>
    <row r="166" hidden="1" outlineLevel="1">
      <c r="A166" s="598"/>
      <c r="B166" s="598"/>
      <c r="C166" s="598"/>
      <c r="D166" s="598"/>
      <c r="E166" s="598"/>
      <c r="F166" s="598"/>
      <c r="G166" s="598"/>
      <c r="H166" s="598"/>
      <c r="I166" s="598"/>
      <c r="J166" s="598"/>
      <c r="K166" s="598"/>
      <c r="L166" s="598"/>
      <c r="M166" s="598"/>
      <c r="N166" s="598"/>
      <c r="O166" s="598"/>
      <c r="P166" s="598"/>
      <c r="Q166" s="598"/>
      <c r="R166" s="598"/>
      <c r="S166" s="598"/>
      <c r="T166" s="598"/>
      <c r="U166" s="598"/>
      <c r="V166" s="598"/>
      <c r="W166" s="598"/>
      <c r="X166" s="598"/>
      <c r="Y166" s="598"/>
      <c r="Z166" s="598"/>
      <c r="AA166" s="911"/>
      <c r="AB166" s="1000"/>
      <c r="AC166" s="714" t="str">
        <f>IFERROR(__xludf.DUMMYFUNCTION("""COMPUTED_VALUE"""),"Second Wind Mastery")</f>
        <v>Second Wind Mastery</v>
      </c>
      <c r="AD166" s="825" t="s">
        <v>369</v>
      </c>
      <c r="AE166" s="714">
        <v>0.0</v>
      </c>
      <c r="AF166" s="714"/>
      <c r="AG166" s="714">
        <v>9.0</v>
      </c>
      <c r="AH166" s="1005" t="str">
        <f t="shared" si="21"/>
        <v/>
      </c>
      <c r="AI166" s="714"/>
      <c r="AJ166" s="714"/>
      <c r="AK166" s="714"/>
      <c r="AL166" s="714"/>
      <c r="AM166" s="714"/>
      <c r="AN166" s="714"/>
      <c r="AO166" s="714"/>
      <c r="AP166" s="714"/>
      <c r="AQ166" s="714"/>
      <c r="AR166" s="714"/>
      <c r="AS166" s="714"/>
      <c r="AT166" s="714"/>
      <c r="AU166" s="714"/>
      <c r="AV166" s="714"/>
      <c r="AW166" s="714"/>
      <c r="AX166" s="714"/>
      <c r="AY166" s="714"/>
      <c r="AZ166" s="714"/>
      <c r="BA166" s="714"/>
      <c r="BB166" s="714"/>
      <c r="BC166" s="714"/>
      <c r="BD166" s="714"/>
      <c r="BE166" s="714"/>
      <c r="BF166" s="714"/>
      <c r="BG166" s="714"/>
      <c r="BH166" s="714"/>
      <c r="BI166" s="714"/>
      <c r="BJ166" s="714"/>
      <c r="BK166" s="714"/>
      <c r="BL166" s="714"/>
      <c r="BM166" s="714"/>
      <c r="BN166" s="714"/>
      <c r="BO166" s="714"/>
      <c r="BP166" s="714"/>
      <c r="BQ166" s="714"/>
      <c r="BR166" s="714"/>
      <c r="BS166" s="714"/>
      <c r="BT166" s="714"/>
      <c r="BU166" s="714"/>
      <c r="BV166" s="714"/>
      <c r="BW166" s="714"/>
      <c r="BX166" s="714"/>
      <c r="BY166" s="714"/>
      <c r="BZ166" s="714"/>
      <c r="CA166" s="714"/>
      <c r="CB166" s="714"/>
      <c r="CC166" s="714"/>
      <c r="CD166" s="714"/>
      <c r="CE166" s="714"/>
      <c r="CF166" s="714"/>
      <c r="CG166" s="714"/>
      <c r="CH166" s="714"/>
      <c r="CI166" s="714"/>
      <c r="CJ166" s="714"/>
      <c r="CK166" s="714"/>
      <c r="CL166" s="714"/>
      <c r="CM166" s="714"/>
      <c r="CN166" s="714"/>
      <c r="CO166" s="714"/>
      <c r="CP166" s="714"/>
      <c r="CQ166" s="714"/>
      <c r="CR166" s="714"/>
      <c r="CS166" s="714"/>
      <c r="CT166" s="714"/>
      <c r="CU166" s="714"/>
      <c r="CV166" s="714"/>
      <c r="CW166" s="714"/>
      <c r="CX166" s="714"/>
      <c r="CY166" s="714"/>
      <c r="CZ166" s="714"/>
      <c r="DA166" s="714"/>
      <c r="DB166" s="714"/>
      <c r="DC166" s="714"/>
      <c r="DD166" s="714"/>
      <c r="DE166" s="714"/>
      <c r="DF166" s="714"/>
      <c r="DG166" s="714"/>
      <c r="DH166" s="714"/>
      <c r="DI166" s="714"/>
      <c r="DJ166" s="714"/>
      <c r="DK166" s="714"/>
      <c r="DL166" s="714"/>
      <c r="DM166" s="714"/>
      <c r="DN166" s="714"/>
      <c r="DO166" s="714"/>
      <c r="DP166" s="714"/>
      <c r="DQ166" s="714"/>
      <c r="DR166" s="714"/>
      <c r="DS166" s="714"/>
      <c r="DT166" s="714"/>
      <c r="DU166" s="714"/>
      <c r="DV166" s="714"/>
      <c r="DW166" s="714"/>
      <c r="DX166" s="714"/>
      <c r="DY166" s="714"/>
      <c r="DZ166" s="714"/>
      <c r="EA166" s="714"/>
      <c r="EB166" s="714"/>
      <c r="EC166" s="714"/>
      <c r="ED166" s="714"/>
      <c r="EE166" s="714"/>
      <c r="EF166" s="714"/>
      <c r="EG166" s="714"/>
      <c r="EH166" s="714"/>
      <c r="EI166" s="714"/>
      <c r="EJ166" s="714"/>
      <c r="EK166" s="714"/>
      <c r="EL166" s="714"/>
      <c r="EM166" s="714"/>
      <c r="EN166" s="714"/>
      <c r="EO166" s="714"/>
      <c r="EP166" s="714"/>
      <c r="EQ166" s="714"/>
      <c r="ER166" s="714"/>
      <c r="ES166" s="714"/>
      <c r="ET166" s="714"/>
      <c r="EU166" s="714"/>
      <c r="EV166" s="714"/>
      <c r="EW166" s="714"/>
      <c r="EX166" s="714"/>
      <c r="EY166" s="714"/>
      <c r="EZ166" s="714"/>
      <c r="FA166" s="714"/>
      <c r="FB166" s="714"/>
      <c r="FC166" s="714"/>
      <c r="FD166" s="714"/>
      <c r="FE166" s="714"/>
      <c r="FF166" s="714"/>
      <c r="FG166" s="714"/>
      <c r="FH166" s="714"/>
      <c r="FI166" s="714"/>
      <c r="FJ166" s="714"/>
      <c r="FK166" s="714"/>
      <c r="FL166" s="714"/>
      <c r="FM166" s="714"/>
      <c r="FN166" s="714"/>
      <c r="FO166" s="714"/>
      <c r="FP166" s="714"/>
      <c r="FQ166" s="714"/>
      <c r="FR166" s="714"/>
      <c r="FS166" s="714"/>
      <c r="FT166" s="714"/>
      <c r="FU166" s="714"/>
      <c r="FV166" s="714"/>
      <c r="FW166" s="714"/>
      <c r="FX166" s="714"/>
      <c r="FY166" s="714"/>
      <c r="FZ166" s="714"/>
      <c r="GA166" s="714"/>
      <c r="GB166" s="714"/>
      <c r="GC166" s="714"/>
      <c r="GD166" s="714"/>
      <c r="GE166" s="714"/>
      <c r="GF166" s="714"/>
      <c r="GG166" s="714"/>
      <c r="GH166" s="714"/>
      <c r="GI166" s="714"/>
      <c r="GJ166" s="714"/>
      <c r="GK166" s="714"/>
      <c r="GL166" s="714"/>
      <c r="GM166" s="714"/>
      <c r="GN166" s="714"/>
      <c r="GO166" s="714"/>
      <c r="GP166" s="714"/>
      <c r="GQ166" s="714"/>
      <c r="GR166" s="714"/>
      <c r="GS166" s="714"/>
      <c r="GT166" s="714"/>
      <c r="GU166" s="714"/>
      <c r="GV166" s="714"/>
      <c r="GW166" s="714"/>
      <c r="GX166" s="714"/>
      <c r="GY166" s="714"/>
      <c r="GZ166" s="714"/>
      <c r="HA166" s="714"/>
      <c r="HB166" s="714"/>
      <c r="HC166" s="714"/>
      <c r="HD166" s="714"/>
      <c r="HE166" s="714"/>
      <c r="HF166" s="714"/>
      <c r="HG166" s="714"/>
      <c r="HH166" s="714"/>
      <c r="HI166" s="714"/>
      <c r="HJ166" s="714"/>
      <c r="HK166" s="714"/>
      <c r="HL166" s="714"/>
      <c r="HM166" s="714"/>
      <c r="HN166" s="714"/>
      <c r="HO166" s="714"/>
      <c r="HP166" s="714"/>
      <c r="HQ166" s="714"/>
      <c r="HR166" s="714"/>
      <c r="HS166" s="714"/>
      <c r="HT166" s="714"/>
      <c r="HU166" s="714"/>
      <c r="HV166" s="714"/>
      <c r="HW166" s="714"/>
      <c r="HX166" s="714"/>
      <c r="HY166" s="714"/>
      <c r="HZ166" s="714"/>
      <c r="IA166" s="714"/>
      <c r="IB166" s="714"/>
      <c r="IC166" s="714"/>
      <c r="ID166" s="714"/>
      <c r="IE166" s="714"/>
      <c r="IF166" s="714"/>
      <c r="IG166" s="714"/>
      <c r="IH166" s="714"/>
    </row>
    <row r="167" hidden="1" outlineLevel="1">
      <c r="A167" s="598"/>
      <c r="B167" s="598"/>
      <c r="C167" s="598"/>
      <c r="D167" s="598"/>
      <c r="E167" s="598"/>
      <c r="F167" s="598"/>
      <c r="G167" s="598"/>
      <c r="H167" s="598"/>
      <c r="I167" s="598"/>
      <c r="J167" s="598"/>
      <c r="K167" s="598"/>
      <c r="L167" s="598"/>
      <c r="M167" s="598"/>
      <c r="N167" s="598"/>
      <c r="O167" s="598"/>
      <c r="P167" s="598"/>
      <c r="Q167" s="598"/>
      <c r="R167" s="598"/>
      <c r="S167" s="598"/>
      <c r="T167" s="598"/>
      <c r="U167" s="598"/>
      <c r="V167" s="598"/>
      <c r="W167" s="598"/>
      <c r="X167" s="598"/>
      <c r="Y167" s="598"/>
      <c r="Z167" s="598"/>
      <c r="AA167" s="911"/>
      <c r="AB167" s="1000"/>
      <c r="AC167" s="714" t="str">
        <f>IFERROR(__xludf.DUMMYFUNCTION("""COMPUTED_VALUE"""),"Shatter Shards")</f>
        <v>Shatter Shards</v>
      </c>
      <c r="AD167" s="825" t="s">
        <v>258</v>
      </c>
      <c r="AE167" s="714">
        <v>5.0</v>
      </c>
      <c r="AF167" s="714"/>
      <c r="AG167" s="714">
        <v>5.0</v>
      </c>
      <c r="AH167" s="1005" t="str">
        <f t="shared" si="21"/>
        <v/>
      </c>
      <c r="AI167" s="714"/>
      <c r="AJ167" s="714"/>
      <c r="AK167" s="714"/>
      <c r="AL167" s="714"/>
      <c r="AM167" s="714"/>
      <c r="AN167" s="714"/>
      <c r="AO167" s="714"/>
      <c r="AP167" s="714"/>
      <c r="AQ167" s="714"/>
      <c r="AR167" s="714"/>
      <c r="AS167" s="714"/>
      <c r="AT167" s="714"/>
      <c r="AU167" s="714"/>
      <c r="AV167" s="714"/>
      <c r="AW167" s="714"/>
      <c r="AX167" s="714"/>
      <c r="AY167" s="714"/>
      <c r="AZ167" s="714"/>
      <c r="BA167" s="714"/>
      <c r="BB167" s="714"/>
      <c r="BC167" s="714"/>
      <c r="BD167" s="714"/>
      <c r="BE167" s="714"/>
      <c r="BF167" s="714"/>
      <c r="BG167" s="714"/>
      <c r="BH167" s="714"/>
      <c r="BI167" s="714"/>
      <c r="BJ167" s="714"/>
      <c r="BK167" s="714"/>
      <c r="BL167" s="714"/>
      <c r="BM167" s="714"/>
      <c r="BN167" s="714"/>
      <c r="BO167" s="714"/>
      <c r="BP167" s="714"/>
      <c r="BQ167" s="714"/>
      <c r="BR167" s="714"/>
      <c r="BS167" s="714"/>
      <c r="BT167" s="714"/>
      <c r="BU167" s="714"/>
      <c r="BV167" s="714"/>
      <c r="BW167" s="714"/>
      <c r="BX167" s="714"/>
      <c r="BY167" s="714"/>
      <c r="BZ167" s="714"/>
      <c r="CA167" s="714"/>
      <c r="CB167" s="714"/>
      <c r="CC167" s="714"/>
      <c r="CD167" s="714"/>
      <c r="CE167" s="714"/>
      <c r="CF167" s="714"/>
      <c r="CG167" s="714"/>
      <c r="CH167" s="714"/>
      <c r="CI167" s="714"/>
      <c r="CJ167" s="714"/>
      <c r="CK167" s="714"/>
      <c r="CL167" s="714"/>
      <c r="CM167" s="714"/>
      <c r="CN167" s="714"/>
      <c r="CO167" s="714"/>
      <c r="CP167" s="714"/>
      <c r="CQ167" s="714"/>
      <c r="CR167" s="714"/>
      <c r="CS167" s="714"/>
      <c r="CT167" s="714"/>
      <c r="CU167" s="714"/>
      <c r="CV167" s="714"/>
      <c r="CW167" s="714"/>
      <c r="CX167" s="714"/>
      <c r="CY167" s="714"/>
      <c r="CZ167" s="714"/>
      <c r="DA167" s="714"/>
      <c r="DB167" s="714"/>
      <c r="DC167" s="714"/>
      <c r="DD167" s="714"/>
      <c r="DE167" s="714"/>
      <c r="DF167" s="714"/>
      <c r="DG167" s="714"/>
      <c r="DH167" s="714"/>
      <c r="DI167" s="714"/>
      <c r="DJ167" s="714"/>
      <c r="DK167" s="714"/>
      <c r="DL167" s="714"/>
      <c r="DM167" s="714"/>
      <c r="DN167" s="714"/>
      <c r="DO167" s="714"/>
      <c r="DP167" s="714"/>
      <c r="DQ167" s="714"/>
      <c r="DR167" s="714"/>
      <c r="DS167" s="714"/>
      <c r="DT167" s="714"/>
      <c r="DU167" s="714"/>
      <c r="DV167" s="714"/>
      <c r="DW167" s="714"/>
      <c r="DX167" s="714"/>
      <c r="DY167" s="714"/>
      <c r="DZ167" s="714"/>
      <c r="EA167" s="714"/>
      <c r="EB167" s="714"/>
      <c r="EC167" s="714"/>
      <c r="ED167" s="714"/>
      <c r="EE167" s="714"/>
      <c r="EF167" s="714"/>
      <c r="EG167" s="714"/>
      <c r="EH167" s="714"/>
      <c r="EI167" s="714"/>
      <c r="EJ167" s="714"/>
      <c r="EK167" s="714"/>
      <c r="EL167" s="714"/>
      <c r="EM167" s="714"/>
      <c r="EN167" s="714"/>
      <c r="EO167" s="714"/>
      <c r="EP167" s="714"/>
      <c r="EQ167" s="714"/>
      <c r="ER167" s="714"/>
      <c r="ES167" s="714"/>
      <c r="ET167" s="714"/>
      <c r="EU167" s="714"/>
      <c r="EV167" s="714"/>
      <c r="EW167" s="714"/>
      <c r="EX167" s="714"/>
      <c r="EY167" s="714"/>
      <c r="EZ167" s="714"/>
      <c r="FA167" s="714"/>
      <c r="FB167" s="714"/>
      <c r="FC167" s="714"/>
      <c r="FD167" s="714"/>
      <c r="FE167" s="714"/>
      <c r="FF167" s="714"/>
      <c r="FG167" s="714"/>
      <c r="FH167" s="714"/>
      <c r="FI167" s="714"/>
      <c r="FJ167" s="714"/>
      <c r="FK167" s="714"/>
      <c r="FL167" s="714"/>
      <c r="FM167" s="714"/>
      <c r="FN167" s="714"/>
      <c r="FO167" s="714"/>
      <c r="FP167" s="714"/>
      <c r="FQ167" s="714"/>
      <c r="FR167" s="714"/>
      <c r="FS167" s="714"/>
      <c r="FT167" s="714"/>
      <c r="FU167" s="714"/>
      <c r="FV167" s="714"/>
      <c r="FW167" s="714"/>
      <c r="FX167" s="714"/>
      <c r="FY167" s="714"/>
      <c r="FZ167" s="714"/>
      <c r="GA167" s="714"/>
      <c r="GB167" s="714"/>
      <c r="GC167" s="714"/>
      <c r="GD167" s="714"/>
      <c r="GE167" s="714"/>
      <c r="GF167" s="714"/>
      <c r="GG167" s="714"/>
      <c r="GH167" s="714"/>
      <c r="GI167" s="714"/>
      <c r="GJ167" s="714"/>
      <c r="GK167" s="714"/>
      <c r="GL167" s="714"/>
      <c r="GM167" s="714"/>
      <c r="GN167" s="714"/>
      <c r="GO167" s="714"/>
      <c r="GP167" s="714"/>
      <c r="GQ167" s="714"/>
      <c r="GR167" s="714"/>
      <c r="GS167" s="714"/>
      <c r="GT167" s="714"/>
      <c r="GU167" s="714"/>
      <c r="GV167" s="714"/>
      <c r="GW167" s="714"/>
      <c r="GX167" s="714"/>
      <c r="GY167" s="714"/>
      <c r="GZ167" s="714"/>
      <c r="HA167" s="714"/>
      <c r="HB167" s="714"/>
      <c r="HC167" s="714"/>
      <c r="HD167" s="714"/>
      <c r="HE167" s="714"/>
      <c r="HF167" s="714"/>
      <c r="HG167" s="714"/>
      <c r="HH167" s="714"/>
      <c r="HI167" s="714"/>
      <c r="HJ167" s="714"/>
      <c r="HK167" s="714"/>
      <c r="HL167" s="714"/>
      <c r="HM167" s="714"/>
      <c r="HN167" s="714"/>
      <c r="HO167" s="714"/>
      <c r="HP167" s="714"/>
      <c r="HQ167" s="714"/>
      <c r="HR167" s="714"/>
      <c r="HS167" s="714"/>
      <c r="HT167" s="714"/>
      <c r="HU167" s="714"/>
      <c r="HV167" s="714"/>
      <c r="HW167" s="714"/>
      <c r="HX167" s="714"/>
      <c r="HY167" s="714"/>
      <c r="HZ167" s="714"/>
      <c r="IA167" s="714"/>
      <c r="IB167" s="714"/>
      <c r="IC167" s="714"/>
      <c r="ID167" s="714"/>
      <c r="IE167" s="714"/>
      <c r="IF167" s="714"/>
      <c r="IG167" s="714"/>
      <c r="IH167" s="714"/>
    </row>
    <row r="168" hidden="1" outlineLevel="1">
      <c r="A168" s="598"/>
      <c r="B168" s="598"/>
      <c r="C168" s="598"/>
      <c r="D168" s="598"/>
      <c r="E168" s="598"/>
      <c r="F168" s="598"/>
      <c r="G168" s="598"/>
      <c r="H168" s="598"/>
      <c r="I168" s="598"/>
      <c r="J168" s="598"/>
      <c r="K168" s="598"/>
      <c r="L168" s="598"/>
      <c r="M168" s="598"/>
      <c r="N168" s="598"/>
      <c r="O168" s="598"/>
      <c r="P168" s="598"/>
      <c r="Q168" s="598"/>
      <c r="R168" s="598"/>
      <c r="S168" s="598"/>
      <c r="T168" s="598"/>
      <c r="U168" s="598"/>
      <c r="V168" s="598"/>
      <c r="W168" s="598"/>
      <c r="X168" s="598"/>
      <c r="Y168" s="598"/>
      <c r="Z168" s="598"/>
      <c r="AA168" s="911"/>
      <c r="AB168" s="1000"/>
      <c r="AC168" s="714" t="str">
        <f>IFERROR(__xludf.DUMMYFUNCTION("""COMPUTED_VALUE"""),"Shock Chance")</f>
        <v>Shock Chance</v>
      </c>
      <c r="AD168" s="825" t="s">
        <v>303</v>
      </c>
      <c r="AE168" s="714">
        <v>14.0</v>
      </c>
      <c r="AF168" s="714"/>
      <c r="AG168" s="714">
        <v>30.0</v>
      </c>
      <c r="AH168" s="1005" t="str">
        <f t="shared" si="21"/>
        <v/>
      </c>
      <c r="AI168" s="714"/>
      <c r="AJ168" s="714"/>
      <c r="AK168" s="714"/>
      <c r="AL168" s="714"/>
      <c r="AM168" s="714"/>
      <c r="AN168" s="714"/>
      <c r="AO168" s="714"/>
      <c r="AP168" s="714"/>
      <c r="AQ168" s="714"/>
      <c r="AR168" s="714"/>
      <c r="AS168" s="714"/>
      <c r="AT168" s="714"/>
      <c r="AU168" s="714"/>
      <c r="AV168" s="714"/>
      <c r="AW168" s="714"/>
      <c r="AX168" s="714"/>
      <c r="AY168" s="714"/>
      <c r="AZ168" s="714"/>
      <c r="BA168" s="714"/>
      <c r="BB168" s="714"/>
      <c r="BC168" s="714"/>
      <c r="BD168" s="714"/>
      <c r="BE168" s="714"/>
      <c r="BF168" s="714"/>
      <c r="BG168" s="714"/>
      <c r="BH168" s="714"/>
      <c r="BI168" s="714"/>
      <c r="BJ168" s="714"/>
      <c r="BK168" s="714"/>
      <c r="BL168" s="714"/>
      <c r="BM168" s="714"/>
      <c r="BN168" s="714"/>
      <c r="BO168" s="714"/>
      <c r="BP168" s="714"/>
      <c r="BQ168" s="714"/>
      <c r="BR168" s="714"/>
      <c r="BS168" s="714"/>
      <c r="BT168" s="714"/>
      <c r="BU168" s="714"/>
      <c r="BV168" s="714"/>
      <c r="BW168" s="714"/>
      <c r="BX168" s="714"/>
      <c r="BY168" s="714"/>
      <c r="BZ168" s="714"/>
      <c r="CA168" s="714"/>
      <c r="CB168" s="714"/>
      <c r="CC168" s="714"/>
      <c r="CD168" s="714"/>
      <c r="CE168" s="714"/>
      <c r="CF168" s="714"/>
      <c r="CG168" s="714"/>
      <c r="CH168" s="714"/>
      <c r="CI168" s="714"/>
      <c r="CJ168" s="714"/>
      <c r="CK168" s="714"/>
      <c r="CL168" s="714"/>
      <c r="CM168" s="714"/>
      <c r="CN168" s="714"/>
      <c r="CO168" s="714"/>
      <c r="CP168" s="714"/>
      <c r="CQ168" s="714"/>
      <c r="CR168" s="714"/>
      <c r="CS168" s="714"/>
      <c r="CT168" s="714"/>
      <c r="CU168" s="714"/>
      <c r="CV168" s="714"/>
      <c r="CW168" s="714"/>
      <c r="CX168" s="714"/>
      <c r="CY168" s="714"/>
      <c r="CZ168" s="714"/>
      <c r="DA168" s="714"/>
      <c r="DB168" s="714"/>
      <c r="DC168" s="714"/>
      <c r="DD168" s="714"/>
      <c r="DE168" s="714"/>
      <c r="DF168" s="714"/>
      <c r="DG168" s="714"/>
      <c r="DH168" s="714"/>
      <c r="DI168" s="714"/>
      <c r="DJ168" s="714"/>
      <c r="DK168" s="714"/>
      <c r="DL168" s="714"/>
      <c r="DM168" s="714"/>
      <c r="DN168" s="714"/>
      <c r="DO168" s="714"/>
      <c r="DP168" s="714"/>
      <c r="DQ168" s="714"/>
      <c r="DR168" s="714"/>
      <c r="DS168" s="714"/>
      <c r="DT168" s="714"/>
      <c r="DU168" s="714"/>
      <c r="DV168" s="714"/>
      <c r="DW168" s="714"/>
      <c r="DX168" s="714"/>
      <c r="DY168" s="714"/>
      <c r="DZ168" s="714"/>
      <c r="EA168" s="714"/>
      <c r="EB168" s="714"/>
      <c r="EC168" s="714"/>
      <c r="ED168" s="714"/>
      <c r="EE168" s="714"/>
      <c r="EF168" s="714"/>
      <c r="EG168" s="714"/>
      <c r="EH168" s="714"/>
      <c r="EI168" s="714"/>
      <c r="EJ168" s="714"/>
      <c r="EK168" s="714"/>
      <c r="EL168" s="714"/>
      <c r="EM168" s="714"/>
      <c r="EN168" s="714"/>
      <c r="EO168" s="714"/>
      <c r="EP168" s="714"/>
      <c r="EQ168" s="714"/>
      <c r="ER168" s="714"/>
      <c r="ES168" s="714"/>
      <c r="ET168" s="714"/>
      <c r="EU168" s="714"/>
      <c r="EV168" s="714"/>
      <c r="EW168" s="714"/>
      <c r="EX168" s="714"/>
      <c r="EY168" s="714"/>
      <c r="EZ168" s="714"/>
      <c r="FA168" s="714"/>
      <c r="FB168" s="714"/>
      <c r="FC168" s="714"/>
      <c r="FD168" s="714"/>
      <c r="FE168" s="714"/>
      <c r="FF168" s="714"/>
      <c r="FG168" s="714"/>
      <c r="FH168" s="714"/>
      <c r="FI168" s="714"/>
      <c r="FJ168" s="714"/>
      <c r="FK168" s="714"/>
      <c r="FL168" s="714"/>
      <c r="FM168" s="714"/>
      <c r="FN168" s="714"/>
      <c r="FO168" s="714"/>
      <c r="FP168" s="714"/>
      <c r="FQ168" s="714"/>
      <c r="FR168" s="714"/>
      <c r="FS168" s="714"/>
      <c r="FT168" s="714"/>
      <c r="FU168" s="714"/>
      <c r="FV168" s="714"/>
      <c r="FW168" s="714"/>
      <c r="FX168" s="714"/>
      <c r="FY168" s="714"/>
      <c r="FZ168" s="714"/>
      <c r="GA168" s="714"/>
      <c r="GB168" s="714"/>
      <c r="GC168" s="714"/>
      <c r="GD168" s="714"/>
      <c r="GE168" s="714"/>
      <c r="GF168" s="714"/>
      <c r="GG168" s="714"/>
      <c r="GH168" s="714"/>
      <c r="GI168" s="714"/>
      <c r="GJ168" s="714"/>
      <c r="GK168" s="714"/>
      <c r="GL168" s="714"/>
      <c r="GM168" s="714"/>
      <c r="GN168" s="714"/>
      <c r="GO168" s="714"/>
      <c r="GP168" s="714"/>
      <c r="GQ168" s="714"/>
      <c r="GR168" s="714"/>
      <c r="GS168" s="714"/>
      <c r="GT168" s="714"/>
      <c r="GU168" s="714"/>
      <c r="GV168" s="714"/>
      <c r="GW168" s="714"/>
      <c r="GX168" s="714"/>
      <c r="GY168" s="714"/>
      <c r="GZ168" s="714"/>
      <c r="HA168" s="714"/>
      <c r="HB168" s="714"/>
      <c r="HC168" s="714"/>
      <c r="HD168" s="714"/>
      <c r="HE168" s="714"/>
      <c r="HF168" s="714"/>
      <c r="HG168" s="714"/>
      <c r="HH168" s="714"/>
      <c r="HI168" s="714"/>
      <c r="HJ168" s="714"/>
      <c r="HK168" s="714"/>
      <c r="HL168" s="714"/>
      <c r="HM168" s="714"/>
      <c r="HN168" s="714"/>
      <c r="HO168" s="714"/>
      <c r="HP168" s="714"/>
      <c r="HQ168" s="714"/>
      <c r="HR168" s="714"/>
      <c r="HS168" s="714"/>
      <c r="HT168" s="714"/>
      <c r="HU168" s="714"/>
      <c r="HV168" s="714"/>
      <c r="HW168" s="714"/>
      <c r="HX168" s="714"/>
      <c r="HY168" s="714"/>
      <c r="HZ168" s="714"/>
      <c r="IA168" s="714"/>
      <c r="IB168" s="714"/>
      <c r="IC168" s="714"/>
      <c r="ID168" s="714"/>
      <c r="IE168" s="714"/>
      <c r="IF168" s="714"/>
      <c r="IG168" s="714"/>
      <c r="IH168" s="714"/>
    </row>
    <row r="169" hidden="1" outlineLevel="1">
      <c r="A169" s="598"/>
      <c r="B169" s="598"/>
      <c r="C169" s="598"/>
      <c r="D169" s="598"/>
      <c r="E169" s="598"/>
      <c r="F169" s="598"/>
      <c r="G169" s="598"/>
      <c r="H169" s="598"/>
      <c r="I169" s="598"/>
      <c r="J169" s="598"/>
      <c r="K169" s="598"/>
      <c r="L169" s="598"/>
      <c r="M169" s="598"/>
      <c r="N169" s="598"/>
      <c r="O169" s="598"/>
      <c r="P169" s="598"/>
      <c r="Q169" s="598"/>
      <c r="R169" s="598"/>
      <c r="S169" s="598"/>
      <c r="T169" s="598"/>
      <c r="U169" s="598"/>
      <c r="V169" s="598"/>
      <c r="W169" s="598"/>
      <c r="X169" s="598"/>
      <c r="Y169" s="598"/>
      <c r="Z169" s="598"/>
      <c r="AA169" s="911"/>
      <c r="AB169" s="1000"/>
      <c r="AC169" s="714" t="str">
        <f>IFERROR(__xludf.DUMMYFUNCTION("""COMPUTED_VALUE"""),"Shock Multiplier")</f>
        <v>Shock Multiplier</v>
      </c>
      <c r="AD169" s="825" t="s">
        <v>310</v>
      </c>
      <c r="AE169" s="714">
        <v>14.0</v>
      </c>
      <c r="AF169" s="714"/>
      <c r="AG169" s="714">
        <v>14.0</v>
      </c>
      <c r="AH169" s="1005" t="str">
        <f t="shared" si="21"/>
        <v/>
      </c>
      <c r="AI169" s="714"/>
      <c r="AJ169" s="714"/>
      <c r="AK169" s="714"/>
      <c r="AL169" s="714"/>
      <c r="AM169" s="714"/>
      <c r="AN169" s="714"/>
      <c r="AO169" s="714"/>
      <c r="AP169" s="714"/>
      <c r="AQ169" s="714"/>
      <c r="AR169" s="714"/>
      <c r="AS169" s="714"/>
      <c r="AT169" s="714"/>
      <c r="AU169" s="714"/>
      <c r="AV169" s="714"/>
      <c r="AW169" s="714"/>
      <c r="AX169" s="714"/>
      <c r="AY169" s="714"/>
      <c r="AZ169" s="714"/>
      <c r="BA169" s="714"/>
      <c r="BB169" s="714"/>
      <c r="BC169" s="714"/>
      <c r="BD169" s="714"/>
      <c r="BE169" s="714"/>
      <c r="BF169" s="714"/>
      <c r="BG169" s="714"/>
      <c r="BH169" s="714"/>
      <c r="BI169" s="714"/>
      <c r="BJ169" s="714"/>
      <c r="BK169" s="714"/>
      <c r="BL169" s="714"/>
      <c r="BM169" s="714"/>
      <c r="BN169" s="714"/>
      <c r="BO169" s="714"/>
      <c r="BP169" s="714"/>
      <c r="BQ169" s="714"/>
      <c r="BR169" s="714"/>
      <c r="BS169" s="714"/>
      <c r="BT169" s="714"/>
      <c r="BU169" s="714"/>
      <c r="BV169" s="714"/>
      <c r="BW169" s="714"/>
      <c r="BX169" s="714"/>
      <c r="BY169" s="714"/>
      <c r="BZ169" s="714"/>
      <c r="CA169" s="714"/>
      <c r="CB169" s="714"/>
      <c r="CC169" s="714"/>
      <c r="CD169" s="714"/>
      <c r="CE169" s="714"/>
      <c r="CF169" s="714"/>
      <c r="CG169" s="714"/>
      <c r="CH169" s="714"/>
      <c r="CI169" s="714"/>
      <c r="CJ169" s="714"/>
      <c r="CK169" s="714"/>
      <c r="CL169" s="714"/>
      <c r="CM169" s="714"/>
      <c r="CN169" s="714"/>
      <c r="CO169" s="714"/>
      <c r="CP169" s="714"/>
      <c r="CQ169" s="714"/>
      <c r="CR169" s="714"/>
      <c r="CS169" s="714"/>
      <c r="CT169" s="714"/>
      <c r="CU169" s="714"/>
      <c r="CV169" s="714"/>
      <c r="CW169" s="714"/>
      <c r="CX169" s="714"/>
      <c r="CY169" s="714"/>
      <c r="CZ169" s="714"/>
      <c r="DA169" s="714"/>
      <c r="DB169" s="714"/>
      <c r="DC169" s="714"/>
      <c r="DD169" s="714"/>
      <c r="DE169" s="714"/>
      <c r="DF169" s="714"/>
      <c r="DG169" s="714"/>
      <c r="DH169" s="714"/>
      <c r="DI169" s="714"/>
      <c r="DJ169" s="714"/>
      <c r="DK169" s="714"/>
      <c r="DL169" s="714"/>
      <c r="DM169" s="714"/>
      <c r="DN169" s="714"/>
      <c r="DO169" s="714"/>
      <c r="DP169" s="714"/>
      <c r="DQ169" s="714"/>
      <c r="DR169" s="714"/>
      <c r="DS169" s="714"/>
      <c r="DT169" s="714"/>
      <c r="DU169" s="714"/>
      <c r="DV169" s="714"/>
      <c r="DW169" s="714"/>
      <c r="DX169" s="714"/>
      <c r="DY169" s="714"/>
      <c r="DZ169" s="714"/>
      <c r="EA169" s="714"/>
      <c r="EB169" s="714"/>
      <c r="EC169" s="714"/>
      <c r="ED169" s="714"/>
      <c r="EE169" s="714"/>
      <c r="EF169" s="714"/>
      <c r="EG169" s="714"/>
      <c r="EH169" s="714"/>
      <c r="EI169" s="714"/>
      <c r="EJ169" s="714"/>
      <c r="EK169" s="714"/>
      <c r="EL169" s="714"/>
      <c r="EM169" s="714"/>
      <c r="EN169" s="714"/>
      <c r="EO169" s="714"/>
      <c r="EP169" s="714"/>
      <c r="EQ169" s="714"/>
      <c r="ER169" s="714"/>
      <c r="ES169" s="714"/>
      <c r="ET169" s="714"/>
      <c r="EU169" s="714"/>
      <c r="EV169" s="714"/>
      <c r="EW169" s="714"/>
      <c r="EX169" s="714"/>
      <c r="EY169" s="714"/>
      <c r="EZ169" s="714"/>
      <c r="FA169" s="714"/>
      <c r="FB169" s="714"/>
      <c r="FC169" s="714"/>
      <c r="FD169" s="714"/>
      <c r="FE169" s="714"/>
      <c r="FF169" s="714"/>
      <c r="FG169" s="714"/>
      <c r="FH169" s="714"/>
      <c r="FI169" s="714"/>
      <c r="FJ169" s="714"/>
      <c r="FK169" s="714"/>
      <c r="FL169" s="714"/>
      <c r="FM169" s="714"/>
      <c r="FN169" s="714"/>
      <c r="FO169" s="714"/>
      <c r="FP169" s="714"/>
      <c r="FQ169" s="714"/>
      <c r="FR169" s="714"/>
      <c r="FS169" s="714"/>
      <c r="FT169" s="714"/>
      <c r="FU169" s="714"/>
      <c r="FV169" s="714"/>
      <c r="FW169" s="714"/>
      <c r="FX169" s="714"/>
      <c r="FY169" s="714"/>
      <c r="FZ169" s="714"/>
      <c r="GA169" s="714"/>
      <c r="GB169" s="714"/>
      <c r="GC169" s="714"/>
      <c r="GD169" s="714"/>
      <c r="GE169" s="714"/>
      <c r="GF169" s="714"/>
      <c r="GG169" s="714"/>
      <c r="GH169" s="714"/>
      <c r="GI169" s="714"/>
      <c r="GJ169" s="714"/>
      <c r="GK169" s="714"/>
      <c r="GL169" s="714"/>
      <c r="GM169" s="714"/>
      <c r="GN169" s="714"/>
      <c r="GO169" s="714"/>
      <c r="GP169" s="714"/>
      <c r="GQ169" s="714"/>
      <c r="GR169" s="714"/>
      <c r="GS169" s="714"/>
      <c r="GT169" s="714"/>
      <c r="GU169" s="714"/>
      <c r="GV169" s="714"/>
      <c r="GW169" s="714"/>
      <c r="GX169" s="714"/>
      <c r="GY169" s="714"/>
      <c r="GZ169" s="714"/>
      <c r="HA169" s="714"/>
      <c r="HB169" s="714"/>
      <c r="HC169" s="714"/>
      <c r="HD169" s="714"/>
      <c r="HE169" s="714"/>
      <c r="HF169" s="714"/>
      <c r="HG169" s="714"/>
      <c r="HH169" s="714"/>
      <c r="HI169" s="714"/>
      <c r="HJ169" s="714"/>
      <c r="HK169" s="714"/>
      <c r="HL169" s="714"/>
      <c r="HM169" s="714"/>
      <c r="HN169" s="714"/>
      <c r="HO169" s="714"/>
      <c r="HP169" s="714"/>
      <c r="HQ169" s="714"/>
      <c r="HR169" s="714"/>
      <c r="HS169" s="714"/>
      <c r="HT169" s="714"/>
      <c r="HU169" s="714"/>
      <c r="HV169" s="714"/>
      <c r="HW169" s="714"/>
      <c r="HX169" s="714"/>
      <c r="HY169" s="714"/>
      <c r="HZ169" s="714"/>
      <c r="IA169" s="714"/>
      <c r="IB169" s="714"/>
      <c r="IC169" s="714"/>
      <c r="ID169" s="714"/>
      <c r="IE169" s="714"/>
      <c r="IF169" s="714"/>
      <c r="IG169" s="714"/>
      <c r="IH169" s="714"/>
    </row>
    <row r="170" hidden="1" outlineLevel="1">
      <c r="A170" s="598"/>
      <c r="B170" s="598"/>
      <c r="C170" s="598"/>
      <c r="D170" s="598"/>
      <c r="E170" s="598"/>
      <c r="F170" s="598"/>
      <c r="G170" s="598"/>
      <c r="H170" s="598"/>
      <c r="I170" s="598"/>
      <c r="J170" s="598"/>
      <c r="K170" s="598"/>
      <c r="L170" s="598"/>
      <c r="M170" s="598"/>
      <c r="N170" s="598"/>
      <c r="O170" s="598"/>
      <c r="P170" s="598"/>
      <c r="Q170" s="598"/>
      <c r="R170" s="598"/>
      <c r="S170" s="598"/>
      <c r="T170" s="598"/>
      <c r="U170" s="598"/>
      <c r="V170" s="598"/>
      <c r="W170" s="598"/>
      <c r="X170" s="598"/>
      <c r="Y170" s="598"/>
      <c r="Z170" s="598"/>
      <c r="AA170" s="911"/>
      <c r="AB170" s="1000"/>
      <c r="AC170" s="714" t="str">
        <f>IFERROR(__xludf.DUMMYFUNCTION("""COMPUTED_VALUE"""),"Shockwave Size")</f>
        <v>Shockwave Size</v>
      </c>
      <c r="AD170" s="825" t="s">
        <v>251</v>
      </c>
      <c r="AE170" s="714">
        <v>10.0</v>
      </c>
      <c r="AF170" s="714"/>
      <c r="AG170" s="714">
        <v>20.0</v>
      </c>
      <c r="AH170" s="1005" t="str">
        <f t="shared" si="21"/>
        <v/>
      </c>
      <c r="AI170" s="714"/>
      <c r="AJ170" s="714"/>
      <c r="AK170" s="714"/>
      <c r="AL170" s="714"/>
      <c r="AM170" s="714"/>
      <c r="AN170" s="714"/>
      <c r="AO170" s="714"/>
      <c r="AP170" s="714"/>
      <c r="AQ170" s="714"/>
      <c r="AR170" s="714"/>
      <c r="AS170" s="714"/>
      <c r="AT170" s="714"/>
      <c r="AU170" s="714"/>
      <c r="AV170" s="714"/>
      <c r="AW170" s="714"/>
      <c r="AX170" s="714"/>
      <c r="AY170" s="714"/>
      <c r="AZ170" s="714"/>
      <c r="BA170" s="714"/>
      <c r="BB170" s="714"/>
      <c r="BC170" s="714"/>
      <c r="BD170" s="714"/>
      <c r="BE170" s="714"/>
      <c r="BF170" s="714"/>
      <c r="BG170" s="714"/>
      <c r="BH170" s="714"/>
      <c r="BI170" s="714"/>
      <c r="BJ170" s="714"/>
      <c r="BK170" s="714"/>
      <c r="BL170" s="714"/>
      <c r="BM170" s="714"/>
      <c r="BN170" s="714"/>
      <c r="BO170" s="714"/>
      <c r="BP170" s="714"/>
      <c r="BQ170" s="714"/>
      <c r="BR170" s="714"/>
      <c r="BS170" s="714"/>
      <c r="BT170" s="714"/>
      <c r="BU170" s="714"/>
      <c r="BV170" s="714"/>
      <c r="BW170" s="714"/>
      <c r="BX170" s="714"/>
      <c r="BY170" s="714"/>
      <c r="BZ170" s="714"/>
      <c r="CA170" s="714"/>
      <c r="CB170" s="714"/>
      <c r="CC170" s="714"/>
      <c r="CD170" s="714"/>
      <c r="CE170" s="714"/>
      <c r="CF170" s="714"/>
      <c r="CG170" s="714"/>
      <c r="CH170" s="714"/>
      <c r="CI170" s="714"/>
      <c r="CJ170" s="714"/>
      <c r="CK170" s="714"/>
      <c r="CL170" s="714"/>
      <c r="CM170" s="714"/>
      <c r="CN170" s="714"/>
      <c r="CO170" s="714"/>
      <c r="CP170" s="714"/>
      <c r="CQ170" s="714"/>
      <c r="CR170" s="714"/>
      <c r="CS170" s="714"/>
      <c r="CT170" s="714"/>
      <c r="CU170" s="714"/>
      <c r="CV170" s="714"/>
      <c r="CW170" s="714"/>
      <c r="CX170" s="714"/>
      <c r="CY170" s="714"/>
      <c r="CZ170" s="714"/>
      <c r="DA170" s="714"/>
      <c r="DB170" s="714"/>
      <c r="DC170" s="714"/>
      <c r="DD170" s="714"/>
      <c r="DE170" s="714"/>
      <c r="DF170" s="714"/>
      <c r="DG170" s="714"/>
      <c r="DH170" s="714"/>
      <c r="DI170" s="714"/>
      <c r="DJ170" s="714"/>
      <c r="DK170" s="714"/>
      <c r="DL170" s="714"/>
      <c r="DM170" s="714"/>
      <c r="DN170" s="714"/>
      <c r="DO170" s="714"/>
      <c r="DP170" s="714"/>
      <c r="DQ170" s="714"/>
      <c r="DR170" s="714"/>
      <c r="DS170" s="714"/>
      <c r="DT170" s="714"/>
      <c r="DU170" s="714"/>
      <c r="DV170" s="714"/>
      <c r="DW170" s="714"/>
      <c r="DX170" s="714"/>
      <c r="DY170" s="714"/>
      <c r="DZ170" s="714"/>
      <c r="EA170" s="714"/>
      <c r="EB170" s="714"/>
      <c r="EC170" s="714"/>
      <c r="ED170" s="714"/>
      <c r="EE170" s="714"/>
      <c r="EF170" s="714"/>
      <c r="EG170" s="714"/>
      <c r="EH170" s="714"/>
      <c r="EI170" s="714"/>
      <c r="EJ170" s="714"/>
      <c r="EK170" s="714"/>
      <c r="EL170" s="714"/>
      <c r="EM170" s="714"/>
      <c r="EN170" s="714"/>
      <c r="EO170" s="714"/>
      <c r="EP170" s="714"/>
      <c r="EQ170" s="714"/>
      <c r="ER170" s="714"/>
      <c r="ES170" s="714"/>
      <c r="ET170" s="714"/>
      <c r="EU170" s="714"/>
      <c r="EV170" s="714"/>
      <c r="EW170" s="714"/>
      <c r="EX170" s="714"/>
      <c r="EY170" s="714"/>
      <c r="EZ170" s="714"/>
      <c r="FA170" s="714"/>
      <c r="FB170" s="714"/>
      <c r="FC170" s="714"/>
      <c r="FD170" s="714"/>
      <c r="FE170" s="714"/>
      <c r="FF170" s="714"/>
      <c r="FG170" s="714"/>
      <c r="FH170" s="714"/>
      <c r="FI170" s="714"/>
      <c r="FJ170" s="714"/>
      <c r="FK170" s="714"/>
      <c r="FL170" s="714"/>
      <c r="FM170" s="714"/>
      <c r="FN170" s="714"/>
      <c r="FO170" s="714"/>
      <c r="FP170" s="714"/>
      <c r="FQ170" s="714"/>
      <c r="FR170" s="714"/>
      <c r="FS170" s="714"/>
      <c r="FT170" s="714"/>
      <c r="FU170" s="714"/>
      <c r="FV170" s="714"/>
      <c r="FW170" s="714"/>
      <c r="FX170" s="714"/>
      <c r="FY170" s="714"/>
      <c r="FZ170" s="714"/>
      <c r="GA170" s="714"/>
      <c r="GB170" s="714"/>
      <c r="GC170" s="714"/>
      <c r="GD170" s="714"/>
      <c r="GE170" s="714"/>
      <c r="GF170" s="714"/>
      <c r="GG170" s="714"/>
      <c r="GH170" s="714"/>
      <c r="GI170" s="714"/>
      <c r="GJ170" s="714"/>
      <c r="GK170" s="714"/>
      <c r="GL170" s="714"/>
      <c r="GM170" s="714"/>
      <c r="GN170" s="714"/>
      <c r="GO170" s="714"/>
      <c r="GP170" s="714"/>
      <c r="GQ170" s="714"/>
      <c r="GR170" s="714"/>
      <c r="GS170" s="714"/>
      <c r="GT170" s="714"/>
      <c r="GU170" s="714"/>
      <c r="GV170" s="714"/>
      <c r="GW170" s="714"/>
      <c r="GX170" s="714"/>
      <c r="GY170" s="714"/>
      <c r="GZ170" s="714"/>
      <c r="HA170" s="714"/>
      <c r="HB170" s="714"/>
      <c r="HC170" s="714"/>
      <c r="HD170" s="714"/>
      <c r="HE170" s="714"/>
      <c r="HF170" s="714"/>
      <c r="HG170" s="714"/>
      <c r="HH170" s="714"/>
      <c r="HI170" s="714"/>
      <c r="HJ170" s="714"/>
      <c r="HK170" s="714"/>
      <c r="HL170" s="714"/>
      <c r="HM170" s="714"/>
      <c r="HN170" s="714"/>
      <c r="HO170" s="714"/>
      <c r="HP170" s="714"/>
      <c r="HQ170" s="714"/>
      <c r="HR170" s="714"/>
      <c r="HS170" s="714"/>
      <c r="HT170" s="714"/>
      <c r="HU170" s="714"/>
      <c r="HV170" s="714"/>
      <c r="HW170" s="714"/>
      <c r="HX170" s="714"/>
      <c r="HY170" s="714"/>
      <c r="HZ170" s="714"/>
      <c r="IA170" s="714"/>
      <c r="IB170" s="714"/>
      <c r="IC170" s="714"/>
      <c r="ID170" s="714"/>
      <c r="IE170" s="714"/>
      <c r="IF170" s="714"/>
      <c r="IG170" s="714"/>
      <c r="IH170" s="714"/>
    </row>
    <row r="171" hidden="1" outlineLevel="1">
      <c r="A171" s="598"/>
      <c r="B171" s="598"/>
      <c r="C171" s="598"/>
      <c r="D171" s="598"/>
      <c r="E171" s="598"/>
      <c r="F171" s="598"/>
      <c r="G171" s="598"/>
      <c r="H171" s="598"/>
      <c r="I171" s="598"/>
      <c r="J171" s="598"/>
      <c r="K171" s="598"/>
      <c r="L171" s="598"/>
      <c r="M171" s="598"/>
      <c r="N171" s="598"/>
      <c r="O171" s="598"/>
      <c r="P171" s="598"/>
      <c r="Q171" s="598"/>
      <c r="R171" s="598"/>
      <c r="S171" s="598"/>
      <c r="T171" s="598"/>
      <c r="U171" s="598"/>
      <c r="V171" s="598"/>
      <c r="W171" s="598"/>
      <c r="X171" s="598"/>
      <c r="Y171" s="598"/>
      <c r="Z171" s="598"/>
      <c r="AA171" s="911"/>
      <c r="AB171" s="1000"/>
      <c r="AC171" s="714" t="str">
        <f>IFERROR(__xludf.DUMMYFUNCTION("""COMPUTED_VALUE"""),"Slow Aura Mastery")</f>
        <v>Slow Aura Mastery</v>
      </c>
      <c r="AD171" s="825" t="s">
        <v>324</v>
      </c>
      <c r="AE171" s="714">
        <v>0.0</v>
      </c>
      <c r="AF171" s="714"/>
      <c r="AG171" s="714">
        <v>9.0</v>
      </c>
      <c r="AH171" s="1005" t="str">
        <f t="shared" si="21"/>
        <v/>
      </c>
      <c r="AI171" s="714"/>
      <c r="AJ171" s="714"/>
      <c r="AK171" s="714"/>
      <c r="AL171" s="714"/>
      <c r="AM171" s="714"/>
      <c r="AN171" s="714"/>
      <c r="AO171" s="714"/>
      <c r="AP171" s="714"/>
      <c r="AQ171" s="714"/>
      <c r="AR171" s="714"/>
      <c r="AS171" s="714"/>
      <c r="AT171" s="714"/>
      <c r="AU171" s="714"/>
      <c r="AV171" s="714"/>
      <c r="AW171" s="714"/>
      <c r="AX171" s="714"/>
      <c r="AY171" s="714"/>
      <c r="AZ171" s="714"/>
      <c r="BA171" s="714"/>
      <c r="BB171" s="714"/>
      <c r="BC171" s="714"/>
      <c r="BD171" s="714"/>
      <c r="BE171" s="714"/>
      <c r="BF171" s="714"/>
      <c r="BG171" s="714"/>
      <c r="BH171" s="714"/>
      <c r="BI171" s="714"/>
      <c r="BJ171" s="714"/>
      <c r="BK171" s="714"/>
      <c r="BL171" s="714"/>
      <c r="BM171" s="714"/>
      <c r="BN171" s="714"/>
      <c r="BO171" s="714"/>
      <c r="BP171" s="714"/>
      <c r="BQ171" s="714"/>
      <c r="BR171" s="714"/>
      <c r="BS171" s="714"/>
      <c r="BT171" s="714"/>
      <c r="BU171" s="714"/>
      <c r="BV171" s="714"/>
      <c r="BW171" s="714"/>
      <c r="BX171" s="714"/>
      <c r="BY171" s="714"/>
      <c r="BZ171" s="714"/>
      <c r="CA171" s="714"/>
      <c r="CB171" s="714"/>
      <c r="CC171" s="714"/>
      <c r="CD171" s="714"/>
      <c r="CE171" s="714"/>
      <c r="CF171" s="714"/>
      <c r="CG171" s="714"/>
      <c r="CH171" s="714"/>
      <c r="CI171" s="714"/>
      <c r="CJ171" s="714"/>
      <c r="CK171" s="714"/>
      <c r="CL171" s="714"/>
      <c r="CM171" s="714"/>
      <c r="CN171" s="714"/>
      <c r="CO171" s="714"/>
      <c r="CP171" s="714"/>
      <c r="CQ171" s="714"/>
      <c r="CR171" s="714"/>
      <c r="CS171" s="714"/>
      <c r="CT171" s="714"/>
      <c r="CU171" s="714"/>
      <c r="CV171" s="714"/>
      <c r="CW171" s="714"/>
      <c r="CX171" s="714"/>
      <c r="CY171" s="714"/>
      <c r="CZ171" s="714"/>
      <c r="DA171" s="714"/>
      <c r="DB171" s="714"/>
      <c r="DC171" s="714"/>
      <c r="DD171" s="714"/>
      <c r="DE171" s="714"/>
      <c r="DF171" s="714"/>
      <c r="DG171" s="714"/>
      <c r="DH171" s="714"/>
      <c r="DI171" s="714"/>
      <c r="DJ171" s="714"/>
      <c r="DK171" s="714"/>
      <c r="DL171" s="714"/>
      <c r="DM171" s="714"/>
      <c r="DN171" s="714"/>
      <c r="DO171" s="714"/>
      <c r="DP171" s="714"/>
      <c r="DQ171" s="714"/>
      <c r="DR171" s="714"/>
      <c r="DS171" s="714"/>
      <c r="DT171" s="714"/>
      <c r="DU171" s="714"/>
      <c r="DV171" s="714"/>
      <c r="DW171" s="714"/>
      <c r="DX171" s="714"/>
      <c r="DY171" s="714"/>
      <c r="DZ171" s="714"/>
      <c r="EA171" s="714"/>
      <c r="EB171" s="714"/>
      <c r="EC171" s="714"/>
      <c r="ED171" s="714"/>
      <c r="EE171" s="714"/>
      <c r="EF171" s="714"/>
      <c r="EG171" s="714"/>
      <c r="EH171" s="714"/>
      <c r="EI171" s="714"/>
      <c r="EJ171" s="714"/>
      <c r="EK171" s="714"/>
      <c r="EL171" s="714"/>
      <c r="EM171" s="714"/>
      <c r="EN171" s="714"/>
      <c r="EO171" s="714"/>
      <c r="EP171" s="714"/>
      <c r="EQ171" s="714"/>
      <c r="ER171" s="714"/>
      <c r="ES171" s="714"/>
      <c r="ET171" s="714"/>
      <c r="EU171" s="714"/>
      <c r="EV171" s="714"/>
      <c r="EW171" s="714"/>
      <c r="EX171" s="714"/>
      <c r="EY171" s="714"/>
      <c r="EZ171" s="714"/>
      <c r="FA171" s="714"/>
      <c r="FB171" s="714"/>
      <c r="FC171" s="714"/>
      <c r="FD171" s="714"/>
      <c r="FE171" s="714"/>
      <c r="FF171" s="714"/>
      <c r="FG171" s="714"/>
      <c r="FH171" s="714"/>
      <c r="FI171" s="714"/>
      <c r="FJ171" s="714"/>
      <c r="FK171" s="714"/>
      <c r="FL171" s="714"/>
      <c r="FM171" s="714"/>
      <c r="FN171" s="714"/>
      <c r="FO171" s="714"/>
      <c r="FP171" s="714"/>
      <c r="FQ171" s="714"/>
      <c r="FR171" s="714"/>
      <c r="FS171" s="714"/>
      <c r="FT171" s="714"/>
      <c r="FU171" s="714"/>
      <c r="FV171" s="714"/>
      <c r="FW171" s="714"/>
      <c r="FX171" s="714"/>
      <c r="FY171" s="714"/>
      <c r="FZ171" s="714"/>
      <c r="GA171" s="714"/>
      <c r="GB171" s="714"/>
      <c r="GC171" s="714"/>
      <c r="GD171" s="714"/>
      <c r="GE171" s="714"/>
      <c r="GF171" s="714"/>
      <c r="GG171" s="714"/>
      <c r="GH171" s="714"/>
      <c r="GI171" s="714"/>
      <c r="GJ171" s="714"/>
      <c r="GK171" s="714"/>
      <c r="GL171" s="714"/>
      <c r="GM171" s="714"/>
      <c r="GN171" s="714"/>
      <c r="GO171" s="714"/>
      <c r="GP171" s="714"/>
      <c r="GQ171" s="714"/>
      <c r="GR171" s="714"/>
      <c r="GS171" s="714"/>
      <c r="GT171" s="714"/>
      <c r="GU171" s="714"/>
      <c r="GV171" s="714"/>
      <c r="GW171" s="714"/>
      <c r="GX171" s="714"/>
      <c r="GY171" s="714"/>
      <c r="GZ171" s="714"/>
      <c r="HA171" s="714"/>
      <c r="HB171" s="714"/>
      <c r="HC171" s="714"/>
      <c r="HD171" s="714"/>
      <c r="HE171" s="714"/>
      <c r="HF171" s="714"/>
      <c r="HG171" s="714"/>
      <c r="HH171" s="714"/>
      <c r="HI171" s="714"/>
      <c r="HJ171" s="714"/>
      <c r="HK171" s="714"/>
      <c r="HL171" s="714"/>
      <c r="HM171" s="714"/>
      <c r="HN171" s="714"/>
      <c r="HO171" s="714"/>
      <c r="HP171" s="714"/>
      <c r="HQ171" s="714"/>
      <c r="HR171" s="714"/>
      <c r="HS171" s="714"/>
      <c r="HT171" s="714"/>
      <c r="HU171" s="714"/>
      <c r="HV171" s="714"/>
      <c r="HW171" s="714"/>
      <c r="HX171" s="714"/>
      <c r="HY171" s="714"/>
      <c r="HZ171" s="714"/>
      <c r="IA171" s="714"/>
      <c r="IB171" s="714"/>
      <c r="IC171" s="714"/>
      <c r="ID171" s="714"/>
      <c r="IE171" s="714"/>
      <c r="IF171" s="714"/>
      <c r="IG171" s="714"/>
      <c r="IH171" s="714"/>
    </row>
    <row r="172" hidden="1" outlineLevel="1">
      <c r="A172" s="598"/>
      <c r="B172" s="598"/>
      <c r="C172" s="598"/>
      <c r="D172" s="598"/>
      <c r="E172" s="598"/>
      <c r="F172" s="598"/>
      <c r="G172" s="598"/>
      <c r="H172" s="598"/>
      <c r="I172" s="598"/>
      <c r="J172" s="598"/>
      <c r="K172" s="598"/>
      <c r="L172" s="598"/>
      <c r="M172" s="598"/>
      <c r="N172" s="598"/>
      <c r="O172" s="598"/>
      <c r="P172" s="598"/>
      <c r="Q172" s="598"/>
      <c r="R172" s="598"/>
      <c r="S172" s="598"/>
      <c r="T172" s="598"/>
      <c r="U172" s="598"/>
      <c r="V172" s="598"/>
      <c r="W172" s="598"/>
      <c r="X172" s="598"/>
      <c r="Y172" s="598"/>
      <c r="Z172" s="598"/>
      <c r="AA172" s="911"/>
      <c r="AB172" s="1000"/>
      <c r="AC172" s="714" t="str">
        <f>IFERROR(__xludf.DUMMYFUNCTION("""COMPUTED_VALUE"""),"Spotlight Coin Bonus")</f>
        <v>Spotlight Coin Bonus</v>
      </c>
      <c r="AD172" s="825" t="s">
        <v>358</v>
      </c>
      <c r="AE172" s="714">
        <v>20.0</v>
      </c>
      <c r="AF172" s="714"/>
      <c r="AG172" s="714">
        <v>20.0</v>
      </c>
      <c r="AH172" s="1005" t="str">
        <f t="shared" si="21"/>
        <v/>
      </c>
      <c r="AI172" s="714"/>
      <c r="AJ172" s="714"/>
      <c r="AK172" s="714"/>
      <c r="AL172" s="714"/>
      <c r="AM172" s="714"/>
      <c r="AN172" s="714"/>
      <c r="AO172" s="714"/>
      <c r="AP172" s="714"/>
      <c r="AQ172" s="714"/>
      <c r="AR172" s="714"/>
      <c r="AS172" s="714"/>
      <c r="AT172" s="714"/>
      <c r="AU172" s="714"/>
      <c r="AV172" s="714"/>
      <c r="AW172" s="714"/>
      <c r="AX172" s="714"/>
      <c r="AY172" s="714"/>
      <c r="AZ172" s="714"/>
      <c r="BA172" s="714"/>
      <c r="BB172" s="714"/>
      <c r="BC172" s="714"/>
      <c r="BD172" s="714"/>
      <c r="BE172" s="714"/>
      <c r="BF172" s="714"/>
      <c r="BG172" s="714"/>
      <c r="BH172" s="714"/>
      <c r="BI172" s="714"/>
      <c r="BJ172" s="714"/>
      <c r="BK172" s="714"/>
      <c r="BL172" s="714"/>
      <c r="BM172" s="714"/>
      <c r="BN172" s="714"/>
      <c r="BO172" s="714"/>
      <c r="BP172" s="714"/>
      <c r="BQ172" s="714"/>
      <c r="BR172" s="714"/>
      <c r="BS172" s="714"/>
      <c r="BT172" s="714"/>
      <c r="BU172" s="714"/>
      <c r="BV172" s="714"/>
      <c r="BW172" s="714"/>
      <c r="BX172" s="714"/>
      <c r="BY172" s="714"/>
      <c r="BZ172" s="714"/>
      <c r="CA172" s="714"/>
      <c r="CB172" s="714"/>
      <c r="CC172" s="714"/>
      <c r="CD172" s="714"/>
      <c r="CE172" s="714"/>
      <c r="CF172" s="714"/>
      <c r="CG172" s="714"/>
      <c r="CH172" s="714"/>
      <c r="CI172" s="714"/>
      <c r="CJ172" s="714"/>
      <c r="CK172" s="714"/>
      <c r="CL172" s="714"/>
      <c r="CM172" s="714"/>
      <c r="CN172" s="714"/>
      <c r="CO172" s="714"/>
      <c r="CP172" s="714"/>
      <c r="CQ172" s="714"/>
      <c r="CR172" s="714"/>
      <c r="CS172" s="714"/>
      <c r="CT172" s="714"/>
      <c r="CU172" s="714"/>
      <c r="CV172" s="714"/>
      <c r="CW172" s="714"/>
      <c r="CX172" s="714"/>
      <c r="CY172" s="714"/>
      <c r="CZ172" s="714"/>
      <c r="DA172" s="714"/>
      <c r="DB172" s="714"/>
      <c r="DC172" s="714"/>
      <c r="DD172" s="714"/>
      <c r="DE172" s="714"/>
      <c r="DF172" s="714"/>
      <c r="DG172" s="714"/>
      <c r="DH172" s="714"/>
      <c r="DI172" s="714"/>
      <c r="DJ172" s="714"/>
      <c r="DK172" s="714"/>
      <c r="DL172" s="714"/>
      <c r="DM172" s="714"/>
      <c r="DN172" s="714"/>
      <c r="DO172" s="714"/>
      <c r="DP172" s="714"/>
      <c r="DQ172" s="714"/>
      <c r="DR172" s="714"/>
      <c r="DS172" s="714"/>
      <c r="DT172" s="714"/>
      <c r="DU172" s="714"/>
      <c r="DV172" s="714"/>
      <c r="DW172" s="714"/>
      <c r="DX172" s="714"/>
      <c r="DY172" s="714"/>
      <c r="DZ172" s="714"/>
      <c r="EA172" s="714"/>
      <c r="EB172" s="714"/>
      <c r="EC172" s="714"/>
      <c r="ED172" s="714"/>
      <c r="EE172" s="714"/>
      <c r="EF172" s="714"/>
      <c r="EG172" s="714"/>
      <c r="EH172" s="714"/>
      <c r="EI172" s="714"/>
      <c r="EJ172" s="714"/>
      <c r="EK172" s="714"/>
      <c r="EL172" s="714"/>
      <c r="EM172" s="714"/>
      <c r="EN172" s="714"/>
      <c r="EO172" s="714"/>
      <c r="EP172" s="714"/>
      <c r="EQ172" s="714"/>
      <c r="ER172" s="714"/>
      <c r="ES172" s="714"/>
      <c r="ET172" s="714"/>
      <c r="EU172" s="714"/>
      <c r="EV172" s="714"/>
      <c r="EW172" s="714"/>
      <c r="EX172" s="714"/>
      <c r="EY172" s="714"/>
      <c r="EZ172" s="714"/>
      <c r="FA172" s="714"/>
      <c r="FB172" s="714"/>
      <c r="FC172" s="714"/>
      <c r="FD172" s="714"/>
      <c r="FE172" s="714"/>
      <c r="FF172" s="714"/>
      <c r="FG172" s="714"/>
      <c r="FH172" s="714"/>
      <c r="FI172" s="714"/>
      <c r="FJ172" s="714"/>
      <c r="FK172" s="714"/>
      <c r="FL172" s="714"/>
      <c r="FM172" s="714"/>
      <c r="FN172" s="714"/>
      <c r="FO172" s="714"/>
      <c r="FP172" s="714"/>
      <c r="FQ172" s="714"/>
      <c r="FR172" s="714"/>
      <c r="FS172" s="714"/>
      <c r="FT172" s="714"/>
      <c r="FU172" s="714"/>
      <c r="FV172" s="714"/>
      <c r="FW172" s="714"/>
      <c r="FX172" s="714"/>
      <c r="FY172" s="714"/>
      <c r="FZ172" s="714"/>
      <c r="GA172" s="714"/>
      <c r="GB172" s="714"/>
      <c r="GC172" s="714"/>
      <c r="GD172" s="714"/>
      <c r="GE172" s="714"/>
      <c r="GF172" s="714"/>
      <c r="GG172" s="714"/>
      <c r="GH172" s="714"/>
      <c r="GI172" s="714"/>
      <c r="GJ172" s="714"/>
      <c r="GK172" s="714"/>
      <c r="GL172" s="714"/>
      <c r="GM172" s="714"/>
      <c r="GN172" s="714"/>
      <c r="GO172" s="714"/>
      <c r="GP172" s="714"/>
      <c r="GQ172" s="714"/>
      <c r="GR172" s="714"/>
      <c r="GS172" s="714"/>
      <c r="GT172" s="714"/>
      <c r="GU172" s="714"/>
      <c r="GV172" s="714"/>
      <c r="GW172" s="714"/>
      <c r="GX172" s="714"/>
      <c r="GY172" s="714"/>
      <c r="GZ172" s="714"/>
      <c r="HA172" s="714"/>
      <c r="HB172" s="714"/>
      <c r="HC172" s="714"/>
      <c r="HD172" s="714"/>
      <c r="HE172" s="714"/>
      <c r="HF172" s="714"/>
      <c r="HG172" s="714"/>
      <c r="HH172" s="714"/>
      <c r="HI172" s="714"/>
      <c r="HJ172" s="714"/>
      <c r="HK172" s="714"/>
      <c r="HL172" s="714"/>
      <c r="HM172" s="714"/>
      <c r="HN172" s="714"/>
      <c r="HO172" s="714"/>
      <c r="HP172" s="714"/>
      <c r="HQ172" s="714"/>
      <c r="HR172" s="714"/>
      <c r="HS172" s="714"/>
      <c r="HT172" s="714"/>
      <c r="HU172" s="714"/>
      <c r="HV172" s="714"/>
      <c r="HW172" s="714"/>
      <c r="HX172" s="714"/>
      <c r="HY172" s="714"/>
      <c r="HZ172" s="714"/>
      <c r="IA172" s="714"/>
      <c r="IB172" s="714"/>
      <c r="IC172" s="714"/>
      <c r="ID172" s="714"/>
      <c r="IE172" s="714"/>
      <c r="IF172" s="714"/>
      <c r="IG172" s="714"/>
      <c r="IH172" s="714"/>
    </row>
    <row r="173" hidden="1" outlineLevel="1">
      <c r="A173" s="598"/>
      <c r="B173" s="598"/>
      <c r="C173" s="598"/>
      <c r="D173" s="598"/>
      <c r="E173" s="598"/>
      <c r="F173" s="598"/>
      <c r="G173" s="598"/>
      <c r="H173" s="598"/>
      <c r="I173" s="598"/>
      <c r="J173" s="598"/>
      <c r="K173" s="598"/>
      <c r="L173" s="598"/>
      <c r="M173" s="598"/>
      <c r="N173" s="598"/>
      <c r="O173" s="598"/>
      <c r="P173" s="598"/>
      <c r="Q173" s="598"/>
      <c r="R173" s="598"/>
      <c r="S173" s="598"/>
      <c r="T173" s="598"/>
      <c r="U173" s="598"/>
      <c r="V173" s="598"/>
      <c r="W173" s="598"/>
      <c r="X173" s="598"/>
      <c r="Y173" s="598"/>
      <c r="Z173" s="598"/>
      <c r="AA173" s="911"/>
      <c r="AB173" s="1000"/>
      <c r="AC173" s="714" t="str">
        <f>IFERROR(__xludf.DUMMYFUNCTION("""COMPUTED_VALUE"""),"Spotlight Missiles")</f>
        <v>Spotlight Missiles</v>
      </c>
      <c r="AD173" s="825" t="s">
        <v>360</v>
      </c>
      <c r="AE173" s="714">
        <v>1.0</v>
      </c>
      <c r="AF173" s="714"/>
      <c r="AG173" s="714">
        <v>18.0</v>
      </c>
      <c r="AH173" s="1005" t="str">
        <f t="shared" si="21"/>
        <v/>
      </c>
      <c r="AI173" s="714"/>
      <c r="AJ173" s="714"/>
      <c r="AK173" s="714"/>
      <c r="AL173" s="714"/>
      <c r="AM173" s="714"/>
      <c r="AN173" s="714"/>
      <c r="AO173" s="714"/>
      <c r="AP173" s="714"/>
      <c r="AQ173" s="714"/>
      <c r="AR173" s="714"/>
      <c r="AS173" s="714"/>
      <c r="AT173" s="714"/>
      <c r="AU173" s="714"/>
      <c r="AV173" s="714"/>
      <c r="AW173" s="714"/>
      <c r="AX173" s="714"/>
      <c r="AY173" s="714"/>
      <c r="AZ173" s="714"/>
      <c r="BA173" s="714"/>
      <c r="BB173" s="714"/>
      <c r="BC173" s="714"/>
      <c r="BD173" s="714"/>
      <c r="BE173" s="714"/>
      <c r="BF173" s="714"/>
      <c r="BG173" s="714"/>
      <c r="BH173" s="714"/>
      <c r="BI173" s="714"/>
      <c r="BJ173" s="714"/>
      <c r="BK173" s="714"/>
      <c r="BL173" s="714"/>
      <c r="BM173" s="714"/>
      <c r="BN173" s="714"/>
      <c r="BO173" s="714"/>
      <c r="BP173" s="714"/>
      <c r="BQ173" s="714"/>
      <c r="BR173" s="714"/>
      <c r="BS173" s="714"/>
      <c r="BT173" s="714"/>
      <c r="BU173" s="714"/>
      <c r="BV173" s="714"/>
      <c r="BW173" s="714"/>
      <c r="BX173" s="714"/>
      <c r="BY173" s="714"/>
      <c r="BZ173" s="714"/>
      <c r="CA173" s="714"/>
      <c r="CB173" s="714"/>
      <c r="CC173" s="714"/>
      <c r="CD173" s="714"/>
      <c r="CE173" s="714"/>
      <c r="CF173" s="714"/>
      <c r="CG173" s="714"/>
      <c r="CH173" s="714"/>
      <c r="CI173" s="714"/>
      <c r="CJ173" s="714"/>
      <c r="CK173" s="714"/>
      <c r="CL173" s="714"/>
      <c r="CM173" s="714"/>
      <c r="CN173" s="714"/>
      <c r="CO173" s="714"/>
      <c r="CP173" s="714"/>
      <c r="CQ173" s="714"/>
      <c r="CR173" s="714"/>
      <c r="CS173" s="714"/>
      <c r="CT173" s="714"/>
      <c r="CU173" s="714"/>
      <c r="CV173" s="714"/>
      <c r="CW173" s="714"/>
      <c r="CX173" s="714"/>
      <c r="CY173" s="714"/>
      <c r="CZ173" s="714"/>
      <c r="DA173" s="714"/>
      <c r="DB173" s="714"/>
      <c r="DC173" s="714"/>
      <c r="DD173" s="714"/>
      <c r="DE173" s="714"/>
      <c r="DF173" s="714"/>
      <c r="DG173" s="714"/>
      <c r="DH173" s="714"/>
      <c r="DI173" s="714"/>
      <c r="DJ173" s="714"/>
      <c r="DK173" s="714"/>
      <c r="DL173" s="714"/>
      <c r="DM173" s="714"/>
      <c r="DN173" s="714"/>
      <c r="DO173" s="714"/>
      <c r="DP173" s="714"/>
      <c r="DQ173" s="714"/>
      <c r="DR173" s="714"/>
      <c r="DS173" s="714"/>
      <c r="DT173" s="714"/>
      <c r="DU173" s="714"/>
      <c r="DV173" s="714"/>
      <c r="DW173" s="714"/>
      <c r="DX173" s="714"/>
      <c r="DY173" s="714"/>
      <c r="DZ173" s="714"/>
      <c r="EA173" s="714"/>
      <c r="EB173" s="714"/>
      <c r="EC173" s="714"/>
      <c r="ED173" s="714"/>
      <c r="EE173" s="714"/>
      <c r="EF173" s="714"/>
      <c r="EG173" s="714"/>
      <c r="EH173" s="714"/>
      <c r="EI173" s="714"/>
      <c r="EJ173" s="714"/>
      <c r="EK173" s="714"/>
      <c r="EL173" s="714"/>
      <c r="EM173" s="714"/>
      <c r="EN173" s="714"/>
      <c r="EO173" s="714"/>
      <c r="EP173" s="714"/>
      <c r="EQ173" s="714"/>
      <c r="ER173" s="714"/>
      <c r="ES173" s="714"/>
      <c r="ET173" s="714"/>
      <c r="EU173" s="714"/>
      <c r="EV173" s="714"/>
      <c r="EW173" s="714"/>
      <c r="EX173" s="714"/>
      <c r="EY173" s="714"/>
      <c r="EZ173" s="714"/>
      <c r="FA173" s="714"/>
      <c r="FB173" s="714"/>
      <c r="FC173" s="714"/>
      <c r="FD173" s="714"/>
      <c r="FE173" s="714"/>
      <c r="FF173" s="714"/>
      <c r="FG173" s="714"/>
      <c r="FH173" s="714"/>
      <c r="FI173" s="714"/>
      <c r="FJ173" s="714"/>
      <c r="FK173" s="714"/>
      <c r="FL173" s="714"/>
      <c r="FM173" s="714"/>
      <c r="FN173" s="714"/>
      <c r="FO173" s="714"/>
      <c r="FP173" s="714"/>
      <c r="FQ173" s="714"/>
      <c r="FR173" s="714"/>
      <c r="FS173" s="714"/>
      <c r="FT173" s="714"/>
      <c r="FU173" s="714"/>
      <c r="FV173" s="714"/>
      <c r="FW173" s="714"/>
      <c r="FX173" s="714"/>
      <c r="FY173" s="714"/>
      <c r="FZ173" s="714"/>
      <c r="GA173" s="714"/>
      <c r="GB173" s="714"/>
      <c r="GC173" s="714"/>
      <c r="GD173" s="714"/>
      <c r="GE173" s="714"/>
      <c r="GF173" s="714"/>
      <c r="GG173" s="714"/>
      <c r="GH173" s="714"/>
      <c r="GI173" s="714"/>
      <c r="GJ173" s="714"/>
      <c r="GK173" s="714"/>
      <c r="GL173" s="714"/>
      <c r="GM173" s="714"/>
      <c r="GN173" s="714"/>
      <c r="GO173" s="714"/>
      <c r="GP173" s="714"/>
      <c r="GQ173" s="714"/>
      <c r="GR173" s="714"/>
      <c r="GS173" s="714"/>
      <c r="GT173" s="714"/>
      <c r="GU173" s="714"/>
      <c r="GV173" s="714"/>
      <c r="GW173" s="714"/>
      <c r="GX173" s="714"/>
      <c r="GY173" s="714"/>
      <c r="GZ173" s="714"/>
      <c r="HA173" s="714"/>
      <c r="HB173" s="714"/>
      <c r="HC173" s="714"/>
      <c r="HD173" s="714"/>
      <c r="HE173" s="714"/>
      <c r="HF173" s="714"/>
      <c r="HG173" s="714"/>
      <c r="HH173" s="714"/>
      <c r="HI173" s="714"/>
      <c r="HJ173" s="714"/>
      <c r="HK173" s="714"/>
      <c r="HL173" s="714"/>
      <c r="HM173" s="714"/>
      <c r="HN173" s="714"/>
      <c r="HO173" s="714"/>
      <c r="HP173" s="714"/>
      <c r="HQ173" s="714"/>
      <c r="HR173" s="714"/>
      <c r="HS173" s="714"/>
      <c r="HT173" s="714"/>
      <c r="HU173" s="714"/>
      <c r="HV173" s="714"/>
      <c r="HW173" s="714"/>
      <c r="HX173" s="714"/>
      <c r="HY173" s="714"/>
      <c r="HZ173" s="714"/>
      <c r="IA173" s="714"/>
      <c r="IB173" s="714"/>
      <c r="IC173" s="714"/>
      <c r="ID173" s="714"/>
      <c r="IE173" s="714"/>
      <c r="IF173" s="714"/>
      <c r="IG173" s="714"/>
      <c r="IH173" s="714"/>
    </row>
    <row r="174" hidden="1" outlineLevel="1">
      <c r="A174" s="598"/>
      <c r="B174" s="598"/>
      <c r="C174" s="598"/>
      <c r="D174" s="598"/>
      <c r="E174" s="598"/>
      <c r="F174" s="598"/>
      <c r="G174" s="598"/>
      <c r="H174" s="598"/>
      <c r="I174" s="598"/>
      <c r="J174" s="598"/>
      <c r="K174" s="598"/>
      <c r="L174" s="598"/>
      <c r="M174" s="598"/>
      <c r="N174" s="598"/>
      <c r="O174" s="598"/>
      <c r="P174" s="598"/>
      <c r="Q174" s="598"/>
      <c r="R174" s="598"/>
      <c r="S174" s="598"/>
      <c r="T174" s="598"/>
      <c r="U174" s="598"/>
      <c r="V174" s="598"/>
      <c r="W174" s="598"/>
      <c r="X174" s="598"/>
      <c r="Y174" s="598"/>
      <c r="Z174" s="598"/>
      <c r="AA174" s="911"/>
      <c r="AB174" s="1000"/>
      <c r="AC174" s="714" t="str">
        <f>IFERROR(__xludf.DUMMYFUNCTION("""COMPUTED_VALUE"""),"Standard Perks Bonus")</f>
        <v>Standard Perks Bonus</v>
      </c>
      <c r="AD174" s="825" t="s">
        <v>205</v>
      </c>
      <c r="AE174" s="714">
        <v>25.0</v>
      </c>
      <c r="AF174" s="714"/>
      <c r="AG174" s="714">
        <v>25.0</v>
      </c>
      <c r="AH174" s="1005" t="str">
        <f t="shared" si="21"/>
        <v/>
      </c>
      <c r="AI174" s="714"/>
      <c r="AJ174" s="714"/>
      <c r="AK174" s="714"/>
      <c r="AL174" s="714"/>
      <c r="AM174" s="714"/>
      <c r="AN174" s="714"/>
      <c r="AO174" s="714"/>
      <c r="AP174" s="714"/>
      <c r="AQ174" s="714"/>
      <c r="AR174" s="714"/>
      <c r="AS174" s="714"/>
      <c r="AT174" s="714"/>
      <c r="AU174" s="714"/>
      <c r="AV174" s="714"/>
      <c r="AW174" s="714"/>
      <c r="AX174" s="714"/>
      <c r="AY174" s="714"/>
      <c r="AZ174" s="714"/>
      <c r="BA174" s="714"/>
      <c r="BB174" s="714"/>
      <c r="BC174" s="714"/>
      <c r="BD174" s="714"/>
      <c r="BE174" s="714"/>
      <c r="BF174" s="714"/>
      <c r="BG174" s="714"/>
      <c r="BH174" s="714"/>
      <c r="BI174" s="714"/>
      <c r="BJ174" s="714"/>
      <c r="BK174" s="714"/>
      <c r="BL174" s="714"/>
      <c r="BM174" s="714"/>
      <c r="BN174" s="714"/>
      <c r="BO174" s="714"/>
      <c r="BP174" s="714"/>
      <c r="BQ174" s="714"/>
      <c r="BR174" s="714"/>
      <c r="BS174" s="714"/>
      <c r="BT174" s="714"/>
      <c r="BU174" s="714"/>
      <c r="BV174" s="714"/>
      <c r="BW174" s="714"/>
      <c r="BX174" s="714"/>
      <c r="BY174" s="714"/>
      <c r="BZ174" s="714"/>
      <c r="CA174" s="714"/>
      <c r="CB174" s="714"/>
      <c r="CC174" s="714"/>
      <c r="CD174" s="714"/>
      <c r="CE174" s="714"/>
      <c r="CF174" s="714"/>
      <c r="CG174" s="714"/>
      <c r="CH174" s="714"/>
      <c r="CI174" s="714"/>
      <c r="CJ174" s="714"/>
      <c r="CK174" s="714"/>
      <c r="CL174" s="714"/>
      <c r="CM174" s="714"/>
      <c r="CN174" s="714"/>
      <c r="CO174" s="714"/>
      <c r="CP174" s="714"/>
      <c r="CQ174" s="714"/>
      <c r="CR174" s="714"/>
      <c r="CS174" s="714"/>
      <c r="CT174" s="714"/>
      <c r="CU174" s="714"/>
      <c r="CV174" s="714"/>
      <c r="CW174" s="714"/>
      <c r="CX174" s="714"/>
      <c r="CY174" s="714"/>
      <c r="CZ174" s="714"/>
      <c r="DA174" s="714"/>
      <c r="DB174" s="714"/>
      <c r="DC174" s="714"/>
      <c r="DD174" s="714"/>
      <c r="DE174" s="714"/>
      <c r="DF174" s="714"/>
      <c r="DG174" s="714"/>
      <c r="DH174" s="714"/>
      <c r="DI174" s="714"/>
      <c r="DJ174" s="714"/>
      <c r="DK174" s="714"/>
      <c r="DL174" s="714"/>
      <c r="DM174" s="714"/>
      <c r="DN174" s="714"/>
      <c r="DO174" s="714"/>
      <c r="DP174" s="714"/>
      <c r="DQ174" s="714"/>
      <c r="DR174" s="714"/>
      <c r="DS174" s="714"/>
      <c r="DT174" s="714"/>
      <c r="DU174" s="714"/>
      <c r="DV174" s="714"/>
      <c r="DW174" s="714"/>
      <c r="DX174" s="714"/>
      <c r="DY174" s="714"/>
      <c r="DZ174" s="714"/>
      <c r="EA174" s="714"/>
      <c r="EB174" s="714"/>
      <c r="EC174" s="714"/>
      <c r="ED174" s="714"/>
      <c r="EE174" s="714"/>
      <c r="EF174" s="714"/>
      <c r="EG174" s="714"/>
      <c r="EH174" s="714"/>
      <c r="EI174" s="714"/>
      <c r="EJ174" s="714"/>
      <c r="EK174" s="714"/>
      <c r="EL174" s="714"/>
      <c r="EM174" s="714"/>
      <c r="EN174" s="714"/>
      <c r="EO174" s="714"/>
      <c r="EP174" s="714"/>
      <c r="EQ174" s="714"/>
      <c r="ER174" s="714"/>
      <c r="ES174" s="714"/>
      <c r="ET174" s="714"/>
      <c r="EU174" s="714"/>
      <c r="EV174" s="714"/>
      <c r="EW174" s="714"/>
      <c r="EX174" s="714"/>
      <c r="EY174" s="714"/>
      <c r="EZ174" s="714"/>
      <c r="FA174" s="714"/>
      <c r="FB174" s="714"/>
      <c r="FC174" s="714"/>
      <c r="FD174" s="714"/>
      <c r="FE174" s="714"/>
      <c r="FF174" s="714"/>
      <c r="FG174" s="714"/>
      <c r="FH174" s="714"/>
      <c r="FI174" s="714"/>
      <c r="FJ174" s="714"/>
      <c r="FK174" s="714"/>
      <c r="FL174" s="714"/>
      <c r="FM174" s="714"/>
      <c r="FN174" s="714"/>
      <c r="FO174" s="714"/>
      <c r="FP174" s="714"/>
      <c r="FQ174" s="714"/>
      <c r="FR174" s="714"/>
      <c r="FS174" s="714"/>
      <c r="FT174" s="714"/>
      <c r="FU174" s="714"/>
      <c r="FV174" s="714"/>
      <c r="FW174" s="714"/>
      <c r="FX174" s="714"/>
      <c r="FY174" s="714"/>
      <c r="FZ174" s="714"/>
      <c r="GA174" s="714"/>
      <c r="GB174" s="714"/>
      <c r="GC174" s="714"/>
      <c r="GD174" s="714"/>
      <c r="GE174" s="714"/>
      <c r="GF174" s="714"/>
      <c r="GG174" s="714"/>
      <c r="GH174" s="714"/>
      <c r="GI174" s="714"/>
      <c r="GJ174" s="714"/>
      <c r="GK174" s="714"/>
      <c r="GL174" s="714"/>
      <c r="GM174" s="714"/>
      <c r="GN174" s="714"/>
      <c r="GO174" s="714"/>
      <c r="GP174" s="714"/>
      <c r="GQ174" s="714"/>
      <c r="GR174" s="714"/>
      <c r="GS174" s="714"/>
      <c r="GT174" s="714"/>
      <c r="GU174" s="714"/>
      <c r="GV174" s="714"/>
      <c r="GW174" s="714"/>
      <c r="GX174" s="714"/>
      <c r="GY174" s="714"/>
      <c r="GZ174" s="714"/>
      <c r="HA174" s="714"/>
      <c r="HB174" s="714"/>
      <c r="HC174" s="714"/>
      <c r="HD174" s="714"/>
      <c r="HE174" s="714"/>
      <c r="HF174" s="714"/>
      <c r="HG174" s="714"/>
      <c r="HH174" s="714"/>
      <c r="HI174" s="714"/>
      <c r="HJ174" s="714"/>
      <c r="HK174" s="714"/>
      <c r="HL174" s="714"/>
      <c r="HM174" s="714"/>
      <c r="HN174" s="714"/>
      <c r="HO174" s="714"/>
      <c r="HP174" s="714"/>
      <c r="HQ174" s="714"/>
      <c r="HR174" s="714"/>
      <c r="HS174" s="714"/>
      <c r="HT174" s="714"/>
      <c r="HU174" s="714"/>
      <c r="HV174" s="714"/>
      <c r="HW174" s="714"/>
      <c r="HX174" s="714"/>
      <c r="HY174" s="714"/>
      <c r="HZ174" s="714"/>
      <c r="IA174" s="714"/>
      <c r="IB174" s="714"/>
      <c r="IC174" s="714"/>
      <c r="ID174" s="714"/>
      <c r="IE174" s="714"/>
      <c r="IF174" s="714"/>
      <c r="IG174" s="714"/>
      <c r="IH174" s="714"/>
    </row>
    <row r="175" hidden="1" outlineLevel="1">
      <c r="A175" s="598"/>
      <c r="B175" s="598"/>
      <c r="C175" s="598"/>
      <c r="D175" s="598"/>
      <c r="E175" s="598"/>
      <c r="F175" s="598"/>
      <c r="G175" s="598"/>
      <c r="H175" s="598"/>
      <c r="I175" s="598"/>
      <c r="J175" s="598"/>
      <c r="K175" s="598"/>
      <c r="L175" s="598"/>
      <c r="M175" s="598"/>
      <c r="N175" s="598"/>
      <c r="O175" s="598"/>
      <c r="P175" s="598"/>
      <c r="Q175" s="598"/>
      <c r="R175" s="598"/>
      <c r="S175" s="598"/>
      <c r="T175" s="598"/>
      <c r="U175" s="598"/>
      <c r="V175" s="598"/>
      <c r="W175" s="598"/>
      <c r="X175" s="598"/>
      <c r="Y175" s="598"/>
      <c r="Z175" s="598"/>
      <c r="AA175" s="911"/>
      <c r="AB175" s="1000"/>
      <c r="AC175" s="714" t="str">
        <f>IFERROR(__xludf.DUMMYFUNCTION("""COMPUTED_VALUE"""),"Starting Cash")</f>
        <v>Starting Cash</v>
      </c>
      <c r="AD175" s="825" t="s">
        <v>169</v>
      </c>
      <c r="AE175" s="714">
        <v>6.0</v>
      </c>
      <c r="AF175" s="714"/>
      <c r="AG175" s="714">
        <v>99.0</v>
      </c>
      <c r="AH175" s="1005" t="str">
        <f t="shared" si="21"/>
        <v/>
      </c>
      <c r="AI175" s="714"/>
      <c r="AJ175" s="714"/>
      <c r="AK175" s="714"/>
      <c r="AL175" s="714"/>
      <c r="AM175" s="714"/>
      <c r="AN175" s="714"/>
      <c r="AO175" s="714"/>
      <c r="AP175" s="714"/>
      <c r="AQ175" s="714"/>
      <c r="AR175" s="714"/>
      <c r="AS175" s="714"/>
      <c r="AT175" s="714"/>
      <c r="AU175" s="714"/>
      <c r="AV175" s="714"/>
      <c r="AW175" s="714"/>
      <c r="AX175" s="714"/>
      <c r="AY175" s="714"/>
      <c r="AZ175" s="714"/>
      <c r="BA175" s="714"/>
      <c r="BB175" s="714"/>
      <c r="BC175" s="714"/>
      <c r="BD175" s="714"/>
      <c r="BE175" s="714"/>
      <c r="BF175" s="714"/>
      <c r="BG175" s="714"/>
      <c r="BH175" s="714"/>
      <c r="BI175" s="714"/>
      <c r="BJ175" s="714"/>
      <c r="BK175" s="714"/>
      <c r="BL175" s="714"/>
      <c r="BM175" s="714"/>
      <c r="BN175" s="714"/>
      <c r="BO175" s="714"/>
      <c r="BP175" s="714"/>
      <c r="BQ175" s="714"/>
      <c r="BR175" s="714"/>
      <c r="BS175" s="714"/>
      <c r="BT175" s="714"/>
      <c r="BU175" s="714"/>
      <c r="BV175" s="714"/>
      <c r="BW175" s="714"/>
      <c r="BX175" s="714"/>
      <c r="BY175" s="714"/>
      <c r="BZ175" s="714"/>
      <c r="CA175" s="714"/>
      <c r="CB175" s="714"/>
      <c r="CC175" s="714"/>
      <c r="CD175" s="714"/>
      <c r="CE175" s="714"/>
      <c r="CF175" s="714"/>
      <c r="CG175" s="714"/>
      <c r="CH175" s="714"/>
      <c r="CI175" s="714"/>
      <c r="CJ175" s="714"/>
      <c r="CK175" s="714"/>
      <c r="CL175" s="714"/>
      <c r="CM175" s="714"/>
      <c r="CN175" s="714"/>
      <c r="CO175" s="714"/>
      <c r="CP175" s="714"/>
      <c r="CQ175" s="714"/>
      <c r="CR175" s="714"/>
      <c r="CS175" s="714"/>
      <c r="CT175" s="714"/>
      <c r="CU175" s="714"/>
      <c r="CV175" s="714"/>
      <c r="CW175" s="714"/>
      <c r="CX175" s="714"/>
      <c r="CY175" s="714"/>
      <c r="CZ175" s="714"/>
      <c r="DA175" s="714"/>
      <c r="DB175" s="714"/>
      <c r="DC175" s="714"/>
      <c r="DD175" s="714"/>
      <c r="DE175" s="714"/>
      <c r="DF175" s="714"/>
      <c r="DG175" s="714"/>
      <c r="DH175" s="714"/>
      <c r="DI175" s="714"/>
      <c r="DJ175" s="714"/>
      <c r="DK175" s="714"/>
      <c r="DL175" s="714"/>
      <c r="DM175" s="714"/>
      <c r="DN175" s="714"/>
      <c r="DO175" s="714"/>
      <c r="DP175" s="714"/>
      <c r="DQ175" s="714"/>
      <c r="DR175" s="714"/>
      <c r="DS175" s="714"/>
      <c r="DT175" s="714"/>
      <c r="DU175" s="714"/>
      <c r="DV175" s="714"/>
      <c r="DW175" s="714"/>
      <c r="DX175" s="714"/>
      <c r="DY175" s="714"/>
      <c r="DZ175" s="714"/>
      <c r="EA175" s="714"/>
      <c r="EB175" s="714"/>
      <c r="EC175" s="714"/>
      <c r="ED175" s="714"/>
      <c r="EE175" s="714"/>
      <c r="EF175" s="714"/>
      <c r="EG175" s="714"/>
      <c r="EH175" s="714"/>
      <c r="EI175" s="714"/>
      <c r="EJ175" s="714"/>
      <c r="EK175" s="714"/>
      <c r="EL175" s="714"/>
      <c r="EM175" s="714"/>
      <c r="EN175" s="714"/>
      <c r="EO175" s="714"/>
      <c r="EP175" s="714"/>
      <c r="EQ175" s="714"/>
      <c r="ER175" s="714"/>
      <c r="ES175" s="714"/>
      <c r="ET175" s="714"/>
      <c r="EU175" s="714"/>
      <c r="EV175" s="714"/>
      <c r="EW175" s="714"/>
      <c r="EX175" s="714"/>
      <c r="EY175" s="714"/>
      <c r="EZ175" s="714"/>
      <c r="FA175" s="714"/>
      <c r="FB175" s="714"/>
      <c r="FC175" s="714"/>
      <c r="FD175" s="714"/>
      <c r="FE175" s="714"/>
      <c r="FF175" s="714"/>
      <c r="FG175" s="714"/>
      <c r="FH175" s="714"/>
      <c r="FI175" s="714"/>
      <c r="FJ175" s="714"/>
      <c r="FK175" s="714"/>
      <c r="FL175" s="714"/>
      <c r="FM175" s="714"/>
      <c r="FN175" s="714"/>
      <c r="FO175" s="714"/>
      <c r="FP175" s="714"/>
      <c r="FQ175" s="714"/>
      <c r="FR175" s="714"/>
      <c r="FS175" s="714"/>
      <c r="FT175" s="714"/>
      <c r="FU175" s="714"/>
      <c r="FV175" s="714"/>
      <c r="FW175" s="714"/>
      <c r="FX175" s="714"/>
      <c r="FY175" s="714"/>
      <c r="FZ175" s="714"/>
      <c r="GA175" s="714"/>
      <c r="GB175" s="714"/>
      <c r="GC175" s="714"/>
      <c r="GD175" s="714"/>
      <c r="GE175" s="714"/>
      <c r="GF175" s="714"/>
      <c r="GG175" s="714"/>
      <c r="GH175" s="714"/>
      <c r="GI175" s="714"/>
      <c r="GJ175" s="714"/>
      <c r="GK175" s="714"/>
      <c r="GL175" s="714"/>
      <c r="GM175" s="714"/>
      <c r="GN175" s="714"/>
      <c r="GO175" s="714"/>
      <c r="GP175" s="714"/>
      <c r="GQ175" s="714"/>
      <c r="GR175" s="714"/>
      <c r="GS175" s="714"/>
      <c r="GT175" s="714"/>
      <c r="GU175" s="714"/>
      <c r="GV175" s="714"/>
      <c r="GW175" s="714"/>
      <c r="GX175" s="714"/>
      <c r="GY175" s="714"/>
      <c r="GZ175" s="714"/>
      <c r="HA175" s="714"/>
      <c r="HB175" s="714"/>
      <c r="HC175" s="714"/>
      <c r="HD175" s="714"/>
      <c r="HE175" s="714"/>
      <c r="HF175" s="714"/>
      <c r="HG175" s="714"/>
      <c r="HH175" s="714"/>
      <c r="HI175" s="714"/>
      <c r="HJ175" s="714"/>
      <c r="HK175" s="714"/>
      <c r="HL175" s="714"/>
      <c r="HM175" s="714"/>
      <c r="HN175" s="714"/>
      <c r="HO175" s="714"/>
      <c r="HP175" s="714"/>
      <c r="HQ175" s="714"/>
      <c r="HR175" s="714"/>
      <c r="HS175" s="714"/>
      <c r="HT175" s="714"/>
      <c r="HU175" s="714"/>
      <c r="HV175" s="714"/>
      <c r="HW175" s="714"/>
      <c r="HX175" s="714"/>
      <c r="HY175" s="714"/>
      <c r="HZ175" s="714"/>
      <c r="IA175" s="714"/>
      <c r="IB175" s="714"/>
      <c r="IC175" s="714"/>
      <c r="ID175" s="714"/>
      <c r="IE175" s="714"/>
      <c r="IF175" s="714"/>
      <c r="IG175" s="714"/>
      <c r="IH175" s="714"/>
    </row>
    <row r="176" hidden="1" outlineLevel="1">
      <c r="A176" s="598"/>
      <c r="B176" s="598"/>
      <c r="C176" s="598"/>
      <c r="D176" s="598"/>
      <c r="E176" s="598"/>
      <c r="F176" s="598"/>
      <c r="G176" s="598"/>
      <c r="H176" s="598"/>
      <c r="I176" s="598"/>
      <c r="J176" s="598"/>
      <c r="K176" s="598"/>
      <c r="L176" s="598"/>
      <c r="M176" s="598"/>
      <c r="N176" s="598"/>
      <c r="O176" s="598"/>
      <c r="P176" s="598"/>
      <c r="Q176" s="598"/>
      <c r="R176" s="598"/>
      <c r="S176" s="598"/>
      <c r="T176" s="598"/>
      <c r="U176" s="598"/>
      <c r="V176" s="598"/>
      <c r="W176" s="598"/>
      <c r="X176" s="598"/>
      <c r="Y176" s="598"/>
      <c r="Z176" s="598"/>
      <c r="AA176" s="911"/>
      <c r="AB176" s="1000"/>
      <c r="AC176" s="714" t="str">
        <f>IFERROR(__xludf.DUMMYFUNCTION("""COMPUTED_VALUE"""),"Super Crit Chance")</f>
        <v>Super Crit Chance</v>
      </c>
      <c r="AD176" s="825" t="s">
        <v>228</v>
      </c>
      <c r="AE176" s="714">
        <v>9.0</v>
      </c>
      <c r="AF176" s="714"/>
      <c r="AG176" s="714">
        <v>50.0</v>
      </c>
      <c r="AH176" s="1005" t="str">
        <f t="shared" si="21"/>
        <v/>
      </c>
      <c r="AI176" s="714"/>
      <c r="AJ176" s="714"/>
      <c r="AK176" s="714"/>
      <c r="AL176" s="714"/>
      <c r="AM176" s="714"/>
      <c r="AN176" s="714"/>
      <c r="AO176" s="714"/>
      <c r="AP176" s="714"/>
      <c r="AQ176" s="714"/>
      <c r="AR176" s="714"/>
      <c r="AS176" s="714"/>
      <c r="AT176" s="714"/>
      <c r="AU176" s="714"/>
      <c r="AV176" s="714"/>
      <c r="AW176" s="714"/>
      <c r="AX176" s="714"/>
      <c r="AY176" s="714"/>
      <c r="AZ176" s="714"/>
      <c r="BA176" s="714"/>
      <c r="BB176" s="714"/>
      <c r="BC176" s="714"/>
      <c r="BD176" s="714"/>
      <c r="BE176" s="714"/>
      <c r="BF176" s="714"/>
      <c r="BG176" s="714"/>
      <c r="BH176" s="714"/>
      <c r="BI176" s="714"/>
      <c r="BJ176" s="714"/>
      <c r="BK176" s="714"/>
      <c r="BL176" s="714"/>
      <c r="BM176" s="714"/>
      <c r="BN176" s="714"/>
      <c r="BO176" s="714"/>
      <c r="BP176" s="714"/>
      <c r="BQ176" s="714"/>
      <c r="BR176" s="714"/>
      <c r="BS176" s="714"/>
      <c r="BT176" s="714"/>
      <c r="BU176" s="714"/>
      <c r="BV176" s="714"/>
      <c r="BW176" s="714"/>
      <c r="BX176" s="714"/>
      <c r="BY176" s="714"/>
      <c r="BZ176" s="714"/>
      <c r="CA176" s="714"/>
      <c r="CB176" s="714"/>
      <c r="CC176" s="714"/>
      <c r="CD176" s="714"/>
      <c r="CE176" s="714"/>
      <c r="CF176" s="714"/>
      <c r="CG176" s="714"/>
      <c r="CH176" s="714"/>
      <c r="CI176" s="714"/>
      <c r="CJ176" s="714"/>
      <c r="CK176" s="714"/>
      <c r="CL176" s="714"/>
      <c r="CM176" s="714"/>
      <c r="CN176" s="714"/>
      <c r="CO176" s="714"/>
      <c r="CP176" s="714"/>
      <c r="CQ176" s="714"/>
      <c r="CR176" s="714"/>
      <c r="CS176" s="714"/>
      <c r="CT176" s="714"/>
      <c r="CU176" s="714"/>
      <c r="CV176" s="714"/>
      <c r="CW176" s="714"/>
      <c r="CX176" s="714"/>
      <c r="CY176" s="714"/>
      <c r="CZ176" s="714"/>
      <c r="DA176" s="714"/>
      <c r="DB176" s="714"/>
      <c r="DC176" s="714"/>
      <c r="DD176" s="714"/>
      <c r="DE176" s="714"/>
      <c r="DF176" s="714"/>
      <c r="DG176" s="714"/>
      <c r="DH176" s="714"/>
      <c r="DI176" s="714"/>
      <c r="DJ176" s="714"/>
      <c r="DK176" s="714"/>
      <c r="DL176" s="714"/>
      <c r="DM176" s="714"/>
      <c r="DN176" s="714"/>
      <c r="DO176" s="714"/>
      <c r="DP176" s="714"/>
      <c r="DQ176" s="714"/>
      <c r="DR176" s="714"/>
      <c r="DS176" s="714"/>
      <c r="DT176" s="714"/>
      <c r="DU176" s="714"/>
      <c r="DV176" s="714"/>
      <c r="DW176" s="714"/>
      <c r="DX176" s="714"/>
      <c r="DY176" s="714"/>
      <c r="DZ176" s="714"/>
      <c r="EA176" s="714"/>
      <c r="EB176" s="714"/>
      <c r="EC176" s="714"/>
      <c r="ED176" s="714"/>
      <c r="EE176" s="714"/>
      <c r="EF176" s="714"/>
      <c r="EG176" s="714"/>
      <c r="EH176" s="714"/>
      <c r="EI176" s="714"/>
      <c r="EJ176" s="714"/>
      <c r="EK176" s="714"/>
      <c r="EL176" s="714"/>
      <c r="EM176" s="714"/>
      <c r="EN176" s="714"/>
      <c r="EO176" s="714"/>
      <c r="EP176" s="714"/>
      <c r="EQ176" s="714"/>
      <c r="ER176" s="714"/>
      <c r="ES176" s="714"/>
      <c r="ET176" s="714"/>
      <c r="EU176" s="714"/>
      <c r="EV176" s="714"/>
      <c r="EW176" s="714"/>
      <c r="EX176" s="714"/>
      <c r="EY176" s="714"/>
      <c r="EZ176" s="714"/>
      <c r="FA176" s="714"/>
      <c r="FB176" s="714"/>
      <c r="FC176" s="714"/>
      <c r="FD176" s="714"/>
      <c r="FE176" s="714"/>
      <c r="FF176" s="714"/>
      <c r="FG176" s="714"/>
      <c r="FH176" s="714"/>
      <c r="FI176" s="714"/>
      <c r="FJ176" s="714"/>
      <c r="FK176" s="714"/>
      <c r="FL176" s="714"/>
      <c r="FM176" s="714"/>
      <c r="FN176" s="714"/>
      <c r="FO176" s="714"/>
      <c r="FP176" s="714"/>
      <c r="FQ176" s="714"/>
      <c r="FR176" s="714"/>
      <c r="FS176" s="714"/>
      <c r="FT176" s="714"/>
      <c r="FU176" s="714"/>
      <c r="FV176" s="714"/>
      <c r="FW176" s="714"/>
      <c r="FX176" s="714"/>
      <c r="FY176" s="714"/>
      <c r="FZ176" s="714"/>
      <c r="GA176" s="714"/>
      <c r="GB176" s="714"/>
      <c r="GC176" s="714"/>
      <c r="GD176" s="714"/>
      <c r="GE176" s="714"/>
      <c r="GF176" s="714"/>
      <c r="GG176" s="714"/>
      <c r="GH176" s="714"/>
      <c r="GI176" s="714"/>
      <c r="GJ176" s="714"/>
      <c r="GK176" s="714"/>
      <c r="GL176" s="714"/>
      <c r="GM176" s="714"/>
      <c r="GN176" s="714"/>
      <c r="GO176" s="714"/>
      <c r="GP176" s="714"/>
      <c r="GQ176" s="714"/>
      <c r="GR176" s="714"/>
      <c r="GS176" s="714"/>
      <c r="GT176" s="714"/>
      <c r="GU176" s="714"/>
      <c r="GV176" s="714"/>
      <c r="GW176" s="714"/>
      <c r="GX176" s="714"/>
      <c r="GY176" s="714"/>
      <c r="GZ176" s="714"/>
      <c r="HA176" s="714"/>
      <c r="HB176" s="714"/>
      <c r="HC176" s="714"/>
      <c r="HD176" s="714"/>
      <c r="HE176" s="714"/>
      <c r="HF176" s="714"/>
      <c r="HG176" s="714"/>
      <c r="HH176" s="714"/>
      <c r="HI176" s="714"/>
      <c r="HJ176" s="714"/>
      <c r="HK176" s="714"/>
      <c r="HL176" s="714"/>
      <c r="HM176" s="714"/>
      <c r="HN176" s="714"/>
      <c r="HO176" s="714"/>
      <c r="HP176" s="714"/>
      <c r="HQ176" s="714"/>
      <c r="HR176" s="714"/>
      <c r="HS176" s="714"/>
      <c r="HT176" s="714"/>
      <c r="HU176" s="714"/>
      <c r="HV176" s="714"/>
      <c r="HW176" s="714"/>
      <c r="HX176" s="714"/>
      <c r="HY176" s="714"/>
      <c r="HZ176" s="714"/>
      <c r="IA176" s="714"/>
      <c r="IB176" s="714"/>
      <c r="IC176" s="714"/>
      <c r="ID176" s="714"/>
      <c r="IE176" s="714"/>
      <c r="IF176" s="714"/>
      <c r="IG176" s="714"/>
      <c r="IH176" s="714"/>
    </row>
    <row r="177" hidden="1" outlineLevel="1">
      <c r="A177" s="598"/>
      <c r="B177" s="598"/>
      <c r="C177" s="598"/>
      <c r="D177" s="598"/>
      <c r="E177" s="598"/>
      <c r="F177" s="598"/>
      <c r="G177" s="598"/>
      <c r="H177" s="598"/>
      <c r="I177" s="598"/>
      <c r="J177" s="598"/>
      <c r="K177" s="598"/>
      <c r="L177" s="598"/>
      <c r="M177" s="598"/>
      <c r="N177" s="598"/>
      <c r="O177" s="598"/>
      <c r="P177" s="598"/>
      <c r="Q177" s="598"/>
      <c r="R177" s="598"/>
      <c r="S177" s="598"/>
      <c r="T177" s="598"/>
      <c r="U177" s="598"/>
      <c r="V177" s="598"/>
      <c r="W177" s="598"/>
      <c r="X177" s="598"/>
      <c r="Y177" s="598"/>
      <c r="Z177" s="598"/>
      <c r="AA177" s="911"/>
      <c r="AB177" s="1000"/>
      <c r="AC177" s="714" t="str">
        <f>IFERROR(__xludf.DUMMYFUNCTION("""COMPUTED_VALUE"""),"Super Crit Multi")</f>
        <v>Super Crit Multi</v>
      </c>
      <c r="AD177" s="825" t="s">
        <v>239</v>
      </c>
      <c r="AE177" s="714">
        <v>13.0</v>
      </c>
      <c r="AF177" s="714"/>
      <c r="AG177" s="714">
        <v>40.0</v>
      </c>
      <c r="AH177" s="1005" t="str">
        <f t="shared" si="21"/>
        <v/>
      </c>
      <c r="AI177" s="714"/>
      <c r="AJ177" s="714"/>
      <c r="AK177" s="714"/>
      <c r="AL177" s="714"/>
      <c r="AM177" s="714"/>
      <c r="AN177" s="714"/>
      <c r="AO177" s="714"/>
      <c r="AP177" s="714"/>
      <c r="AQ177" s="714"/>
      <c r="AR177" s="714"/>
      <c r="AS177" s="714"/>
      <c r="AT177" s="714"/>
      <c r="AU177" s="714"/>
      <c r="AV177" s="714"/>
      <c r="AW177" s="714"/>
      <c r="AX177" s="714"/>
      <c r="AY177" s="714"/>
      <c r="AZ177" s="714"/>
      <c r="BA177" s="714"/>
      <c r="BB177" s="714"/>
      <c r="BC177" s="714"/>
      <c r="BD177" s="714"/>
      <c r="BE177" s="714"/>
      <c r="BF177" s="714"/>
      <c r="BG177" s="714"/>
      <c r="BH177" s="714"/>
      <c r="BI177" s="714"/>
      <c r="BJ177" s="714"/>
      <c r="BK177" s="714"/>
      <c r="BL177" s="714"/>
      <c r="BM177" s="714"/>
      <c r="BN177" s="714"/>
      <c r="BO177" s="714"/>
      <c r="BP177" s="714"/>
      <c r="BQ177" s="714"/>
      <c r="BR177" s="714"/>
      <c r="BS177" s="714"/>
      <c r="BT177" s="714"/>
      <c r="BU177" s="714"/>
      <c r="BV177" s="714"/>
      <c r="BW177" s="714"/>
      <c r="BX177" s="714"/>
      <c r="BY177" s="714"/>
      <c r="BZ177" s="714"/>
      <c r="CA177" s="714"/>
      <c r="CB177" s="714"/>
      <c r="CC177" s="714"/>
      <c r="CD177" s="714"/>
      <c r="CE177" s="714"/>
      <c r="CF177" s="714"/>
      <c r="CG177" s="714"/>
      <c r="CH177" s="714"/>
      <c r="CI177" s="714"/>
      <c r="CJ177" s="714"/>
      <c r="CK177" s="714"/>
      <c r="CL177" s="714"/>
      <c r="CM177" s="714"/>
      <c r="CN177" s="714"/>
      <c r="CO177" s="714"/>
      <c r="CP177" s="714"/>
      <c r="CQ177" s="714"/>
      <c r="CR177" s="714"/>
      <c r="CS177" s="714"/>
      <c r="CT177" s="714"/>
      <c r="CU177" s="714"/>
      <c r="CV177" s="714"/>
      <c r="CW177" s="714"/>
      <c r="CX177" s="714"/>
      <c r="CY177" s="714"/>
      <c r="CZ177" s="714"/>
      <c r="DA177" s="714"/>
      <c r="DB177" s="714"/>
      <c r="DC177" s="714"/>
      <c r="DD177" s="714"/>
      <c r="DE177" s="714"/>
      <c r="DF177" s="714"/>
      <c r="DG177" s="714"/>
      <c r="DH177" s="714"/>
      <c r="DI177" s="714"/>
      <c r="DJ177" s="714"/>
      <c r="DK177" s="714"/>
      <c r="DL177" s="714"/>
      <c r="DM177" s="714"/>
      <c r="DN177" s="714"/>
      <c r="DO177" s="714"/>
      <c r="DP177" s="714"/>
      <c r="DQ177" s="714"/>
      <c r="DR177" s="714"/>
      <c r="DS177" s="714"/>
      <c r="DT177" s="714"/>
      <c r="DU177" s="714"/>
      <c r="DV177" s="714"/>
      <c r="DW177" s="714"/>
      <c r="DX177" s="714"/>
      <c r="DY177" s="714"/>
      <c r="DZ177" s="714"/>
      <c r="EA177" s="714"/>
      <c r="EB177" s="714"/>
      <c r="EC177" s="714"/>
      <c r="ED177" s="714"/>
      <c r="EE177" s="714"/>
      <c r="EF177" s="714"/>
      <c r="EG177" s="714"/>
      <c r="EH177" s="714"/>
      <c r="EI177" s="714"/>
      <c r="EJ177" s="714"/>
      <c r="EK177" s="714"/>
      <c r="EL177" s="714"/>
      <c r="EM177" s="714"/>
      <c r="EN177" s="714"/>
      <c r="EO177" s="714"/>
      <c r="EP177" s="714"/>
      <c r="EQ177" s="714"/>
      <c r="ER177" s="714"/>
      <c r="ES177" s="714"/>
      <c r="ET177" s="714"/>
      <c r="EU177" s="714"/>
      <c r="EV177" s="714"/>
      <c r="EW177" s="714"/>
      <c r="EX177" s="714"/>
      <c r="EY177" s="714"/>
      <c r="EZ177" s="714"/>
      <c r="FA177" s="714"/>
      <c r="FB177" s="714"/>
      <c r="FC177" s="714"/>
      <c r="FD177" s="714"/>
      <c r="FE177" s="714"/>
      <c r="FF177" s="714"/>
      <c r="FG177" s="714"/>
      <c r="FH177" s="714"/>
      <c r="FI177" s="714"/>
      <c r="FJ177" s="714"/>
      <c r="FK177" s="714"/>
      <c r="FL177" s="714"/>
      <c r="FM177" s="714"/>
      <c r="FN177" s="714"/>
      <c r="FO177" s="714"/>
      <c r="FP177" s="714"/>
      <c r="FQ177" s="714"/>
      <c r="FR177" s="714"/>
      <c r="FS177" s="714"/>
      <c r="FT177" s="714"/>
      <c r="FU177" s="714"/>
      <c r="FV177" s="714"/>
      <c r="FW177" s="714"/>
      <c r="FX177" s="714"/>
      <c r="FY177" s="714"/>
      <c r="FZ177" s="714"/>
      <c r="GA177" s="714"/>
      <c r="GB177" s="714"/>
      <c r="GC177" s="714"/>
      <c r="GD177" s="714"/>
      <c r="GE177" s="714"/>
      <c r="GF177" s="714"/>
      <c r="GG177" s="714"/>
      <c r="GH177" s="714"/>
      <c r="GI177" s="714"/>
      <c r="GJ177" s="714"/>
      <c r="GK177" s="714"/>
      <c r="GL177" s="714"/>
      <c r="GM177" s="714"/>
      <c r="GN177" s="714"/>
      <c r="GO177" s="714"/>
      <c r="GP177" s="714"/>
      <c r="GQ177" s="714"/>
      <c r="GR177" s="714"/>
      <c r="GS177" s="714"/>
      <c r="GT177" s="714"/>
      <c r="GU177" s="714"/>
      <c r="GV177" s="714"/>
      <c r="GW177" s="714"/>
      <c r="GX177" s="714"/>
      <c r="GY177" s="714"/>
      <c r="GZ177" s="714"/>
      <c r="HA177" s="714"/>
      <c r="HB177" s="714"/>
      <c r="HC177" s="714"/>
      <c r="HD177" s="714"/>
      <c r="HE177" s="714"/>
      <c r="HF177" s="714"/>
      <c r="HG177" s="714"/>
      <c r="HH177" s="714"/>
      <c r="HI177" s="714"/>
      <c r="HJ177" s="714"/>
      <c r="HK177" s="714"/>
      <c r="HL177" s="714"/>
      <c r="HM177" s="714"/>
      <c r="HN177" s="714"/>
      <c r="HO177" s="714"/>
      <c r="HP177" s="714"/>
      <c r="HQ177" s="714"/>
      <c r="HR177" s="714"/>
      <c r="HS177" s="714"/>
      <c r="HT177" s="714"/>
      <c r="HU177" s="714"/>
      <c r="HV177" s="714"/>
      <c r="HW177" s="714"/>
      <c r="HX177" s="714"/>
      <c r="HY177" s="714"/>
      <c r="HZ177" s="714"/>
      <c r="IA177" s="714"/>
      <c r="IB177" s="714"/>
      <c r="IC177" s="714"/>
      <c r="ID177" s="714"/>
      <c r="IE177" s="714"/>
      <c r="IF177" s="714"/>
      <c r="IG177" s="714"/>
      <c r="IH177" s="714"/>
    </row>
    <row r="178" hidden="1" outlineLevel="1">
      <c r="A178" s="598"/>
      <c r="B178" s="598"/>
      <c r="C178" s="598"/>
      <c r="D178" s="598"/>
      <c r="E178" s="598"/>
      <c r="F178" s="598"/>
      <c r="G178" s="598"/>
      <c r="H178" s="598"/>
      <c r="I178" s="598"/>
      <c r="J178" s="598"/>
      <c r="K178" s="598"/>
      <c r="L178" s="598"/>
      <c r="M178" s="598"/>
      <c r="N178" s="598"/>
      <c r="O178" s="598"/>
      <c r="P178" s="598"/>
      <c r="Q178" s="598"/>
      <c r="R178" s="598"/>
      <c r="S178" s="598"/>
      <c r="T178" s="598"/>
      <c r="U178" s="598"/>
      <c r="V178" s="598"/>
      <c r="W178" s="598"/>
      <c r="X178" s="598"/>
      <c r="Y178" s="598"/>
      <c r="Z178" s="598"/>
      <c r="AA178" s="911"/>
      <c r="AB178" s="1000"/>
      <c r="AC178" s="714" t="str">
        <f>IFERROR(__xludf.DUMMYFUNCTION("""COMPUTED_VALUE"""),"Super Tower Bonus")</f>
        <v>Super Tower Bonus</v>
      </c>
      <c r="AD178" s="825" t="s">
        <v>232</v>
      </c>
      <c r="AE178" s="714">
        <v>0.0</v>
      </c>
      <c r="AF178" s="714"/>
      <c r="AG178" s="714">
        <v>30.0</v>
      </c>
      <c r="AH178" s="1005" t="str">
        <f t="shared" si="21"/>
        <v/>
      </c>
      <c r="AI178" s="714"/>
      <c r="AJ178" s="714"/>
      <c r="AK178" s="714"/>
      <c r="AL178" s="714"/>
      <c r="AM178" s="714"/>
      <c r="AN178" s="714"/>
      <c r="AO178" s="714"/>
      <c r="AP178" s="714"/>
      <c r="AQ178" s="714"/>
      <c r="AR178" s="714"/>
      <c r="AS178" s="714"/>
      <c r="AT178" s="714"/>
      <c r="AU178" s="714"/>
      <c r="AV178" s="714"/>
      <c r="AW178" s="714"/>
      <c r="AX178" s="714"/>
      <c r="AY178" s="714"/>
      <c r="AZ178" s="714"/>
      <c r="BA178" s="714"/>
      <c r="BB178" s="714"/>
      <c r="BC178" s="714"/>
      <c r="BD178" s="714"/>
      <c r="BE178" s="714"/>
      <c r="BF178" s="714"/>
      <c r="BG178" s="714"/>
      <c r="BH178" s="714"/>
      <c r="BI178" s="714"/>
      <c r="BJ178" s="714"/>
      <c r="BK178" s="714"/>
      <c r="BL178" s="714"/>
      <c r="BM178" s="714"/>
      <c r="BN178" s="714"/>
      <c r="BO178" s="714"/>
      <c r="BP178" s="714"/>
      <c r="BQ178" s="714"/>
      <c r="BR178" s="714"/>
      <c r="BS178" s="714"/>
      <c r="BT178" s="714"/>
      <c r="BU178" s="714"/>
      <c r="BV178" s="714"/>
      <c r="BW178" s="714"/>
      <c r="BX178" s="714"/>
      <c r="BY178" s="714"/>
      <c r="BZ178" s="714"/>
      <c r="CA178" s="714"/>
      <c r="CB178" s="714"/>
      <c r="CC178" s="714"/>
      <c r="CD178" s="714"/>
      <c r="CE178" s="714"/>
      <c r="CF178" s="714"/>
      <c r="CG178" s="714"/>
      <c r="CH178" s="714"/>
      <c r="CI178" s="714"/>
      <c r="CJ178" s="714"/>
      <c r="CK178" s="714"/>
      <c r="CL178" s="714"/>
      <c r="CM178" s="714"/>
      <c r="CN178" s="714"/>
      <c r="CO178" s="714"/>
      <c r="CP178" s="714"/>
      <c r="CQ178" s="714"/>
      <c r="CR178" s="714"/>
      <c r="CS178" s="714"/>
      <c r="CT178" s="714"/>
      <c r="CU178" s="714"/>
      <c r="CV178" s="714"/>
      <c r="CW178" s="714"/>
      <c r="CX178" s="714"/>
      <c r="CY178" s="714"/>
      <c r="CZ178" s="714"/>
      <c r="DA178" s="714"/>
      <c r="DB178" s="714"/>
      <c r="DC178" s="714"/>
      <c r="DD178" s="714"/>
      <c r="DE178" s="714"/>
      <c r="DF178" s="714"/>
      <c r="DG178" s="714"/>
      <c r="DH178" s="714"/>
      <c r="DI178" s="714"/>
      <c r="DJ178" s="714"/>
      <c r="DK178" s="714"/>
      <c r="DL178" s="714"/>
      <c r="DM178" s="714"/>
      <c r="DN178" s="714"/>
      <c r="DO178" s="714"/>
      <c r="DP178" s="714"/>
      <c r="DQ178" s="714"/>
      <c r="DR178" s="714"/>
      <c r="DS178" s="714"/>
      <c r="DT178" s="714"/>
      <c r="DU178" s="714"/>
      <c r="DV178" s="714"/>
      <c r="DW178" s="714"/>
      <c r="DX178" s="714"/>
      <c r="DY178" s="714"/>
      <c r="DZ178" s="714"/>
      <c r="EA178" s="714"/>
      <c r="EB178" s="714"/>
      <c r="EC178" s="714"/>
      <c r="ED178" s="714"/>
      <c r="EE178" s="714"/>
      <c r="EF178" s="714"/>
      <c r="EG178" s="714"/>
      <c r="EH178" s="714"/>
      <c r="EI178" s="714"/>
      <c r="EJ178" s="714"/>
      <c r="EK178" s="714"/>
      <c r="EL178" s="714"/>
      <c r="EM178" s="714"/>
      <c r="EN178" s="714"/>
      <c r="EO178" s="714"/>
      <c r="EP178" s="714"/>
      <c r="EQ178" s="714"/>
      <c r="ER178" s="714"/>
      <c r="ES178" s="714"/>
      <c r="ET178" s="714"/>
      <c r="EU178" s="714"/>
      <c r="EV178" s="714"/>
      <c r="EW178" s="714"/>
      <c r="EX178" s="714"/>
      <c r="EY178" s="714"/>
      <c r="EZ178" s="714"/>
      <c r="FA178" s="714"/>
      <c r="FB178" s="714"/>
      <c r="FC178" s="714"/>
      <c r="FD178" s="714"/>
      <c r="FE178" s="714"/>
      <c r="FF178" s="714"/>
      <c r="FG178" s="714"/>
      <c r="FH178" s="714"/>
      <c r="FI178" s="714"/>
      <c r="FJ178" s="714"/>
      <c r="FK178" s="714"/>
      <c r="FL178" s="714"/>
      <c r="FM178" s="714"/>
      <c r="FN178" s="714"/>
      <c r="FO178" s="714"/>
      <c r="FP178" s="714"/>
      <c r="FQ178" s="714"/>
      <c r="FR178" s="714"/>
      <c r="FS178" s="714"/>
      <c r="FT178" s="714"/>
      <c r="FU178" s="714"/>
      <c r="FV178" s="714"/>
      <c r="FW178" s="714"/>
      <c r="FX178" s="714"/>
      <c r="FY178" s="714"/>
      <c r="FZ178" s="714"/>
      <c r="GA178" s="714"/>
      <c r="GB178" s="714"/>
      <c r="GC178" s="714"/>
      <c r="GD178" s="714"/>
      <c r="GE178" s="714"/>
      <c r="GF178" s="714"/>
      <c r="GG178" s="714"/>
      <c r="GH178" s="714"/>
      <c r="GI178" s="714"/>
      <c r="GJ178" s="714"/>
      <c r="GK178" s="714"/>
      <c r="GL178" s="714"/>
      <c r="GM178" s="714"/>
      <c r="GN178" s="714"/>
      <c r="GO178" s="714"/>
      <c r="GP178" s="714"/>
      <c r="GQ178" s="714"/>
      <c r="GR178" s="714"/>
      <c r="GS178" s="714"/>
      <c r="GT178" s="714"/>
      <c r="GU178" s="714"/>
      <c r="GV178" s="714"/>
      <c r="GW178" s="714"/>
      <c r="GX178" s="714"/>
      <c r="GY178" s="714"/>
      <c r="GZ178" s="714"/>
      <c r="HA178" s="714"/>
      <c r="HB178" s="714"/>
      <c r="HC178" s="714"/>
      <c r="HD178" s="714"/>
      <c r="HE178" s="714"/>
      <c r="HF178" s="714"/>
      <c r="HG178" s="714"/>
      <c r="HH178" s="714"/>
      <c r="HI178" s="714"/>
      <c r="HJ178" s="714"/>
      <c r="HK178" s="714"/>
      <c r="HL178" s="714"/>
      <c r="HM178" s="714"/>
      <c r="HN178" s="714"/>
      <c r="HO178" s="714"/>
      <c r="HP178" s="714"/>
      <c r="HQ178" s="714"/>
      <c r="HR178" s="714"/>
      <c r="HS178" s="714"/>
      <c r="HT178" s="714"/>
      <c r="HU178" s="714"/>
      <c r="HV178" s="714"/>
      <c r="HW178" s="714"/>
      <c r="HX178" s="714"/>
      <c r="HY178" s="714"/>
      <c r="HZ178" s="714"/>
      <c r="IA178" s="714"/>
      <c r="IB178" s="714"/>
      <c r="IC178" s="714"/>
      <c r="ID178" s="714"/>
      <c r="IE178" s="714"/>
      <c r="IF178" s="714"/>
      <c r="IG178" s="714"/>
      <c r="IH178" s="714"/>
    </row>
    <row r="179" hidden="1" outlineLevel="1">
      <c r="A179" s="598"/>
      <c r="B179" s="598"/>
      <c r="C179" s="598"/>
      <c r="D179" s="598"/>
      <c r="E179" s="598"/>
      <c r="F179" s="598"/>
      <c r="G179" s="598"/>
      <c r="H179" s="598"/>
      <c r="I179" s="598"/>
      <c r="J179" s="598"/>
      <c r="K179" s="598"/>
      <c r="L179" s="598"/>
      <c r="M179" s="598"/>
      <c r="N179" s="598"/>
      <c r="O179" s="598"/>
      <c r="P179" s="598"/>
      <c r="Q179" s="598"/>
      <c r="R179" s="598"/>
      <c r="S179" s="598"/>
      <c r="T179" s="598"/>
      <c r="U179" s="598"/>
      <c r="V179" s="598"/>
      <c r="W179" s="598"/>
      <c r="X179" s="598"/>
      <c r="Y179" s="598"/>
      <c r="Z179" s="598"/>
      <c r="AA179" s="911"/>
      <c r="AB179" s="1000"/>
      <c r="AC179" s="714" t="str">
        <f>IFERROR(__xludf.DUMMYFUNCTION("""COMPUTED_VALUE"""),"Super Tower Mastery")</f>
        <v>Super Tower Mastery</v>
      </c>
      <c r="AD179" s="825" t="s">
        <v>367</v>
      </c>
      <c r="AE179" s="714">
        <v>0.0</v>
      </c>
      <c r="AF179" s="714"/>
      <c r="AG179" s="714">
        <v>9.0</v>
      </c>
      <c r="AH179" s="1005" t="str">
        <f t="shared" si="21"/>
        <v/>
      </c>
      <c r="AI179" s="714"/>
      <c r="AJ179" s="714"/>
      <c r="AK179" s="714"/>
      <c r="AL179" s="714"/>
      <c r="AM179" s="714"/>
      <c r="AN179" s="714"/>
      <c r="AO179" s="714"/>
      <c r="AP179" s="714"/>
      <c r="AQ179" s="714"/>
      <c r="AR179" s="714"/>
      <c r="AS179" s="714"/>
      <c r="AT179" s="714"/>
      <c r="AU179" s="714"/>
      <c r="AV179" s="714"/>
      <c r="AW179" s="714"/>
      <c r="AX179" s="714"/>
      <c r="AY179" s="714"/>
      <c r="AZ179" s="714"/>
      <c r="BA179" s="714"/>
      <c r="BB179" s="714"/>
      <c r="BC179" s="714"/>
      <c r="BD179" s="714"/>
      <c r="BE179" s="714"/>
      <c r="BF179" s="714"/>
      <c r="BG179" s="714"/>
      <c r="BH179" s="714"/>
      <c r="BI179" s="714"/>
      <c r="BJ179" s="714"/>
      <c r="BK179" s="714"/>
      <c r="BL179" s="714"/>
      <c r="BM179" s="714"/>
      <c r="BN179" s="714"/>
      <c r="BO179" s="714"/>
      <c r="BP179" s="714"/>
      <c r="BQ179" s="714"/>
      <c r="BR179" s="714"/>
      <c r="BS179" s="714"/>
      <c r="BT179" s="714"/>
      <c r="BU179" s="714"/>
      <c r="BV179" s="714"/>
      <c r="BW179" s="714"/>
      <c r="BX179" s="714"/>
      <c r="BY179" s="714"/>
      <c r="BZ179" s="714"/>
      <c r="CA179" s="714"/>
      <c r="CB179" s="714"/>
      <c r="CC179" s="714"/>
      <c r="CD179" s="714"/>
      <c r="CE179" s="714"/>
      <c r="CF179" s="714"/>
      <c r="CG179" s="714"/>
      <c r="CH179" s="714"/>
      <c r="CI179" s="714"/>
      <c r="CJ179" s="714"/>
      <c r="CK179" s="714"/>
      <c r="CL179" s="714"/>
      <c r="CM179" s="714"/>
      <c r="CN179" s="714"/>
      <c r="CO179" s="714"/>
      <c r="CP179" s="714"/>
      <c r="CQ179" s="714"/>
      <c r="CR179" s="714"/>
      <c r="CS179" s="714"/>
      <c r="CT179" s="714"/>
      <c r="CU179" s="714"/>
      <c r="CV179" s="714"/>
      <c r="CW179" s="714"/>
      <c r="CX179" s="714"/>
      <c r="CY179" s="714"/>
      <c r="CZ179" s="714"/>
      <c r="DA179" s="714"/>
      <c r="DB179" s="714"/>
      <c r="DC179" s="714"/>
      <c r="DD179" s="714"/>
      <c r="DE179" s="714"/>
      <c r="DF179" s="714"/>
      <c r="DG179" s="714"/>
      <c r="DH179" s="714"/>
      <c r="DI179" s="714"/>
      <c r="DJ179" s="714"/>
      <c r="DK179" s="714"/>
      <c r="DL179" s="714"/>
      <c r="DM179" s="714"/>
      <c r="DN179" s="714"/>
      <c r="DO179" s="714"/>
      <c r="DP179" s="714"/>
      <c r="DQ179" s="714"/>
      <c r="DR179" s="714"/>
      <c r="DS179" s="714"/>
      <c r="DT179" s="714"/>
      <c r="DU179" s="714"/>
      <c r="DV179" s="714"/>
      <c r="DW179" s="714"/>
      <c r="DX179" s="714"/>
      <c r="DY179" s="714"/>
      <c r="DZ179" s="714"/>
      <c r="EA179" s="714"/>
      <c r="EB179" s="714"/>
      <c r="EC179" s="714"/>
      <c r="ED179" s="714"/>
      <c r="EE179" s="714"/>
      <c r="EF179" s="714"/>
      <c r="EG179" s="714"/>
      <c r="EH179" s="714"/>
      <c r="EI179" s="714"/>
      <c r="EJ179" s="714"/>
      <c r="EK179" s="714"/>
      <c r="EL179" s="714"/>
      <c r="EM179" s="714"/>
      <c r="EN179" s="714"/>
      <c r="EO179" s="714"/>
      <c r="EP179" s="714"/>
      <c r="EQ179" s="714"/>
      <c r="ER179" s="714"/>
      <c r="ES179" s="714"/>
      <c r="ET179" s="714"/>
      <c r="EU179" s="714"/>
      <c r="EV179" s="714"/>
      <c r="EW179" s="714"/>
      <c r="EX179" s="714"/>
      <c r="EY179" s="714"/>
      <c r="EZ179" s="714"/>
      <c r="FA179" s="714"/>
      <c r="FB179" s="714"/>
      <c r="FC179" s="714"/>
      <c r="FD179" s="714"/>
      <c r="FE179" s="714"/>
      <c r="FF179" s="714"/>
      <c r="FG179" s="714"/>
      <c r="FH179" s="714"/>
      <c r="FI179" s="714"/>
      <c r="FJ179" s="714"/>
      <c r="FK179" s="714"/>
      <c r="FL179" s="714"/>
      <c r="FM179" s="714"/>
      <c r="FN179" s="714"/>
      <c r="FO179" s="714"/>
      <c r="FP179" s="714"/>
      <c r="FQ179" s="714"/>
      <c r="FR179" s="714"/>
      <c r="FS179" s="714"/>
      <c r="FT179" s="714"/>
      <c r="FU179" s="714"/>
      <c r="FV179" s="714"/>
      <c r="FW179" s="714"/>
      <c r="FX179" s="714"/>
      <c r="FY179" s="714"/>
      <c r="FZ179" s="714"/>
      <c r="GA179" s="714"/>
      <c r="GB179" s="714"/>
      <c r="GC179" s="714"/>
      <c r="GD179" s="714"/>
      <c r="GE179" s="714"/>
      <c r="GF179" s="714"/>
      <c r="GG179" s="714"/>
      <c r="GH179" s="714"/>
      <c r="GI179" s="714"/>
      <c r="GJ179" s="714"/>
      <c r="GK179" s="714"/>
      <c r="GL179" s="714"/>
      <c r="GM179" s="714"/>
      <c r="GN179" s="714"/>
      <c r="GO179" s="714"/>
      <c r="GP179" s="714"/>
      <c r="GQ179" s="714"/>
      <c r="GR179" s="714"/>
      <c r="GS179" s="714"/>
      <c r="GT179" s="714"/>
      <c r="GU179" s="714"/>
      <c r="GV179" s="714"/>
      <c r="GW179" s="714"/>
      <c r="GX179" s="714"/>
      <c r="GY179" s="714"/>
      <c r="GZ179" s="714"/>
      <c r="HA179" s="714"/>
      <c r="HB179" s="714"/>
      <c r="HC179" s="714"/>
      <c r="HD179" s="714"/>
      <c r="HE179" s="714"/>
      <c r="HF179" s="714"/>
      <c r="HG179" s="714"/>
      <c r="HH179" s="714"/>
      <c r="HI179" s="714"/>
      <c r="HJ179" s="714"/>
      <c r="HK179" s="714"/>
      <c r="HL179" s="714"/>
      <c r="HM179" s="714"/>
      <c r="HN179" s="714"/>
      <c r="HO179" s="714"/>
      <c r="HP179" s="714"/>
      <c r="HQ179" s="714"/>
      <c r="HR179" s="714"/>
      <c r="HS179" s="714"/>
      <c r="HT179" s="714"/>
      <c r="HU179" s="714"/>
      <c r="HV179" s="714"/>
      <c r="HW179" s="714"/>
      <c r="HX179" s="714"/>
      <c r="HY179" s="714"/>
      <c r="HZ179" s="714"/>
      <c r="IA179" s="714"/>
      <c r="IB179" s="714"/>
      <c r="IC179" s="714"/>
      <c r="ID179" s="714"/>
      <c r="IE179" s="714"/>
      <c r="IF179" s="714"/>
      <c r="IG179" s="714"/>
      <c r="IH179" s="714"/>
    </row>
    <row r="180" hidden="1" outlineLevel="1">
      <c r="A180" s="598"/>
      <c r="B180" s="598"/>
      <c r="C180" s="598"/>
      <c r="D180" s="598"/>
      <c r="E180" s="598"/>
      <c r="F180" s="598"/>
      <c r="G180" s="598"/>
      <c r="H180" s="598"/>
      <c r="I180" s="598"/>
      <c r="J180" s="598"/>
      <c r="K180" s="598"/>
      <c r="L180" s="598"/>
      <c r="M180" s="598"/>
      <c r="N180" s="598"/>
      <c r="O180" s="598"/>
      <c r="P180" s="598"/>
      <c r="Q180" s="598"/>
      <c r="R180" s="598"/>
      <c r="S180" s="598"/>
      <c r="T180" s="598"/>
      <c r="U180" s="598"/>
      <c r="V180" s="598"/>
      <c r="W180" s="598"/>
      <c r="X180" s="598"/>
      <c r="Y180" s="598"/>
      <c r="Z180" s="598"/>
      <c r="AA180" s="911"/>
      <c r="AB180" s="1000"/>
      <c r="AC180" s="714" t="str">
        <f>IFERROR(__xludf.DUMMYFUNCTION("""COMPUTED_VALUE"""),"Swamp Radius")</f>
        <v>Swamp Radius</v>
      </c>
      <c r="AD180" s="825" t="s">
        <v>242</v>
      </c>
      <c r="AE180" s="714">
        <v>0.0</v>
      </c>
      <c r="AF180" s="714"/>
      <c r="AG180" s="714">
        <v>30.0</v>
      </c>
      <c r="AH180" s="1005" t="str">
        <f t="shared" si="21"/>
        <v/>
      </c>
      <c r="AI180" s="714"/>
      <c r="AJ180" s="714"/>
      <c r="AK180" s="714"/>
      <c r="AL180" s="714"/>
      <c r="AM180" s="714"/>
      <c r="AN180" s="714"/>
      <c r="AO180" s="714"/>
      <c r="AP180" s="714"/>
      <c r="AQ180" s="714"/>
      <c r="AR180" s="714"/>
      <c r="AS180" s="714"/>
      <c r="AT180" s="714"/>
      <c r="AU180" s="714"/>
      <c r="AV180" s="714"/>
      <c r="AW180" s="714"/>
      <c r="AX180" s="714"/>
      <c r="AY180" s="714"/>
      <c r="AZ180" s="714"/>
      <c r="BA180" s="714"/>
      <c r="BB180" s="714"/>
      <c r="BC180" s="714"/>
      <c r="BD180" s="714"/>
      <c r="BE180" s="714"/>
      <c r="BF180" s="714"/>
      <c r="BG180" s="714"/>
      <c r="BH180" s="714"/>
      <c r="BI180" s="714"/>
      <c r="BJ180" s="714"/>
      <c r="BK180" s="714"/>
      <c r="BL180" s="714"/>
      <c r="BM180" s="714"/>
      <c r="BN180" s="714"/>
      <c r="BO180" s="714"/>
      <c r="BP180" s="714"/>
      <c r="BQ180" s="714"/>
      <c r="BR180" s="714"/>
      <c r="BS180" s="714"/>
      <c r="BT180" s="714"/>
      <c r="BU180" s="714"/>
      <c r="BV180" s="714"/>
      <c r="BW180" s="714"/>
      <c r="BX180" s="714"/>
      <c r="BY180" s="714"/>
      <c r="BZ180" s="714"/>
      <c r="CA180" s="714"/>
      <c r="CB180" s="714"/>
      <c r="CC180" s="714"/>
      <c r="CD180" s="714"/>
      <c r="CE180" s="714"/>
      <c r="CF180" s="714"/>
      <c r="CG180" s="714"/>
      <c r="CH180" s="714"/>
      <c r="CI180" s="714"/>
      <c r="CJ180" s="714"/>
      <c r="CK180" s="714"/>
      <c r="CL180" s="714"/>
      <c r="CM180" s="714"/>
      <c r="CN180" s="714"/>
      <c r="CO180" s="714"/>
      <c r="CP180" s="714"/>
      <c r="CQ180" s="714"/>
      <c r="CR180" s="714"/>
      <c r="CS180" s="714"/>
      <c r="CT180" s="714"/>
      <c r="CU180" s="714"/>
      <c r="CV180" s="714"/>
      <c r="CW180" s="714"/>
      <c r="CX180" s="714"/>
      <c r="CY180" s="714"/>
      <c r="CZ180" s="714"/>
      <c r="DA180" s="714"/>
      <c r="DB180" s="714"/>
      <c r="DC180" s="714"/>
      <c r="DD180" s="714"/>
      <c r="DE180" s="714"/>
      <c r="DF180" s="714"/>
      <c r="DG180" s="714"/>
      <c r="DH180" s="714"/>
      <c r="DI180" s="714"/>
      <c r="DJ180" s="714"/>
      <c r="DK180" s="714"/>
      <c r="DL180" s="714"/>
      <c r="DM180" s="714"/>
      <c r="DN180" s="714"/>
      <c r="DO180" s="714"/>
      <c r="DP180" s="714"/>
      <c r="DQ180" s="714"/>
      <c r="DR180" s="714"/>
      <c r="DS180" s="714"/>
      <c r="DT180" s="714"/>
      <c r="DU180" s="714"/>
      <c r="DV180" s="714"/>
      <c r="DW180" s="714"/>
      <c r="DX180" s="714"/>
      <c r="DY180" s="714"/>
      <c r="DZ180" s="714"/>
      <c r="EA180" s="714"/>
      <c r="EB180" s="714"/>
      <c r="EC180" s="714"/>
      <c r="ED180" s="714"/>
      <c r="EE180" s="714"/>
      <c r="EF180" s="714"/>
      <c r="EG180" s="714"/>
      <c r="EH180" s="714"/>
      <c r="EI180" s="714"/>
      <c r="EJ180" s="714"/>
      <c r="EK180" s="714"/>
      <c r="EL180" s="714"/>
      <c r="EM180" s="714"/>
      <c r="EN180" s="714"/>
      <c r="EO180" s="714"/>
      <c r="EP180" s="714"/>
      <c r="EQ180" s="714"/>
      <c r="ER180" s="714"/>
      <c r="ES180" s="714"/>
      <c r="ET180" s="714"/>
      <c r="EU180" s="714"/>
      <c r="EV180" s="714"/>
      <c r="EW180" s="714"/>
      <c r="EX180" s="714"/>
      <c r="EY180" s="714"/>
      <c r="EZ180" s="714"/>
      <c r="FA180" s="714"/>
      <c r="FB180" s="714"/>
      <c r="FC180" s="714"/>
      <c r="FD180" s="714"/>
      <c r="FE180" s="714"/>
      <c r="FF180" s="714"/>
      <c r="FG180" s="714"/>
      <c r="FH180" s="714"/>
      <c r="FI180" s="714"/>
      <c r="FJ180" s="714"/>
      <c r="FK180" s="714"/>
      <c r="FL180" s="714"/>
      <c r="FM180" s="714"/>
      <c r="FN180" s="714"/>
      <c r="FO180" s="714"/>
      <c r="FP180" s="714"/>
      <c r="FQ180" s="714"/>
      <c r="FR180" s="714"/>
      <c r="FS180" s="714"/>
      <c r="FT180" s="714"/>
      <c r="FU180" s="714"/>
      <c r="FV180" s="714"/>
      <c r="FW180" s="714"/>
      <c r="FX180" s="714"/>
      <c r="FY180" s="714"/>
      <c r="FZ180" s="714"/>
      <c r="GA180" s="714"/>
      <c r="GB180" s="714"/>
      <c r="GC180" s="714"/>
      <c r="GD180" s="714"/>
      <c r="GE180" s="714"/>
      <c r="GF180" s="714"/>
      <c r="GG180" s="714"/>
      <c r="GH180" s="714"/>
      <c r="GI180" s="714"/>
      <c r="GJ180" s="714"/>
      <c r="GK180" s="714"/>
      <c r="GL180" s="714"/>
      <c r="GM180" s="714"/>
      <c r="GN180" s="714"/>
      <c r="GO180" s="714"/>
      <c r="GP180" s="714"/>
      <c r="GQ180" s="714"/>
      <c r="GR180" s="714"/>
      <c r="GS180" s="714"/>
      <c r="GT180" s="714"/>
      <c r="GU180" s="714"/>
      <c r="GV180" s="714"/>
      <c r="GW180" s="714"/>
      <c r="GX180" s="714"/>
      <c r="GY180" s="714"/>
      <c r="GZ180" s="714"/>
      <c r="HA180" s="714"/>
      <c r="HB180" s="714"/>
      <c r="HC180" s="714"/>
      <c r="HD180" s="714"/>
      <c r="HE180" s="714"/>
      <c r="HF180" s="714"/>
      <c r="HG180" s="714"/>
      <c r="HH180" s="714"/>
      <c r="HI180" s="714"/>
      <c r="HJ180" s="714"/>
      <c r="HK180" s="714"/>
      <c r="HL180" s="714"/>
      <c r="HM180" s="714"/>
      <c r="HN180" s="714"/>
      <c r="HO180" s="714"/>
      <c r="HP180" s="714"/>
      <c r="HQ180" s="714"/>
      <c r="HR180" s="714"/>
      <c r="HS180" s="714"/>
      <c r="HT180" s="714"/>
      <c r="HU180" s="714"/>
      <c r="HV180" s="714"/>
      <c r="HW180" s="714"/>
      <c r="HX180" s="714"/>
      <c r="HY180" s="714"/>
      <c r="HZ180" s="714"/>
      <c r="IA180" s="714"/>
      <c r="IB180" s="714"/>
      <c r="IC180" s="714"/>
      <c r="ID180" s="714"/>
      <c r="IE180" s="714"/>
      <c r="IF180" s="714"/>
      <c r="IG180" s="714"/>
      <c r="IH180" s="714"/>
    </row>
    <row r="181" hidden="1" outlineLevel="1">
      <c r="A181" s="598"/>
      <c r="B181" s="598"/>
      <c r="C181" s="598"/>
      <c r="D181" s="598"/>
      <c r="E181" s="598"/>
      <c r="F181" s="598"/>
      <c r="G181" s="598"/>
      <c r="H181" s="598"/>
      <c r="I181" s="598"/>
      <c r="J181" s="598"/>
      <c r="K181" s="598"/>
      <c r="L181" s="598"/>
      <c r="M181" s="598"/>
      <c r="N181" s="598"/>
      <c r="O181" s="598"/>
      <c r="P181" s="598"/>
      <c r="Q181" s="598"/>
      <c r="R181" s="598"/>
      <c r="S181" s="598"/>
      <c r="T181" s="598"/>
      <c r="U181" s="598"/>
      <c r="V181" s="598"/>
      <c r="W181" s="598"/>
      <c r="X181" s="598"/>
      <c r="Y181" s="598"/>
      <c r="Z181" s="598"/>
      <c r="AA181" s="911"/>
      <c r="AB181" s="1000"/>
      <c r="AC181" s="714" t="str">
        <f>IFERROR(__xludf.DUMMYFUNCTION("""COMPUTED_VALUE"""),"Swamp Rend")</f>
        <v>Swamp Rend</v>
      </c>
      <c r="AD181" s="825" t="s">
        <v>366</v>
      </c>
      <c r="AE181" s="714">
        <v>0.0</v>
      </c>
      <c r="AF181" s="714"/>
      <c r="AG181" s="714">
        <v>30.0</v>
      </c>
      <c r="AH181" s="1005" t="str">
        <f t="shared" si="21"/>
        <v/>
      </c>
      <c r="AI181" s="714"/>
      <c r="AJ181" s="714"/>
      <c r="AK181" s="714"/>
      <c r="AL181" s="714"/>
      <c r="AM181" s="714"/>
      <c r="AN181" s="714"/>
      <c r="AO181" s="714"/>
      <c r="AP181" s="714"/>
      <c r="AQ181" s="714"/>
      <c r="AR181" s="714"/>
      <c r="AS181" s="714"/>
      <c r="AT181" s="714"/>
      <c r="AU181" s="714"/>
      <c r="AV181" s="714"/>
      <c r="AW181" s="714"/>
      <c r="AX181" s="714"/>
      <c r="AY181" s="714"/>
      <c r="AZ181" s="714"/>
      <c r="BA181" s="714"/>
      <c r="BB181" s="714"/>
      <c r="BC181" s="714"/>
      <c r="BD181" s="714"/>
      <c r="BE181" s="714"/>
      <c r="BF181" s="714"/>
      <c r="BG181" s="714"/>
      <c r="BH181" s="714"/>
      <c r="BI181" s="714"/>
      <c r="BJ181" s="714"/>
      <c r="BK181" s="714"/>
      <c r="BL181" s="714"/>
      <c r="BM181" s="714"/>
      <c r="BN181" s="714"/>
      <c r="BO181" s="714"/>
      <c r="BP181" s="714"/>
      <c r="BQ181" s="714"/>
      <c r="BR181" s="714"/>
      <c r="BS181" s="714"/>
      <c r="BT181" s="714"/>
      <c r="BU181" s="714"/>
      <c r="BV181" s="714"/>
      <c r="BW181" s="714"/>
      <c r="BX181" s="714"/>
      <c r="BY181" s="714"/>
      <c r="BZ181" s="714"/>
      <c r="CA181" s="714"/>
      <c r="CB181" s="714"/>
      <c r="CC181" s="714"/>
      <c r="CD181" s="714"/>
      <c r="CE181" s="714"/>
      <c r="CF181" s="714"/>
      <c r="CG181" s="714"/>
      <c r="CH181" s="714"/>
      <c r="CI181" s="714"/>
      <c r="CJ181" s="714"/>
      <c r="CK181" s="714"/>
      <c r="CL181" s="714"/>
      <c r="CM181" s="714"/>
      <c r="CN181" s="714"/>
      <c r="CO181" s="714"/>
      <c r="CP181" s="714"/>
      <c r="CQ181" s="714"/>
      <c r="CR181" s="714"/>
      <c r="CS181" s="714"/>
      <c r="CT181" s="714"/>
      <c r="CU181" s="714"/>
      <c r="CV181" s="714"/>
      <c r="CW181" s="714"/>
      <c r="CX181" s="714"/>
      <c r="CY181" s="714"/>
      <c r="CZ181" s="714"/>
      <c r="DA181" s="714"/>
      <c r="DB181" s="714"/>
      <c r="DC181" s="714"/>
      <c r="DD181" s="714"/>
      <c r="DE181" s="714"/>
      <c r="DF181" s="714"/>
      <c r="DG181" s="714"/>
      <c r="DH181" s="714"/>
      <c r="DI181" s="714"/>
      <c r="DJ181" s="714"/>
      <c r="DK181" s="714"/>
      <c r="DL181" s="714"/>
      <c r="DM181" s="714"/>
      <c r="DN181" s="714"/>
      <c r="DO181" s="714"/>
      <c r="DP181" s="714"/>
      <c r="DQ181" s="714"/>
      <c r="DR181" s="714"/>
      <c r="DS181" s="714"/>
      <c r="DT181" s="714"/>
      <c r="DU181" s="714"/>
      <c r="DV181" s="714"/>
      <c r="DW181" s="714"/>
      <c r="DX181" s="714"/>
      <c r="DY181" s="714"/>
      <c r="DZ181" s="714"/>
      <c r="EA181" s="714"/>
      <c r="EB181" s="714"/>
      <c r="EC181" s="714"/>
      <c r="ED181" s="714"/>
      <c r="EE181" s="714"/>
      <c r="EF181" s="714"/>
      <c r="EG181" s="714"/>
      <c r="EH181" s="714"/>
      <c r="EI181" s="714"/>
      <c r="EJ181" s="714"/>
      <c r="EK181" s="714"/>
      <c r="EL181" s="714"/>
      <c r="EM181" s="714"/>
      <c r="EN181" s="714"/>
      <c r="EO181" s="714"/>
      <c r="EP181" s="714"/>
      <c r="EQ181" s="714"/>
      <c r="ER181" s="714"/>
      <c r="ES181" s="714"/>
      <c r="ET181" s="714"/>
      <c r="EU181" s="714"/>
      <c r="EV181" s="714"/>
      <c r="EW181" s="714"/>
      <c r="EX181" s="714"/>
      <c r="EY181" s="714"/>
      <c r="EZ181" s="714"/>
      <c r="FA181" s="714"/>
      <c r="FB181" s="714"/>
      <c r="FC181" s="714"/>
      <c r="FD181" s="714"/>
      <c r="FE181" s="714"/>
      <c r="FF181" s="714"/>
      <c r="FG181" s="714"/>
      <c r="FH181" s="714"/>
      <c r="FI181" s="714"/>
      <c r="FJ181" s="714"/>
      <c r="FK181" s="714"/>
      <c r="FL181" s="714"/>
      <c r="FM181" s="714"/>
      <c r="FN181" s="714"/>
      <c r="FO181" s="714"/>
      <c r="FP181" s="714"/>
      <c r="FQ181" s="714"/>
      <c r="FR181" s="714"/>
      <c r="FS181" s="714"/>
      <c r="FT181" s="714"/>
      <c r="FU181" s="714"/>
      <c r="FV181" s="714"/>
      <c r="FW181" s="714"/>
      <c r="FX181" s="714"/>
      <c r="FY181" s="714"/>
      <c r="FZ181" s="714"/>
      <c r="GA181" s="714"/>
      <c r="GB181" s="714"/>
      <c r="GC181" s="714"/>
      <c r="GD181" s="714"/>
      <c r="GE181" s="714"/>
      <c r="GF181" s="714"/>
      <c r="GG181" s="714"/>
      <c r="GH181" s="714"/>
      <c r="GI181" s="714"/>
      <c r="GJ181" s="714"/>
      <c r="GK181" s="714"/>
      <c r="GL181" s="714"/>
      <c r="GM181" s="714"/>
      <c r="GN181" s="714"/>
      <c r="GO181" s="714"/>
      <c r="GP181" s="714"/>
      <c r="GQ181" s="714"/>
      <c r="GR181" s="714"/>
      <c r="GS181" s="714"/>
      <c r="GT181" s="714"/>
      <c r="GU181" s="714"/>
      <c r="GV181" s="714"/>
      <c r="GW181" s="714"/>
      <c r="GX181" s="714"/>
      <c r="GY181" s="714"/>
      <c r="GZ181" s="714"/>
      <c r="HA181" s="714"/>
      <c r="HB181" s="714"/>
      <c r="HC181" s="714"/>
      <c r="HD181" s="714"/>
      <c r="HE181" s="714"/>
      <c r="HF181" s="714"/>
      <c r="HG181" s="714"/>
      <c r="HH181" s="714"/>
      <c r="HI181" s="714"/>
      <c r="HJ181" s="714"/>
      <c r="HK181" s="714"/>
      <c r="HL181" s="714"/>
      <c r="HM181" s="714"/>
      <c r="HN181" s="714"/>
      <c r="HO181" s="714"/>
      <c r="HP181" s="714"/>
      <c r="HQ181" s="714"/>
      <c r="HR181" s="714"/>
      <c r="HS181" s="714"/>
      <c r="HT181" s="714"/>
      <c r="HU181" s="714"/>
      <c r="HV181" s="714"/>
      <c r="HW181" s="714"/>
      <c r="HX181" s="714"/>
      <c r="HY181" s="714"/>
      <c r="HZ181" s="714"/>
      <c r="IA181" s="714"/>
      <c r="IB181" s="714"/>
      <c r="IC181" s="714"/>
      <c r="ID181" s="714"/>
      <c r="IE181" s="714"/>
      <c r="IF181" s="714"/>
      <c r="IG181" s="714"/>
      <c r="IH181" s="714"/>
    </row>
    <row r="182" hidden="1" outlineLevel="1">
      <c r="A182" s="598"/>
      <c r="B182" s="598"/>
      <c r="C182" s="598"/>
      <c r="D182" s="598"/>
      <c r="E182" s="598"/>
      <c r="F182" s="598"/>
      <c r="G182" s="598"/>
      <c r="H182" s="598"/>
      <c r="I182" s="598"/>
      <c r="J182" s="598"/>
      <c r="K182" s="598"/>
      <c r="L182" s="598"/>
      <c r="M182" s="598"/>
      <c r="N182" s="598"/>
      <c r="O182" s="598"/>
      <c r="P182" s="598"/>
      <c r="Q182" s="598"/>
      <c r="R182" s="598"/>
      <c r="S182" s="598"/>
      <c r="T182" s="598"/>
      <c r="U182" s="598"/>
      <c r="V182" s="598"/>
      <c r="W182" s="598"/>
      <c r="X182" s="598"/>
      <c r="Y182" s="598"/>
      <c r="Z182" s="598"/>
      <c r="AA182" s="911"/>
      <c r="AB182" s="1000"/>
      <c r="AC182" s="714" t="str">
        <f>IFERROR(__xludf.DUMMYFUNCTION("""COMPUTED_VALUE"""),"Swamp Rend - Additional Enemies")</f>
        <v>Swamp Rend - Additional Enemies</v>
      </c>
      <c r="AD182" s="825" t="s">
        <v>368</v>
      </c>
      <c r="AE182" s="714">
        <v>0.0</v>
      </c>
      <c r="AF182" s="714"/>
      <c r="AG182" s="714">
        <v>6.0</v>
      </c>
      <c r="AH182" s="1005" t="str">
        <f t="shared" si="21"/>
        <v/>
      </c>
      <c r="AI182" s="714"/>
      <c r="AJ182" s="714"/>
      <c r="AK182" s="714"/>
      <c r="AL182" s="714"/>
      <c r="AM182" s="714"/>
      <c r="AN182" s="714"/>
      <c r="AO182" s="714"/>
      <c r="AP182" s="714"/>
      <c r="AQ182" s="714"/>
      <c r="AR182" s="714"/>
      <c r="AS182" s="714"/>
      <c r="AT182" s="714"/>
      <c r="AU182" s="714"/>
      <c r="AV182" s="714"/>
      <c r="AW182" s="714"/>
      <c r="AX182" s="714"/>
      <c r="AY182" s="714"/>
      <c r="AZ182" s="714"/>
      <c r="BA182" s="714"/>
      <c r="BB182" s="714"/>
      <c r="BC182" s="714"/>
      <c r="BD182" s="714"/>
      <c r="BE182" s="714"/>
      <c r="BF182" s="714"/>
      <c r="BG182" s="714"/>
      <c r="BH182" s="714"/>
      <c r="BI182" s="714"/>
      <c r="BJ182" s="714"/>
      <c r="BK182" s="714"/>
      <c r="BL182" s="714"/>
      <c r="BM182" s="714"/>
      <c r="BN182" s="714"/>
      <c r="BO182" s="714"/>
      <c r="BP182" s="714"/>
      <c r="BQ182" s="714"/>
      <c r="BR182" s="714"/>
      <c r="BS182" s="714"/>
      <c r="BT182" s="714"/>
      <c r="BU182" s="714"/>
      <c r="BV182" s="714"/>
      <c r="BW182" s="714"/>
      <c r="BX182" s="714"/>
      <c r="BY182" s="714"/>
      <c r="BZ182" s="714"/>
      <c r="CA182" s="714"/>
      <c r="CB182" s="714"/>
      <c r="CC182" s="714"/>
      <c r="CD182" s="714"/>
      <c r="CE182" s="714"/>
      <c r="CF182" s="714"/>
      <c r="CG182" s="714"/>
      <c r="CH182" s="714"/>
      <c r="CI182" s="714"/>
      <c r="CJ182" s="714"/>
      <c r="CK182" s="714"/>
      <c r="CL182" s="714"/>
      <c r="CM182" s="714"/>
      <c r="CN182" s="714"/>
      <c r="CO182" s="714"/>
      <c r="CP182" s="714"/>
      <c r="CQ182" s="714"/>
      <c r="CR182" s="714"/>
      <c r="CS182" s="714"/>
      <c r="CT182" s="714"/>
      <c r="CU182" s="714"/>
      <c r="CV182" s="714"/>
      <c r="CW182" s="714"/>
      <c r="CX182" s="714"/>
      <c r="CY182" s="714"/>
      <c r="CZ182" s="714"/>
      <c r="DA182" s="714"/>
      <c r="DB182" s="714"/>
      <c r="DC182" s="714"/>
      <c r="DD182" s="714"/>
      <c r="DE182" s="714"/>
      <c r="DF182" s="714"/>
      <c r="DG182" s="714"/>
      <c r="DH182" s="714"/>
      <c r="DI182" s="714"/>
      <c r="DJ182" s="714"/>
      <c r="DK182" s="714"/>
      <c r="DL182" s="714"/>
      <c r="DM182" s="714"/>
      <c r="DN182" s="714"/>
      <c r="DO182" s="714"/>
      <c r="DP182" s="714"/>
      <c r="DQ182" s="714"/>
      <c r="DR182" s="714"/>
      <c r="DS182" s="714"/>
      <c r="DT182" s="714"/>
      <c r="DU182" s="714"/>
      <c r="DV182" s="714"/>
      <c r="DW182" s="714"/>
      <c r="DX182" s="714"/>
      <c r="DY182" s="714"/>
      <c r="DZ182" s="714"/>
      <c r="EA182" s="714"/>
      <c r="EB182" s="714"/>
      <c r="EC182" s="714"/>
      <c r="ED182" s="714"/>
      <c r="EE182" s="714"/>
      <c r="EF182" s="714"/>
      <c r="EG182" s="714"/>
      <c r="EH182" s="714"/>
      <c r="EI182" s="714"/>
      <c r="EJ182" s="714"/>
      <c r="EK182" s="714"/>
      <c r="EL182" s="714"/>
      <c r="EM182" s="714"/>
      <c r="EN182" s="714"/>
      <c r="EO182" s="714"/>
      <c r="EP182" s="714"/>
      <c r="EQ182" s="714"/>
      <c r="ER182" s="714"/>
      <c r="ES182" s="714"/>
      <c r="ET182" s="714"/>
      <c r="EU182" s="714"/>
      <c r="EV182" s="714"/>
      <c r="EW182" s="714"/>
      <c r="EX182" s="714"/>
      <c r="EY182" s="714"/>
      <c r="EZ182" s="714"/>
      <c r="FA182" s="714"/>
      <c r="FB182" s="714"/>
      <c r="FC182" s="714"/>
      <c r="FD182" s="714"/>
      <c r="FE182" s="714"/>
      <c r="FF182" s="714"/>
      <c r="FG182" s="714"/>
      <c r="FH182" s="714"/>
      <c r="FI182" s="714"/>
      <c r="FJ182" s="714"/>
      <c r="FK182" s="714"/>
      <c r="FL182" s="714"/>
      <c r="FM182" s="714"/>
      <c r="FN182" s="714"/>
      <c r="FO182" s="714"/>
      <c r="FP182" s="714"/>
      <c r="FQ182" s="714"/>
      <c r="FR182" s="714"/>
      <c r="FS182" s="714"/>
      <c r="FT182" s="714"/>
      <c r="FU182" s="714"/>
      <c r="FV182" s="714"/>
      <c r="FW182" s="714"/>
      <c r="FX182" s="714"/>
      <c r="FY182" s="714"/>
      <c r="FZ182" s="714"/>
      <c r="GA182" s="714"/>
      <c r="GB182" s="714"/>
      <c r="GC182" s="714"/>
      <c r="GD182" s="714"/>
      <c r="GE182" s="714"/>
      <c r="GF182" s="714"/>
      <c r="GG182" s="714"/>
      <c r="GH182" s="714"/>
      <c r="GI182" s="714"/>
      <c r="GJ182" s="714"/>
      <c r="GK182" s="714"/>
      <c r="GL182" s="714"/>
      <c r="GM182" s="714"/>
      <c r="GN182" s="714"/>
      <c r="GO182" s="714"/>
      <c r="GP182" s="714"/>
      <c r="GQ182" s="714"/>
      <c r="GR182" s="714"/>
      <c r="GS182" s="714"/>
      <c r="GT182" s="714"/>
      <c r="GU182" s="714"/>
      <c r="GV182" s="714"/>
      <c r="GW182" s="714"/>
      <c r="GX182" s="714"/>
      <c r="GY182" s="714"/>
      <c r="GZ182" s="714"/>
      <c r="HA182" s="714"/>
      <c r="HB182" s="714"/>
      <c r="HC182" s="714"/>
      <c r="HD182" s="714"/>
      <c r="HE182" s="714"/>
      <c r="HF182" s="714"/>
      <c r="HG182" s="714"/>
      <c r="HH182" s="714"/>
      <c r="HI182" s="714"/>
      <c r="HJ182" s="714"/>
      <c r="HK182" s="714"/>
      <c r="HL182" s="714"/>
      <c r="HM182" s="714"/>
      <c r="HN182" s="714"/>
      <c r="HO182" s="714"/>
      <c r="HP182" s="714"/>
      <c r="HQ182" s="714"/>
      <c r="HR182" s="714"/>
      <c r="HS182" s="714"/>
      <c r="HT182" s="714"/>
      <c r="HU182" s="714"/>
      <c r="HV182" s="714"/>
      <c r="HW182" s="714"/>
      <c r="HX182" s="714"/>
      <c r="HY182" s="714"/>
      <c r="HZ182" s="714"/>
      <c r="IA182" s="714"/>
      <c r="IB182" s="714"/>
      <c r="IC182" s="714"/>
      <c r="ID182" s="714"/>
      <c r="IE182" s="714"/>
      <c r="IF182" s="714"/>
      <c r="IG182" s="714"/>
      <c r="IH182" s="714"/>
    </row>
    <row r="183" hidden="1" outlineLevel="1">
      <c r="A183" s="598"/>
      <c r="B183" s="598"/>
      <c r="C183" s="598"/>
      <c r="D183" s="598"/>
      <c r="E183" s="598"/>
      <c r="F183" s="598"/>
      <c r="G183" s="598"/>
      <c r="H183" s="598"/>
      <c r="I183" s="598"/>
      <c r="J183" s="598"/>
      <c r="K183" s="598"/>
      <c r="L183" s="598"/>
      <c r="M183" s="598"/>
      <c r="N183" s="598"/>
      <c r="O183" s="598"/>
      <c r="P183" s="598"/>
      <c r="Q183" s="598"/>
      <c r="R183" s="598"/>
      <c r="S183" s="598"/>
      <c r="T183" s="598"/>
      <c r="U183" s="598"/>
      <c r="V183" s="598"/>
      <c r="W183" s="598"/>
      <c r="X183" s="598"/>
      <c r="Y183" s="598"/>
      <c r="Z183" s="598"/>
      <c r="AA183" s="911"/>
      <c r="AB183" s="1000"/>
      <c r="AC183" s="714" t="str">
        <f>IFERROR(__xludf.DUMMYFUNCTION("""COMPUTED_VALUE"""),"Swamp Stun")</f>
        <v>Swamp Stun</v>
      </c>
      <c r="AD183" s="825" t="s">
        <v>253</v>
      </c>
      <c r="AE183" s="714">
        <v>0.0</v>
      </c>
      <c r="AF183" s="714"/>
      <c r="AG183" s="714">
        <v>1.0</v>
      </c>
      <c r="AH183" s="1005" t="str">
        <f t="shared" si="21"/>
        <v/>
      </c>
      <c r="AI183" s="714"/>
      <c r="AJ183" s="714"/>
      <c r="AK183" s="714"/>
      <c r="AL183" s="714"/>
      <c r="AM183" s="714"/>
      <c r="AN183" s="714"/>
      <c r="AO183" s="714"/>
      <c r="AP183" s="714"/>
      <c r="AQ183" s="714"/>
      <c r="AR183" s="714"/>
      <c r="AS183" s="714"/>
      <c r="AT183" s="714"/>
      <c r="AU183" s="714"/>
      <c r="AV183" s="714"/>
      <c r="AW183" s="714"/>
      <c r="AX183" s="714"/>
      <c r="AY183" s="714"/>
      <c r="AZ183" s="714"/>
      <c r="BA183" s="714"/>
      <c r="BB183" s="714"/>
      <c r="BC183" s="714"/>
      <c r="BD183" s="714"/>
      <c r="BE183" s="714"/>
      <c r="BF183" s="714"/>
      <c r="BG183" s="714"/>
      <c r="BH183" s="714"/>
      <c r="BI183" s="714"/>
      <c r="BJ183" s="714"/>
      <c r="BK183" s="714"/>
      <c r="BL183" s="714"/>
      <c r="BM183" s="714"/>
      <c r="BN183" s="714"/>
      <c r="BO183" s="714"/>
      <c r="BP183" s="714"/>
      <c r="BQ183" s="714"/>
      <c r="BR183" s="714"/>
      <c r="BS183" s="714"/>
      <c r="BT183" s="714"/>
      <c r="BU183" s="714"/>
      <c r="BV183" s="714"/>
      <c r="BW183" s="714"/>
      <c r="BX183" s="714"/>
      <c r="BY183" s="714"/>
      <c r="BZ183" s="714"/>
      <c r="CA183" s="714"/>
      <c r="CB183" s="714"/>
      <c r="CC183" s="714"/>
      <c r="CD183" s="714"/>
      <c r="CE183" s="714"/>
      <c r="CF183" s="714"/>
      <c r="CG183" s="714"/>
      <c r="CH183" s="714"/>
      <c r="CI183" s="714"/>
      <c r="CJ183" s="714"/>
      <c r="CK183" s="714"/>
      <c r="CL183" s="714"/>
      <c r="CM183" s="714"/>
      <c r="CN183" s="714"/>
      <c r="CO183" s="714"/>
      <c r="CP183" s="714"/>
      <c r="CQ183" s="714"/>
      <c r="CR183" s="714"/>
      <c r="CS183" s="714"/>
      <c r="CT183" s="714"/>
      <c r="CU183" s="714"/>
      <c r="CV183" s="714"/>
      <c r="CW183" s="714"/>
      <c r="CX183" s="714"/>
      <c r="CY183" s="714"/>
      <c r="CZ183" s="714"/>
      <c r="DA183" s="714"/>
      <c r="DB183" s="714"/>
      <c r="DC183" s="714"/>
      <c r="DD183" s="714"/>
      <c r="DE183" s="714"/>
      <c r="DF183" s="714"/>
      <c r="DG183" s="714"/>
      <c r="DH183" s="714"/>
      <c r="DI183" s="714"/>
      <c r="DJ183" s="714"/>
      <c r="DK183" s="714"/>
      <c r="DL183" s="714"/>
      <c r="DM183" s="714"/>
      <c r="DN183" s="714"/>
      <c r="DO183" s="714"/>
      <c r="DP183" s="714"/>
      <c r="DQ183" s="714"/>
      <c r="DR183" s="714"/>
      <c r="DS183" s="714"/>
      <c r="DT183" s="714"/>
      <c r="DU183" s="714"/>
      <c r="DV183" s="714"/>
      <c r="DW183" s="714"/>
      <c r="DX183" s="714"/>
      <c r="DY183" s="714"/>
      <c r="DZ183" s="714"/>
      <c r="EA183" s="714"/>
      <c r="EB183" s="714"/>
      <c r="EC183" s="714"/>
      <c r="ED183" s="714"/>
      <c r="EE183" s="714"/>
      <c r="EF183" s="714"/>
      <c r="EG183" s="714"/>
      <c r="EH183" s="714"/>
      <c r="EI183" s="714"/>
      <c r="EJ183" s="714"/>
      <c r="EK183" s="714"/>
      <c r="EL183" s="714"/>
      <c r="EM183" s="714"/>
      <c r="EN183" s="714"/>
      <c r="EO183" s="714"/>
      <c r="EP183" s="714"/>
      <c r="EQ183" s="714"/>
      <c r="ER183" s="714"/>
      <c r="ES183" s="714"/>
      <c r="ET183" s="714"/>
      <c r="EU183" s="714"/>
      <c r="EV183" s="714"/>
      <c r="EW183" s="714"/>
      <c r="EX183" s="714"/>
      <c r="EY183" s="714"/>
      <c r="EZ183" s="714"/>
      <c r="FA183" s="714"/>
      <c r="FB183" s="714"/>
      <c r="FC183" s="714"/>
      <c r="FD183" s="714"/>
      <c r="FE183" s="714"/>
      <c r="FF183" s="714"/>
      <c r="FG183" s="714"/>
      <c r="FH183" s="714"/>
      <c r="FI183" s="714"/>
      <c r="FJ183" s="714"/>
      <c r="FK183" s="714"/>
      <c r="FL183" s="714"/>
      <c r="FM183" s="714"/>
      <c r="FN183" s="714"/>
      <c r="FO183" s="714"/>
      <c r="FP183" s="714"/>
      <c r="FQ183" s="714"/>
      <c r="FR183" s="714"/>
      <c r="FS183" s="714"/>
      <c r="FT183" s="714"/>
      <c r="FU183" s="714"/>
      <c r="FV183" s="714"/>
      <c r="FW183" s="714"/>
      <c r="FX183" s="714"/>
      <c r="FY183" s="714"/>
      <c r="FZ183" s="714"/>
      <c r="GA183" s="714"/>
      <c r="GB183" s="714"/>
      <c r="GC183" s="714"/>
      <c r="GD183" s="714"/>
      <c r="GE183" s="714"/>
      <c r="GF183" s="714"/>
      <c r="GG183" s="714"/>
      <c r="GH183" s="714"/>
      <c r="GI183" s="714"/>
      <c r="GJ183" s="714"/>
      <c r="GK183" s="714"/>
      <c r="GL183" s="714"/>
      <c r="GM183" s="714"/>
      <c r="GN183" s="714"/>
      <c r="GO183" s="714"/>
      <c r="GP183" s="714"/>
      <c r="GQ183" s="714"/>
      <c r="GR183" s="714"/>
      <c r="GS183" s="714"/>
      <c r="GT183" s="714"/>
      <c r="GU183" s="714"/>
      <c r="GV183" s="714"/>
      <c r="GW183" s="714"/>
      <c r="GX183" s="714"/>
      <c r="GY183" s="714"/>
      <c r="GZ183" s="714"/>
      <c r="HA183" s="714"/>
      <c r="HB183" s="714"/>
      <c r="HC183" s="714"/>
      <c r="HD183" s="714"/>
      <c r="HE183" s="714"/>
      <c r="HF183" s="714"/>
      <c r="HG183" s="714"/>
      <c r="HH183" s="714"/>
      <c r="HI183" s="714"/>
      <c r="HJ183" s="714"/>
      <c r="HK183" s="714"/>
      <c r="HL183" s="714"/>
      <c r="HM183" s="714"/>
      <c r="HN183" s="714"/>
      <c r="HO183" s="714"/>
      <c r="HP183" s="714"/>
      <c r="HQ183" s="714"/>
      <c r="HR183" s="714"/>
      <c r="HS183" s="714"/>
      <c r="HT183" s="714"/>
      <c r="HU183" s="714"/>
      <c r="HV183" s="714"/>
      <c r="HW183" s="714"/>
      <c r="HX183" s="714"/>
      <c r="HY183" s="714"/>
      <c r="HZ183" s="714"/>
      <c r="IA183" s="714"/>
      <c r="IB183" s="714"/>
      <c r="IC183" s="714"/>
      <c r="ID183" s="714"/>
      <c r="IE183" s="714"/>
      <c r="IF183" s="714"/>
      <c r="IG183" s="714"/>
      <c r="IH183" s="714"/>
    </row>
    <row r="184" hidden="1" outlineLevel="1">
      <c r="A184" s="598"/>
      <c r="B184" s="598"/>
      <c r="C184" s="598"/>
      <c r="D184" s="598"/>
      <c r="E184" s="598"/>
      <c r="F184" s="598"/>
      <c r="G184" s="598"/>
      <c r="H184" s="598"/>
      <c r="I184" s="598"/>
      <c r="J184" s="598"/>
      <c r="K184" s="598"/>
      <c r="L184" s="598"/>
      <c r="M184" s="598"/>
      <c r="N184" s="598"/>
      <c r="O184" s="598"/>
      <c r="P184" s="598"/>
      <c r="Q184" s="598"/>
      <c r="R184" s="598"/>
      <c r="S184" s="598"/>
      <c r="T184" s="598"/>
      <c r="U184" s="598"/>
      <c r="V184" s="598"/>
      <c r="W184" s="598"/>
      <c r="X184" s="598"/>
      <c r="Y184" s="598"/>
      <c r="Z184" s="598"/>
      <c r="AA184" s="911"/>
      <c r="AB184" s="1006"/>
      <c r="AC184" s="1007" t="str">
        <f>IFERROR(__xludf.DUMMYFUNCTION("""COMPUTED_VALUE"""),"Swamp Stun Chance")</f>
        <v>Swamp Stun Chance</v>
      </c>
      <c r="AD184" s="1008" t="s">
        <v>264</v>
      </c>
      <c r="AE184" s="1007">
        <v>0.0</v>
      </c>
      <c r="AF184" s="1007"/>
      <c r="AG184" s="1007">
        <v>30.0</v>
      </c>
      <c r="AH184" s="1009">
        <f>IFERROR(__xludf.DUMMYFUNCTION("IFERROR(IF(K31 = """", SEQUENCE(1, VALUE(VLOOKUP(M31, AD:AG, 4, false)) - VALUE(VLOOKUP(M31, AD:AG, 2, false)), VALUE(VLOOKUP(M31, AD:AG, 2, false)) + 1),
    IF(ISBETWEEN(K31, VALUE(VLOOKUP(M31, AD:AG, 2, false)), VALUE(VLOOKUP(M31, AD:AG, 4, false))),
 "&amp;"       SEQUENCE(1, VALUE(VLOOKUP(M31, AD:AG, 4, false)) - K31, K31 + 1),
        """")))"),84.0)</f>
        <v>84</v>
      </c>
      <c r="AI184" s="1007">
        <f>IFERROR(__xludf.DUMMYFUNCTION("""COMPUTED_VALUE"""),85.0)</f>
        <v>85</v>
      </c>
      <c r="AJ184" s="1007">
        <f>IFERROR(__xludf.DUMMYFUNCTION("""COMPUTED_VALUE"""),86.0)</f>
        <v>86</v>
      </c>
      <c r="AK184" s="1007">
        <f>IFERROR(__xludf.DUMMYFUNCTION("""COMPUTED_VALUE"""),87.0)</f>
        <v>87</v>
      </c>
      <c r="AL184" s="1007">
        <f>IFERROR(__xludf.DUMMYFUNCTION("""COMPUTED_VALUE"""),88.0)</f>
        <v>88</v>
      </c>
      <c r="AM184" s="1007">
        <f>IFERROR(__xludf.DUMMYFUNCTION("""COMPUTED_VALUE"""),89.0)</f>
        <v>89</v>
      </c>
      <c r="AN184" s="1007">
        <f>IFERROR(__xludf.DUMMYFUNCTION("""COMPUTED_VALUE"""),90.0)</f>
        <v>90</v>
      </c>
      <c r="AO184" s="1007">
        <f>IFERROR(__xludf.DUMMYFUNCTION("""COMPUTED_VALUE"""),91.0)</f>
        <v>91</v>
      </c>
      <c r="AP184" s="1007">
        <f>IFERROR(__xludf.DUMMYFUNCTION("""COMPUTED_VALUE"""),92.0)</f>
        <v>92</v>
      </c>
      <c r="AQ184" s="1007">
        <f>IFERROR(__xludf.DUMMYFUNCTION("""COMPUTED_VALUE"""),93.0)</f>
        <v>93</v>
      </c>
      <c r="AR184" s="1007">
        <f>IFERROR(__xludf.DUMMYFUNCTION("""COMPUTED_VALUE"""),94.0)</f>
        <v>94</v>
      </c>
      <c r="AS184" s="1007">
        <f>IFERROR(__xludf.DUMMYFUNCTION("""COMPUTED_VALUE"""),95.0)</f>
        <v>95</v>
      </c>
      <c r="AT184" s="1007">
        <f>IFERROR(__xludf.DUMMYFUNCTION("""COMPUTED_VALUE"""),96.0)</f>
        <v>96</v>
      </c>
      <c r="AU184" s="1007">
        <f>IFERROR(__xludf.DUMMYFUNCTION("""COMPUTED_VALUE"""),97.0)</f>
        <v>97</v>
      </c>
      <c r="AV184" s="1007">
        <f>IFERROR(__xludf.DUMMYFUNCTION("""COMPUTED_VALUE"""),98.0)</f>
        <v>98</v>
      </c>
      <c r="AW184" s="1007">
        <f>IFERROR(__xludf.DUMMYFUNCTION("""COMPUTED_VALUE"""),99.0)</f>
        <v>99</v>
      </c>
      <c r="AX184" s="1007"/>
      <c r="AY184" s="1007"/>
      <c r="AZ184" s="1007"/>
      <c r="BA184" s="1007"/>
      <c r="BB184" s="1007"/>
      <c r="BC184" s="1007"/>
      <c r="BD184" s="1007"/>
      <c r="BE184" s="1007"/>
      <c r="BF184" s="1007"/>
      <c r="BG184" s="1007"/>
      <c r="BH184" s="1007"/>
      <c r="BI184" s="1007"/>
      <c r="BJ184" s="1007"/>
      <c r="BK184" s="1007"/>
      <c r="BL184" s="1007"/>
      <c r="BM184" s="1007"/>
      <c r="BN184" s="1007"/>
      <c r="BO184" s="1007"/>
      <c r="BP184" s="1007"/>
      <c r="BQ184" s="1007"/>
      <c r="BR184" s="1007"/>
      <c r="BS184" s="1007"/>
      <c r="BT184" s="1007"/>
      <c r="BU184" s="1007"/>
      <c r="BV184" s="1007"/>
      <c r="BW184" s="1007"/>
      <c r="BX184" s="1007"/>
      <c r="BY184" s="1007"/>
      <c r="BZ184" s="1007"/>
      <c r="CA184" s="1007"/>
      <c r="CB184" s="1007"/>
      <c r="CC184" s="1007"/>
      <c r="CD184" s="1007"/>
      <c r="CE184" s="1007"/>
      <c r="CF184" s="1007"/>
      <c r="CG184" s="1007"/>
      <c r="CH184" s="1007"/>
      <c r="CI184" s="1007"/>
      <c r="CJ184" s="1007"/>
      <c r="CK184" s="1007"/>
      <c r="CL184" s="1007"/>
      <c r="CM184" s="1007"/>
      <c r="CN184" s="1007"/>
      <c r="CO184" s="1007"/>
      <c r="CP184" s="1007"/>
      <c r="CQ184" s="1007"/>
      <c r="CR184" s="1007"/>
      <c r="CS184" s="1007"/>
      <c r="CT184" s="1007"/>
      <c r="CU184" s="1007"/>
      <c r="CV184" s="1007"/>
      <c r="CW184" s="1007"/>
      <c r="CX184" s="1007"/>
      <c r="CY184" s="1007"/>
      <c r="CZ184" s="1007"/>
      <c r="DA184" s="1007"/>
      <c r="DB184" s="1007"/>
      <c r="DC184" s="1007"/>
      <c r="DD184" s="1007"/>
      <c r="DE184" s="1007"/>
      <c r="DF184" s="1007"/>
      <c r="DG184" s="1007"/>
      <c r="DH184" s="1007"/>
      <c r="DI184" s="1007"/>
      <c r="DJ184" s="1007"/>
      <c r="DK184" s="1007"/>
      <c r="DL184" s="1007"/>
      <c r="DM184" s="1007"/>
      <c r="DN184" s="1007"/>
      <c r="DO184" s="1007"/>
      <c r="DP184" s="1007"/>
      <c r="DQ184" s="1007"/>
      <c r="DR184" s="1007"/>
      <c r="DS184" s="1007"/>
      <c r="DT184" s="1007"/>
      <c r="DU184" s="1007"/>
      <c r="DV184" s="1007"/>
      <c r="DW184" s="1007"/>
      <c r="DX184" s="1007"/>
      <c r="DY184" s="1007"/>
      <c r="DZ184" s="1007"/>
      <c r="EA184" s="1007"/>
      <c r="EB184" s="1007"/>
      <c r="EC184" s="1007"/>
      <c r="ED184" s="1007"/>
      <c r="EE184" s="1007"/>
      <c r="EF184" s="1007"/>
      <c r="EG184" s="1007"/>
      <c r="EH184" s="1007"/>
      <c r="EI184" s="1007"/>
      <c r="EJ184" s="1007"/>
      <c r="EK184" s="1007"/>
      <c r="EL184" s="1007"/>
      <c r="EM184" s="1007"/>
      <c r="EN184" s="1007"/>
      <c r="EO184" s="1007"/>
      <c r="EP184" s="1007"/>
      <c r="EQ184" s="1007"/>
      <c r="ER184" s="1007"/>
      <c r="ES184" s="1007"/>
      <c r="ET184" s="1007"/>
      <c r="EU184" s="1007"/>
      <c r="EV184" s="1007"/>
      <c r="EW184" s="1007"/>
      <c r="EX184" s="1007"/>
      <c r="EY184" s="1007"/>
      <c r="EZ184" s="1007"/>
      <c r="FA184" s="1007"/>
      <c r="FB184" s="1007"/>
      <c r="FC184" s="1007"/>
      <c r="FD184" s="1007"/>
      <c r="FE184" s="1007"/>
      <c r="FF184" s="1007"/>
      <c r="FG184" s="1007"/>
      <c r="FH184" s="1007"/>
      <c r="FI184" s="1007"/>
      <c r="FJ184" s="1007"/>
      <c r="FK184" s="1007"/>
      <c r="FL184" s="1007"/>
      <c r="FM184" s="1007"/>
      <c r="FN184" s="1007"/>
      <c r="FO184" s="1007"/>
      <c r="FP184" s="1007"/>
      <c r="FQ184" s="1007"/>
      <c r="FR184" s="1007"/>
      <c r="FS184" s="1007"/>
      <c r="FT184" s="1007"/>
      <c r="FU184" s="1007"/>
      <c r="FV184" s="1007"/>
      <c r="FW184" s="1007"/>
      <c r="FX184" s="1007"/>
      <c r="FY184" s="1007"/>
      <c r="FZ184" s="1007"/>
      <c r="GA184" s="1007"/>
      <c r="GB184" s="1007"/>
      <c r="GC184" s="1007"/>
      <c r="GD184" s="1007"/>
      <c r="GE184" s="1007"/>
      <c r="GF184" s="1007"/>
      <c r="GG184" s="1007"/>
      <c r="GH184" s="1007"/>
      <c r="GI184" s="1007"/>
      <c r="GJ184" s="1007"/>
      <c r="GK184" s="1007"/>
      <c r="GL184" s="1007"/>
      <c r="GM184" s="1007"/>
      <c r="GN184" s="1007"/>
      <c r="GO184" s="1007"/>
      <c r="GP184" s="1007"/>
      <c r="GQ184" s="1007"/>
      <c r="GR184" s="1007"/>
      <c r="GS184" s="1007"/>
      <c r="GT184" s="1007"/>
      <c r="GU184" s="1007"/>
      <c r="GV184" s="1007"/>
      <c r="GW184" s="1007"/>
      <c r="GX184" s="1007"/>
      <c r="GY184" s="1007"/>
      <c r="GZ184" s="1007"/>
      <c r="HA184" s="1007"/>
      <c r="HB184" s="1007"/>
      <c r="HC184" s="1007"/>
      <c r="HD184" s="1007"/>
      <c r="HE184" s="1007"/>
      <c r="HF184" s="1007"/>
      <c r="HG184" s="1007"/>
      <c r="HH184" s="1007"/>
      <c r="HI184" s="1007"/>
      <c r="HJ184" s="1007"/>
      <c r="HK184" s="1007"/>
      <c r="HL184" s="1007"/>
      <c r="HM184" s="1007"/>
      <c r="HN184" s="1007"/>
      <c r="HO184" s="1007"/>
      <c r="HP184" s="1007"/>
      <c r="HQ184" s="1007"/>
      <c r="HR184" s="1007"/>
      <c r="HS184" s="1007"/>
      <c r="HT184" s="1007"/>
      <c r="HU184" s="1007"/>
      <c r="HV184" s="1007"/>
      <c r="HW184" s="1007"/>
      <c r="HX184" s="1007"/>
      <c r="HY184" s="1007"/>
      <c r="HZ184" s="1007"/>
      <c r="IA184" s="1007"/>
      <c r="IB184" s="1007"/>
      <c r="IC184" s="1007"/>
      <c r="ID184" s="1007"/>
      <c r="IE184" s="1007"/>
      <c r="IF184" s="1007"/>
      <c r="IG184" s="1007"/>
      <c r="IH184" s="1007"/>
    </row>
    <row r="185" hidden="1" outlineLevel="1">
      <c r="A185" s="598"/>
      <c r="B185" s="598"/>
      <c r="C185" s="598"/>
      <c r="D185" s="598"/>
      <c r="E185" s="598"/>
      <c r="F185" s="598"/>
      <c r="G185" s="598"/>
      <c r="H185" s="598"/>
      <c r="I185" s="598"/>
      <c r="J185" s="598"/>
      <c r="K185" s="598"/>
      <c r="L185" s="598"/>
      <c r="M185" s="598"/>
      <c r="N185" s="598"/>
      <c r="O185" s="598"/>
      <c r="P185" s="598"/>
      <c r="Q185" s="598"/>
      <c r="R185" s="598"/>
      <c r="S185" s="598"/>
      <c r="T185" s="598"/>
      <c r="U185" s="598"/>
      <c r="V185" s="598"/>
      <c r="W185" s="598"/>
      <c r="X185" s="598"/>
      <c r="Y185" s="598"/>
      <c r="Z185" s="598"/>
      <c r="AA185" s="911"/>
      <c r="AB185" s="1006"/>
      <c r="AC185" s="1007" t="str">
        <f>IFERROR(__xludf.DUMMYFUNCTION("""COMPUTED_VALUE"""),"Swamp Stun Time")</f>
        <v>Swamp Stun Time</v>
      </c>
      <c r="AD185" s="1008" t="s">
        <v>273</v>
      </c>
      <c r="AE185" s="1007">
        <v>0.0</v>
      </c>
      <c r="AF185" s="1007"/>
      <c r="AG185" s="1007">
        <v>30.0</v>
      </c>
      <c r="AH185" s="1009" t="str">
        <f>IFERROR(__xludf.DUMMYFUNCTION("IFERROR(IF(K32 = """", SEQUENCE(1, VALUE(VLOOKUP(M32, AD:AG, 4, false)) - VALUE(VLOOKUP(M32, AD:AG, 2, false)), VALUE(VLOOKUP(M32, AD:AG, 2, false)) + 1),
    IF(ISBETWEEN(K32, VALUE(VLOOKUP(M32, AD:AG, 2, false)), VALUE(VLOOKUP(M32, AD:AG, 4, false))),
 "&amp;"       SEQUENCE(1, VALUE(VLOOKUP(M32, AD:AG, 4, false)) - K32, K32 + 1),
        """")))"),"")</f>
        <v/>
      </c>
      <c r="AI185" s="1007"/>
      <c r="AJ185" s="1007"/>
      <c r="AK185" s="1007"/>
      <c r="AL185" s="1007"/>
      <c r="AM185" s="1007"/>
      <c r="AN185" s="1007"/>
      <c r="AO185" s="1007"/>
      <c r="AP185" s="1007"/>
      <c r="AQ185" s="1007"/>
      <c r="AR185" s="1007"/>
      <c r="AS185" s="1007"/>
      <c r="AT185" s="1007"/>
      <c r="AU185" s="1007"/>
      <c r="AV185" s="1007"/>
      <c r="AW185" s="1007"/>
      <c r="AX185" s="1007"/>
      <c r="AY185" s="1007"/>
      <c r="AZ185" s="1007"/>
      <c r="BA185" s="1007"/>
      <c r="BB185" s="1007"/>
      <c r="BC185" s="1007"/>
      <c r="BD185" s="1007"/>
      <c r="BE185" s="1007"/>
      <c r="BF185" s="1007"/>
      <c r="BG185" s="1007"/>
      <c r="BH185" s="1007"/>
      <c r="BI185" s="1007"/>
      <c r="BJ185" s="1007"/>
      <c r="BK185" s="1007"/>
      <c r="BL185" s="1007"/>
      <c r="BM185" s="1007"/>
      <c r="BN185" s="1007"/>
      <c r="BO185" s="1007"/>
      <c r="BP185" s="1007"/>
      <c r="BQ185" s="1007"/>
      <c r="BR185" s="1007"/>
      <c r="BS185" s="1007"/>
      <c r="BT185" s="1007"/>
      <c r="BU185" s="1007"/>
      <c r="BV185" s="1007"/>
      <c r="BW185" s="1007"/>
      <c r="BX185" s="1007"/>
      <c r="BY185" s="1007"/>
      <c r="BZ185" s="1007"/>
      <c r="CA185" s="1007"/>
      <c r="CB185" s="1007"/>
      <c r="CC185" s="1007"/>
      <c r="CD185" s="1007"/>
      <c r="CE185" s="1007"/>
      <c r="CF185" s="1007"/>
      <c r="CG185" s="1007"/>
      <c r="CH185" s="1007"/>
      <c r="CI185" s="1007"/>
      <c r="CJ185" s="1007"/>
      <c r="CK185" s="1007"/>
      <c r="CL185" s="1007"/>
      <c r="CM185" s="1007"/>
      <c r="CN185" s="1007"/>
      <c r="CO185" s="1007"/>
      <c r="CP185" s="1007"/>
      <c r="CQ185" s="1007"/>
      <c r="CR185" s="1007"/>
      <c r="CS185" s="1007"/>
      <c r="CT185" s="1007"/>
      <c r="CU185" s="1007"/>
      <c r="CV185" s="1007"/>
      <c r="CW185" s="1007"/>
      <c r="CX185" s="1007"/>
      <c r="CY185" s="1007"/>
      <c r="CZ185" s="1007"/>
      <c r="DA185" s="1007"/>
      <c r="DB185" s="1007"/>
      <c r="DC185" s="1007"/>
      <c r="DD185" s="1007"/>
      <c r="DE185" s="1007"/>
      <c r="DF185" s="1007"/>
      <c r="DG185" s="1007"/>
      <c r="DH185" s="1007"/>
      <c r="DI185" s="1007"/>
      <c r="DJ185" s="1007"/>
      <c r="DK185" s="1007"/>
      <c r="DL185" s="1007"/>
      <c r="DM185" s="1007"/>
      <c r="DN185" s="1007"/>
      <c r="DO185" s="1007"/>
      <c r="DP185" s="1007"/>
      <c r="DQ185" s="1007"/>
      <c r="DR185" s="1007"/>
      <c r="DS185" s="1007"/>
      <c r="DT185" s="1007"/>
      <c r="DU185" s="1007"/>
      <c r="DV185" s="1007"/>
      <c r="DW185" s="1007"/>
      <c r="DX185" s="1007"/>
      <c r="DY185" s="1007"/>
      <c r="DZ185" s="1007"/>
      <c r="EA185" s="1007"/>
      <c r="EB185" s="1007"/>
      <c r="EC185" s="1007"/>
      <c r="ED185" s="1007"/>
      <c r="EE185" s="1007"/>
      <c r="EF185" s="1007"/>
      <c r="EG185" s="1007"/>
      <c r="EH185" s="1007"/>
      <c r="EI185" s="1007"/>
      <c r="EJ185" s="1007"/>
      <c r="EK185" s="1007"/>
      <c r="EL185" s="1007"/>
      <c r="EM185" s="1007"/>
      <c r="EN185" s="1007"/>
      <c r="EO185" s="1007"/>
      <c r="EP185" s="1007"/>
      <c r="EQ185" s="1007"/>
      <c r="ER185" s="1007"/>
      <c r="ES185" s="1007"/>
      <c r="ET185" s="1007"/>
      <c r="EU185" s="1007"/>
      <c r="EV185" s="1007"/>
      <c r="EW185" s="1007"/>
      <c r="EX185" s="1007"/>
      <c r="EY185" s="1007"/>
      <c r="EZ185" s="1007"/>
      <c r="FA185" s="1007"/>
      <c r="FB185" s="1007"/>
      <c r="FC185" s="1007"/>
      <c r="FD185" s="1007"/>
      <c r="FE185" s="1007"/>
      <c r="FF185" s="1007"/>
      <c r="FG185" s="1007"/>
      <c r="FH185" s="1007"/>
      <c r="FI185" s="1007"/>
      <c r="FJ185" s="1007"/>
      <c r="FK185" s="1007"/>
      <c r="FL185" s="1007"/>
      <c r="FM185" s="1007"/>
      <c r="FN185" s="1007"/>
      <c r="FO185" s="1007"/>
      <c r="FP185" s="1007"/>
      <c r="FQ185" s="1007"/>
      <c r="FR185" s="1007"/>
      <c r="FS185" s="1007"/>
      <c r="FT185" s="1007"/>
      <c r="FU185" s="1007"/>
      <c r="FV185" s="1007"/>
      <c r="FW185" s="1007"/>
      <c r="FX185" s="1007"/>
      <c r="FY185" s="1007"/>
      <c r="FZ185" s="1007"/>
      <c r="GA185" s="1007"/>
      <c r="GB185" s="1007"/>
      <c r="GC185" s="1007"/>
      <c r="GD185" s="1007"/>
      <c r="GE185" s="1007"/>
      <c r="GF185" s="1007"/>
      <c r="GG185" s="1007"/>
      <c r="GH185" s="1007"/>
      <c r="GI185" s="1007"/>
      <c r="GJ185" s="1007"/>
      <c r="GK185" s="1007"/>
      <c r="GL185" s="1007"/>
      <c r="GM185" s="1007"/>
      <c r="GN185" s="1007"/>
      <c r="GO185" s="1007"/>
      <c r="GP185" s="1007"/>
      <c r="GQ185" s="1007"/>
      <c r="GR185" s="1007"/>
      <c r="GS185" s="1007"/>
      <c r="GT185" s="1007"/>
      <c r="GU185" s="1007"/>
      <c r="GV185" s="1007"/>
      <c r="GW185" s="1007"/>
      <c r="GX185" s="1007"/>
      <c r="GY185" s="1007"/>
      <c r="GZ185" s="1007"/>
      <c r="HA185" s="1007"/>
      <c r="HB185" s="1007"/>
      <c r="HC185" s="1007"/>
      <c r="HD185" s="1007"/>
      <c r="HE185" s="1007"/>
      <c r="HF185" s="1007"/>
      <c r="HG185" s="1007"/>
      <c r="HH185" s="1007"/>
      <c r="HI185" s="1007"/>
      <c r="HJ185" s="1007"/>
      <c r="HK185" s="1007"/>
      <c r="HL185" s="1007"/>
      <c r="HM185" s="1007"/>
      <c r="HN185" s="1007"/>
      <c r="HO185" s="1007"/>
      <c r="HP185" s="1007"/>
      <c r="HQ185" s="1007"/>
      <c r="HR185" s="1007"/>
      <c r="HS185" s="1007"/>
      <c r="HT185" s="1007"/>
      <c r="HU185" s="1007"/>
      <c r="HV185" s="1007"/>
      <c r="HW185" s="1007"/>
      <c r="HX185" s="1007"/>
      <c r="HY185" s="1007"/>
      <c r="HZ185" s="1007"/>
      <c r="IA185" s="1007"/>
      <c r="IB185" s="1007"/>
      <c r="IC185" s="1007"/>
      <c r="ID185" s="1007"/>
      <c r="IE185" s="1007"/>
      <c r="IF185" s="1007"/>
      <c r="IG185" s="1007"/>
      <c r="IH185" s="1007"/>
    </row>
    <row r="186" hidden="1" outlineLevel="1">
      <c r="A186" s="598"/>
      <c r="B186" s="598"/>
      <c r="C186" s="598"/>
      <c r="D186" s="598"/>
      <c r="E186" s="598"/>
      <c r="F186" s="598"/>
      <c r="G186" s="598"/>
      <c r="H186" s="598"/>
      <c r="I186" s="598"/>
      <c r="J186" s="598"/>
      <c r="K186" s="598"/>
      <c r="L186" s="598"/>
      <c r="M186" s="598"/>
      <c r="N186" s="598"/>
      <c r="O186" s="598"/>
      <c r="P186" s="598"/>
      <c r="Q186" s="598"/>
      <c r="R186" s="598"/>
      <c r="S186" s="598"/>
      <c r="T186" s="598"/>
      <c r="U186" s="598"/>
      <c r="V186" s="598"/>
      <c r="W186" s="598"/>
      <c r="X186" s="598"/>
      <c r="Y186" s="598"/>
      <c r="Z186" s="598"/>
      <c r="AA186" s="911"/>
      <c r="AB186" s="1006"/>
      <c r="AC186" s="1007" t="str">
        <f>IFERROR(__xludf.DUMMYFUNCTION("""COMPUTED_VALUE"""),"Tank Enemy Attack")</f>
        <v>Tank Enemy Attack</v>
      </c>
      <c r="AD186" s="1008" t="s">
        <v>246</v>
      </c>
      <c r="AE186" s="1007">
        <v>0.0</v>
      </c>
      <c r="AF186" s="1007"/>
      <c r="AG186" s="1007">
        <v>30.0</v>
      </c>
      <c r="AH186" s="1009" t="str">
        <f>IFERROR(__xludf.DUMMYFUNCTION("IFERROR(IF(K33 = """", SEQUENCE(1, VALUE(VLOOKUP(M33, AD:AG, 4, false)) - VALUE(VLOOKUP(M33, AD:AG, 2, false)), VALUE(VLOOKUP(M33, AD:AG, 2, false)) + 1),
    IF(ISBETWEEN(K33, VALUE(VLOOKUP(M33, AD:AG, 2, false)), VALUE(VLOOKUP(M33, AD:AG, 4, false))),
 "&amp;"       SEQUENCE(1, VALUE(VLOOKUP(M33, AD:AG, 4, false)) - K33, K33 + 1),
        """")))"),"")</f>
        <v/>
      </c>
      <c r="AI186" s="1007"/>
      <c r="AJ186" s="1007"/>
      <c r="AK186" s="1007"/>
      <c r="AL186" s="1007"/>
      <c r="AM186" s="1007"/>
      <c r="AN186" s="1007"/>
      <c r="AO186" s="1007"/>
      <c r="AP186" s="1007"/>
      <c r="AQ186" s="1007"/>
      <c r="AR186" s="1007"/>
      <c r="AS186" s="1007"/>
      <c r="AT186" s="1007"/>
      <c r="AU186" s="1007"/>
      <c r="AV186" s="1007"/>
      <c r="AW186" s="1007"/>
      <c r="AX186" s="1007"/>
      <c r="AY186" s="1007"/>
      <c r="AZ186" s="1007"/>
      <c r="BA186" s="1007"/>
      <c r="BB186" s="1007"/>
      <c r="BC186" s="1007"/>
      <c r="BD186" s="1007"/>
      <c r="BE186" s="1007"/>
      <c r="BF186" s="1007"/>
      <c r="BG186" s="1007"/>
      <c r="BH186" s="1007"/>
      <c r="BI186" s="1007"/>
      <c r="BJ186" s="1007"/>
      <c r="BK186" s="1007"/>
      <c r="BL186" s="1007"/>
      <c r="BM186" s="1007"/>
      <c r="BN186" s="1007"/>
      <c r="BO186" s="1007"/>
      <c r="BP186" s="1007"/>
      <c r="BQ186" s="1007"/>
      <c r="BR186" s="1007"/>
      <c r="BS186" s="1007"/>
      <c r="BT186" s="1007"/>
      <c r="BU186" s="1007"/>
      <c r="BV186" s="1007"/>
      <c r="BW186" s="1007"/>
      <c r="BX186" s="1007"/>
      <c r="BY186" s="1007"/>
      <c r="BZ186" s="1007"/>
      <c r="CA186" s="1007"/>
      <c r="CB186" s="1007"/>
      <c r="CC186" s="1007"/>
      <c r="CD186" s="1007"/>
      <c r="CE186" s="1007"/>
      <c r="CF186" s="1007"/>
      <c r="CG186" s="1007"/>
      <c r="CH186" s="1007"/>
      <c r="CI186" s="1007"/>
      <c r="CJ186" s="1007"/>
      <c r="CK186" s="1007"/>
      <c r="CL186" s="1007"/>
      <c r="CM186" s="1007"/>
      <c r="CN186" s="1007"/>
      <c r="CO186" s="1007"/>
      <c r="CP186" s="1007"/>
      <c r="CQ186" s="1007"/>
      <c r="CR186" s="1007"/>
      <c r="CS186" s="1007"/>
      <c r="CT186" s="1007"/>
      <c r="CU186" s="1007"/>
      <c r="CV186" s="1007"/>
      <c r="CW186" s="1007"/>
      <c r="CX186" s="1007"/>
      <c r="CY186" s="1007"/>
      <c r="CZ186" s="1007"/>
      <c r="DA186" s="1007"/>
      <c r="DB186" s="1007"/>
      <c r="DC186" s="1007"/>
      <c r="DD186" s="1007"/>
      <c r="DE186" s="1007"/>
      <c r="DF186" s="1007"/>
      <c r="DG186" s="1007"/>
      <c r="DH186" s="1007"/>
      <c r="DI186" s="1007"/>
      <c r="DJ186" s="1007"/>
      <c r="DK186" s="1007"/>
      <c r="DL186" s="1007"/>
      <c r="DM186" s="1007"/>
      <c r="DN186" s="1007"/>
      <c r="DO186" s="1007"/>
      <c r="DP186" s="1007"/>
      <c r="DQ186" s="1007"/>
      <c r="DR186" s="1007"/>
      <c r="DS186" s="1007"/>
      <c r="DT186" s="1007"/>
      <c r="DU186" s="1007"/>
      <c r="DV186" s="1007"/>
      <c r="DW186" s="1007"/>
      <c r="DX186" s="1007"/>
      <c r="DY186" s="1007"/>
      <c r="DZ186" s="1007"/>
      <c r="EA186" s="1007"/>
      <c r="EB186" s="1007"/>
      <c r="EC186" s="1007"/>
      <c r="ED186" s="1007"/>
      <c r="EE186" s="1007"/>
      <c r="EF186" s="1007"/>
      <c r="EG186" s="1007"/>
      <c r="EH186" s="1007"/>
      <c r="EI186" s="1007"/>
      <c r="EJ186" s="1007"/>
      <c r="EK186" s="1007"/>
      <c r="EL186" s="1007"/>
      <c r="EM186" s="1007"/>
      <c r="EN186" s="1007"/>
      <c r="EO186" s="1007"/>
      <c r="EP186" s="1007"/>
      <c r="EQ186" s="1007"/>
      <c r="ER186" s="1007"/>
      <c r="ES186" s="1007"/>
      <c r="ET186" s="1007"/>
      <c r="EU186" s="1007"/>
      <c r="EV186" s="1007"/>
      <c r="EW186" s="1007"/>
      <c r="EX186" s="1007"/>
      <c r="EY186" s="1007"/>
      <c r="EZ186" s="1007"/>
      <c r="FA186" s="1007"/>
      <c r="FB186" s="1007"/>
      <c r="FC186" s="1007"/>
      <c r="FD186" s="1007"/>
      <c r="FE186" s="1007"/>
      <c r="FF186" s="1007"/>
      <c r="FG186" s="1007"/>
      <c r="FH186" s="1007"/>
      <c r="FI186" s="1007"/>
      <c r="FJ186" s="1007"/>
      <c r="FK186" s="1007"/>
      <c r="FL186" s="1007"/>
      <c r="FM186" s="1007"/>
      <c r="FN186" s="1007"/>
      <c r="FO186" s="1007"/>
      <c r="FP186" s="1007"/>
      <c r="FQ186" s="1007"/>
      <c r="FR186" s="1007"/>
      <c r="FS186" s="1007"/>
      <c r="FT186" s="1007"/>
      <c r="FU186" s="1007"/>
      <c r="FV186" s="1007"/>
      <c r="FW186" s="1007"/>
      <c r="FX186" s="1007"/>
      <c r="FY186" s="1007"/>
      <c r="FZ186" s="1007"/>
      <c r="GA186" s="1007"/>
      <c r="GB186" s="1007"/>
      <c r="GC186" s="1007"/>
      <c r="GD186" s="1007"/>
      <c r="GE186" s="1007"/>
      <c r="GF186" s="1007"/>
      <c r="GG186" s="1007"/>
      <c r="GH186" s="1007"/>
      <c r="GI186" s="1007"/>
      <c r="GJ186" s="1007"/>
      <c r="GK186" s="1007"/>
      <c r="GL186" s="1007"/>
      <c r="GM186" s="1007"/>
      <c r="GN186" s="1007"/>
      <c r="GO186" s="1007"/>
      <c r="GP186" s="1007"/>
      <c r="GQ186" s="1007"/>
      <c r="GR186" s="1007"/>
      <c r="GS186" s="1007"/>
      <c r="GT186" s="1007"/>
      <c r="GU186" s="1007"/>
      <c r="GV186" s="1007"/>
      <c r="GW186" s="1007"/>
      <c r="GX186" s="1007"/>
      <c r="GY186" s="1007"/>
      <c r="GZ186" s="1007"/>
      <c r="HA186" s="1007"/>
      <c r="HB186" s="1007"/>
      <c r="HC186" s="1007"/>
      <c r="HD186" s="1007"/>
      <c r="HE186" s="1007"/>
      <c r="HF186" s="1007"/>
      <c r="HG186" s="1007"/>
      <c r="HH186" s="1007"/>
      <c r="HI186" s="1007"/>
      <c r="HJ186" s="1007"/>
      <c r="HK186" s="1007"/>
      <c r="HL186" s="1007"/>
      <c r="HM186" s="1007"/>
      <c r="HN186" s="1007"/>
      <c r="HO186" s="1007"/>
      <c r="HP186" s="1007"/>
      <c r="HQ186" s="1007"/>
      <c r="HR186" s="1007"/>
      <c r="HS186" s="1007"/>
      <c r="HT186" s="1007"/>
      <c r="HU186" s="1007"/>
      <c r="HV186" s="1007"/>
      <c r="HW186" s="1007"/>
      <c r="HX186" s="1007"/>
      <c r="HY186" s="1007"/>
      <c r="HZ186" s="1007"/>
      <c r="IA186" s="1007"/>
      <c r="IB186" s="1007"/>
      <c r="IC186" s="1007"/>
      <c r="ID186" s="1007"/>
      <c r="IE186" s="1007"/>
      <c r="IF186" s="1007"/>
      <c r="IG186" s="1007"/>
      <c r="IH186" s="1007"/>
    </row>
    <row r="187" hidden="1" outlineLevel="1">
      <c r="A187" s="598"/>
      <c r="B187" s="598"/>
      <c r="C187" s="598"/>
      <c r="D187" s="598"/>
      <c r="E187" s="598"/>
      <c r="F187" s="598"/>
      <c r="G187" s="598"/>
      <c r="H187" s="598"/>
      <c r="I187" s="598"/>
      <c r="J187" s="598"/>
      <c r="K187" s="598"/>
      <c r="L187" s="598"/>
      <c r="M187" s="598"/>
      <c r="N187" s="598"/>
      <c r="O187" s="598"/>
      <c r="P187" s="598"/>
      <c r="Q187" s="598"/>
      <c r="R187" s="598"/>
      <c r="S187" s="598"/>
      <c r="T187" s="598"/>
      <c r="U187" s="598"/>
      <c r="V187" s="598"/>
      <c r="W187" s="598"/>
      <c r="X187" s="598"/>
      <c r="Y187" s="598"/>
      <c r="Z187" s="598"/>
      <c r="AA187" s="911"/>
      <c r="AB187" s="1006"/>
      <c r="AC187" s="1007" t="str">
        <f>IFERROR(__xludf.DUMMYFUNCTION("""COMPUTED_VALUE"""),"Tank Enemy Health")</f>
        <v>Tank Enemy Health</v>
      </c>
      <c r="AD187" s="1008" t="s">
        <v>235</v>
      </c>
      <c r="AE187" s="1007">
        <v>0.0</v>
      </c>
      <c r="AF187" s="1007"/>
      <c r="AG187" s="1007">
        <v>30.0</v>
      </c>
      <c r="AH187" s="1009" t="str">
        <f>IFERROR(__xludf.DUMMYFUNCTION("IFERROR(IF(K34 = """", SEQUENCE(1, VALUE(VLOOKUP(M34, AD:AG, 4, false)) - VALUE(VLOOKUP(M34, AD:AG, 2, false)), VALUE(VLOOKUP(M34, AD:AG, 2, false)) + 1),
    IF(ISBETWEEN(K34, VALUE(VLOOKUP(M34, AD:AG, 2, false)), VALUE(VLOOKUP(M34, AD:AG, 4, false))),
 "&amp;"       SEQUENCE(1, VALUE(VLOOKUP(M34, AD:AG, 4, false)) - K34, K34 + 1),
        """")))"),"")</f>
        <v/>
      </c>
      <c r="AI187" s="1007"/>
      <c r="AJ187" s="1007"/>
      <c r="AK187" s="1007"/>
      <c r="AL187" s="1007"/>
      <c r="AM187" s="1007"/>
      <c r="AN187" s="1007"/>
      <c r="AO187" s="1007"/>
      <c r="AP187" s="1007"/>
      <c r="AQ187" s="1007"/>
      <c r="AR187" s="1007"/>
      <c r="AS187" s="1007"/>
      <c r="AT187" s="1007"/>
      <c r="AU187" s="1007"/>
      <c r="AV187" s="1007"/>
      <c r="AW187" s="1007"/>
      <c r="AX187" s="1007"/>
      <c r="AY187" s="1007"/>
      <c r="AZ187" s="1007"/>
      <c r="BA187" s="1007"/>
      <c r="BB187" s="1007"/>
      <c r="BC187" s="1007"/>
      <c r="BD187" s="1007"/>
      <c r="BE187" s="1007"/>
      <c r="BF187" s="1007"/>
      <c r="BG187" s="1007"/>
      <c r="BH187" s="1007"/>
      <c r="BI187" s="1007"/>
      <c r="BJ187" s="1007"/>
      <c r="BK187" s="1007"/>
      <c r="BL187" s="1007"/>
      <c r="BM187" s="1007"/>
      <c r="BN187" s="1007"/>
      <c r="BO187" s="1007"/>
      <c r="BP187" s="1007"/>
      <c r="BQ187" s="1007"/>
      <c r="BR187" s="1007"/>
      <c r="BS187" s="1007"/>
      <c r="BT187" s="1007"/>
      <c r="BU187" s="1007"/>
      <c r="BV187" s="1007"/>
      <c r="BW187" s="1007"/>
      <c r="BX187" s="1007"/>
      <c r="BY187" s="1007"/>
      <c r="BZ187" s="1007"/>
      <c r="CA187" s="1007"/>
      <c r="CB187" s="1007"/>
      <c r="CC187" s="1007"/>
      <c r="CD187" s="1007"/>
      <c r="CE187" s="1007"/>
      <c r="CF187" s="1007"/>
      <c r="CG187" s="1007"/>
      <c r="CH187" s="1007"/>
      <c r="CI187" s="1007"/>
      <c r="CJ187" s="1007"/>
      <c r="CK187" s="1007"/>
      <c r="CL187" s="1007"/>
      <c r="CM187" s="1007"/>
      <c r="CN187" s="1007"/>
      <c r="CO187" s="1007"/>
      <c r="CP187" s="1007"/>
      <c r="CQ187" s="1007"/>
      <c r="CR187" s="1007"/>
      <c r="CS187" s="1007"/>
      <c r="CT187" s="1007"/>
      <c r="CU187" s="1007"/>
      <c r="CV187" s="1007"/>
      <c r="CW187" s="1007"/>
      <c r="CX187" s="1007"/>
      <c r="CY187" s="1007"/>
      <c r="CZ187" s="1007"/>
      <c r="DA187" s="1007"/>
      <c r="DB187" s="1007"/>
      <c r="DC187" s="1007"/>
      <c r="DD187" s="1007"/>
      <c r="DE187" s="1007"/>
      <c r="DF187" s="1007"/>
      <c r="DG187" s="1007"/>
      <c r="DH187" s="1007"/>
      <c r="DI187" s="1007"/>
      <c r="DJ187" s="1007"/>
      <c r="DK187" s="1007"/>
      <c r="DL187" s="1007"/>
      <c r="DM187" s="1007"/>
      <c r="DN187" s="1007"/>
      <c r="DO187" s="1007"/>
      <c r="DP187" s="1007"/>
      <c r="DQ187" s="1007"/>
      <c r="DR187" s="1007"/>
      <c r="DS187" s="1007"/>
      <c r="DT187" s="1007"/>
      <c r="DU187" s="1007"/>
      <c r="DV187" s="1007"/>
      <c r="DW187" s="1007"/>
      <c r="DX187" s="1007"/>
      <c r="DY187" s="1007"/>
      <c r="DZ187" s="1007"/>
      <c r="EA187" s="1007"/>
      <c r="EB187" s="1007"/>
      <c r="EC187" s="1007"/>
      <c r="ED187" s="1007"/>
      <c r="EE187" s="1007"/>
      <c r="EF187" s="1007"/>
      <c r="EG187" s="1007"/>
      <c r="EH187" s="1007"/>
      <c r="EI187" s="1007"/>
      <c r="EJ187" s="1007"/>
      <c r="EK187" s="1007"/>
      <c r="EL187" s="1007"/>
      <c r="EM187" s="1007"/>
      <c r="EN187" s="1007"/>
      <c r="EO187" s="1007"/>
      <c r="EP187" s="1007"/>
      <c r="EQ187" s="1007"/>
      <c r="ER187" s="1007"/>
      <c r="ES187" s="1007"/>
      <c r="ET187" s="1007"/>
      <c r="EU187" s="1007"/>
      <c r="EV187" s="1007"/>
      <c r="EW187" s="1007"/>
      <c r="EX187" s="1007"/>
      <c r="EY187" s="1007"/>
      <c r="EZ187" s="1007"/>
      <c r="FA187" s="1007"/>
      <c r="FB187" s="1007"/>
      <c r="FC187" s="1007"/>
      <c r="FD187" s="1007"/>
      <c r="FE187" s="1007"/>
      <c r="FF187" s="1007"/>
      <c r="FG187" s="1007"/>
      <c r="FH187" s="1007"/>
      <c r="FI187" s="1007"/>
      <c r="FJ187" s="1007"/>
      <c r="FK187" s="1007"/>
      <c r="FL187" s="1007"/>
      <c r="FM187" s="1007"/>
      <c r="FN187" s="1007"/>
      <c r="FO187" s="1007"/>
      <c r="FP187" s="1007"/>
      <c r="FQ187" s="1007"/>
      <c r="FR187" s="1007"/>
      <c r="FS187" s="1007"/>
      <c r="FT187" s="1007"/>
      <c r="FU187" s="1007"/>
      <c r="FV187" s="1007"/>
      <c r="FW187" s="1007"/>
      <c r="FX187" s="1007"/>
      <c r="FY187" s="1007"/>
      <c r="FZ187" s="1007"/>
      <c r="GA187" s="1007"/>
      <c r="GB187" s="1007"/>
      <c r="GC187" s="1007"/>
      <c r="GD187" s="1007"/>
      <c r="GE187" s="1007"/>
      <c r="GF187" s="1007"/>
      <c r="GG187" s="1007"/>
      <c r="GH187" s="1007"/>
      <c r="GI187" s="1007"/>
      <c r="GJ187" s="1007"/>
      <c r="GK187" s="1007"/>
      <c r="GL187" s="1007"/>
      <c r="GM187" s="1007"/>
      <c r="GN187" s="1007"/>
      <c r="GO187" s="1007"/>
      <c r="GP187" s="1007"/>
      <c r="GQ187" s="1007"/>
      <c r="GR187" s="1007"/>
      <c r="GS187" s="1007"/>
      <c r="GT187" s="1007"/>
      <c r="GU187" s="1007"/>
      <c r="GV187" s="1007"/>
      <c r="GW187" s="1007"/>
      <c r="GX187" s="1007"/>
      <c r="GY187" s="1007"/>
      <c r="GZ187" s="1007"/>
      <c r="HA187" s="1007"/>
      <c r="HB187" s="1007"/>
      <c r="HC187" s="1007"/>
      <c r="HD187" s="1007"/>
      <c r="HE187" s="1007"/>
      <c r="HF187" s="1007"/>
      <c r="HG187" s="1007"/>
      <c r="HH187" s="1007"/>
      <c r="HI187" s="1007"/>
      <c r="HJ187" s="1007"/>
      <c r="HK187" s="1007"/>
      <c r="HL187" s="1007"/>
      <c r="HM187" s="1007"/>
      <c r="HN187" s="1007"/>
      <c r="HO187" s="1007"/>
      <c r="HP187" s="1007"/>
      <c r="HQ187" s="1007"/>
      <c r="HR187" s="1007"/>
      <c r="HS187" s="1007"/>
      <c r="HT187" s="1007"/>
      <c r="HU187" s="1007"/>
      <c r="HV187" s="1007"/>
      <c r="HW187" s="1007"/>
      <c r="HX187" s="1007"/>
      <c r="HY187" s="1007"/>
      <c r="HZ187" s="1007"/>
      <c r="IA187" s="1007"/>
      <c r="IB187" s="1007"/>
      <c r="IC187" s="1007"/>
      <c r="ID187" s="1007"/>
      <c r="IE187" s="1007"/>
      <c r="IF187" s="1007"/>
      <c r="IG187" s="1007"/>
      <c r="IH187" s="1007"/>
    </row>
    <row r="188" hidden="1" outlineLevel="1">
      <c r="A188" s="598"/>
      <c r="B188" s="598"/>
      <c r="C188" s="598"/>
      <c r="D188" s="598"/>
      <c r="E188" s="598"/>
      <c r="F188" s="598"/>
      <c r="G188" s="598"/>
      <c r="H188" s="598"/>
      <c r="I188" s="598"/>
      <c r="J188" s="598"/>
      <c r="K188" s="598"/>
      <c r="L188" s="598"/>
      <c r="M188" s="598"/>
      <c r="N188" s="598"/>
      <c r="O188" s="598"/>
      <c r="P188" s="598"/>
      <c r="Q188" s="598"/>
      <c r="R188" s="598"/>
      <c r="S188" s="598"/>
      <c r="T188" s="598"/>
      <c r="U188" s="598"/>
      <c r="V188" s="598"/>
      <c r="W188" s="598"/>
      <c r="X188" s="598"/>
      <c r="Y188" s="598"/>
      <c r="Z188" s="598"/>
      <c r="AA188" s="911"/>
      <c r="AB188" s="1006"/>
      <c r="AC188" s="1007" t="str">
        <f>IFERROR(__xludf.DUMMYFUNCTION("""COMPUTED_VALUE"""),"Tank's Ultimate")</f>
        <v>Tank's Ultimate</v>
      </c>
      <c r="AD188" s="940" t="s">
        <v>314</v>
      </c>
      <c r="AE188" s="1007">
        <v>0.0</v>
      </c>
      <c r="AF188" s="1007"/>
      <c r="AG188" s="1007">
        <v>10.0</v>
      </c>
      <c r="AH188" s="1009" t="str">
        <f>IFERROR(__xludf.DUMMYFUNCTION("IFERROR(IF(K35 = """", SEQUENCE(1, VALUE(VLOOKUP(M35, AD:AG, 4, false)) - VALUE(VLOOKUP(M35, AD:AG, 2, false)), VALUE(VLOOKUP(M35, AD:AG, 2, false)) + 1),
    IF(ISBETWEEN(K35, VALUE(VLOOKUP(M35, AD:AG, 2, false)), VALUE(VLOOKUP(M35, AD:AG, 4, false))),
 "&amp;"       SEQUENCE(1, VALUE(VLOOKUP(M35, AD:AG, 4, false)) - K35, K35 + 1),
        """")))"),"")</f>
        <v/>
      </c>
      <c r="AI188" s="1007"/>
      <c r="AJ188" s="1007"/>
      <c r="AK188" s="1007"/>
      <c r="AL188" s="1007"/>
      <c r="AM188" s="1007"/>
      <c r="AN188" s="1007"/>
      <c r="AO188" s="1007"/>
      <c r="AP188" s="1007"/>
      <c r="AQ188" s="1007"/>
      <c r="AR188" s="1007"/>
      <c r="AS188" s="1007"/>
      <c r="AT188" s="1007"/>
      <c r="AU188" s="1007"/>
      <c r="AV188" s="1007"/>
      <c r="AW188" s="1007"/>
      <c r="AX188" s="1007"/>
      <c r="AY188" s="1007"/>
      <c r="AZ188" s="1007"/>
      <c r="BA188" s="1007"/>
      <c r="BB188" s="1007"/>
      <c r="BC188" s="1007"/>
      <c r="BD188" s="1007"/>
      <c r="BE188" s="1007"/>
      <c r="BF188" s="1007"/>
      <c r="BG188" s="1007"/>
      <c r="BH188" s="1007"/>
      <c r="BI188" s="1007"/>
      <c r="BJ188" s="1007"/>
      <c r="BK188" s="1007"/>
      <c r="BL188" s="1007"/>
      <c r="BM188" s="1007"/>
      <c r="BN188" s="1007"/>
      <c r="BO188" s="1007"/>
      <c r="BP188" s="1007"/>
      <c r="BQ188" s="1007"/>
      <c r="BR188" s="1007"/>
      <c r="BS188" s="1007"/>
      <c r="BT188" s="1007"/>
      <c r="BU188" s="1007"/>
      <c r="BV188" s="1007"/>
      <c r="BW188" s="1007"/>
      <c r="BX188" s="1007"/>
      <c r="BY188" s="1007"/>
      <c r="BZ188" s="1007"/>
      <c r="CA188" s="1007"/>
      <c r="CB188" s="1007"/>
      <c r="CC188" s="1007"/>
      <c r="CD188" s="1007"/>
      <c r="CE188" s="1007"/>
      <c r="CF188" s="1007"/>
      <c r="CG188" s="1007"/>
      <c r="CH188" s="1007"/>
      <c r="CI188" s="1007"/>
      <c r="CJ188" s="1007"/>
      <c r="CK188" s="1007"/>
      <c r="CL188" s="1007"/>
      <c r="CM188" s="1007"/>
      <c r="CN188" s="1007"/>
      <c r="CO188" s="1007"/>
      <c r="CP188" s="1007"/>
      <c r="CQ188" s="1007"/>
      <c r="CR188" s="1007"/>
      <c r="CS188" s="1007"/>
      <c r="CT188" s="1007"/>
      <c r="CU188" s="1007"/>
      <c r="CV188" s="1007"/>
      <c r="CW188" s="1007"/>
      <c r="CX188" s="1007"/>
      <c r="CY188" s="1007"/>
      <c r="CZ188" s="1007"/>
      <c r="DA188" s="1007"/>
      <c r="DB188" s="1007"/>
      <c r="DC188" s="1007"/>
      <c r="DD188" s="1007"/>
      <c r="DE188" s="1007"/>
      <c r="DF188" s="1007"/>
      <c r="DG188" s="1007"/>
      <c r="DH188" s="1007"/>
      <c r="DI188" s="1007"/>
      <c r="DJ188" s="1007"/>
      <c r="DK188" s="1007"/>
      <c r="DL188" s="1007"/>
      <c r="DM188" s="1007"/>
      <c r="DN188" s="1007"/>
      <c r="DO188" s="1007"/>
      <c r="DP188" s="1007"/>
      <c r="DQ188" s="1007"/>
      <c r="DR188" s="1007"/>
      <c r="DS188" s="1007"/>
      <c r="DT188" s="1007"/>
      <c r="DU188" s="1007"/>
      <c r="DV188" s="1007"/>
      <c r="DW188" s="1007"/>
      <c r="DX188" s="1007"/>
      <c r="DY188" s="1007"/>
      <c r="DZ188" s="1007"/>
      <c r="EA188" s="1007"/>
      <c r="EB188" s="1007"/>
      <c r="EC188" s="1007"/>
      <c r="ED188" s="1007"/>
      <c r="EE188" s="1007"/>
      <c r="EF188" s="1007"/>
      <c r="EG188" s="1007"/>
      <c r="EH188" s="1007"/>
      <c r="EI188" s="1007"/>
      <c r="EJ188" s="1007"/>
      <c r="EK188" s="1007"/>
      <c r="EL188" s="1007"/>
      <c r="EM188" s="1007"/>
      <c r="EN188" s="1007"/>
      <c r="EO188" s="1007"/>
      <c r="EP188" s="1007"/>
      <c r="EQ188" s="1007"/>
      <c r="ER188" s="1007"/>
      <c r="ES188" s="1007"/>
      <c r="ET188" s="1007"/>
      <c r="EU188" s="1007"/>
      <c r="EV188" s="1007"/>
      <c r="EW188" s="1007"/>
      <c r="EX188" s="1007"/>
      <c r="EY188" s="1007"/>
      <c r="EZ188" s="1007"/>
      <c r="FA188" s="1007"/>
      <c r="FB188" s="1007"/>
      <c r="FC188" s="1007"/>
      <c r="FD188" s="1007"/>
      <c r="FE188" s="1007"/>
      <c r="FF188" s="1007"/>
      <c r="FG188" s="1007"/>
      <c r="FH188" s="1007"/>
      <c r="FI188" s="1007"/>
      <c r="FJ188" s="1007"/>
      <c r="FK188" s="1007"/>
      <c r="FL188" s="1007"/>
      <c r="FM188" s="1007"/>
      <c r="FN188" s="1007"/>
      <c r="FO188" s="1007"/>
      <c r="FP188" s="1007"/>
      <c r="FQ188" s="1007"/>
      <c r="FR188" s="1007"/>
      <c r="FS188" s="1007"/>
      <c r="FT188" s="1007"/>
      <c r="FU188" s="1007"/>
      <c r="FV188" s="1007"/>
      <c r="FW188" s="1007"/>
      <c r="FX188" s="1007"/>
      <c r="FY188" s="1007"/>
      <c r="FZ188" s="1007"/>
      <c r="GA188" s="1007"/>
      <c r="GB188" s="1007"/>
      <c r="GC188" s="1007"/>
      <c r="GD188" s="1007"/>
      <c r="GE188" s="1007"/>
      <c r="GF188" s="1007"/>
      <c r="GG188" s="1007"/>
      <c r="GH188" s="1007"/>
      <c r="GI188" s="1007"/>
      <c r="GJ188" s="1007"/>
      <c r="GK188" s="1007"/>
      <c r="GL188" s="1007"/>
      <c r="GM188" s="1007"/>
      <c r="GN188" s="1007"/>
      <c r="GO188" s="1007"/>
      <c r="GP188" s="1007"/>
      <c r="GQ188" s="1007"/>
      <c r="GR188" s="1007"/>
      <c r="GS188" s="1007"/>
      <c r="GT188" s="1007"/>
      <c r="GU188" s="1007"/>
      <c r="GV188" s="1007"/>
      <c r="GW188" s="1007"/>
      <c r="GX188" s="1007"/>
      <c r="GY188" s="1007"/>
      <c r="GZ188" s="1007"/>
      <c r="HA188" s="1007"/>
      <c r="HB188" s="1007"/>
      <c r="HC188" s="1007"/>
      <c r="HD188" s="1007"/>
      <c r="HE188" s="1007"/>
      <c r="HF188" s="1007"/>
      <c r="HG188" s="1007"/>
      <c r="HH188" s="1007"/>
      <c r="HI188" s="1007"/>
      <c r="HJ188" s="1007"/>
      <c r="HK188" s="1007"/>
      <c r="HL188" s="1007"/>
      <c r="HM188" s="1007"/>
      <c r="HN188" s="1007"/>
      <c r="HO188" s="1007"/>
      <c r="HP188" s="1007"/>
      <c r="HQ188" s="1007"/>
      <c r="HR188" s="1007"/>
      <c r="HS188" s="1007"/>
      <c r="HT188" s="1007"/>
      <c r="HU188" s="1007"/>
      <c r="HV188" s="1007"/>
      <c r="HW188" s="1007"/>
      <c r="HX188" s="1007"/>
      <c r="HY188" s="1007"/>
      <c r="HZ188" s="1007"/>
      <c r="IA188" s="1007"/>
      <c r="IB188" s="1007"/>
      <c r="IC188" s="1007"/>
      <c r="ID188" s="1007"/>
      <c r="IE188" s="1007"/>
      <c r="IF188" s="1007"/>
      <c r="IG188" s="1007"/>
      <c r="IH188" s="1007"/>
    </row>
    <row r="189" hidden="1" outlineLevel="1">
      <c r="A189" s="598"/>
      <c r="B189" s="598"/>
      <c r="C189" s="598"/>
      <c r="D189" s="598"/>
      <c r="E189" s="598"/>
      <c r="F189" s="598"/>
      <c r="G189" s="598"/>
      <c r="H189" s="598"/>
      <c r="I189" s="598"/>
      <c r="J189" s="598"/>
      <c r="K189" s="598"/>
      <c r="L189" s="598"/>
      <c r="M189" s="598"/>
      <c r="N189" s="598"/>
      <c r="O189" s="598"/>
      <c r="P189" s="598"/>
      <c r="Q189" s="598"/>
      <c r="R189" s="598"/>
      <c r="S189" s="598"/>
      <c r="T189" s="598"/>
      <c r="U189" s="598"/>
      <c r="V189" s="598"/>
      <c r="W189" s="598"/>
      <c r="X189" s="598"/>
      <c r="Y189" s="598"/>
      <c r="Z189" s="598"/>
      <c r="AA189" s="911"/>
      <c r="AB189" s="1006"/>
      <c r="AC189" s="1007" t="str">
        <f>IFERROR(__xludf.DUMMYFUNCTION("""COMPUTED_VALUE"""),"Target Priority")</f>
        <v>Target Priority</v>
      </c>
      <c r="AD189" s="1008" t="s">
        <v>270</v>
      </c>
      <c r="AE189" s="1007">
        <v>2.0</v>
      </c>
      <c r="AF189" s="1007"/>
      <c r="AG189" s="1007">
        <v>2.0</v>
      </c>
      <c r="AH189" s="1009" t="str">
        <f>IFERROR(__xludf.DUMMYFUNCTION("IFERROR(IF(K36 = """", SEQUENCE(1, VALUE(VLOOKUP(M36, AD:AG, 4, false)) - VALUE(VLOOKUP(M36, AD:AG, 2, false)), VALUE(VLOOKUP(M36, AD:AG, 2, false)) + 1),
    IF(ISBETWEEN(K36, VALUE(VLOOKUP(M36, AD:AG, 2, false)), VALUE(VLOOKUP(M36, AD:AG, 4, false))),
 "&amp;"       SEQUENCE(1, VALUE(VLOOKUP(M36, AD:AG, 4, false)) - K36, K36 + 1),
        """")))"),"")</f>
        <v/>
      </c>
      <c r="AI189" s="1007"/>
      <c r="AJ189" s="1007"/>
      <c r="AK189" s="1007"/>
      <c r="AL189" s="1007"/>
      <c r="AM189" s="1007"/>
      <c r="AN189" s="1007"/>
      <c r="AO189" s="1007"/>
      <c r="AP189" s="1007"/>
      <c r="AQ189" s="1007"/>
      <c r="AR189" s="1007"/>
      <c r="AS189" s="1007"/>
      <c r="AT189" s="1007"/>
      <c r="AU189" s="1007"/>
      <c r="AV189" s="1007"/>
      <c r="AW189" s="1007"/>
      <c r="AX189" s="1007"/>
      <c r="AY189" s="1007"/>
      <c r="AZ189" s="1007"/>
      <c r="BA189" s="1007"/>
      <c r="BB189" s="1007"/>
      <c r="BC189" s="1007"/>
      <c r="BD189" s="1007"/>
      <c r="BE189" s="1007"/>
      <c r="BF189" s="1007"/>
      <c r="BG189" s="1007"/>
      <c r="BH189" s="1007"/>
      <c r="BI189" s="1007"/>
      <c r="BJ189" s="1007"/>
      <c r="BK189" s="1007"/>
      <c r="BL189" s="1007"/>
      <c r="BM189" s="1007"/>
      <c r="BN189" s="1007"/>
      <c r="BO189" s="1007"/>
      <c r="BP189" s="1007"/>
      <c r="BQ189" s="1007"/>
      <c r="BR189" s="1007"/>
      <c r="BS189" s="1007"/>
      <c r="BT189" s="1007"/>
      <c r="BU189" s="1007"/>
      <c r="BV189" s="1007"/>
      <c r="BW189" s="1007"/>
      <c r="BX189" s="1007"/>
      <c r="BY189" s="1007"/>
      <c r="BZ189" s="1007"/>
      <c r="CA189" s="1007"/>
      <c r="CB189" s="1007"/>
      <c r="CC189" s="1007"/>
      <c r="CD189" s="1007"/>
      <c r="CE189" s="1007"/>
      <c r="CF189" s="1007"/>
      <c r="CG189" s="1007"/>
      <c r="CH189" s="1007"/>
      <c r="CI189" s="1007"/>
      <c r="CJ189" s="1007"/>
      <c r="CK189" s="1007"/>
      <c r="CL189" s="1007"/>
      <c r="CM189" s="1007"/>
      <c r="CN189" s="1007"/>
      <c r="CO189" s="1007"/>
      <c r="CP189" s="1007"/>
      <c r="CQ189" s="1007"/>
      <c r="CR189" s="1007"/>
      <c r="CS189" s="1007"/>
      <c r="CT189" s="1007"/>
      <c r="CU189" s="1007"/>
      <c r="CV189" s="1007"/>
      <c r="CW189" s="1007"/>
      <c r="CX189" s="1007"/>
      <c r="CY189" s="1007"/>
      <c r="CZ189" s="1007"/>
      <c r="DA189" s="1007"/>
      <c r="DB189" s="1007"/>
      <c r="DC189" s="1007"/>
      <c r="DD189" s="1007"/>
      <c r="DE189" s="1007"/>
      <c r="DF189" s="1007"/>
      <c r="DG189" s="1007"/>
      <c r="DH189" s="1007"/>
      <c r="DI189" s="1007"/>
      <c r="DJ189" s="1007"/>
      <c r="DK189" s="1007"/>
      <c r="DL189" s="1007"/>
      <c r="DM189" s="1007"/>
      <c r="DN189" s="1007"/>
      <c r="DO189" s="1007"/>
      <c r="DP189" s="1007"/>
      <c r="DQ189" s="1007"/>
      <c r="DR189" s="1007"/>
      <c r="DS189" s="1007"/>
      <c r="DT189" s="1007"/>
      <c r="DU189" s="1007"/>
      <c r="DV189" s="1007"/>
      <c r="DW189" s="1007"/>
      <c r="DX189" s="1007"/>
      <c r="DY189" s="1007"/>
      <c r="DZ189" s="1007"/>
      <c r="EA189" s="1007"/>
      <c r="EB189" s="1007"/>
      <c r="EC189" s="1007"/>
      <c r="ED189" s="1007"/>
      <c r="EE189" s="1007"/>
      <c r="EF189" s="1007"/>
      <c r="EG189" s="1007"/>
      <c r="EH189" s="1007"/>
      <c r="EI189" s="1007"/>
      <c r="EJ189" s="1007"/>
      <c r="EK189" s="1007"/>
      <c r="EL189" s="1007"/>
      <c r="EM189" s="1007"/>
      <c r="EN189" s="1007"/>
      <c r="EO189" s="1007"/>
      <c r="EP189" s="1007"/>
      <c r="EQ189" s="1007"/>
      <c r="ER189" s="1007"/>
      <c r="ES189" s="1007"/>
      <c r="ET189" s="1007"/>
      <c r="EU189" s="1007"/>
      <c r="EV189" s="1007"/>
      <c r="EW189" s="1007"/>
      <c r="EX189" s="1007"/>
      <c r="EY189" s="1007"/>
      <c r="EZ189" s="1007"/>
      <c r="FA189" s="1007"/>
      <c r="FB189" s="1007"/>
      <c r="FC189" s="1007"/>
      <c r="FD189" s="1007"/>
      <c r="FE189" s="1007"/>
      <c r="FF189" s="1007"/>
      <c r="FG189" s="1007"/>
      <c r="FH189" s="1007"/>
      <c r="FI189" s="1007"/>
      <c r="FJ189" s="1007"/>
      <c r="FK189" s="1007"/>
      <c r="FL189" s="1007"/>
      <c r="FM189" s="1007"/>
      <c r="FN189" s="1007"/>
      <c r="FO189" s="1007"/>
      <c r="FP189" s="1007"/>
      <c r="FQ189" s="1007"/>
      <c r="FR189" s="1007"/>
      <c r="FS189" s="1007"/>
      <c r="FT189" s="1007"/>
      <c r="FU189" s="1007"/>
      <c r="FV189" s="1007"/>
      <c r="FW189" s="1007"/>
      <c r="FX189" s="1007"/>
      <c r="FY189" s="1007"/>
      <c r="FZ189" s="1007"/>
      <c r="GA189" s="1007"/>
      <c r="GB189" s="1007"/>
      <c r="GC189" s="1007"/>
      <c r="GD189" s="1007"/>
      <c r="GE189" s="1007"/>
      <c r="GF189" s="1007"/>
      <c r="GG189" s="1007"/>
      <c r="GH189" s="1007"/>
      <c r="GI189" s="1007"/>
      <c r="GJ189" s="1007"/>
      <c r="GK189" s="1007"/>
      <c r="GL189" s="1007"/>
      <c r="GM189" s="1007"/>
      <c r="GN189" s="1007"/>
      <c r="GO189" s="1007"/>
      <c r="GP189" s="1007"/>
      <c r="GQ189" s="1007"/>
      <c r="GR189" s="1007"/>
      <c r="GS189" s="1007"/>
      <c r="GT189" s="1007"/>
      <c r="GU189" s="1007"/>
      <c r="GV189" s="1007"/>
      <c r="GW189" s="1007"/>
      <c r="GX189" s="1007"/>
      <c r="GY189" s="1007"/>
      <c r="GZ189" s="1007"/>
      <c r="HA189" s="1007"/>
      <c r="HB189" s="1007"/>
      <c r="HC189" s="1007"/>
      <c r="HD189" s="1007"/>
      <c r="HE189" s="1007"/>
      <c r="HF189" s="1007"/>
      <c r="HG189" s="1007"/>
      <c r="HH189" s="1007"/>
      <c r="HI189" s="1007"/>
      <c r="HJ189" s="1007"/>
      <c r="HK189" s="1007"/>
      <c r="HL189" s="1007"/>
      <c r="HM189" s="1007"/>
      <c r="HN189" s="1007"/>
      <c r="HO189" s="1007"/>
      <c r="HP189" s="1007"/>
      <c r="HQ189" s="1007"/>
      <c r="HR189" s="1007"/>
      <c r="HS189" s="1007"/>
      <c r="HT189" s="1007"/>
      <c r="HU189" s="1007"/>
      <c r="HV189" s="1007"/>
      <c r="HW189" s="1007"/>
      <c r="HX189" s="1007"/>
      <c r="HY189" s="1007"/>
      <c r="HZ189" s="1007"/>
      <c r="IA189" s="1007"/>
      <c r="IB189" s="1007"/>
      <c r="IC189" s="1007"/>
      <c r="ID189" s="1007"/>
      <c r="IE189" s="1007"/>
      <c r="IF189" s="1007"/>
      <c r="IG189" s="1007"/>
      <c r="IH189" s="1007"/>
    </row>
    <row r="190" hidden="1" outlineLevel="1">
      <c r="A190" s="598"/>
      <c r="B190" s="598"/>
      <c r="C190" s="598"/>
      <c r="D190" s="598"/>
      <c r="E190" s="598"/>
      <c r="F190" s="598"/>
      <c r="G190" s="598"/>
      <c r="H190" s="598"/>
      <c r="I190" s="598"/>
      <c r="J190" s="598"/>
      <c r="K190" s="598"/>
      <c r="L190" s="598"/>
      <c r="M190" s="598"/>
      <c r="N190" s="598"/>
      <c r="O190" s="598"/>
      <c r="P190" s="598"/>
      <c r="Q190" s="598"/>
      <c r="R190" s="598"/>
      <c r="S190" s="598"/>
      <c r="T190" s="598"/>
      <c r="U190" s="598"/>
      <c r="V190" s="598"/>
      <c r="W190" s="598"/>
      <c r="X190" s="598"/>
      <c r="Y190" s="598"/>
      <c r="Z190" s="598"/>
      <c r="AA190" s="911"/>
      <c r="AB190" s="1006"/>
      <c r="AC190" s="1007" t="str">
        <f>IFERROR(__xludf.DUMMYFUNCTION("""COMPUTED_VALUE"""),"Thorns Resistance")</f>
        <v>Thorns Resistance</v>
      </c>
      <c r="AD190" s="825" t="s">
        <v>190</v>
      </c>
      <c r="AE190" s="1007">
        <v>0.0</v>
      </c>
      <c r="AF190" s="1007"/>
      <c r="AG190" s="1007">
        <v>20.0</v>
      </c>
      <c r="AH190" s="1009" t="str">
        <f>IFERROR(__xludf.DUMMYFUNCTION("IFERROR(IF(K37 = """", SEQUENCE(1, VALUE(VLOOKUP(M37, AD:AG, 4, false)) - VALUE(VLOOKUP(M37, AD:AG, 2, false)), VALUE(VLOOKUP(M37, AD:AG, 2, false)) + 1),
    IF(ISBETWEEN(K37, VALUE(VLOOKUP(M37, AD:AG, 2, false)), VALUE(VLOOKUP(M37, AD:AG, 4, false))),
 "&amp;"       SEQUENCE(1, VALUE(VLOOKUP(M37, AD:AG, 4, false)) - K37, K37 + 1),
        """")))"),"")</f>
        <v/>
      </c>
      <c r="AI190" s="1007"/>
      <c r="AJ190" s="1007"/>
      <c r="AK190" s="1007"/>
      <c r="AL190" s="1007"/>
      <c r="AM190" s="1007"/>
      <c r="AN190" s="1007"/>
      <c r="AO190" s="1007"/>
      <c r="AP190" s="1007"/>
      <c r="AQ190" s="1007"/>
      <c r="AR190" s="1007"/>
      <c r="AS190" s="1007"/>
      <c r="AT190" s="1007"/>
      <c r="AU190" s="1007"/>
      <c r="AV190" s="1007"/>
      <c r="AW190" s="1007"/>
      <c r="AX190" s="1007"/>
      <c r="AY190" s="1007"/>
      <c r="AZ190" s="1007"/>
      <c r="BA190" s="1007"/>
      <c r="BB190" s="1007"/>
      <c r="BC190" s="1007"/>
      <c r="BD190" s="1007"/>
      <c r="BE190" s="1007"/>
      <c r="BF190" s="1007"/>
      <c r="BG190" s="1007"/>
      <c r="BH190" s="1007"/>
      <c r="BI190" s="1007"/>
      <c r="BJ190" s="1007"/>
      <c r="BK190" s="1007"/>
      <c r="BL190" s="1007"/>
      <c r="BM190" s="1007"/>
      <c r="BN190" s="1007"/>
      <c r="BO190" s="1007"/>
      <c r="BP190" s="1007"/>
      <c r="BQ190" s="1007"/>
      <c r="BR190" s="1007"/>
      <c r="BS190" s="1007"/>
      <c r="BT190" s="1007"/>
      <c r="BU190" s="1007"/>
      <c r="BV190" s="1007"/>
      <c r="BW190" s="1007"/>
      <c r="BX190" s="1007"/>
      <c r="BY190" s="1007"/>
      <c r="BZ190" s="1007"/>
      <c r="CA190" s="1007"/>
      <c r="CB190" s="1007"/>
      <c r="CC190" s="1007"/>
      <c r="CD190" s="1007"/>
      <c r="CE190" s="1007"/>
      <c r="CF190" s="1007"/>
      <c r="CG190" s="1007"/>
      <c r="CH190" s="1007"/>
      <c r="CI190" s="1007"/>
      <c r="CJ190" s="1007"/>
      <c r="CK190" s="1007"/>
      <c r="CL190" s="1007"/>
      <c r="CM190" s="1007"/>
      <c r="CN190" s="1007"/>
      <c r="CO190" s="1007"/>
      <c r="CP190" s="1007"/>
      <c r="CQ190" s="1007"/>
      <c r="CR190" s="1007"/>
      <c r="CS190" s="1007"/>
      <c r="CT190" s="1007"/>
      <c r="CU190" s="1007"/>
      <c r="CV190" s="1007"/>
      <c r="CW190" s="1007"/>
      <c r="CX190" s="1007"/>
      <c r="CY190" s="1007"/>
      <c r="CZ190" s="1007"/>
      <c r="DA190" s="1007"/>
      <c r="DB190" s="1007"/>
      <c r="DC190" s="1007"/>
      <c r="DD190" s="1007"/>
      <c r="DE190" s="1007"/>
      <c r="DF190" s="1007"/>
      <c r="DG190" s="1007"/>
      <c r="DH190" s="1007"/>
      <c r="DI190" s="1007"/>
      <c r="DJ190" s="1007"/>
      <c r="DK190" s="1007"/>
      <c r="DL190" s="1007"/>
      <c r="DM190" s="1007"/>
      <c r="DN190" s="1007"/>
      <c r="DO190" s="1007"/>
      <c r="DP190" s="1007"/>
      <c r="DQ190" s="1007"/>
      <c r="DR190" s="1007"/>
      <c r="DS190" s="1007"/>
      <c r="DT190" s="1007"/>
      <c r="DU190" s="1007"/>
      <c r="DV190" s="1007"/>
      <c r="DW190" s="1007"/>
      <c r="DX190" s="1007"/>
      <c r="DY190" s="1007"/>
      <c r="DZ190" s="1007"/>
      <c r="EA190" s="1007"/>
      <c r="EB190" s="1007"/>
      <c r="EC190" s="1007"/>
      <c r="ED190" s="1007"/>
      <c r="EE190" s="1007"/>
      <c r="EF190" s="1007"/>
      <c r="EG190" s="1007"/>
      <c r="EH190" s="1007"/>
      <c r="EI190" s="1007"/>
      <c r="EJ190" s="1007"/>
      <c r="EK190" s="1007"/>
      <c r="EL190" s="1007"/>
      <c r="EM190" s="1007"/>
      <c r="EN190" s="1007"/>
      <c r="EO190" s="1007"/>
      <c r="EP190" s="1007"/>
      <c r="EQ190" s="1007"/>
      <c r="ER190" s="1007"/>
      <c r="ES190" s="1007"/>
      <c r="ET190" s="1007"/>
      <c r="EU190" s="1007"/>
      <c r="EV190" s="1007"/>
      <c r="EW190" s="1007"/>
      <c r="EX190" s="1007"/>
      <c r="EY190" s="1007"/>
      <c r="EZ190" s="1007"/>
      <c r="FA190" s="1007"/>
      <c r="FB190" s="1007"/>
      <c r="FC190" s="1007"/>
      <c r="FD190" s="1007"/>
      <c r="FE190" s="1007"/>
      <c r="FF190" s="1007"/>
      <c r="FG190" s="1007"/>
      <c r="FH190" s="1007"/>
      <c r="FI190" s="1007"/>
      <c r="FJ190" s="1007"/>
      <c r="FK190" s="1007"/>
      <c r="FL190" s="1007"/>
      <c r="FM190" s="1007"/>
      <c r="FN190" s="1007"/>
      <c r="FO190" s="1007"/>
      <c r="FP190" s="1007"/>
      <c r="FQ190" s="1007"/>
      <c r="FR190" s="1007"/>
      <c r="FS190" s="1007"/>
      <c r="FT190" s="1007"/>
      <c r="FU190" s="1007"/>
      <c r="FV190" s="1007"/>
      <c r="FW190" s="1007"/>
      <c r="FX190" s="1007"/>
      <c r="FY190" s="1007"/>
      <c r="FZ190" s="1007"/>
      <c r="GA190" s="1007"/>
      <c r="GB190" s="1007"/>
      <c r="GC190" s="1007"/>
      <c r="GD190" s="1007"/>
      <c r="GE190" s="1007"/>
      <c r="GF190" s="1007"/>
      <c r="GG190" s="1007"/>
      <c r="GH190" s="1007"/>
      <c r="GI190" s="1007"/>
      <c r="GJ190" s="1007"/>
      <c r="GK190" s="1007"/>
      <c r="GL190" s="1007"/>
      <c r="GM190" s="1007"/>
      <c r="GN190" s="1007"/>
      <c r="GO190" s="1007"/>
      <c r="GP190" s="1007"/>
      <c r="GQ190" s="1007"/>
      <c r="GR190" s="1007"/>
      <c r="GS190" s="1007"/>
      <c r="GT190" s="1007"/>
      <c r="GU190" s="1007"/>
      <c r="GV190" s="1007"/>
      <c r="GW190" s="1007"/>
      <c r="GX190" s="1007"/>
      <c r="GY190" s="1007"/>
      <c r="GZ190" s="1007"/>
      <c r="HA190" s="1007"/>
      <c r="HB190" s="1007"/>
      <c r="HC190" s="1007"/>
      <c r="HD190" s="1007"/>
      <c r="HE190" s="1007"/>
      <c r="HF190" s="1007"/>
      <c r="HG190" s="1007"/>
      <c r="HH190" s="1007"/>
      <c r="HI190" s="1007"/>
      <c r="HJ190" s="1007"/>
      <c r="HK190" s="1007"/>
      <c r="HL190" s="1007"/>
      <c r="HM190" s="1007"/>
      <c r="HN190" s="1007"/>
      <c r="HO190" s="1007"/>
      <c r="HP190" s="1007"/>
      <c r="HQ190" s="1007"/>
      <c r="HR190" s="1007"/>
      <c r="HS190" s="1007"/>
      <c r="HT190" s="1007"/>
      <c r="HU190" s="1007"/>
      <c r="HV190" s="1007"/>
      <c r="HW190" s="1007"/>
      <c r="HX190" s="1007"/>
      <c r="HY190" s="1007"/>
      <c r="HZ190" s="1007"/>
      <c r="IA190" s="1007"/>
      <c r="IB190" s="1007"/>
      <c r="IC190" s="1007"/>
      <c r="ID190" s="1007"/>
      <c r="IE190" s="1007"/>
      <c r="IF190" s="1007"/>
      <c r="IG190" s="1007"/>
      <c r="IH190" s="1007"/>
    </row>
    <row r="191" hidden="1" outlineLevel="1">
      <c r="A191" s="598"/>
      <c r="B191" s="598"/>
      <c r="C191" s="598"/>
      <c r="D191" s="598"/>
      <c r="E191" s="598"/>
      <c r="F191" s="598"/>
      <c r="G191" s="598"/>
      <c r="H191" s="598"/>
      <c r="I191" s="598"/>
      <c r="J191" s="598"/>
      <c r="K191" s="598"/>
      <c r="L191" s="598"/>
      <c r="M191" s="598"/>
      <c r="N191" s="598"/>
      <c r="O191" s="598"/>
      <c r="P191" s="598"/>
      <c r="Q191" s="598"/>
      <c r="R191" s="598"/>
      <c r="S191" s="598"/>
      <c r="T191" s="598"/>
      <c r="U191" s="598"/>
      <c r="V191" s="598"/>
      <c r="W191" s="598"/>
      <c r="X191" s="598"/>
      <c r="Y191" s="598"/>
      <c r="Z191" s="598"/>
      <c r="AA191" s="911"/>
      <c r="AB191" s="1006"/>
      <c r="AC191" s="1007" t="str">
        <f>IFERROR(__xludf.DUMMYFUNCTION("""COMPUTED_VALUE"""),"Thunder Bot - Cooldown")</f>
        <v>Thunder Bot - Cooldown</v>
      </c>
      <c r="AD191" s="1008" t="s">
        <v>176</v>
      </c>
      <c r="AE191" s="1007">
        <v>0.0</v>
      </c>
      <c r="AF191" s="1007"/>
      <c r="AG191" s="1007">
        <v>25.0</v>
      </c>
      <c r="AH191" s="1009" t="str">
        <f>IFERROR(__xludf.DUMMYFUNCTION("IFERROR(IF(K38 = """", SEQUENCE(1, VALUE(VLOOKUP(M38, AD:AG, 4, false)) - VALUE(VLOOKUP(M38, AD:AG, 2, false)), VALUE(VLOOKUP(M38, AD:AG, 2, false)) + 1),
    IF(ISBETWEEN(K38, VALUE(VLOOKUP(M38, AD:AG, 2, false)), VALUE(VLOOKUP(M38, AD:AG, 4, false))),
 "&amp;"       SEQUENCE(1, VALUE(VLOOKUP(M38, AD:AG, 4, false)) - K38, K38 + 1),
        """")))"),"")</f>
        <v/>
      </c>
      <c r="AI191" s="1007"/>
      <c r="AJ191" s="1007"/>
      <c r="AK191" s="1007"/>
      <c r="AL191" s="1007"/>
      <c r="AM191" s="1007"/>
      <c r="AN191" s="1007"/>
      <c r="AO191" s="1007"/>
      <c r="AP191" s="1007"/>
      <c r="AQ191" s="1007"/>
      <c r="AR191" s="1007"/>
      <c r="AS191" s="1007"/>
      <c r="AT191" s="1007"/>
      <c r="AU191" s="1007"/>
      <c r="AV191" s="1007"/>
      <c r="AW191" s="1007"/>
      <c r="AX191" s="1007"/>
      <c r="AY191" s="1007"/>
      <c r="AZ191" s="1007"/>
      <c r="BA191" s="1007"/>
      <c r="BB191" s="1007"/>
      <c r="BC191" s="1007"/>
      <c r="BD191" s="1007"/>
      <c r="BE191" s="1007"/>
      <c r="BF191" s="1007"/>
      <c r="BG191" s="1007"/>
      <c r="BH191" s="1007"/>
      <c r="BI191" s="1007"/>
      <c r="BJ191" s="1007"/>
      <c r="BK191" s="1007"/>
      <c r="BL191" s="1007"/>
      <c r="BM191" s="1007"/>
      <c r="BN191" s="1007"/>
      <c r="BO191" s="1007"/>
      <c r="BP191" s="1007"/>
      <c r="BQ191" s="1007"/>
      <c r="BR191" s="1007"/>
      <c r="BS191" s="1007"/>
      <c r="BT191" s="1007"/>
      <c r="BU191" s="1007"/>
      <c r="BV191" s="1007"/>
      <c r="BW191" s="1007"/>
      <c r="BX191" s="1007"/>
      <c r="BY191" s="1007"/>
      <c r="BZ191" s="1007"/>
      <c r="CA191" s="1007"/>
      <c r="CB191" s="1007"/>
      <c r="CC191" s="1007"/>
      <c r="CD191" s="1007"/>
      <c r="CE191" s="1007"/>
      <c r="CF191" s="1007"/>
      <c r="CG191" s="1007"/>
      <c r="CH191" s="1007"/>
      <c r="CI191" s="1007"/>
      <c r="CJ191" s="1007"/>
      <c r="CK191" s="1007"/>
      <c r="CL191" s="1007"/>
      <c r="CM191" s="1007"/>
      <c r="CN191" s="1007"/>
      <c r="CO191" s="1007"/>
      <c r="CP191" s="1007"/>
      <c r="CQ191" s="1007"/>
      <c r="CR191" s="1007"/>
      <c r="CS191" s="1007"/>
      <c r="CT191" s="1007"/>
      <c r="CU191" s="1007"/>
      <c r="CV191" s="1007"/>
      <c r="CW191" s="1007"/>
      <c r="CX191" s="1007"/>
      <c r="CY191" s="1007"/>
      <c r="CZ191" s="1007"/>
      <c r="DA191" s="1007"/>
      <c r="DB191" s="1007"/>
      <c r="DC191" s="1007"/>
      <c r="DD191" s="1007"/>
      <c r="DE191" s="1007"/>
      <c r="DF191" s="1007"/>
      <c r="DG191" s="1007"/>
      <c r="DH191" s="1007"/>
      <c r="DI191" s="1007"/>
      <c r="DJ191" s="1007"/>
      <c r="DK191" s="1007"/>
      <c r="DL191" s="1007"/>
      <c r="DM191" s="1007"/>
      <c r="DN191" s="1007"/>
      <c r="DO191" s="1007"/>
      <c r="DP191" s="1007"/>
      <c r="DQ191" s="1007"/>
      <c r="DR191" s="1007"/>
      <c r="DS191" s="1007"/>
      <c r="DT191" s="1007"/>
      <c r="DU191" s="1007"/>
      <c r="DV191" s="1007"/>
      <c r="DW191" s="1007"/>
      <c r="DX191" s="1007"/>
      <c r="DY191" s="1007"/>
      <c r="DZ191" s="1007"/>
      <c r="EA191" s="1007"/>
      <c r="EB191" s="1007"/>
      <c r="EC191" s="1007"/>
      <c r="ED191" s="1007"/>
      <c r="EE191" s="1007"/>
      <c r="EF191" s="1007"/>
      <c r="EG191" s="1007"/>
      <c r="EH191" s="1007"/>
      <c r="EI191" s="1007"/>
      <c r="EJ191" s="1007"/>
      <c r="EK191" s="1007"/>
      <c r="EL191" s="1007"/>
      <c r="EM191" s="1007"/>
      <c r="EN191" s="1007"/>
      <c r="EO191" s="1007"/>
      <c r="EP191" s="1007"/>
      <c r="EQ191" s="1007"/>
      <c r="ER191" s="1007"/>
      <c r="ES191" s="1007"/>
      <c r="ET191" s="1007"/>
      <c r="EU191" s="1007"/>
      <c r="EV191" s="1007"/>
      <c r="EW191" s="1007"/>
      <c r="EX191" s="1007"/>
      <c r="EY191" s="1007"/>
      <c r="EZ191" s="1007"/>
      <c r="FA191" s="1007"/>
      <c r="FB191" s="1007"/>
      <c r="FC191" s="1007"/>
      <c r="FD191" s="1007"/>
      <c r="FE191" s="1007"/>
      <c r="FF191" s="1007"/>
      <c r="FG191" s="1007"/>
      <c r="FH191" s="1007"/>
      <c r="FI191" s="1007"/>
      <c r="FJ191" s="1007"/>
      <c r="FK191" s="1007"/>
      <c r="FL191" s="1007"/>
      <c r="FM191" s="1007"/>
      <c r="FN191" s="1007"/>
      <c r="FO191" s="1007"/>
      <c r="FP191" s="1007"/>
      <c r="FQ191" s="1007"/>
      <c r="FR191" s="1007"/>
      <c r="FS191" s="1007"/>
      <c r="FT191" s="1007"/>
      <c r="FU191" s="1007"/>
      <c r="FV191" s="1007"/>
      <c r="FW191" s="1007"/>
      <c r="FX191" s="1007"/>
      <c r="FY191" s="1007"/>
      <c r="FZ191" s="1007"/>
      <c r="GA191" s="1007"/>
      <c r="GB191" s="1007"/>
      <c r="GC191" s="1007"/>
      <c r="GD191" s="1007"/>
      <c r="GE191" s="1007"/>
      <c r="GF191" s="1007"/>
      <c r="GG191" s="1007"/>
      <c r="GH191" s="1007"/>
      <c r="GI191" s="1007"/>
      <c r="GJ191" s="1007"/>
      <c r="GK191" s="1007"/>
      <c r="GL191" s="1007"/>
      <c r="GM191" s="1007"/>
      <c r="GN191" s="1007"/>
      <c r="GO191" s="1007"/>
      <c r="GP191" s="1007"/>
      <c r="GQ191" s="1007"/>
      <c r="GR191" s="1007"/>
      <c r="GS191" s="1007"/>
      <c r="GT191" s="1007"/>
      <c r="GU191" s="1007"/>
      <c r="GV191" s="1007"/>
      <c r="GW191" s="1007"/>
      <c r="GX191" s="1007"/>
      <c r="GY191" s="1007"/>
      <c r="GZ191" s="1007"/>
      <c r="HA191" s="1007"/>
      <c r="HB191" s="1007"/>
      <c r="HC191" s="1007"/>
      <c r="HD191" s="1007"/>
      <c r="HE191" s="1007"/>
      <c r="HF191" s="1007"/>
      <c r="HG191" s="1007"/>
      <c r="HH191" s="1007"/>
      <c r="HI191" s="1007"/>
      <c r="HJ191" s="1007"/>
      <c r="HK191" s="1007"/>
      <c r="HL191" s="1007"/>
      <c r="HM191" s="1007"/>
      <c r="HN191" s="1007"/>
      <c r="HO191" s="1007"/>
      <c r="HP191" s="1007"/>
      <c r="HQ191" s="1007"/>
      <c r="HR191" s="1007"/>
      <c r="HS191" s="1007"/>
      <c r="HT191" s="1007"/>
      <c r="HU191" s="1007"/>
      <c r="HV191" s="1007"/>
      <c r="HW191" s="1007"/>
      <c r="HX191" s="1007"/>
      <c r="HY191" s="1007"/>
      <c r="HZ191" s="1007"/>
      <c r="IA191" s="1007"/>
      <c r="IB191" s="1007"/>
      <c r="IC191" s="1007"/>
      <c r="ID191" s="1007"/>
      <c r="IE191" s="1007"/>
      <c r="IF191" s="1007"/>
      <c r="IG191" s="1007"/>
      <c r="IH191" s="1007"/>
    </row>
    <row r="192" hidden="1" outlineLevel="1">
      <c r="A192" s="598"/>
      <c r="B192" s="598"/>
      <c r="C192" s="598"/>
      <c r="D192" s="598"/>
      <c r="E192" s="598"/>
      <c r="F192" s="598"/>
      <c r="G192" s="598"/>
      <c r="H192" s="598"/>
      <c r="I192" s="598"/>
      <c r="J192" s="598"/>
      <c r="K192" s="598"/>
      <c r="L192" s="598"/>
      <c r="M192" s="598"/>
      <c r="N192" s="598"/>
      <c r="O192" s="598"/>
      <c r="P192" s="598"/>
      <c r="Q192" s="598"/>
      <c r="R192" s="598"/>
      <c r="S192" s="598"/>
      <c r="T192" s="598"/>
      <c r="U192" s="598"/>
      <c r="V192" s="598"/>
      <c r="W192" s="598"/>
      <c r="X192" s="598"/>
      <c r="Y192" s="598"/>
      <c r="Z192" s="598"/>
      <c r="AA192" s="911"/>
      <c r="AB192" s="1006"/>
      <c r="AC192" s="1007" t="str">
        <f>IFERROR(__xludf.DUMMYFUNCTION("""COMPUTED_VALUE"""),"Thunder Bot - Linger Time")</f>
        <v>Thunder Bot - Linger Time</v>
      </c>
      <c r="AD192" s="1008" t="s">
        <v>234</v>
      </c>
      <c r="AE192" s="1007">
        <v>0.0</v>
      </c>
      <c r="AF192" s="1007"/>
      <c r="AG192" s="1007">
        <v>20.0</v>
      </c>
      <c r="AH192" s="1009" t="str">
        <f>IFERROR(__xludf.DUMMYFUNCTION("IFERROR(IF(K39 = """", SEQUENCE(1, VALUE(VLOOKUP(M39, AD:AG, 4, false)) - VALUE(VLOOKUP(M39, AD:AG, 2, false)), VALUE(VLOOKUP(M39, AD:AG, 2, false)) + 1),
    IF(ISBETWEEN(K39, VALUE(VLOOKUP(M39, AD:AG, 2, false)), VALUE(VLOOKUP(M39, AD:AG, 4, false))),
 "&amp;"       SEQUENCE(1, VALUE(VLOOKUP(M39, AD:AG, 4, false)) - K39, K39 + 1),
        """")))"),"")</f>
        <v/>
      </c>
      <c r="AI192" s="1007"/>
      <c r="AJ192" s="1007"/>
      <c r="AK192" s="1007"/>
      <c r="AL192" s="1007"/>
      <c r="AM192" s="1007"/>
      <c r="AN192" s="1007"/>
      <c r="AO192" s="1007"/>
      <c r="AP192" s="1007"/>
      <c r="AQ192" s="1007"/>
      <c r="AR192" s="1007"/>
      <c r="AS192" s="1007"/>
      <c r="AT192" s="1007"/>
      <c r="AU192" s="1007"/>
      <c r="AV192" s="1007"/>
      <c r="AW192" s="1007"/>
      <c r="AX192" s="1007"/>
      <c r="AY192" s="1007"/>
      <c r="AZ192" s="1007"/>
      <c r="BA192" s="1007"/>
      <c r="BB192" s="1007"/>
      <c r="BC192" s="1007"/>
      <c r="BD192" s="1007"/>
      <c r="BE192" s="1007"/>
      <c r="BF192" s="1007"/>
      <c r="BG192" s="1007"/>
      <c r="BH192" s="1007"/>
      <c r="BI192" s="1007"/>
      <c r="BJ192" s="1007"/>
      <c r="BK192" s="1007"/>
      <c r="BL192" s="1007"/>
      <c r="BM192" s="1007"/>
      <c r="BN192" s="1007"/>
      <c r="BO192" s="1007"/>
      <c r="BP192" s="1007"/>
      <c r="BQ192" s="1007"/>
      <c r="BR192" s="1007"/>
      <c r="BS192" s="1007"/>
      <c r="BT192" s="1007"/>
      <c r="BU192" s="1007"/>
      <c r="BV192" s="1007"/>
      <c r="BW192" s="1007"/>
      <c r="BX192" s="1007"/>
      <c r="BY192" s="1007"/>
      <c r="BZ192" s="1007"/>
      <c r="CA192" s="1007"/>
      <c r="CB192" s="1007"/>
      <c r="CC192" s="1007"/>
      <c r="CD192" s="1007"/>
      <c r="CE192" s="1007"/>
      <c r="CF192" s="1007"/>
      <c r="CG192" s="1007"/>
      <c r="CH192" s="1007"/>
      <c r="CI192" s="1007"/>
      <c r="CJ192" s="1007"/>
      <c r="CK192" s="1007"/>
      <c r="CL192" s="1007"/>
      <c r="CM192" s="1007"/>
      <c r="CN192" s="1007"/>
      <c r="CO192" s="1007"/>
      <c r="CP192" s="1007"/>
      <c r="CQ192" s="1007"/>
      <c r="CR192" s="1007"/>
      <c r="CS192" s="1007"/>
      <c r="CT192" s="1007"/>
      <c r="CU192" s="1007"/>
      <c r="CV192" s="1007"/>
      <c r="CW192" s="1007"/>
      <c r="CX192" s="1007"/>
      <c r="CY192" s="1007"/>
      <c r="CZ192" s="1007"/>
      <c r="DA192" s="1007"/>
      <c r="DB192" s="1007"/>
      <c r="DC192" s="1007"/>
      <c r="DD192" s="1007"/>
      <c r="DE192" s="1007"/>
      <c r="DF192" s="1007"/>
      <c r="DG192" s="1007"/>
      <c r="DH192" s="1007"/>
      <c r="DI192" s="1007"/>
      <c r="DJ192" s="1007"/>
      <c r="DK192" s="1007"/>
      <c r="DL192" s="1007"/>
      <c r="DM192" s="1007"/>
      <c r="DN192" s="1007"/>
      <c r="DO192" s="1007"/>
      <c r="DP192" s="1007"/>
      <c r="DQ192" s="1007"/>
      <c r="DR192" s="1007"/>
      <c r="DS192" s="1007"/>
      <c r="DT192" s="1007"/>
      <c r="DU192" s="1007"/>
      <c r="DV192" s="1007"/>
      <c r="DW192" s="1007"/>
      <c r="DX192" s="1007"/>
      <c r="DY192" s="1007"/>
      <c r="DZ192" s="1007"/>
      <c r="EA192" s="1007"/>
      <c r="EB192" s="1007"/>
      <c r="EC192" s="1007"/>
      <c r="ED192" s="1007"/>
      <c r="EE192" s="1007"/>
      <c r="EF192" s="1007"/>
      <c r="EG192" s="1007"/>
      <c r="EH192" s="1007"/>
      <c r="EI192" s="1007"/>
      <c r="EJ192" s="1007"/>
      <c r="EK192" s="1007"/>
      <c r="EL192" s="1007"/>
      <c r="EM192" s="1007"/>
      <c r="EN192" s="1007"/>
      <c r="EO192" s="1007"/>
      <c r="EP192" s="1007"/>
      <c r="EQ192" s="1007"/>
      <c r="ER192" s="1007"/>
      <c r="ES192" s="1007"/>
      <c r="ET192" s="1007"/>
      <c r="EU192" s="1007"/>
      <c r="EV192" s="1007"/>
      <c r="EW192" s="1007"/>
      <c r="EX192" s="1007"/>
      <c r="EY192" s="1007"/>
      <c r="EZ192" s="1007"/>
      <c r="FA192" s="1007"/>
      <c r="FB192" s="1007"/>
      <c r="FC192" s="1007"/>
      <c r="FD192" s="1007"/>
      <c r="FE192" s="1007"/>
      <c r="FF192" s="1007"/>
      <c r="FG192" s="1007"/>
      <c r="FH192" s="1007"/>
      <c r="FI192" s="1007"/>
      <c r="FJ192" s="1007"/>
      <c r="FK192" s="1007"/>
      <c r="FL192" s="1007"/>
      <c r="FM192" s="1007"/>
      <c r="FN192" s="1007"/>
      <c r="FO192" s="1007"/>
      <c r="FP192" s="1007"/>
      <c r="FQ192" s="1007"/>
      <c r="FR192" s="1007"/>
      <c r="FS192" s="1007"/>
      <c r="FT192" s="1007"/>
      <c r="FU192" s="1007"/>
      <c r="FV192" s="1007"/>
      <c r="FW192" s="1007"/>
      <c r="FX192" s="1007"/>
      <c r="FY192" s="1007"/>
      <c r="FZ192" s="1007"/>
      <c r="GA192" s="1007"/>
      <c r="GB192" s="1007"/>
      <c r="GC192" s="1007"/>
      <c r="GD192" s="1007"/>
      <c r="GE192" s="1007"/>
      <c r="GF192" s="1007"/>
      <c r="GG192" s="1007"/>
      <c r="GH192" s="1007"/>
      <c r="GI192" s="1007"/>
      <c r="GJ192" s="1007"/>
      <c r="GK192" s="1007"/>
      <c r="GL192" s="1007"/>
      <c r="GM192" s="1007"/>
      <c r="GN192" s="1007"/>
      <c r="GO192" s="1007"/>
      <c r="GP192" s="1007"/>
      <c r="GQ192" s="1007"/>
      <c r="GR192" s="1007"/>
      <c r="GS192" s="1007"/>
      <c r="GT192" s="1007"/>
      <c r="GU192" s="1007"/>
      <c r="GV192" s="1007"/>
      <c r="GW192" s="1007"/>
      <c r="GX192" s="1007"/>
      <c r="GY192" s="1007"/>
      <c r="GZ192" s="1007"/>
      <c r="HA192" s="1007"/>
      <c r="HB192" s="1007"/>
      <c r="HC192" s="1007"/>
      <c r="HD192" s="1007"/>
      <c r="HE192" s="1007"/>
      <c r="HF192" s="1007"/>
      <c r="HG192" s="1007"/>
      <c r="HH192" s="1007"/>
      <c r="HI192" s="1007"/>
      <c r="HJ192" s="1007"/>
      <c r="HK192" s="1007"/>
      <c r="HL192" s="1007"/>
      <c r="HM192" s="1007"/>
      <c r="HN192" s="1007"/>
      <c r="HO192" s="1007"/>
      <c r="HP192" s="1007"/>
      <c r="HQ192" s="1007"/>
      <c r="HR192" s="1007"/>
      <c r="HS192" s="1007"/>
      <c r="HT192" s="1007"/>
      <c r="HU192" s="1007"/>
      <c r="HV192" s="1007"/>
      <c r="HW192" s="1007"/>
      <c r="HX192" s="1007"/>
      <c r="HY192" s="1007"/>
      <c r="HZ192" s="1007"/>
      <c r="IA192" s="1007"/>
      <c r="IB192" s="1007"/>
      <c r="IC192" s="1007"/>
      <c r="ID192" s="1007"/>
      <c r="IE192" s="1007"/>
      <c r="IF192" s="1007"/>
      <c r="IG192" s="1007"/>
      <c r="IH192" s="1007"/>
    </row>
    <row r="193" hidden="1" outlineLevel="1">
      <c r="A193" s="598"/>
      <c r="B193" s="598"/>
      <c r="C193" s="598"/>
      <c r="D193" s="598"/>
      <c r="E193" s="598"/>
      <c r="F193" s="598"/>
      <c r="G193" s="598"/>
      <c r="H193" s="598"/>
      <c r="I193" s="598"/>
      <c r="J193" s="598"/>
      <c r="K193" s="598"/>
      <c r="L193" s="598"/>
      <c r="M193" s="598"/>
      <c r="N193" s="598"/>
      <c r="O193" s="598"/>
      <c r="P193" s="598"/>
      <c r="Q193" s="598"/>
      <c r="R193" s="598"/>
      <c r="S193" s="598"/>
      <c r="T193" s="598"/>
      <c r="U193" s="598"/>
      <c r="V193" s="598"/>
      <c r="W193" s="598"/>
      <c r="X193" s="598"/>
      <c r="Y193" s="598"/>
      <c r="Z193" s="598"/>
      <c r="AA193" s="911"/>
      <c r="AB193" s="1006"/>
      <c r="AC193" s="1007" t="str">
        <f>IFERROR(__xludf.DUMMYFUNCTION("""COMPUTED_VALUE"""),"Ultimate Crit Mastery")</f>
        <v>Ultimate Crit Mastery</v>
      </c>
      <c r="AD193" s="825" t="s">
        <v>379</v>
      </c>
      <c r="AE193" s="1007">
        <v>0.0</v>
      </c>
      <c r="AF193" s="1007"/>
      <c r="AG193" s="1007">
        <v>9.0</v>
      </c>
      <c r="AH193" s="1009" t="str">
        <f>IFERROR(__xludf.DUMMYFUNCTION("IFERROR(IF(K40 = """", SEQUENCE(1, VALUE(VLOOKUP(M40, AD:AG, 4, false)) - VALUE(VLOOKUP(M40, AD:AG, 2, false)), VALUE(VLOOKUP(M40, AD:AG, 2, false)) + 1),
    IF(ISBETWEEN(K40, VALUE(VLOOKUP(M40, AD:AG, 2, false)), VALUE(VLOOKUP(M40, AD:AG, 4, false))),
 "&amp;"       SEQUENCE(1, VALUE(VLOOKUP(M40, AD:AG, 4, false)) - K40, K40 + 1),
        """")))"),"")</f>
        <v/>
      </c>
      <c r="AI193" s="1007"/>
      <c r="AJ193" s="1007"/>
      <c r="AK193" s="1007"/>
      <c r="AL193" s="1007"/>
      <c r="AM193" s="1007"/>
      <c r="AN193" s="1007"/>
      <c r="AO193" s="1007"/>
      <c r="AP193" s="1007"/>
      <c r="AQ193" s="1007"/>
      <c r="AR193" s="1007"/>
      <c r="AS193" s="1007"/>
      <c r="AT193" s="1007"/>
      <c r="AU193" s="1007"/>
      <c r="AV193" s="1007"/>
      <c r="AW193" s="1007"/>
      <c r="AX193" s="1007"/>
      <c r="AY193" s="1007"/>
      <c r="AZ193" s="1007"/>
      <c r="BA193" s="1007"/>
      <c r="BB193" s="1007"/>
      <c r="BC193" s="1007"/>
      <c r="BD193" s="1007"/>
      <c r="BE193" s="1007"/>
      <c r="BF193" s="1007"/>
      <c r="BG193" s="1007"/>
      <c r="BH193" s="1007"/>
      <c r="BI193" s="1007"/>
      <c r="BJ193" s="1007"/>
      <c r="BK193" s="1007"/>
      <c r="BL193" s="1007"/>
      <c r="BM193" s="1007"/>
      <c r="BN193" s="1007"/>
      <c r="BO193" s="1007"/>
      <c r="BP193" s="1007"/>
      <c r="BQ193" s="1007"/>
      <c r="BR193" s="1007"/>
      <c r="BS193" s="1007"/>
      <c r="BT193" s="1007"/>
      <c r="BU193" s="1007"/>
      <c r="BV193" s="1007"/>
      <c r="BW193" s="1007"/>
      <c r="BX193" s="1007"/>
      <c r="BY193" s="1007"/>
      <c r="BZ193" s="1007"/>
      <c r="CA193" s="1007"/>
      <c r="CB193" s="1007"/>
      <c r="CC193" s="1007"/>
      <c r="CD193" s="1007"/>
      <c r="CE193" s="1007"/>
      <c r="CF193" s="1007"/>
      <c r="CG193" s="1007"/>
      <c r="CH193" s="1007"/>
      <c r="CI193" s="1007"/>
      <c r="CJ193" s="1007"/>
      <c r="CK193" s="1007"/>
      <c r="CL193" s="1007"/>
      <c r="CM193" s="1007"/>
      <c r="CN193" s="1007"/>
      <c r="CO193" s="1007"/>
      <c r="CP193" s="1007"/>
      <c r="CQ193" s="1007"/>
      <c r="CR193" s="1007"/>
      <c r="CS193" s="1007"/>
      <c r="CT193" s="1007"/>
      <c r="CU193" s="1007"/>
      <c r="CV193" s="1007"/>
      <c r="CW193" s="1007"/>
      <c r="CX193" s="1007"/>
      <c r="CY193" s="1007"/>
      <c r="CZ193" s="1007"/>
      <c r="DA193" s="1007"/>
      <c r="DB193" s="1007"/>
      <c r="DC193" s="1007"/>
      <c r="DD193" s="1007"/>
      <c r="DE193" s="1007"/>
      <c r="DF193" s="1007"/>
      <c r="DG193" s="1007"/>
      <c r="DH193" s="1007"/>
      <c r="DI193" s="1007"/>
      <c r="DJ193" s="1007"/>
      <c r="DK193" s="1007"/>
      <c r="DL193" s="1007"/>
      <c r="DM193" s="1007"/>
      <c r="DN193" s="1007"/>
      <c r="DO193" s="1007"/>
      <c r="DP193" s="1007"/>
      <c r="DQ193" s="1007"/>
      <c r="DR193" s="1007"/>
      <c r="DS193" s="1007"/>
      <c r="DT193" s="1007"/>
      <c r="DU193" s="1007"/>
      <c r="DV193" s="1007"/>
      <c r="DW193" s="1007"/>
      <c r="DX193" s="1007"/>
      <c r="DY193" s="1007"/>
      <c r="DZ193" s="1007"/>
      <c r="EA193" s="1007"/>
      <c r="EB193" s="1007"/>
      <c r="EC193" s="1007"/>
      <c r="ED193" s="1007"/>
      <c r="EE193" s="1007"/>
      <c r="EF193" s="1007"/>
      <c r="EG193" s="1007"/>
      <c r="EH193" s="1007"/>
      <c r="EI193" s="1007"/>
      <c r="EJ193" s="1007"/>
      <c r="EK193" s="1007"/>
      <c r="EL193" s="1007"/>
      <c r="EM193" s="1007"/>
      <c r="EN193" s="1007"/>
      <c r="EO193" s="1007"/>
      <c r="EP193" s="1007"/>
      <c r="EQ193" s="1007"/>
      <c r="ER193" s="1007"/>
      <c r="ES193" s="1007"/>
      <c r="ET193" s="1007"/>
      <c r="EU193" s="1007"/>
      <c r="EV193" s="1007"/>
      <c r="EW193" s="1007"/>
      <c r="EX193" s="1007"/>
      <c r="EY193" s="1007"/>
      <c r="EZ193" s="1007"/>
      <c r="FA193" s="1007"/>
      <c r="FB193" s="1007"/>
      <c r="FC193" s="1007"/>
      <c r="FD193" s="1007"/>
      <c r="FE193" s="1007"/>
      <c r="FF193" s="1007"/>
      <c r="FG193" s="1007"/>
      <c r="FH193" s="1007"/>
      <c r="FI193" s="1007"/>
      <c r="FJ193" s="1007"/>
      <c r="FK193" s="1007"/>
      <c r="FL193" s="1007"/>
      <c r="FM193" s="1007"/>
      <c r="FN193" s="1007"/>
      <c r="FO193" s="1007"/>
      <c r="FP193" s="1007"/>
      <c r="FQ193" s="1007"/>
      <c r="FR193" s="1007"/>
      <c r="FS193" s="1007"/>
      <c r="FT193" s="1007"/>
      <c r="FU193" s="1007"/>
      <c r="FV193" s="1007"/>
      <c r="FW193" s="1007"/>
      <c r="FX193" s="1007"/>
      <c r="FY193" s="1007"/>
      <c r="FZ193" s="1007"/>
      <c r="GA193" s="1007"/>
      <c r="GB193" s="1007"/>
      <c r="GC193" s="1007"/>
      <c r="GD193" s="1007"/>
      <c r="GE193" s="1007"/>
      <c r="GF193" s="1007"/>
      <c r="GG193" s="1007"/>
      <c r="GH193" s="1007"/>
      <c r="GI193" s="1007"/>
      <c r="GJ193" s="1007"/>
      <c r="GK193" s="1007"/>
      <c r="GL193" s="1007"/>
      <c r="GM193" s="1007"/>
      <c r="GN193" s="1007"/>
      <c r="GO193" s="1007"/>
      <c r="GP193" s="1007"/>
      <c r="GQ193" s="1007"/>
      <c r="GR193" s="1007"/>
      <c r="GS193" s="1007"/>
      <c r="GT193" s="1007"/>
      <c r="GU193" s="1007"/>
      <c r="GV193" s="1007"/>
      <c r="GW193" s="1007"/>
      <c r="GX193" s="1007"/>
      <c r="GY193" s="1007"/>
      <c r="GZ193" s="1007"/>
      <c r="HA193" s="1007"/>
      <c r="HB193" s="1007"/>
      <c r="HC193" s="1007"/>
      <c r="HD193" s="1007"/>
      <c r="HE193" s="1007"/>
      <c r="HF193" s="1007"/>
      <c r="HG193" s="1007"/>
      <c r="HH193" s="1007"/>
      <c r="HI193" s="1007"/>
      <c r="HJ193" s="1007"/>
      <c r="HK193" s="1007"/>
      <c r="HL193" s="1007"/>
      <c r="HM193" s="1007"/>
      <c r="HN193" s="1007"/>
      <c r="HO193" s="1007"/>
      <c r="HP193" s="1007"/>
      <c r="HQ193" s="1007"/>
      <c r="HR193" s="1007"/>
      <c r="HS193" s="1007"/>
      <c r="HT193" s="1007"/>
      <c r="HU193" s="1007"/>
      <c r="HV193" s="1007"/>
      <c r="HW193" s="1007"/>
      <c r="HX193" s="1007"/>
      <c r="HY193" s="1007"/>
      <c r="HZ193" s="1007"/>
      <c r="IA193" s="1007"/>
      <c r="IB193" s="1007"/>
      <c r="IC193" s="1007"/>
      <c r="ID193" s="1007"/>
      <c r="IE193" s="1007"/>
      <c r="IF193" s="1007"/>
      <c r="IG193" s="1007"/>
      <c r="IH193" s="1007"/>
    </row>
    <row r="194" hidden="1" outlineLevel="1">
      <c r="A194" s="598"/>
      <c r="B194" s="598"/>
      <c r="C194" s="598"/>
      <c r="D194" s="598"/>
      <c r="E194" s="598"/>
      <c r="F194" s="598"/>
      <c r="G194" s="598"/>
      <c r="H194" s="598"/>
      <c r="I194" s="598"/>
      <c r="J194" s="598"/>
      <c r="K194" s="598"/>
      <c r="L194" s="598"/>
      <c r="M194" s="598"/>
      <c r="N194" s="598"/>
      <c r="O194" s="598"/>
      <c r="P194" s="598"/>
      <c r="Q194" s="598"/>
      <c r="R194" s="598"/>
      <c r="S194" s="598"/>
      <c r="T194" s="598"/>
      <c r="U194" s="598"/>
      <c r="V194" s="598"/>
      <c r="W194" s="598"/>
      <c r="X194" s="598"/>
      <c r="Y194" s="598"/>
      <c r="Z194" s="598"/>
      <c r="AA194" s="911"/>
      <c r="AB194" s="1006"/>
      <c r="AC194" s="1007" t="str">
        <f>IFERROR(__xludf.DUMMYFUNCTION("""COMPUTED_VALUE"""),"Ultimate Weapon Durations")</f>
        <v>Ultimate Weapon Durations</v>
      </c>
      <c r="AD194" s="940" t="s">
        <v>327</v>
      </c>
      <c r="AE194" s="1007">
        <v>0.0</v>
      </c>
      <c r="AF194" s="1007"/>
      <c r="AG194" s="1007">
        <v>10.0</v>
      </c>
      <c r="AH194" s="1009" t="str">
        <f>IFERROR(__xludf.DUMMYFUNCTION("IFERROR(IF(K41 = """", SEQUENCE(1, VALUE(VLOOKUP(M41, AD:AG, 4, false)) - VALUE(VLOOKUP(M41, AD:AG, 2, false)), VALUE(VLOOKUP(M41, AD:AG, 2, false)) + 1),
    IF(ISBETWEEN(K41, VALUE(VLOOKUP(M41, AD:AG, 2, false)), VALUE(VLOOKUP(M41, AD:AG, 4, false))),
 "&amp;"       SEQUENCE(1, VALUE(VLOOKUP(M41, AD:AG, 4, false)) - K41, K41 + 1),
        """")))"),"")</f>
        <v/>
      </c>
      <c r="AI194" s="1007"/>
      <c r="AJ194" s="1007"/>
      <c r="AK194" s="1007"/>
      <c r="AL194" s="1007"/>
      <c r="AM194" s="1007"/>
      <c r="AN194" s="1007"/>
      <c r="AO194" s="1007"/>
      <c r="AP194" s="1007"/>
      <c r="AQ194" s="1007"/>
      <c r="AR194" s="1007"/>
      <c r="AS194" s="1007"/>
      <c r="AT194" s="1007"/>
      <c r="AU194" s="1007"/>
      <c r="AV194" s="1007"/>
      <c r="AW194" s="1007"/>
      <c r="AX194" s="1007"/>
      <c r="AY194" s="1007"/>
      <c r="AZ194" s="1007"/>
      <c r="BA194" s="1007"/>
      <c r="BB194" s="1007"/>
      <c r="BC194" s="1007"/>
      <c r="BD194" s="1007"/>
      <c r="BE194" s="1007"/>
      <c r="BF194" s="1007"/>
      <c r="BG194" s="1007"/>
      <c r="BH194" s="1007"/>
      <c r="BI194" s="1007"/>
      <c r="BJ194" s="1007"/>
      <c r="BK194" s="1007"/>
      <c r="BL194" s="1007"/>
      <c r="BM194" s="1007"/>
      <c r="BN194" s="1007"/>
      <c r="BO194" s="1007"/>
      <c r="BP194" s="1007"/>
      <c r="BQ194" s="1007"/>
      <c r="BR194" s="1007"/>
      <c r="BS194" s="1007"/>
      <c r="BT194" s="1007"/>
      <c r="BU194" s="1007"/>
      <c r="BV194" s="1007"/>
      <c r="BW194" s="1007"/>
      <c r="BX194" s="1007"/>
      <c r="BY194" s="1007"/>
      <c r="BZ194" s="1007"/>
      <c r="CA194" s="1007"/>
      <c r="CB194" s="1007"/>
      <c r="CC194" s="1007"/>
      <c r="CD194" s="1007"/>
      <c r="CE194" s="1007"/>
      <c r="CF194" s="1007"/>
      <c r="CG194" s="1007"/>
      <c r="CH194" s="1007"/>
      <c r="CI194" s="1007"/>
      <c r="CJ194" s="1007"/>
      <c r="CK194" s="1007"/>
      <c r="CL194" s="1007"/>
      <c r="CM194" s="1007"/>
      <c r="CN194" s="1007"/>
      <c r="CO194" s="1007"/>
      <c r="CP194" s="1007"/>
      <c r="CQ194" s="1007"/>
      <c r="CR194" s="1007"/>
      <c r="CS194" s="1007"/>
      <c r="CT194" s="1007"/>
      <c r="CU194" s="1007"/>
      <c r="CV194" s="1007"/>
      <c r="CW194" s="1007"/>
      <c r="CX194" s="1007"/>
      <c r="CY194" s="1007"/>
      <c r="CZ194" s="1007"/>
      <c r="DA194" s="1007"/>
      <c r="DB194" s="1007"/>
      <c r="DC194" s="1007"/>
      <c r="DD194" s="1007"/>
      <c r="DE194" s="1007"/>
      <c r="DF194" s="1007"/>
      <c r="DG194" s="1007"/>
      <c r="DH194" s="1007"/>
      <c r="DI194" s="1007"/>
      <c r="DJ194" s="1007"/>
      <c r="DK194" s="1007"/>
      <c r="DL194" s="1007"/>
      <c r="DM194" s="1007"/>
      <c r="DN194" s="1007"/>
      <c r="DO194" s="1007"/>
      <c r="DP194" s="1007"/>
      <c r="DQ194" s="1007"/>
      <c r="DR194" s="1007"/>
      <c r="DS194" s="1007"/>
      <c r="DT194" s="1007"/>
      <c r="DU194" s="1007"/>
      <c r="DV194" s="1007"/>
      <c r="DW194" s="1007"/>
      <c r="DX194" s="1007"/>
      <c r="DY194" s="1007"/>
      <c r="DZ194" s="1007"/>
      <c r="EA194" s="1007"/>
      <c r="EB194" s="1007"/>
      <c r="EC194" s="1007"/>
      <c r="ED194" s="1007"/>
      <c r="EE194" s="1007"/>
      <c r="EF194" s="1007"/>
      <c r="EG194" s="1007"/>
      <c r="EH194" s="1007"/>
      <c r="EI194" s="1007"/>
      <c r="EJ194" s="1007"/>
      <c r="EK194" s="1007"/>
      <c r="EL194" s="1007"/>
      <c r="EM194" s="1007"/>
      <c r="EN194" s="1007"/>
      <c r="EO194" s="1007"/>
      <c r="EP194" s="1007"/>
      <c r="EQ194" s="1007"/>
      <c r="ER194" s="1007"/>
      <c r="ES194" s="1007"/>
      <c r="ET194" s="1007"/>
      <c r="EU194" s="1007"/>
      <c r="EV194" s="1007"/>
      <c r="EW194" s="1007"/>
      <c r="EX194" s="1007"/>
      <c r="EY194" s="1007"/>
      <c r="EZ194" s="1007"/>
      <c r="FA194" s="1007"/>
      <c r="FB194" s="1007"/>
      <c r="FC194" s="1007"/>
      <c r="FD194" s="1007"/>
      <c r="FE194" s="1007"/>
      <c r="FF194" s="1007"/>
      <c r="FG194" s="1007"/>
      <c r="FH194" s="1007"/>
      <c r="FI194" s="1007"/>
      <c r="FJ194" s="1007"/>
      <c r="FK194" s="1007"/>
      <c r="FL194" s="1007"/>
      <c r="FM194" s="1007"/>
      <c r="FN194" s="1007"/>
      <c r="FO194" s="1007"/>
      <c r="FP194" s="1007"/>
      <c r="FQ194" s="1007"/>
      <c r="FR194" s="1007"/>
      <c r="FS194" s="1007"/>
      <c r="FT194" s="1007"/>
      <c r="FU194" s="1007"/>
      <c r="FV194" s="1007"/>
      <c r="FW194" s="1007"/>
      <c r="FX194" s="1007"/>
      <c r="FY194" s="1007"/>
      <c r="FZ194" s="1007"/>
      <c r="GA194" s="1007"/>
      <c r="GB194" s="1007"/>
      <c r="GC194" s="1007"/>
      <c r="GD194" s="1007"/>
      <c r="GE194" s="1007"/>
      <c r="GF194" s="1007"/>
      <c r="GG194" s="1007"/>
      <c r="GH194" s="1007"/>
      <c r="GI194" s="1007"/>
      <c r="GJ194" s="1007"/>
      <c r="GK194" s="1007"/>
      <c r="GL194" s="1007"/>
      <c r="GM194" s="1007"/>
      <c r="GN194" s="1007"/>
      <c r="GO194" s="1007"/>
      <c r="GP194" s="1007"/>
      <c r="GQ194" s="1007"/>
      <c r="GR194" s="1007"/>
      <c r="GS194" s="1007"/>
      <c r="GT194" s="1007"/>
      <c r="GU194" s="1007"/>
      <c r="GV194" s="1007"/>
      <c r="GW194" s="1007"/>
      <c r="GX194" s="1007"/>
      <c r="GY194" s="1007"/>
      <c r="GZ194" s="1007"/>
      <c r="HA194" s="1007"/>
      <c r="HB194" s="1007"/>
      <c r="HC194" s="1007"/>
      <c r="HD194" s="1007"/>
      <c r="HE194" s="1007"/>
      <c r="HF194" s="1007"/>
      <c r="HG194" s="1007"/>
      <c r="HH194" s="1007"/>
      <c r="HI194" s="1007"/>
      <c r="HJ194" s="1007"/>
      <c r="HK194" s="1007"/>
      <c r="HL194" s="1007"/>
      <c r="HM194" s="1007"/>
      <c r="HN194" s="1007"/>
      <c r="HO194" s="1007"/>
      <c r="HP194" s="1007"/>
      <c r="HQ194" s="1007"/>
      <c r="HR194" s="1007"/>
      <c r="HS194" s="1007"/>
      <c r="HT194" s="1007"/>
      <c r="HU194" s="1007"/>
      <c r="HV194" s="1007"/>
      <c r="HW194" s="1007"/>
      <c r="HX194" s="1007"/>
      <c r="HY194" s="1007"/>
      <c r="HZ194" s="1007"/>
      <c r="IA194" s="1007"/>
      <c r="IB194" s="1007"/>
      <c r="IC194" s="1007"/>
      <c r="ID194" s="1007"/>
      <c r="IE194" s="1007"/>
      <c r="IF194" s="1007"/>
      <c r="IG194" s="1007"/>
      <c r="IH194" s="1007"/>
    </row>
    <row r="195" hidden="1" outlineLevel="1">
      <c r="A195" s="598"/>
      <c r="B195" s="598"/>
      <c r="C195" s="598"/>
      <c r="D195" s="598"/>
      <c r="E195" s="598"/>
      <c r="F195" s="598"/>
      <c r="G195" s="598"/>
      <c r="H195" s="598"/>
      <c r="I195" s="598"/>
      <c r="J195" s="598"/>
      <c r="K195" s="598"/>
      <c r="L195" s="598"/>
      <c r="M195" s="598"/>
      <c r="N195" s="598"/>
      <c r="O195" s="598"/>
      <c r="P195" s="598"/>
      <c r="Q195" s="598"/>
      <c r="R195" s="598"/>
      <c r="S195" s="598"/>
      <c r="T195" s="598"/>
      <c r="U195" s="598"/>
      <c r="V195" s="598"/>
      <c r="W195" s="598"/>
      <c r="X195" s="598"/>
      <c r="Y195" s="598"/>
      <c r="Z195" s="598"/>
      <c r="AA195" s="911"/>
      <c r="AB195" s="1006"/>
      <c r="AC195" s="1007" t="str">
        <f>IFERROR(__xludf.DUMMYFUNCTION("""COMPUTED_VALUE"""),"Unlock Perks")</f>
        <v>Unlock Perks</v>
      </c>
      <c r="AD195" s="1008" t="s">
        <v>160</v>
      </c>
      <c r="AE195" s="1007">
        <v>1.0</v>
      </c>
      <c r="AF195" s="1007"/>
      <c r="AG195" s="1007">
        <v>1.0</v>
      </c>
      <c r="AH195" s="1009" t="str">
        <f>IFERROR(__xludf.DUMMYFUNCTION("IFERROR(IF(K42 = """", SEQUENCE(1, VALUE(VLOOKUP(M42, AD:AG, 4, false)) - VALUE(VLOOKUP(M42, AD:AG, 2, false)), VALUE(VLOOKUP(M42, AD:AG, 2, false)) + 1),
    IF(ISBETWEEN(K42, VALUE(VLOOKUP(M42, AD:AG, 2, false)), VALUE(VLOOKUP(M42, AD:AG, 4, false))),
 "&amp;"       SEQUENCE(1, VALUE(VLOOKUP(M42, AD:AG, 4, false)) - K42, K42 + 1),
        """")))"),"")</f>
        <v/>
      </c>
      <c r="AI195" s="1007"/>
      <c r="AJ195" s="1007"/>
      <c r="AK195" s="1007"/>
      <c r="AL195" s="1007"/>
      <c r="AM195" s="1007"/>
      <c r="AN195" s="1007"/>
      <c r="AO195" s="1007"/>
      <c r="AP195" s="1007"/>
      <c r="AQ195" s="1007"/>
      <c r="AR195" s="1007"/>
      <c r="AS195" s="1007"/>
      <c r="AT195" s="1007"/>
      <c r="AU195" s="1007"/>
      <c r="AV195" s="1007"/>
      <c r="AW195" s="1007"/>
      <c r="AX195" s="1007"/>
      <c r="AY195" s="1007"/>
      <c r="AZ195" s="1007"/>
      <c r="BA195" s="1007"/>
      <c r="BB195" s="1007"/>
      <c r="BC195" s="1007"/>
      <c r="BD195" s="1007"/>
      <c r="BE195" s="1007"/>
      <c r="BF195" s="1007"/>
      <c r="BG195" s="1007"/>
      <c r="BH195" s="1007"/>
      <c r="BI195" s="1007"/>
      <c r="BJ195" s="1007"/>
      <c r="BK195" s="1007"/>
      <c r="BL195" s="1007"/>
      <c r="BM195" s="1007"/>
      <c r="BN195" s="1007"/>
      <c r="BO195" s="1007"/>
      <c r="BP195" s="1007"/>
      <c r="BQ195" s="1007"/>
      <c r="BR195" s="1007"/>
      <c r="BS195" s="1007"/>
      <c r="BT195" s="1007"/>
      <c r="BU195" s="1007"/>
      <c r="BV195" s="1007"/>
      <c r="BW195" s="1007"/>
      <c r="BX195" s="1007"/>
      <c r="BY195" s="1007"/>
      <c r="BZ195" s="1007"/>
      <c r="CA195" s="1007"/>
      <c r="CB195" s="1007"/>
      <c r="CC195" s="1007"/>
      <c r="CD195" s="1007"/>
      <c r="CE195" s="1007"/>
      <c r="CF195" s="1007"/>
      <c r="CG195" s="1007"/>
      <c r="CH195" s="1007"/>
      <c r="CI195" s="1007"/>
      <c r="CJ195" s="1007"/>
      <c r="CK195" s="1007"/>
      <c r="CL195" s="1007"/>
      <c r="CM195" s="1007"/>
      <c r="CN195" s="1007"/>
      <c r="CO195" s="1007"/>
      <c r="CP195" s="1007"/>
      <c r="CQ195" s="1007"/>
      <c r="CR195" s="1007"/>
      <c r="CS195" s="1007"/>
      <c r="CT195" s="1007"/>
      <c r="CU195" s="1007"/>
      <c r="CV195" s="1007"/>
      <c r="CW195" s="1007"/>
      <c r="CX195" s="1007"/>
      <c r="CY195" s="1007"/>
      <c r="CZ195" s="1007"/>
      <c r="DA195" s="1007"/>
      <c r="DB195" s="1007"/>
      <c r="DC195" s="1007"/>
      <c r="DD195" s="1007"/>
      <c r="DE195" s="1007"/>
      <c r="DF195" s="1007"/>
      <c r="DG195" s="1007"/>
      <c r="DH195" s="1007"/>
      <c r="DI195" s="1007"/>
      <c r="DJ195" s="1007"/>
      <c r="DK195" s="1007"/>
      <c r="DL195" s="1007"/>
      <c r="DM195" s="1007"/>
      <c r="DN195" s="1007"/>
      <c r="DO195" s="1007"/>
      <c r="DP195" s="1007"/>
      <c r="DQ195" s="1007"/>
      <c r="DR195" s="1007"/>
      <c r="DS195" s="1007"/>
      <c r="DT195" s="1007"/>
      <c r="DU195" s="1007"/>
      <c r="DV195" s="1007"/>
      <c r="DW195" s="1007"/>
      <c r="DX195" s="1007"/>
      <c r="DY195" s="1007"/>
      <c r="DZ195" s="1007"/>
      <c r="EA195" s="1007"/>
      <c r="EB195" s="1007"/>
      <c r="EC195" s="1007"/>
      <c r="ED195" s="1007"/>
      <c r="EE195" s="1007"/>
      <c r="EF195" s="1007"/>
      <c r="EG195" s="1007"/>
      <c r="EH195" s="1007"/>
      <c r="EI195" s="1007"/>
      <c r="EJ195" s="1007"/>
      <c r="EK195" s="1007"/>
      <c r="EL195" s="1007"/>
      <c r="EM195" s="1007"/>
      <c r="EN195" s="1007"/>
      <c r="EO195" s="1007"/>
      <c r="EP195" s="1007"/>
      <c r="EQ195" s="1007"/>
      <c r="ER195" s="1007"/>
      <c r="ES195" s="1007"/>
      <c r="ET195" s="1007"/>
      <c r="EU195" s="1007"/>
      <c r="EV195" s="1007"/>
      <c r="EW195" s="1007"/>
      <c r="EX195" s="1007"/>
      <c r="EY195" s="1007"/>
      <c r="EZ195" s="1007"/>
      <c r="FA195" s="1007"/>
      <c r="FB195" s="1007"/>
      <c r="FC195" s="1007"/>
      <c r="FD195" s="1007"/>
      <c r="FE195" s="1007"/>
      <c r="FF195" s="1007"/>
      <c r="FG195" s="1007"/>
      <c r="FH195" s="1007"/>
      <c r="FI195" s="1007"/>
      <c r="FJ195" s="1007"/>
      <c r="FK195" s="1007"/>
      <c r="FL195" s="1007"/>
      <c r="FM195" s="1007"/>
      <c r="FN195" s="1007"/>
      <c r="FO195" s="1007"/>
      <c r="FP195" s="1007"/>
      <c r="FQ195" s="1007"/>
      <c r="FR195" s="1007"/>
      <c r="FS195" s="1007"/>
      <c r="FT195" s="1007"/>
      <c r="FU195" s="1007"/>
      <c r="FV195" s="1007"/>
      <c r="FW195" s="1007"/>
      <c r="FX195" s="1007"/>
      <c r="FY195" s="1007"/>
      <c r="FZ195" s="1007"/>
      <c r="GA195" s="1007"/>
      <c r="GB195" s="1007"/>
      <c r="GC195" s="1007"/>
      <c r="GD195" s="1007"/>
      <c r="GE195" s="1007"/>
      <c r="GF195" s="1007"/>
      <c r="GG195" s="1007"/>
      <c r="GH195" s="1007"/>
      <c r="GI195" s="1007"/>
      <c r="GJ195" s="1007"/>
      <c r="GK195" s="1007"/>
      <c r="GL195" s="1007"/>
      <c r="GM195" s="1007"/>
      <c r="GN195" s="1007"/>
      <c r="GO195" s="1007"/>
      <c r="GP195" s="1007"/>
      <c r="GQ195" s="1007"/>
      <c r="GR195" s="1007"/>
      <c r="GS195" s="1007"/>
      <c r="GT195" s="1007"/>
      <c r="GU195" s="1007"/>
      <c r="GV195" s="1007"/>
      <c r="GW195" s="1007"/>
      <c r="GX195" s="1007"/>
      <c r="GY195" s="1007"/>
      <c r="GZ195" s="1007"/>
      <c r="HA195" s="1007"/>
      <c r="HB195" s="1007"/>
      <c r="HC195" s="1007"/>
      <c r="HD195" s="1007"/>
      <c r="HE195" s="1007"/>
      <c r="HF195" s="1007"/>
      <c r="HG195" s="1007"/>
      <c r="HH195" s="1007"/>
      <c r="HI195" s="1007"/>
      <c r="HJ195" s="1007"/>
      <c r="HK195" s="1007"/>
      <c r="HL195" s="1007"/>
      <c r="HM195" s="1007"/>
      <c r="HN195" s="1007"/>
      <c r="HO195" s="1007"/>
      <c r="HP195" s="1007"/>
      <c r="HQ195" s="1007"/>
      <c r="HR195" s="1007"/>
      <c r="HS195" s="1007"/>
      <c r="HT195" s="1007"/>
      <c r="HU195" s="1007"/>
      <c r="HV195" s="1007"/>
      <c r="HW195" s="1007"/>
      <c r="HX195" s="1007"/>
      <c r="HY195" s="1007"/>
      <c r="HZ195" s="1007"/>
      <c r="IA195" s="1007"/>
      <c r="IB195" s="1007"/>
      <c r="IC195" s="1007"/>
      <c r="ID195" s="1007"/>
      <c r="IE195" s="1007"/>
      <c r="IF195" s="1007"/>
      <c r="IG195" s="1007"/>
      <c r="IH195" s="1007"/>
    </row>
    <row r="196" hidden="1" outlineLevel="1">
      <c r="A196" s="598"/>
      <c r="B196" s="598"/>
      <c r="C196" s="598"/>
      <c r="D196" s="598"/>
      <c r="E196" s="598"/>
      <c r="F196" s="598"/>
      <c r="G196" s="598"/>
      <c r="H196" s="598"/>
      <c r="I196" s="598"/>
      <c r="J196" s="598"/>
      <c r="K196" s="598"/>
      <c r="L196" s="598"/>
      <c r="M196" s="598"/>
      <c r="N196" s="598"/>
      <c r="O196" s="598"/>
      <c r="P196" s="598"/>
      <c r="Q196" s="598"/>
      <c r="R196" s="598"/>
      <c r="S196" s="598"/>
      <c r="T196" s="598"/>
      <c r="U196" s="598"/>
      <c r="V196" s="598"/>
      <c r="W196" s="598"/>
      <c r="X196" s="598"/>
      <c r="Y196" s="598"/>
      <c r="Z196" s="598"/>
      <c r="AA196" s="911"/>
      <c r="AB196" s="1006"/>
      <c r="AC196" s="1007" t="str">
        <f>IFERROR(__xludf.DUMMYFUNCTION("""COMPUTED_VALUE"""),"Unmerge Module")</f>
        <v>Unmerge Module</v>
      </c>
      <c r="AD196" s="825" t="s">
        <v>247</v>
      </c>
      <c r="AE196" s="1007">
        <v>1.0</v>
      </c>
      <c r="AF196" s="1007"/>
      <c r="AG196" s="1007">
        <v>1.0</v>
      </c>
      <c r="AH196" s="1009" t="str">
        <f>IFERROR(__xludf.DUMMYFUNCTION("IFERROR(IF(K43 = """", SEQUENCE(1, VALUE(VLOOKUP(M43, AD:AG, 4, false)) - VALUE(VLOOKUP(M43, AD:AG, 2, false)), VALUE(VLOOKUP(M43, AD:AG, 2, false)) + 1),
    IF(ISBETWEEN(K43, VALUE(VLOOKUP(M43, AD:AG, 2, false)), VALUE(VLOOKUP(M43, AD:AG, 4, false))),
 "&amp;"       SEQUENCE(1, VALUE(VLOOKUP(M43, AD:AG, 4, false)) - K43, K43 + 1),
        """")))"),"")</f>
        <v/>
      </c>
      <c r="AI196" s="1007"/>
      <c r="AJ196" s="1007"/>
      <c r="AK196" s="1007"/>
      <c r="AL196" s="1007"/>
      <c r="AM196" s="1007"/>
      <c r="AN196" s="1007"/>
      <c r="AO196" s="1007"/>
      <c r="AP196" s="1007"/>
      <c r="AQ196" s="1007"/>
      <c r="AR196" s="1007"/>
      <c r="AS196" s="1007"/>
      <c r="AT196" s="1007"/>
      <c r="AU196" s="1007"/>
      <c r="AV196" s="1007"/>
      <c r="AW196" s="1007"/>
      <c r="AX196" s="1007"/>
      <c r="AY196" s="1007"/>
      <c r="AZ196" s="1007"/>
      <c r="BA196" s="1007"/>
      <c r="BB196" s="1007"/>
      <c r="BC196" s="1007"/>
      <c r="BD196" s="1007"/>
      <c r="BE196" s="1007"/>
      <c r="BF196" s="1007"/>
      <c r="BG196" s="1007"/>
      <c r="BH196" s="1007"/>
      <c r="BI196" s="1007"/>
      <c r="BJ196" s="1007"/>
      <c r="BK196" s="1007"/>
      <c r="BL196" s="1007"/>
      <c r="BM196" s="1007"/>
      <c r="BN196" s="1007"/>
      <c r="BO196" s="1007"/>
      <c r="BP196" s="1007"/>
      <c r="BQ196" s="1007"/>
      <c r="BR196" s="1007"/>
      <c r="BS196" s="1007"/>
      <c r="BT196" s="1007"/>
      <c r="BU196" s="1007"/>
      <c r="BV196" s="1007"/>
      <c r="BW196" s="1007"/>
      <c r="BX196" s="1007"/>
      <c r="BY196" s="1007"/>
      <c r="BZ196" s="1007"/>
      <c r="CA196" s="1007"/>
      <c r="CB196" s="1007"/>
      <c r="CC196" s="1007"/>
      <c r="CD196" s="1007"/>
      <c r="CE196" s="1007"/>
      <c r="CF196" s="1007"/>
      <c r="CG196" s="1007"/>
      <c r="CH196" s="1007"/>
      <c r="CI196" s="1007"/>
      <c r="CJ196" s="1007"/>
      <c r="CK196" s="1007"/>
      <c r="CL196" s="1007"/>
      <c r="CM196" s="1007"/>
      <c r="CN196" s="1007"/>
      <c r="CO196" s="1007"/>
      <c r="CP196" s="1007"/>
      <c r="CQ196" s="1007"/>
      <c r="CR196" s="1007"/>
      <c r="CS196" s="1007"/>
      <c r="CT196" s="1007"/>
      <c r="CU196" s="1007"/>
      <c r="CV196" s="1007"/>
      <c r="CW196" s="1007"/>
      <c r="CX196" s="1007"/>
      <c r="CY196" s="1007"/>
      <c r="CZ196" s="1007"/>
      <c r="DA196" s="1007"/>
      <c r="DB196" s="1007"/>
      <c r="DC196" s="1007"/>
      <c r="DD196" s="1007"/>
      <c r="DE196" s="1007"/>
      <c r="DF196" s="1007"/>
      <c r="DG196" s="1007"/>
      <c r="DH196" s="1007"/>
      <c r="DI196" s="1007"/>
      <c r="DJ196" s="1007"/>
      <c r="DK196" s="1007"/>
      <c r="DL196" s="1007"/>
      <c r="DM196" s="1007"/>
      <c r="DN196" s="1007"/>
      <c r="DO196" s="1007"/>
      <c r="DP196" s="1007"/>
      <c r="DQ196" s="1007"/>
      <c r="DR196" s="1007"/>
      <c r="DS196" s="1007"/>
      <c r="DT196" s="1007"/>
      <c r="DU196" s="1007"/>
      <c r="DV196" s="1007"/>
      <c r="DW196" s="1007"/>
      <c r="DX196" s="1007"/>
      <c r="DY196" s="1007"/>
      <c r="DZ196" s="1007"/>
      <c r="EA196" s="1007"/>
      <c r="EB196" s="1007"/>
      <c r="EC196" s="1007"/>
      <c r="ED196" s="1007"/>
      <c r="EE196" s="1007"/>
      <c r="EF196" s="1007"/>
      <c r="EG196" s="1007"/>
      <c r="EH196" s="1007"/>
      <c r="EI196" s="1007"/>
      <c r="EJ196" s="1007"/>
      <c r="EK196" s="1007"/>
      <c r="EL196" s="1007"/>
      <c r="EM196" s="1007"/>
      <c r="EN196" s="1007"/>
      <c r="EO196" s="1007"/>
      <c r="EP196" s="1007"/>
      <c r="EQ196" s="1007"/>
      <c r="ER196" s="1007"/>
      <c r="ES196" s="1007"/>
      <c r="ET196" s="1007"/>
      <c r="EU196" s="1007"/>
      <c r="EV196" s="1007"/>
      <c r="EW196" s="1007"/>
      <c r="EX196" s="1007"/>
      <c r="EY196" s="1007"/>
      <c r="EZ196" s="1007"/>
      <c r="FA196" s="1007"/>
      <c r="FB196" s="1007"/>
      <c r="FC196" s="1007"/>
      <c r="FD196" s="1007"/>
      <c r="FE196" s="1007"/>
      <c r="FF196" s="1007"/>
      <c r="FG196" s="1007"/>
      <c r="FH196" s="1007"/>
      <c r="FI196" s="1007"/>
      <c r="FJ196" s="1007"/>
      <c r="FK196" s="1007"/>
      <c r="FL196" s="1007"/>
      <c r="FM196" s="1007"/>
      <c r="FN196" s="1007"/>
      <c r="FO196" s="1007"/>
      <c r="FP196" s="1007"/>
      <c r="FQ196" s="1007"/>
      <c r="FR196" s="1007"/>
      <c r="FS196" s="1007"/>
      <c r="FT196" s="1007"/>
      <c r="FU196" s="1007"/>
      <c r="FV196" s="1007"/>
      <c r="FW196" s="1007"/>
      <c r="FX196" s="1007"/>
      <c r="FY196" s="1007"/>
      <c r="FZ196" s="1007"/>
      <c r="GA196" s="1007"/>
      <c r="GB196" s="1007"/>
      <c r="GC196" s="1007"/>
      <c r="GD196" s="1007"/>
      <c r="GE196" s="1007"/>
      <c r="GF196" s="1007"/>
      <c r="GG196" s="1007"/>
      <c r="GH196" s="1007"/>
      <c r="GI196" s="1007"/>
      <c r="GJ196" s="1007"/>
      <c r="GK196" s="1007"/>
      <c r="GL196" s="1007"/>
      <c r="GM196" s="1007"/>
      <c r="GN196" s="1007"/>
      <c r="GO196" s="1007"/>
      <c r="GP196" s="1007"/>
      <c r="GQ196" s="1007"/>
      <c r="GR196" s="1007"/>
      <c r="GS196" s="1007"/>
      <c r="GT196" s="1007"/>
      <c r="GU196" s="1007"/>
      <c r="GV196" s="1007"/>
      <c r="GW196" s="1007"/>
      <c r="GX196" s="1007"/>
      <c r="GY196" s="1007"/>
      <c r="GZ196" s="1007"/>
      <c r="HA196" s="1007"/>
      <c r="HB196" s="1007"/>
      <c r="HC196" s="1007"/>
      <c r="HD196" s="1007"/>
      <c r="HE196" s="1007"/>
      <c r="HF196" s="1007"/>
      <c r="HG196" s="1007"/>
      <c r="HH196" s="1007"/>
      <c r="HI196" s="1007"/>
      <c r="HJ196" s="1007"/>
      <c r="HK196" s="1007"/>
      <c r="HL196" s="1007"/>
      <c r="HM196" s="1007"/>
      <c r="HN196" s="1007"/>
      <c r="HO196" s="1007"/>
      <c r="HP196" s="1007"/>
      <c r="HQ196" s="1007"/>
      <c r="HR196" s="1007"/>
      <c r="HS196" s="1007"/>
      <c r="HT196" s="1007"/>
      <c r="HU196" s="1007"/>
      <c r="HV196" s="1007"/>
      <c r="HW196" s="1007"/>
      <c r="HX196" s="1007"/>
      <c r="HY196" s="1007"/>
      <c r="HZ196" s="1007"/>
      <c r="IA196" s="1007"/>
      <c r="IB196" s="1007"/>
      <c r="IC196" s="1007"/>
      <c r="ID196" s="1007"/>
      <c r="IE196" s="1007"/>
      <c r="IF196" s="1007"/>
      <c r="IG196" s="1007"/>
      <c r="IH196" s="1007"/>
    </row>
    <row r="197" hidden="1" outlineLevel="1">
      <c r="A197" s="598"/>
      <c r="B197" s="598"/>
      <c r="C197" s="598"/>
      <c r="D197" s="598"/>
      <c r="E197" s="598"/>
      <c r="F197" s="598"/>
      <c r="G197" s="598"/>
      <c r="H197" s="598"/>
      <c r="I197" s="598"/>
      <c r="J197" s="598"/>
      <c r="K197" s="598"/>
      <c r="L197" s="598"/>
      <c r="M197" s="598"/>
      <c r="N197" s="598"/>
      <c r="O197" s="598"/>
      <c r="P197" s="598"/>
      <c r="Q197" s="598"/>
      <c r="R197" s="598"/>
      <c r="S197" s="598"/>
      <c r="T197" s="598"/>
      <c r="U197" s="598"/>
      <c r="V197" s="598"/>
      <c r="W197" s="598"/>
      <c r="X197" s="598"/>
      <c r="Y197" s="598"/>
      <c r="Z197" s="598"/>
      <c r="AA197" s="911"/>
      <c r="AB197" s="1006"/>
      <c r="AC197" s="1007" t="str">
        <f>IFERROR(__xludf.DUMMYFUNCTION("""COMPUTED_VALUE"""),"Vampire Enemy Attack")</f>
        <v>Vampire Enemy Attack</v>
      </c>
      <c r="AD197" s="1008" t="s">
        <v>325</v>
      </c>
      <c r="AE197" s="1007">
        <v>0.0</v>
      </c>
      <c r="AF197" s="1007"/>
      <c r="AG197" s="1007">
        <v>30.0</v>
      </c>
      <c r="AH197" s="1009" t="str">
        <f>IFERROR(__xludf.DUMMYFUNCTION("IFERROR(IF(K44 = """", SEQUENCE(1, VALUE(VLOOKUP(M44, AD:AG, 4, false)) - VALUE(VLOOKUP(M44, AD:AG, 2, false)), VALUE(VLOOKUP(M44, AD:AG, 2, false)) + 1),
    IF(ISBETWEEN(K44, VALUE(VLOOKUP(M44, AD:AG, 2, false)), VALUE(VLOOKUP(M44, AD:AG, 4, false))),
 "&amp;"       SEQUENCE(1, VALUE(VLOOKUP(M44, AD:AG, 4, false)) - K44, K44 + 1),
        """")))"),"")</f>
        <v/>
      </c>
      <c r="AI197" s="1007"/>
      <c r="AJ197" s="1007"/>
      <c r="AK197" s="1007"/>
      <c r="AL197" s="1007"/>
      <c r="AM197" s="1007"/>
      <c r="AN197" s="1007"/>
      <c r="AO197" s="1007"/>
      <c r="AP197" s="1007"/>
      <c r="AQ197" s="1007"/>
      <c r="AR197" s="1007"/>
      <c r="AS197" s="1007"/>
      <c r="AT197" s="1007"/>
      <c r="AU197" s="1007"/>
      <c r="AV197" s="1007"/>
      <c r="AW197" s="1007"/>
      <c r="AX197" s="1007"/>
      <c r="AY197" s="1007"/>
      <c r="AZ197" s="1007"/>
      <c r="BA197" s="1007"/>
      <c r="BB197" s="1007"/>
      <c r="BC197" s="1007"/>
      <c r="BD197" s="1007"/>
      <c r="BE197" s="1007"/>
      <c r="BF197" s="1007"/>
      <c r="BG197" s="1007"/>
      <c r="BH197" s="1007"/>
      <c r="BI197" s="1007"/>
      <c r="BJ197" s="1007"/>
      <c r="BK197" s="1007"/>
      <c r="BL197" s="1007"/>
      <c r="BM197" s="1007"/>
      <c r="BN197" s="1007"/>
      <c r="BO197" s="1007"/>
      <c r="BP197" s="1007"/>
      <c r="BQ197" s="1007"/>
      <c r="BR197" s="1007"/>
      <c r="BS197" s="1007"/>
      <c r="BT197" s="1007"/>
      <c r="BU197" s="1007"/>
      <c r="BV197" s="1007"/>
      <c r="BW197" s="1007"/>
      <c r="BX197" s="1007"/>
      <c r="BY197" s="1007"/>
      <c r="BZ197" s="1007"/>
      <c r="CA197" s="1007"/>
      <c r="CB197" s="1007"/>
      <c r="CC197" s="1007"/>
      <c r="CD197" s="1007"/>
      <c r="CE197" s="1007"/>
      <c r="CF197" s="1007"/>
      <c r="CG197" s="1007"/>
      <c r="CH197" s="1007"/>
      <c r="CI197" s="1007"/>
      <c r="CJ197" s="1007"/>
      <c r="CK197" s="1007"/>
      <c r="CL197" s="1007"/>
      <c r="CM197" s="1007"/>
      <c r="CN197" s="1007"/>
      <c r="CO197" s="1007"/>
      <c r="CP197" s="1007"/>
      <c r="CQ197" s="1007"/>
      <c r="CR197" s="1007"/>
      <c r="CS197" s="1007"/>
      <c r="CT197" s="1007"/>
      <c r="CU197" s="1007"/>
      <c r="CV197" s="1007"/>
      <c r="CW197" s="1007"/>
      <c r="CX197" s="1007"/>
      <c r="CY197" s="1007"/>
      <c r="CZ197" s="1007"/>
      <c r="DA197" s="1007"/>
      <c r="DB197" s="1007"/>
      <c r="DC197" s="1007"/>
      <c r="DD197" s="1007"/>
      <c r="DE197" s="1007"/>
      <c r="DF197" s="1007"/>
      <c r="DG197" s="1007"/>
      <c r="DH197" s="1007"/>
      <c r="DI197" s="1007"/>
      <c r="DJ197" s="1007"/>
      <c r="DK197" s="1007"/>
      <c r="DL197" s="1007"/>
      <c r="DM197" s="1007"/>
      <c r="DN197" s="1007"/>
      <c r="DO197" s="1007"/>
      <c r="DP197" s="1007"/>
      <c r="DQ197" s="1007"/>
      <c r="DR197" s="1007"/>
      <c r="DS197" s="1007"/>
      <c r="DT197" s="1007"/>
      <c r="DU197" s="1007"/>
      <c r="DV197" s="1007"/>
      <c r="DW197" s="1007"/>
      <c r="DX197" s="1007"/>
      <c r="DY197" s="1007"/>
      <c r="DZ197" s="1007"/>
      <c r="EA197" s="1007"/>
      <c r="EB197" s="1007"/>
      <c r="EC197" s="1007"/>
      <c r="ED197" s="1007"/>
      <c r="EE197" s="1007"/>
      <c r="EF197" s="1007"/>
      <c r="EG197" s="1007"/>
      <c r="EH197" s="1007"/>
      <c r="EI197" s="1007"/>
      <c r="EJ197" s="1007"/>
      <c r="EK197" s="1007"/>
      <c r="EL197" s="1007"/>
      <c r="EM197" s="1007"/>
      <c r="EN197" s="1007"/>
      <c r="EO197" s="1007"/>
      <c r="EP197" s="1007"/>
      <c r="EQ197" s="1007"/>
      <c r="ER197" s="1007"/>
      <c r="ES197" s="1007"/>
      <c r="ET197" s="1007"/>
      <c r="EU197" s="1007"/>
      <c r="EV197" s="1007"/>
      <c r="EW197" s="1007"/>
      <c r="EX197" s="1007"/>
      <c r="EY197" s="1007"/>
      <c r="EZ197" s="1007"/>
      <c r="FA197" s="1007"/>
      <c r="FB197" s="1007"/>
      <c r="FC197" s="1007"/>
      <c r="FD197" s="1007"/>
      <c r="FE197" s="1007"/>
      <c r="FF197" s="1007"/>
      <c r="FG197" s="1007"/>
      <c r="FH197" s="1007"/>
      <c r="FI197" s="1007"/>
      <c r="FJ197" s="1007"/>
      <c r="FK197" s="1007"/>
      <c r="FL197" s="1007"/>
      <c r="FM197" s="1007"/>
      <c r="FN197" s="1007"/>
      <c r="FO197" s="1007"/>
      <c r="FP197" s="1007"/>
      <c r="FQ197" s="1007"/>
      <c r="FR197" s="1007"/>
      <c r="FS197" s="1007"/>
      <c r="FT197" s="1007"/>
      <c r="FU197" s="1007"/>
      <c r="FV197" s="1007"/>
      <c r="FW197" s="1007"/>
      <c r="FX197" s="1007"/>
      <c r="FY197" s="1007"/>
      <c r="FZ197" s="1007"/>
      <c r="GA197" s="1007"/>
      <c r="GB197" s="1007"/>
      <c r="GC197" s="1007"/>
      <c r="GD197" s="1007"/>
      <c r="GE197" s="1007"/>
      <c r="GF197" s="1007"/>
      <c r="GG197" s="1007"/>
      <c r="GH197" s="1007"/>
      <c r="GI197" s="1007"/>
      <c r="GJ197" s="1007"/>
      <c r="GK197" s="1007"/>
      <c r="GL197" s="1007"/>
      <c r="GM197" s="1007"/>
      <c r="GN197" s="1007"/>
      <c r="GO197" s="1007"/>
      <c r="GP197" s="1007"/>
      <c r="GQ197" s="1007"/>
      <c r="GR197" s="1007"/>
      <c r="GS197" s="1007"/>
      <c r="GT197" s="1007"/>
      <c r="GU197" s="1007"/>
      <c r="GV197" s="1007"/>
      <c r="GW197" s="1007"/>
      <c r="GX197" s="1007"/>
      <c r="GY197" s="1007"/>
      <c r="GZ197" s="1007"/>
      <c r="HA197" s="1007"/>
      <c r="HB197" s="1007"/>
      <c r="HC197" s="1007"/>
      <c r="HD197" s="1007"/>
      <c r="HE197" s="1007"/>
      <c r="HF197" s="1007"/>
      <c r="HG197" s="1007"/>
      <c r="HH197" s="1007"/>
      <c r="HI197" s="1007"/>
      <c r="HJ197" s="1007"/>
      <c r="HK197" s="1007"/>
      <c r="HL197" s="1007"/>
      <c r="HM197" s="1007"/>
      <c r="HN197" s="1007"/>
      <c r="HO197" s="1007"/>
      <c r="HP197" s="1007"/>
      <c r="HQ197" s="1007"/>
      <c r="HR197" s="1007"/>
      <c r="HS197" s="1007"/>
      <c r="HT197" s="1007"/>
      <c r="HU197" s="1007"/>
      <c r="HV197" s="1007"/>
      <c r="HW197" s="1007"/>
      <c r="HX197" s="1007"/>
      <c r="HY197" s="1007"/>
      <c r="HZ197" s="1007"/>
      <c r="IA197" s="1007"/>
      <c r="IB197" s="1007"/>
      <c r="IC197" s="1007"/>
      <c r="ID197" s="1007"/>
      <c r="IE197" s="1007"/>
      <c r="IF197" s="1007"/>
      <c r="IG197" s="1007"/>
      <c r="IH197" s="1007"/>
    </row>
    <row r="198" hidden="1" outlineLevel="1">
      <c r="A198" s="598"/>
      <c r="B198" s="598"/>
      <c r="C198" s="598"/>
      <c r="D198" s="598"/>
      <c r="E198" s="598"/>
      <c r="F198" s="598"/>
      <c r="G198" s="598"/>
      <c r="H198" s="598"/>
      <c r="I198" s="598"/>
      <c r="J198" s="598"/>
      <c r="K198" s="598"/>
      <c r="L198" s="598"/>
      <c r="M198" s="598"/>
      <c r="N198" s="598"/>
      <c r="O198" s="598"/>
      <c r="P198" s="598"/>
      <c r="Q198" s="598"/>
      <c r="R198" s="598"/>
      <c r="S198" s="598"/>
      <c r="T198" s="598"/>
      <c r="U198" s="598"/>
      <c r="V198" s="598"/>
      <c r="W198" s="598"/>
      <c r="X198" s="598"/>
      <c r="Y198" s="598"/>
      <c r="Z198" s="598"/>
      <c r="AA198" s="911"/>
      <c r="AB198" s="1006"/>
      <c r="AC198" s="1007" t="str">
        <f>IFERROR(__xludf.DUMMYFUNCTION("""COMPUTED_VALUE"""),"Vampire Enemy Health")</f>
        <v>Vampire Enemy Health</v>
      </c>
      <c r="AD198" s="1008" t="s">
        <v>330</v>
      </c>
      <c r="AE198" s="1007">
        <v>0.0</v>
      </c>
      <c r="AF198" s="1007"/>
      <c r="AG198" s="1007">
        <v>30.0</v>
      </c>
      <c r="AH198" s="1009" t="str">
        <f>IFERROR(__xludf.DUMMYFUNCTION("IFERROR(IF(K45 = """", SEQUENCE(1, VALUE(VLOOKUP(M45, AD:AG, 4, false)) - VALUE(VLOOKUP(M45, AD:AG, 2, false)), VALUE(VLOOKUP(M45, AD:AG, 2, false)) + 1),
    IF(ISBETWEEN(K45, VALUE(VLOOKUP(M45, AD:AG, 2, false)), VALUE(VLOOKUP(M45, AD:AG, 4, false))),
 "&amp;"       SEQUENCE(1, VALUE(VLOOKUP(M45, AD:AG, 4, false)) - K45, K45 + 1),
        """")))"),"")</f>
        <v/>
      </c>
      <c r="AI198" s="1007"/>
      <c r="AJ198" s="1007"/>
      <c r="AK198" s="1007"/>
      <c r="AL198" s="1007"/>
      <c r="AM198" s="1007"/>
      <c r="AN198" s="1007"/>
      <c r="AO198" s="1007"/>
      <c r="AP198" s="1007"/>
      <c r="AQ198" s="1007"/>
      <c r="AR198" s="1007"/>
      <c r="AS198" s="1007"/>
      <c r="AT198" s="1007"/>
      <c r="AU198" s="1007"/>
      <c r="AV198" s="1007"/>
      <c r="AW198" s="1007"/>
      <c r="AX198" s="1007"/>
      <c r="AY198" s="1007"/>
      <c r="AZ198" s="1007"/>
      <c r="BA198" s="1007"/>
      <c r="BB198" s="1007"/>
      <c r="BC198" s="1007"/>
      <c r="BD198" s="1007"/>
      <c r="BE198" s="1007"/>
      <c r="BF198" s="1007"/>
      <c r="BG198" s="1007"/>
      <c r="BH198" s="1007"/>
      <c r="BI198" s="1007"/>
      <c r="BJ198" s="1007"/>
      <c r="BK198" s="1007"/>
      <c r="BL198" s="1007"/>
      <c r="BM198" s="1007"/>
      <c r="BN198" s="1007"/>
      <c r="BO198" s="1007"/>
      <c r="BP198" s="1007"/>
      <c r="BQ198" s="1007"/>
      <c r="BR198" s="1007"/>
      <c r="BS198" s="1007"/>
      <c r="BT198" s="1007"/>
      <c r="BU198" s="1007"/>
      <c r="BV198" s="1007"/>
      <c r="BW198" s="1007"/>
      <c r="BX198" s="1007"/>
      <c r="BY198" s="1007"/>
      <c r="BZ198" s="1007"/>
      <c r="CA198" s="1007"/>
      <c r="CB198" s="1007"/>
      <c r="CC198" s="1007"/>
      <c r="CD198" s="1007"/>
      <c r="CE198" s="1007"/>
      <c r="CF198" s="1007"/>
      <c r="CG198" s="1007"/>
      <c r="CH198" s="1007"/>
      <c r="CI198" s="1007"/>
      <c r="CJ198" s="1007"/>
      <c r="CK198" s="1007"/>
      <c r="CL198" s="1007"/>
      <c r="CM198" s="1007"/>
      <c r="CN198" s="1007"/>
      <c r="CO198" s="1007"/>
      <c r="CP198" s="1007"/>
      <c r="CQ198" s="1007"/>
      <c r="CR198" s="1007"/>
      <c r="CS198" s="1007"/>
      <c r="CT198" s="1007"/>
      <c r="CU198" s="1007"/>
      <c r="CV198" s="1007"/>
      <c r="CW198" s="1007"/>
      <c r="CX198" s="1007"/>
      <c r="CY198" s="1007"/>
      <c r="CZ198" s="1007"/>
      <c r="DA198" s="1007"/>
      <c r="DB198" s="1007"/>
      <c r="DC198" s="1007"/>
      <c r="DD198" s="1007"/>
      <c r="DE198" s="1007"/>
      <c r="DF198" s="1007"/>
      <c r="DG198" s="1007"/>
      <c r="DH198" s="1007"/>
      <c r="DI198" s="1007"/>
      <c r="DJ198" s="1007"/>
      <c r="DK198" s="1007"/>
      <c r="DL198" s="1007"/>
      <c r="DM198" s="1007"/>
      <c r="DN198" s="1007"/>
      <c r="DO198" s="1007"/>
      <c r="DP198" s="1007"/>
      <c r="DQ198" s="1007"/>
      <c r="DR198" s="1007"/>
      <c r="DS198" s="1007"/>
      <c r="DT198" s="1007"/>
      <c r="DU198" s="1007"/>
      <c r="DV198" s="1007"/>
      <c r="DW198" s="1007"/>
      <c r="DX198" s="1007"/>
      <c r="DY198" s="1007"/>
      <c r="DZ198" s="1007"/>
      <c r="EA198" s="1007"/>
      <c r="EB198" s="1007"/>
      <c r="EC198" s="1007"/>
      <c r="ED198" s="1007"/>
      <c r="EE198" s="1007"/>
      <c r="EF198" s="1007"/>
      <c r="EG198" s="1007"/>
      <c r="EH198" s="1007"/>
      <c r="EI198" s="1007"/>
      <c r="EJ198" s="1007"/>
      <c r="EK198" s="1007"/>
      <c r="EL198" s="1007"/>
      <c r="EM198" s="1007"/>
      <c r="EN198" s="1007"/>
      <c r="EO198" s="1007"/>
      <c r="EP198" s="1007"/>
      <c r="EQ198" s="1007"/>
      <c r="ER198" s="1007"/>
      <c r="ES198" s="1007"/>
      <c r="ET198" s="1007"/>
      <c r="EU198" s="1007"/>
      <c r="EV198" s="1007"/>
      <c r="EW198" s="1007"/>
      <c r="EX198" s="1007"/>
      <c r="EY198" s="1007"/>
      <c r="EZ198" s="1007"/>
      <c r="FA198" s="1007"/>
      <c r="FB198" s="1007"/>
      <c r="FC198" s="1007"/>
      <c r="FD198" s="1007"/>
      <c r="FE198" s="1007"/>
      <c r="FF198" s="1007"/>
      <c r="FG198" s="1007"/>
      <c r="FH198" s="1007"/>
      <c r="FI198" s="1007"/>
      <c r="FJ198" s="1007"/>
      <c r="FK198" s="1007"/>
      <c r="FL198" s="1007"/>
      <c r="FM198" s="1007"/>
      <c r="FN198" s="1007"/>
      <c r="FO198" s="1007"/>
      <c r="FP198" s="1007"/>
      <c r="FQ198" s="1007"/>
      <c r="FR198" s="1007"/>
      <c r="FS198" s="1007"/>
      <c r="FT198" s="1007"/>
      <c r="FU198" s="1007"/>
      <c r="FV198" s="1007"/>
      <c r="FW198" s="1007"/>
      <c r="FX198" s="1007"/>
      <c r="FY198" s="1007"/>
      <c r="FZ198" s="1007"/>
      <c r="GA198" s="1007"/>
      <c r="GB198" s="1007"/>
      <c r="GC198" s="1007"/>
      <c r="GD198" s="1007"/>
      <c r="GE198" s="1007"/>
      <c r="GF198" s="1007"/>
      <c r="GG198" s="1007"/>
      <c r="GH198" s="1007"/>
      <c r="GI198" s="1007"/>
      <c r="GJ198" s="1007"/>
      <c r="GK198" s="1007"/>
      <c r="GL198" s="1007"/>
      <c r="GM198" s="1007"/>
      <c r="GN198" s="1007"/>
      <c r="GO198" s="1007"/>
      <c r="GP198" s="1007"/>
      <c r="GQ198" s="1007"/>
      <c r="GR198" s="1007"/>
      <c r="GS198" s="1007"/>
      <c r="GT198" s="1007"/>
      <c r="GU198" s="1007"/>
      <c r="GV198" s="1007"/>
      <c r="GW198" s="1007"/>
      <c r="GX198" s="1007"/>
      <c r="GY198" s="1007"/>
      <c r="GZ198" s="1007"/>
      <c r="HA198" s="1007"/>
      <c r="HB198" s="1007"/>
      <c r="HC198" s="1007"/>
      <c r="HD198" s="1007"/>
      <c r="HE198" s="1007"/>
      <c r="HF198" s="1007"/>
      <c r="HG198" s="1007"/>
      <c r="HH198" s="1007"/>
      <c r="HI198" s="1007"/>
      <c r="HJ198" s="1007"/>
      <c r="HK198" s="1007"/>
      <c r="HL198" s="1007"/>
      <c r="HM198" s="1007"/>
      <c r="HN198" s="1007"/>
      <c r="HO198" s="1007"/>
      <c r="HP198" s="1007"/>
      <c r="HQ198" s="1007"/>
      <c r="HR198" s="1007"/>
      <c r="HS198" s="1007"/>
      <c r="HT198" s="1007"/>
      <c r="HU198" s="1007"/>
      <c r="HV198" s="1007"/>
      <c r="HW198" s="1007"/>
      <c r="HX198" s="1007"/>
      <c r="HY198" s="1007"/>
      <c r="HZ198" s="1007"/>
      <c r="IA198" s="1007"/>
      <c r="IB198" s="1007"/>
      <c r="IC198" s="1007"/>
      <c r="ID198" s="1007"/>
      <c r="IE198" s="1007"/>
      <c r="IF198" s="1007"/>
      <c r="IG198" s="1007"/>
      <c r="IH198" s="1007"/>
    </row>
    <row r="199" hidden="1" outlineLevel="1">
      <c r="A199" s="598"/>
      <c r="B199" s="598"/>
      <c r="C199" s="598"/>
      <c r="D199" s="598"/>
      <c r="E199" s="598"/>
      <c r="F199" s="598"/>
      <c r="G199" s="598"/>
      <c r="H199" s="598"/>
      <c r="I199" s="598"/>
      <c r="J199" s="598"/>
      <c r="K199" s="598"/>
      <c r="L199" s="598"/>
      <c r="M199" s="598"/>
      <c r="N199" s="598"/>
      <c r="O199" s="598"/>
      <c r="P199" s="598"/>
      <c r="Q199" s="598"/>
      <c r="R199" s="598"/>
      <c r="S199" s="598"/>
      <c r="T199" s="598"/>
      <c r="U199" s="598"/>
      <c r="V199" s="598"/>
      <c r="W199" s="598"/>
      <c r="X199" s="598"/>
      <c r="Y199" s="598"/>
      <c r="Z199" s="598"/>
      <c r="AA199" s="911"/>
      <c r="AB199" s="1006"/>
      <c r="AC199" s="1007" t="str">
        <f>IFERROR(__xludf.DUMMYFUNCTION("""COMPUTED_VALUE"""),"Wall Fortification")</f>
        <v>Wall Fortification</v>
      </c>
      <c r="AD199" s="1008" t="s">
        <v>309</v>
      </c>
      <c r="AE199" s="1007">
        <v>47.0</v>
      </c>
      <c r="AF199" s="1007"/>
      <c r="AG199" s="1007">
        <v>60.0</v>
      </c>
      <c r="AH199" s="1009" t="str">
        <f>IFERROR(__xludf.DUMMYFUNCTION("IFERROR(IF(K46 = """", SEQUENCE(1, VALUE(VLOOKUP(M46, AD:AG, 4, false)) - VALUE(VLOOKUP(M46, AD:AG, 2, false)), VALUE(VLOOKUP(M46, AD:AG, 2, false)) + 1),
    IF(ISBETWEEN(K46, VALUE(VLOOKUP(M46, AD:AG, 2, false)), VALUE(VLOOKUP(M46, AD:AG, 4, false))),
 "&amp;"       SEQUENCE(1, VALUE(VLOOKUP(M46, AD:AG, 4, false)) - K46, K46 + 1),
        """")))"),"")</f>
        <v/>
      </c>
      <c r="AI199" s="1007"/>
      <c r="AJ199" s="1007"/>
      <c r="AK199" s="1007"/>
      <c r="AL199" s="1007"/>
      <c r="AM199" s="1007"/>
      <c r="AN199" s="1007"/>
      <c r="AO199" s="1007"/>
      <c r="AP199" s="1007"/>
      <c r="AQ199" s="1007"/>
      <c r="AR199" s="1007"/>
      <c r="AS199" s="1007"/>
      <c r="AT199" s="1007"/>
      <c r="AU199" s="1007"/>
      <c r="AV199" s="1007"/>
      <c r="AW199" s="1007"/>
      <c r="AX199" s="1007"/>
      <c r="AY199" s="1007"/>
      <c r="AZ199" s="1007"/>
      <c r="BA199" s="1007"/>
      <c r="BB199" s="1007"/>
      <c r="BC199" s="1007"/>
      <c r="BD199" s="1007"/>
      <c r="BE199" s="1007"/>
      <c r="BF199" s="1007"/>
      <c r="BG199" s="1007"/>
      <c r="BH199" s="1007"/>
      <c r="BI199" s="1007"/>
      <c r="BJ199" s="1007"/>
      <c r="BK199" s="1007"/>
      <c r="BL199" s="1007"/>
      <c r="BM199" s="1007"/>
      <c r="BN199" s="1007"/>
      <c r="BO199" s="1007"/>
      <c r="BP199" s="1007"/>
      <c r="BQ199" s="1007"/>
      <c r="BR199" s="1007"/>
      <c r="BS199" s="1007"/>
      <c r="BT199" s="1007"/>
      <c r="BU199" s="1007"/>
      <c r="BV199" s="1007"/>
      <c r="BW199" s="1007"/>
      <c r="BX199" s="1007"/>
      <c r="BY199" s="1007"/>
      <c r="BZ199" s="1007"/>
      <c r="CA199" s="1007"/>
      <c r="CB199" s="1007"/>
      <c r="CC199" s="1007"/>
      <c r="CD199" s="1007"/>
      <c r="CE199" s="1007"/>
      <c r="CF199" s="1007"/>
      <c r="CG199" s="1007"/>
      <c r="CH199" s="1007"/>
      <c r="CI199" s="1007"/>
      <c r="CJ199" s="1007"/>
      <c r="CK199" s="1007"/>
      <c r="CL199" s="1007"/>
      <c r="CM199" s="1007"/>
      <c r="CN199" s="1007"/>
      <c r="CO199" s="1007"/>
      <c r="CP199" s="1007"/>
      <c r="CQ199" s="1007"/>
      <c r="CR199" s="1007"/>
      <c r="CS199" s="1007"/>
      <c r="CT199" s="1007"/>
      <c r="CU199" s="1007"/>
      <c r="CV199" s="1007"/>
      <c r="CW199" s="1007"/>
      <c r="CX199" s="1007"/>
      <c r="CY199" s="1007"/>
      <c r="CZ199" s="1007"/>
      <c r="DA199" s="1007"/>
      <c r="DB199" s="1007"/>
      <c r="DC199" s="1007"/>
      <c r="DD199" s="1007"/>
      <c r="DE199" s="1007"/>
      <c r="DF199" s="1007"/>
      <c r="DG199" s="1007"/>
      <c r="DH199" s="1007"/>
      <c r="DI199" s="1007"/>
      <c r="DJ199" s="1007"/>
      <c r="DK199" s="1007"/>
      <c r="DL199" s="1007"/>
      <c r="DM199" s="1007"/>
      <c r="DN199" s="1007"/>
      <c r="DO199" s="1007"/>
      <c r="DP199" s="1007"/>
      <c r="DQ199" s="1007"/>
      <c r="DR199" s="1007"/>
      <c r="DS199" s="1007"/>
      <c r="DT199" s="1007"/>
      <c r="DU199" s="1007"/>
      <c r="DV199" s="1007"/>
      <c r="DW199" s="1007"/>
      <c r="DX199" s="1007"/>
      <c r="DY199" s="1007"/>
      <c r="DZ199" s="1007"/>
      <c r="EA199" s="1007"/>
      <c r="EB199" s="1007"/>
      <c r="EC199" s="1007"/>
      <c r="ED199" s="1007"/>
      <c r="EE199" s="1007"/>
      <c r="EF199" s="1007"/>
      <c r="EG199" s="1007"/>
      <c r="EH199" s="1007"/>
      <c r="EI199" s="1007"/>
      <c r="EJ199" s="1007"/>
      <c r="EK199" s="1007"/>
      <c r="EL199" s="1007"/>
      <c r="EM199" s="1007"/>
      <c r="EN199" s="1007"/>
      <c r="EO199" s="1007"/>
      <c r="EP199" s="1007"/>
      <c r="EQ199" s="1007"/>
      <c r="ER199" s="1007"/>
      <c r="ES199" s="1007"/>
      <c r="ET199" s="1007"/>
      <c r="EU199" s="1007"/>
      <c r="EV199" s="1007"/>
      <c r="EW199" s="1007"/>
      <c r="EX199" s="1007"/>
      <c r="EY199" s="1007"/>
      <c r="EZ199" s="1007"/>
      <c r="FA199" s="1007"/>
      <c r="FB199" s="1007"/>
      <c r="FC199" s="1007"/>
      <c r="FD199" s="1007"/>
      <c r="FE199" s="1007"/>
      <c r="FF199" s="1007"/>
      <c r="FG199" s="1007"/>
      <c r="FH199" s="1007"/>
      <c r="FI199" s="1007"/>
      <c r="FJ199" s="1007"/>
      <c r="FK199" s="1007"/>
      <c r="FL199" s="1007"/>
      <c r="FM199" s="1007"/>
      <c r="FN199" s="1007"/>
      <c r="FO199" s="1007"/>
      <c r="FP199" s="1007"/>
      <c r="FQ199" s="1007"/>
      <c r="FR199" s="1007"/>
      <c r="FS199" s="1007"/>
      <c r="FT199" s="1007"/>
      <c r="FU199" s="1007"/>
      <c r="FV199" s="1007"/>
      <c r="FW199" s="1007"/>
      <c r="FX199" s="1007"/>
      <c r="FY199" s="1007"/>
      <c r="FZ199" s="1007"/>
      <c r="GA199" s="1007"/>
      <c r="GB199" s="1007"/>
      <c r="GC199" s="1007"/>
      <c r="GD199" s="1007"/>
      <c r="GE199" s="1007"/>
      <c r="GF199" s="1007"/>
      <c r="GG199" s="1007"/>
      <c r="GH199" s="1007"/>
      <c r="GI199" s="1007"/>
      <c r="GJ199" s="1007"/>
      <c r="GK199" s="1007"/>
      <c r="GL199" s="1007"/>
      <c r="GM199" s="1007"/>
      <c r="GN199" s="1007"/>
      <c r="GO199" s="1007"/>
      <c r="GP199" s="1007"/>
      <c r="GQ199" s="1007"/>
      <c r="GR199" s="1007"/>
      <c r="GS199" s="1007"/>
      <c r="GT199" s="1007"/>
      <c r="GU199" s="1007"/>
      <c r="GV199" s="1007"/>
      <c r="GW199" s="1007"/>
      <c r="GX199" s="1007"/>
      <c r="GY199" s="1007"/>
      <c r="GZ199" s="1007"/>
      <c r="HA199" s="1007"/>
      <c r="HB199" s="1007"/>
      <c r="HC199" s="1007"/>
      <c r="HD199" s="1007"/>
      <c r="HE199" s="1007"/>
      <c r="HF199" s="1007"/>
      <c r="HG199" s="1007"/>
      <c r="HH199" s="1007"/>
      <c r="HI199" s="1007"/>
      <c r="HJ199" s="1007"/>
      <c r="HK199" s="1007"/>
      <c r="HL199" s="1007"/>
      <c r="HM199" s="1007"/>
      <c r="HN199" s="1007"/>
      <c r="HO199" s="1007"/>
      <c r="HP199" s="1007"/>
      <c r="HQ199" s="1007"/>
      <c r="HR199" s="1007"/>
      <c r="HS199" s="1007"/>
      <c r="HT199" s="1007"/>
      <c r="HU199" s="1007"/>
      <c r="HV199" s="1007"/>
      <c r="HW199" s="1007"/>
      <c r="HX199" s="1007"/>
      <c r="HY199" s="1007"/>
      <c r="HZ199" s="1007"/>
      <c r="IA199" s="1007"/>
      <c r="IB199" s="1007"/>
      <c r="IC199" s="1007"/>
      <c r="ID199" s="1007"/>
      <c r="IE199" s="1007"/>
      <c r="IF199" s="1007"/>
      <c r="IG199" s="1007"/>
      <c r="IH199" s="1007"/>
    </row>
    <row r="200" hidden="1" outlineLevel="1">
      <c r="A200" s="598"/>
      <c r="B200" s="598"/>
      <c r="C200" s="598"/>
      <c r="D200" s="598"/>
      <c r="E200" s="598"/>
      <c r="F200" s="598"/>
      <c r="G200" s="598"/>
      <c r="H200" s="598"/>
      <c r="I200" s="598"/>
      <c r="J200" s="598"/>
      <c r="K200" s="598"/>
      <c r="L200" s="598"/>
      <c r="M200" s="598"/>
      <c r="N200" s="598"/>
      <c r="O200" s="598"/>
      <c r="P200" s="598"/>
      <c r="Q200" s="598"/>
      <c r="R200" s="598"/>
      <c r="S200" s="598"/>
      <c r="T200" s="598"/>
      <c r="U200" s="598"/>
      <c r="V200" s="598"/>
      <c r="W200" s="598"/>
      <c r="X200" s="598"/>
      <c r="Y200" s="598"/>
      <c r="Z200" s="598"/>
      <c r="AA200" s="911"/>
      <c r="AB200" s="1006"/>
      <c r="AC200" s="1007" t="str">
        <f>IFERROR(__xludf.DUMMYFUNCTION("""COMPUTED_VALUE"""),"Wall Health")</f>
        <v>Wall Health</v>
      </c>
      <c r="AD200" s="1008" t="s">
        <v>271</v>
      </c>
      <c r="AE200" s="1007">
        <v>50.0</v>
      </c>
      <c r="AF200" s="1007"/>
      <c r="AG200" s="1007">
        <v>50.0</v>
      </c>
      <c r="AH200" s="1009" t="str">
        <f>IFERROR(__xludf.DUMMYFUNCTION("IFERROR(IF(K47 = """", SEQUENCE(1, VALUE(VLOOKUP(M47, AD:AG, 4, false)) - VALUE(VLOOKUP(M47, AD:AG, 2, false)), VALUE(VLOOKUP(M47, AD:AG, 2, false)) + 1),
    IF(ISBETWEEN(K47, VALUE(VLOOKUP(M47, AD:AG, 2, false)), VALUE(VLOOKUP(M47, AD:AG, 4, false))),
 "&amp;"       SEQUENCE(1, VALUE(VLOOKUP(M47, AD:AG, 4, false)) - K47, K47 + 1),
        """")))"),"")</f>
        <v/>
      </c>
      <c r="AI200" s="1007"/>
      <c r="AJ200" s="1007"/>
      <c r="AK200" s="1007"/>
      <c r="AL200" s="1007"/>
      <c r="AM200" s="1007"/>
      <c r="AN200" s="1007"/>
      <c r="AO200" s="1007"/>
      <c r="AP200" s="1007"/>
      <c r="AQ200" s="1007"/>
      <c r="AR200" s="1007"/>
      <c r="AS200" s="1007"/>
      <c r="AT200" s="1007"/>
      <c r="AU200" s="1007"/>
      <c r="AV200" s="1007"/>
      <c r="AW200" s="1007"/>
      <c r="AX200" s="1007"/>
      <c r="AY200" s="1007"/>
      <c r="AZ200" s="1007"/>
      <c r="BA200" s="1007"/>
      <c r="BB200" s="1007"/>
      <c r="BC200" s="1007"/>
      <c r="BD200" s="1007"/>
      <c r="BE200" s="1007"/>
      <c r="BF200" s="1007"/>
      <c r="BG200" s="1007"/>
      <c r="BH200" s="1007"/>
      <c r="BI200" s="1007"/>
      <c r="BJ200" s="1007"/>
      <c r="BK200" s="1007"/>
      <c r="BL200" s="1007"/>
      <c r="BM200" s="1007"/>
      <c r="BN200" s="1007"/>
      <c r="BO200" s="1007"/>
      <c r="BP200" s="1007"/>
      <c r="BQ200" s="1007"/>
      <c r="BR200" s="1007"/>
      <c r="BS200" s="1007"/>
      <c r="BT200" s="1007"/>
      <c r="BU200" s="1007"/>
      <c r="BV200" s="1007"/>
      <c r="BW200" s="1007"/>
      <c r="BX200" s="1007"/>
      <c r="BY200" s="1007"/>
      <c r="BZ200" s="1007"/>
      <c r="CA200" s="1007"/>
      <c r="CB200" s="1007"/>
      <c r="CC200" s="1007"/>
      <c r="CD200" s="1007"/>
      <c r="CE200" s="1007"/>
      <c r="CF200" s="1007"/>
      <c r="CG200" s="1007"/>
      <c r="CH200" s="1007"/>
      <c r="CI200" s="1007"/>
      <c r="CJ200" s="1007"/>
      <c r="CK200" s="1007"/>
      <c r="CL200" s="1007"/>
      <c r="CM200" s="1007"/>
      <c r="CN200" s="1007"/>
      <c r="CO200" s="1007"/>
      <c r="CP200" s="1007"/>
      <c r="CQ200" s="1007"/>
      <c r="CR200" s="1007"/>
      <c r="CS200" s="1007"/>
      <c r="CT200" s="1007"/>
      <c r="CU200" s="1007"/>
      <c r="CV200" s="1007"/>
      <c r="CW200" s="1007"/>
      <c r="CX200" s="1007"/>
      <c r="CY200" s="1007"/>
      <c r="CZ200" s="1007"/>
      <c r="DA200" s="1007"/>
      <c r="DB200" s="1007"/>
      <c r="DC200" s="1007"/>
      <c r="DD200" s="1007"/>
      <c r="DE200" s="1007"/>
      <c r="DF200" s="1007"/>
      <c r="DG200" s="1007"/>
      <c r="DH200" s="1007"/>
      <c r="DI200" s="1007"/>
      <c r="DJ200" s="1007"/>
      <c r="DK200" s="1007"/>
      <c r="DL200" s="1007"/>
      <c r="DM200" s="1007"/>
      <c r="DN200" s="1007"/>
      <c r="DO200" s="1007"/>
      <c r="DP200" s="1007"/>
      <c r="DQ200" s="1007"/>
      <c r="DR200" s="1007"/>
      <c r="DS200" s="1007"/>
      <c r="DT200" s="1007"/>
      <c r="DU200" s="1007"/>
      <c r="DV200" s="1007"/>
      <c r="DW200" s="1007"/>
      <c r="DX200" s="1007"/>
      <c r="DY200" s="1007"/>
      <c r="DZ200" s="1007"/>
      <c r="EA200" s="1007"/>
      <c r="EB200" s="1007"/>
      <c r="EC200" s="1007"/>
      <c r="ED200" s="1007"/>
      <c r="EE200" s="1007"/>
      <c r="EF200" s="1007"/>
      <c r="EG200" s="1007"/>
      <c r="EH200" s="1007"/>
      <c r="EI200" s="1007"/>
      <c r="EJ200" s="1007"/>
      <c r="EK200" s="1007"/>
      <c r="EL200" s="1007"/>
      <c r="EM200" s="1007"/>
      <c r="EN200" s="1007"/>
      <c r="EO200" s="1007"/>
      <c r="EP200" s="1007"/>
      <c r="EQ200" s="1007"/>
      <c r="ER200" s="1007"/>
      <c r="ES200" s="1007"/>
      <c r="ET200" s="1007"/>
      <c r="EU200" s="1007"/>
      <c r="EV200" s="1007"/>
      <c r="EW200" s="1007"/>
      <c r="EX200" s="1007"/>
      <c r="EY200" s="1007"/>
      <c r="EZ200" s="1007"/>
      <c r="FA200" s="1007"/>
      <c r="FB200" s="1007"/>
      <c r="FC200" s="1007"/>
      <c r="FD200" s="1007"/>
      <c r="FE200" s="1007"/>
      <c r="FF200" s="1007"/>
      <c r="FG200" s="1007"/>
      <c r="FH200" s="1007"/>
      <c r="FI200" s="1007"/>
      <c r="FJ200" s="1007"/>
      <c r="FK200" s="1007"/>
      <c r="FL200" s="1007"/>
      <c r="FM200" s="1007"/>
      <c r="FN200" s="1007"/>
      <c r="FO200" s="1007"/>
      <c r="FP200" s="1007"/>
      <c r="FQ200" s="1007"/>
      <c r="FR200" s="1007"/>
      <c r="FS200" s="1007"/>
      <c r="FT200" s="1007"/>
      <c r="FU200" s="1007"/>
      <c r="FV200" s="1007"/>
      <c r="FW200" s="1007"/>
      <c r="FX200" s="1007"/>
      <c r="FY200" s="1007"/>
      <c r="FZ200" s="1007"/>
      <c r="GA200" s="1007"/>
      <c r="GB200" s="1007"/>
      <c r="GC200" s="1007"/>
      <c r="GD200" s="1007"/>
      <c r="GE200" s="1007"/>
      <c r="GF200" s="1007"/>
      <c r="GG200" s="1007"/>
      <c r="GH200" s="1007"/>
      <c r="GI200" s="1007"/>
      <c r="GJ200" s="1007"/>
      <c r="GK200" s="1007"/>
      <c r="GL200" s="1007"/>
      <c r="GM200" s="1007"/>
      <c r="GN200" s="1007"/>
      <c r="GO200" s="1007"/>
      <c r="GP200" s="1007"/>
      <c r="GQ200" s="1007"/>
      <c r="GR200" s="1007"/>
      <c r="GS200" s="1007"/>
      <c r="GT200" s="1007"/>
      <c r="GU200" s="1007"/>
      <c r="GV200" s="1007"/>
      <c r="GW200" s="1007"/>
      <c r="GX200" s="1007"/>
      <c r="GY200" s="1007"/>
      <c r="GZ200" s="1007"/>
      <c r="HA200" s="1007"/>
      <c r="HB200" s="1007"/>
      <c r="HC200" s="1007"/>
      <c r="HD200" s="1007"/>
      <c r="HE200" s="1007"/>
      <c r="HF200" s="1007"/>
      <c r="HG200" s="1007"/>
      <c r="HH200" s="1007"/>
      <c r="HI200" s="1007"/>
      <c r="HJ200" s="1007"/>
      <c r="HK200" s="1007"/>
      <c r="HL200" s="1007"/>
      <c r="HM200" s="1007"/>
      <c r="HN200" s="1007"/>
      <c r="HO200" s="1007"/>
      <c r="HP200" s="1007"/>
      <c r="HQ200" s="1007"/>
      <c r="HR200" s="1007"/>
      <c r="HS200" s="1007"/>
      <c r="HT200" s="1007"/>
      <c r="HU200" s="1007"/>
      <c r="HV200" s="1007"/>
      <c r="HW200" s="1007"/>
      <c r="HX200" s="1007"/>
      <c r="HY200" s="1007"/>
      <c r="HZ200" s="1007"/>
      <c r="IA200" s="1007"/>
      <c r="IB200" s="1007"/>
      <c r="IC200" s="1007"/>
      <c r="ID200" s="1007"/>
      <c r="IE200" s="1007"/>
      <c r="IF200" s="1007"/>
      <c r="IG200" s="1007"/>
      <c r="IH200" s="1007"/>
    </row>
    <row r="201" hidden="1" outlineLevel="1">
      <c r="A201" s="598"/>
      <c r="B201" s="598"/>
      <c r="C201" s="598"/>
      <c r="D201" s="598"/>
      <c r="E201" s="598"/>
      <c r="F201" s="598"/>
      <c r="G201" s="598"/>
      <c r="H201" s="598"/>
      <c r="I201" s="598"/>
      <c r="J201" s="598"/>
      <c r="K201" s="598"/>
      <c r="L201" s="598"/>
      <c r="M201" s="598"/>
      <c r="N201" s="598"/>
      <c r="O201" s="598"/>
      <c r="P201" s="598"/>
      <c r="Q201" s="598"/>
      <c r="R201" s="598"/>
      <c r="S201" s="598"/>
      <c r="T201" s="598"/>
      <c r="U201" s="598"/>
      <c r="V201" s="598"/>
      <c r="W201" s="598"/>
      <c r="X201" s="598"/>
      <c r="Y201" s="598"/>
      <c r="Z201" s="598"/>
      <c r="AA201" s="911"/>
      <c r="AB201" s="1006"/>
      <c r="AC201" s="1007" t="str">
        <f>IFERROR(__xludf.DUMMYFUNCTION("""COMPUTED_VALUE"""),"Wall Invincibility")</f>
        <v>Wall Invincibility</v>
      </c>
      <c r="AD201" s="1008" t="s">
        <v>302</v>
      </c>
      <c r="AE201" s="1007">
        <v>0.0</v>
      </c>
      <c r="AF201" s="1007"/>
      <c r="AG201" s="1007">
        <v>10.0</v>
      </c>
      <c r="AH201" s="1009" t="str">
        <f>IFERROR(__xludf.DUMMYFUNCTION("IFERROR(IF(K48 = """", SEQUENCE(1, VALUE(VLOOKUP(M48, AD:AG, 4, false)) - VALUE(VLOOKUP(M48, AD:AG, 2, false)), VALUE(VLOOKUP(M48, AD:AG, 2, false)) + 1),
    IF(ISBETWEEN(K48, VALUE(VLOOKUP(M48, AD:AG, 2, false)), VALUE(VLOOKUP(M48, AD:AG, 4, false))),
 "&amp;"       SEQUENCE(1, VALUE(VLOOKUP(M48, AD:AG, 4, false)) - K48, K48 + 1),
        """")))"),"")</f>
        <v/>
      </c>
      <c r="AI201" s="1007"/>
      <c r="AJ201" s="1007"/>
      <c r="AK201" s="1007"/>
      <c r="AL201" s="1007"/>
      <c r="AM201" s="1007"/>
      <c r="AN201" s="1007"/>
      <c r="AO201" s="1007"/>
      <c r="AP201" s="1007"/>
      <c r="AQ201" s="1007"/>
      <c r="AR201" s="1007"/>
      <c r="AS201" s="1007"/>
      <c r="AT201" s="1007"/>
      <c r="AU201" s="1007"/>
      <c r="AV201" s="1007"/>
      <c r="AW201" s="1007"/>
      <c r="AX201" s="1007"/>
      <c r="AY201" s="1007"/>
      <c r="AZ201" s="1007"/>
      <c r="BA201" s="1007"/>
      <c r="BB201" s="1007"/>
      <c r="BC201" s="1007"/>
      <c r="BD201" s="1007"/>
      <c r="BE201" s="1007"/>
      <c r="BF201" s="1007"/>
      <c r="BG201" s="1007"/>
      <c r="BH201" s="1007"/>
      <c r="BI201" s="1007"/>
      <c r="BJ201" s="1007"/>
      <c r="BK201" s="1007"/>
      <c r="BL201" s="1007"/>
      <c r="BM201" s="1007"/>
      <c r="BN201" s="1007"/>
      <c r="BO201" s="1007"/>
      <c r="BP201" s="1007"/>
      <c r="BQ201" s="1007"/>
      <c r="BR201" s="1007"/>
      <c r="BS201" s="1007"/>
      <c r="BT201" s="1007"/>
      <c r="BU201" s="1007"/>
      <c r="BV201" s="1007"/>
      <c r="BW201" s="1007"/>
      <c r="BX201" s="1007"/>
      <c r="BY201" s="1007"/>
      <c r="BZ201" s="1007"/>
      <c r="CA201" s="1007"/>
      <c r="CB201" s="1007"/>
      <c r="CC201" s="1007"/>
      <c r="CD201" s="1007"/>
      <c r="CE201" s="1007"/>
      <c r="CF201" s="1007"/>
      <c r="CG201" s="1007"/>
      <c r="CH201" s="1007"/>
      <c r="CI201" s="1007"/>
      <c r="CJ201" s="1007"/>
      <c r="CK201" s="1007"/>
      <c r="CL201" s="1007"/>
      <c r="CM201" s="1007"/>
      <c r="CN201" s="1007"/>
      <c r="CO201" s="1007"/>
      <c r="CP201" s="1007"/>
      <c r="CQ201" s="1007"/>
      <c r="CR201" s="1007"/>
      <c r="CS201" s="1007"/>
      <c r="CT201" s="1007"/>
      <c r="CU201" s="1007"/>
      <c r="CV201" s="1007"/>
      <c r="CW201" s="1007"/>
      <c r="CX201" s="1007"/>
      <c r="CY201" s="1007"/>
      <c r="CZ201" s="1007"/>
      <c r="DA201" s="1007"/>
      <c r="DB201" s="1007"/>
      <c r="DC201" s="1007"/>
      <c r="DD201" s="1007"/>
      <c r="DE201" s="1007"/>
      <c r="DF201" s="1007"/>
      <c r="DG201" s="1007"/>
      <c r="DH201" s="1007"/>
      <c r="DI201" s="1007"/>
      <c r="DJ201" s="1007"/>
      <c r="DK201" s="1007"/>
      <c r="DL201" s="1007"/>
      <c r="DM201" s="1007"/>
      <c r="DN201" s="1007"/>
      <c r="DO201" s="1007"/>
      <c r="DP201" s="1007"/>
      <c r="DQ201" s="1007"/>
      <c r="DR201" s="1007"/>
      <c r="DS201" s="1007"/>
      <c r="DT201" s="1007"/>
      <c r="DU201" s="1007"/>
      <c r="DV201" s="1007"/>
      <c r="DW201" s="1007"/>
      <c r="DX201" s="1007"/>
      <c r="DY201" s="1007"/>
      <c r="DZ201" s="1007"/>
      <c r="EA201" s="1007"/>
      <c r="EB201" s="1007"/>
      <c r="EC201" s="1007"/>
      <c r="ED201" s="1007"/>
      <c r="EE201" s="1007"/>
      <c r="EF201" s="1007"/>
      <c r="EG201" s="1007"/>
      <c r="EH201" s="1007"/>
      <c r="EI201" s="1007"/>
      <c r="EJ201" s="1007"/>
      <c r="EK201" s="1007"/>
      <c r="EL201" s="1007"/>
      <c r="EM201" s="1007"/>
      <c r="EN201" s="1007"/>
      <c r="EO201" s="1007"/>
      <c r="EP201" s="1007"/>
      <c r="EQ201" s="1007"/>
      <c r="ER201" s="1007"/>
      <c r="ES201" s="1007"/>
      <c r="ET201" s="1007"/>
      <c r="EU201" s="1007"/>
      <c r="EV201" s="1007"/>
      <c r="EW201" s="1007"/>
      <c r="EX201" s="1007"/>
      <c r="EY201" s="1007"/>
      <c r="EZ201" s="1007"/>
      <c r="FA201" s="1007"/>
      <c r="FB201" s="1007"/>
      <c r="FC201" s="1007"/>
      <c r="FD201" s="1007"/>
      <c r="FE201" s="1007"/>
      <c r="FF201" s="1007"/>
      <c r="FG201" s="1007"/>
      <c r="FH201" s="1007"/>
      <c r="FI201" s="1007"/>
      <c r="FJ201" s="1007"/>
      <c r="FK201" s="1007"/>
      <c r="FL201" s="1007"/>
      <c r="FM201" s="1007"/>
      <c r="FN201" s="1007"/>
      <c r="FO201" s="1007"/>
      <c r="FP201" s="1007"/>
      <c r="FQ201" s="1007"/>
      <c r="FR201" s="1007"/>
      <c r="FS201" s="1007"/>
      <c r="FT201" s="1007"/>
      <c r="FU201" s="1007"/>
      <c r="FV201" s="1007"/>
      <c r="FW201" s="1007"/>
      <c r="FX201" s="1007"/>
      <c r="FY201" s="1007"/>
      <c r="FZ201" s="1007"/>
      <c r="GA201" s="1007"/>
      <c r="GB201" s="1007"/>
      <c r="GC201" s="1007"/>
      <c r="GD201" s="1007"/>
      <c r="GE201" s="1007"/>
      <c r="GF201" s="1007"/>
      <c r="GG201" s="1007"/>
      <c r="GH201" s="1007"/>
      <c r="GI201" s="1007"/>
      <c r="GJ201" s="1007"/>
      <c r="GK201" s="1007"/>
      <c r="GL201" s="1007"/>
      <c r="GM201" s="1007"/>
      <c r="GN201" s="1007"/>
      <c r="GO201" s="1007"/>
      <c r="GP201" s="1007"/>
      <c r="GQ201" s="1007"/>
      <c r="GR201" s="1007"/>
      <c r="GS201" s="1007"/>
      <c r="GT201" s="1007"/>
      <c r="GU201" s="1007"/>
      <c r="GV201" s="1007"/>
      <c r="GW201" s="1007"/>
      <c r="GX201" s="1007"/>
      <c r="GY201" s="1007"/>
      <c r="GZ201" s="1007"/>
      <c r="HA201" s="1007"/>
      <c r="HB201" s="1007"/>
      <c r="HC201" s="1007"/>
      <c r="HD201" s="1007"/>
      <c r="HE201" s="1007"/>
      <c r="HF201" s="1007"/>
      <c r="HG201" s="1007"/>
      <c r="HH201" s="1007"/>
      <c r="HI201" s="1007"/>
      <c r="HJ201" s="1007"/>
      <c r="HK201" s="1007"/>
      <c r="HL201" s="1007"/>
      <c r="HM201" s="1007"/>
      <c r="HN201" s="1007"/>
      <c r="HO201" s="1007"/>
      <c r="HP201" s="1007"/>
      <c r="HQ201" s="1007"/>
      <c r="HR201" s="1007"/>
      <c r="HS201" s="1007"/>
      <c r="HT201" s="1007"/>
      <c r="HU201" s="1007"/>
      <c r="HV201" s="1007"/>
      <c r="HW201" s="1007"/>
      <c r="HX201" s="1007"/>
      <c r="HY201" s="1007"/>
      <c r="HZ201" s="1007"/>
      <c r="IA201" s="1007"/>
      <c r="IB201" s="1007"/>
      <c r="IC201" s="1007"/>
      <c r="ID201" s="1007"/>
      <c r="IE201" s="1007"/>
      <c r="IF201" s="1007"/>
      <c r="IG201" s="1007"/>
      <c r="IH201" s="1007"/>
    </row>
    <row r="202" hidden="1" outlineLevel="1">
      <c r="A202" s="598"/>
      <c r="B202" s="598"/>
      <c r="C202" s="598"/>
      <c r="D202" s="598"/>
      <c r="E202" s="598"/>
      <c r="F202" s="598"/>
      <c r="G202" s="598"/>
      <c r="H202" s="598"/>
      <c r="I202" s="598"/>
      <c r="J202" s="598"/>
      <c r="K202" s="598"/>
      <c r="L202" s="598"/>
      <c r="M202" s="598"/>
      <c r="N202" s="598"/>
      <c r="O202" s="598"/>
      <c r="P202" s="598"/>
      <c r="Q202" s="598"/>
      <c r="R202" s="598"/>
      <c r="S202" s="598"/>
      <c r="T202" s="598"/>
      <c r="U202" s="598"/>
      <c r="V202" s="598"/>
      <c r="W202" s="598"/>
      <c r="X202" s="598"/>
      <c r="Y202" s="598"/>
      <c r="Z202" s="598"/>
      <c r="AA202" s="911"/>
      <c r="AB202" s="1006"/>
      <c r="AC202" s="1007" t="str">
        <f>IFERROR(__xludf.DUMMYFUNCTION("""COMPUTED_VALUE"""),"Wall Rebuild")</f>
        <v>Wall Rebuild</v>
      </c>
      <c r="AD202" s="1008" t="s">
        <v>279</v>
      </c>
      <c r="AE202" s="1007">
        <v>9.0</v>
      </c>
      <c r="AF202" s="1007"/>
      <c r="AG202" s="1007">
        <v>20.0</v>
      </c>
      <c r="AH202" s="1009" t="str">
        <f>IFERROR(__xludf.DUMMYFUNCTION("IFERROR(IF(K49 = """", SEQUENCE(1, VALUE(VLOOKUP(M49, AD:AG, 4, false)) - VALUE(VLOOKUP(M49, AD:AG, 2, false)), VALUE(VLOOKUP(M49, AD:AG, 2, false)) + 1),
    IF(ISBETWEEN(K49, VALUE(VLOOKUP(M49, AD:AG, 2, false)), VALUE(VLOOKUP(M49, AD:AG, 4, false))),
 "&amp;"       SEQUENCE(1, VALUE(VLOOKUP(M49, AD:AG, 4, false)) - K49, K49 + 1),
        """")))"),"")</f>
        <v/>
      </c>
      <c r="AI202" s="1007"/>
      <c r="AJ202" s="1007"/>
      <c r="AK202" s="1007"/>
      <c r="AL202" s="1007"/>
      <c r="AM202" s="1007"/>
      <c r="AN202" s="1007"/>
      <c r="AO202" s="1007"/>
      <c r="AP202" s="1007"/>
      <c r="AQ202" s="1007"/>
      <c r="AR202" s="1007"/>
      <c r="AS202" s="1007"/>
      <c r="AT202" s="1007"/>
      <c r="AU202" s="1007"/>
      <c r="AV202" s="1007"/>
      <c r="AW202" s="1007"/>
      <c r="AX202" s="1007"/>
      <c r="AY202" s="1007"/>
      <c r="AZ202" s="1007"/>
      <c r="BA202" s="1007"/>
      <c r="BB202" s="1007"/>
      <c r="BC202" s="1007"/>
      <c r="BD202" s="1007"/>
      <c r="BE202" s="1007"/>
      <c r="BF202" s="1007"/>
      <c r="BG202" s="1007"/>
      <c r="BH202" s="1007"/>
      <c r="BI202" s="1007"/>
      <c r="BJ202" s="1007"/>
      <c r="BK202" s="1007"/>
      <c r="BL202" s="1007"/>
      <c r="BM202" s="1007"/>
      <c r="BN202" s="1007"/>
      <c r="BO202" s="1007"/>
      <c r="BP202" s="1007"/>
      <c r="BQ202" s="1007"/>
      <c r="BR202" s="1007"/>
      <c r="BS202" s="1007"/>
      <c r="BT202" s="1007"/>
      <c r="BU202" s="1007"/>
      <c r="BV202" s="1007"/>
      <c r="BW202" s="1007"/>
      <c r="BX202" s="1007"/>
      <c r="BY202" s="1007"/>
      <c r="BZ202" s="1007"/>
      <c r="CA202" s="1007"/>
      <c r="CB202" s="1007"/>
      <c r="CC202" s="1007"/>
      <c r="CD202" s="1007"/>
      <c r="CE202" s="1007"/>
      <c r="CF202" s="1007"/>
      <c r="CG202" s="1007"/>
      <c r="CH202" s="1007"/>
      <c r="CI202" s="1007"/>
      <c r="CJ202" s="1007"/>
      <c r="CK202" s="1007"/>
      <c r="CL202" s="1007"/>
      <c r="CM202" s="1007"/>
      <c r="CN202" s="1007"/>
      <c r="CO202" s="1007"/>
      <c r="CP202" s="1007"/>
      <c r="CQ202" s="1007"/>
      <c r="CR202" s="1007"/>
      <c r="CS202" s="1007"/>
      <c r="CT202" s="1007"/>
      <c r="CU202" s="1007"/>
      <c r="CV202" s="1007"/>
      <c r="CW202" s="1007"/>
      <c r="CX202" s="1007"/>
      <c r="CY202" s="1007"/>
      <c r="CZ202" s="1007"/>
      <c r="DA202" s="1007"/>
      <c r="DB202" s="1007"/>
      <c r="DC202" s="1007"/>
      <c r="DD202" s="1007"/>
      <c r="DE202" s="1007"/>
      <c r="DF202" s="1007"/>
      <c r="DG202" s="1007"/>
      <c r="DH202" s="1007"/>
      <c r="DI202" s="1007"/>
      <c r="DJ202" s="1007"/>
      <c r="DK202" s="1007"/>
      <c r="DL202" s="1007"/>
      <c r="DM202" s="1007"/>
      <c r="DN202" s="1007"/>
      <c r="DO202" s="1007"/>
      <c r="DP202" s="1007"/>
      <c r="DQ202" s="1007"/>
      <c r="DR202" s="1007"/>
      <c r="DS202" s="1007"/>
      <c r="DT202" s="1007"/>
      <c r="DU202" s="1007"/>
      <c r="DV202" s="1007"/>
      <c r="DW202" s="1007"/>
      <c r="DX202" s="1007"/>
      <c r="DY202" s="1007"/>
      <c r="DZ202" s="1007"/>
      <c r="EA202" s="1007"/>
      <c r="EB202" s="1007"/>
      <c r="EC202" s="1007"/>
      <c r="ED202" s="1007"/>
      <c r="EE202" s="1007"/>
      <c r="EF202" s="1007"/>
      <c r="EG202" s="1007"/>
      <c r="EH202" s="1007"/>
      <c r="EI202" s="1007"/>
      <c r="EJ202" s="1007"/>
      <c r="EK202" s="1007"/>
      <c r="EL202" s="1007"/>
      <c r="EM202" s="1007"/>
      <c r="EN202" s="1007"/>
      <c r="EO202" s="1007"/>
      <c r="EP202" s="1007"/>
      <c r="EQ202" s="1007"/>
      <c r="ER202" s="1007"/>
      <c r="ES202" s="1007"/>
      <c r="ET202" s="1007"/>
      <c r="EU202" s="1007"/>
      <c r="EV202" s="1007"/>
      <c r="EW202" s="1007"/>
      <c r="EX202" s="1007"/>
      <c r="EY202" s="1007"/>
      <c r="EZ202" s="1007"/>
      <c r="FA202" s="1007"/>
      <c r="FB202" s="1007"/>
      <c r="FC202" s="1007"/>
      <c r="FD202" s="1007"/>
      <c r="FE202" s="1007"/>
      <c r="FF202" s="1007"/>
      <c r="FG202" s="1007"/>
      <c r="FH202" s="1007"/>
      <c r="FI202" s="1007"/>
      <c r="FJ202" s="1007"/>
      <c r="FK202" s="1007"/>
      <c r="FL202" s="1007"/>
      <c r="FM202" s="1007"/>
      <c r="FN202" s="1007"/>
      <c r="FO202" s="1007"/>
      <c r="FP202" s="1007"/>
      <c r="FQ202" s="1007"/>
      <c r="FR202" s="1007"/>
      <c r="FS202" s="1007"/>
      <c r="FT202" s="1007"/>
      <c r="FU202" s="1007"/>
      <c r="FV202" s="1007"/>
      <c r="FW202" s="1007"/>
      <c r="FX202" s="1007"/>
      <c r="FY202" s="1007"/>
      <c r="FZ202" s="1007"/>
      <c r="GA202" s="1007"/>
      <c r="GB202" s="1007"/>
      <c r="GC202" s="1007"/>
      <c r="GD202" s="1007"/>
      <c r="GE202" s="1007"/>
      <c r="GF202" s="1007"/>
      <c r="GG202" s="1007"/>
      <c r="GH202" s="1007"/>
      <c r="GI202" s="1007"/>
      <c r="GJ202" s="1007"/>
      <c r="GK202" s="1007"/>
      <c r="GL202" s="1007"/>
      <c r="GM202" s="1007"/>
      <c r="GN202" s="1007"/>
      <c r="GO202" s="1007"/>
      <c r="GP202" s="1007"/>
      <c r="GQ202" s="1007"/>
      <c r="GR202" s="1007"/>
      <c r="GS202" s="1007"/>
      <c r="GT202" s="1007"/>
      <c r="GU202" s="1007"/>
      <c r="GV202" s="1007"/>
      <c r="GW202" s="1007"/>
      <c r="GX202" s="1007"/>
      <c r="GY202" s="1007"/>
      <c r="GZ202" s="1007"/>
      <c r="HA202" s="1007"/>
      <c r="HB202" s="1007"/>
      <c r="HC202" s="1007"/>
      <c r="HD202" s="1007"/>
      <c r="HE202" s="1007"/>
      <c r="HF202" s="1007"/>
      <c r="HG202" s="1007"/>
      <c r="HH202" s="1007"/>
      <c r="HI202" s="1007"/>
      <c r="HJ202" s="1007"/>
      <c r="HK202" s="1007"/>
      <c r="HL202" s="1007"/>
      <c r="HM202" s="1007"/>
      <c r="HN202" s="1007"/>
      <c r="HO202" s="1007"/>
      <c r="HP202" s="1007"/>
      <c r="HQ202" s="1007"/>
      <c r="HR202" s="1007"/>
      <c r="HS202" s="1007"/>
      <c r="HT202" s="1007"/>
      <c r="HU202" s="1007"/>
      <c r="HV202" s="1007"/>
      <c r="HW202" s="1007"/>
      <c r="HX202" s="1007"/>
      <c r="HY202" s="1007"/>
      <c r="HZ202" s="1007"/>
      <c r="IA202" s="1007"/>
      <c r="IB202" s="1007"/>
      <c r="IC202" s="1007"/>
      <c r="ID202" s="1007"/>
      <c r="IE202" s="1007"/>
      <c r="IF202" s="1007"/>
      <c r="IG202" s="1007"/>
      <c r="IH202" s="1007"/>
    </row>
    <row r="203" hidden="1" outlineLevel="1">
      <c r="A203" s="598"/>
      <c r="B203" s="598"/>
      <c r="C203" s="598"/>
      <c r="D203" s="598"/>
      <c r="E203" s="598"/>
      <c r="F203" s="598"/>
      <c r="G203" s="598"/>
      <c r="H203" s="598"/>
      <c r="I203" s="598"/>
      <c r="J203" s="598"/>
      <c r="K203" s="598"/>
      <c r="L203" s="598"/>
      <c r="M203" s="598"/>
      <c r="N203" s="598"/>
      <c r="O203" s="598"/>
      <c r="P203" s="598"/>
      <c r="Q203" s="598"/>
      <c r="R203" s="598"/>
      <c r="S203" s="598"/>
      <c r="T203" s="598"/>
      <c r="U203" s="598"/>
      <c r="V203" s="598"/>
      <c r="W203" s="598"/>
      <c r="X203" s="598"/>
      <c r="Y203" s="598"/>
      <c r="Z203" s="598"/>
      <c r="AA203" s="911"/>
      <c r="AB203" s="1006"/>
      <c r="AC203" s="1007" t="str">
        <f>IFERROR(__xludf.DUMMYFUNCTION("""COMPUTED_VALUE"""),"Wall Regen")</f>
        <v>Wall Regen</v>
      </c>
      <c r="AD203" s="1008" t="s">
        <v>287</v>
      </c>
      <c r="AE203" s="1007">
        <v>21.0</v>
      </c>
      <c r="AF203" s="1007"/>
      <c r="AG203" s="1007">
        <v>30.0</v>
      </c>
      <c r="AH203" s="1009" t="str">
        <f>IFERROR(__xludf.DUMMYFUNCTION("IFERROR(IF(K50 = """", SEQUENCE(1, VALUE(VLOOKUP(M50, AD:AG, 4, false)) - VALUE(VLOOKUP(M50, AD:AG, 2, false)), VALUE(VLOOKUP(M50, AD:AG, 2, false)) + 1),
    IF(ISBETWEEN(K50, VALUE(VLOOKUP(M50, AD:AG, 2, false)), VALUE(VLOOKUP(M50, AD:AG, 4, false))),
 "&amp;"       SEQUENCE(1, VALUE(VLOOKUP(M50, AD:AG, 4, false)) - K50, K50 + 1),
        """")))"),"")</f>
        <v/>
      </c>
      <c r="AI203" s="1007"/>
      <c r="AJ203" s="1007"/>
      <c r="AK203" s="1007"/>
      <c r="AL203" s="1007"/>
      <c r="AM203" s="1007"/>
      <c r="AN203" s="1007"/>
      <c r="AO203" s="1007"/>
      <c r="AP203" s="1007"/>
      <c r="AQ203" s="1007"/>
      <c r="AR203" s="1007"/>
      <c r="AS203" s="1007"/>
      <c r="AT203" s="1007"/>
      <c r="AU203" s="1007"/>
      <c r="AV203" s="1007"/>
      <c r="AW203" s="1007"/>
      <c r="AX203" s="1007"/>
      <c r="AY203" s="1007"/>
      <c r="AZ203" s="1007"/>
      <c r="BA203" s="1007"/>
      <c r="BB203" s="1007"/>
      <c r="BC203" s="1007"/>
      <c r="BD203" s="1007"/>
      <c r="BE203" s="1007"/>
      <c r="BF203" s="1007"/>
      <c r="BG203" s="1007"/>
      <c r="BH203" s="1007"/>
      <c r="BI203" s="1007"/>
      <c r="BJ203" s="1007"/>
      <c r="BK203" s="1007"/>
      <c r="BL203" s="1007"/>
      <c r="BM203" s="1007"/>
      <c r="BN203" s="1007"/>
      <c r="BO203" s="1007"/>
      <c r="BP203" s="1007"/>
      <c r="BQ203" s="1007"/>
      <c r="BR203" s="1007"/>
      <c r="BS203" s="1007"/>
      <c r="BT203" s="1007"/>
      <c r="BU203" s="1007"/>
      <c r="BV203" s="1007"/>
      <c r="BW203" s="1007"/>
      <c r="BX203" s="1007"/>
      <c r="BY203" s="1007"/>
      <c r="BZ203" s="1007"/>
      <c r="CA203" s="1007"/>
      <c r="CB203" s="1007"/>
      <c r="CC203" s="1007"/>
      <c r="CD203" s="1007"/>
      <c r="CE203" s="1007"/>
      <c r="CF203" s="1007"/>
      <c r="CG203" s="1007"/>
      <c r="CH203" s="1007"/>
      <c r="CI203" s="1007"/>
      <c r="CJ203" s="1007"/>
      <c r="CK203" s="1007"/>
      <c r="CL203" s="1007"/>
      <c r="CM203" s="1007"/>
      <c r="CN203" s="1007"/>
      <c r="CO203" s="1007"/>
      <c r="CP203" s="1007"/>
      <c r="CQ203" s="1007"/>
      <c r="CR203" s="1007"/>
      <c r="CS203" s="1007"/>
      <c r="CT203" s="1007"/>
      <c r="CU203" s="1007"/>
      <c r="CV203" s="1007"/>
      <c r="CW203" s="1007"/>
      <c r="CX203" s="1007"/>
      <c r="CY203" s="1007"/>
      <c r="CZ203" s="1007"/>
      <c r="DA203" s="1007"/>
      <c r="DB203" s="1007"/>
      <c r="DC203" s="1007"/>
      <c r="DD203" s="1007"/>
      <c r="DE203" s="1007"/>
      <c r="DF203" s="1007"/>
      <c r="DG203" s="1007"/>
      <c r="DH203" s="1007"/>
      <c r="DI203" s="1007"/>
      <c r="DJ203" s="1007"/>
      <c r="DK203" s="1007"/>
      <c r="DL203" s="1007"/>
      <c r="DM203" s="1007"/>
      <c r="DN203" s="1007"/>
      <c r="DO203" s="1007"/>
      <c r="DP203" s="1007"/>
      <c r="DQ203" s="1007"/>
      <c r="DR203" s="1007"/>
      <c r="DS203" s="1007"/>
      <c r="DT203" s="1007"/>
      <c r="DU203" s="1007"/>
      <c r="DV203" s="1007"/>
      <c r="DW203" s="1007"/>
      <c r="DX203" s="1007"/>
      <c r="DY203" s="1007"/>
      <c r="DZ203" s="1007"/>
      <c r="EA203" s="1007"/>
      <c r="EB203" s="1007"/>
      <c r="EC203" s="1007"/>
      <c r="ED203" s="1007"/>
      <c r="EE203" s="1007"/>
      <c r="EF203" s="1007"/>
      <c r="EG203" s="1007"/>
      <c r="EH203" s="1007"/>
      <c r="EI203" s="1007"/>
      <c r="EJ203" s="1007"/>
      <c r="EK203" s="1007"/>
      <c r="EL203" s="1007"/>
      <c r="EM203" s="1007"/>
      <c r="EN203" s="1007"/>
      <c r="EO203" s="1007"/>
      <c r="EP203" s="1007"/>
      <c r="EQ203" s="1007"/>
      <c r="ER203" s="1007"/>
      <c r="ES203" s="1007"/>
      <c r="ET203" s="1007"/>
      <c r="EU203" s="1007"/>
      <c r="EV203" s="1007"/>
      <c r="EW203" s="1007"/>
      <c r="EX203" s="1007"/>
      <c r="EY203" s="1007"/>
      <c r="EZ203" s="1007"/>
      <c r="FA203" s="1007"/>
      <c r="FB203" s="1007"/>
      <c r="FC203" s="1007"/>
      <c r="FD203" s="1007"/>
      <c r="FE203" s="1007"/>
      <c r="FF203" s="1007"/>
      <c r="FG203" s="1007"/>
      <c r="FH203" s="1007"/>
      <c r="FI203" s="1007"/>
      <c r="FJ203" s="1007"/>
      <c r="FK203" s="1007"/>
      <c r="FL203" s="1007"/>
      <c r="FM203" s="1007"/>
      <c r="FN203" s="1007"/>
      <c r="FO203" s="1007"/>
      <c r="FP203" s="1007"/>
      <c r="FQ203" s="1007"/>
      <c r="FR203" s="1007"/>
      <c r="FS203" s="1007"/>
      <c r="FT203" s="1007"/>
      <c r="FU203" s="1007"/>
      <c r="FV203" s="1007"/>
      <c r="FW203" s="1007"/>
      <c r="FX203" s="1007"/>
      <c r="FY203" s="1007"/>
      <c r="FZ203" s="1007"/>
      <c r="GA203" s="1007"/>
      <c r="GB203" s="1007"/>
      <c r="GC203" s="1007"/>
      <c r="GD203" s="1007"/>
      <c r="GE203" s="1007"/>
      <c r="GF203" s="1007"/>
      <c r="GG203" s="1007"/>
      <c r="GH203" s="1007"/>
      <c r="GI203" s="1007"/>
      <c r="GJ203" s="1007"/>
      <c r="GK203" s="1007"/>
      <c r="GL203" s="1007"/>
      <c r="GM203" s="1007"/>
      <c r="GN203" s="1007"/>
      <c r="GO203" s="1007"/>
      <c r="GP203" s="1007"/>
      <c r="GQ203" s="1007"/>
      <c r="GR203" s="1007"/>
      <c r="GS203" s="1007"/>
      <c r="GT203" s="1007"/>
      <c r="GU203" s="1007"/>
      <c r="GV203" s="1007"/>
      <c r="GW203" s="1007"/>
      <c r="GX203" s="1007"/>
      <c r="GY203" s="1007"/>
      <c r="GZ203" s="1007"/>
      <c r="HA203" s="1007"/>
      <c r="HB203" s="1007"/>
      <c r="HC203" s="1007"/>
      <c r="HD203" s="1007"/>
      <c r="HE203" s="1007"/>
      <c r="HF203" s="1007"/>
      <c r="HG203" s="1007"/>
      <c r="HH203" s="1007"/>
      <c r="HI203" s="1007"/>
      <c r="HJ203" s="1007"/>
      <c r="HK203" s="1007"/>
      <c r="HL203" s="1007"/>
      <c r="HM203" s="1007"/>
      <c r="HN203" s="1007"/>
      <c r="HO203" s="1007"/>
      <c r="HP203" s="1007"/>
      <c r="HQ203" s="1007"/>
      <c r="HR203" s="1007"/>
      <c r="HS203" s="1007"/>
      <c r="HT203" s="1007"/>
      <c r="HU203" s="1007"/>
      <c r="HV203" s="1007"/>
      <c r="HW203" s="1007"/>
      <c r="HX203" s="1007"/>
      <c r="HY203" s="1007"/>
      <c r="HZ203" s="1007"/>
      <c r="IA203" s="1007"/>
      <c r="IB203" s="1007"/>
      <c r="IC203" s="1007"/>
      <c r="ID203" s="1007"/>
      <c r="IE203" s="1007"/>
      <c r="IF203" s="1007"/>
      <c r="IG203" s="1007"/>
      <c r="IH203" s="1007"/>
    </row>
    <row r="204" hidden="1" outlineLevel="1">
      <c r="A204" s="598"/>
      <c r="B204" s="598"/>
      <c r="C204" s="598"/>
      <c r="D204" s="598"/>
      <c r="E204" s="598"/>
      <c r="F204" s="598"/>
      <c r="G204" s="598"/>
      <c r="H204" s="598"/>
      <c r="I204" s="598"/>
      <c r="J204" s="598"/>
      <c r="K204" s="598"/>
      <c r="L204" s="598"/>
      <c r="M204" s="598"/>
      <c r="N204" s="598"/>
      <c r="O204" s="598"/>
      <c r="P204" s="598"/>
      <c r="Q204" s="598"/>
      <c r="R204" s="598"/>
      <c r="S204" s="598"/>
      <c r="T204" s="598"/>
      <c r="U204" s="598"/>
      <c r="V204" s="598"/>
      <c r="W204" s="598"/>
      <c r="X204" s="598"/>
      <c r="Y204" s="598"/>
      <c r="Z204" s="598"/>
      <c r="AA204" s="911"/>
      <c r="AB204" s="1006"/>
      <c r="AC204" s="1007" t="str">
        <f>IFERROR(__xludf.DUMMYFUNCTION("""COMPUTED_VALUE"""),"Wall Thorns")</f>
        <v>Wall Thorns</v>
      </c>
      <c r="AD204" s="1008" t="s">
        <v>295</v>
      </c>
      <c r="AE204" s="1007">
        <v>15.0</v>
      </c>
      <c r="AF204" s="1007"/>
      <c r="AG204" s="1007">
        <v>20.0</v>
      </c>
      <c r="AI204" s="1007"/>
      <c r="AJ204" s="1007"/>
      <c r="AK204" s="1007"/>
      <c r="AL204" s="1007"/>
      <c r="AM204" s="1007"/>
      <c r="AN204" s="1007"/>
      <c r="AO204" s="1007"/>
      <c r="AP204" s="1007"/>
      <c r="AQ204" s="1007"/>
      <c r="AR204" s="1007"/>
      <c r="AS204" s="1007"/>
      <c r="AT204" s="1007"/>
      <c r="AU204" s="1007"/>
      <c r="AV204" s="1007"/>
      <c r="AW204" s="1007"/>
      <c r="AX204" s="1007"/>
      <c r="AY204" s="1007"/>
      <c r="AZ204" s="1007"/>
      <c r="BA204" s="1007"/>
      <c r="BB204" s="1007"/>
      <c r="BC204" s="1007"/>
      <c r="BD204" s="1007"/>
      <c r="BE204" s="1007"/>
      <c r="BF204" s="1007"/>
      <c r="BG204" s="1007"/>
      <c r="BH204" s="1007"/>
      <c r="BI204" s="1007"/>
      <c r="BJ204" s="1007"/>
      <c r="BK204" s="1007"/>
      <c r="BL204" s="1007"/>
      <c r="BM204" s="1007"/>
      <c r="BN204" s="1007"/>
      <c r="BO204" s="1007"/>
      <c r="BP204" s="1007"/>
      <c r="BQ204" s="1007"/>
      <c r="BR204" s="1007"/>
      <c r="BS204" s="1007"/>
      <c r="BT204" s="1007"/>
      <c r="BU204" s="1007"/>
      <c r="BV204" s="1007"/>
      <c r="BW204" s="1007"/>
      <c r="BX204" s="1007"/>
      <c r="BY204" s="1007"/>
      <c r="BZ204" s="1007"/>
      <c r="CA204" s="1007"/>
      <c r="CB204" s="1007"/>
      <c r="CC204" s="1007"/>
      <c r="CD204" s="1007"/>
      <c r="CE204" s="1007"/>
      <c r="CF204" s="1007"/>
      <c r="CG204" s="1007"/>
      <c r="CH204" s="1007"/>
      <c r="CI204" s="1007"/>
      <c r="CJ204" s="1007"/>
      <c r="CK204" s="1007"/>
      <c r="CL204" s="1007"/>
      <c r="CM204" s="1007"/>
      <c r="CN204" s="1007"/>
      <c r="CO204" s="1007"/>
      <c r="CP204" s="1007"/>
      <c r="CQ204" s="1007"/>
      <c r="CR204" s="1007"/>
      <c r="CS204" s="1007"/>
      <c r="CT204" s="1007"/>
      <c r="CU204" s="1007"/>
      <c r="CV204" s="1007"/>
      <c r="CW204" s="1007"/>
      <c r="CX204" s="1007"/>
      <c r="CY204" s="1007"/>
      <c r="CZ204" s="1007"/>
      <c r="DA204" s="1007"/>
      <c r="DB204" s="1007"/>
      <c r="DC204" s="1007"/>
      <c r="DD204" s="1007"/>
      <c r="DE204" s="1007"/>
      <c r="DF204" s="1007"/>
      <c r="DG204" s="1007"/>
      <c r="DH204" s="1007"/>
      <c r="DI204" s="1007"/>
      <c r="DJ204" s="1007"/>
      <c r="DK204" s="1007"/>
      <c r="DL204" s="1007"/>
      <c r="DM204" s="1007"/>
      <c r="DN204" s="1007"/>
      <c r="DO204" s="1007"/>
      <c r="DP204" s="1007"/>
      <c r="DQ204" s="1007"/>
      <c r="DR204" s="1007"/>
      <c r="DS204" s="1007"/>
      <c r="DT204" s="1007"/>
      <c r="DU204" s="1007"/>
      <c r="DV204" s="1007"/>
      <c r="DW204" s="1007"/>
      <c r="DX204" s="1007"/>
      <c r="DY204" s="1007"/>
      <c r="DZ204" s="1007"/>
      <c r="EA204" s="1007"/>
      <c r="EB204" s="1007"/>
      <c r="EC204" s="1007"/>
      <c r="ED204" s="1007"/>
      <c r="EE204" s="1007"/>
      <c r="EF204" s="1007"/>
      <c r="EG204" s="1007"/>
      <c r="EH204" s="1007"/>
      <c r="EI204" s="1007"/>
      <c r="EJ204" s="1007"/>
      <c r="EK204" s="1007"/>
      <c r="EL204" s="1007"/>
      <c r="EM204" s="1007"/>
      <c r="EN204" s="1007"/>
      <c r="EO204" s="1007"/>
      <c r="EP204" s="1007"/>
      <c r="EQ204" s="1007"/>
      <c r="ER204" s="1007"/>
      <c r="ES204" s="1007"/>
      <c r="ET204" s="1007"/>
      <c r="EU204" s="1007"/>
      <c r="EV204" s="1007"/>
      <c r="EW204" s="1007"/>
      <c r="EX204" s="1007"/>
      <c r="EY204" s="1007"/>
      <c r="EZ204" s="1007"/>
      <c r="FA204" s="1007"/>
      <c r="FB204" s="1007"/>
      <c r="FC204" s="1007"/>
      <c r="FD204" s="1007"/>
      <c r="FE204" s="1007"/>
      <c r="FF204" s="1007"/>
      <c r="FG204" s="1007"/>
      <c r="FH204" s="1007"/>
      <c r="FI204" s="1007"/>
      <c r="FJ204" s="1007"/>
      <c r="FK204" s="1007"/>
      <c r="FL204" s="1007"/>
      <c r="FM204" s="1007"/>
      <c r="FN204" s="1007"/>
      <c r="FO204" s="1007"/>
      <c r="FP204" s="1007"/>
      <c r="FQ204" s="1007"/>
      <c r="FR204" s="1007"/>
      <c r="FS204" s="1007"/>
      <c r="FT204" s="1007"/>
      <c r="FU204" s="1007"/>
      <c r="FV204" s="1007"/>
      <c r="FW204" s="1007"/>
      <c r="FX204" s="1007"/>
      <c r="FY204" s="1007"/>
      <c r="FZ204" s="1007"/>
      <c r="GA204" s="1007"/>
      <c r="GB204" s="1007"/>
      <c r="GC204" s="1007"/>
      <c r="GD204" s="1007"/>
      <c r="GE204" s="1007"/>
      <c r="GF204" s="1007"/>
      <c r="GG204" s="1007"/>
      <c r="GH204" s="1007"/>
      <c r="GI204" s="1007"/>
      <c r="GJ204" s="1007"/>
      <c r="GK204" s="1007"/>
      <c r="GL204" s="1007"/>
      <c r="GM204" s="1007"/>
      <c r="GN204" s="1007"/>
      <c r="GO204" s="1007"/>
      <c r="GP204" s="1007"/>
      <c r="GQ204" s="1007"/>
      <c r="GR204" s="1007"/>
      <c r="GS204" s="1007"/>
      <c r="GT204" s="1007"/>
      <c r="GU204" s="1007"/>
      <c r="GV204" s="1007"/>
      <c r="GW204" s="1007"/>
      <c r="GX204" s="1007"/>
      <c r="GY204" s="1007"/>
      <c r="GZ204" s="1007"/>
      <c r="HA204" s="1007"/>
      <c r="HB204" s="1007"/>
      <c r="HC204" s="1007"/>
      <c r="HD204" s="1007"/>
      <c r="HE204" s="1007"/>
      <c r="HF204" s="1007"/>
      <c r="HG204" s="1007"/>
      <c r="HH204" s="1007"/>
      <c r="HI204" s="1007"/>
      <c r="HJ204" s="1007"/>
      <c r="HK204" s="1007"/>
      <c r="HL204" s="1007"/>
      <c r="HM204" s="1007"/>
      <c r="HN204" s="1007"/>
      <c r="HO204" s="1007"/>
      <c r="HP204" s="1007"/>
      <c r="HQ204" s="1007"/>
      <c r="HR204" s="1007"/>
      <c r="HS204" s="1007"/>
      <c r="HT204" s="1007"/>
      <c r="HU204" s="1007"/>
      <c r="HV204" s="1007"/>
      <c r="HW204" s="1007"/>
      <c r="HX204" s="1007"/>
      <c r="HY204" s="1007"/>
      <c r="HZ204" s="1007"/>
      <c r="IA204" s="1007"/>
      <c r="IB204" s="1007"/>
      <c r="IC204" s="1007"/>
      <c r="ID204" s="1007"/>
      <c r="IE204" s="1007"/>
      <c r="IF204" s="1007"/>
      <c r="IG204" s="1007"/>
      <c r="IH204" s="1007"/>
    </row>
    <row r="205" hidden="1" outlineLevel="1">
      <c r="A205" s="598"/>
      <c r="B205" s="598"/>
      <c r="C205" s="598"/>
      <c r="D205" s="598"/>
      <c r="E205" s="598"/>
      <c r="F205" s="598"/>
      <c r="G205" s="598"/>
      <c r="H205" s="598"/>
      <c r="I205" s="598"/>
      <c r="J205" s="598"/>
      <c r="K205" s="598"/>
      <c r="L205" s="598"/>
      <c r="M205" s="598"/>
      <c r="N205" s="598"/>
      <c r="O205" s="598"/>
      <c r="P205" s="598"/>
      <c r="Q205" s="598"/>
      <c r="R205" s="598"/>
      <c r="S205" s="598"/>
      <c r="T205" s="598"/>
      <c r="U205" s="598"/>
      <c r="V205" s="598"/>
      <c r="W205" s="598"/>
      <c r="X205" s="598"/>
      <c r="Y205" s="598"/>
      <c r="Z205" s="598"/>
      <c r="AA205" s="911"/>
      <c r="AB205" s="1006"/>
      <c r="AC205" s="1007" t="str">
        <f>IFERROR(__xludf.DUMMYFUNCTION("""COMPUTED_VALUE"""),"Wave Accelerator Mastery")</f>
        <v>Wave Accelerator Mastery</v>
      </c>
      <c r="AD205" s="825" t="s">
        <v>375</v>
      </c>
      <c r="AE205" s="1007">
        <v>0.0</v>
      </c>
      <c r="AF205" s="1007"/>
      <c r="AG205" s="1007">
        <v>9.0</v>
      </c>
      <c r="AI205" s="1007"/>
      <c r="AJ205" s="1007"/>
      <c r="AK205" s="1007"/>
      <c r="AL205" s="1007"/>
      <c r="AM205" s="1007"/>
      <c r="AN205" s="1007"/>
      <c r="AO205" s="1007"/>
      <c r="AP205" s="1007"/>
      <c r="AQ205" s="1007"/>
      <c r="AR205" s="1007"/>
      <c r="AS205" s="1007"/>
      <c r="AT205" s="1007"/>
      <c r="AU205" s="1007"/>
      <c r="AV205" s="1007"/>
      <c r="AW205" s="1007"/>
      <c r="AX205" s="1007"/>
      <c r="AY205" s="1007"/>
      <c r="AZ205" s="1007"/>
      <c r="BA205" s="1007"/>
      <c r="BB205" s="1007"/>
      <c r="BC205" s="1007"/>
      <c r="BD205" s="1007"/>
      <c r="BE205" s="1007"/>
      <c r="BF205" s="1007"/>
      <c r="BG205" s="1007"/>
      <c r="BH205" s="1007"/>
      <c r="BI205" s="1007"/>
      <c r="BJ205" s="1007"/>
      <c r="BK205" s="1007"/>
      <c r="BL205" s="1007"/>
      <c r="BM205" s="1007"/>
      <c r="BN205" s="1007"/>
      <c r="BO205" s="1007"/>
      <c r="BP205" s="1007"/>
      <c r="BQ205" s="1007"/>
      <c r="BR205" s="1007"/>
      <c r="BS205" s="1007"/>
      <c r="BT205" s="1007"/>
      <c r="BU205" s="1007"/>
      <c r="BV205" s="1007"/>
      <c r="BW205" s="1007"/>
      <c r="BX205" s="1007"/>
      <c r="BY205" s="1007"/>
      <c r="BZ205" s="1007"/>
      <c r="CA205" s="1007"/>
      <c r="CB205" s="1007"/>
      <c r="CC205" s="1007"/>
      <c r="CD205" s="1007"/>
      <c r="CE205" s="1007"/>
      <c r="CF205" s="1007"/>
      <c r="CG205" s="1007"/>
      <c r="CH205" s="1007"/>
      <c r="CI205" s="1007"/>
      <c r="CJ205" s="1007"/>
      <c r="CK205" s="1007"/>
      <c r="CL205" s="1007"/>
      <c r="CM205" s="1007"/>
      <c r="CN205" s="1007"/>
      <c r="CO205" s="1007"/>
      <c r="CP205" s="1007"/>
      <c r="CQ205" s="1007"/>
      <c r="CR205" s="1007"/>
      <c r="CS205" s="1007"/>
      <c r="CT205" s="1007"/>
      <c r="CU205" s="1007"/>
      <c r="CV205" s="1007"/>
      <c r="CW205" s="1007"/>
      <c r="CX205" s="1007"/>
      <c r="CY205" s="1007"/>
      <c r="CZ205" s="1007"/>
      <c r="DA205" s="1007"/>
      <c r="DB205" s="1007"/>
      <c r="DC205" s="1007"/>
      <c r="DD205" s="1007"/>
      <c r="DE205" s="1007"/>
      <c r="DF205" s="1007"/>
      <c r="DG205" s="1007"/>
      <c r="DH205" s="1007"/>
      <c r="DI205" s="1007"/>
      <c r="DJ205" s="1007"/>
      <c r="DK205" s="1007"/>
      <c r="DL205" s="1007"/>
      <c r="DM205" s="1007"/>
      <c r="DN205" s="1007"/>
      <c r="DO205" s="1007"/>
      <c r="DP205" s="1007"/>
      <c r="DQ205" s="1007"/>
      <c r="DR205" s="1007"/>
      <c r="DS205" s="1007"/>
      <c r="DT205" s="1007"/>
      <c r="DU205" s="1007"/>
      <c r="DV205" s="1007"/>
      <c r="DW205" s="1007"/>
      <c r="DX205" s="1007"/>
      <c r="DY205" s="1007"/>
      <c r="DZ205" s="1007"/>
      <c r="EA205" s="1007"/>
      <c r="EB205" s="1007"/>
      <c r="EC205" s="1007"/>
      <c r="ED205" s="1007"/>
      <c r="EE205" s="1007"/>
      <c r="EF205" s="1007"/>
      <c r="EG205" s="1007"/>
      <c r="EH205" s="1007"/>
      <c r="EI205" s="1007"/>
      <c r="EJ205" s="1007"/>
      <c r="EK205" s="1007"/>
      <c r="EL205" s="1007"/>
      <c r="EM205" s="1007"/>
      <c r="EN205" s="1007"/>
      <c r="EO205" s="1007"/>
      <c r="EP205" s="1007"/>
      <c r="EQ205" s="1007"/>
      <c r="ER205" s="1007"/>
      <c r="ES205" s="1007"/>
      <c r="ET205" s="1007"/>
      <c r="EU205" s="1007"/>
      <c r="EV205" s="1007"/>
      <c r="EW205" s="1007"/>
      <c r="EX205" s="1007"/>
      <c r="EY205" s="1007"/>
      <c r="EZ205" s="1007"/>
      <c r="FA205" s="1007"/>
      <c r="FB205" s="1007"/>
      <c r="FC205" s="1007"/>
      <c r="FD205" s="1007"/>
      <c r="FE205" s="1007"/>
      <c r="FF205" s="1007"/>
      <c r="FG205" s="1007"/>
      <c r="FH205" s="1007"/>
      <c r="FI205" s="1007"/>
      <c r="FJ205" s="1007"/>
      <c r="FK205" s="1007"/>
      <c r="FL205" s="1007"/>
      <c r="FM205" s="1007"/>
      <c r="FN205" s="1007"/>
      <c r="FO205" s="1007"/>
      <c r="FP205" s="1007"/>
      <c r="FQ205" s="1007"/>
      <c r="FR205" s="1007"/>
      <c r="FS205" s="1007"/>
      <c r="FT205" s="1007"/>
      <c r="FU205" s="1007"/>
      <c r="FV205" s="1007"/>
      <c r="FW205" s="1007"/>
      <c r="FX205" s="1007"/>
      <c r="FY205" s="1007"/>
      <c r="FZ205" s="1007"/>
      <c r="GA205" s="1007"/>
      <c r="GB205" s="1007"/>
      <c r="GC205" s="1007"/>
      <c r="GD205" s="1007"/>
      <c r="GE205" s="1007"/>
      <c r="GF205" s="1007"/>
      <c r="GG205" s="1007"/>
      <c r="GH205" s="1007"/>
      <c r="GI205" s="1007"/>
      <c r="GJ205" s="1007"/>
      <c r="GK205" s="1007"/>
      <c r="GL205" s="1007"/>
      <c r="GM205" s="1007"/>
      <c r="GN205" s="1007"/>
      <c r="GO205" s="1007"/>
      <c r="GP205" s="1007"/>
      <c r="GQ205" s="1007"/>
      <c r="GR205" s="1007"/>
      <c r="GS205" s="1007"/>
      <c r="GT205" s="1007"/>
      <c r="GU205" s="1007"/>
      <c r="GV205" s="1007"/>
      <c r="GW205" s="1007"/>
      <c r="GX205" s="1007"/>
      <c r="GY205" s="1007"/>
      <c r="GZ205" s="1007"/>
      <c r="HA205" s="1007"/>
      <c r="HB205" s="1007"/>
      <c r="HC205" s="1007"/>
      <c r="HD205" s="1007"/>
      <c r="HE205" s="1007"/>
      <c r="HF205" s="1007"/>
      <c r="HG205" s="1007"/>
      <c r="HH205" s="1007"/>
      <c r="HI205" s="1007"/>
      <c r="HJ205" s="1007"/>
      <c r="HK205" s="1007"/>
      <c r="HL205" s="1007"/>
      <c r="HM205" s="1007"/>
      <c r="HN205" s="1007"/>
      <c r="HO205" s="1007"/>
      <c r="HP205" s="1007"/>
      <c r="HQ205" s="1007"/>
      <c r="HR205" s="1007"/>
      <c r="HS205" s="1007"/>
      <c r="HT205" s="1007"/>
      <c r="HU205" s="1007"/>
      <c r="HV205" s="1007"/>
      <c r="HW205" s="1007"/>
      <c r="HX205" s="1007"/>
      <c r="HY205" s="1007"/>
      <c r="HZ205" s="1007"/>
      <c r="IA205" s="1007"/>
      <c r="IB205" s="1007"/>
      <c r="IC205" s="1007"/>
      <c r="ID205" s="1007"/>
      <c r="IE205" s="1007"/>
      <c r="IF205" s="1007"/>
      <c r="IG205" s="1007"/>
      <c r="IH205" s="1007"/>
    </row>
    <row r="206" hidden="1" outlineLevel="1">
      <c r="A206" s="598"/>
      <c r="B206" s="598"/>
      <c r="C206" s="598"/>
      <c r="D206" s="598"/>
      <c r="E206" s="598"/>
      <c r="F206" s="598"/>
      <c r="G206" s="598"/>
      <c r="H206" s="598"/>
      <c r="I206" s="598"/>
      <c r="J206" s="598"/>
      <c r="K206" s="598"/>
      <c r="L206" s="598"/>
      <c r="M206" s="598"/>
      <c r="N206" s="598"/>
      <c r="O206" s="598"/>
      <c r="P206" s="598"/>
      <c r="Q206" s="598"/>
      <c r="R206" s="598"/>
      <c r="S206" s="598"/>
      <c r="T206" s="598"/>
      <c r="U206" s="598"/>
      <c r="V206" s="598"/>
      <c r="W206" s="598"/>
      <c r="X206" s="598"/>
      <c r="Y206" s="598"/>
      <c r="Z206" s="598"/>
      <c r="AA206" s="911"/>
      <c r="AB206" s="1006"/>
      <c r="AC206" s="1007" t="str">
        <f>IFERROR(__xludf.DUMMYFUNCTION("""COMPUTED_VALUE"""),"Wave Skip Mastery")</f>
        <v>Wave Skip Mastery</v>
      </c>
      <c r="AD206" s="825" t="s">
        <v>355</v>
      </c>
      <c r="AE206" s="1007">
        <v>0.0</v>
      </c>
      <c r="AF206" s="1007"/>
      <c r="AG206" s="1007">
        <v>9.0</v>
      </c>
      <c r="AH206" s="1007"/>
      <c r="AI206" s="1007"/>
      <c r="AJ206" s="1007"/>
      <c r="AK206" s="1007"/>
      <c r="AL206" s="1007"/>
      <c r="AM206" s="1007"/>
      <c r="AN206" s="1007"/>
      <c r="AO206" s="1007"/>
      <c r="AP206" s="1007"/>
      <c r="AQ206" s="1007"/>
      <c r="AR206" s="1007"/>
      <c r="AS206" s="1007"/>
      <c r="AT206" s="1007"/>
      <c r="AU206" s="1007"/>
      <c r="AV206" s="1007"/>
      <c r="AW206" s="1007"/>
      <c r="AX206" s="1007"/>
      <c r="AY206" s="1007"/>
      <c r="AZ206" s="1007"/>
      <c r="BA206" s="1007"/>
      <c r="BB206" s="1007"/>
      <c r="BC206" s="1007"/>
      <c r="BD206" s="1007"/>
      <c r="BE206" s="1007"/>
      <c r="BF206" s="1007"/>
      <c r="BG206" s="1007"/>
      <c r="BH206" s="1007"/>
      <c r="BI206" s="1007"/>
      <c r="BJ206" s="1007"/>
      <c r="BK206" s="1007"/>
      <c r="BL206" s="1007"/>
      <c r="BM206" s="1007"/>
      <c r="BN206" s="1007"/>
      <c r="BO206" s="1007"/>
      <c r="BP206" s="1007"/>
      <c r="BQ206" s="1007"/>
      <c r="BR206" s="1007"/>
      <c r="BS206" s="1007"/>
      <c r="BT206" s="1007"/>
      <c r="BU206" s="1007"/>
      <c r="BV206" s="1007"/>
      <c r="BW206" s="1007"/>
      <c r="BX206" s="1007"/>
      <c r="BY206" s="1007"/>
      <c r="BZ206" s="1007"/>
      <c r="CA206" s="1007"/>
      <c r="CB206" s="1007"/>
      <c r="CC206" s="1007"/>
      <c r="CD206" s="1007"/>
      <c r="CE206" s="1007"/>
      <c r="CF206" s="1007"/>
      <c r="CG206" s="1007"/>
      <c r="CH206" s="1007"/>
      <c r="CI206" s="1007"/>
      <c r="CJ206" s="1007"/>
      <c r="CK206" s="1007"/>
      <c r="CL206" s="1007"/>
      <c r="CM206" s="1007"/>
      <c r="CN206" s="1007"/>
      <c r="CO206" s="1007"/>
      <c r="CP206" s="1007"/>
      <c r="CQ206" s="1007"/>
      <c r="CR206" s="1007"/>
      <c r="CS206" s="1007"/>
      <c r="CT206" s="1007"/>
      <c r="CU206" s="1007"/>
      <c r="CV206" s="1007"/>
      <c r="CW206" s="1007"/>
      <c r="CX206" s="1007"/>
      <c r="CY206" s="1007"/>
      <c r="CZ206" s="1007"/>
      <c r="DA206" s="1007"/>
      <c r="DB206" s="1007"/>
      <c r="DC206" s="1007"/>
      <c r="DD206" s="1007"/>
      <c r="DE206" s="1007"/>
      <c r="DF206" s="1007"/>
      <c r="DG206" s="1007"/>
      <c r="DH206" s="1007"/>
      <c r="DI206" s="1007"/>
      <c r="DJ206" s="1007"/>
      <c r="DK206" s="1007"/>
      <c r="DL206" s="1007"/>
      <c r="DM206" s="1007"/>
      <c r="DN206" s="1007"/>
      <c r="DO206" s="1007"/>
      <c r="DP206" s="1007"/>
      <c r="DQ206" s="1007"/>
      <c r="DR206" s="1007"/>
      <c r="DS206" s="1007"/>
      <c r="DT206" s="1007"/>
      <c r="DU206" s="1007"/>
      <c r="DV206" s="1007"/>
      <c r="DW206" s="1007"/>
      <c r="DX206" s="1007"/>
      <c r="DY206" s="1007"/>
      <c r="DZ206" s="1007"/>
      <c r="EA206" s="1007"/>
      <c r="EB206" s="1007"/>
      <c r="EC206" s="1007"/>
      <c r="ED206" s="1007"/>
      <c r="EE206" s="1007"/>
      <c r="EF206" s="1007"/>
      <c r="EG206" s="1007"/>
      <c r="EH206" s="1007"/>
      <c r="EI206" s="1007"/>
      <c r="EJ206" s="1007"/>
      <c r="EK206" s="1007"/>
      <c r="EL206" s="1007"/>
      <c r="EM206" s="1007"/>
      <c r="EN206" s="1007"/>
      <c r="EO206" s="1007"/>
      <c r="EP206" s="1007"/>
      <c r="EQ206" s="1007"/>
      <c r="ER206" s="1007"/>
      <c r="ES206" s="1007"/>
      <c r="ET206" s="1007"/>
      <c r="EU206" s="1007"/>
      <c r="EV206" s="1007"/>
      <c r="EW206" s="1007"/>
      <c r="EX206" s="1007"/>
      <c r="EY206" s="1007"/>
      <c r="EZ206" s="1007"/>
      <c r="FA206" s="1007"/>
      <c r="FB206" s="1007"/>
      <c r="FC206" s="1007"/>
      <c r="FD206" s="1007"/>
      <c r="FE206" s="1007"/>
      <c r="FF206" s="1007"/>
      <c r="FG206" s="1007"/>
      <c r="FH206" s="1007"/>
      <c r="FI206" s="1007"/>
      <c r="FJ206" s="1007"/>
      <c r="FK206" s="1007"/>
      <c r="FL206" s="1007"/>
      <c r="FM206" s="1007"/>
      <c r="FN206" s="1007"/>
      <c r="FO206" s="1007"/>
      <c r="FP206" s="1007"/>
      <c r="FQ206" s="1007"/>
      <c r="FR206" s="1007"/>
      <c r="FS206" s="1007"/>
      <c r="FT206" s="1007"/>
      <c r="FU206" s="1007"/>
      <c r="FV206" s="1007"/>
      <c r="FW206" s="1007"/>
      <c r="FX206" s="1007"/>
      <c r="FY206" s="1007"/>
      <c r="FZ206" s="1007"/>
      <c r="GA206" s="1007"/>
      <c r="GB206" s="1007"/>
      <c r="GC206" s="1007"/>
      <c r="GD206" s="1007"/>
      <c r="GE206" s="1007"/>
      <c r="GF206" s="1007"/>
      <c r="GG206" s="1007"/>
      <c r="GH206" s="1007"/>
      <c r="GI206" s="1007"/>
      <c r="GJ206" s="1007"/>
      <c r="GK206" s="1007"/>
      <c r="GL206" s="1007"/>
      <c r="GM206" s="1007"/>
      <c r="GN206" s="1007"/>
      <c r="GO206" s="1007"/>
      <c r="GP206" s="1007"/>
      <c r="GQ206" s="1007"/>
      <c r="GR206" s="1007"/>
      <c r="GS206" s="1007"/>
      <c r="GT206" s="1007"/>
      <c r="GU206" s="1007"/>
      <c r="GV206" s="1007"/>
      <c r="GW206" s="1007"/>
      <c r="GX206" s="1007"/>
      <c r="GY206" s="1007"/>
      <c r="GZ206" s="1007"/>
      <c r="HA206" s="1007"/>
      <c r="HB206" s="1007"/>
      <c r="HC206" s="1007"/>
      <c r="HD206" s="1007"/>
      <c r="HE206" s="1007"/>
      <c r="HF206" s="1007"/>
      <c r="HG206" s="1007"/>
      <c r="HH206" s="1007"/>
      <c r="HI206" s="1007"/>
      <c r="HJ206" s="1007"/>
      <c r="HK206" s="1007"/>
      <c r="HL206" s="1007"/>
      <c r="HM206" s="1007"/>
      <c r="HN206" s="1007"/>
      <c r="HO206" s="1007"/>
      <c r="HP206" s="1007"/>
      <c r="HQ206" s="1007"/>
      <c r="HR206" s="1007"/>
      <c r="HS206" s="1007"/>
      <c r="HT206" s="1007"/>
      <c r="HU206" s="1007"/>
      <c r="HV206" s="1007"/>
      <c r="HW206" s="1007"/>
      <c r="HX206" s="1007"/>
      <c r="HY206" s="1007"/>
      <c r="HZ206" s="1007"/>
      <c r="IA206" s="1007"/>
      <c r="IB206" s="1007"/>
      <c r="IC206" s="1007"/>
      <c r="ID206" s="1007"/>
      <c r="IE206" s="1007"/>
      <c r="IF206" s="1007"/>
      <c r="IG206" s="1007"/>
      <c r="IH206" s="1007"/>
    </row>
    <row r="207" hidden="1" outlineLevel="1">
      <c r="A207" s="598"/>
      <c r="B207" s="598"/>
      <c r="C207" s="598"/>
      <c r="D207" s="598"/>
      <c r="E207" s="598"/>
      <c r="F207" s="598"/>
      <c r="G207" s="598"/>
      <c r="H207" s="598"/>
      <c r="I207" s="598"/>
      <c r="J207" s="598"/>
      <c r="K207" s="598"/>
      <c r="L207" s="598"/>
      <c r="M207" s="598"/>
      <c r="N207" s="598"/>
      <c r="O207" s="598"/>
      <c r="P207" s="598"/>
      <c r="Q207" s="598"/>
      <c r="R207" s="598"/>
      <c r="S207" s="598"/>
      <c r="T207" s="598"/>
      <c r="U207" s="598"/>
      <c r="V207" s="598"/>
      <c r="W207" s="598"/>
      <c r="X207" s="598"/>
      <c r="Y207" s="598"/>
      <c r="Z207" s="598"/>
      <c r="AA207" s="911"/>
      <c r="AB207" s="1006"/>
      <c r="AC207" s="1007" t="str">
        <f>IFERROR(__xludf.DUMMYFUNCTION("""COMPUTED_VALUE"""),"Waves Required")</f>
        <v>Waves Required</v>
      </c>
      <c r="AD207" s="1008" t="s">
        <v>175</v>
      </c>
      <c r="AE207" s="1007">
        <v>13.0</v>
      </c>
      <c r="AF207" s="1007">
        <v>17.0</v>
      </c>
      <c r="AG207" s="1007">
        <v>100.0</v>
      </c>
      <c r="AH207" s="1007"/>
      <c r="AI207" s="1007"/>
      <c r="AJ207" s="1007"/>
      <c r="AK207" s="1007"/>
      <c r="AL207" s="1007"/>
      <c r="AM207" s="1007"/>
      <c r="AN207" s="1007"/>
      <c r="AO207" s="1007"/>
      <c r="AP207" s="1007"/>
      <c r="AQ207" s="1007"/>
      <c r="AR207" s="1007"/>
      <c r="AS207" s="1007"/>
      <c r="AT207" s="1007"/>
      <c r="AU207" s="1007"/>
      <c r="AV207" s="1007"/>
      <c r="AW207" s="1007"/>
      <c r="AX207" s="1007"/>
      <c r="AY207" s="1007"/>
      <c r="AZ207" s="1007"/>
      <c r="BA207" s="1007"/>
      <c r="BB207" s="1007"/>
      <c r="BC207" s="1007"/>
      <c r="BD207" s="1007"/>
      <c r="BE207" s="1007"/>
      <c r="BF207" s="1007"/>
      <c r="BG207" s="1007"/>
      <c r="BH207" s="1007"/>
      <c r="BI207" s="1007"/>
      <c r="BJ207" s="1007"/>
      <c r="BK207" s="1007"/>
      <c r="BL207" s="1007"/>
      <c r="BM207" s="1007"/>
      <c r="BN207" s="1007"/>
      <c r="BO207" s="1007"/>
      <c r="BP207" s="1007"/>
      <c r="BQ207" s="1007"/>
      <c r="BR207" s="1007"/>
      <c r="BS207" s="1007"/>
      <c r="BT207" s="1007"/>
      <c r="BU207" s="1007"/>
      <c r="BV207" s="1007"/>
      <c r="BW207" s="1007"/>
      <c r="BX207" s="1007"/>
      <c r="BY207" s="1007"/>
      <c r="BZ207" s="1007"/>
      <c r="CA207" s="1007"/>
      <c r="CB207" s="1007"/>
      <c r="CC207" s="1007"/>
      <c r="CD207" s="1007"/>
      <c r="CE207" s="1007"/>
      <c r="CF207" s="1007"/>
      <c r="CG207" s="1007"/>
      <c r="CH207" s="1007"/>
      <c r="CI207" s="1007"/>
      <c r="CJ207" s="1007"/>
      <c r="CK207" s="1007"/>
      <c r="CL207" s="1007"/>
      <c r="CM207" s="1007"/>
      <c r="CN207" s="1007"/>
      <c r="CO207" s="1007"/>
      <c r="CP207" s="1007"/>
      <c r="CQ207" s="1007"/>
      <c r="CR207" s="1007"/>
      <c r="CS207" s="1007"/>
      <c r="CT207" s="1007"/>
      <c r="CU207" s="1007"/>
      <c r="CV207" s="1007"/>
      <c r="CW207" s="1007"/>
      <c r="CX207" s="1007"/>
      <c r="CY207" s="1007"/>
      <c r="CZ207" s="1007"/>
      <c r="DA207" s="1007"/>
      <c r="DB207" s="1007"/>
      <c r="DC207" s="1007"/>
      <c r="DD207" s="1007"/>
      <c r="DE207" s="1007"/>
      <c r="DF207" s="1007"/>
      <c r="DG207" s="1007"/>
      <c r="DH207" s="1007"/>
      <c r="DI207" s="1007"/>
      <c r="DJ207" s="1007"/>
      <c r="DK207" s="1007"/>
      <c r="DL207" s="1007"/>
      <c r="DM207" s="1007"/>
      <c r="DN207" s="1007"/>
      <c r="DO207" s="1007"/>
      <c r="DP207" s="1007"/>
      <c r="DQ207" s="1007"/>
      <c r="DR207" s="1007"/>
      <c r="DS207" s="1007"/>
      <c r="DT207" s="1007"/>
      <c r="DU207" s="1007"/>
      <c r="DV207" s="1007"/>
      <c r="DW207" s="1007"/>
      <c r="DX207" s="1007"/>
      <c r="DY207" s="1007"/>
      <c r="DZ207" s="1007"/>
      <c r="EA207" s="1007"/>
      <c r="EB207" s="1007"/>
      <c r="EC207" s="1007"/>
      <c r="ED207" s="1007"/>
      <c r="EE207" s="1007"/>
      <c r="EF207" s="1007"/>
      <c r="EG207" s="1007"/>
      <c r="EH207" s="1007"/>
      <c r="EI207" s="1007"/>
      <c r="EJ207" s="1007"/>
      <c r="EK207" s="1007"/>
      <c r="EL207" s="1007"/>
      <c r="EM207" s="1007"/>
      <c r="EN207" s="1007"/>
      <c r="EO207" s="1007"/>
      <c r="EP207" s="1007"/>
      <c r="EQ207" s="1007"/>
      <c r="ER207" s="1007"/>
      <c r="ES207" s="1007"/>
      <c r="ET207" s="1007"/>
      <c r="EU207" s="1007"/>
      <c r="EV207" s="1007"/>
      <c r="EW207" s="1007"/>
      <c r="EX207" s="1007"/>
      <c r="EY207" s="1007"/>
      <c r="EZ207" s="1007"/>
      <c r="FA207" s="1007"/>
      <c r="FB207" s="1007"/>
      <c r="FC207" s="1007"/>
      <c r="FD207" s="1007"/>
      <c r="FE207" s="1007"/>
      <c r="FF207" s="1007"/>
      <c r="FG207" s="1007"/>
      <c r="FH207" s="1007"/>
      <c r="FI207" s="1007"/>
      <c r="FJ207" s="1007"/>
      <c r="FK207" s="1007"/>
      <c r="FL207" s="1007"/>
      <c r="FM207" s="1007"/>
      <c r="FN207" s="1007"/>
      <c r="FO207" s="1007"/>
      <c r="FP207" s="1007"/>
      <c r="FQ207" s="1007"/>
      <c r="FR207" s="1007"/>
      <c r="FS207" s="1007"/>
      <c r="FT207" s="1007"/>
      <c r="FU207" s="1007"/>
      <c r="FV207" s="1007"/>
      <c r="FW207" s="1007"/>
      <c r="FX207" s="1007"/>
      <c r="FY207" s="1007"/>
      <c r="FZ207" s="1007"/>
      <c r="GA207" s="1007"/>
      <c r="GB207" s="1007"/>
      <c r="GC207" s="1007"/>
      <c r="GD207" s="1007"/>
      <c r="GE207" s="1007"/>
      <c r="GF207" s="1007"/>
      <c r="GG207" s="1007"/>
      <c r="GH207" s="1007"/>
      <c r="GI207" s="1007"/>
      <c r="GJ207" s="1007"/>
      <c r="GK207" s="1007"/>
      <c r="GL207" s="1007"/>
      <c r="GM207" s="1007"/>
      <c r="GN207" s="1007"/>
      <c r="GO207" s="1007"/>
      <c r="GP207" s="1007"/>
      <c r="GQ207" s="1007"/>
      <c r="GR207" s="1007"/>
      <c r="GS207" s="1007"/>
      <c r="GT207" s="1007"/>
      <c r="GU207" s="1007"/>
      <c r="GV207" s="1007"/>
      <c r="GW207" s="1007"/>
      <c r="GX207" s="1007"/>
      <c r="GY207" s="1007"/>
      <c r="GZ207" s="1007"/>
      <c r="HA207" s="1007"/>
      <c r="HB207" s="1007"/>
      <c r="HC207" s="1007"/>
      <c r="HD207" s="1007"/>
      <c r="HE207" s="1007"/>
      <c r="HF207" s="1007"/>
      <c r="HG207" s="1007"/>
      <c r="HH207" s="1007"/>
      <c r="HI207" s="1007"/>
      <c r="HJ207" s="1007"/>
      <c r="HK207" s="1007"/>
      <c r="HL207" s="1007"/>
      <c r="HM207" s="1007"/>
      <c r="HN207" s="1007"/>
      <c r="HO207" s="1007"/>
      <c r="HP207" s="1007"/>
      <c r="HQ207" s="1007"/>
      <c r="HR207" s="1007"/>
      <c r="HS207" s="1007"/>
      <c r="HT207" s="1007"/>
      <c r="HU207" s="1007"/>
      <c r="HV207" s="1007"/>
      <c r="HW207" s="1007"/>
      <c r="HX207" s="1007"/>
      <c r="HY207" s="1007"/>
      <c r="HZ207" s="1007"/>
      <c r="IA207" s="1007"/>
      <c r="IB207" s="1007"/>
      <c r="IC207" s="1007"/>
      <c r="ID207" s="1007"/>
      <c r="IE207" s="1007"/>
      <c r="IF207" s="1007"/>
      <c r="IG207" s="1007"/>
      <c r="IH207" s="1007"/>
    </row>
    <row r="208" hidden="1" outlineLevel="1">
      <c r="A208" s="598"/>
      <c r="B208" s="598"/>
      <c r="C208" s="598"/>
      <c r="D208" s="598"/>
      <c r="E208" s="598"/>
      <c r="F208" s="598"/>
      <c r="G208" s="598"/>
      <c r="H208" s="598"/>
      <c r="I208" s="598"/>
      <c r="J208" s="598"/>
      <c r="K208" s="598"/>
      <c r="L208" s="598"/>
      <c r="M208" s="598"/>
      <c r="N208" s="598"/>
      <c r="O208" s="598"/>
      <c r="P208" s="598"/>
      <c r="Q208" s="598"/>
      <c r="R208" s="598"/>
      <c r="S208" s="598"/>
      <c r="T208" s="598"/>
      <c r="U208" s="598"/>
      <c r="V208" s="598"/>
      <c r="W208" s="598"/>
      <c r="X208" s="598"/>
      <c r="Y208" s="598"/>
      <c r="Z208" s="598"/>
      <c r="AA208" s="911"/>
      <c r="AB208" s="1006"/>
      <c r="AC208" s="1007" t="str">
        <f>IFERROR(__xludf.DUMMYFUNCTION("""COMPUTED_VALUE"""),"Workshop Attack Discount")</f>
        <v>Workshop Attack Discount</v>
      </c>
      <c r="AD208" s="1008" t="s">
        <v>180</v>
      </c>
      <c r="AE208" s="1007">
        <v>27.0</v>
      </c>
      <c r="AF208" s="1007"/>
      <c r="AG208" s="1007">
        <v>99.0</v>
      </c>
      <c r="AH208" s="1007"/>
      <c r="AI208" s="1007"/>
      <c r="AJ208" s="1007"/>
      <c r="AK208" s="1007"/>
      <c r="AL208" s="1007"/>
      <c r="AM208" s="1007"/>
      <c r="AN208" s="1007"/>
      <c r="AO208" s="1007"/>
      <c r="AP208" s="1007"/>
      <c r="AQ208" s="1007"/>
      <c r="AR208" s="1007"/>
      <c r="AS208" s="1007"/>
      <c r="AT208" s="1007"/>
      <c r="AU208" s="1007"/>
      <c r="AV208" s="1007"/>
      <c r="AW208" s="1007"/>
      <c r="AX208" s="1007"/>
      <c r="AY208" s="1007"/>
      <c r="AZ208" s="1007"/>
      <c r="BA208" s="1007"/>
      <c r="BB208" s="1007"/>
      <c r="BC208" s="1007"/>
      <c r="BD208" s="1007"/>
      <c r="BE208" s="1007"/>
      <c r="BF208" s="1007"/>
      <c r="BG208" s="1007"/>
      <c r="BH208" s="1007"/>
      <c r="BI208" s="1007"/>
      <c r="BJ208" s="1007"/>
      <c r="BK208" s="1007"/>
      <c r="BL208" s="1007"/>
      <c r="BM208" s="1007"/>
      <c r="BN208" s="1007"/>
      <c r="BO208" s="1007"/>
      <c r="BP208" s="1007"/>
      <c r="BQ208" s="1007"/>
      <c r="BR208" s="1007"/>
      <c r="BS208" s="1007"/>
      <c r="BT208" s="1007"/>
      <c r="BU208" s="1007"/>
      <c r="BV208" s="1007"/>
      <c r="BW208" s="1007"/>
      <c r="BX208" s="1007"/>
      <c r="BY208" s="1007"/>
      <c r="BZ208" s="1007"/>
      <c r="CA208" s="1007"/>
      <c r="CB208" s="1007"/>
      <c r="CC208" s="1007"/>
      <c r="CD208" s="1007"/>
      <c r="CE208" s="1007"/>
      <c r="CF208" s="1007"/>
      <c r="CG208" s="1007"/>
      <c r="CH208" s="1007"/>
      <c r="CI208" s="1007"/>
      <c r="CJ208" s="1007"/>
      <c r="CK208" s="1007"/>
      <c r="CL208" s="1007"/>
      <c r="CM208" s="1007"/>
      <c r="CN208" s="1007"/>
      <c r="CO208" s="1007"/>
      <c r="CP208" s="1007"/>
      <c r="CQ208" s="1007"/>
      <c r="CR208" s="1007"/>
      <c r="CS208" s="1007"/>
      <c r="CT208" s="1007"/>
      <c r="CU208" s="1007"/>
      <c r="CV208" s="1007"/>
      <c r="CW208" s="1007"/>
      <c r="CX208" s="1007"/>
      <c r="CY208" s="1007"/>
      <c r="CZ208" s="1007"/>
      <c r="DA208" s="1007"/>
      <c r="DB208" s="1007"/>
      <c r="DC208" s="1007"/>
      <c r="DD208" s="1007"/>
      <c r="DE208" s="1007"/>
      <c r="DF208" s="1007"/>
      <c r="DG208" s="1007"/>
      <c r="DH208" s="1007"/>
      <c r="DI208" s="1007"/>
      <c r="DJ208" s="1007"/>
      <c r="DK208" s="1007"/>
      <c r="DL208" s="1007"/>
      <c r="DM208" s="1007"/>
      <c r="DN208" s="1007"/>
      <c r="DO208" s="1007"/>
      <c r="DP208" s="1007"/>
      <c r="DQ208" s="1007"/>
      <c r="DR208" s="1007"/>
      <c r="DS208" s="1007"/>
      <c r="DT208" s="1007"/>
      <c r="DU208" s="1007"/>
      <c r="DV208" s="1007"/>
      <c r="DW208" s="1007"/>
      <c r="DX208" s="1007"/>
      <c r="DY208" s="1007"/>
      <c r="DZ208" s="1007"/>
      <c r="EA208" s="1007"/>
      <c r="EB208" s="1007"/>
      <c r="EC208" s="1007"/>
      <c r="ED208" s="1007"/>
      <c r="EE208" s="1007"/>
      <c r="EF208" s="1007"/>
      <c r="EG208" s="1007"/>
      <c r="EH208" s="1007"/>
      <c r="EI208" s="1007"/>
      <c r="EJ208" s="1007"/>
      <c r="EK208" s="1007"/>
      <c r="EL208" s="1007"/>
      <c r="EM208" s="1007"/>
      <c r="EN208" s="1007"/>
      <c r="EO208" s="1007"/>
      <c r="EP208" s="1007"/>
      <c r="EQ208" s="1007"/>
      <c r="ER208" s="1007"/>
      <c r="ES208" s="1007"/>
      <c r="ET208" s="1007"/>
      <c r="EU208" s="1007"/>
      <c r="EV208" s="1007"/>
      <c r="EW208" s="1007"/>
      <c r="EX208" s="1007"/>
      <c r="EY208" s="1007"/>
      <c r="EZ208" s="1007"/>
      <c r="FA208" s="1007"/>
      <c r="FB208" s="1007"/>
      <c r="FC208" s="1007"/>
      <c r="FD208" s="1007"/>
      <c r="FE208" s="1007"/>
      <c r="FF208" s="1007"/>
      <c r="FG208" s="1007"/>
      <c r="FH208" s="1007"/>
      <c r="FI208" s="1007"/>
      <c r="FJ208" s="1007"/>
      <c r="FK208" s="1007"/>
      <c r="FL208" s="1007"/>
      <c r="FM208" s="1007"/>
      <c r="FN208" s="1007"/>
      <c r="FO208" s="1007"/>
      <c r="FP208" s="1007"/>
      <c r="FQ208" s="1007"/>
      <c r="FR208" s="1007"/>
      <c r="FS208" s="1007"/>
      <c r="FT208" s="1007"/>
      <c r="FU208" s="1007"/>
      <c r="FV208" s="1007"/>
      <c r="FW208" s="1007"/>
      <c r="FX208" s="1007"/>
      <c r="FY208" s="1007"/>
      <c r="FZ208" s="1007"/>
      <c r="GA208" s="1007"/>
      <c r="GB208" s="1007"/>
      <c r="GC208" s="1007"/>
      <c r="GD208" s="1007"/>
      <c r="GE208" s="1007"/>
      <c r="GF208" s="1007"/>
      <c r="GG208" s="1007"/>
      <c r="GH208" s="1007"/>
      <c r="GI208" s="1007"/>
      <c r="GJ208" s="1007"/>
      <c r="GK208" s="1007"/>
      <c r="GL208" s="1007"/>
      <c r="GM208" s="1007"/>
      <c r="GN208" s="1007"/>
      <c r="GO208" s="1007"/>
      <c r="GP208" s="1007"/>
      <c r="GQ208" s="1007"/>
      <c r="GR208" s="1007"/>
      <c r="GS208" s="1007"/>
      <c r="GT208" s="1007"/>
      <c r="GU208" s="1007"/>
      <c r="GV208" s="1007"/>
      <c r="GW208" s="1007"/>
      <c r="GX208" s="1007"/>
      <c r="GY208" s="1007"/>
      <c r="GZ208" s="1007"/>
      <c r="HA208" s="1007"/>
      <c r="HB208" s="1007"/>
      <c r="HC208" s="1007"/>
      <c r="HD208" s="1007"/>
      <c r="HE208" s="1007"/>
      <c r="HF208" s="1007"/>
      <c r="HG208" s="1007"/>
      <c r="HH208" s="1007"/>
      <c r="HI208" s="1007"/>
      <c r="HJ208" s="1007"/>
      <c r="HK208" s="1007"/>
      <c r="HL208" s="1007"/>
      <c r="HM208" s="1007"/>
      <c r="HN208" s="1007"/>
      <c r="HO208" s="1007"/>
      <c r="HP208" s="1007"/>
      <c r="HQ208" s="1007"/>
      <c r="HR208" s="1007"/>
      <c r="HS208" s="1007"/>
      <c r="HT208" s="1007"/>
      <c r="HU208" s="1007"/>
      <c r="HV208" s="1007"/>
      <c r="HW208" s="1007"/>
      <c r="HX208" s="1007"/>
      <c r="HY208" s="1007"/>
      <c r="HZ208" s="1007"/>
      <c r="IA208" s="1007"/>
      <c r="IB208" s="1007"/>
      <c r="IC208" s="1007"/>
      <c r="ID208" s="1007"/>
      <c r="IE208" s="1007"/>
      <c r="IF208" s="1007"/>
      <c r="IG208" s="1007"/>
      <c r="IH208" s="1007"/>
    </row>
    <row r="209" hidden="1" outlineLevel="1">
      <c r="A209" s="598"/>
      <c r="B209" s="598"/>
      <c r="C209" s="598"/>
      <c r="D209" s="598"/>
      <c r="E209" s="598"/>
      <c r="F209" s="598"/>
      <c r="G209" s="598"/>
      <c r="H209" s="598"/>
      <c r="I209" s="598"/>
      <c r="J209" s="598"/>
      <c r="K209" s="598"/>
      <c r="L209" s="598"/>
      <c r="M209" s="598"/>
      <c r="N209" s="598"/>
      <c r="O209" s="598"/>
      <c r="P209" s="598"/>
      <c r="Q209" s="598"/>
      <c r="R209" s="598"/>
      <c r="S209" s="598"/>
      <c r="T209" s="598"/>
      <c r="U209" s="598"/>
      <c r="V209" s="598"/>
      <c r="W209" s="598"/>
      <c r="X209" s="598"/>
      <c r="Y209" s="598"/>
      <c r="Z209" s="598"/>
      <c r="AA209" s="911"/>
      <c r="AB209" s="1006"/>
      <c r="AC209" s="1007" t="str">
        <f>IFERROR(__xludf.DUMMYFUNCTION("""COMPUTED_VALUE"""),"Workshop Defense Discount")</f>
        <v>Workshop Defense Discount</v>
      </c>
      <c r="AD209" s="1008" t="s">
        <v>193</v>
      </c>
      <c r="AE209" s="1007">
        <v>28.0</v>
      </c>
      <c r="AF209" s="1007"/>
      <c r="AG209" s="1007">
        <v>99.0</v>
      </c>
      <c r="AH209" s="1007"/>
      <c r="AI209" s="1007"/>
      <c r="AJ209" s="1007"/>
      <c r="AK209" s="1007"/>
      <c r="AL209" s="1007"/>
      <c r="AM209" s="1007"/>
      <c r="AN209" s="1007"/>
      <c r="AO209" s="1007"/>
      <c r="AP209" s="1007"/>
      <c r="AQ209" s="1007"/>
      <c r="AR209" s="1007"/>
      <c r="AS209" s="1007"/>
      <c r="AT209" s="1007"/>
      <c r="AU209" s="1007"/>
      <c r="AV209" s="1007"/>
      <c r="AW209" s="1007"/>
      <c r="AX209" s="1007"/>
      <c r="AY209" s="1007"/>
      <c r="AZ209" s="1007"/>
      <c r="BA209" s="1007"/>
      <c r="BB209" s="1007"/>
      <c r="BC209" s="1007"/>
      <c r="BD209" s="1007"/>
      <c r="BE209" s="1007"/>
      <c r="BF209" s="1007"/>
      <c r="BG209" s="1007"/>
      <c r="BH209" s="1007"/>
      <c r="BI209" s="1007"/>
      <c r="BJ209" s="1007"/>
      <c r="BK209" s="1007"/>
      <c r="BL209" s="1007"/>
      <c r="BM209" s="1007"/>
      <c r="BN209" s="1007"/>
      <c r="BO209" s="1007"/>
      <c r="BP209" s="1007"/>
      <c r="BQ209" s="1007"/>
      <c r="BR209" s="1007"/>
      <c r="BS209" s="1007"/>
      <c r="BT209" s="1007"/>
      <c r="BU209" s="1007"/>
      <c r="BV209" s="1007"/>
      <c r="BW209" s="1007"/>
      <c r="BX209" s="1007"/>
      <c r="BY209" s="1007"/>
      <c r="BZ209" s="1007"/>
      <c r="CA209" s="1007"/>
      <c r="CB209" s="1007"/>
      <c r="CC209" s="1007"/>
      <c r="CD209" s="1007"/>
      <c r="CE209" s="1007"/>
      <c r="CF209" s="1007"/>
      <c r="CG209" s="1007"/>
      <c r="CH209" s="1007"/>
      <c r="CI209" s="1007"/>
      <c r="CJ209" s="1007"/>
      <c r="CK209" s="1007"/>
      <c r="CL209" s="1007"/>
      <c r="CM209" s="1007"/>
      <c r="CN209" s="1007"/>
      <c r="CO209" s="1007"/>
      <c r="CP209" s="1007"/>
      <c r="CQ209" s="1007"/>
      <c r="CR209" s="1007"/>
      <c r="CS209" s="1007"/>
      <c r="CT209" s="1007"/>
      <c r="CU209" s="1007"/>
      <c r="CV209" s="1007"/>
      <c r="CW209" s="1007"/>
      <c r="CX209" s="1007"/>
      <c r="CY209" s="1007"/>
      <c r="CZ209" s="1007"/>
      <c r="DA209" s="1007"/>
      <c r="DB209" s="1007"/>
      <c r="DC209" s="1007"/>
      <c r="DD209" s="1007"/>
      <c r="DE209" s="1007"/>
      <c r="DF209" s="1007"/>
      <c r="DG209" s="1007"/>
      <c r="DH209" s="1007"/>
      <c r="DI209" s="1007"/>
      <c r="DJ209" s="1007"/>
      <c r="DK209" s="1007"/>
      <c r="DL209" s="1007"/>
      <c r="DM209" s="1007"/>
      <c r="DN209" s="1007"/>
      <c r="DO209" s="1007"/>
      <c r="DP209" s="1007"/>
      <c r="DQ209" s="1007"/>
      <c r="DR209" s="1007"/>
      <c r="DS209" s="1007"/>
      <c r="DT209" s="1007"/>
      <c r="DU209" s="1007"/>
      <c r="DV209" s="1007"/>
      <c r="DW209" s="1007"/>
      <c r="DX209" s="1007"/>
      <c r="DY209" s="1007"/>
      <c r="DZ209" s="1007"/>
      <c r="EA209" s="1007"/>
      <c r="EB209" s="1007"/>
      <c r="EC209" s="1007"/>
      <c r="ED209" s="1007"/>
      <c r="EE209" s="1007"/>
      <c r="EF209" s="1007"/>
      <c r="EG209" s="1007"/>
      <c r="EH209" s="1007"/>
      <c r="EI209" s="1007"/>
      <c r="EJ209" s="1007"/>
      <c r="EK209" s="1007"/>
      <c r="EL209" s="1007"/>
      <c r="EM209" s="1007"/>
      <c r="EN209" s="1007"/>
      <c r="EO209" s="1007"/>
      <c r="EP209" s="1007"/>
      <c r="EQ209" s="1007"/>
      <c r="ER209" s="1007"/>
      <c r="ES209" s="1007"/>
      <c r="ET209" s="1007"/>
      <c r="EU209" s="1007"/>
      <c r="EV209" s="1007"/>
      <c r="EW209" s="1007"/>
      <c r="EX209" s="1007"/>
      <c r="EY209" s="1007"/>
      <c r="EZ209" s="1007"/>
      <c r="FA209" s="1007"/>
      <c r="FB209" s="1007"/>
      <c r="FC209" s="1007"/>
      <c r="FD209" s="1007"/>
      <c r="FE209" s="1007"/>
      <c r="FF209" s="1007"/>
      <c r="FG209" s="1007"/>
      <c r="FH209" s="1007"/>
      <c r="FI209" s="1007"/>
      <c r="FJ209" s="1007"/>
      <c r="FK209" s="1007"/>
      <c r="FL209" s="1007"/>
      <c r="FM209" s="1007"/>
      <c r="FN209" s="1007"/>
      <c r="FO209" s="1007"/>
      <c r="FP209" s="1007"/>
      <c r="FQ209" s="1007"/>
      <c r="FR209" s="1007"/>
      <c r="FS209" s="1007"/>
      <c r="FT209" s="1007"/>
      <c r="FU209" s="1007"/>
      <c r="FV209" s="1007"/>
      <c r="FW209" s="1007"/>
      <c r="FX209" s="1007"/>
      <c r="FY209" s="1007"/>
      <c r="FZ209" s="1007"/>
      <c r="GA209" s="1007"/>
      <c r="GB209" s="1007"/>
      <c r="GC209" s="1007"/>
      <c r="GD209" s="1007"/>
      <c r="GE209" s="1007"/>
      <c r="GF209" s="1007"/>
      <c r="GG209" s="1007"/>
      <c r="GH209" s="1007"/>
      <c r="GI209" s="1007"/>
      <c r="GJ209" s="1007"/>
      <c r="GK209" s="1007"/>
      <c r="GL209" s="1007"/>
      <c r="GM209" s="1007"/>
      <c r="GN209" s="1007"/>
      <c r="GO209" s="1007"/>
      <c r="GP209" s="1007"/>
      <c r="GQ209" s="1007"/>
      <c r="GR209" s="1007"/>
      <c r="GS209" s="1007"/>
      <c r="GT209" s="1007"/>
      <c r="GU209" s="1007"/>
      <c r="GV209" s="1007"/>
      <c r="GW209" s="1007"/>
      <c r="GX209" s="1007"/>
      <c r="GY209" s="1007"/>
      <c r="GZ209" s="1007"/>
      <c r="HA209" s="1007"/>
      <c r="HB209" s="1007"/>
      <c r="HC209" s="1007"/>
      <c r="HD209" s="1007"/>
      <c r="HE209" s="1007"/>
      <c r="HF209" s="1007"/>
      <c r="HG209" s="1007"/>
      <c r="HH209" s="1007"/>
      <c r="HI209" s="1007"/>
      <c r="HJ209" s="1007"/>
      <c r="HK209" s="1007"/>
      <c r="HL209" s="1007"/>
      <c r="HM209" s="1007"/>
      <c r="HN209" s="1007"/>
      <c r="HO209" s="1007"/>
      <c r="HP209" s="1007"/>
      <c r="HQ209" s="1007"/>
      <c r="HR209" s="1007"/>
      <c r="HS209" s="1007"/>
      <c r="HT209" s="1007"/>
      <c r="HU209" s="1007"/>
      <c r="HV209" s="1007"/>
      <c r="HW209" s="1007"/>
      <c r="HX209" s="1007"/>
      <c r="HY209" s="1007"/>
      <c r="HZ209" s="1007"/>
      <c r="IA209" s="1007"/>
      <c r="IB209" s="1007"/>
      <c r="IC209" s="1007"/>
      <c r="ID209" s="1007"/>
      <c r="IE209" s="1007"/>
      <c r="IF209" s="1007"/>
      <c r="IG209" s="1007"/>
      <c r="IH209" s="1007"/>
    </row>
    <row r="210" hidden="1" outlineLevel="1">
      <c r="A210" s="598"/>
      <c r="B210" s="598"/>
      <c r="C210" s="598"/>
      <c r="D210" s="598"/>
      <c r="E210" s="598"/>
      <c r="F210" s="598"/>
      <c r="G210" s="598"/>
      <c r="H210" s="598"/>
      <c r="I210" s="598"/>
      <c r="J210" s="598"/>
      <c r="K210" s="598"/>
      <c r="L210" s="598"/>
      <c r="M210" s="598"/>
      <c r="N210" s="598"/>
      <c r="O210" s="598"/>
      <c r="P210" s="598"/>
      <c r="Q210" s="598"/>
      <c r="R210" s="598"/>
      <c r="S210" s="598"/>
      <c r="T210" s="598"/>
      <c r="U210" s="598"/>
      <c r="V210" s="598"/>
      <c r="W210" s="598"/>
      <c r="X210" s="598"/>
      <c r="Y210" s="598"/>
      <c r="Z210" s="598"/>
      <c r="AA210" s="911"/>
      <c r="AB210" s="1006"/>
      <c r="AC210" s="1007" t="str">
        <f>IFERROR(__xludf.DUMMYFUNCTION("""COMPUTED_VALUE"""),"Workshop Enhancements")</f>
        <v>Workshop Enhancements</v>
      </c>
      <c r="AD210" s="1008" t="s">
        <v>301</v>
      </c>
      <c r="AE210" s="1007">
        <v>1.0</v>
      </c>
      <c r="AF210" s="1007"/>
      <c r="AG210" s="1007">
        <v>1.0</v>
      </c>
      <c r="AH210" s="1007"/>
      <c r="AI210" s="1007"/>
      <c r="AJ210" s="1007"/>
      <c r="AK210" s="1007"/>
      <c r="AL210" s="1007"/>
      <c r="AM210" s="1007"/>
      <c r="AN210" s="1007"/>
      <c r="AO210" s="1007"/>
      <c r="AP210" s="1007"/>
      <c r="AQ210" s="1007"/>
      <c r="AR210" s="1007"/>
      <c r="AS210" s="1007"/>
      <c r="AT210" s="1007"/>
      <c r="AU210" s="1007"/>
      <c r="AV210" s="1007"/>
      <c r="AW210" s="1007"/>
      <c r="AX210" s="1007"/>
      <c r="AY210" s="1007"/>
      <c r="AZ210" s="1007"/>
      <c r="BA210" s="1007"/>
      <c r="BB210" s="1007"/>
      <c r="BC210" s="1007"/>
      <c r="BD210" s="1007"/>
      <c r="BE210" s="1007"/>
      <c r="BF210" s="1007"/>
      <c r="BG210" s="1007"/>
      <c r="BH210" s="1007"/>
      <c r="BI210" s="1007"/>
      <c r="BJ210" s="1007"/>
      <c r="BK210" s="1007"/>
      <c r="BL210" s="1007"/>
      <c r="BM210" s="1007"/>
      <c r="BN210" s="1007"/>
      <c r="BO210" s="1007"/>
      <c r="BP210" s="1007"/>
      <c r="BQ210" s="1007"/>
      <c r="BR210" s="1007"/>
      <c r="BS210" s="1007"/>
      <c r="BT210" s="1007"/>
      <c r="BU210" s="1007"/>
      <c r="BV210" s="1007"/>
      <c r="BW210" s="1007"/>
      <c r="BX210" s="1007"/>
      <c r="BY210" s="1007"/>
      <c r="BZ210" s="1007"/>
      <c r="CA210" s="1007"/>
      <c r="CB210" s="1007"/>
      <c r="CC210" s="1007"/>
      <c r="CD210" s="1007"/>
      <c r="CE210" s="1007"/>
      <c r="CF210" s="1007"/>
      <c r="CG210" s="1007"/>
      <c r="CH210" s="1007"/>
      <c r="CI210" s="1007"/>
      <c r="CJ210" s="1007"/>
      <c r="CK210" s="1007"/>
      <c r="CL210" s="1007"/>
      <c r="CM210" s="1007"/>
      <c r="CN210" s="1007"/>
      <c r="CO210" s="1007"/>
      <c r="CP210" s="1007"/>
      <c r="CQ210" s="1007"/>
      <c r="CR210" s="1007"/>
      <c r="CS210" s="1007"/>
      <c r="CT210" s="1007"/>
      <c r="CU210" s="1007"/>
      <c r="CV210" s="1007"/>
      <c r="CW210" s="1007"/>
      <c r="CX210" s="1007"/>
      <c r="CY210" s="1007"/>
      <c r="CZ210" s="1007"/>
      <c r="DA210" s="1007"/>
      <c r="DB210" s="1007"/>
      <c r="DC210" s="1007"/>
      <c r="DD210" s="1007"/>
      <c r="DE210" s="1007"/>
      <c r="DF210" s="1007"/>
      <c r="DG210" s="1007"/>
      <c r="DH210" s="1007"/>
      <c r="DI210" s="1007"/>
      <c r="DJ210" s="1007"/>
      <c r="DK210" s="1007"/>
      <c r="DL210" s="1007"/>
      <c r="DM210" s="1007"/>
      <c r="DN210" s="1007"/>
      <c r="DO210" s="1007"/>
      <c r="DP210" s="1007"/>
      <c r="DQ210" s="1007"/>
      <c r="DR210" s="1007"/>
      <c r="DS210" s="1007"/>
      <c r="DT210" s="1007"/>
      <c r="DU210" s="1007"/>
      <c r="DV210" s="1007"/>
      <c r="DW210" s="1007"/>
      <c r="DX210" s="1007"/>
      <c r="DY210" s="1007"/>
      <c r="DZ210" s="1007"/>
      <c r="EA210" s="1007"/>
      <c r="EB210" s="1007"/>
      <c r="EC210" s="1007"/>
      <c r="ED210" s="1007"/>
      <c r="EE210" s="1007"/>
      <c r="EF210" s="1007"/>
      <c r="EG210" s="1007"/>
      <c r="EH210" s="1007"/>
      <c r="EI210" s="1007"/>
      <c r="EJ210" s="1007"/>
      <c r="EK210" s="1007"/>
      <c r="EL210" s="1007"/>
      <c r="EM210" s="1007"/>
      <c r="EN210" s="1007"/>
      <c r="EO210" s="1007"/>
      <c r="EP210" s="1007"/>
      <c r="EQ210" s="1007"/>
      <c r="ER210" s="1007"/>
      <c r="ES210" s="1007"/>
      <c r="ET210" s="1007"/>
      <c r="EU210" s="1007"/>
      <c r="EV210" s="1007"/>
      <c r="EW210" s="1007"/>
      <c r="EX210" s="1007"/>
      <c r="EY210" s="1007"/>
      <c r="EZ210" s="1007"/>
      <c r="FA210" s="1007"/>
      <c r="FB210" s="1007"/>
      <c r="FC210" s="1007"/>
      <c r="FD210" s="1007"/>
      <c r="FE210" s="1007"/>
      <c r="FF210" s="1007"/>
      <c r="FG210" s="1007"/>
      <c r="FH210" s="1007"/>
      <c r="FI210" s="1007"/>
      <c r="FJ210" s="1007"/>
      <c r="FK210" s="1007"/>
      <c r="FL210" s="1007"/>
      <c r="FM210" s="1007"/>
      <c r="FN210" s="1007"/>
      <c r="FO210" s="1007"/>
      <c r="FP210" s="1007"/>
      <c r="FQ210" s="1007"/>
      <c r="FR210" s="1007"/>
      <c r="FS210" s="1007"/>
      <c r="FT210" s="1007"/>
      <c r="FU210" s="1007"/>
      <c r="FV210" s="1007"/>
      <c r="FW210" s="1007"/>
      <c r="FX210" s="1007"/>
      <c r="FY210" s="1007"/>
      <c r="FZ210" s="1007"/>
      <c r="GA210" s="1007"/>
      <c r="GB210" s="1007"/>
      <c r="GC210" s="1007"/>
      <c r="GD210" s="1007"/>
      <c r="GE210" s="1007"/>
      <c r="GF210" s="1007"/>
      <c r="GG210" s="1007"/>
      <c r="GH210" s="1007"/>
      <c r="GI210" s="1007"/>
      <c r="GJ210" s="1007"/>
      <c r="GK210" s="1007"/>
      <c r="GL210" s="1007"/>
      <c r="GM210" s="1007"/>
      <c r="GN210" s="1007"/>
      <c r="GO210" s="1007"/>
      <c r="GP210" s="1007"/>
      <c r="GQ210" s="1007"/>
      <c r="GR210" s="1007"/>
      <c r="GS210" s="1007"/>
      <c r="GT210" s="1007"/>
      <c r="GU210" s="1007"/>
      <c r="GV210" s="1007"/>
      <c r="GW210" s="1007"/>
      <c r="GX210" s="1007"/>
      <c r="GY210" s="1007"/>
      <c r="GZ210" s="1007"/>
      <c r="HA210" s="1007"/>
      <c r="HB210" s="1007"/>
      <c r="HC210" s="1007"/>
      <c r="HD210" s="1007"/>
      <c r="HE210" s="1007"/>
      <c r="HF210" s="1007"/>
      <c r="HG210" s="1007"/>
      <c r="HH210" s="1007"/>
      <c r="HI210" s="1007"/>
      <c r="HJ210" s="1007"/>
      <c r="HK210" s="1007"/>
      <c r="HL210" s="1007"/>
      <c r="HM210" s="1007"/>
      <c r="HN210" s="1007"/>
      <c r="HO210" s="1007"/>
      <c r="HP210" s="1007"/>
      <c r="HQ210" s="1007"/>
      <c r="HR210" s="1007"/>
      <c r="HS210" s="1007"/>
      <c r="HT210" s="1007"/>
      <c r="HU210" s="1007"/>
      <c r="HV210" s="1007"/>
      <c r="HW210" s="1007"/>
      <c r="HX210" s="1007"/>
      <c r="HY210" s="1007"/>
      <c r="HZ210" s="1007"/>
      <c r="IA210" s="1007"/>
      <c r="IB210" s="1007"/>
      <c r="IC210" s="1007"/>
      <c r="ID210" s="1007"/>
      <c r="IE210" s="1007"/>
      <c r="IF210" s="1007"/>
      <c r="IG210" s="1007"/>
      <c r="IH210" s="1007"/>
    </row>
    <row r="211" hidden="1" outlineLevel="1">
      <c r="A211" s="598"/>
      <c r="B211" s="598"/>
      <c r="C211" s="598"/>
      <c r="D211" s="598"/>
      <c r="E211" s="598"/>
      <c r="F211" s="598"/>
      <c r="G211" s="598"/>
      <c r="H211" s="598"/>
      <c r="I211" s="598"/>
      <c r="J211" s="598"/>
      <c r="K211" s="598"/>
      <c r="L211" s="598"/>
      <c r="M211" s="598"/>
      <c r="N211" s="598"/>
      <c r="O211" s="598"/>
      <c r="P211" s="598"/>
      <c r="Q211" s="598"/>
      <c r="R211" s="598"/>
      <c r="S211" s="598"/>
      <c r="T211" s="598"/>
      <c r="U211" s="598"/>
      <c r="V211" s="598"/>
      <c r="W211" s="598"/>
      <c r="X211" s="598"/>
      <c r="Y211" s="598"/>
      <c r="Z211" s="598"/>
      <c r="AA211" s="911"/>
      <c r="AB211" s="1006"/>
      <c r="AC211" s="1007" t="str">
        <f>IFERROR(__xludf.DUMMYFUNCTION("""COMPUTED_VALUE"""),"Workshop Respec")</f>
        <v>Workshop Respec</v>
      </c>
      <c r="AD211" s="1008" t="s">
        <v>286</v>
      </c>
      <c r="AE211" s="1007">
        <v>1.0</v>
      </c>
      <c r="AF211" s="1007"/>
      <c r="AG211" s="1007">
        <v>1.0</v>
      </c>
      <c r="AH211" s="1007"/>
      <c r="AI211" s="1007"/>
      <c r="AJ211" s="1007"/>
      <c r="AK211" s="1007"/>
      <c r="AL211" s="1007"/>
      <c r="AM211" s="1007"/>
      <c r="AN211" s="1007"/>
      <c r="AO211" s="1007"/>
      <c r="AP211" s="1007"/>
      <c r="AQ211" s="1007"/>
      <c r="AR211" s="1007"/>
      <c r="AS211" s="1007"/>
      <c r="AT211" s="1007"/>
      <c r="AU211" s="1007"/>
      <c r="AV211" s="1007"/>
      <c r="AW211" s="1007"/>
      <c r="AX211" s="1007"/>
      <c r="AY211" s="1007"/>
      <c r="AZ211" s="1007"/>
      <c r="BA211" s="1007"/>
      <c r="BB211" s="1007"/>
      <c r="BC211" s="1007"/>
      <c r="BD211" s="1007"/>
      <c r="BE211" s="1007"/>
      <c r="BF211" s="1007"/>
      <c r="BG211" s="1007"/>
      <c r="BH211" s="1007"/>
      <c r="BI211" s="1007"/>
      <c r="BJ211" s="1007"/>
      <c r="BK211" s="1007"/>
      <c r="BL211" s="1007"/>
      <c r="BM211" s="1007"/>
      <c r="BN211" s="1007"/>
      <c r="BO211" s="1007"/>
      <c r="BP211" s="1007"/>
      <c r="BQ211" s="1007"/>
      <c r="BR211" s="1007"/>
      <c r="BS211" s="1007"/>
      <c r="BT211" s="1007"/>
      <c r="BU211" s="1007"/>
      <c r="BV211" s="1007"/>
      <c r="BW211" s="1007"/>
      <c r="BX211" s="1007"/>
      <c r="BY211" s="1007"/>
      <c r="BZ211" s="1007"/>
      <c r="CA211" s="1007"/>
      <c r="CB211" s="1007"/>
      <c r="CC211" s="1007"/>
      <c r="CD211" s="1007"/>
      <c r="CE211" s="1007"/>
      <c r="CF211" s="1007"/>
      <c r="CG211" s="1007"/>
      <c r="CH211" s="1007"/>
      <c r="CI211" s="1007"/>
      <c r="CJ211" s="1007"/>
      <c r="CK211" s="1007"/>
      <c r="CL211" s="1007"/>
      <c r="CM211" s="1007"/>
      <c r="CN211" s="1007"/>
      <c r="CO211" s="1007"/>
      <c r="CP211" s="1007"/>
      <c r="CQ211" s="1007"/>
      <c r="CR211" s="1007"/>
      <c r="CS211" s="1007"/>
      <c r="CT211" s="1007"/>
      <c r="CU211" s="1007"/>
      <c r="CV211" s="1007"/>
      <c r="CW211" s="1007"/>
      <c r="CX211" s="1007"/>
      <c r="CY211" s="1007"/>
      <c r="CZ211" s="1007"/>
      <c r="DA211" s="1007"/>
      <c r="DB211" s="1007"/>
      <c r="DC211" s="1007"/>
      <c r="DD211" s="1007"/>
      <c r="DE211" s="1007"/>
      <c r="DF211" s="1007"/>
      <c r="DG211" s="1007"/>
      <c r="DH211" s="1007"/>
      <c r="DI211" s="1007"/>
      <c r="DJ211" s="1007"/>
      <c r="DK211" s="1007"/>
      <c r="DL211" s="1007"/>
      <c r="DM211" s="1007"/>
      <c r="DN211" s="1007"/>
      <c r="DO211" s="1007"/>
      <c r="DP211" s="1007"/>
      <c r="DQ211" s="1007"/>
      <c r="DR211" s="1007"/>
      <c r="DS211" s="1007"/>
      <c r="DT211" s="1007"/>
      <c r="DU211" s="1007"/>
      <c r="DV211" s="1007"/>
      <c r="DW211" s="1007"/>
      <c r="DX211" s="1007"/>
      <c r="DY211" s="1007"/>
      <c r="DZ211" s="1007"/>
      <c r="EA211" s="1007"/>
      <c r="EB211" s="1007"/>
      <c r="EC211" s="1007"/>
      <c r="ED211" s="1007"/>
      <c r="EE211" s="1007"/>
      <c r="EF211" s="1007"/>
      <c r="EG211" s="1007"/>
      <c r="EH211" s="1007"/>
      <c r="EI211" s="1007"/>
      <c r="EJ211" s="1007"/>
      <c r="EK211" s="1007"/>
      <c r="EL211" s="1007"/>
      <c r="EM211" s="1007"/>
      <c r="EN211" s="1007"/>
      <c r="EO211" s="1007"/>
      <c r="EP211" s="1007"/>
      <c r="EQ211" s="1007"/>
      <c r="ER211" s="1007"/>
      <c r="ES211" s="1007"/>
      <c r="ET211" s="1007"/>
      <c r="EU211" s="1007"/>
      <c r="EV211" s="1007"/>
      <c r="EW211" s="1007"/>
      <c r="EX211" s="1007"/>
      <c r="EY211" s="1007"/>
      <c r="EZ211" s="1007"/>
      <c r="FA211" s="1007"/>
      <c r="FB211" s="1007"/>
      <c r="FC211" s="1007"/>
      <c r="FD211" s="1007"/>
      <c r="FE211" s="1007"/>
      <c r="FF211" s="1007"/>
      <c r="FG211" s="1007"/>
      <c r="FH211" s="1007"/>
      <c r="FI211" s="1007"/>
      <c r="FJ211" s="1007"/>
      <c r="FK211" s="1007"/>
      <c r="FL211" s="1007"/>
      <c r="FM211" s="1007"/>
      <c r="FN211" s="1007"/>
      <c r="FO211" s="1007"/>
      <c r="FP211" s="1007"/>
      <c r="FQ211" s="1007"/>
      <c r="FR211" s="1007"/>
      <c r="FS211" s="1007"/>
      <c r="FT211" s="1007"/>
      <c r="FU211" s="1007"/>
      <c r="FV211" s="1007"/>
      <c r="FW211" s="1007"/>
      <c r="FX211" s="1007"/>
      <c r="FY211" s="1007"/>
      <c r="FZ211" s="1007"/>
      <c r="GA211" s="1007"/>
      <c r="GB211" s="1007"/>
      <c r="GC211" s="1007"/>
      <c r="GD211" s="1007"/>
      <c r="GE211" s="1007"/>
      <c r="GF211" s="1007"/>
      <c r="GG211" s="1007"/>
      <c r="GH211" s="1007"/>
      <c r="GI211" s="1007"/>
      <c r="GJ211" s="1007"/>
      <c r="GK211" s="1007"/>
      <c r="GL211" s="1007"/>
      <c r="GM211" s="1007"/>
      <c r="GN211" s="1007"/>
      <c r="GO211" s="1007"/>
      <c r="GP211" s="1007"/>
      <c r="GQ211" s="1007"/>
      <c r="GR211" s="1007"/>
      <c r="GS211" s="1007"/>
      <c r="GT211" s="1007"/>
      <c r="GU211" s="1007"/>
      <c r="GV211" s="1007"/>
      <c r="GW211" s="1007"/>
      <c r="GX211" s="1007"/>
      <c r="GY211" s="1007"/>
      <c r="GZ211" s="1007"/>
      <c r="HA211" s="1007"/>
      <c r="HB211" s="1007"/>
      <c r="HC211" s="1007"/>
      <c r="HD211" s="1007"/>
      <c r="HE211" s="1007"/>
      <c r="HF211" s="1007"/>
      <c r="HG211" s="1007"/>
      <c r="HH211" s="1007"/>
      <c r="HI211" s="1007"/>
      <c r="HJ211" s="1007"/>
      <c r="HK211" s="1007"/>
      <c r="HL211" s="1007"/>
      <c r="HM211" s="1007"/>
      <c r="HN211" s="1007"/>
      <c r="HO211" s="1007"/>
      <c r="HP211" s="1007"/>
      <c r="HQ211" s="1007"/>
      <c r="HR211" s="1007"/>
      <c r="HS211" s="1007"/>
      <c r="HT211" s="1007"/>
      <c r="HU211" s="1007"/>
      <c r="HV211" s="1007"/>
      <c r="HW211" s="1007"/>
      <c r="HX211" s="1007"/>
      <c r="HY211" s="1007"/>
      <c r="HZ211" s="1007"/>
      <c r="IA211" s="1007"/>
      <c r="IB211" s="1007"/>
      <c r="IC211" s="1007"/>
      <c r="ID211" s="1007"/>
      <c r="IE211" s="1007"/>
      <c r="IF211" s="1007"/>
      <c r="IG211" s="1007"/>
      <c r="IH211" s="1007"/>
    </row>
    <row r="212" hidden="1" outlineLevel="1">
      <c r="A212" s="598"/>
      <c r="B212" s="598"/>
      <c r="C212" s="598"/>
      <c r="D212" s="598"/>
      <c r="E212" s="598"/>
      <c r="F212" s="598"/>
      <c r="G212" s="598"/>
      <c r="H212" s="598"/>
      <c r="I212" s="598"/>
      <c r="J212" s="598"/>
      <c r="K212" s="598"/>
      <c r="L212" s="598"/>
      <c r="M212" s="598"/>
      <c r="N212" s="598"/>
      <c r="O212" s="598"/>
      <c r="P212" s="598"/>
      <c r="Q212" s="598"/>
      <c r="R212" s="598"/>
      <c r="S212" s="598"/>
      <c r="T212" s="598"/>
      <c r="U212" s="598"/>
      <c r="V212" s="598"/>
      <c r="W212" s="598"/>
      <c r="X212" s="598"/>
      <c r="Y212" s="598"/>
      <c r="Z212" s="598"/>
      <c r="AA212" s="911"/>
      <c r="AB212" s="1006"/>
      <c r="AC212" s="1007" t="str">
        <f>IFERROR(__xludf.DUMMYFUNCTION("""COMPUTED_VALUE"""),"Workshop Utility Discount")</f>
        <v>Workshop Utility Discount</v>
      </c>
      <c r="AD212" s="1008" t="s">
        <v>215</v>
      </c>
      <c r="AE212" s="1007">
        <v>41.0</v>
      </c>
      <c r="AF212" s="1007"/>
      <c r="AG212" s="1007">
        <v>99.0</v>
      </c>
      <c r="AH212" s="1007"/>
      <c r="AI212" s="1007"/>
      <c r="AJ212" s="1007"/>
      <c r="AK212" s="1007"/>
      <c r="AL212" s="1007"/>
      <c r="AM212" s="1007"/>
      <c r="AN212" s="1007"/>
      <c r="AO212" s="1007"/>
      <c r="AP212" s="1007"/>
      <c r="AQ212" s="1007"/>
      <c r="AR212" s="1007"/>
      <c r="AS212" s="1007"/>
      <c r="AT212" s="1007"/>
      <c r="AU212" s="1007"/>
      <c r="AV212" s="1007"/>
      <c r="AW212" s="1007"/>
      <c r="AX212" s="1007"/>
      <c r="AY212" s="1007"/>
      <c r="AZ212" s="1007"/>
      <c r="BA212" s="1007"/>
      <c r="BB212" s="1007"/>
      <c r="BC212" s="1007"/>
      <c r="BD212" s="1007"/>
      <c r="BE212" s="1007"/>
      <c r="BF212" s="1007"/>
      <c r="BG212" s="1007"/>
      <c r="BH212" s="1007"/>
      <c r="BI212" s="1007"/>
      <c r="BJ212" s="1007"/>
      <c r="BK212" s="1007"/>
      <c r="BL212" s="1007"/>
      <c r="BM212" s="1007"/>
      <c r="BN212" s="1007"/>
      <c r="BO212" s="1007"/>
      <c r="BP212" s="1007"/>
      <c r="BQ212" s="1007"/>
      <c r="BR212" s="1007"/>
      <c r="BS212" s="1007"/>
      <c r="BT212" s="1007"/>
      <c r="BU212" s="1007"/>
      <c r="BV212" s="1007"/>
      <c r="BW212" s="1007"/>
      <c r="BX212" s="1007"/>
      <c r="BY212" s="1007"/>
      <c r="BZ212" s="1007"/>
      <c r="CA212" s="1007"/>
      <c r="CB212" s="1007"/>
      <c r="CC212" s="1007"/>
      <c r="CD212" s="1007"/>
      <c r="CE212" s="1007"/>
      <c r="CF212" s="1007"/>
      <c r="CG212" s="1007"/>
      <c r="CH212" s="1007"/>
      <c r="CI212" s="1007"/>
      <c r="CJ212" s="1007"/>
      <c r="CK212" s="1007"/>
      <c r="CL212" s="1007"/>
      <c r="CM212" s="1007"/>
      <c r="CN212" s="1007"/>
      <c r="CO212" s="1007"/>
      <c r="CP212" s="1007"/>
      <c r="CQ212" s="1007"/>
      <c r="CR212" s="1007"/>
      <c r="CS212" s="1007"/>
      <c r="CT212" s="1007"/>
      <c r="CU212" s="1007"/>
      <c r="CV212" s="1007"/>
      <c r="CW212" s="1007"/>
      <c r="CX212" s="1007"/>
      <c r="CY212" s="1007"/>
      <c r="CZ212" s="1007"/>
      <c r="DA212" s="1007"/>
      <c r="DB212" s="1007"/>
      <c r="DC212" s="1007"/>
      <c r="DD212" s="1007"/>
      <c r="DE212" s="1007"/>
      <c r="DF212" s="1007"/>
      <c r="DG212" s="1007"/>
      <c r="DH212" s="1007"/>
      <c r="DI212" s="1007"/>
      <c r="DJ212" s="1007"/>
      <c r="DK212" s="1007"/>
      <c r="DL212" s="1007"/>
      <c r="DM212" s="1007"/>
      <c r="DN212" s="1007"/>
      <c r="DO212" s="1007"/>
      <c r="DP212" s="1007"/>
      <c r="DQ212" s="1007"/>
      <c r="DR212" s="1007"/>
      <c r="DS212" s="1007"/>
      <c r="DT212" s="1007"/>
      <c r="DU212" s="1007"/>
      <c r="DV212" s="1007"/>
      <c r="DW212" s="1007"/>
      <c r="DX212" s="1007"/>
      <c r="DY212" s="1007"/>
      <c r="DZ212" s="1007"/>
      <c r="EA212" s="1007"/>
      <c r="EB212" s="1007"/>
      <c r="EC212" s="1007"/>
      <c r="ED212" s="1007"/>
      <c r="EE212" s="1007"/>
      <c r="EF212" s="1007"/>
      <c r="EG212" s="1007"/>
      <c r="EH212" s="1007"/>
      <c r="EI212" s="1007"/>
      <c r="EJ212" s="1007"/>
      <c r="EK212" s="1007"/>
      <c r="EL212" s="1007"/>
      <c r="EM212" s="1007"/>
      <c r="EN212" s="1007"/>
      <c r="EO212" s="1007"/>
      <c r="EP212" s="1007"/>
      <c r="EQ212" s="1007"/>
      <c r="ER212" s="1007"/>
      <c r="ES212" s="1007"/>
      <c r="ET212" s="1007"/>
      <c r="EU212" s="1007"/>
      <c r="EV212" s="1007"/>
      <c r="EW212" s="1007"/>
      <c r="EX212" s="1007"/>
      <c r="EY212" s="1007"/>
      <c r="EZ212" s="1007"/>
      <c r="FA212" s="1007"/>
      <c r="FB212" s="1007"/>
      <c r="FC212" s="1007"/>
      <c r="FD212" s="1007"/>
      <c r="FE212" s="1007"/>
      <c r="FF212" s="1007"/>
      <c r="FG212" s="1007"/>
      <c r="FH212" s="1007"/>
      <c r="FI212" s="1007"/>
      <c r="FJ212" s="1007"/>
      <c r="FK212" s="1007"/>
      <c r="FL212" s="1007"/>
      <c r="FM212" s="1007"/>
      <c r="FN212" s="1007"/>
      <c r="FO212" s="1007"/>
      <c r="FP212" s="1007"/>
      <c r="FQ212" s="1007"/>
      <c r="FR212" s="1007"/>
      <c r="FS212" s="1007"/>
      <c r="FT212" s="1007"/>
      <c r="FU212" s="1007"/>
      <c r="FV212" s="1007"/>
      <c r="FW212" s="1007"/>
      <c r="FX212" s="1007"/>
      <c r="FY212" s="1007"/>
      <c r="FZ212" s="1007"/>
      <c r="GA212" s="1007"/>
      <c r="GB212" s="1007"/>
      <c r="GC212" s="1007"/>
      <c r="GD212" s="1007"/>
      <c r="GE212" s="1007"/>
      <c r="GF212" s="1007"/>
      <c r="GG212" s="1007"/>
      <c r="GH212" s="1007"/>
      <c r="GI212" s="1007"/>
      <c r="GJ212" s="1007"/>
      <c r="GK212" s="1007"/>
      <c r="GL212" s="1007"/>
      <c r="GM212" s="1007"/>
      <c r="GN212" s="1007"/>
      <c r="GO212" s="1007"/>
      <c r="GP212" s="1007"/>
      <c r="GQ212" s="1007"/>
      <c r="GR212" s="1007"/>
      <c r="GS212" s="1007"/>
      <c r="GT212" s="1007"/>
      <c r="GU212" s="1007"/>
      <c r="GV212" s="1007"/>
      <c r="GW212" s="1007"/>
      <c r="GX212" s="1007"/>
      <c r="GY212" s="1007"/>
      <c r="GZ212" s="1007"/>
      <c r="HA212" s="1007"/>
      <c r="HB212" s="1007"/>
      <c r="HC212" s="1007"/>
      <c r="HD212" s="1007"/>
      <c r="HE212" s="1007"/>
      <c r="HF212" s="1007"/>
      <c r="HG212" s="1007"/>
      <c r="HH212" s="1007"/>
      <c r="HI212" s="1007"/>
      <c r="HJ212" s="1007"/>
      <c r="HK212" s="1007"/>
      <c r="HL212" s="1007"/>
      <c r="HM212" s="1007"/>
      <c r="HN212" s="1007"/>
      <c r="HO212" s="1007"/>
      <c r="HP212" s="1007"/>
      <c r="HQ212" s="1007"/>
      <c r="HR212" s="1007"/>
      <c r="HS212" s="1007"/>
      <c r="HT212" s="1007"/>
      <c r="HU212" s="1007"/>
      <c r="HV212" s="1007"/>
      <c r="HW212" s="1007"/>
      <c r="HX212" s="1007"/>
      <c r="HY212" s="1007"/>
      <c r="HZ212" s="1007"/>
      <c r="IA212" s="1007"/>
      <c r="IB212" s="1007"/>
      <c r="IC212" s="1007"/>
      <c r="ID212" s="1007"/>
      <c r="IE212" s="1007"/>
      <c r="IF212" s="1007"/>
      <c r="IG212" s="1007"/>
      <c r="IH212" s="1007"/>
    </row>
    <row r="213" hidden="1" outlineLevel="1">
      <c r="A213" s="598"/>
      <c r="B213" s="598"/>
      <c r="C213" s="598"/>
      <c r="D213" s="598"/>
      <c r="E213" s="598"/>
      <c r="F213" s="598"/>
      <c r="G213" s="598"/>
      <c r="H213" s="598"/>
      <c r="I213" s="598"/>
      <c r="J213" s="598"/>
      <c r="K213" s="598"/>
      <c r="L213" s="598"/>
      <c r="M213" s="598"/>
      <c r="N213" s="598"/>
      <c r="O213" s="598"/>
      <c r="P213" s="598"/>
      <c r="Q213" s="598"/>
      <c r="R213" s="598"/>
      <c r="S213" s="598"/>
      <c r="T213" s="598"/>
      <c r="U213" s="598"/>
      <c r="V213" s="598"/>
      <c r="W213" s="598"/>
      <c r="X213" s="598"/>
      <c r="Y213" s="598"/>
      <c r="Z213" s="598"/>
      <c r="AA213" s="911"/>
      <c r="AB213" s="1006"/>
      <c r="AC213" s="1007"/>
      <c r="AD213" s="1008"/>
      <c r="AE213" s="1007"/>
      <c r="AF213" s="1007"/>
      <c r="AG213" s="1007"/>
      <c r="AH213" s="1007"/>
      <c r="AI213" s="1007"/>
      <c r="AJ213" s="1007"/>
      <c r="AK213" s="1007"/>
      <c r="AL213" s="1007"/>
      <c r="AM213" s="1007"/>
      <c r="AN213" s="1007"/>
      <c r="AO213" s="1007"/>
      <c r="AP213" s="1007"/>
      <c r="AQ213" s="1007"/>
      <c r="AR213" s="1007"/>
      <c r="AS213" s="1007"/>
      <c r="AT213" s="1007"/>
      <c r="AU213" s="1007"/>
      <c r="AV213" s="1007"/>
      <c r="AW213" s="1007"/>
      <c r="AX213" s="1007"/>
      <c r="AY213" s="1007"/>
      <c r="AZ213" s="1007"/>
      <c r="BA213" s="1007"/>
      <c r="BB213" s="1007"/>
      <c r="BC213" s="1007"/>
      <c r="BD213" s="1007"/>
      <c r="BE213" s="1007"/>
      <c r="BF213" s="1007"/>
      <c r="BG213" s="1007"/>
      <c r="BH213" s="1007"/>
      <c r="BI213" s="1007"/>
      <c r="BJ213" s="1007"/>
      <c r="BK213" s="1007"/>
      <c r="BL213" s="1007"/>
      <c r="BM213" s="1007"/>
      <c r="BN213" s="1007"/>
      <c r="BO213" s="1007"/>
      <c r="BP213" s="1007"/>
      <c r="BQ213" s="1007"/>
      <c r="BR213" s="1007"/>
      <c r="BS213" s="1007"/>
      <c r="BT213" s="1007"/>
      <c r="BU213" s="1007"/>
      <c r="BV213" s="1007"/>
      <c r="BW213" s="1007"/>
      <c r="BX213" s="1007"/>
      <c r="BY213" s="1007"/>
      <c r="BZ213" s="1007"/>
      <c r="CA213" s="1007"/>
      <c r="CB213" s="1007"/>
      <c r="CC213" s="1007"/>
      <c r="CD213" s="1007"/>
      <c r="CE213" s="1007"/>
      <c r="CF213" s="1007"/>
      <c r="CG213" s="1007"/>
      <c r="CH213" s="1007"/>
      <c r="CI213" s="1007"/>
      <c r="CJ213" s="1007"/>
      <c r="CK213" s="1007"/>
      <c r="CL213" s="1007"/>
      <c r="CM213" s="1007"/>
      <c r="CN213" s="1007"/>
      <c r="CO213" s="1007"/>
      <c r="CP213" s="1007"/>
      <c r="CQ213" s="1007"/>
      <c r="CR213" s="1007"/>
      <c r="CS213" s="1007"/>
      <c r="CT213" s="1007"/>
      <c r="CU213" s="1007"/>
      <c r="CV213" s="1007"/>
      <c r="CW213" s="1007"/>
      <c r="CX213" s="1007"/>
      <c r="CY213" s="1007"/>
      <c r="CZ213" s="1007"/>
      <c r="DA213" s="1007"/>
      <c r="DB213" s="1007"/>
      <c r="DC213" s="1007"/>
      <c r="DD213" s="1007"/>
      <c r="DE213" s="1007"/>
      <c r="DF213" s="1007"/>
      <c r="DG213" s="1007"/>
      <c r="DH213" s="1007"/>
      <c r="DI213" s="1007"/>
      <c r="DJ213" s="1007"/>
      <c r="DK213" s="1007"/>
      <c r="DL213" s="1007"/>
      <c r="DM213" s="1007"/>
      <c r="DN213" s="1007"/>
      <c r="DO213" s="1007"/>
      <c r="DP213" s="1007"/>
      <c r="DQ213" s="1007"/>
      <c r="DR213" s="1007"/>
      <c r="DS213" s="1007"/>
      <c r="DT213" s="1007"/>
      <c r="DU213" s="1007"/>
      <c r="DV213" s="1007"/>
      <c r="DW213" s="1007"/>
      <c r="DX213" s="1007"/>
      <c r="DY213" s="1007"/>
      <c r="DZ213" s="1007"/>
      <c r="EA213" s="1007"/>
      <c r="EB213" s="1007"/>
      <c r="EC213" s="1007"/>
      <c r="ED213" s="1007"/>
      <c r="EE213" s="1007"/>
      <c r="EF213" s="1007"/>
      <c r="EG213" s="1007"/>
      <c r="EH213" s="1007"/>
      <c r="EI213" s="1007"/>
      <c r="EJ213" s="1007"/>
      <c r="EK213" s="1007"/>
      <c r="EL213" s="1007"/>
      <c r="EM213" s="1007"/>
      <c r="EN213" s="1007"/>
      <c r="EO213" s="1007"/>
      <c r="EP213" s="1007"/>
      <c r="EQ213" s="1007"/>
      <c r="ER213" s="1007"/>
      <c r="ES213" s="1007"/>
      <c r="ET213" s="1007"/>
      <c r="EU213" s="1007"/>
      <c r="EV213" s="1007"/>
      <c r="EW213" s="1007"/>
      <c r="EX213" s="1007"/>
      <c r="EY213" s="1007"/>
      <c r="EZ213" s="1007"/>
      <c r="FA213" s="1007"/>
      <c r="FB213" s="1007"/>
      <c r="FC213" s="1007"/>
      <c r="FD213" s="1007"/>
      <c r="FE213" s="1007"/>
      <c r="FF213" s="1007"/>
      <c r="FG213" s="1007"/>
      <c r="FH213" s="1007"/>
      <c r="FI213" s="1007"/>
      <c r="FJ213" s="1007"/>
      <c r="FK213" s="1007"/>
      <c r="FL213" s="1007"/>
      <c r="FM213" s="1007"/>
      <c r="FN213" s="1007"/>
      <c r="FO213" s="1007"/>
      <c r="FP213" s="1007"/>
      <c r="FQ213" s="1007"/>
      <c r="FR213" s="1007"/>
      <c r="FS213" s="1007"/>
      <c r="FT213" s="1007"/>
      <c r="FU213" s="1007"/>
      <c r="FV213" s="1007"/>
      <c r="FW213" s="1007"/>
      <c r="FX213" s="1007"/>
      <c r="FY213" s="1007"/>
      <c r="FZ213" s="1007"/>
      <c r="GA213" s="1007"/>
      <c r="GB213" s="1007"/>
      <c r="GC213" s="1007"/>
      <c r="GD213" s="1007"/>
      <c r="GE213" s="1007"/>
      <c r="GF213" s="1007"/>
      <c r="GG213" s="1007"/>
      <c r="GH213" s="1007"/>
      <c r="GI213" s="1007"/>
      <c r="GJ213" s="1007"/>
      <c r="GK213" s="1007"/>
      <c r="GL213" s="1007"/>
      <c r="GM213" s="1007"/>
      <c r="GN213" s="1007"/>
      <c r="GO213" s="1007"/>
      <c r="GP213" s="1007"/>
      <c r="GQ213" s="1007"/>
      <c r="GR213" s="1007"/>
      <c r="GS213" s="1007"/>
      <c r="GT213" s="1007"/>
      <c r="GU213" s="1007"/>
      <c r="GV213" s="1007"/>
      <c r="GW213" s="1007"/>
      <c r="GX213" s="1007"/>
      <c r="GY213" s="1007"/>
      <c r="GZ213" s="1007"/>
      <c r="HA213" s="1007"/>
      <c r="HB213" s="1007"/>
      <c r="HC213" s="1007"/>
      <c r="HD213" s="1007"/>
      <c r="HE213" s="1007"/>
      <c r="HF213" s="1007"/>
      <c r="HG213" s="1007"/>
      <c r="HH213" s="1007"/>
      <c r="HI213" s="1007"/>
      <c r="HJ213" s="1007"/>
      <c r="HK213" s="1007"/>
      <c r="HL213" s="1007"/>
      <c r="HM213" s="1007"/>
      <c r="HN213" s="1007"/>
      <c r="HO213" s="1007"/>
      <c r="HP213" s="1007"/>
      <c r="HQ213" s="1007"/>
      <c r="HR213" s="1007"/>
      <c r="HS213" s="1007"/>
      <c r="HT213" s="1007"/>
      <c r="HU213" s="1007"/>
      <c r="HV213" s="1007"/>
      <c r="HW213" s="1007"/>
      <c r="HX213" s="1007"/>
      <c r="HY213" s="1007"/>
      <c r="HZ213" s="1007"/>
      <c r="IA213" s="1007"/>
      <c r="IB213" s="1007"/>
      <c r="IC213" s="1007"/>
      <c r="ID213" s="1007"/>
      <c r="IE213" s="1007"/>
      <c r="IF213" s="1007"/>
      <c r="IG213" s="1007"/>
      <c r="IH213" s="1007"/>
    </row>
    <row r="214" hidden="1" outlineLevel="1">
      <c r="A214" s="598"/>
      <c r="B214" s="598"/>
      <c r="C214" s="598"/>
      <c r="D214" s="598"/>
      <c r="E214" s="598"/>
      <c r="F214" s="598"/>
      <c r="G214" s="598"/>
      <c r="H214" s="598"/>
      <c r="I214" s="598"/>
      <c r="J214" s="598"/>
      <c r="K214" s="598"/>
      <c r="L214" s="598"/>
      <c r="M214" s="598"/>
      <c r="N214" s="598"/>
      <c r="O214" s="598"/>
      <c r="P214" s="598"/>
      <c r="Q214" s="598"/>
      <c r="R214" s="598"/>
      <c r="S214" s="598"/>
      <c r="T214" s="598"/>
      <c r="U214" s="598"/>
      <c r="V214" s="598"/>
      <c r="W214" s="598"/>
      <c r="X214" s="598"/>
      <c r="Y214" s="598"/>
      <c r="Z214" s="598"/>
      <c r="AA214" s="911"/>
      <c r="AB214" s="1006"/>
      <c r="AC214" s="1007"/>
      <c r="AD214" s="1008"/>
      <c r="AE214" s="1007"/>
      <c r="AF214" s="1007"/>
      <c r="AG214" s="1007"/>
      <c r="AH214" s="1007"/>
      <c r="AI214" s="1007"/>
      <c r="AJ214" s="1007"/>
      <c r="AK214" s="1007"/>
      <c r="AL214" s="1007"/>
      <c r="AM214" s="1007"/>
      <c r="AN214" s="1007"/>
      <c r="AO214" s="1007"/>
      <c r="AP214" s="1007"/>
      <c r="AQ214" s="1007"/>
      <c r="AR214" s="1007"/>
      <c r="AS214" s="1007"/>
      <c r="AT214" s="1007"/>
      <c r="AU214" s="1007"/>
      <c r="AV214" s="1007"/>
      <c r="AW214" s="1007"/>
      <c r="AX214" s="1007"/>
      <c r="AY214" s="1007"/>
      <c r="AZ214" s="1007"/>
      <c r="BA214" s="1007"/>
      <c r="BB214" s="1007"/>
      <c r="BC214" s="1007"/>
      <c r="BD214" s="1007"/>
      <c r="BE214" s="1007"/>
      <c r="BF214" s="1007"/>
      <c r="BG214" s="1007"/>
      <c r="BH214" s="1007"/>
      <c r="BI214" s="1007"/>
      <c r="BJ214" s="1007"/>
      <c r="BK214" s="1007"/>
      <c r="BL214" s="1007"/>
      <c r="BM214" s="1007"/>
      <c r="BN214" s="1007"/>
      <c r="BO214" s="1007"/>
      <c r="BP214" s="1007"/>
      <c r="BQ214" s="1007"/>
      <c r="BR214" s="1007"/>
      <c r="BS214" s="1007"/>
      <c r="BT214" s="1007"/>
      <c r="BU214" s="1007"/>
      <c r="BV214" s="1007"/>
      <c r="BW214" s="1007"/>
      <c r="BX214" s="1007"/>
      <c r="BY214" s="1007"/>
      <c r="BZ214" s="1007"/>
      <c r="CA214" s="1007"/>
      <c r="CB214" s="1007"/>
      <c r="CC214" s="1007"/>
      <c r="CD214" s="1007"/>
      <c r="CE214" s="1007"/>
      <c r="CF214" s="1007"/>
      <c r="CG214" s="1007"/>
      <c r="CH214" s="1007"/>
      <c r="CI214" s="1007"/>
      <c r="CJ214" s="1007"/>
      <c r="CK214" s="1007"/>
      <c r="CL214" s="1007"/>
      <c r="CM214" s="1007"/>
      <c r="CN214" s="1007"/>
      <c r="CO214" s="1007"/>
      <c r="CP214" s="1007"/>
      <c r="CQ214" s="1007"/>
      <c r="CR214" s="1007"/>
      <c r="CS214" s="1007"/>
      <c r="CT214" s="1007"/>
      <c r="CU214" s="1007"/>
      <c r="CV214" s="1007"/>
      <c r="CW214" s="1007"/>
      <c r="CX214" s="1007"/>
      <c r="CY214" s="1007"/>
      <c r="CZ214" s="1007"/>
      <c r="DA214" s="1007"/>
      <c r="DB214" s="1007"/>
      <c r="DC214" s="1007"/>
      <c r="DD214" s="1007"/>
      <c r="DE214" s="1007"/>
      <c r="DF214" s="1007"/>
      <c r="DG214" s="1007"/>
      <c r="DH214" s="1007"/>
      <c r="DI214" s="1007"/>
      <c r="DJ214" s="1007"/>
      <c r="DK214" s="1007"/>
      <c r="DL214" s="1007"/>
      <c r="DM214" s="1007"/>
      <c r="DN214" s="1007"/>
      <c r="DO214" s="1007"/>
      <c r="DP214" s="1007"/>
      <c r="DQ214" s="1007"/>
      <c r="DR214" s="1007"/>
      <c r="DS214" s="1007"/>
      <c r="DT214" s="1007"/>
      <c r="DU214" s="1007"/>
      <c r="DV214" s="1007"/>
      <c r="DW214" s="1007"/>
      <c r="DX214" s="1007"/>
      <c r="DY214" s="1007"/>
      <c r="DZ214" s="1007"/>
      <c r="EA214" s="1007"/>
      <c r="EB214" s="1007"/>
      <c r="EC214" s="1007"/>
      <c r="ED214" s="1007"/>
      <c r="EE214" s="1007"/>
      <c r="EF214" s="1007"/>
      <c r="EG214" s="1007"/>
      <c r="EH214" s="1007"/>
      <c r="EI214" s="1007"/>
      <c r="EJ214" s="1007"/>
      <c r="EK214" s="1007"/>
      <c r="EL214" s="1007"/>
      <c r="EM214" s="1007"/>
      <c r="EN214" s="1007"/>
      <c r="EO214" s="1007"/>
      <c r="EP214" s="1007"/>
      <c r="EQ214" s="1007"/>
      <c r="ER214" s="1007"/>
      <c r="ES214" s="1007"/>
      <c r="ET214" s="1007"/>
      <c r="EU214" s="1007"/>
      <c r="EV214" s="1007"/>
      <c r="EW214" s="1007"/>
      <c r="EX214" s="1007"/>
      <c r="EY214" s="1007"/>
      <c r="EZ214" s="1007"/>
      <c r="FA214" s="1007"/>
      <c r="FB214" s="1007"/>
      <c r="FC214" s="1007"/>
      <c r="FD214" s="1007"/>
      <c r="FE214" s="1007"/>
      <c r="FF214" s="1007"/>
      <c r="FG214" s="1007"/>
      <c r="FH214" s="1007"/>
      <c r="FI214" s="1007"/>
      <c r="FJ214" s="1007"/>
      <c r="FK214" s="1007"/>
      <c r="FL214" s="1007"/>
      <c r="FM214" s="1007"/>
      <c r="FN214" s="1007"/>
      <c r="FO214" s="1007"/>
      <c r="FP214" s="1007"/>
      <c r="FQ214" s="1007"/>
      <c r="FR214" s="1007"/>
      <c r="FS214" s="1007"/>
      <c r="FT214" s="1007"/>
      <c r="FU214" s="1007"/>
      <c r="FV214" s="1007"/>
      <c r="FW214" s="1007"/>
      <c r="FX214" s="1007"/>
      <c r="FY214" s="1007"/>
      <c r="FZ214" s="1007"/>
      <c r="GA214" s="1007"/>
      <c r="GB214" s="1007"/>
      <c r="GC214" s="1007"/>
      <c r="GD214" s="1007"/>
      <c r="GE214" s="1007"/>
      <c r="GF214" s="1007"/>
      <c r="GG214" s="1007"/>
      <c r="GH214" s="1007"/>
      <c r="GI214" s="1007"/>
      <c r="GJ214" s="1007"/>
      <c r="GK214" s="1007"/>
      <c r="GL214" s="1007"/>
      <c r="GM214" s="1007"/>
      <c r="GN214" s="1007"/>
      <c r="GO214" s="1007"/>
      <c r="GP214" s="1007"/>
      <c r="GQ214" s="1007"/>
      <c r="GR214" s="1007"/>
      <c r="GS214" s="1007"/>
      <c r="GT214" s="1007"/>
      <c r="GU214" s="1007"/>
      <c r="GV214" s="1007"/>
      <c r="GW214" s="1007"/>
      <c r="GX214" s="1007"/>
      <c r="GY214" s="1007"/>
      <c r="GZ214" s="1007"/>
      <c r="HA214" s="1007"/>
      <c r="HB214" s="1007"/>
      <c r="HC214" s="1007"/>
      <c r="HD214" s="1007"/>
      <c r="HE214" s="1007"/>
      <c r="HF214" s="1007"/>
      <c r="HG214" s="1007"/>
      <c r="HH214" s="1007"/>
      <c r="HI214" s="1007"/>
      <c r="HJ214" s="1007"/>
      <c r="HK214" s="1007"/>
      <c r="HL214" s="1007"/>
      <c r="HM214" s="1007"/>
      <c r="HN214" s="1007"/>
      <c r="HO214" s="1007"/>
      <c r="HP214" s="1007"/>
      <c r="HQ214" s="1007"/>
      <c r="HR214" s="1007"/>
      <c r="HS214" s="1007"/>
      <c r="HT214" s="1007"/>
      <c r="HU214" s="1007"/>
      <c r="HV214" s="1007"/>
      <c r="HW214" s="1007"/>
      <c r="HX214" s="1007"/>
      <c r="HY214" s="1007"/>
      <c r="HZ214" s="1007"/>
      <c r="IA214" s="1007"/>
      <c r="IB214" s="1007"/>
      <c r="IC214" s="1007"/>
      <c r="ID214" s="1007"/>
      <c r="IE214" s="1007"/>
      <c r="IF214" s="1007"/>
      <c r="IG214" s="1007"/>
      <c r="IH214" s="1007"/>
    </row>
    <row r="215" hidden="1" outlineLevel="1">
      <c r="A215" s="598"/>
      <c r="B215" s="598"/>
      <c r="C215" s="598"/>
      <c r="D215" s="598"/>
      <c r="E215" s="598"/>
      <c r="F215" s="598"/>
      <c r="G215" s="598"/>
      <c r="H215" s="598"/>
      <c r="I215" s="598"/>
      <c r="J215" s="598"/>
      <c r="K215" s="598"/>
      <c r="L215" s="598"/>
      <c r="M215" s="598"/>
      <c r="N215" s="598"/>
      <c r="O215" s="598"/>
      <c r="P215" s="598"/>
      <c r="Q215" s="598"/>
      <c r="R215" s="598"/>
      <c r="S215" s="598"/>
      <c r="T215" s="598"/>
      <c r="U215" s="598"/>
      <c r="V215" s="598"/>
      <c r="W215" s="598"/>
      <c r="X215" s="598"/>
      <c r="Y215" s="598"/>
      <c r="Z215" s="598"/>
      <c r="AA215" s="911"/>
      <c r="AB215" s="1006"/>
      <c r="AC215" s="1007"/>
      <c r="AD215" s="1008"/>
      <c r="AE215" s="1007"/>
      <c r="AF215" s="1007"/>
      <c r="AG215" s="1007"/>
      <c r="AH215" s="1007"/>
      <c r="AI215" s="1007"/>
      <c r="AJ215" s="1007"/>
      <c r="AK215" s="1007"/>
      <c r="AL215" s="1007"/>
      <c r="AM215" s="1007"/>
      <c r="AN215" s="1007"/>
      <c r="AO215" s="1007"/>
      <c r="AP215" s="1007"/>
      <c r="AQ215" s="1007"/>
      <c r="AR215" s="1007"/>
      <c r="AS215" s="1007"/>
      <c r="AT215" s="1007"/>
      <c r="AU215" s="1007"/>
      <c r="AV215" s="1007"/>
      <c r="AW215" s="1007"/>
      <c r="AX215" s="1007"/>
      <c r="AY215" s="1007"/>
      <c r="AZ215" s="1007"/>
      <c r="BA215" s="1007"/>
      <c r="BB215" s="1007"/>
      <c r="BC215" s="1007"/>
      <c r="BD215" s="1007"/>
      <c r="BE215" s="1007"/>
      <c r="BF215" s="1007"/>
      <c r="BG215" s="1007"/>
      <c r="BH215" s="1007"/>
      <c r="BI215" s="1007"/>
      <c r="BJ215" s="1007"/>
      <c r="BK215" s="1007"/>
      <c r="BL215" s="1007"/>
      <c r="BM215" s="1007"/>
      <c r="BN215" s="1007"/>
      <c r="BO215" s="1007"/>
      <c r="BP215" s="1007"/>
      <c r="BQ215" s="1007"/>
      <c r="BR215" s="1007"/>
      <c r="BS215" s="1007"/>
      <c r="BT215" s="1007"/>
      <c r="BU215" s="1007"/>
      <c r="BV215" s="1007"/>
      <c r="BW215" s="1007"/>
      <c r="BX215" s="1007"/>
      <c r="BY215" s="1007"/>
      <c r="BZ215" s="1007"/>
      <c r="CA215" s="1007"/>
      <c r="CB215" s="1007"/>
      <c r="CC215" s="1007"/>
      <c r="CD215" s="1007"/>
      <c r="CE215" s="1007"/>
      <c r="CF215" s="1007"/>
      <c r="CG215" s="1007"/>
      <c r="CH215" s="1007"/>
      <c r="CI215" s="1007"/>
      <c r="CJ215" s="1007"/>
      <c r="CK215" s="1007"/>
      <c r="CL215" s="1007"/>
      <c r="CM215" s="1007"/>
      <c r="CN215" s="1007"/>
      <c r="CO215" s="1007"/>
      <c r="CP215" s="1007"/>
      <c r="CQ215" s="1007"/>
      <c r="CR215" s="1007"/>
      <c r="CS215" s="1007"/>
      <c r="CT215" s="1007"/>
      <c r="CU215" s="1007"/>
      <c r="CV215" s="1007"/>
      <c r="CW215" s="1007"/>
      <c r="CX215" s="1007"/>
      <c r="CY215" s="1007"/>
      <c r="CZ215" s="1007"/>
      <c r="DA215" s="1007"/>
      <c r="DB215" s="1007"/>
      <c r="DC215" s="1007"/>
      <c r="DD215" s="1007"/>
      <c r="DE215" s="1007"/>
      <c r="DF215" s="1007"/>
      <c r="DG215" s="1007"/>
      <c r="DH215" s="1007"/>
      <c r="DI215" s="1007"/>
      <c r="DJ215" s="1007"/>
      <c r="DK215" s="1007"/>
      <c r="DL215" s="1007"/>
      <c r="DM215" s="1007"/>
      <c r="DN215" s="1007"/>
      <c r="DO215" s="1007"/>
      <c r="DP215" s="1007"/>
      <c r="DQ215" s="1007"/>
      <c r="DR215" s="1007"/>
      <c r="DS215" s="1007"/>
      <c r="DT215" s="1007"/>
      <c r="DU215" s="1007"/>
      <c r="DV215" s="1007"/>
      <c r="DW215" s="1007"/>
      <c r="DX215" s="1007"/>
      <c r="DY215" s="1007"/>
      <c r="DZ215" s="1007"/>
      <c r="EA215" s="1007"/>
      <c r="EB215" s="1007"/>
      <c r="EC215" s="1007"/>
      <c r="ED215" s="1007"/>
      <c r="EE215" s="1007"/>
      <c r="EF215" s="1007"/>
      <c r="EG215" s="1007"/>
      <c r="EH215" s="1007"/>
      <c r="EI215" s="1007"/>
      <c r="EJ215" s="1007"/>
      <c r="EK215" s="1007"/>
      <c r="EL215" s="1007"/>
      <c r="EM215" s="1007"/>
      <c r="EN215" s="1007"/>
      <c r="EO215" s="1007"/>
      <c r="EP215" s="1007"/>
      <c r="EQ215" s="1007"/>
      <c r="ER215" s="1007"/>
      <c r="ES215" s="1007"/>
      <c r="ET215" s="1007"/>
      <c r="EU215" s="1007"/>
      <c r="EV215" s="1007"/>
      <c r="EW215" s="1007"/>
      <c r="EX215" s="1007"/>
      <c r="EY215" s="1007"/>
      <c r="EZ215" s="1007"/>
      <c r="FA215" s="1007"/>
      <c r="FB215" s="1007"/>
      <c r="FC215" s="1007"/>
      <c r="FD215" s="1007"/>
      <c r="FE215" s="1007"/>
      <c r="FF215" s="1007"/>
      <c r="FG215" s="1007"/>
      <c r="FH215" s="1007"/>
      <c r="FI215" s="1007"/>
      <c r="FJ215" s="1007"/>
      <c r="FK215" s="1007"/>
      <c r="FL215" s="1007"/>
      <c r="FM215" s="1007"/>
      <c r="FN215" s="1007"/>
      <c r="FO215" s="1007"/>
      <c r="FP215" s="1007"/>
      <c r="FQ215" s="1007"/>
      <c r="FR215" s="1007"/>
      <c r="FS215" s="1007"/>
      <c r="FT215" s="1007"/>
      <c r="FU215" s="1007"/>
      <c r="FV215" s="1007"/>
      <c r="FW215" s="1007"/>
      <c r="FX215" s="1007"/>
      <c r="FY215" s="1007"/>
      <c r="FZ215" s="1007"/>
      <c r="GA215" s="1007"/>
      <c r="GB215" s="1007"/>
      <c r="GC215" s="1007"/>
      <c r="GD215" s="1007"/>
      <c r="GE215" s="1007"/>
      <c r="GF215" s="1007"/>
      <c r="GG215" s="1007"/>
      <c r="GH215" s="1007"/>
      <c r="GI215" s="1007"/>
      <c r="GJ215" s="1007"/>
      <c r="GK215" s="1007"/>
      <c r="GL215" s="1007"/>
      <c r="GM215" s="1007"/>
      <c r="GN215" s="1007"/>
      <c r="GO215" s="1007"/>
      <c r="GP215" s="1007"/>
      <c r="GQ215" s="1007"/>
      <c r="GR215" s="1007"/>
      <c r="GS215" s="1007"/>
      <c r="GT215" s="1007"/>
      <c r="GU215" s="1007"/>
      <c r="GV215" s="1007"/>
      <c r="GW215" s="1007"/>
      <c r="GX215" s="1007"/>
      <c r="GY215" s="1007"/>
      <c r="GZ215" s="1007"/>
      <c r="HA215" s="1007"/>
      <c r="HB215" s="1007"/>
      <c r="HC215" s="1007"/>
      <c r="HD215" s="1007"/>
      <c r="HE215" s="1007"/>
      <c r="HF215" s="1007"/>
      <c r="HG215" s="1007"/>
      <c r="HH215" s="1007"/>
      <c r="HI215" s="1007"/>
      <c r="HJ215" s="1007"/>
      <c r="HK215" s="1007"/>
      <c r="HL215" s="1007"/>
      <c r="HM215" s="1007"/>
      <c r="HN215" s="1007"/>
      <c r="HO215" s="1007"/>
      <c r="HP215" s="1007"/>
      <c r="HQ215" s="1007"/>
      <c r="HR215" s="1007"/>
      <c r="HS215" s="1007"/>
      <c r="HT215" s="1007"/>
      <c r="HU215" s="1007"/>
      <c r="HV215" s="1007"/>
      <c r="HW215" s="1007"/>
      <c r="HX215" s="1007"/>
      <c r="HY215" s="1007"/>
      <c r="HZ215" s="1007"/>
      <c r="IA215" s="1007"/>
      <c r="IB215" s="1007"/>
      <c r="IC215" s="1007"/>
      <c r="ID215" s="1007"/>
      <c r="IE215" s="1007"/>
      <c r="IF215" s="1007"/>
      <c r="IG215" s="1007"/>
      <c r="IH215" s="1007"/>
    </row>
    <row r="216" hidden="1" outlineLevel="1">
      <c r="A216" s="598"/>
      <c r="B216" s="598"/>
      <c r="C216" s="598"/>
      <c r="D216" s="598"/>
      <c r="E216" s="598"/>
      <c r="F216" s="598"/>
      <c r="G216" s="598"/>
      <c r="H216" s="598"/>
      <c r="I216" s="598"/>
      <c r="J216" s="598"/>
      <c r="K216" s="598"/>
      <c r="L216" s="598"/>
      <c r="M216" s="598"/>
      <c r="N216" s="598"/>
      <c r="O216" s="598"/>
      <c r="P216" s="598"/>
      <c r="Q216" s="598"/>
      <c r="R216" s="598"/>
      <c r="S216" s="598"/>
      <c r="T216" s="598"/>
      <c r="U216" s="598"/>
      <c r="V216" s="598"/>
      <c r="W216" s="598"/>
      <c r="X216" s="598"/>
      <c r="Y216" s="598"/>
      <c r="Z216" s="598"/>
      <c r="AA216" s="911"/>
      <c r="AB216" s="1006"/>
      <c r="AC216" s="1007"/>
      <c r="AD216" s="1008"/>
      <c r="AE216" s="1007"/>
      <c r="AF216" s="1007"/>
      <c r="AG216" s="1007"/>
      <c r="AH216" s="1007"/>
      <c r="AI216" s="1007"/>
      <c r="AJ216" s="1007"/>
      <c r="AK216" s="1007"/>
      <c r="AL216" s="1007"/>
      <c r="AM216" s="1007"/>
      <c r="AN216" s="1007"/>
      <c r="AO216" s="1007"/>
      <c r="AP216" s="1007"/>
      <c r="AQ216" s="1007"/>
      <c r="AR216" s="1007"/>
      <c r="AS216" s="1007"/>
      <c r="AT216" s="1007"/>
      <c r="AU216" s="1007"/>
      <c r="AV216" s="1007"/>
      <c r="AW216" s="1007"/>
      <c r="AX216" s="1007"/>
      <c r="AY216" s="1007"/>
      <c r="AZ216" s="1007"/>
      <c r="BA216" s="1007"/>
      <c r="BB216" s="1007"/>
      <c r="BC216" s="1007"/>
      <c r="BD216" s="1007"/>
      <c r="BE216" s="1007"/>
      <c r="BF216" s="1007"/>
      <c r="BG216" s="1007"/>
      <c r="BH216" s="1007"/>
      <c r="BI216" s="1007"/>
      <c r="BJ216" s="1007"/>
      <c r="BK216" s="1007"/>
      <c r="BL216" s="1007"/>
      <c r="BM216" s="1007"/>
      <c r="BN216" s="1007"/>
      <c r="BO216" s="1007"/>
      <c r="BP216" s="1007"/>
      <c r="BQ216" s="1007"/>
      <c r="BR216" s="1007"/>
      <c r="BS216" s="1007"/>
      <c r="BT216" s="1007"/>
      <c r="BU216" s="1007"/>
      <c r="BV216" s="1007"/>
      <c r="BW216" s="1007"/>
      <c r="BX216" s="1007"/>
      <c r="BY216" s="1007"/>
      <c r="BZ216" s="1007"/>
      <c r="CA216" s="1007"/>
      <c r="CB216" s="1007"/>
      <c r="CC216" s="1007"/>
      <c r="CD216" s="1007"/>
      <c r="CE216" s="1007"/>
      <c r="CF216" s="1007"/>
      <c r="CG216" s="1007"/>
      <c r="CH216" s="1007"/>
      <c r="CI216" s="1007"/>
      <c r="CJ216" s="1007"/>
      <c r="CK216" s="1007"/>
      <c r="CL216" s="1007"/>
      <c r="CM216" s="1007"/>
      <c r="CN216" s="1007"/>
      <c r="CO216" s="1007"/>
      <c r="CP216" s="1007"/>
      <c r="CQ216" s="1007"/>
      <c r="CR216" s="1007"/>
      <c r="CS216" s="1007"/>
      <c r="CT216" s="1007"/>
      <c r="CU216" s="1007"/>
      <c r="CV216" s="1007"/>
      <c r="CW216" s="1007"/>
      <c r="CX216" s="1007"/>
      <c r="CY216" s="1007"/>
      <c r="CZ216" s="1007"/>
      <c r="DA216" s="1007"/>
      <c r="DB216" s="1007"/>
      <c r="DC216" s="1007"/>
      <c r="DD216" s="1007"/>
      <c r="DE216" s="1007"/>
      <c r="DF216" s="1007"/>
      <c r="DG216" s="1007"/>
      <c r="DH216" s="1007"/>
      <c r="DI216" s="1007"/>
      <c r="DJ216" s="1007"/>
      <c r="DK216" s="1007"/>
      <c r="DL216" s="1007"/>
      <c r="DM216" s="1007"/>
      <c r="DN216" s="1007"/>
      <c r="DO216" s="1007"/>
      <c r="DP216" s="1007"/>
      <c r="DQ216" s="1007"/>
      <c r="DR216" s="1007"/>
      <c r="DS216" s="1007"/>
      <c r="DT216" s="1007"/>
      <c r="DU216" s="1007"/>
      <c r="DV216" s="1007"/>
      <c r="DW216" s="1007"/>
      <c r="DX216" s="1007"/>
      <c r="DY216" s="1007"/>
      <c r="DZ216" s="1007"/>
      <c r="EA216" s="1007"/>
      <c r="EB216" s="1007"/>
      <c r="EC216" s="1007"/>
      <c r="ED216" s="1007"/>
      <c r="EE216" s="1007"/>
      <c r="EF216" s="1007"/>
      <c r="EG216" s="1007"/>
      <c r="EH216" s="1007"/>
      <c r="EI216" s="1007"/>
      <c r="EJ216" s="1007"/>
      <c r="EK216" s="1007"/>
      <c r="EL216" s="1007"/>
      <c r="EM216" s="1007"/>
      <c r="EN216" s="1007"/>
      <c r="EO216" s="1007"/>
      <c r="EP216" s="1007"/>
      <c r="EQ216" s="1007"/>
      <c r="ER216" s="1007"/>
      <c r="ES216" s="1007"/>
      <c r="ET216" s="1007"/>
      <c r="EU216" s="1007"/>
      <c r="EV216" s="1007"/>
      <c r="EW216" s="1007"/>
      <c r="EX216" s="1007"/>
      <c r="EY216" s="1007"/>
      <c r="EZ216" s="1007"/>
      <c r="FA216" s="1007"/>
      <c r="FB216" s="1007"/>
      <c r="FC216" s="1007"/>
      <c r="FD216" s="1007"/>
      <c r="FE216" s="1007"/>
      <c r="FF216" s="1007"/>
      <c r="FG216" s="1007"/>
      <c r="FH216" s="1007"/>
      <c r="FI216" s="1007"/>
      <c r="FJ216" s="1007"/>
      <c r="FK216" s="1007"/>
      <c r="FL216" s="1007"/>
      <c r="FM216" s="1007"/>
      <c r="FN216" s="1007"/>
      <c r="FO216" s="1007"/>
      <c r="FP216" s="1007"/>
      <c r="FQ216" s="1007"/>
      <c r="FR216" s="1007"/>
      <c r="FS216" s="1007"/>
      <c r="FT216" s="1007"/>
      <c r="FU216" s="1007"/>
      <c r="FV216" s="1007"/>
      <c r="FW216" s="1007"/>
      <c r="FX216" s="1007"/>
      <c r="FY216" s="1007"/>
      <c r="FZ216" s="1007"/>
      <c r="GA216" s="1007"/>
      <c r="GB216" s="1007"/>
      <c r="GC216" s="1007"/>
      <c r="GD216" s="1007"/>
      <c r="GE216" s="1007"/>
      <c r="GF216" s="1007"/>
      <c r="GG216" s="1007"/>
      <c r="GH216" s="1007"/>
      <c r="GI216" s="1007"/>
      <c r="GJ216" s="1007"/>
      <c r="GK216" s="1007"/>
      <c r="GL216" s="1007"/>
      <c r="GM216" s="1007"/>
      <c r="GN216" s="1007"/>
      <c r="GO216" s="1007"/>
      <c r="GP216" s="1007"/>
      <c r="GQ216" s="1007"/>
      <c r="GR216" s="1007"/>
      <c r="GS216" s="1007"/>
      <c r="GT216" s="1007"/>
      <c r="GU216" s="1007"/>
      <c r="GV216" s="1007"/>
      <c r="GW216" s="1007"/>
      <c r="GX216" s="1007"/>
      <c r="GY216" s="1007"/>
      <c r="GZ216" s="1007"/>
      <c r="HA216" s="1007"/>
      <c r="HB216" s="1007"/>
      <c r="HC216" s="1007"/>
      <c r="HD216" s="1007"/>
      <c r="HE216" s="1007"/>
      <c r="HF216" s="1007"/>
      <c r="HG216" s="1007"/>
      <c r="HH216" s="1007"/>
      <c r="HI216" s="1007"/>
      <c r="HJ216" s="1007"/>
      <c r="HK216" s="1007"/>
      <c r="HL216" s="1007"/>
      <c r="HM216" s="1007"/>
      <c r="HN216" s="1007"/>
      <c r="HO216" s="1007"/>
      <c r="HP216" s="1007"/>
      <c r="HQ216" s="1007"/>
      <c r="HR216" s="1007"/>
      <c r="HS216" s="1007"/>
      <c r="HT216" s="1007"/>
      <c r="HU216" s="1007"/>
      <c r="HV216" s="1007"/>
      <c r="HW216" s="1007"/>
      <c r="HX216" s="1007"/>
      <c r="HY216" s="1007"/>
      <c r="HZ216" s="1007"/>
      <c r="IA216" s="1007"/>
      <c r="IB216" s="1007"/>
      <c r="IC216" s="1007"/>
      <c r="ID216" s="1007"/>
      <c r="IE216" s="1007"/>
      <c r="IF216" s="1007"/>
      <c r="IG216" s="1007"/>
      <c r="IH216" s="1007"/>
    </row>
    <row r="217" hidden="1" outlineLevel="1">
      <c r="A217" s="598"/>
      <c r="B217" s="598"/>
      <c r="C217" s="598"/>
      <c r="D217" s="598"/>
      <c r="E217" s="598"/>
      <c r="F217" s="598"/>
      <c r="G217" s="598"/>
      <c r="H217" s="598"/>
      <c r="I217" s="598"/>
      <c r="J217" s="598"/>
      <c r="K217" s="598"/>
      <c r="L217" s="598"/>
      <c r="M217" s="598"/>
      <c r="N217" s="598"/>
      <c r="O217" s="598"/>
      <c r="P217" s="598"/>
      <c r="Q217" s="598"/>
      <c r="R217" s="598"/>
      <c r="S217" s="598"/>
      <c r="T217" s="598"/>
      <c r="U217" s="598"/>
      <c r="V217" s="598"/>
      <c r="W217" s="598"/>
      <c r="X217" s="598"/>
      <c r="Y217" s="598"/>
      <c r="Z217" s="598"/>
      <c r="AA217" s="911"/>
      <c r="AB217" s="1006"/>
      <c r="AC217" s="1007"/>
      <c r="AD217" s="1008"/>
      <c r="AE217" s="1007"/>
      <c r="AF217" s="1007"/>
      <c r="AG217" s="1007"/>
      <c r="AH217" s="1007"/>
      <c r="AI217" s="1007"/>
      <c r="AJ217" s="1007"/>
      <c r="AK217" s="1007"/>
      <c r="AL217" s="1007"/>
      <c r="AM217" s="1007"/>
      <c r="AN217" s="1007"/>
      <c r="AO217" s="1007"/>
      <c r="AP217" s="1007"/>
      <c r="AQ217" s="1007"/>
      <c r="AR217" s="1007"/>
      <c r="AS217" s="1007"/>
      <c r="AT217" s="1007"/>
      <c r="AU217" s="1007"/>
      <c r="AV217" s="1007"/>
      <c r="AW217" s="1007"/>
      <c r="AX217" s="1007"/>
      <c r="AY217" s="1007"/>
      <c r="AZ217" s="1007"/>
      <c r="BA217" s="1007"/>
      <c r="BB217" s="1007"/>
      <c r="BC217" s="1007"/>
      <c r="BD217" s="1007"/>
      <c r="BE217" s="1007"/>
      <c r="BF217" s="1007"/>
      <c r="BG217" s="1007"/>
      <c r="BH217" s="1007"/>
      <c r="BI217" s="1007"/>
      <c r="BJ217" s="1007"/>
      <c r="BK217" s="1007"/>
      <c r="BL217" s="1007"/>
      <c r="BM217" s="1007"/>
      <c r="BN217" s="1007"/>
      <c r="BO217" s="1007"/>
      <c r="BP217" s="1007"/>
      <c r="BQ217" s="1007"/>
      <c r="BR217" s="1007"/>
      <c r="BS217" s="1007"/>
      <c r="BT217" s="1007"/>
      <c r="BU217" s="1007"/>
      <c r="BV217" s="1007"/>
      <c r="BW217" s="1007"/>
      <c r="BX217" s="1007"/>
      <c r="BY217" s="1007"/>
      <c r="BZ217" s="1007"/>
      <c r="CA217" s="1007"/>
      <c r="CB217" s="1007"/>
      <c r="CC217" s="1007"/>
      <c r="CD217" s="1007"/>
      <c r="CE217" s="1007"/>
      <c r="CF217" s="1007"/>
      <c r="CG217" s="1007"/>
      <c r="CH217" s="1007"/>
      <c r="CI217" s="1007"/>
      <c r="CJ217" s="1007"/>
      <c r="CK217" s="1007"/>
      <c r="CL217" s="1007"/>
      <c r="CM217" s="1007"/>
      <c r="CN217" s="1007"/>
      <c r="CO217" s="1007"/>
      <c r="CP217" s="1007"/>
      <c r="CQ217" s="1007"/>
      <c r="CR217" s="1007"/>
      <c r="CS217" s="1007"/>
      <c r="CT217" s="1007"/>
      <c r="CU217" s="1007"/>
      <c r="CV217" s="1007"/>
      <c r="CW217" s="1007"/>
      <c r="CX217" s="1007"/>
      <c r="CY217" s="1007"/>
      <c r="CZ217" s="1007"/>
      <c r="DA217" s="1007"/>
      <c r="DB217" s="1007"/>
      <c r="DC217" s="1007"/>
      <c r="DD217" s="1007"/>
      <c r="DE217" s="1007"/>
      <c r="DF217" s="1007"/>
      <c r="DG217" s="1007"/>
      <c r="DH217" s="1007"/>
      <c r="DI217" s="1007"/>
      <c r="DJ217" s="1007"/>
      <c r="DK217" s="1007"/>
      <c r="DL217" s="1007"/>
      <c r="DM217" s="1007"/>
      <c r="DN217" s="1007"/>
      <c r="DO217" s="1007"/>
      <c r="DP217" s="1007"/>
      <c r="DQ217" s="1007"/>
      <c r="DR217" s="1007"/>
      <c r="DS217" s="1007"/>
      <c r="DT217" s="1007"/>
      <c r="DU217" s="1007"/>
      <c r="DV217" s="1007"/>
      <c r="DW217" s="1007"/>
      <c r="DX217" s="1007"/>
      <c r="DY217" s="1007"/>
      <c r="DZ217" s="1007"/>
      <c r="EA217" s="1007"/>
      <c r="EB217" s="1007"/>
      <c r="EC217" s="1007"/>
      <c r="ED217" s="1007"/>
      <c r="EE217" s="1007"/>
      <c r="EF217" s="1007"/>
      <c r="EG217" s="1007"/>
      <c r="EH217" s="1007"/>
      <c r="EI217" s="1007"/>
      <c r="EJ217" s="1007"/>
      <c r="EK217" s="1007"/>
      <c r="EL217" s="1007"/>
      <c r="EM217" s="1007"/>
      <c r="EN217" s="1007"/>
      <c r="EO217" s="1007"/>
      <c r="EP217" s="1007"/>
      <c r="EQ217" s="1007"/>
      <c r="ER217" s="1007"/>
      <c r="ES217" s="1007"/>
      <c r="ET217" s="1007"/>
      <c r="EU217" s="1007"/>
      <c r="EV217" s="1007"/>
      <c r="EW217" s="1007"/>
      <c r="EX217" s="1007"/>
      <c r="EY217" s="1007"/>
      <c r="EZ217" s="1007"/>
      <c r="FA217" s="1007"/>
      <c r="FB217" s="1007"/>
      <c r="FC217" s="1007"/>
      <c r="FD217" s="1007"/>
      <c r="FE217" s="1007"/>
      <c r="FF217" s="1007"/>
      <c r="FG217" s="1007"/>
      <c r="FH217" s="1007"/>
      <c r="FI217" s="1007"/>
      <c r="FJ217" s="1007"/>
      <c r="FK217" s="1007"/>
      <c r="FL217" s="1007"/>
      <c r="FM217" s="1007"/>
      <c r="FN217" s="1007"/>
      <c r="FO217" s="1007"/>
      <c r="FP217" s="1007"/>
      <c r="FQ217" s="1007"/>
      <c r="FR217" s="1007"/>
      <c r="FS217" s="1007"/>
      <c r="FT217" s="1007"/>
      <c r="FU217" s="1007"/>
      <c r="FV217" s="1007"/>
      <c r="FW217" s="1007"/>
      <c r="FX217" s="1007"/>
      <c r="FY217" s="1007"/>
      <c r="FZ217" s="1007"/>
      <c r="GA217" s="1007"/>
      <c r="GB217" s="1007"/>
      <c r="GC217" s="1007"/>
      <c r="GD217" s="1007"/>
      <c r="GE217" s="1007"/>
      <c r="GF217" s="1007"/>
      <c r="GG217" s="1007"/>
      <c r="GH217" s="1007"/>
      <c r="GI217" s="1007"/>
      <c r="GJ217" s="1007"/>
      <c r="GK217" s="1007"/>
      <c r="GL217" s="1007"/>
      <c r="GM217" s="1007"/>
      <c r="GN217" s="1007"/>
      <c r="GO217" s="1007"/>
      <c r="GP217" s="1007"/>
      <c r="GQ217" s="1007"/>
      <c r="GR217" s="1007"/>
      <c r="GS217" s="1007"/>
      <c r="GT217" s="1007"/>
      <c r="GU217" s="1007"/>
      <c r="GV217" s="1007"/>
      <c r="GW217" s="1007"/>
      <c r="GX217" s="1007"/>
      <c r="GY217" s="1007"/>
      <c r="GZ217" s="1007"/>
      <c r="HA217" s="1007"/>
      <c r="HB217" s="1007"/>
      <c r="HC217" s="1007"/>
      <c r="HD217" s="1007"/>
      <c r="HE217" s="1007"/>
      <c r="HF217" s="1007"/>
      <c r="HG217" s="1007"/>
      <c r="HH217" s="1007"/>
      <c r="HI217" s="1007"/>
      <c r="HJ217" s="1007"/>
      <c r="HK217" s="1007"/>
      <c r="HL217" s="1007"/>
      <c r="HM217" s="1007"/>
      <c r="HN217" s="1007"/>
      <c r="HO217" s="1007"/>
      <c r="HP217" s="1007"/>
      <c r="HQ217" s="1007"/>
      <c r="HR217" s="1007"/>
      <c r="HS217" s="1007"/>
      <c r="HT217" s="1007"/>
      <c r="HU217" s="1007"/>
      <c r="HV217" s="1007"/>
      <c r="HW217" s="1007"/>
      <c r="HX217" s="1007"/>
      <c r="HY217" s="1007"/>
      <c r="HZ217" s="1007"/>
      <c r="IA217" s="1007"/>
      <c r="IB217" s="1007"/>
      <c r="IC217" s="1007"/>
      <c r="ID217" s="1007"/>
      <c r="IE217" s="1007"/>
      <c r="IF217" s="1007"/>
      <c r="IG217" s="1007"/>
      <c r="IH217" s="1007"/>
    </row>
    <row r="218" hidden="1" outlineLevel="1">
      <c r="A218" s="598"/>
      <c r="B218" s="598"/>
      <c r="C218" s="598"/>
      <c r="D218" s="598"/>
      <c r="E218" s="598"/>
      <c r="F218" s="598"/>
      <c r="G218" s="598"/>
      <c r="H218" s="598"/>
      <c r="I218" s="598"/>
      <c r="J218" s="598"/>
      <c r="K218" s="598"/>
      <c r="L218" s="598"/>
      <c r="M218" s="598"/>
      <c r="N218" s="598"/>
      <c r="O218" s="598"/>
      <c r="P218" s="598"/>
      <c r="Q218" s="598"/>
      <c r="R218" s="598"/>
      <c r="S218" s="598"/>
      <c r="T218" s="598"/>
      <c r="U218" s="598"/>
      <c r="V218" s="598"/>
      <c r="W218" s="598"/>
      <c r="X218" s="598"/>
      <c r="Y218" s="598"/>
      <c r="Z218" s="598"/>
      <c r="AA218" s="911"/>
      <c r="AB218" s="1006"/>
      <c r="AC218" s="1007"/>
      <c r="AD218" s="1008"/>
      <c r="AE218" s="1007"/>
      <c r="AF218" s="1007"/>
      <c r="AG218" s="1007"/>
      <c r="AH218" s="1007"/>
      <c r="AI218" s="1007"/>
      <c r="AJ218" s="1007"/>
      <c r="AK218" s="1007"/>
      <c r="AL218" s="1007"/>
      <c r="AM218" s="1007"/>
      <c r="AN218" s="1007"/>
      <c r="AO218" s="1007"/>
      <c r="AP218" s="1007"/>
      <c r="AQ218" s="1007"/>
      <c r="AR218" s="1007"/>
      <c r="AS218" s="1007"/>
      <c r="AT218" s="1007"/>
      <c r="AU218" s="1007"/>
      <c r="AV218" s="1007"/>
      <c r="AW218" s="1007"/>
      <c r="AX218" s="1007"/>
      <c r="AY218" s="1007"/>
      <c r="AZ218" s="1007"/>
      <c r="BA218" s="1007"/>
      <c r="BB218" s="1007"/>
      <c r="BC218" s="1007"/>
      <c r="BD218" s="1007"/>
      <c r="BE218" s="1007"/>
      <c r="BF218" s="1007"/>
      <c r="BG218" s="1007"/>
      <c r="BH218" s="1007"/>
      <c r="BI218" s="1007"/>
      <c r="BJ218" s="1007"/>
      <c r="BK218" s="1007"/>
      <c r="BL218" s="1007"/>
      <c r="BM218" s="1007"/>
      <c r="BN218" s="1007"/>
      <c r="BO218" s="1007"/>
      <c r="BP218" s="1007"/>
      <c r="BQ218" s="1007"/>
      <c r="BR218" s="1007"/>
      <c r="BS218" s="1007"/>
      <c r="BT218" s="1007"/>
      <c r="BU218" s="1007"/>
      <c r="BV218" s="1007"/>
      <c r="BW218" s="1007"/>
      <c r="BX218" s="1007"/>
      <c r="BY218" s="1007"/>
      <c r="BZ218" s="1007"/>
      <c r="CA218" s="1007"/>
      <c r="CB218" s="1007"/>
      <c r="CC218" s="1007"/>
      <c r="CD218" s="1007"/>
      <c r="CE218" s="1007"/>
      <c r="CF218" s="1007"/>
      <c r="CG218" s="1007"/>
      <c r="CH218" s="1007"/>
      <c r="CI218" s="1007"/>
      <c r="CJ218" s="1007"/>
      <c r="CK218" s="1007"/>
      <c r="CL218" s="1007"/>
      <c r="CM218" s="1007"/>
      <c r="CN218" s="1007"/>
      <c r="CO218" s="1007"/>
      <c r="CP218" s="1007"/>
      <c r="CQ218" s="1007"/>
      <c r="CR218" s="1007"/>
      <c r="CS218" s="1007"/>
      <c r="CT218" s="1007"/>
      <c r="CU218" s="1007"/>
      <c r="CV218" s="1007"/>
      <c r="CW218" s="1007"/>
      <c r="CX218" s="1007"/>
      <c r="CY218" s="1007"/>
      <c r="CZ218" s="1007"/>
      <c r="DA218" s="1007"/>
      <c r="DB218" s="1007"/>
      <c r="DC218" s="1007"/>
      <c r="DD218" s="1007"/>
      <c r="DE218" s="1007"/>
      <c r="DF218" s="1007"/>
      <c r="DG218" s="1007"/>
      <c r="DH218" s="1007"/>
      <c r="DI218" s="1007"/>
      <c r="DJ218" s="1007"/>
      <c r="DK218" s="1007"/>
      <c r="DL218" s="1007"/>
      <c r="DM218" s="1007"/>
      <c r="DN218" s="1007"/>
      <c r="DO218" s="1007"/>
      <c r="DP218" s="1007"/>
      <c r="DQ218" s="1007"/>
      <c r="DR218" s="1007"/>
      <c r="DS218" s="1007"/>
      <c r="DT218" s="1007"/>
      <c r="DU218" s="1007"/>
      <c r="DV218" s="1007"/>
      <c r="DW218" s="1007"/>
      <c r="DX218" s="1007"/>
      <c r="DY218" s="1007"/>
      <c r="DZ218" s="1007"/>
      <c r="EA218" s="1007"/>
      <c r="EB218" s="1007"/>
      <c r="EC218" s="1007"/>
      <c r="ED218" s="1007"/>
      <c r="EE218" s="1007"/>
      <c r="EF218" s="1007"/>
      <c r="EG218" s="1007"/>
      <c r="EH218" s="1007"/>
      <c r="EI218" s="1007"/>
      <c r="EJ218" s="1007"/>
      <c r="EK218" s="1007"/>
      <c r="EL218" s="1007"/>
      <c r="EM218" s="1007"/>
      <c r="EN218" s="1007"/>
      <c r="EO218" s="1007"/>
      <c r="EP218" s="1007"/>
      <c r="EQ218" s="1007"/>
      <c r="ER218" s="1007"/>
      <c r="ES218" s="1007"/>
      <c r="ET218" s="1007"/>
      <c r="EU218" s="1007"/>
      <c r="EV218" s="1007"/>
      <c r="EW218" s="1007"/>
      <c r="EX218" s="1007"/>
      <c r="EY218" s="1007"/>
      <c r="EZ218" s="1007"/>
      <c r="FA218" s="1007"/>
      <c r="FB218" s="1007"/>
      <c r="FC218" s="1007"/>
      <c r="FD218" s="1007"/>
      <c r="FE218" s="1007"/>
      <c r="FF218" s="1007"/>
      <c r="FG218" s="1007"/>
      <c r="FH218" s="1007"/>
      <c r="FI218" s="1007"/>
      <c r="FJ218" s="1007"/>
      <c r="FK218" s="1007"/>
      <c r="FL218" s="1007"/>
      <c r="FM218" s="1007"/>
      <c r="FN218" s="1007"/>
      <c r="FO218" s="1007"/>
      <c r="FP218" s="1007"/>
      <c r="FQ218" s="1007"/>
      <c r="FR218" s="1007"/>
      <c r="FS218" s="1007"/>
      <c r="FT218" s="1007"/>
      <c r="FU218" s="1007"/>
      <c r="FV218" s="1007"/>
      <c r="FW218" s="1007"/>
      <c r="FX218" s="1007"/>
      <c r="FY218" s="1007"/>
      <c r="FZ218" s="1007"/>
      <c r="GA218" s="1007"/>
      <c r="GB218" s="1007"/>
      <c r="GC218" s="1007"/>
      <c r="GD218" s="1007"/>
      <c r="GE218" s="1007"/>
      <c r="GF218" s="1007"/>
      <c r="GG218" s="1007"/>
      <c r="GH218" s="1007"/>
      <c r="GI218" s="1007"/>
      <c r="GJ218" s="1007"/>
      <c r="GK218" s="1007"/>
      <c r="GL218" s="1007"/>
      <c r="GM218" s="1007"/>
      <c r="GN218" s="1007"/>
      <c r="GO218" s="1007"/>
      <c r="GP218" s="1007"/>
      <c r="GQ218" s="1007"/>
      <c r="GR218" s="1007"/>
      <c r="GS218" s="1007"/>
      <c r="GT218" s="1007"/>
      <c r="GU218" s="1007"/>
      <c r="GV218" s="1007"/>
      <c r="GW218" s="1007"/>
      <c r="GX218" s="1007"/>
      <c r="GY218" s="1007"/>
      <c r="GZ218" s="1007"/>
      <c r="HA218" s="1007"/>
      <c r="HB218" s="1007"/>
      <c r="HC218" s="1007"/>
      <c r="HD218" s="1007"/>
      <c r="HE218" s="1007"/>
      <c r="HF218" s="1007"/>
      <c r="HG218" s="1007"/>
      <c r="HH218" s="1007"/>
      <c r="HI218" s="1007"/>
      <c r="HJ218" s="1007"/>
      <c r="HK218" s="1007"/>
      <c r="HL218" s="1007"/>
      <c r="HM218" s="1007"/>
      <c r="HN218" s="1007"/>
      <c r="HO218" s="1007"/>
      <c r="HP218" s="1007"/>
      <c r="HQ218" s="1007"/>
      <c r="HR218" s="1007"/>
      <c r="HS218" s="1007"/>
      <c r="HT218" s="1007"/>
      <c r="HU218" s="1007"/>
      <c r="HV218" s="1007"/>
      <c r="HW218" s="1007"/>
      <c r="HX218" s="1007"/>
      <c r="HY218" s="1007"/>
      <c r="HZ218" s="1007"/>
      <c r="IA218" s="1007"/>
      <c r="IB218" s="1007"/>
      <c r="IC218" s="1007"/>
      <c r="ID218" s="1007"/>
      <c r="IE218" s="1007"/>
      <c r="IF218" s="1007"/>
      <c r="IG218" s="1007"/>
      <c r="IH218" s="1007"/>
    </row>
    <row r="219" hidden="1" outlineLevel="1">
      <c r="A219" s="598"/>
      <c r="B219" s="598"/>
      <c r="C219" s="598"/>
      <c r="D219" s="598"/>
      <c r="E219" s="598"/>
      <c r="F219" s="598"/>
      <c r="G219" s="598"/>
      <c r="H219" s="598"/>
      <c r="I219" s="598"/>
      <c r="J219" s="598"/>
      <c r="K219" s="598"/>
      <c r="L219" s="598"/>
      <c r="M219" s="598"/>
      <c r="N219" s="598"/>
      <c r="O219" s="598"/>
      <c r="P219" s="598"/>
      <c r="Q219" s="598"/>
      <c r="R219" s="598"/>
      <c r="S219" s="598"/>
      <c r="T219" s="598"/>
      <c r="U219" s="598"/>
      <c r="V219" s="598"/>
      <c r="W219" s="598"/>
      <c r="X219" s="598"/>
      <c r="Y219" s="598"/>
      <c r="Z219" s="598"/>
      <c r="AA219" s="911"/>
      <c r="AB219" s="1006"/>
      <c r="AC219" s="1007"/>
      <c r="AD219" s="1008"/>
      <c r="AE219" s="1007"/>
      <c r="AF219" s="1007"/>
      <c r="AG219" s="1007"/>
      <c r="AH219" s="1007"/>
      <c r="AI219" s="1007"/>
      <c r="AJ219" s="1007"/>
      <c r="AK219" s="1007"/>
      <c r="AL219" s="1007"/>
      <c r="AM219" s="1007"/>
      <c r="AN219" s="1007"/>
      <c r="AO219" s="1007"/>
      <c r="AP219" s="1007"/>
      <c r="AQ219" s="1007"/>
      <c r="AR219" s="1007"/>
      <c r="AS219" s="1007"/>
      <c r="AT219" s="1007"/>
      <c r="AU219" s="1007"/>
      <c r="AV219" s="1007"/>
      <c r="AW219" s="1007"/>
      <c r="AX219" s="1007"/>
      <c r="AY219" s="1007"/>
      <c r="AZ219" s="1007"/>
      <c r="BA219" s="1007"/>
      <c r="BB219" s="1007"/>
      <c r="BC219" s="1007"/>
      <c r="BD219" s="1007"/>
      <c r="BE219" s="1007"/>
      <c r="BF219" s="1007"/>
      <c r="BG219" s="1007"/>
      <c r="BH219" s="1007"/>
      <c r="BI219" s="1007"/>
      <c r="BJ219" s="1007"/>
      <c r="BK219" s="1007"/>
      <c r="BL219" s="1007"/>
      <c r="BM219" s="1007"/>
      <c r="BN219" s="1007"/>
      <c r="BO219" s="1007"/>
      <c r="BP219" s="1007"/>
      <c r="BQ219" s="1007"/>
      <c r="BR219" s="1007"/>
      <c r="BS219" s="1007"/>
      <c r="BT219" s="1007"/>
      <c r="BU219" s="1007"/>
      <c r="BV219" s="1007"/>
      <c r="BW219" s="1007"/>
      <c r="BX219" s="1007"/>
      <c r="BY219" s="1007"/>
      <c r="BZ219" s="1007"/>
      <c r="CA219" s="1007"/>
      <c r="CB219" s="1007"/>
      <c r="CC219" s="1007"/>
      <c r="CD219" s="1007"/>
      <c r="CE219" s="1007"/>
      <c r="CF219" s="1007"/>
      <c r="CG219" s="1007"/>
      <c r="CH219" s="1007"/>
      <c r="CI219" s="1007"/>
      <c r="CJ219" s="1007"/>
      <c r="CK219" s="1007"/>
      <c r="CL219" s="1007"/>
      <c r="CM219" s="1007"/>
      <c r="CN219" s="1007"/>
      <c r="CO219" s="1007"/>
      <c r="CP219" s="1007"/>
      <c r="CQ219" s="1007"/>
      <c r="CR219" s="1007"/>
      <c r="CS219" s="1007"/>
      <c r="CT219" s="1007"/>
      <c r="CU219" s="1007"/>
      <c r="CV219" s="1007"/>
      <c r="CW219" s="1007"/>
      <c r="CX219" s="1007"/>
      <c r="CY219" s="1007"/>
      <c r="CZ219" s="1007"/>
      <c r="DA219" s="1007"/>
      <c r="DB219" s="1007"/>
      <c r="DC219" s="1007"/>
      <c r="DD219" s="1007"/>
      <c r="DE219" s="1007"/>
      <c r="DF219" s="1007"/>
      <c r="DG219" s="1007"/>
      <c r="DH219" s="1007"/>
      <c r="DI219" s="1007"/>
      <c r="DJ219" s="1007"/>
      <c r="DK219" s="1007"/>
      <c r="DL219" s="1007"/>
      <c r="DM219" s="1007"/>
      <c r="DN219" s="1007"/>
      <c r="DO219" s="1007"/>
      <c r="DP219" s="1007"/>
      <c r="DQ219" s="1007"/>
      <c r="DR219" s="1007"/>
      <c r="DS219" s="1007"/>
      <c r="DT219" s="1007"/>
      <c r="DU219" s="1007"/>
      <c r="DV219" s="1007"/>
      <c r="DW219" s="1007"/>
      <c r="DX219" s="1007"/>
      <c r="DY219" s="1007"/>
      <c r="DZ219" s="1007"/>
      <c r="EA219" s="1007"/>
      <c r="EB219" s="1007"/>
      <c r="EC219" s="1007"/>
      <c r="ED219" s="1007"/>
      <c r="EE219" s="1007"/>
      <c r="EF219" s="1007"/>
      <c r="EG219" s="1007"/>
      <c r="EH219" s="1007"/>
      <c r="EI219" s="1007"/>
      <c r="EJ219" s="1007"/>
      <c r="EK219" s="1007"/>
      <c r="EL219" s="1007"/>
      <c r="EM219" s="1007"/>
      <c r="EN219" s="1007"/>
      <c r="EO219" s="1007"/>
      <c r="EP219" s="1007"/>
      <c r="EQ219" s="1007"/>
      <c r="ER219" s="1007"/>
      <c r="ES219" s="1007"/>
      <c r="ET219" s="1007"/>
      <c r="EU219" s="1007"/>
      <c r="EV219" s="1007"/>
      <c r="EW219" s="1007"/>
      <c r="EX219" s="1007"/>
      <c r="EY219" s="1007"/>
      <c r="EZ219" s="1007"/>
      <c r="FA219" s="1007"/>
      <c r="FB219" s="1007"/>
      <c r="FC219" s="1007"/>
      <c r="FD219" s="1007"/>
      <c r="FE219" s="1007"/>
      <c r="FF219" s="1007"/>
      <c r="FG219" s="1007"/>
      <c r="FH219" s="1007"/>
      <c r="FI219" s="1007"/>
      <c r="FJ219" s="1007"/>
      <c r="FK219" s="1007"/>
      <c r="FL219" s="1007"/>
      <c r="FM219" s="1007"/>
      <c r="FN219" s="1007"/>
      <c r="FO219" s="1007"/>
      <c r="FP219" s="1007"/>
      <c r="FQ219" s="1007"/>
      <c r="FR219" s="1007"/>
      <c r="FS219" s="1007"/>
      <c r="FT219" s="1007"/>
      <c r="FU219" s="1007"/>
      <c r="FV219" s="1007"/>
      <c r="FW219" s="1007"/>
      <c r="FX219" s="1007"/>
      <c r="FY219" s="1007"/>
      <c r="FZ219" s="1007"/>
      <c r="GA219" s="1007"/>
      <c r="GB219" s="1007"/>
      <c r="GC219" s="1007"/>
      <c r="GD219" s="1007"/>
      <c r="GE219" s="1007"/>
      <c r="GF219" s="1007"/>
      <c r="GG219" s="1007"/>
      <c r="GH219" s="1007"/>
      <c r="GI219" s="1007"/>
      <c r="GJ219" s="1007"/>
      <c r="GK219" s="1007"/>
      <c r="GL219" s="1007"/>
      <c r="GM219" s="1007"/>
      <c r="GN219" s="1007"/>
      <c r="GO219" s="1007"/>
      <c r="GP219" s="1007"/>
      <c r="GQ219" s="1007"/>
      <c r="GR219" s="1007"/>
      <c r="GS219" s="1007"/>
      <c r="GT219" s="1007"/>
      <c r="GU219" s="1007"/>
      <c r="GV219" s="1007"/>
      <c r="GW219" s="1007"/>
      <c r="GX219" s="1007"/>
      <c r="GY219" s="1007"/>
      <c r="GZ219" s="1007"/>
      <c r="HA219" s="1007"/>
      <c r="HB219" s="1007"/>
      <c r="HC219" s="1007"/>
      <c r="HD219" s="1007"/>
      <c r="HE219" s="1007"/>
      <c r="HF219" s="1007"/>
      <c r="HG219" s="1007"/>
      <c r="HH219" s="1007"/>
      <c r="HI219" s="1007"/>
      <c r="HJ219" s="1007"/>
      <c r="HK219" s="1007"/>
      <c r="HL219" s="1007"/>
      <c r="HM219" s="1007"/>
      <c r="HN219" s="1007"/>
      <c r="HO219" s="1007"/>
      <c r="HP219" s="1007"/>
      <c r="HQ219" s="1007"/>
      <c r="HR219" s="1007"/>
      <c r="HS219" s="1007"/>
      <c r="HT219" s="1007"/>
      <c r="HU219" s="1007"/>
      <c r="HV219" s="1007"/>
      <c r="HW219" s="1007"/>
      <c r="HX219" s="1007"/>
      <c r="HY219" s="1007"/>
      <c r="HZ219" s="1007"/>
      <c r="IA219" s="1007"/>
      <c r="IB219" s="1007"/>
      <c r="IC219" s="1007"/>
      <c r="ID219" s="1007"/>
      <c r="IE219" s="1007"/>
      <c r="IF219" s="1007"/>
      <c r="IG219" s="1007"/>
      <c r="IH219" s="1007"/>
    </row>
    <row r="220" hidden="1" outlineLevel="1">
      <c r="A220" s="598"/>
      <c r="B220" s="598"/>
      <c r="C220" s="598"/>
      <c r="D220" s="598"/>
      <c r="E220" s="598"/>
      <c r="F220" s="598"/>
      <c r="G220" s="598"/>
      <c r="H220" s="598"/>
      <c r="I220" s="598"/>
      <c r="J220" s="598"/>
      <c r="K220" s="598"/>
      <c r="L220" s="598"/>
      <c r="M220" s="598"/>
      <c r="N220" s="598"/>
      <c r="O220" s="598"/>
      <c r="P220" s="598"/>
      <c r="Q220" s="598"/>
      <c r="R220" s="598"/>
      <c r="S220" s="598"/>
      <c r="T220" s="598"/>
      <c r="U220" s="598"/>
      <c r="V220" s="598"/>
      <c r="W220" s="598"/>
      <c r="X220" s="598"/>
      <c r="Y220" s="598"/>
      <c r="Z220" s="598"/>
      <c r="AA220" s="911"/>
      <c r="AB220" s="1006"/>
      <c r="AC220" s="1007"/>
      <c r="AD220" s="1008"/>
      <c r="AE220" s="1007"/>
      <c r="AF220" s="1007"/>
      <c r="AG220" s="1007"/>
      <c r="AH220" s="1007"/>
      <c r="AI220" s="1007"/>
      <c r="AJ220" s="1007"/>
      <c r="AK220" s="1007"/>
      <c r="AL220" s="1007"/>
      <c r="AM220" s="1007"/>
      <c r="AN220" s="1007"/>
      <c r="AO220" s="1007"/>
      <c r="AP220" s="1007"/>
      <c r="AQ220" s="1007"/>
      <c r="AR220" s="1007"/>
      <c r="AS220" s="1007"/>
      <c r="AT220" s="1007"/>
      <c r="AU220" s="1007"/>
      <c r="AV220" s="1007"/>
      <c r="AW220" s="1007"/>
      <c r="AX220" s="1007"/>
      <c r="AY220" s="1007"/>
      <c r="AZ220" s="1007"/>
      <c r="BA220" s="1007"/>
      <c r="BB220" s="1007"/>
      <c r="BC220" s="1007"/>
      <c r="BD220" s="1007"/>
      <c r="BE220" s="1007"/>
      <c r="BF220" s="1007"/>
      <c r="BG220" s="1007"/>
      <c r="BH220" s="1007"/>
      <c r="BI220" s="1007"/>
      <c r="BJ220" s="1007"/>
      <c r="BK220" s="1007"/>
      <c r="BL220" s="1007"/>
      <c r="BM220" s="1007"/>
      <c r="BN220" s="1007"/>
      <c r="BO220" s="1007"/>
      <c r="BP220" s="1007"/>
      <c r="BQ220" s="1007"/>
      <c r="BR220" s="1007"/>
      <c r="BS220" s="1007"/>
      <c r="BT220" s="1007"/>
      <c r="BU220" s="1007"/>
      <c r="BV220" s="1007"/>
      <c r="BW220" s="1007"/>
      <c r="BX220" s="1007"/>
      <c r="BY220" s="1007"/>
      <c r="BZ220" s="1007"/>
      <c r="CA220" s="1007"/>
      <c r="CB220" s="1007"/>
      <c r="CC220" s="1007"/>
      <c r="CD220" s="1007"/>
      <c r="CE220" s="1007"/>
      <c r="CF220" s="1007"/>
      <c r="CG220" s="1007"/>
      <c r="CH220" s="1007"/>
      <c r="CI220" s="1007"/>
      <c r="CJ220" s="1007"/>
      <c r="CK220" s="1007"/>
      <c r="CL220" s="1007"/>
      <c r="CM220" s="1007"/>
      <c r="CN220" s="1007"/>
      <c r="CO220" s="1007"/>
      <c r="CP220" s="1007"/>
      <c r="CQ220" s="1007"/>
      <c r="CR220" s="1007"/>
      <c r="CS220" s="1007"/>
      <c r="CT220" s="1007"/>
      <c r="CU220" s="1007"/>
      <c r="CV220" s="1007"/>
      <c r="CW220" s="1007"/>
      <c r="CX220" s="1007"/>
      <c r="CY220" s="1007"/>
      <c r="CZ220" s="1007"/>
      <c r="DA220" s="1007"/>
      <c r="DB220" s="1007"/>
      <c r="DC220" s="1007"/>
      <c r="DD220" s="1007"/>
      <c r="DE220" s="1007"/>
      <c r="DF220" s="1007"/>
      <c r="DG220" s="1007"/>
      <c r="DH220" s="1007"/>
      <c r="DI220" s="1007"/>
      <c r="DJ220" s="1007"/>
      <c r="DK220" s="1007"/>
      <c r="DL220" s="1007"/>
      <c r="DM220" s="1007"/>
      <c r="DN220" s="1007"/>
      <c r="DO220" s="1007"/>
      <c r="DP220" s="1007"/>
      <c r="DQ220" s="1007"/>
      <c r="DR220" s="1007"/>
      <c r="DS220" s="1007"/>
      <c r="DT220" s="1007"/>
      <c r="DU220" s="1007"/>
      <c r="DV220" s="1007"/>
      <c r="DW220" s="1007"/>
      <c r="DX220" s="1007"/>
      <c r="DY220" s="1007"/>
      <c r="DZ220" s="1007"/>
      <c r="EA220" s="1007"/>
      <c r="EB220" s="1007"/>
      <c r="EC220" s="1007"/>
      <c r="ED220" s="1007"/>
      <c r="EE220" s="1007"/>
      <c r="EF220" s="1007"/>
      <c r="EG220" s="1007"/>
      <c r="EH220" s="1007"/>
      <c r="EI220" s="1007"/>
      <c r="EJ220" s="1007"/>
      <c r="EK220" s="1007"/>
      <c r="EL220" s="1007"/>
      <c r="EM220" s="1007"/>
      <c r="EN220" s="1007"/>
      <c r="EO220" s="1007"/>
      <c r="EP220" s="1007"/>
      <c r="EQ220" s="1007"/>
      <c r="ER220" s="1007"/>
      <c r="ES220" s="1007"/>
      <c r="ET220" s="1007"/>
      <c r="EU220" s="1007"/>
      <c r="EV220" s="1007"/>
      <c r="EW220" s="1007"/>
      <c r="EX220" s="1007"/>
      <c r="EY220" s="1007"/>
      <c r="EZ220" s="1007"/>
      <c r="FA220" s="1007"/>
      <c r="FB220" s="1007"/>
      <c r="FC220" s="1007"/>
      <c r="FD220" s="1007"/>
      <c r="FE220" s="1007"/>
      <c r="FF220" s="1007"/>
      <c r="FG220" s="1007"/>
      <c r="FH220" s="1007"/>
      <c r="FI220" s="1007"/>
      <c r="FJ220" s="1007"/>
      <c r="FK220" s="1007"/>
      <c r="FL220" s="1007"/>
      <c r="FM220" s="1007"/>
      <c r="FN220" s="1007"/>
      <c r="FO220" s="1007"/>
      <c r="FP220" s="1007"/>
      <c r="FQ220" s="1007"/>
      <c r="FR220" s="1007"/>
      <c r="FS220" s="1007"/>
      <c r="FT220" s="1007"/>
      <c r="FU220" s="1007"/>
      <c r="FV220" s="1007"/>
      <c r="FW220" s="1007"/>
      <c r="FX220" s="1007"/>
      <c r="FY220" s="1007"/>
      <c r="FZ220" s="1007"/>
      <c r="GA220" s="1007"/>
      <c r="GB220" s="1007"/>
      <c r="GC220" s="1007"/>
      <c r="GD220" s="1007"/>
      <c r="GE220" s="1007"/>
      <c r="GF220" s="1007"/>
      <c r="GG220" s="1007"/>
      <c r="GH220" s="1007"/>
      <c r="GI220" s="1007"/>
      <c r="GJ220" s="1007"/>
      <c r="GK220" s="1007"/>
      <c r="GL220" s="1007"/>
      <c r="GM220" s="1007"/>
      <c r="GN220" s="1007"/>
      <c r="GO220" s="1007"/>
      <c r="GP220" s="1007"/>
      <c r="GQ220" s="1007"/>
      <c r="GR220" s="1007"/>
      <c r="GS220" s="1007"/>
      <c r="GT220" s="1007"/>
      <c r="GU220" s="1007"/>
      <c r="GV220" s="1007"/>
      <c r="GW220" s="1007"/>
      <c r="GX220" s="1007"/>
      <c r="GY220" s="1007"/>
      <c r="GZ220" s="1007"/>
      <c r="HA220" s="1007"/>
      <c r="HB220" s="1007"/>
      <c r="HC220" s="1007"/>
      <c r="HD220" s="1007"/>
      <c r="HE220" s="1007"/>
      <c r="HF220" s="1007"/>
      <c r="HG220" s="1007"/>
      <c r="HH220" s="1007"/>
      <c r="HI220" s="1007"/>
      <c r="HJ220" s="1007"/>
      <c r="HK220" s="1007"/>
      <c r="HL220" s="1007"/>
      <c r="HM220" s="1007"/>
      <c r="HN220" s="1007"/>
      <c r="HO220" s="1007"/>
      <c r="HP220" s="1007"/>
      <c r="HQ220" s="1007"/>
      <c r="HR220" s="1007"/>
      <c r="HS220" s="1007"/>
      <c r="HT220" s="1007"/>
      <c r="HU220" s="1007"/>
      <c r="HV220" s="1007"/>
      <c r="HW220" s="1007"/>
      <c r="HX220" s="1007"/>
      <c r="HY220" s="1007"/>
      <c r="HZ220" s="1007"/>
      <c r="IA220" s="1007"/>
      <c r="IB220" s="1007"/>
      <c r="IC220" s="1007"/>
      <c r="ID220" s="1007"/>
      <c r="IE220" s="1007"/>
      <c r="IF220" s="1007"/>
      <c r="IG220" s="1007"/>
      <c r="IH220" s="1007"/>
    </row>
    <row r="221" hidden="1" outlineLevel="1">
      <c r="A221" s="598"/>
      <c r="B221" s="598"/>
      <c r="C221" s="598"/>
      <c r="D221" s="598"/>
      <c r="E221" s="598"/>
      <c r="F221" s="598"/>
      <c r="G221" s="598"/>
      <c r="H221" s="598"/>
      <c r="I221" s="598"/>
      <c r="J221" s="598"/>
      <c r="K221" s="598"/>
      <c r="L221" s="598"/>
      <c r="M221" s="598"/>
      <c r="N221" s="598"/>
      <c r="O221" s="598"/>
      <c r="P221" s="598"/>
      <c r="Q221" s="598"/>
      <c r="R221" s="598"/>
      <c r="S221" s="598"/>
      <c r="T221" s="598"/>
      <c r="U221" s="598"/>
      <c r="V221" s="598"/>
      <c r="W221" s="598"/>
      <c r="X221" s="598"/>
      <c r="Y221" s="598"/>
      <c r="Z221" s="598"/>
      <c r="AA221" s="911"/>
      <c r="AB221" s="1006"/>
      <c r="AC221" s="1007"/>
      <c r="AD221" s="1008"/>
      <c r="AE221" s="1007"/>
      <c r="AF221" s="1007"/>
      <c r="AG221" s="1007"/>
      <c r="AH221" s="1007"/>
      <c r="AI221" s="1007"/>
      <c r="AJ221" s="1007"/>
      <c r="AK221" s="1007"/>
      <c r="AL221" s="1007"/>
      <c r="AM221" s="1007"/>
      <c r="AN221" s="1007"/>
      <c r="AO221" s="1007"/>
      <c r="AP221" s="1007"/>
      <c r="AQ221" s="1007"/>
      <c r="AR221" s="1007"/>
      <c r="AS221" s="1007"/>
      <c r="AT221" s="1007"/>
      <c r="AU221" s="1007"/>
      <c r="AV221" s="1007"/>
      <c r="AW221" s="1007"/>
      <c r="AX221" s="1007"/>
      <c r="AY221" s="1007"/>
      <c r="AZ221" s="1007"/>
      <c r="BA221" s="1007"/>
      <c r="BB221" s="1007"/>
      <c r="BC221" s="1007"/>
      <c r="BD221" s="1007"/>
      <c r="BE221" s="1007"/>
      <c r="BF221" s="1007"/>
      <c r="BG221" s="1007"/>
      <c r="BH221" s="1007"/>
      <c r="BI221" s="1007"/>
      <c r="BJ221" s="1007"/>
      <c r="BK221" s="1007"/>
      <c r="BL221" s="1007"/>
      <c r="BM221" s="1007"/>
      <c r="BN221" s="1007"/>
      <c r="BO221" s="1007"/>
      <c r="BP221" s="1007"/>
      <c r="BQ221" s="1007"/>
      <c r="BR221" s="1007"/>
      <c r="BS221" s="1007"/>
      <c r="BT221" s="1007"/>
      <c r="BU221" s="1007"/>
      <c r="BV221" s="1007"/>
      <c r="BW221" s="1007"/>
      <c r="BX221" s="1007"/>
      <c r="BY221" s="1007"/>
      <c r="BZ221" s="1007"/>
      <c r="CA221" s="1007"/>
      <c r="CB221" s="1007"/>
      <c r="CC221" s="1007"/>
      <c r="CD221" s="1007"/>
      <c r="CE221" s="1007"/>
      <c r="CF221" s="1007"/>
      <c r="CG221" s="1007"/>
      <c r="CH221" s="1007"/>
      <c r="CI221" s="1007"/>
      <c r="CJ221" s="1007"/>
      <c r="CK221" s="1007"/>
      <c r="CL221" s="1007"/>
      <c r="CM221" s="1007"/>
      <c r="CN221" s="1007"/>
      <c r="CO221" s="1007"/>
      <c r="CP221" s="1007"/>
      <c r="CQ221" s="1007"/>
      <c r="CR221" s="1007"/>
      <c r="CS221" s="1007"/>
      <c r="CT221" s="1007"/>
      <c r="CU221" s="1007"/>
      <c r="CV221" s="1007"/>
      <c r="CW221" s="1007"/>
      <c r="CX221" s="1007"/>
      <c r="CY221" s="1007"/>
      <c r="CZ221" s="1007"/>
      <c r="DA221" s="1007"/>
      <c r="DB221" s="1007"/>
      <c r="DC221" s="1007"/>
      <c r="DD221" s="1007"/>
      <c r="DE221" s="1007"/>
      <c r="DF221" s="1007"/>
      <c r="DG221" s="1007"/>
      <c r="DH221" s="1007"/>
      <c r="DI221" s="1007"/>
      <c r="DJ221" s="1007"/>
      <c r="DK221" s="1007"/>
      <c r="DL221" s="1007"/>
      <c r="DM221" s="1007"/>
      <c r="DN221" s="1007"/>
      <c r="DO221" s="1007"/>
      <c r="DP221" s="1007"/>
      <c r="DQ221" s="1007"/>
      <c r="DR221" s="1007"/>
      <c r="DS221" s="1007"/>
      <c r="DT221" s="1007"/>
      <c r="DU221" s="1007"/>
      <c r="DV221" s="1007"/>
      <c r="DW221" s="1007"/>
      <c r="DX221" s="1007"/>
      <c r="DY221" s="1007"/>
      <c r="DZ221" s="1007"/>
      <c r="EA221" s="1007"/>
      <c r="EB221" s="1007"/>
      <c r="EC221" s="1007"/>
      <c r="ED221" s="1007"/>
      <c r="EE221" s="1007"/>
      <c r="EF221" s="1007"/>
      <c r="EG221" s="1007"/>
      <c r="EH221" s="1007"/>
      <c r="EI221" s="1007"/>
      <c r="EJ221" s="1007"/>
      <c r="EK221" s="1007"/>
      <c r="EL221" s="1007"/>
      <c r="EM221" s="1007"/>
      <c r="EN221" s="1007"/>
      <c r="EO221" s="1007"/>
      <c r="EP221" s="1007"/>
      <c r="EQ221" s="1007"/>
      <c r="ER221" s="1007"/>
      <c r="ES221" s="1007"/>
      <c r="ET221" s="1007"/>
      <c r="EU221" s="1007"/>
      <c r="EV221" s="1007"/>
      <c r="EW221" s="1007"/>
      <c r="EX221" s="1007"/>
      <c r="EY221" s="1007"/>
      <c r="EZ221" s="1007"/>
      <c r="FA221" s="1007"/>
      <c r="FB221" s="1007"/>
      <c r="FC221" s="1007"/>
      <c r="FD221" s="1007"/>
      <c r="FE221" s="1007"/>
      <c r="FF221" s="1007"/>
      <c r="FG221" s="1007"/>
      <c r="FH221" s="1007"/>
      <c r="FI221" s="1007"/>
      <c r="FJ221" s="1007"/>
      <c r="FK221" s="1007"/>
      <c r="FL221" s="1007"/>
      <c r="FM221" s="1007"/>
      <c r="FN221" s="1007"/>
      <c r="FO221" s="1007"/>
      <c r="FP221" s="1007"/>
      <c r="FQ221" s="1007"/>
      <c r="FR221" s="1007"/>
      <c r="FS221" s="1007"/>
      <c r="FT221" s="1007"/>
      <c r="FU221" s="1007"/>
      <c r="FV221" s="1007"/>
      <c r="FW221" s="1007"/>
      <c r="FX221" s="1007"/>
      <c r="FY221" s="1007"/>
      <c r="FZ221" s="1007"/>
      <c r="GA221" s="1007"/>
      <c r="GB221" s="1007"/>
      <c r="GC221" s="1007"/>
      <c r="GD221" s="1007"/>
      <c r="GE221" s="1007"/>
      <c r="GF221" s="1007"/>
      <c r="GG221" s="1007"/>
      <c r="GH221" s="1007"/>
      <c r="GI221" s="1007"/>
      <c r="GJ221" s="1007"/>
      <c r="GK221" s="1007"/>
      <c r="GL221" s="1007"/>
      <c r="GM221" s="1007"/>
      <c r="GN221" s="1007"/>
      <c r="GO221" s="1007"/>
      <c r="GP221" s="1007"/>
      <c r="GQ221" s="1007"/>
      <c r="GR221" s="1007"/>
      <c r="GS221" s="1007"/>
      <c r="GT221" s="1007"/>
      <c r="GU221" s="1007"/>
      <c r="GV221" s="1007"/>
      <c r="GW221" s="1007"/>
      <c r="GX221" s="1007"/>
      <c r="GY221" s="1007"/>
      <c r="GZ221" s="1007"/>
      <c r="HA221" s="1007"/>
      <c r="HB221" s="1007"/>
      <c r="HC221" s="1007"/>
      <c r="HD221" s="1007"/>
      <c r="HE221" s="1007"/>
      <c r="HF221" s="1007"/>
      <c r="HG221" s="1007"/>
      <c r="HH221" s="1007"/>
      <c r="HI221" s="1007"/>
      <c r="HJ221" s="1007"/>
      <c r="HK221" s="1007"/>
      <c r="HL221" s="1007"/>
      <c r="HM221" s="1007"/>
      <c r="HN221" s="1007"/>
      <c r="HO221" s="1007"/>
      <c r="HP221" s="1007"/>
      <c r="HQ221" s="1007"/>
      <c r="HR221" s="1007"/>
      <c r="HS221" s="1007"/>
      <c r="HT221" s="1007"/>
      <c r="HU221" s="1007"/>
      <c r="HV221" s="1007"/>
      <c r="HW221" s="1007"/>
      <c r="HX221" s="1007"/>
      <c r="HY221" s="1007"/>
      <c r="HZ221" s="1007"/>
      <c r="IA221" s="1007"/>
      <c r="IB221" s="1007"/>
      <c r="IC221" s="1007"/>
      <c r="ID221" s="1007"/>
      <c r="IE221" s="1007"/>
      <c r="IF221" s="1007"/>
      <c r="IG221" s="1007"/>
      <c r="IH221" s="1007"/>
    </row>
    <row r="222" hidden="1" outlineLevel="1">
      <c r="A222" s="598"/>
      <c r="B222" s="598"/>
      <c r="C222" s="598"/>
      <c r="D222" s="598"/>
      <c r="E222" s="598"/>
      <c r="F222" s="598"/>
      <c r="G222" s="598"/>
      <c r="H222" s="598"/>
      <c r="I222" s="598"/>
      <c r="J222" s="598"/>
      <c r="K222" s="598"/>
      <c r="L222" s="598"/>
      <c r="M222" s="598"/>
      <c r="N222" s="598"/>
      <c r="O222" s="598"/>
      <c r="P222" s="598"/>
      <c r="Q222" s="598"/>
      <c r="R222" s="598"/>
      <c r="S222" s="598"/>
      <c r="T222" s="598"/>
      <c r="U222" s="598"/>
      <c r="V222" s="598"/>
      <c r="W222" s="598"/>
      <c r="X222" s="598"/>
      <c r="Y222" s="598"/>
      <c r="Z222" s="598"/>
      <c r="AA222" s="911"/>
      <c r="AB222" s="1006"/>
      <c r="AC222" s="1007"/>
      <c r="AD222" s="1008"/>
      <c r="AE222" s="1007"/>
      <c r="AF222" s="1007"/>
      <c r="AG222" s="1007"/>
      <c r="AH222" s="1007"/>
      <c r="AI222" s="1007"/>
      <c r="AJ222" s="1007"/>
      <c r="AK222" s="1007"/>
      <c r="AL222" s="1007"/>
      <c r="AM222" s="1007"/>
      <c r="AN222" s="1007"/>
      <c r="AO222" s="1007"/>
      <c r="AP222" s="1007"/>
      <c r="AQ222" s="1007"/>
      <c r="AR222" s="1007"/>
      <c r="AS222" s="1007"/>
      <c r="AT222" s="1007"/>
      <c r="AU222" s="1007"/>
      <c r="AV222" s="1007"/>
      <c r="AW222" s="1007"/>
      <c r="AX222" s="1007"/>
      <c r="AY222" s="1007"/>
      <c r="AZ222" s="1007"/>
      <c r="BA222" s="1007"/>
      <c r="BB222" s="1007"/>
      <c r="BC222" s="1007"/>
      <c r="BD222" s="1007"/>
      <c r="BE222" s="1007"/>
      <c r="BF222" s="1007"/>
      <c r="BG222" s="1007"/>
      <c r="BH222" s="1007"/>
      <c r="BI222" s="1007"/>
      <c r="BJ222" s="1007"/>
      <c r="BK222" s="1007"/>
      <c r="BL222" s="1007"/>
      <c r="BM222" s="1007"/>
      <c r="BN222" s="1007"/>
      <c r="BO222" s="1007"/>
      <c r="BP222" s="1007"/>
      <c r="BQ222" s="1007"/>
      <c r="BR222" s="1007"/>
      <c r="BS222" s="1007"/>
      <c r="BT222" s="1007"/>
      <c r="BU222" s="1007"/>
      <c r="BV222" s="1007"/>
      <c r="BW222" s="1007"/>
      <c r="BX222" s="1007"/>
      <c r="BY222" s="1007"/>
      <c r="BZ222" s="1007"/>
      <c r="CA222" s="1007"/>
      <c r="CB222" s="1007"/>
      <c r="CC222" s="1007"/>
      <c r="CD222" s="1007"/>
      <c r="CE222" s="1007"/>
      <c r="CF222" s="1007"/>
      <c r="CG222" s="1007"/>
      <c r="CH222" s="1007"/>
      <c r="CI222" s="1007"/>
      <c r="CJ222" s="1007"/>
      <c r="CK222" s="1007"/>
      <c r="CL222" s="1007"/>
      <c r="CM222" s="1007"/>
      <c r="CN222" s="1007"/>
      <c r="CO222" s="1007"/>
      <c r="CP222" s="1007"/>
      <c r="CQ222" s="1007"/>
      <c r="CR222" s="1007"/>
      <c r="CS222" s="1007"/>
      <c r="CT222" s="1007"/>
      <c r="CU222" s="1007"/>
      <c r="CV222" s="1007"/>
      <c r="CW222" s="1007"/>
      <c r="CX222" s="1007"/>
      <c r="CY222" s="1007"/>
      <c r="CZ222" s="1007"/>
      <c r="DA222" s="1007"/>
      <c r="DB222" s="1007"/>
      <c r="DC222" s="1007"/>
      <c r="DD222" s="1007"/>
      <c r="DE222" s="1007"/>
      <c r="DF222" s="1007"/>
      <c r="DG222" s="1007"/>
      <c r="DH222" s="1007"/>
      <c r="DI222" s="1007"/>
      <c r="DJ222" s="1007"/>
      <c r="DK222" s="1007"/>
      <c r="DL222" s="1007"/>
      <c r="DM222" s="1007"/>
      <c r="DN222" s="1007"/>
      <c r="DO222" s="1007"/>
      <c r="DP222" s="1007"/>
      <c r="DQ222" s="1007"/>
      <c r="DR222" s="1007"/>
      <c r="DS222" s="1007"/>
      <c r="DT222" s="1007"/>
      <c r="DU222" s="1007"/>
      <c r="DV222" s="1007"/>
      <c r="DW222" s="1007"/>
      <c r="DX222" s="1007"/>
      <c r="DY222" s="1007"/>
      <c r="DZ222" s="1007"/>
      <c r="EA222" s="1007"/>
      <c r="EB222" s="1007"/>
      <c r="EC222" s="1007"/>
      <c r="ED222" s="1007"/>
      <c r="EE222" s="1007"/>
      <c r="EF222" s="1007"/>
      <c r="EG222" s="1007"/>
      <c r="EH222" s="1007"/>
      <c r="EI222" s="1007"/>
      <c r="EJ222" s="1007"/>
      <c r="EK222" s="1007"/>
      <c r="EL222" s="1007"/>
      <c r="EM222" s="1007"/>
      <c r="EN222" s="1007"/>
      <c r="EO222" s="1007"/>
      <c r="EP222" s="1007"/>
      <c r="EQ222" s="1007"/>
      <c r="ER222" s="1007"/>
      <c r="ES222" s="1007"/>
      <c r="ET222" s="1007"/>
      <c r="EU222" s="1007"/>
      <c r="EV222" s="1007"/>
      <c r="EW222" s="1007"/>
      <c r="EX222" s="1007"/>
      <c r="EY222" s="1007"/>
      <c r="EZ222" s="1007"/>
      <c r="FA222" s="1007"/>
      <c r="FB222" s="1007"/>
      <c r="FC222" s="1007"/>
      <c r="FD222" s="1007"/>
      <c r="FE222" s="1007"/>
      <c r="FF222" s="1007"/>
      <c r="FG222" s="1007"/>
      <c r="FH222" s="1007"/>
      <c r="FI222" s="1007"/>
      <c r="FJ222" s="1007"/>
      <c r="FK222" s="1007"/>
      <c r="FL222" s="1007"/>
      <c r="FM222" s="1007"/>
      <c r="FN222" s="1007"/>
      <c r="FO222" s="1007"/>
      <c r="FP222" s="1007"/>
      <c r="FQ222" s="1007"/>
      <c r="FR222" s="1007"/>
      <c r="FS222" s="1007"/>
      <c r="FT222" s="1007"/>
      <c r="FU222" s="1007"/>
      <c r="FV222" s="1007"/>
      <c r="FW222" s="1007"/>
      <c r="FX222" s="1007"/>
      <c r="FY222" s="1007"/>
      <c r="FZ222" s="1007"/>
      <c r="GA222" s="1007"/>
      <c r="GB222" s="1007"/>
      <c r="GC222" s="1007"/>
      <c r="GD222" s="1007"/>
      <c r="GE222" s="1007"/>
      <c r="GF222" s="1007"/>
      <c r="GG222" s="1007"/>
      <c r="GH222" s="1007"/>
      <c r="GI222" s="1007"/>
      <c r="GJ222" s="1007"/>
      <c r="GK222" s="1007"/>
      <c r="GL222" s="1007"/>
      <c r="GM222" s="1007"/>
      <c r="GN222" s="1007"/>
      <c r="GO222" s="1007"/>
      <c r="GP222" s="1007"/>
      <c r="GQ222" s="1007"/>
      <c r="GR222" s="1007"/>
      <c r="GS222" s="1007"/>
      <c r="GT222" s="1007"/>
      <c r="GU222" s="1007"/>
      <c r="GV222" s="1007"/>
      <c r="GW222" s="1007"/>
      <c r="GX222" s="1007"/>
      <c r="GY222" s="1007"/>
      <c r="GZ222" s="1007"/>
      <c r="HA222" s="1007"/>
      <c r="HB222" s="1007"/>
      <c r="HC222" s="1007"/>
      <c r="HD222" s="1007"/>
      <c r="HE222" s="1007"/>
      <c r="HF222" s="1007"/>
      <c r="HG222" s="1007"/>
      <c r="HH222" s="1007"/>
      <c r="HI222" s="1007"/>
      <c r="HJ222" s="1007"/>
      <c r="HK222" s="1007"/>
      <c r="HL222" s="1007"/>
      <c r="HM222" s="1007"/>
      <c r="HN222" s="1007"/>
      <c r="HO222" s="1007"/>
      <c r="HP222" s="1007"/>
      <c r="HQ222" s="1007"/>
      <c r="HR222" s="1007"/>
      <c r="HS222" s="1007"/>
      <c r="HT222" s="1007"/>
      <c r="HU222" s="1007"/>
      <c r="HV222" s="1007"/>
      <c r="HW222" s="1007"/>
      <c r="HX222" s="1007"/>
      <c r="HY222" s="1007"/>
      <c r="HZ222" s="1007"/>
      <c r="IA222" s="1007"/>
      <c r="IB222" s="1007"/>
      <c r="IC222" s="1007"/>
      <c r="ID222" s="1007"/>
      <c r="IE222" s="1007"/>
      <c r="IF222" s="1007"/>
      <c r="IG222" s="1007"/>
      <c r="IH222" s="1007"/>
    </row>
    <row r="223" hidden="1" outlineLevel="1">
      <c r="A223" s="598"/>
      <c r="B223" s="598"/>
      <c r="C223" s="598"/>
      <c r="D223" s="598"/>
      <c r="E223" s="598"/>
      <c r="F223" s="598"/>
      <c r="G223" s="598"/>
      <c r="H223" s="598"/>
      <c r="I223" s="598"/>
      <c r="J223" s="598"/>
      <c r="K223" s="598"/>
      <c r="L223" s="598"/>
      <c r="M223" s="598"/>
      <c r="N223" s="598"/>
      <c r="O223" s="598"/>
      <c r="P223" s="598"/>
      <c r="Q223" s="598"/>
      <c r="R223" s="598"/>
      <c r="S223" s="598"/>
      <c r="T223" s="598"/>
      <c r="U223" s="598"/>
      <c r="V223" s="598"/>
      <c r="W223" s="598"/>
      <c r="X223" s="598"/>
      <c r="Y223" s="598"/>
      <c r="Z223" s="598"/>
      <c r="AA223" s="911"/>
      <c r="AB223" s="1006"/>
      <c r="AC223" s="1007"/>
      <c r="AD223" s="1008"/>
      <c r="AE223" s="1007"/>
      <c r="AF223" s="1007"/>
      <c r="AG223" s="1007"/>
      <c r="AH223" s="1007"/>
      <c r="AI223" s="1007"/>
      <c r="AJ223" s="1007"/>
      <c r="AK223" s="1007"/>
      <c r="AL223" s="1007"/>
      <c r="AM223" s="1007"/>
      <c r="AN223" s="1007"/>
      <c r="AO223" s="1007"/>
      <c r="AP223" s="1007"/>
      <c r="AQ223" s="1007"/>
      <c r="AR223" s="1007"/>
      <c r="AS223" s="1007"/>
      <c r="AT223" s="1007"/>
      <c r="AU223" s="1007"/>
      <c r="AV223" s="1007"/>
      <c r="AW223" s="1007"/>
      <c r="AX223" s="1007"/>
      <c r="AY223" s="1007"/>
      <c r="AZ223" s="1007"/>
      <c r="BA223" s="1007"/>
      <c r="BB223" s="1007"/>
      <c r="BC223" s="1007"/>
      <c r="BD223" s="1007"/>
      <c r="BE223" s="1007"/>
      <c r="BF223" s="1007"/>
      <c r="BG223" s="1007"/>
      <c r="BH223" s="1007"/>
      <c r="BI223" s="1007"/>
      <c r="BJ223" s="1007"/>
      <c r="BK223" s="1007"/>
      <c r="BL223" s="1007"/>
      <c r="BM223" s="1007"/>
      <c r="BN223" s="1007"/>
      <c r="BO223" s="1007"/>
      <c r="BP223" s="1007"/>
      <c r="BQ223" s="1007"/>
      <c r="BR223" s="1007"/>
      <c r="BS223" s="1007"/>
      <c r="BT223" s="1007"/>
      <c r="BU223" s="1007"/>
      <c r="BV223" s="1007"/>
      <c r="BW223" s="1007"/>
      <c r="BX223" s="1007"/>
      <c r="BY223" s="1007"/>
      <c r="BZ223" s="1007"/>
      <c r="CA223" s="1007"/>
      <c r="CB223" s="1007"/>
      <c r="CC223" s="1007"/>
      <c r="CD223" s="1007"/>
      <c r="CE223" s="1007"/>
      <c r="CF223" s="1007"/>
      <c r="CG223" s="1007"/>
      <c r="CH223" s="1007"/>
      <c r="CI223" s="1007"/>
      <c r="CJ223" s="1007"/>
      <c r="CK223" s="1007"/>
      <c r="CL223" s="1007"/>
      <c r="CM223" s="1007"/>
      <c r="CN223" s="1007"/>
      <c r="CO223" s="1007"/>
      <c r="CP223" s="1007"/>
      <c r="CQ223" s="1007"/>
      <c r="CR223" s="1007"/>
      <c r="CS223" s="1007"/>
      <c r="CT223" s="1007"/>
      <c r="CU223" s="1007"/>
      <c r="CV223" s="1007"/>
      <c r="CW223" s="1007"/>
      <c r="CX223" s="1007"/>
      <c r="CY223" s="1007"/>
      <c r="CZ223" s="1007"/>
      <c r="DA223" s="1007"/>
      <c r="DB223" s="1007"/>
      <c r="DC223" s="1007"/>
      <c r="DD223" s="1007"/>
      <c r="DE223" s="1007"/>
      <c r="DF223" s="1007"/>
      <c r="DG223" s="1007"/>
      <c r="DH223" s="1007"/>
      <c r="DI223" s="1007"/>
      <c r="DJ223" s="1007"/>
      <c r="DK223" s="1007"/>
      <c r="DL223" s="1007"/>
      <c r="DM223" s="1007"/>
      <c r="DN223" s="1007"/>
      <c r="DO223" s="1007"/>
      <c r="DP223" s="1007"/>
      <c r="DQ223" s="1007"/>
      <c r="DR223" s="1007"/>
      <c r="DS223" s="1007"/>
      <c r="DT223" s="1007"/>
      <c r="DU223" s="1007"/>
      <c r="DV223" s="1007"/>
      <c r="DW223" s="1007"/>
      <c r="DX223" s="1007"/>
      <c r="DY223" s="1007"/>
      <c r="DZ223" s="1007"/>
      <c r="EA223" s="1007"/>
      <c r="EB223" s="1007"/>
      <c r="EC223" s="1007"/>
      <c r="ED223" s="1007"/>
      <c r="EE223" s="1007"/>
      <c r="EF223" s="1007"/>
      <c r="EG223" s="1007"/>
      <c r="EH223" s="1007"/>
      <c r="EI223" s="1007"/>
      <c r="EJ223" s="1007"/>
      <c r="EK223" s="1007"/>
      <c r="EL223" s="1007"/>
      <c r="EM223" s="1007"/>
      <c r="EN223" s="1007"/>
      <c r="EO223" s="1007"/>
      <c r="EP223" s="1007"/>
      <c r="EQ223" s="1007"/>
      <c r="ER223" s="1007"/>
      <c r="ES223" s="1007"/>
      <c r="ET223" s="1007"/>
      <c r="EU223" s="1007"/>
      <c r="EV223" s="1007"/>
      <c r="EW223" s="1007"/>
      <c r="EX223" s="1007"/>
      <c r="EY223" s="1007"/>
      <c r="EZ223" s="1007"/>
      <c r="FA223" s="1007"/>
      <c r="FB223" s="1007"/>
      <c r="FC223" s="1007"/>
      <c r="FD223" s="1007"/>
      <c r="FE223" s="1007"/>
      <c r="FF223" s="1007"/>
      <c r="FG223" s="1007"/>
      <c r="FH223" s="1007"/>
      <c r="FI223" s="1007"/>
      <c r="FJ223" s="1007"/>
      <c r="FK223" s="1007"/>
      <c r="FL223" s="1007"/>
      <c r="FM223" s="1007"/>
      <c r="FN223" s="1007"/>
      <c r="FO223" s="1007"/>
      <c r="FP223" s="1007"/>
      <c r="FQ223" s="1007"/>
      <c r="FR223" s="1007"/>
      <c r="FS223" s="1007"/>
      <c r="FT223" s="1007"/>
      <c r="FU223" s="1007"/>
      <c r="FV223" s="1007"/>
      <c r="FW223" s="1007"/>
      <c r="FX223" s="1007"/>
      <c r="FY223" s="1007"/>
      <c r="FZ223" s="1007"/>
      <c r="GA223" s="1007"/>
      <c r="GB223" s="1007"/>
      <c r="GC223" s="1007"/>
      <c r="GD223" s="1007"/>
      <c r="GE223" s="1007"/>
      <c r="GF223" s="1007"/>
      <c r="GG223" s="1007"/>
      <c r="GH223" s="1007"/>
      <c r="GI223" s="1007"/>
      <c r="GJ223" s="1007"/>
      <c r="GK223" s="1007"/>
      <c r="GL223" s="1007"/>
      <c r="GM223" s="1007"/>
      <c r="GN223" s="1007"/>
      <c r="GO223" s="1007"/>
      <c r="GP223" s="1007"/>
      <c r="GQ223" s="1007"/>
      <c r="GR223" s="1007"/>
      <c r="GS223" s="1007"/>
      <c r="GT223" s="1007"/>
      <c r="GU223" s="1007"/>
      <c r="GV223" s="1007"/>
      <c r="GW223" s="1007"/>
      <c r="GX223" s="1007"/>
      <c r="GY223" s="1007"/>
      <c r="GZ223" s="1007"/>
      <c r="HA223" s="1007"/>
      <c r="HB223" s="1007"/>
      <c r="HC223" s="1007"/>
      <c r="HD223" s="1007"/>
      <c r="HE223" s="1007"/>
      <c r="HF223" s="1007"/>
      <c r="HG223" s="1007"/>
      <c r="HH223" s="1007"/>
      <c r="HI223" s="1007"/>
      <c r="HJ223" s="1007"/>
      <c r="HK223" s="1007"/>
      <c r="HL223" s="1007"/>
      <c r="HM223" s="1007"/>
      <c r="HN223" s="1007"/>
      <c r="HO223" s="1007"/>
      <c r="HP223" s="1007"/>
      <c r="HQ223" s="1007"/>
      <c r="HR223" s="1007"/>
      <c r="HS223" s="1007"/>
      <c r="HT223" s="1007"/>
      <c r="HU223" s="1007"/>
      <c r="HV223" s="1007"/>
      <c r="HW223" s="1007"/>
      <c r="HX223" s="1007"/>
      <c r="HY223" s="1007"/>
      <c r="HZ223" s="1007"/>
      <c r="IA223" s="1007"/>
      <c r="IB223" s="1007"/>
      <c r="IC223" s="1007"/>
      <c r="ID223" s="1007"/>
      <c r="IE223" s="1007"/>
      <c r="IF223" s="1007"/>
      <c r="IG223" s="1007"/>
      <c r="IH223" s="1007"/>
    </row>
    <row r="224" hidden="1" outlineLevel="1">
      <c r="A224" s="598"/>
      <c r="B224" s="598"/>
      <c r="C224" s="598"/>
      <c r="D224" s="598"/>
      <c r="E224" s="598"/>
      <c r="F224" s="598"/>
      <c r="G224" s="598"/>
      <c r="H224" s="598"/>
      <c r="I224" s="598"/>
      <c r="J224" s="598"/>
      <c r="K224" s="598"/>
      <c r="L224" s="598"/>
      <c r="M224" s="598"/>
      <c r="N224" s="598"/>
      <c r="O224" s="598"/>
      <c r="P224" s="598"/>
      <c r="Q224" s="598"/>
      <c r="R224" s="598"/>
      <c r="S224" s="598"/>
      <c r="T224" s="598"/>
      <c r="U224" s="598"/>
      <c r="V224" s="598"/>
      <c r="W224" s="598"/>
      <c r="X224" s="598"/>
      <c r="Y224" s="598"/>
      <c r="Z224" s="598"/>
      <c r="AA224" s="911"/>
      <c r="AB224" s="1006"/>
      <c r="AC224" s="1007"/>
      <c r="AD224" s="1008"/>
      <c r="AE224" s="1007"/>
      <c r="AF224" s="1007"/>
      <c r="AG224" s="1007"/>
      <c r="AH224" s="1007"/>
      <c r="AI224" s="1007"/>
      <c r="AJ224" s="1007"/>
      <c r="AK224" s="1007"/>
      <c r="AL224" s="1007"/>
      <c r="AM224" s="1007"/>
      <c r="AN224" s="1007"/>
      <c r="AO224" s="1007"/>
      <c r="AP224" s="1007"/>
      <c r="AQ224" s="1007"/>
      <c r="AR224" s="1007"/>
      <c r="AS224" s="1007"/>
      <c r="AT224" s="1007"/>
      <c r="AU224" s="1007"/>
      <c r="AV224" s="1007"/>
      <c r="AW224" s="1007"/>
      <c r="AX224" s="1007"/>
      <c r="AY224" s="1007"/>
      <c r="AZ224" s="1007"/>
      <c r="BA224" s="1007"/>
      <c r="BB224" s="1007"/>
      <c r="BC224" s="1007"/>
      <c r="BD224" s="1007"/>
      <c r="BE224" s="1007"/>
      <c r="BF224" s="1007"/>
      <c r="BG224" s="1007"/>
      <c r="BH224" s="1007"/>
      <c r="BI224" s="1007"/>
      <c r="BJ224" s="1007"/>
      <c r="BK224" s="1007"/>
      <c r="BL224" s="1007"/>
      <c r="BM224" s="1007"/>
      <c r="BN224" s="1007"/>
      <c r="BO224" s="1007"/>
      <c r="BP224" s="1007"/>
      <c r="BQ224" s="1007"/>
      <c r="BR224" s="1007"/>
      <c r="BS224" s="1007"/>
      <c r="BT224" s="1007"/>
      <c r="BU224" s="1007"/>
      <c r="BV224" s="1007"/>
      <c r="BW224" s="1007"/>
      <c r="BX224" s="1007"/>
      <c r="BY224" s="1007"/>
      <c r="BZ224" s="1007"/>
      <c r="CA224" s="1007"/>
      <c r="CB224" s="1007"/>
      <c r="CC224" s="1007"/>
      <c r="CD224" s="1007"/>
      <c r="CE224" s="1007"/>
      <c r="CF224" s="1007"/>
      <c r="CG224" s="1007"/>
      <c r="CH224" s="1007"/>
      <c r="CI224" s="1007"/>
      <c r="CJ224" s="1007"/>
      <c r="CK224" s="1007"/>
      <c r="CL224" s="1007"/>
      <c r="CM224" s="1007"/>
      <c r="CN224" s="1007"/>
      <c r="CO224" s="1007"/>
      <c r="CP224" s="1007"/>
      <c r="CQ224" s="1007"/>
      <c r="CR224" s="1007"/>
      <c r="CS224" s="1007"/>
      <c r="CT224" s="1007"/>
      <c r="CU224" s="1007"/>
      <c r="CV224" s="1007"/>
      <c r="CW224" s="1007"/>
      <c r="CX224" s="1007"/>
      <c r="CY224" s="1007"/>
      <c r="CZ224" s="1007"/>
      <c r="DA224" s="1007"/>
      <c r="DB224" s="1007"/>
      <c r="DC224" s="1007"/>
      <c r="DD224" s="1007"/>
      <c r="DE224" s="1007"/>
      <c r="DF224" s="1007"/>
      <c r="DG224" s="1007"/>
      <c r="DH224" s="1007"/>
      <c r="DI224" s="1007"/>
      <c r="DJ224" s="1007"/>
      <c r="DK224" s="1007"/>
      <c r="DL224" s="1007"/>
      <c r="DM224" s="1007"/>
      <c r="DN224" s="1007"/>
      <c r="DO224" s="1007"/>
      <c r="DP224" s="1007"/>
      <c r="DQ224" s="1007"/>
      <c r="DR224" s="1007"/>
      <c r="DS224" s="1007"/>
      <c r="DT224" s="1007"/>
      <c r="DU224" s="1007"/>
      <c r="DV224" s="1007"/>
      <c r="DW224" s="1007"/>
      <c r="DX224" s="1007"/>
      <c r="DY224" s="1007"/>
      <c r="DZ224" s="1007"/>
      <c r="EA224" s="1007"/>
      <c r="EB224" s="1007"/>
      <c r="EC224" s="1007"/>
      <c r="ED224" s="1007"/>
      <c r="EE224" s="1007"/>
      <c r="EF224" s="1007"/>
      <c r="EG224" s="1007"/>
      <c r="EH224" s="1007"/>
      <c r="EI224" s="1007"/>
      <c r="EJ224" s="1007"/>
      <c r="EK224" s="1007"/>
      <c r="EL224" s="1007"/>
      <c r="EM224" s="1007"/>
      <c r="EN224" s="1007"/>
      <c r="EO224" s="1007"/>
      <c r="EP224" s="1007"/>
      <c r="EQ224" s="1007"/>
      <c r="ER224" s="1007"/>
      <c r="ES224" s="1007"/>
      <c r="ET224" s="1007"/>
      <c r="EU224" s="1007"/>
      <c r="EV224" s="1007"/>
      <c r="EW224" s="1007"/>
      <c r="EX224" s="1007"/>
      <c r="EY224" s="1007"/>
      <c r="EZ224" s="1007"/>
      <c r="FA224" s="1007"/>
      <c r="FB224" s="1007"/>
      <c r="FC224" s="1007"/>
      <c r="FD224" s="1007"/>
      <c r="FE224" s="1007"/>
      <c r="FF224" s="1007"/>
      <c r="FG224" s="1007"/>
      <c r="FH224" s="1007"/>
      <c r="FI224" s="1007"/>
      <c r="FJ224" s="1007"/>
      <c r="FK224" s="1007"/>
      <c r="FL224" s="1007"/>
      <c r="FM224" s="1007"/>
      <c r="FN224" s="1007"/>
      <c r="FO224" s="1007"/>
      <c r="FP224" s="1007"/>
      <c r="FQ224" s="1007"/>
      <c r="FR224" s="1007"/>
      <c r="FS224" s="1007"/>
      <c r="FT224" s="1007"/>
      <c r="FU224" s="1007"/>
      <c r="FV224" s="1007"/>
      <c r="FW224" s="1007"/>
      <c r="FX224" s="1007"/>
      <c r="FY224" s="1007"/>
      <c r="FZ224" s="1007"/>
      <c r="GA224" s="1007"/>
      <c r="GB224" s="1007"/>
      <c r="GC224" s="1007"/>
      <c r="GD224" s="1007"/>
      <c r="GE224" s="1007"/>
      <c r="GF224" s="1007"/>
      <c r="GG224" s="1007"/>
      <c r="GH224" s="1007"/>
      <c r="GI224" s="1007"/>
      <c r="GJ224" s="1007"/>
      <c r="GK224" s="1007"/>
      <c r="GL224" s="1007"/>
      <c r="GM224" s="1007"/>
      <c r="GN224" s="1007"/>
      <c r="GO224" s="1007"/>
      <c r="GP224" s="1007"/>
      <c r="GQ224" s="1007"/>
      <c r="GR224" s="1007"/>
      <c r="GS224" s="1007"/>
      <c r="GT224" s="1007"/>
      <c r="GU224" s="1007"/>
      <c r="GV224" s="1007"/>
      <c r="GW224" s="1007"/>
      <c r="GX224" s="1007"/>
      <c r="GY224" s="1007"/>
      <c r="GZ224" s="1007"/>
      <c r="HA224" s="1007"/>
      <c r="HB224" s="1007"/>
      <c r="HC224" s="1007"/>
      <c r="HD224" s="1007"/>
      <c r="HE224" s="1007"/>
      <c r="HF224" s="1007"/>
      <c r="HG224" s="1007"/>
      <c r="HH224" s="1007"/>
      <c r="HI224" s="1007"/>
      <c r="HJ224" s="1007"/>
      <c r="HK224" s="1007"/>
      <c r="HL224" s="1007"/>
      <c r="HM224" s="1007"/>
      <c r="HN224" s="1007"/>
      <c r="HO224" s="1007"/>
      <c r="HP224" s="1007"/>
      <c r="HQ224" s="1007"/>
      <c r="HR224" s="1007"/>
      <c r="HS224" s="1007"/>
      <c r="HT224" s="1007"/>
      <c r="HU224" s="1007"/>
      <c r="HV224" s="1007"/>
      <c r="HW224" s="1007"/>
      <c r="HX224" s="1007"/>
      <c r="HY224" s="1007"/>
      <c r="HZ224" s="1007"/>
      <c r="IA224" s="1007"/>
      <c r="IB224" s="1007"/>
      <c r="IC224" s="1007"/>
      <c r="ID224" s="1007"/>
      <c r="IE224" s="1007"/>
      <c r="IF224" s="1007"/>
      <c r="IG224" s="1007"/>
      <c r="IH224" s="1007"/>
    </row>
    <row r="225" hidden="1" outlineLevel="1">
      <c r="A225" s="598"/>
      <c r="B225" s="598"/>
      <c r="C225" s="598"/>
      <c r="D225" s="598"/>
      <c r="E225" s="598"/>
      <c r="F225" s="598"/>
      <c r="G225" s="598"/>
      <c r="H225" s="598"/>
      <c r="I225" s="598"/>
      <c r="J225" s="598"/>
      <c r="K225" s="598"/>
      <c r="L225" s="598"/>
      <c r="M225" s="598"/>
      <c r="N225" s="598"/>
      <c r="O225" s="598"/>
      <c r="P225" s="598"/>
      <c r="Q225" s="598"/>
      <c r="R225" s="598"/>
      <c r="S225" s="598"/>
      <c r="T225" s="598"/>
      <c r="U225" s="598"/>
      <c r="V225" s="598"/>
      <c r="W225" s="598"/>
      <c r="X225" s="598"/>
      <c r="Y225" s="598"/>
      <c r="Z225" s="598"/>
      <c r="AA225" s="911"/>
      <c r="AB225" s="1006"/>
      <c r="AC225" s="1007"/>
      <c r="AD225" s="1008"/>
      <c r="AE225" s="1007"/>
      <c r="AF225" s="1007"/>
      <c r="AG225" s="1007"/>
      <c r="AH225" s="1007"/>
      <c r="AI225" s="1007"/>
      <c r="AJ225" s="1007"/>
      <c r="AK225" s="1007"/>
      <c r="AL225" s="1007"/>
      <c r="AM225" s="1007"/>
      <c r="AN225" s="1007"/>
      <c r="AO225" s="1007"/>
      <c r="AP225" s="1007"/>
      <c r="AQ225" s="1007"/>
      <c r="AR225" s="1007"/>
      <c r="AS225" s="1007"/>
      <c r="AT225" s="1007"/>
      <c r="AU225" s="1007"/>
      <c r="AV225" s="1007"/>
      <c r="AW225" s="1007"/>
      <c r="AX225" s="1007"/>
      <c r="AY225" s="1007"/>
      <c r="AZ225" s="1007"/>
      <c r="BA225" s="1007"/>
      <c r="BB225" s="1007"/>
      <c r="BC225" s="1007"/>
      <c r="BD225" s="1007"/>
      <c r="BE225" s="1007"/>
      <c r="BF225" s="1007"/>
      <c r="BG225" s="1007"/>
      <c r="BH225" s="1007"/>
      <c r="BI225" s="1007"/>
      <c r="BJ225" s="1007"/>
      <c r="BK225" s="1007"/>
      <c r="BL225" s="1007"/>
      <c r="BM225" s="1007"/>
      <c r="BN225" s="1007"/>
      <c r="BO225" s="1007"/>
      <c r="BP225" s="1007"/>
      <c r="BQ225" s="1007"/>
      <c r="BR225" s="1007"/>
      <c r="BS225" s="1007"/>
      <c r="BT225" s="1007"/>
      <c r="BU225" s="1007"/>
      <c r="BV225" s="1007"/>
      <c r="BW225" s="1007"/>
      <c r="BX225" s="1007"/>
      <c r="BY225" s="1007"/>
      <c r="BZ225" s="1007"/>
      <c r="CA225" s="1007"/>
      <c r="CB225" s="1007"/>
      <c r="CC225" s="1007"/>
      <c r="CD225" s="1007"/>
      <c r="CE225" s="1007"/>
      <c r="CF225" s="1007"/>
      <c r="CG225" s="1007"/>
      <c r="CH225" s="1007"/>
      <c r="CI225" s="1007"/>
      <c r="CJ225" s="1007"/>
      <c r="CK225" s="1007"/>
      <c r="CL225" s="1007"/>
      <c r="CM225" s="1007"/>
      <c r="CN225" s="1007"/>
      <c r="CO225" s="1007"/>
      <c r="CP225" s="1007"/>
      <c r="CQ225" s="1007"/>
      <c r="CR225" s="1007"/>
      <c r="CS225" s="1007"/>
      <c r="CT225" s="1007"/>
      <c r="CU225" s="1007"/>
      <c r="CV225" s="1007"/>
      <c r="CW225" s="1007"/>
      <c r="CX225" s="1007"/>
      <c r="CY225" s="1007"/>
      <c r="CZ225" s="1007"/>
      <c r="DA225" s="1007"/>
      <c r="DB225" s="1007"/>
      <c r="DC225" s="1007"/>
      <c r="DD225" s="1007"/>
      <c r="DE225" s="1007"/>
      <c r="DF225" s="1007"/>
      <c r="DG225" s="1007"/>
      <c r="DH225" s="1007"/>
      <c r="DI225" s="1007"/>
      <c r="DJ225" s="1007"/>
      <c r="DK225" s="1007"/>
      <c r="DL225" s="1007"/>
      <c r="DM225" s="1007"/>
      <c r="DN225" s="1007"/>
      <c r="DO225" s="1007"/>
      <c r="DP225" s="1007"/>
      <c r="DQ225" s="1007"/>
      <c r="DR225" s="1007"/>
      <c r="DS225" s="1007"/>
      <c r="DT225" s="1007"/>
      <c r="DU225" s="1007"/>
      <c r="DV225" s="1007"/>
      <c r="DW225" s="1007"/>
      <c r="DX225" s="1007"/>
      <c r="DY225" s="1007"/>
      <c r="DZ225" s="1007"/>
      <c r="EA225" s="1007"/>
      <c r="EB225" s="1007"/>
      <c r="EC225" s="1007"/>
      <c r="ED225" s="1007"/>
      <c r="EE225" s="1007"/>
      <c r="EF225" s="1007"/>
      <c r="EG225" s="1007"/>
      <c r="EH225" s="1007"/>
      <c r="EI225" s="1007"/>
      <c r="EJ225" s="1007"/>
      <c r="EK225" s="1007"/>
      <c r="EL225" s="1007"/>
      <c r="EM225" s="1007"/>
      <c r="EN225" s="1007"/>
      <c r="EO225" s="1007"/>
      <c r="EP225" s="1007"/>
      <c r="EQ225" s="1007"/>
      <c r="ER225" s="1007"/>
      <c r="ES225" s="1007"/>
      <c r="ET225" s="1007"/>
      <c r="EU225" s="1007"/>
      <c r="EV225" s="1007"/>
      <c r="EW225" s="1007"/>
      <c r="EX225" s="1007"/>
      <c r="EY225" s="1007"/>
      <c r="EZ225" s="1007"/>
      <c r="FA225" s="1007"/>
      <c r="FB225" s="1007"/>
      <c r="FC225" s="1007"/>
      <c r="FD225" s="1007"/>
      <c r="FE225" s="1007"/>
      <c r="FF225" s="1007"/>
      <c r="FG225" s="1007"/>
      <c r="FH225" s="1007"/>
      <c r="FI225" s="1007"/>
      <c r="FJ225" s="1007"/>
      <c r="FK225" s="1007"/>
      <c r="FL225" s="1007"/>
      <c r="FM225" s="1007"/>
      <c r="FN225" s="1007"/>
      <c r="FO225" s="1007"/>
      <c r="FP225" s="1007"/>
      <c r="FQ225" s="1007"/>
      <c r="FR225" s="1007"/>
      <c r="FS225" s="1007"/>
      <c r="FT225" s="1007"/>
      <c r="FU225" s="1007"/>
      <c r="FV225" s="1007"/>
      <c r="FW225" s="1007"/>
      <c r="FX225" s="1007"/>
      <c r="FY225" s="1007"/>
      <c r="FZ225" s="1007"/>
      <c r="GA225" s="1007"/>
      <c r="GB225" s="1007"/>
      <c r="GC225" s="1007"/>
      <c r="GD225" s="1007"/>
      <c r="GE225" s="1007"/>
      <c r="GF225" s="1007"/>
      <c r="GG225" s="1007"/>
      <c r="GH225" s="1007"/>
      <c r="GI225" s="1007"/>
      <c r="GJ225" s="1007"/>
      <c r="GK225" s="1007"/>
      <c r="GL225" s="1007"/>
      <c r="GM225" s="1007"/>
      <c r="GN225" s="1007"/>
      <c r="GO225" s="1007"/>
      <c r="GP225" s="1007"/>
      <c r="GQ225" s="1007"/>
      <c r="GR225" s="1007"/>
      <c r="GS225" s="1007"/>
      <c r="GT225" s="1007"/>
      <c r="GU225" s="1007"/>
      <c r="GV225" s="1007"/>
      <c r="GW225" s="1007"/>
      <c r="GX225" s="1007"/>
      <c r="GY225" s="1007"/>
      <c r="GZ225" s="1007"/>
      <c r="HA225" s="1007"/>
      <c r="HB225" s="1007"/>
      <c r="HC225" s="1007"/>
      <c r="HD225" s="1007"/>
      <c r="HE225" s="1007"/>
      <c r="HF225" s="1007"/>
      <c r="HG225" s="1007"/>
      <c r="HH225" s="1007"/>
      <c r="HI225" s="1007"/>
      <c r="HJ225" s="1007"/>
      <c r="HK225" s="1007"/>
      <c r="HL225" s="1007"/>
      <c r="HM225" s="1007"/>
      <c r="HN225" s="1007"/>
      <c r="HO225" s="1007"/>
      <c r="HP225" s="1007"/>
      <c r="HQ225" s="1007"/>
      <c r="HR225" s="1007"/>
      <c r="HS225" s="1007"/>
      <c r="HT225" s="1007"/>
      <c r="HU225" s="1007"/>
      <c r="HV225" s="1007"/>
      <c r="HW225" s="1007"/>
      <c r="HX225" s="1007"/>
      <c r="HY225" s="1007"/>
      <c r="HZ225" s="1007"/>
      <c r="IA225" s="1007"/>
      <c r="IB225" s="1007"/>
      <c r="IC225" s="1007"/>
      <c r="ID225" s="1007"/>
      <c r="IE225" s="1007"/>
      <c r="IF225" s="1007"/>
      <c r="IG225" s="1007"/>
      <c r="IH225" s="1007"/>
    </row>
    <row r="226" hidden="1" outlineLevel="1">
      <c r="A226" s="598"/>
      <c r="B226" s="598"/>
      <c r="C226" s="598"/>
      <c r="D226" s="598"/>
      <c r="E226" s="598"/>
      <c r="F226" s="598"/>
      <c r="G226" s="598"/>
      <c r="H226" s="598"/>
      <c r="I226" s="598"/>
      <c r="J226" s="598"/>
      <c r="K226" s="598"/>
      <c r="L226" s="598"/>
      <c r="M226" s="598"/>
      <c r="N226" s="598"/>
      <c r="O226" s="598"/>
      <c r="P226" s="598"/>
      <c r="Q226" s="598"/>
      <c r="R226" s="598"/>
      <c r="S226" s="598"/>
      <c r="T226" s="598"/>
      <c r="U226" s="598"/>
      <c r="V226" s="598"/>
      <c r="W226" s="598"/>
      <c r="X226" s="598"/>
      <c r="Y226" s="598"/>
      <c r="Z226" s="598"/>
      <c r="AA226" s="911"/>
      <c r="AB226" s="1006"/>
      <c r="AC226" s="1007"/>
      <c r="AD226" s="1008"/>
      <c r="AE226" s="1007"/>
      <c r="AF226" s="1007"/>
      <c r="AG226" s="1007"/>
      <c r="AH226" s="1007"/>
      <c r="AI226" s="1007"/>
      <c r="AJ226" s="1007"/>
      <c r="AK226" s="1007"/>
      <c r="AL226" s="1007"/>
      <c r="AM226" s="1007"/>
      <c r="AN226" s="1007"/>
      <c r="AO226" s="1007"/>
      <c r="AP226" s="1007"/>
      <c r="AQ226" s="1007"/>
      <c r="AR226" s="1007"/>
      <c r="AS226" s="1007"/>
      <c r="AT226" s="1007"/>
      <c r="AU226" s="1007"/>
      <c r="AV226" s="1007"/>
      <c r="AW226" s="1007"/>
      <c r="AX226" s="1007"/>
      <c r="AY226" s="1007"/>
      <c r="AZ226" s="1007"/>
      <c r="BA226" s="1007"/>
      <c r="BB226" s="1007"/>
      <c r="BC226" s="1007"/>
      <c r="BD226" s="1007"/>
      <c r="BE226" s="1007"/>
      <c r="BF226" s="1007"/>
      <c r="BG226" s="1007"/>
      <c r="BH226" s="1007"/>
      <c r="BI226" s="1007"/>
      <c r="BJ226" s="1007"/>
      <c r="BK226" s="1007"/>
      <c r="BL226" s="1007"/>
      <c r="BM226" s="1007"/>
      <c r="BN226" s="1007"/>
      <c r="BO226" s="1007"/>
      <c r="BP226" s="1007"/>
      <c r="BQ226" s="1007"/>
      <c r="BR226" s="1007"/>
      <c r="BS226" s="1007"/>
      <c r="BT226" s="1007"/>
      <c r="BU226" s="1007"/>
      <c r="BV226" s="1007"/>
      <c r="BW226" s="1007"/>
      <c r="BX226" s="1007"/>
      <c r="BY226" s="1007"/>
      <c r="BZ226" s="1007"/>
      <c r="CA226" s="1007"/>
      <c r="CB226" s="1007"/>
      <c r="CC226" s="1007"/>
      <c r="CD226" s="1007"/>
      <c r="CE226" s="1007"/>
      <c r="CF226" s="1007"/>
      <c r="CG226" s="1007"/>
      <c r="CH226" s="1007"/>
      <c r="CI226" s="1007"/>
      <c r="CJ226" s="1007"/>
      <c r="CK226" s="1007"/>
      <c r="CL226" s="1007"/>
      <c r="CM226" s="1007"/>
      <c r="CN226" s="1007"/>
      <c r="CO226" s="1007"/>
      <c r="CP226" s="1007"/>
      <c r="CQ226" s="1007"/>
      <c r="CR226" s="1007"/>
      <c r="CS226" s="1007"/>
      <c r="CT226" s="1007"/>
      <c r="CU226" s="1007"/>
      <c r="CV226" s="1007"/>
      <c r="CW226" s="1007"/>
      <c r="CX226" s="1007"/>
      <c r="CY226" s="1007"/>
      <c r="CZ226" s="1007"/>
      <c r="DA226" s="1007"/>
      <c r="DB226" s="1007"/>
      <c r="DC226" s="1007"/>
      <c r="DD226" s="1007"/>
      <c r="DE226" s="1007"/>
      <c r="DF226" s="1007"/>
      <c r="DG226" s="1007"/>
      <c r="DH226" s="1007"/>
      <c r="DI226" s="1007"/>
      <c r="DJ226" s="1007"/>
      <c r="DK226" s="1007"/>
      <c r="DL226" s="1007"/>
      <c r="DM226" s="1007"/>
      <c r="DN226" s="1007"/>
      <c r="DO226" s="1007"/>
      <c r="DP226" s="1007"/>
      <c r="DQ226" s="1007"/>
      <c r="DR226" s="1007"/>
      <c r="DS226" s="1007"/>
      <c r="DT226" s="1007"/>
      <c r="DU226" s="1007"/>
      <c r="DV226" s="1007"/>
      <c r="DW226" s="1007"/>
      <c r="DX226" s="1007"/>
      <c r="DY226" s="1007"/>
      <c r="DZ226" s="1007"/>
      <c r="EA226" s="1007"/>
      <c r="EB226" s="1007"/>
      <c r="EC226" s="1007"/>
      <c r="ED226" s="1007"/>
      <c r="EE226" s="1007"/>
      <c r="EF226" s="1007"/>
      <c r="EG226" s="1007"/>
      <c r="EH226" s="1007"/>
      <c r="EI226" s="1007"/>
      <c r="EJ226" s="1007"/>
      <c r="EK226" s="1007"/>
      <c r="EL226" s="1007"/>
      <c r="EM226" s="1007"/>
      <c r="EN226" s="1007"/>
      <c r="EO226" s="1007"/>
      <c r="EP226" s="1007"/>
      <c r="EQ226" s="1007"/>
      <c r="ER226" s="1007"/>
      <c r="ES226" s="1007"/>
      <c r="ET226" s="1007"/>
      <c r="EU226" s="1007"/>
      <c r="EV226" s="1007"/>
      <c r="EW226" s="1007"/>
      <c r="EX226" s="1007"/>
      <c r="EY226" s="1007"/>
      <c r="EZ226" s="1007"/>
      <c r="FA226" s="1007"/>
      <c r="FB226" s="1007"/>
      <c r="FC226" s="1007"/>
      <c r="FD226" s="1007"/>
      <c r="FE226" s="1007"/>
      <c r="FF226" s="1007"/>
      <c r="FG226" s="1007"/>
      <c r="FH226" s="1007"/>
      <c r="FI226" s="1007"/>
      <c r="FJ226" s="1007"/>
      <c r="FK226" s="1007"/>
      <c r="FL226" s="1007"/>
      <c r="FM226" s="1007"/>
      <c r="FN226" s="1007"/>
      <c r="FO226" s="1007"/>
      <c r="FP226" s="1007"/>
      <c r="FQ226" s="1007"/>
      <c r="FR226" s="1007"/>
      <c r="FS226" s="1007"/>
      <c r="FT226" s="1007"/>
      <c r="FU226" s="1007"/>
      <c r="FV226" s="1007"/>
      <c r="FW226" s="1007"/>
      <c r="FX226" s="1007"/>
      <c r="FY226" s="1007"/>
      <c r="FZ226" s="1007"/>
      <c r="GA226" s="1007"/>
      <c r="GB226" s="1007"/>
      <c r="GC226" s="1007"/>
      <c r="GD226" s="1007"/>
      <c r="GE226" s="1007"/>
      <c r="GF226" s="1007"/>
      <c r="GG226" s="1007"/>
      <c r="GH226" s="1007"/>
      <c r="GI226" s="1007"/>
      <c r="GJ226" s="1007"/>
      <c r="GK226" s="1007"/>
      <c r="GL226" s="1007"/>
      <c r="GM226" s="1007"/>
      <c r="GN226" s="1007"/>
      <c r="GO226" s="1007"/>
      <c r="GP226" s="1007"/>
      <c r="GQ226" s="1007"/>
      <c r="GR226" s="1007"/>
      <c r="GS226" s="1007"/>
      <c r="GT226" s="1007"/>
      <c r="GU226" s="1007"/>
      <c r="GV226" s="1007"/>
      <c r="GW226" s="1007"/>
      <c r="GX226" s="1007"/>
      <c r="GY226" s="1007"/>
      <c r="GZ226" s="1007"/>
      <c r="HA226" s="1007"/>
      <c r="HB226" s="1007"/>
      <c r="HC226" s="1007"/>
      <c r="HD226" s="1007"/>
      <c r="HE226" s="1007"/>
      <c r="HF226" s="1007"/>
      <c r="HG226" s="1007"/>
      <c r="HH226" s="1007"/>
      <c r="HI226" s="1007"/>
      <c r="HJ226" s="1007"/>
      <c r="HK226" s="1007"/>
      <c r="HL226" s="1007"/>
      <c r="HM226" s="1007"/>
      <c r="HN226" s="1007"/>
      <c r="HO226" s="1007"/>
      <c r="HP226" s="1007"/>
      <c r="HQ226" s="1007"/>
      <c r="HR226" s="1007"/>
      <c r="HS226" s="1007"/>
      <c r="HT226" s="1007"/>
      <c r="HU226" s="1007"/>
      <c r="HV226" s="1007"/>
      <c r="HW226" s="1007"/>
      <c r="HX226" s="1007"/>
      <c r="HY226" s="1007"/>
      <c r="HZ226" s="1007"/>
      <c r="IA226" s="1007"/>
      <c r="IB226" s="1007"/>
      <c r="IC226" s="1007"/>
      <c r="ID226" s="1007"/>
      <c r="IE226" s="1007"/>
      <c r="IF226" s="1007"/>
      <c r="IG226" s="1007"/>
      <c r="IH226" s="1007"/>
    </row>
    <row r="227" hidden="1" outlineLevel="1">
      <c r="A227" s="598"/>
      <c r="B227" s="598"/>
      <c r="C227" s="598"/>
      <c r="D227" s="598"/>
      <c r="E227" s="598"/>
      <c r="F227" s="598"/>
      <c r="G227" s="598"/>
      <c r="H227" s="598"/>
      <c r="I227" s="598"/>
      <c r="J227" s="598"/>
      <c r="K227" s="598"/>
      <c r="L227" s="598"/>
      <c r="M227" s="598"/>
      <c r="N227" s="598"/>
      <c r="O227" s="598"/>
      <c r="P227" s="598"/>
      <c r="Q227" s="598"/>
      <c r="R227" s="598"/>
      <c r="S227" s="598"/>
      <c r="T227" s="598"/>
      <c r="U227" s="598"/>
      <c r="V227" s="598"/>
      <c r="W227" s="598"/>
      <c r="X227" s="598"/>
      <c r="Y227" s="598"/>
      <c r="Z227" s="598"/>
      <c r="AA227" s="911"/>
      <c r="AB227" s="1006"/>
      <c r="AC227" s="1007"/>
      <c r="AD227" s="1008"/>
      <c r="AE227" s="1007"/>
      <c r="AF227" s="1007"/>
      <c r="AG227" s="1007"/>
      <c r="AH227" s="1007"/>
      <c r="AI227" s="1007"/>
      <c r="AJ227" s="1007"/>
      <c r="AK227" s="1007"/>
      <c r="AL227" s="1007"/>
      <c r="AM227" s="1007"/>
      <c r="AN227" s="1007"/>
      <c r="AO227" s="1007"/>
      <c r="AP227" s="1007"/>
      <c r="AQ227" s="1007"/>
      <c r="AR227" s="1007"/>
      <c r="AS227" s="1007"/>
      <c r="AT227" s="1007"/>
      <c r="AU227" s="1007"/>
      <c r="AV227" s="1007"/>
      <c r="AW227" s="1007"/>
      <c r="AX227" s="1007"/>
      <c r="AY227" s="1007"/>
      <c r="AZ227" s="1007"/>
      <c r="BA227" s="1007"/>
      <c r="BB227" s="1007"/>
      <c r="BC227" s="1007"/>
      <c r="BD227" s="1007"/>
      <c r="BE227" s="1007"/>
      <c r="BF227" s="1007"/>
      <c r="BG227" s="1007"/>
      <c r="BH227" s="1007"/>
      <c r="BI227" s="1007"/>
      <c r="BJ227" s="1007"/>
      <c r="BK227" s="1007"/>
      <c r="BL227" s="1007"/>
      <c r="BM227" s="1007"/>
      <c r="BN227" s="1007"/>
      <c r="BO227" s="1007"/>
      <c r="BP227" s="1007"/>
      <c r="BQ227" s="1007"/>
      <c r="BR227" s="1007"/>
      <c r="BS227" s="1007"/>
      <c r="BT227" s="1007"/>
      <c r="BU227" s="1007"/>
      <c r="BV227" s="1007"/>
      <c r="BW227" s="1007"/>
      <c r="BX227" s="1007"/>
      <c r="BY227" s="1007"/>
      <c r="BZ227" s="1007"/>
      <c r="CA227" s="1007"/>
      <c r="CB227" s="1007"/>
      <c r="CC227" s="1007"/>
      <c r="CD227" s="1007"/>
      <c r="CE227" s="1007"/>
      <c r="CF227" s="1007"/>
      <c r="CG227" s="1007"/>
      <c r="CH227" s="1007"/>
      <c r="CI227" s="1007"/>
      <c r="CJ227" s="1007"/>
      <c r="CK227" s="1007"/>
      <c r="CL227" s="1007"/>
      <c r="CM227" s="1007"/>
      <c r="CN227" s="1007"/>
      <c r="CO227" s="1007"/>
      <c r="CP227" s="1007"/>
      <c r="CQ227" s="1007"/>
      <c r="CR227" s="1007"/>
      <c r="CS227" s="1007"/>
      <c r="CT227" s="1007"/>
      <c r="CU227" s="1007"/>
      <c r="CV227" s="1007"/>
      <c r="CW227" s="1007"/>
      <c r="CX227" s="1007"/>
      <c r="CY227" s="1007"/>
      <c r="CZ227" s="1007"/>
      <c r="DA227" s="1007"/>
      <c r="DB227" s="1007"/>
      <c r="DC227" s="1007"/>
      <c r="DD227" s="1007"/>
      <c r="DE227" s="1007"/>
      <c r="DF227" s="1007"/>
      <c r="DG227" s="1007"/>
      <c r="DH227" s="1007"/>
      <c r="DI227" s="1007"/>
      <c r="DJ227" s="1007"/>
      <c r="DK227" s="1007"/>
      <c r="DL227" s="1007"/>
      <c r="DM227" s="1007"/>
      <c r="DN227" s="1007"/>
      <c r="DO227" s="1007"/>
      <c r="DP227" s="1007"/>
      <c r="DQ227" s="1007"/>
      <c r="DR227" s="1007"/>
      <c r="DS227" s="1007"/>
      <c r="DT227" s="1007"/>
      <c r="DU227" s="1007"/>
      <c r="DV227" s="1007"/>
      <c r="DW227" s="1007"/>
      <c r="DX227" s="1007"/>
      <c r="DY227" s="1007"/>
      <c r="DZ227" s="1007"/>
      <c r="EA227" s="1007"/>
      <c r="EB227" s="1007"/>
      <c r="EC227" s="1007"/>
      <c r="ED227" s="1007"/>
      <c r="EE227" s="1007"/>
      <c r="EF227" s="1007"/>
      <c r="EG227" s="1007"/>
      <c r="EH227" s="1007"/>
      <c r="EI227" s="1007"/>
      <c r="EJ227" s="1007"/>
      <c r="EK227" s="1007"/>
      <c r="EL227" s="1007"/>
      <c r="EM227" s="1007"/>
      <c r="EN227" s="1007"/>
      <c r="EO227" s="1007"/>
      <c r="EP227" s="1007"/>
      <c r="EQ227" s="1007"/>
      <c r="ER227" s="1007"/>
      <c r="ES227" s="1007"/>
      <c r="ET227" s="1007"/>
      <c r="EU227" s="1007"/>
      <c r="EV227" s="1007"/>
      <c r="EW227" s="1007"/>
      <c r="EX227" s="1007"/>
      <c r="EY227" s="1007"/>
      <c r="EZ227" s="1007"/>
      <c r="FA227" s="1007"/>
      <c r="FB227" s="1007"/>
      <c r="FC227" s="1007"/>
      <c r="FD227" s="1007"/>
      <c r="FE227" s="1007"/>
      <c r="FF227" s="1007"/>
      <c r="FG227" s="1007"/>
      <c r="FH227" s="1007"/>
      <c r="FI227" s="1007"/>
      <c r="FJ227" s="1007"/>
      <c r="FK227" s="1007"/>
      <c r="FL227" s="1007"/>
      <c r="FM227" s="1007"/>
      <c r="FN227" s="1007"/>
      <c r="FO227" s="1007"/>
      <c r="FP227" s="1007"/>
      <c r="FQ227" s="1007"/>
      <c r="FR227" s="1007"/>
      <c r="FS227" s="1007"/>
      <c r="FT227" s="1007"/>
      <c r="FU227" s="1007"/>
      <c r="FV227" s="1007"/>
      <c r="FW227" s="1007"/>
      <c r="FX227" s="1007"/>
      <c r="FY227" s="1007"/>
      <c r="FZ227" s="1007"/>
      <c r="GA227" s="1007"/>
      <c r="GB227" s="1007"/>
      <c r="GC227" s="1007"/>
      <c r="GD227" s="1007"/>
      <c r="GE227" s="1007"/>
      <c r="GF227" s="1007"/>
      <c r="GG227" s="1007"/>
      <c r="GH227" s="1007"/>
      <c r="GI227" s="1007"/>
      <c r="GJ227" s="1007"/>
      <c r="GK227" s="1007"/>
      <c r="GL227" s="1007"/>
      <c r="GM227" s="1007"/>
      <c r="GN227" s="1007"/>
      <c r="GO227" s="1007"/>
      <c r="GP227" s="1007"/>
      <c r="GQ227" s="1007"/>
      <c r="GR227" s="1007"/>
      <c r="GS227" s="1007"/>
      <c r="GT227" s="1007"/>
      <c r="GU227" s="1007"/>
      <c r="GV227" s="1007"/>
      <c r="GW227" s="1007"/>
      <c r="GX227" s="1007"/>
      <c r="GY227" s="1007"/>
      <c r="GZ227" s="1007"/>
      <c r="HA227" s="1007"/>
      <c r="HB227" s="1007"/>
      <c r="HC227" s="1007"/>
      <c r="HD227" s="1007"/>
      <c r="HE227" s="1007"/>
      <c r="HF227" s="1007"/>
      <c r="HG227" s="1007"/>
      <c r="HH227" s="1007"/>
      <c r="HI227" s="1007"/>
      <c r="HJ227" s="1007"/>
      <c r="HK227" s="1007"/>
      <c r="HL227" s="1007"/>
      <c r="HM227" s="1007"/>
      <c r="HN227" s="1007"/>
      <c r="HO227" s="1007"/>
      <c r="HP227" s="1007"/>
      <c r="HQ227" s="1007"/>
      <c r="HR227" s="1007"/>
      <c r="HS227" s="1007"/>
      <c r="HT227" s="1007"/>
      <c r="HU227" s="1007"/>
      <c r="HV227" s="1007"/>
      <c r="HW227" s="1007"/>
      <c r="HX227" s="1007"/>
      <c r="HY227" s="1007"/>
      <c r="HZ227" s="1007"/>
      <c r="IA227" s="1007"/>
      <c r="IB227" s="1007"/>
      <c r="IC227" s="1007"/>
      <c r="ID227" s="1007"/>
      <c r="IE227" s="1007"/>
      <c r="IF227" s="1007"/>
      <c r="IG227" s="1007"/>
      <c r="IH227" s="1007"/>
    </row>
    <row r="228" hidden="1" outlineLevel="1">
      <c r="A228" s="598"/>
      <c r="B228" s="598"/>
      <c r="C228" s="598"/>
      <c r="D228" s="598"/>
      <c r="E228" s="598"/>
      <c r="F228" s="598"/>
      <c r="G228" s="598"/>
      <c r="H228" s="598"/>
      <c r="I228" s="598"/>
      <c r="J228" s="598"/>
      <c r="K228" s="598"/>
      <c r="L228" s="598"/>
      <c r="M228" s="598"/>
      <c r="N228" s="598"/>
      <c r="O228" s="598"/>
      <c r="P228" s="598"/>
      <c r="Q228" s="598"/>
      <c r="R228" s="598"/>
      <c r="S228" s="598"/>
      <c r="T228" s="598"/>
      <c r="U228" s="598"/>
      <c r="V228" s="598"/>
      <c r="W228" s="598"/>
      <c r="X228" s="598"/>
      <c r="Y228" s="598"/>
      <c r="Z228" s="598"/>
      <c r="AA228" s="911"/>
      <c r="AB228" s="1006"/>
      <c r="AC228" s="1007"/>
      <c r="AD228" s="1008"/>
      <c r="AE228" s="1007"/>
      <c r="AF228" s="1007"/>
      <c r="AG228" s="1007"/>
      <c r="AH228" s="1007"/>
      <c r="AI228" s="1007"/>
      <c r="AJ228" s="1007"/>
      <c r="AK228" s="1007"/>
      <c r="AL228" s="1007"/>
      <c r="AM228" s="1007"/>
      <c r="AN228" s="1007"/>
      <c r="AO228" s="1007"/>
      <c r="AP228" s="1007"/>
      <c r="AQ228" s="1007"/>
      <c r="AR228" s="1007"/>
      <c r="AS228" s="1007"/>
      <c r="AT228" s="1007"/>
      <c r="AU228" s="1007"/>
      <c r="AV228" s="1007"/>
      <c r="AW228" s="1007"/>
      <c r="AX228" s="1007"/>
      <c r="AY228" s="1007"/>
      <c r="AZ228" s="1007"/>
      <c r="BA228" s="1007"/>
      <c r="BB228" s="1007"/>
      <c r="BC228" s="1007"/>
      <c r="BD228" s="1007"/>
      <c r="BE228" s="1007"/>
      <c r="BF228" s="1007"/>
      <c r="BG228" s="1007"/>
      <c r="BH228" s="1007"/>
      <c r="BI228" s="1007"/>
      <c r="BJ228" s="1007"/>
      <c r="BK228" s="1007"/>
      <c r="BL228" s="1007"/>
      <c r="BM228" s="1007"/>
      <c r="BN228" s="1007"/>
      <c r="BO228" s="1007"/>
      <c r="BP228" s="1007"/>
      <c r="BQ228" s="1007"/>
      <c r="BR228" s="1007"/>
      <c r="BS228" s="1007"/>
      <c r="BT228" s="1007"/>
      <c r="BU228" s="1007"/>
      <c r="BV228" s="1007"/>
      <c r="BW228" s="1007"/>
      <c r="BX228" s="1007"/>
      <c r="BY228" s="1007"/>
      <c r="BZ228" s="1007"/>
      <c r="CA228" s="1007"/>
      <c r="CB228" s="1007"/>
      <c r="CC228" s="1007"/>
      <c r="CD228" s="1007"/>
      <c r="CE228" s="1007"/>
      <c r="CF228" s="1007"/>
      <c r="CG228" s="1007"/>
      <c r="CH228" s="1007"/>
      <c r="CI228" s="1007"/>
      <c r="CJ228" s="1007"/>
      <c r="CK228" s="1007"/>
      <c r="CL228" s="1007"/>
      <c r="CM228" s="1007"/>
      <c r="CN228" s="1007"/>
      <c r="CO228" s="1007"/>
      <c r="CP228" s="1007"/>
      <c r="CQ228" s="1007"/>
      <c r="CR228" s="1007"/>
      <c r="CS228" s="1007"/>
      <c r="CT228" s="1007"/>
      <c r="CU228" s="1007"/>
      <c r="CV228" s="1007"/>
      <c r="CW228" s="1007"/>
      <c r="CX228" s="1007"/>
      <c r="CY228" s="1007"/>
      <c r="CZ228" s="1007"/>
      <c r="DA228" s="1007"/>
      <c r="DB228" s="1007"/>
      <c r="DC228" s="1007"/>
      <c r="DD228" s="1007"/>
      <c r="DE228" s="1007"/>
      <c r="DF228" s="1007"/>
      <c r="DG228" s="1007"/>
      <c r="DH228" s="1007"/>
      <c r="DI228" s="1007"/>
      <c r="DJ228" s="1007"/>
      <c r="DK228" s="1007"/>
      <c r="DL228" s="1007"/>
      <c r="DM228" s="1007"/>
      <c r="DN228" s="1007"/>
      <c r="DO228" s="1007"/>
      <c r="DP228" s="1007"/>
      <c r="DQ228" s="1007"/>
      <c r="DR228" s="1007"/>
      <c r="DS228" s="1007"/>
      <c r="DT228" s="1007"/>
      <c r="DU228" s="1007"/>
      <c r="DV228" s="1007"/>
      <c r="DW228" s="1007"/>
      <c r="DX228" s="1007"/>
      <c r="DY228" s="1007"/>
      <c r="DZ228" s="1007"/>
      <c r="EA228" s="1007"/>
      <c r="EB228" s="1007"/>
      <c r="EC228" s="1007"/>
      <c r="ED228" s="1007"/>
      <c r="EE228" s="1007"/>
      <c r="EF228" s="1007"/>
      <c r="EG228" s="1007"/>
      <c r="EH228" s="1007"/>
      <c r="EI228" s="1007"/>
      <c r="EJ228" s="1007"/>
      <c r="EK228" s="1007"/>
      <c r="EL228" s="1007"/>
      <c r="EM228" s="1007"/>
      <c r="EN228" s="1007"/>
      <c r="EO228" s="1007"/>
      <c r="EP228" s="1007"/>
      <c r="EQ228" s="1007"/>
      <c r="ER228" s="1007"/>
      <c r="ES228" s="1007"/>
      <c r="ET228" s="1007"/>
      <c r="EU228" s="1007"/>
      <c r="EV228" s="1007"/>
      <c r="EW228" s="1007"/>
      <c r="EX228" s="1007"/>
      <c r="EY228" s="1007"/>
      <c r="EZ228" s="1007"/>
      <c r="FA228" s="1007"/>
      <c r="FB228" s="1007"/>
      <c r="FC228" s="1007"/>
      <c r="FD228" s="1007"/>
      <c r="FE228" s="1007"/>
      <c r="FF228" s="1007"/>
      <c r="FG228" s="1007"/>
      <c r="FH228" s="1007"/>
      <c r="FI228" s="1007"/>
      <c r="FJ228" s="1007"/>
      <c r="FK228" s="1007"/>
      <c r="FL228" s="1007"/>
      <c r="FM228" s="1007"/>
      <c r="FN228" s="1007"/>
      <c r="FO228" s="1007"/>
      <c r="FP228" s="1007"/>
      <c r="FQ228" s="1007"/>
      <c r="FR228" s="1007"/>
      <c r="FS228" s="1007"/>
      <c r="FT228" s="1007"/>
      <c r="FU228" s="1007"/>
      <c r="FV228" s="1007"/>
      <c r="FW228" s="1007"/>
      <c r="FX228" s="1007"/>
      <c r="FY228" s="1007"/>
      <c r="FZ228" s="1007"/>
      <c r="GA228" s="1007"/>
      <c r="GB228" s="1007"/>
      <c r="GC228" s="1007"/>
      <c r="GD228" s="1007"/>
      <c r="GE228" s="1007"/>
      <c r="GF228" s="1007"/>
      <c r="GG228" s="1007"/>
      <c r="GH228" s="1007"/>
      <c r="GI228" s="1007"/>
      <c r="GJ228" s="1007"/>
      <c r="GK228" s="1007"/>
      <c r="GL228" s="1007"/>
      <c r="GM228" s="1007"/>
      <c r="GN228" s="1007"/>
      <c r="GO228" s="1007"/>
      <c r="GP228" s="1007"/>
      <c r="GQ228" s="1007"/>
      <c r="GR228" s="1007"/>
      <c r="GS228" s="1007"/>
      <c r="GT228" s="1007"/>
      <c r="GU228" s="1007"/>
      <c r="GV228" s="1007"/>
      <c r="GW228" s="1007"/>
      <c r="GX228" s="1007"/>
      <c r="GY228" s="1007"/>
      <c r="GZ228" s="1007"/>
      <c r="HA228" s="1007"/>
      <c r="HB228" s="1007"/>
      <c r="HC228" s="1007"/>
      <c r="HD228" s="1007"/>
      <c r="HE228" s="1007"/>
      <c r="HF228" s="1007"/>
      <c r="HG228" s="1007"/>
      <c r="HH228" s="1007"/>
      <c r="HI228" s="1007"/>
      <c r="HJ228" s="1007"/>
      <c r="HK228" s="1007"/>
      <c r="HL228" s="1007"/>
      <c r="HM228" s="1007"/>
      <c r="HN228" s="1007"/>
      <c r="HO228" s="1007"/>
      <c r="HP228" s="1007"/>
      <c r="HQ228" s="1007"/>
      <c r="HR228" s="1007"/>
      <c r="HS228" s="1007"/>
      <c r="HT228" s="1007"/>
      <c r="HU228" s="1007"/>
      <c r="HV228" s="1007"/>
      <c r="HW228" s="1007"/>
      <c r="HX228" s="1007"/>
      <c r="HY228" s="1007"/>
      <c r="HZ228" s="1007"/>
      <c r="IA228" s="1007"/>
      <c r="IB228" s="1007"/>
      <c r="IC228" s="1007"/>
      <c r="ID228" s="1007"/>
      <c r="IE228" s="1007"/>
      <c r="IF228" s="1007"/>
      <c r="IG228" s="1007"/>
      <c r="IH228" s="1007"/>
    </row>
    <row r="229" hidden="1" outlineLevel="1">
      <c r="A229" s="598"/>
      <c r="B229" s="598"/>
      <c r="C229" s="598"/>
      <c r="D229" s="598"/>
      <c r="E229" s="598"/>
      <c r="F229" s="598"/>
      <c r="G229" s="598"/>
      <c r="H229" s="598"/>
      <c r="I229" s="598"/>
      <c r="J229" s="598"/>
      <c r="K229" s="598"/>
      <c r="L229" s="598"/>
      <c r="M229" s="598"/>
      <c r="N229" s="598"/>
      <c r="O229" s="598"/>
      <c r="P229" s="598"/>
      <c r="Q229" s="598"/>
      <c r="R229" s="598"/>
      <c r="S229" s="598"/>
      <c r="T229" s="598"/>
      <c r="U229" s="598"/>
      <c r="V229" s="598"/>
      <c r="W229" s="598"/>
      <c r="X229" s="598"/>
      <c r="Y229" s="598"/>
      <c r="Z229" s="598"/>
      <c r="AA229" s="911"/>
      <c r="AB229" s="1006"/>
      <c r="AC229" s="1007"/>
      <c r="AD229" s="1008"/>
      <c r="AE229" s="1007"/>
      <c r="AF229" s="1007"/>
      <c r="AG229" s="1007"/>
      <c r="AH229" s="1007"/>
      <c r="AI229" s="1007"/>
      <c r="AJ229" s="1007"/>
      <c r="AK229" s="1007"/>
      <c r="AL229" s="1007"/>
      <c r="AM229" s="1007"/>
      <c r="AN229" s="1007"/>
      <c r="AO229" s="1007"/>
      <c r="AP229" s="1007"/>
      <c r="AQ229" s="1007"/>
      <c r="AR229" s="1007"/>
      <c r="AS229" s="1007"/>
      <c r="AT229" s="1007"/>
      <c r="AU229" s="1007"/>
      <c r="AV229" s="1007"/>
      <c r="AW229" s="1007"/>
      <c r="AX229" s="1007"/>
      <c r="AY229" s="1007"/>
      <c r="AZ229" s="1007"/>
      <c r="BA229" s="1007"/>
      <c r="BB229" s="1007"/>
      <c r="BC229" s="1007"/>
      <c r="BD229" s="1007"/>
      <c r="BE229" s="1007"/>
      <c r="BF229" s="1007"/>
      <c r="BG229" s="1007"/>
      <c r="BH229" s="1007"/>
      <c r="BI229" s="1007"/>
      <c r="BJ229" s="1007"/>
      <c r="BK229" s="1007"/>
      <c r="BL229" s="1007"/>
      <c r="BM229" s="1007"/>
      <c r="BN229" s="1007"/>
      <c r="BO229" s="1007"/>
      <c r="BP229" s="1007"/>
      <c r="BQ229" s="1007"/>
      <c r="BR229" s="1007"/>
      <c r="BS229" s="1007"/>
      <c r="BT229" s="1007"/>
      <c r="BU229" s="1007"/>
      <c r="BV229" s="1007"/>
      <c r="BW229" s="1007"/>
      <c r="BX229" s="1007"/>
      <c r="BY229" s="1007"/>
      <c r="BZ229" s="1007"/>
      <c r="CA229" s="1007"/>
      <c r="CB229" s="1007"/>
      <c r="CC229" s="1007"/>
      <c r="CD229" s="1007"/>
      <c r="CE229" s="1007"/>
      <c r="CF229" s="1007"/>
      <c r="CG229" s="1007"/>
      <c r="CH229" s="1007"/>
      <c r="CI229" s="1007"/>
      <c r="CJ229" s="1007"/>
      <c r="CK229" s="1007"/>
      <c r="CL229" s="1007"/>
      <c r="CM229" s="1007"/>
      <c r="CN229" s="1007"/>
      <c r="CO229" s="1007"/>
      <c r="CP229" s="1007"/>
      <c r="CQ229" s="1007"/>
      <c r="CR229" s="1007"/>
      <c r="CS229" s="1007"/>
      <c r="CT229" s="1007"/>
      <c r="CU229" s="1007"/>
      <c r="CV229" s="1007"/>
      <c r="CW229" s="1007"/>
      <c r="CX229" s="1007"/>
      <c r="CY229" s="1007"/>
      <c r="CZ229" s="1007"/>
      <c r="DA229" s="1007"/>
      <c r="DB229" s="1007"/>
      <c r="DC229" s="1007"/>
      <c r="DD229" s="1007"/>
      <c r="DE229" s="1007"/>
      <c r="DF229" s="1007"/>
      <c r="DG229" s="1007"/>
      <c r="DH229" s="1007"/>
      <c r="DI229" s="1007"/>
      <c r="DJ229" s="1007"/>
      <c r="DK229" s="1007"/>
      <c r="DL229" s="1007"/>
      <c r="DM229" s="1007"/>
      <c r="DN229" s="1007"/>
      <c r="DO229" s="1007"/>
      <c r="DP229" s="1007"/>
      <c r="DQ229" s="1007"/>
      <c r="DR229" s="1007"/>
      <c r="DS229" s="1007"/>
      <c r="DT229" s="1007"/>
      <c r="DU229" s="1007"/>
      <c r="DV229" s="1007"/>
      <c r="DW229" s="1007"/>
      <c r="DX229" s="1007"/>
      <c r="DY229" s="1007"/>
      <c r="DZ229" s="1007"/>
      <c r="EA229" s="1007"/>
      <c r="EB229" s="1007"/>
      <c r="EC229" s="1007"/>
      <c r="ED229" s="1007"/>
      <c r="EE229" s="1007"/>
      <c r="EF229" s="1007"/>
      <c r="EG229" s="1007"/>
      <c r="EH229" s="1007"/>
      <c r="EI229" s="1007"/>
      <c r="EJ229" s="1007"/>
      <c r="EK229" s="1007"/>
      <c r="EL229" s="1007"/>
      <c r="EM229" s="1007"/>
      <c r="EN229" s="1007"/>
      <c r="EO229" s="1007"/>
      <c r="EP229" s="1007"/>
      <c r="EQ229" s="1007"/>
      <c r="ER229" s="1007"/>
      <c r="ES229" s="1007"/>
      <c r="ET229" s="1007"/>
      <c r="EU229" s="1007"/>
      <c r="EV229" s="1007"/>
      <c r="EW229" s="1007"/>
      <c r="EX229" s="1007"/>
      <c r="EY229" s="1007"/>
      <c r="EZ229" s="1007"/>
      <c r="FA229" s="1007"/>
      <c r="FB229" s="1007"/>
      <c r="FC229" s="1007"/>
      <c r="FD229" s="1007"/>
      <c r="FE229" s="1007"/>
      <c r="FF229" s="1007"/>
      <c r="FG229" s="1007"/>
      <c r="FH229" s="1007"/>
      <c r="FI229" s="1007"/>
      <c r="FJ229" s="1007"/>
      <c r="FK229" s="1007"/>
      <c r="FL229" s="1007"/>
      <c r="FM229" s="1007"/>
      <c r="FN229" s="1007"/>
      <c r="FO229" s="1007"/>
      <c r="FP229" s="1007"/>
      <c r="FQ229" s="1007"/>
      <c r="FR229" s="1007"/>
      <c r="FS229" s="1007"/>
      <c r="FT229" s="1007"/>
      <c r="FU229" s="1007"/>
      <c r="FV229" s="1007"/>
      <c r="FW229" s="1007"/>
      <c r="FX229" s="1007"/>
      <c r="FY229" s="1007"/>
      <c r="FZ229" s="1007"/>
      <c r="GA229" s="1007"/>
      <c r="GB229" s="1007"/>
      <c r="GC229" s="1007"/>
      <c r="GD229" s="1007"/>
      <c r="GE229" s="1007"/>
      <c r="GF229" s="1007"/>
      <c r="GG229" s="1007"/>
      <c r="GH229" s="1007"/>
      <c r="GI229" s="1007"/>
      <c r="GJ229" s="1007"/>
      <c r="GK229" s="1007"/>
      <c r="GL229" s="1007"/>
      <c r="GM229" s="1007"/>
      <c r="GN229" s="1007"/>
      <c r="GO229" s="1007"/>
      <c r="GP229" s="1007"/>
      <c r="GQ229" s="1007"/>
      <c r="GR229" s="1007"/>
      <c r="GS229" s="1007"/>
      <c r="GT229" s="1007"/>
      <c r="GU229" s="1007"/>
      <c r="GV229" s="1007"/>
      <c r="GW229" s="1007"/>
      <c r="GX229" s="1007"/>
      <c r="GY229" s="1007"/>
      <c r="GZ229" s="1007"/>
      <c r="HA229" s="1007"/>
      <c r="HB229" s="1007"/>
      <c r="HC229" s="1007"/>
      <c r="HD229" s="1007"/>
      <c r="HE229" s="1007"/>
      <c r="HF229" s="1007"/>
      <c r="HG229" s="1007"/>
      <c r="HH229" s="1007"/>
      <c r="HI229" s="1007"/>
      <c r="HJ229" s="1007"/>
      <c r="HK229" s="1007"/>
      <c r="HL229" s="1007"/>
      <c r="HM229" s="1007"/>
      <c r="HN229" s="1007"/>
      <c r="HO229" s="1007"/>
      <c r="HP229" s="1007"/>
      <c r="HQ229" s="1007"/>
      <c r="HR229" s="1007"/>
      <c r="HS229" s="1007"/>
      <c r="HT229" s="1007"/>
      <c r="HU229" s="1007"/>
      <c r="HV229" s="1007"/>
      <c r="HW229" s="1007"/>
      <c r="HX229" s="1007"/>
      <c r="HY229" s="1007"/>
      <c r="HZ229" s="1007"/>
      <c r="IA229" s="1007"/>
      <c r="IB229" s="1007"/>
      <c r="IC229" s="1007"/>
      <c r="ID229" s="1007"/>
      <c r="IE229" s="1007"/>
      <c r="IF229" s="1007"/>
      <c r="IG229" s="1007"/>
      <c r="IH229" s="1007"/>
    </row>
    <row r="230" hidden="1" outlineLevel="1">
      <c r="A230" s="598"/>
      <c r="B230" s="598"/>
      <c r="C230" s="598"/>
      <c r="D230" s="598"/>
      <c r="E230" s="598"/>
      <c r="F230" s="598"/>
      <c r="G230" s="598"/>
      <c r="H230" s="598"/>
      <c r="I230" s="598"/>
      <c r="J230" s="598"/>
      <c r="K230" s="598"/>
      <c r="L230" s="598"/>
      <c r="M230" s="598"/>
      <c r="N230" s="598"/>
      <c r="O230" s="598"/>
      <c r="P230" s="598"/>
      <c r="Q230" s="598"/>
      <c r="R230" s="598"/>
      <c r="S230" s="598"/>
      <c r="T230" s="598"/>
      <c r="U230" s="598"/>
      <c r="V230" s="598"/>
      <c r="W230" s="598"/>
      <c r="X230" s="598"/>
      <c r="Y230" s="598"/>
      <c r="Z230" s="598"/>
      <c r="AA230" s="911"/>
      <c r="AB230" s="1006"/>
      <c r="AC230" s="1007"/>
      <c r="AD230" s="1008"/>
      <c r="AE230" s="1007"/>
      <c r="AF230" s="1007"/>
      <c r="AG230" s="1007"/>
      <c r="AH230" s="1007"/>
      <c r="AI230" s="1007"/>
      <c r="AJ230" s="1007"/>
      <c r="AK230" s="1007"/>
      <c r="AL230" s="1007"/>
      <c r="AM230" s="1007"/>
      <c r="AN230" s="1007"/>
      <c r="AO230" s="1007"/>
      <c r="AP230" s="1007"/>
      <c r="AQ230" s="1007"/>
      <c r="AR230" s="1007"/>
      <c r="AS230" s="1007"/>
      <c r="AT230" s="1007"/>
      <c r="AU230" s="1007"/>
      <c r="AV230" s="1007"/>
      <c r="AW230" s="1007"/>
      <c r="AX230" s="1007"/>
      <c r="AY230" s="1007"/>
      <c r="AZ230" s="1007"/>
      <c r="BA230" s="1007"/>
      <c r="BB230" s="1007"/>
      <c r="BC230" s="1007"/>
      <c r="BD230" s="1007"/>
      <c r="BE230" s="1007"/>
      <c r="BF230" s="1007"/>
      <c r="BG230" s="1007"/>
      <c r="BH230" s="1007"/>
      <c r="BI230" s="1007"/>
      <c r="BJ230" s="1007"/>
      <c r="BK230" s="1007"/>
      <c r="BL230" s="1007"/>
      <c r="BM230" s="1007"/>
      <c r="BN230" s="1007"/>
      <c r="BO230" s="1007"/>
      <c r="BP230" s="1007"/>
      <c r="BQ230" s="1007"/>
      <c r="BR230" s="1007"/>
      <c r="BS230" s="1007"/>
      <c r="BT230" s="1007"/>
      <c r="BU230" s="1007"/>
      <c r="BV230" s="1007"/>
      <c r="BW230" s="1007"/>
      <c r="BX230" s="1007"/>
      <c r="BY230" s="1007"/>
      <c r="BZ230" s="1007"/>
      <c r="CA230" s="1007"/>
      <c r="CB230" s="1007"/>
      <c r="CC230" s="1007"/>
      <c r="CD230" s="1007"/>
      <c r="CE230" s="1007"/>
      <c r="CF230" s="1007"/>
      <c r="CG230" s="1007"/>
      <c r="CH230" s="1007"/>
      <c r="CI230" s="1007"/>
      <c r="CJ230" s="1007"/>
      <c r="CK230" s="1007"/>
      <c r="CL230" s="1007"/>
      <c r="CM230" s="1007"/>
      <c r="CN230" s="1007"/>
      <c r="CO230" s="1007"/>
      <c r="CP230" s="1007"/>
      <c r="CQ230" s="1007"/>
      <c r="CR230" s="1007"/>
      <c r="CS230" s="1007"/>
      <c r="CT230" s="1007"/>
      <c r="CU230" s="1007"/>
      <c r="CV230" s="1007"/>
      <c r="CW230" s="1007"/>
      <c r="CX230" s="1007"/>
      <c r="CY230" s="1007"/>
      <c r="CZ230" s="1007"/>
      <c r="DA230" s="1007"/>
      <c r="DB230" s="1007"/>
      <c r="DC230" s="1007"/>
      <c r="DD230" s="1007"/>
      <c r="DE230" s="1007"/>
      <c r="DF230" s="1007"/>
      <c r="DG230" s="1007"/>
      <c r="DH230" s="1007"/>
      <c r="DI230" s="1007"/>
      <c r="DJ230" s="1007"/>
      <c r="DK230" s="1007"/>
      <c r="DL230" s="1007"/>
      <c r="DM230" s="1007"/>
      <c r="DN230" s="1007"/>
      <c r="DO230" s="1007"/>
      <c r="DP230" s="1007"/>
      <c r="DQ230" s="1007"/>
      <c r="DR230" s="1007"/>
      <c r="DS230" s="1007"/>
      <c r="DT230" s="1007"/>
      <c r="DU230" s="1007"/>
      <c r="DV230" s="1007"/>
      <c r="DW230" s="1007"/>
      <c r="DX230" s="1007"/>
      <c r="DY230" s="1007"/>
      <c r="DZ230" s="1007"/>
      <c r="EA230" s="1007"/>
      <c r="EB230" s="1007"/>
      <c r="EC230" s="1007"/>
      <c r="ED230" s="1007"/>
      <c r="EE230" s="1007"/>
      <c r="EF230" s="1007"/>
      <c r="EG230" s="1007"/>
      <c r="EH230" s="1007"/>
      <c r="EI230" s="1007"/>
      <c r="EJ230" s="1007"/>
      <c r="EK230" s="1007"/>
      <c r="EL230" s="1007"/>
      <c r="EM230" s="1007"/>
      <c r="EN230" s="1007"/>
      <c r="EO230" s="1007"/>
      <c r="EP230" s="1007"/>
      <c r="EQ230" s="1007"/>
      <c r="ER230" s="1007"/>
      <c r="ES230" s="1007"/>
      <c r="ET230" s="1007"/>
      <c r="EU230" s="1007"/>
      <c r="EV230" s="1007"/>
      <c r="EW230" s="1007"/>
      <c r="EX230" s="1007"/>
      <c r="EY230" s="1007"/>
      <c r="EZ230" s="1007"/>
      <c r="FA230" s="1007"/>
      <c r="FB230" s="1007"/>
      <c r="FC230" s="1007"/>
      <c r="FD230" s="1007"/>
      <c r="FE230" s="1007"/>
      <c r="FF230" s="1007"/>
      <c r="FG230" s="1007"/>
      <c r="FH230" s="1007"/>
      <c r="FI230" s="1007"/>
      <c r="FJ230" s="1007"/>
      <c r="FK230" s="1007"/>
      <c r="FL230" s="1007"/>
      <c r="FM230" s="1007"/>
      <c r="FN230" s="1007"/>
      <c r="FO230" s="1007"/>
      <c r="FP230" s="1007"/>
      <c r="FQ230" s="1007"/>
      <c r="FR230" s="1007"/>
      <c r="FS230" s="1007"/>
      <c r="FT230" s="1007"/>
      <c r="FU230" s="1007"/>
      <c r="FV230" s="1007"/>
      <c r="FW230" s="1007"/>
      <c r="FX230" s="1007"/>
      <c r="FY230" s="1007"/>
      <c r="FZ230" s="1007"/>
      <c r="GA230" s="1007"/>
      <c r="GB230" s="1007"/>
      <c r="GC230" s="1007"/>
      <c r="GD230" s="1007"/>
      <c r="GE230" s="1007"/>
      <c r="GF230" s="1007"/>
      <c r="GG230" s="1007"/>
      <c r="GH230" s="1007"/>
      <c r="GI230" s="1007"/>
      <c r="GJ230" s="1007"/>
      <c r="GK230" s="1007"/>
      <c r="GL230" s="1007"/>
      <c r="GM230" s="1007"/>
      <c r="GN230" s="1007"/>
      <c r="GO230" s="1007"/>
      <c r="GP230" s="1007"/>
      <c r="GQ230" s="1007"/>
      <c r="GR230" s="1007"/>
      <c r="GS230" s="1007"/>
      <c r="GT230" s="1007"/>
      <c r="GU230" s="1007"/>
      <c r="GV230" s="1007"/>
      <c r="GW230" s="1007"/>
      <c r="GX230" s="1007"/>
      <c r="GY230" s="1007"/>
      <c r="GZ230" s="1007"/>
      <c r="HA230" s="1007"/>
      <c r="HB230" s="1007"/>
      <c r="HC230" s="1007"/>
      <c r="HD230" s="1007"/>
      <c r="HE230" s="1007"/>
      <c r="HF230" s="1007"/>
      <c r="HG230" s="1007"/>
      <c r="HH230" s="1007"/>
      <c r="HI230" s="1007"/>
      <c r="HJ230" s="1007"/>
      <c r="HK230" s="1007"/>
      <c r="HL230" s="1007"/>
      <c r="HM230" s="1007"/>
      <c r="HN230" s="1007"/>
      <c r="HO230" s="1007"/>
      <c r="HP230" s="1007"/>
      <c r="HQ230" s="1007"/>
      <c r="HR230" s="1007"/>
      <c r="HS230" s="1007"/>
      <c r="HT230" s="1007"/>
      <c r="HU230" s="1007"/>
      <c r="HV230" s="1007"/>
      <c r="HW230" s="1007"/>
      <c r="HX230" s="1007"/>
      <c r="HY230" s="1007"/>
      <c r="HZ230" s="1007"/>
      <c r="IA230" s="1007"/>
      <c r="IB230" s="1007"/>
      <c r="IC230" s="1007"/>
      <c r="ID230" s="1007"/>
      <c r="IE230" s="1007"/>
      <c r="IF230" s="1007"/>
      <c r="IG230" s="1007"/>
      <c r="IH230" s="1007"/>
    </row>
    <row r="231" hidden="1" outlineLevel="1">
      <c r="A231" s="598"/>
      <c r="B231" s="598"/>
      <c r="C231" s="598"/>
      <c r="D231" s="598"/>
      <c r="E231" s="598"/>
      <c r="F231" s="598"/>
      <c r="G231" s="598"/>
      <c r="H231" s="598"/>
      <c r="I231" s="598"/>
      <c r="J231" s="598"/>
      <c r="K231" s="598"/>
      <c r="L231" s="598"/>
      <c r="M231" s="598"/>
      <c r="N231" s="598"/>
      <c r="O231" s="598"/>
      <c r="P231" s="598"/>
      <c r="Q231" s="598"/>
      <c r="R231" s="598"/>
      <c r="S231" s="598"/>
      <c r="T231" s="598"/>
      <c r="U231" s="598"/>
      <c r="V231" s="598"/>
      <c r="W231" s="598"/>
      <c r="X231" s="598"/>
      <c r="Y231" s="598"/>
      <c r="Z231" s="598"/>
      <c r="AA231" s="911"/>
      <c r="AB231" s="1006"/>
      <c r="AC231" s="1007"/>
      <c r="AD231" s="1008"/>
      <c r="AE231" s="1007"/>
      <c r="AF231" s="1007"/>
      <c r="AG231" s="1007"/>
      <c r="AH231" s="1007"/>
      <c r="AI231" s="1007"/>
      <c r="AJ231" s="1007"/>
      <c r="AK231" s="1007"/>
      <c r="AL231" s="1007"/>
      <c r="AM231" s="1007"/>
      <c r="AN231" s="1007"/>
      <c r="AO231" s="1007"/>
      <c r="AP231" s="1007"/>
      <c r="AQ231" s="1007"/>
      <c r="AR231" s="1007"/>
      <c r="AS231" s="1007"/>
      <c r="AT231" s="1007"/>
      <c r="AU231" s="1007"/>
      <c r="AV231" s="1007"/>
      <c r="AW231" s="1007"/>
      <c r="AX231" s="1007"/>
      <c r="AY231" s="1007"/>
      <c r="AZ231" s="1007"/>
      <c r="BA231" s="1007"/>
      <c r="BB231" s="1007"/>
      <c r="BC231" s="1007"/>
      <c r="BD231" s="1007"/>
      <c r="BE231" s="1007"/>
      <c r="BF231" s="1007"/>
      <c r="BG231" s="1007"/>
      <c r="BH231" s="1007"/>
      <c r="BI231" s="1007"/>
      <c r="BJ231" s="1007"/>
      <c r="BK231" s="1007"/>
      <c r="BL231" s="1007"/>
      <c r="BM231" s="1007"/>
      <c r="BN231" s="1007"/>
      <c r="BO231" s="1007"/>
      <c r="BP231" s="1007"/>
      <c r="BQ231" s="1007"/>
      <c r="BR231" s="1007"/>
      <c r="BS231" s="1007"/>
      <c r="BT231" s="1007"/>
      <c r="BU231" s="1007"/>
      <c r="BV231" s="1007"/>
      <c r="BW231" s="1007"/>
      <c r="BX231" s="1007"/>
      <c r="BY231" s="1007"/>
      <c r="BZ231" s="1007"/>
      <c r="CA231" s="1007"/>
      <c r="CB231" s="1007"/>
      <c r="CC231" s="1007"/>
      <c r="CD231" s="1007"/>
      <c r="CE231" s="1007"/>
      <c r="CF231" s="1007"/>
      <c r="CG231" s="1007"/>
      <c r="CH231" s="1007"/>
      <c r="CI231" s="1007"/>
      <c r="CJ231" s="1007"/>
      <c r="CK231" s="1007"/>
      <c r="CL231" s="1007"/>
      <c r="CM231" s="1007"/>
      <c r="CN231" s="1007"/>
      <c r="CO231" s="1007"/>
      <c r="CP231" s="1007"/>
      <c r="CQ231" s="1007"/>
      <c r="CR231" s="1007"/>
      <c r="CS231" s="1007"/>
      <c r="CT231" s="1007"/>
      <c r="CU231" s="1007"/>
      <c r="CV231" s="1007"/>
      <c r="CW231" s="1007"/>
      <c r="CX231" s="1007"/>
      <c r="CY231" s="1007"/>
      <c r="CZ231" s="1007"/>
      <c r="DA231" s="1007"/>
      <c r="DB231" s="1007"/>
      <c r="DC231" s="1007"/>
      <c r="DD231" s="1007"/>
      <c r="DE231" s="1007"/>
      <c r="DF231" s="1007"/>
      <c r="DG231" s="1007"/>
      <c r="DH231" s="1007"/>
      <c r="DI231" s="1007"/>
      <c r="DJ231" s="1007"/>
      <c r="DK231" s="1007"/>
      <c r="DL231" s="1007"/>
      <c r="DM231" s="1007"/>
      <c r="DN231" s="1007"/>
      <c r="DO231" s="1007"/>
      <c r="DP231" s="1007"/>
      <c r="DQ231" s="1007"/>
      <c r="DR231" s="1007"/>
      <c r="DS231" s="1007"/>
      <c r="DT231" s="1007"/>
      <c r="DU231" s="1007"/>
      <c r="DV231" s="1007"/>
      <c r="DW231" s="1007"/>
      <c r="DX231" s="1007"/>
      <c r="DY231" s="1007"/>
      <c r="DZ231" s="1007"/>
      <c r="EA231" s="1007"/>
      <c r="EB231" s="1007"/>
      <c r="EC231" s="1007"/>
      <c r="ED231" s="1007"/>
      <c r="EE231" s="1007"/>
      <c r="EF231" s="1007"/>
      <c r="EG231" s="1007"/>
      <c r="EH231" s="1007"/>
      <c r="EI231" s="1007"/>
      <c r="EJ231" s="1007"/>
      <c r="EK231" s="1007"/>
      <c r="EL231" s="1007"/>
      <c r="EM231" s="1007"/>
      <c r="EN231" s="1007"/>
      <c r="EO231" s="1007"/>
      <c r="EP231" s="1007"/>
      <c r="EQ231" s="1007"/>
      <c r="ER231" s="1007"/>
      <c r="ES231" s="1007"/>
      <c r="ET231" s="1007"/>
      <c r="EU231" s="1007"/>
      <c r="EV231" s="1007"/>
      <c r="EW231" s="1007"/>
      <c r="EX231" s="1007"/>
      <c r="EY231" s="1007"/>
      <c r="EZ231" s="1007"/>
      <c r="FA231" s="1007"/>
      <c r="FB231" s="1007"/>
      <c r="FC231" s="1007"/>
      <c r="FD231" s="1007"/>
      <c r="FE231" s="1007"/>
      <c r="FF231" s="1007"/>
      <c r="FG231" s="1007"/>
      <c r="FH231" s="1007"/>
      <c r="FI231" s="1007"/>
      <c r="FJ231" s="1007"/>
      <c r="FK231" s="1007"/>
      <c r="FL231" s="1007"/>
      <c r="FM231" s="1007"/>
      <c r="FN231" s="1007"/>
      <c r="FO231" s="1007"/>
      <c r="FP231" s="1007"/>
      <c r="FQ231" s="1007"/>
      <c r="FR231" s="1007"/>
      <c r="FS231" s="1007"/>
      <c r="FT231" s="1007"/>
      <c r="FU231" s="1007"/>
      <c r="FV231" s="1007"/>
      <c r="FW231" s="1007"/>
      <c r="FX231" s="1007"/>
      <c r="FY231" s="1007"/>
      <c r="FZ231" s="1007"/>
      <c r="GA231" s="1007"/>
      <c r="GB231" s="1007"/>
      <c r="GC231" s="1007"/>
      <c r="GD231" s="1007"/>
      <c r="GE231" s="1007"/>
      <c r="GF231" s="1007"/>
      <c r="GG231" s="1007"/>
      <c r="GH231" s="1007"/>
      <c r="GI231" s="1007"/>
      <c r="GJ231" s="1007"/>
      <c r="GK231" s="1007"/>
      <c r="GL231" s="1007"/>
      <c r="GM231" s="1007"/>
      <c r="GN231" s="1007"/>
      <c r="GO231" s="1007"/>
      <c r="GP231" s="1007"/>
      <c r="GQ231" s="1007"/>
      <c r="GR231" s="1007"/>
      <c r="GS231" s="1007"/>
      <c r="GT231" s="1007"/>
      <c r="GU231" s="1007"/>
      <c r="GV231" s="1007"/>
      <c r="GW231" s="1007"/>
      <c r="GX231" s="1007"/>
      <c r="GY231" s="1007"/>
      <c r="GZ231" s="1007"/>
      <c r="HA231" s="1007"/>
      <c r="HB231" s="1007"/>
      <c r="HC231" s="1007"/>
      <c r="HD231" s="1007"/>
      <c r="HE231" s="1007"/>
      <c r="HF231" s="1007"/>
      <c r="HG231" s="1007"/>
      <c r="HH231" s="1007"/>
      <c r="HI231" s="1007"/>
      <c r="HJ231" s="1007"/>
      <c r="HK231" s="1007"/>
      <c r="HL231" s="1007"/>
      <c r="HM231" s="1007"/>
      <c r="HN231" s="1007"/>
      <c r="HO231" s="1007"/>
      <c r="HP231" s="1007"/>
      <c r="HQ231" s="1007"/>
      <c r="HR231" s="1007"/>
      <c r="HS231" s="1007"/>
      <c r="HT231" s="1007"/>
      <c r="HU231" s="1007"/>
      <c r="HV231" s="1007"/>
      <c r="HW231" s="1007"/>
      <c r="HX231" s="1007"/>
      <c r="HY231" s="1007"/>
      <c r="HZ231" s="1007"/>
      <c r="IA231" s="1007"/>
      <c r="IB231" s="1007"/>
      <c r="IC231" s="1007"/>
      <c r="ID231" s="1007"/>
      <c r="IE231" s="1007"/>
      <c r="IF231" s="1007"/>
      <c r="IG231" s="1007"/>
      <c r="IH231" s="1007"/>
    </row>
    <row r="232" hidden="1" outlineLevel="1">
      <c r="A232" s="598"/>
      <c r="B232" s="598"/>
      <c r="C232" s="598"/>
      <c r="D232" s="598"/>
      <c r="E232" s="598"/>
      <c r="F232" s="598"/>
      <c r="G232" s="598"/>
      <c r="H232" s="598"/>
      <c r="I232" s="598"/>
      <c r="J232" s="598"/>
      <c r="K232" s="598"/>
      <c r="L232" s="598"/>
      <c r="M232" s="598"/>
      <c r="N232" s="598"/>
      <c r="O232" s="598"/>
      <c r="P232" s="598"/>
      <c r="Q232" s="598"/>
      <c r="R232" s="598"/>
      <c r="S232" s="598"/>
      <c r="T232" s="598"/>
      <c r="U232" s="598"/>
      <c r="V232" s="598"/>
      <c r="W232" s="598"/>
      <c r="X232" s="598"/>
      <c r="Y232" s="598"/>
      <c r="Z232" s="598"/>
      <c r="AA232" s="911"/>
      <c r="AB232" s="1006"/>
      <c r="AC232" s="1007"/>
      <c r="AD232" s="1008"/>
      <c r="AE232" s="1007"/>
      <c r="AF232" s="1007"/>
      <c r="AG232" s="1007"/>
      <c r="AH232" s="1007"/>
      <c r="AI232" s="1007"/>
      <c r="AJ232" s="1007"/>
      <c r="AK232" s="1007"/>
      <c r="AL232" s="1007"/>
      <c r="AM232" s="1007"/>
      <c r="AN232" s="1007"/>
      <c r="AO232" s="1007"/>
      <c r="AP232" s="1007"/>
      <c r="AQ232" s="1007"/>
      <c r="AR232" s="1007"/>
      <c r="AS232" s="1007"/>
      <c r="AT232" s="1007"/>
      <c r="AU232" s="1007"/>
      <c r="AV232" s="1007"/>
      <c r="AW232" s="1007"/>
      <c r="AX232" s="1007"/>
      <c r="AY232" s="1007"/>
      <c r="AZ232" s="1007"/>
      <c r="BA232" s="1007"/>
      <c r="BB232" s="1007"/>
      <c r="BC232" s="1007"/>
      <c r="BD232" s="1007"/>
      <c r="BE232" s="1007"/>
      <c r="BF232" s="1007"/>
      <c r="BG232" s="1007"/>
      <c r="BH232" s="1007"/>
      <c r="BI232" s="1007"/>
      <c r="BJ232" s="1007"/>
      <c r="BK232" s="1007"/>
      <c r="BL232" s="1007"/>
      <c r="BM232" s="1007"/>
      <c r="BN232" s="1007"/>
      <c r="BO232" s="1007"/>
      <c r="BP232" s="1007"/>
      <c r="BQ232" s="1007"/>
      <c r="BR232" s="1007"/>
      <c r="BS232" s="1007"/>
      <c r="BT232" s="1007"/>
      <c r="BU232" s="1007"/>
      <c r="BV232" s="1007"/>
      <c r="BW232" s="1007"/>
      <c r="BX232" s="1007"/>
      <c r="BY232" s="1007"/>
      <c r="BZ232" s="1007"/>
      <c r="CA232" s="1007"/>
      <c r="CB232" s="1007"/>
      <c r="CC232" s="1007"/>
      <c r="CD232" s="1007"/>
      <c r="CE232" s="1007"/>
      <c r="CF232" s="1007"/>
      <c r="CG232" s="1007"/>
      <c r="CH232" s="1007"/>
      <c r="CI232" s="1007"/>
      <c r="CJ232" s="1007"/>
      <c r="CK232" s="1007"/>
      <c r="CL232" s="1007"/>
      <c r="CM232" s="1007"/>
      <c r="CN232" s="1007"/>
      <c r="CO232" s="1007"/>
      <c r="CP232" s="1007"/>
      <c r="CQ232" s="1007"/>
      <c r="CR232" s="1007"/>
      <c r="CS232" s="1007"/>
      <c r="CT232" s="1007"/>
      <c r="CU232" s="1007"/>
      <c r="CV232" s="1007"/>
      <c r="CW232" s="1007"/>
      <c r="CX232" s="1007"/>
      <c r="CY232" s="1007"/>
      <c r="CZ232" s="1007"/>
      <c r="DA232" s="1007"/>
      <c r="DB232" s="1007"/>
      <c r="DC232" s="1007"/>
      <c r="DD232" s="1007"/>
      <c r="DE232" s="1007"/>
      <c r="DF232" s="1007"/>
      <c r="DG232" s="1007"/>
      <c r="DH232" s="1007"/>
      <c r="DI232" s="1007"/>
      <c r="DJ232" s="1007"/>
      <c r="DK232" s="1007"/>
      <c r="DL232" s="1007"/>
      <c r="DM232" s="1007"/>
      <c r="DN232" s="1007"/>
      <c r="DO232" s="1007"/>
      <c r="DP232" s="1007"/>
      <c r="DQ232" s="1007"/>
      <c r="DR232" s="1007"/>
      <c r="DS232" s="1007"/>
      <c r="DT232" s="1007"/>
      <c r="DU232" s="1007"/>
      <c r="DV232" s="1007"/>
      <c r="DW232" s="1007"/>
      <c r="DX232" s="1007"/>
      <c r="DY232" s="1007"/>
      <c r="DZ232" s="1007"/>
      <c r="EA232" s="1007"/>
      <c r="EB232" s="1007"/>
      <c r="EC232" s="1007"/>
      <c r="ED232" s="1007"/>
      <c r="EE232" s="1007"/>
      <c r="EF232" s="1007"/>
      <c r="EG232" s="1007"/>
      <c r="EH232" s="1007"/>
      <c r="EI232" s="1007"/>
      <c r="EJ232" s="1007"/>
      <c r="EK232" s="1007"/>
      <c r="EL232" s="1007"/>
      <c r="EM232" s="1007"/>
      <c r="EN232" s="1007"/>
      <c r="EO232" s="1007"/>
      <c r="EP232" s="1007"/>
      <c r="EQ232" s="1007"/>
      <c r="ER232" s="1007"/>
      <c r="ES232" s="1007"/>
      <c r="ET232" s="1007"/>
      <c r="EU232" s="1007"/>
      <c r="EV232" s="1007"/>
      <c r="EW232" s="1007"/>
      <c r="EX232" s="1007"/>
      <c r="EY232" s="1007"/>
      <c r="EZ232" s="1007"/>
      <c r="FA232" s="1007"/>
      <c r="FB232" s="1007"/>
      <c r="FC232" s="1007"/>
      <c r="FD232" s="1007"/>
      <c r="FE232" s="1007"/>
      <c r="FF232" s="1007"/>
      <c r="FG232" s="1007"/>
      <c r="FH232" s="1007"/>
      <c r="FI232" s="1007"/>
      <c r="FJ232" s="1007"/>
      <c r="FK232" s="1007"/>
      <c r="FL232" s="1007"/>
      <c r="FM232" s="1007"/>
      <c r="FN232" s="1007"/>
      <c r="FO232" s="1007"/>
      <c r="FP232" s="1007"/>
      <c r="FQ232" s="1007"/>
      <c r="FR232" s="1007"/>
      <c r="FS232" s="1007"/>
      <c r="FT232" s="1007"/>
      <c r="FU232" s="1007"/>
      <c r="FV232" s="1007"/>
      <c r="FW232" s="1007"/>
      <c r="FX232" s="1007"/>
      <c r="FY232" s="1007"/>
      <c r="FZ232" s="1007"/>
      <c r="GA232" s="1007"/>
      <c r="GB232" s="1007"/>
      <c r="GC232" s="1007"/>
      <c r="GD232" s="1007"/>
      <c r="GE232" s="1007"/>
      <c r="GF232" s="1007"/>
      <c r="GG232" s="1007"/>
      <c r="GH232" s="1007"/>
      <c r="GI232" s="1007"/>
      <c r="GJ232" s="1007"/>
      <c r="GK232" s="1007"/>
      <c r="GL232" s="1007"/>
      <c r="GM232" s="1007"/>
      <c r="GN232" s="1007"/>
      <c r="GO232" s="1007"/>
      <c r="GP232" s="1007"/>
      <c r="GQ232" s="1007"/>
      <c r="GR232" s="1007"/>
      <c r="GS232" s="1007"/>
      <c r="GT232" s="1007"/>
      <c r="GU232" s="1007"/>
      <c r="GV232" s="1007"/>
      <c r="GW232" s="1007"/>
      <c r="GX232" s="1007"/>
      <c r="GY232" s="1007"/>
      <c r="GZ232" s="1007"/>
      <c r="HA232" s="1007"/>
      <c r="HB232" s="1007"/>
      <c r="HC232" s="1007"/>
      <c r="HD232" s="1007"/>
      <c r="HE232" s="1007"/>
      <c r="HF232" s="1007"/>
      <c r="HG232" s="1007"/>
      <c r="HH232" s="1007"/>
      <c r="HI232" s="1007"/>
      <c r="HJ232" s="1007"/>
      <c r="HK232" s="1007"/>
      <c r="HL232" s="1007"/>
      <c r="HM232" s="1007"/>
      <c r="HN232" s="1007"/>
      <c r="HO232" s="1007"/>
      <c r="HP232" s="1007"/>
      <c r="HQ232" s="1007"/>
      <c r="HR232" s="1007"/>
      <c r="HS232" s="1007"/>
      <c r="HT232" s="1007"/>
      <c r="HU232" s="1007"/>
      <c r="HV232" s="1007"/>
      <c r="HW232" s="1007"/>
      <c r="HX232" s="1007"/>
      <c r="HY232" s="1007"/>
      <c r="HZ232" s="1007"/>
      <c r="IA232" s="1007"/>
      <c r="IB232" s="1007"/>
      <c r="IC232" s="1007"/>
      <c r="ID232" s="1007"/>
      <c r="IE232" s="1007"/>
      <c r="IF232" s="1007"/>
      <c r="IG232" s="1007"/>
      <c r="IH232" s="1007"/>
    </row>
    <row r="233" hidden="1" outlineLevel="1">
      <c r="A233" s="598"/>
      <c r="B233" s="598"/>
      <c r="C233" s="598"/>
      <c r="D233" s="598"/>
      <c r="E233" s="598"/>
      <c r="F233" s="598"/>
      <c r="G233" s="598"/>
      <c r="H233" s="598"/>
      <c r="I233" s="598"/>
      <c r="J233" s="598"/>
      <c r="K233" s="598"/>
      <c r="L233" s="598"/>
      <c r="M233" s="598"/>
      <c r="N233" s="598"/>
      <c r="O233" s="598"/>
      <c r="P233" s="598"/>
      <c r="Q233" s="598"/>
      <c r="R233" s="598"/>
      <c r="S233" s="598"/>
      <c r="T233" s="598"/>
      <c r="U233" s="598"/>
      <c r="V233" s="598"/>
      <c r="W233" s="598"/>
      <c r="X233" s="598"/>
      <c r="Y233" s="598"/>
      <c r="Z233" s="598"/>
      <c r="AA233" s="911"/>
      <c r="AB233" s="1006"/>
      <c r="AC233" s="1007"/>
      <c r="AD233" s="1008"/>
      <c r="AE233" s="1007"/>
      <c r="AF233" s="1007"/>
      <c r="AG233" s="1007"/>
      <c r="AH233" s="1007"/>
      <c r="AI233" s="1007"/>
      <c r="AJ233" s="1007"/>
      <c r="AK233" s="1007"/>
      <c r="AL233" s="1007"/>
      <c r="AM233" s="1007"/>
      <c r="AN233" s="1007"/>
      <c r="AO233" s="1007"/>
      <c r="AP233" s="1007"/>
      <c r="AQ233" s="1007"/>
      <c r="AR233" s="1007"/>
      <c r="AS233" s="1007"/>
      <c r="AT233" s="1007"/>
      <c r="AU233" s="1007"/>
      <c r="AV233" s="1007"/>
      <c r="AW233" s="1007"/>
      <c r="AX233" s="1007"/>
      <c r="AY233" s="1007"/>
      <c r="AZ233" s="1007"/>
      <c r="BA233" s="1007"/>
      <c r="BB233" s="1007"/>
      <c r="BC233" s="1007"/>
      <c r="BD233" s="1007"/>
      <c r="BE233" s="1007"/>
      <c r="BF233" s="1007"/>
      <c r="BG233" s="1007"/>
      <c r="BH233" s="1007"/>
      <c r="BI233" s="1007"/>
      <c r="BJ233" s="1007"/>
      <c r="BK233" s="1007"/>
      <c r="BL233" s="1007"/>
      <c r="BM233" s="1007"/>
      <c r="BN233" s="1007"/>
      <c r="BO233" s="1007"/>
      <c r="BP233" s="1007"/>
      <c r="BQ233" s="1007"/>
      <c r="BR233" s="1007"/>
      <c r="BS233" s="1007"/>
      <c r="BT233" s="1007"/>
      <c r="BU233" s="1007"/>
      <c r="BV233" s="1007"/>
      <c r="BW233" s="1007"/>
      <c r="BX233" s="1007"/>
      <c r="BY233" s="1007"/>
      <c r="BZ233" s="1007"/>
      <c r="CA233" s="1007"/>
      <c r="CB233" s="1007"/>
      <c r="CC233" s="1007"/>
      <c r="CD233" s="1007"/>
      <c r="CE233" s="1007"/>
      <c r="CF233" s="1007"/>
      <c r="CG233" s="1007"/>
      <c r="CH233" s="1007"/>
      <c r="CI233" s="1007"/>
      <c r="CJ233" s="1007"/>
      <c r="CK233" s="1007"/>
      <c r="CL233" s="1007"/>
      <c r="CM233" s="1007"/>
      <c r="CN233" s="1007"/>
      <c r="CO233" s="1007"/>
      <c r="CP233" s="1007"/>
      <c r="CQ233" s="1007"/>
      <c r="CR233" s="1007"/>
      <c r="CS233" s="1007"/>
      <c r="CT233" s="1007"/>
      <c r="CU233" s="1007"/>
      <c r="CV233" s="1007"/>
      <c r="CW233" s="1007"/>
      <c r="CX233" s="1007"/>
      <c r="CY233" s="1007"/>
      <c r="CZ233" s="1007"/>
      <c r="DA233" s="1007"/>
      <c r="DB233" s="1007"/>
      <c r="DC233" s="1007"/>
      <c r="DD233" s="1007"/>
      <c r="DE233" s="1007"/>
      <c r="DF233" s="1007"/>
      <c r="DG233" s="1007"/>
      <c r="DH233" s="1007"/>
      <c r="DI233" s="1007"/>
      <c r="DJ233" s="1007"/>
      <c r="DK233" s="1007"/>
      <c r="DL233" s="1007"/>
      <c r="DM233" s="1007"/>
      <c r="DN233" s="1007"/>
      <c r="DO233" s="1007"/>
      <c r="DP233" s="1007"/>
      <c r="DQ233" s="1007"/>
      <c r="DR233" s="1007"/>
      <c r="DS233" s="1007"/>
      <c r="DT233" s="1007"/>
      <c r="DU233" s="1007"/>
      <c r="DV233" s="1007"/>
      <c r="DW233" s="1007"/>
      <c r="DX233" s="1007"/>
      <c r="DY233" s="1007"/>
      <c r="DZ233" s="1007"/>
      <c r="EA233" s="1007"/>
      <c r="EB233" s="1007"/>
      <c r="EC233" s="1007"/>
      <c r="ED233" s="1007"/>
      <c r="EE233" s="1007"/>
      <c r="EF233" s="1007"/>
      <c r="EG233" s="1007"/>
      <c r="EH233" s="1007"/>
      <c r="EI233" s="1007"/>
      <c r="EJ233" s="1007"/>
      <c r="EK233" s="1007"/>
      <c r="EL233" s="1007"/>
      <c r="EM233" s="1007"/>
      <c r="EN233" s="1007"/>
      <c r="EO233" s="1007"/>
      <c r="EP233" s="1007"/>
      <c r="EQ233" s="1007"/>
      <c r="ER233" s="1007"/>
      <c r="ES233" s="1007"/>
      <c r="ET233" s="1007"/>
      <c r="EU233" s="1007"/>
      <c r="EV233" s="1007"/>
      <c r="EW233" s="1007"/>
      <c r="EX233" s="1007"/>
      <c r="EY233" s="1007"/>
      <c r="EZ233" s="1007"/>
      <c r="FA233" s="1007"/>
      <c r="FB233" s="1007"/>
      <c r="FC233" s="1007"/>
      <c r="FD233" s="1007"/>
      <c r="FE233" s="1007"/>
      <c r="FF233" s="1007"/>
      <c r="FG233" s="1007"/>
      <c r="FH233" s="1007"/>
      <c r="FI233" s="1007"/>
      <c r="FJ233" s="1007"/>
      <c r="FK233" s="1007"/>
      <c r="FL233" s="1007"/>
      <c r="FM233" s="1007"/>
      <c r="FN233" s="1007"/>
      <c r="FO233" s="1007"/>
      <c r="FP233" s="1007"/>
      <c r="FQ233" s="1007"/>
      <c r="FR233" s="1007"/>
      <c r="FS233" s="1007"/>
      <c r="FT233" s="1007"/>
      <c r="FU233" s="1007"/>
      <c r="FV233" s="1007"/>
      <c r="FW233" s="1007"/>
      <c r="FX233" s="1007"/>
      <c r="FY233" s="1007"/>
      <c r="FZ233" s="1007"/>
      <c r="GA233" s="1007"/>
      <c r="GB233" s="1007"/>
      <c r="GC233" s="1007"/>
      <c r="GD233" s="1007"/>
      <c r="GE233" s="1007"/>
      <c r="GF233" s="1007"/>
      <c r="GG233" s="1007"/>
      <c r="GH233" s="1007"/>
      <c r="GI233" s="1007"/>
      <c r="GJ233" s="1007"/>
      <c r="GK233" s="1007"/>
      <c r="GL233" s="1007"/>
      <c r="GM233" s="1007"/>
      <c r="GN233" s="1007"/>
      <c r="GO233" s="1007"/>
      <c r="GP233" s="1007"/>
      <c r="GQ233" s="1007"/>
      <c r="GR233" s="1007"/>
      <c r="GS233" s="1007"/>
      <c r="GT233" s="1007"/>
      <c r="GU233" s="1007"/>
      <c r="GV233" s="1007"/>
      <c r="GW233" s="1007"/>
      <c r="GX233" s="1007"/>
      <c r="GY233" s="1007"/>
      <c r="GZ233" s="1007"/>
      <c r="HA233" s="1007"/>
      <c r="HB233" s="1007"/>
      <c r="HC233" s="1007"/>
      <c r="HD233" s="1007"/>
      <c r="HE233" s="1007"/>
      <c r="HF233" s="1007"/>
      <c r="HG233" s="1007"/>
      <c r="HH233" s="1007"/>
      <c r="HI233" s="1007"/>
      <c r="HJ233" s="1007"/>
      <c r="HK233" s="1007"/>
      <c r="HL233" s="1007"/>
      <c r="HM233" s="1007"/>
      <c r="HN233" s="1007"/>
      <c r="HO233" s="1007"/>
      <c r="HP233" s="1007"/>
      <c r="HQ233" s="1007"/>
      <c r="HR233" s="1007"/>
      <c r="HS233" s="1007"/>
      <c r="HT233" s="1007"/>
      <c r="HU233" s="1007"/>
      <c r="HV233" s="1007"/>
      <c r="HW233" s="1007"/>
      <c r="HX233" s="1007"/>
      <c r="HY233" s="1007"/>
      <c r="HZ233" s="1007"/>
      <c r="IA233" s="1007"/>
      <c r="IB233" s="1007"/>
      <c r="IC233" s="1007"/>
      <c r="ID233" s="1007"/>
      <c r="IE233" s="1007"/>
      <c r="IF233" s="1007"/>
      <c r="IG233" s="1007"/>
      <c r="IH233" s="1007"/>
    </row>
    <row r="234" hidden="1" outlineLevel="1">
      <c r="A234" s="598"/>
      <c r="B234" s="598"/>
      <c r="C234" s="598"/>
      <c r="D234" s="598"/>
      <c r="E234" s="598"/>
      <c r="F234" s="598"/>
      <c r="G234" s="598"/>
      <c r="H234" s="598"/>
      <c r="I234" s="598"/>
      <c r="J234" s="598"/>
      <c r="K234" s="598"/>
      <c r="L234" s="598"/>
      <c r="M234" s="598"/>
      <c r="N234" s="598"/>
      <c r="O234" s="598"/>
      <c r="P234" s="598"/>
      <c r="Q234" s="598"/>
      <c r="R234" s="598"/>
      <c r="S234" s="598"/>
      <c r="T234" s="598"/>
      <c r="U234" s="598"/>
      <c r="V234" s="598"/>
      <c r="W234" s="598"/>
      <c r="X234" s="598"/>
      <c r="Y234" s="598"/>
      <c r="Z234" s="598"/>
      <c r="AA234" s="911"/>
      <c r="AB234" s="1006"/>
      <c r="AC234" s="1007"/>
      <c r="AD234" s="1008"/>
      <c r="AE234" s="1007"/>
      <c r="AF234" s="1007"/>
      <c r="AG234" s="1007"/>
      <c r="AH234" s="1007"/>
      <c r="AI234" s="1007"/>
      <c r="AJ234" s="1007"/>
      <c r="AK234" s="1007"/>
      <c r="AL234" s="1007"/>
      <c r="AM234" s="1007"/>
      <c r="AN234" s="1007"/>
      <c r="AO234" s="1007"/>
      <c r="AP234" s="1007"/>
      <c r="AQ234" s="1007"/>
      <c r="AR234" s="1007"/>
      <c r="AS234" s="1007"/>
      <c r="AT234" s="1007"/>
      <c r="AU234" s="1007"/>
      <c r="AV234" s="1007"/>
      <c r="AW234" s="1007"/>
      <c r="AX234" s="1007"/>
      <c r="AY234" s="1007"/>
      <c r="AZ234" s="1007"/>
      <c r="BA234" s="1007"/>
      <c r="BB234" s="1007"/>
      <c r="BC234" s="1007"/>
      <c r="BD234" s="1007"/>
      <c r="BE234" s="1007"/>
      <c r="BF234" s="1007"/>
      <c r="BG234" s="1007"/>
      <c r="BH234" s="1007"/>
      <c r="BI234" s="1007"/>
      <c r="BJ234" s="1007"/>
      <c r="BK234" s="1007"/>
      <c r="BL234" s="1007"/>
      <c r="BM234" s="1007"/>
      <c r="BN234" s="1007"/>
      <c r="BO234" s="1007"/>
      <c r="BP234" s="1007"/>
      <c r="BQ234" s="1007"/>
      <c r="BR234" s="1007"/>
      <c r="BS234" s="1007"/>
      <c r="BT234" s="1007"/>
      <c r="BU234" s="1007"/>
      <c r="BV234" s="1007"/>
      <c r="BW234" s="1007"/>
      <c r="BX234" s="1007"/>
      <c r="BY234" s="1007"/>
      <c r="BZ234" s="1007"/>
      <c r="CA234" s="1007"/>
      <c r="CB234" s="1007"/>
      <c r="CC234" s="1007"/>
      <c r="CD234" s="1007"/>
      <c r="CE234" s="1007"/>
      <c r="CF234" s="1007"/>
      <c r="CG234" s="1007"/>
      <c r="CH234" s="1007"/>
      <c r="CI234" s="1007"/>
      <c r="CJ234" s="1007"/>
      <c r="CK234" s="1007"/>
      <c r="CL234" s="1007"/>
      <c r="CM234" s="1007"/>
      <c r="CN234" s="1007"/>
      <c r="CO234" s="1007"/>
      <c r="CP234" s="1007"/>
      <c r="CQ234" s="1007"/>
      <c r="CR234" s="1007"/>
      <c r="CS234" s="1007"/>
      <c r="CT234" s="1007"/>
      <c r="CU234" s="1007"/>
      <c r="CV234" s="1007"/>
      <c r="CW234" s="1007"/>
      <c r="CX234" s="1007"/>
      <c r="CY234" s="1007"/>
      <c r="CZ234" s="1007"/>
      <c r="DA234" s="1007"/>
      <c r="DB234" s="1007"/>
      <c r="DC234" s="1007"/>
      <c r="DD234" s="1007"/>
      <c r="DE234" s="1007"/>
      <c r="DF234" s="1007"/>
      <c r="DG234" s="1007"/>
      <c r="DH234" s="1007"/>
      <c r="DI234" s="1007"/>
      <c r="DJ234" s="1007"/>
      <c r="DK234" s="1007"/>
      <c r="DL234" s="1007"/>
      <c r="DM234" s="1007"/>
      <c r="DN234" s="1007"/>
      <c r="DO234" s="1007"/>
      <c r="DP234" s="1007"/>
      <c r="DQ234" s="1007"/>
      <c r="DR234" s="1007"/>
      <c r="DS234" s="1007"/>
      <c r="DT234" s="1007"/>
      <c r="DU234" s="1007"/>
      <c r="DV234" s="1007"/>
      <c r="DW234" s="1007"/>
      <c r="DX234" s="1007"/>
      <c r="DY234" s="1007"/>
      <c r="DZ234" s="1007"/>
      <c r="EA234" s="1007"/>
      <c r="EB234" s="1007"/>
      <c r="EC234" s="1007"/>
      <c r="ED234" s="1007"/>
      <c r="EE234" s="1007"/>
      <c r="EF234" s="1007"/>
      <c r="EG234" s="1007"/>
      <c r="EH234" s="1007"/>
      <c r="EI234" s="1007"/>
      <c r="EJ234" s="1007"/>
      <c r="EK234" s="1007"/>
      <c r="EL234" s="1007"/>
      <c r="EM234" s="1007"/>
      <c r="EN234" s="1007"/>
      <c r="EO234" s="1007"/>
      <c r="EP234" s="1007"/>
      <c r="EQ234" s="1007"/>
      <c r="ER234" s="1007"/>
      <c r="ES234" s="1007"/>
      <c r="ET234" s="1007"/>
      <c r="EU234" s="1007"/>
      <c r="EV234" s="1007"/>
      <c r="EW234" s="1007"/>
      <c r="EX234" s="1007"/>
      <c r="EY234" s="1007"/>
      <c r="EZ234" s="1007"/>
      <c r="FA234" s="1007"/>
      <c r="FB234" s="1007"/>
      <c r="FC234" s="1007"/>
      <c r="FD234" s="1007"/>
      <c r="FE234" s="1007"/>
      <c r="FF234" s="1007"/>
      <c r="FG234" s="1007"/>
      <c r="FH234" s="1007"/>
      <c r="FI234" s="1007"/>
      <c r="FJ234" s="1007"/>
      <c r="FK234" s="1007"/>
      <c r="FL234" s="1007"/>
      <c r="FM234" s="1007"/>
      <c r="FN234" s="1007"/>
      <c r="FO234" s="1007"/>
      <c r="FP234" s="1007"/>
      <c r="FQ234" s="1007"/>
      <c r="FR234" s="1007"/>
      <c r="FS234" s="1007"/>
      <c r="FT234" s="1007"/>
      <c r="FU234" s="1007"/>
      <c r="FV234" s="1007"/>
      <c r="FW234" s="1007"/>
      <c r="FX234" s="1007"/>
      <c r="FY234" s="1007"/>
      <c r="FZ234" s="1007"/>
      <c r="GA234" s="1007"/>
      <c r="GB234" s="1007"/>
      <c r="GC234" s="1007"/>
      <c r="GD234" s="1007"/>
      <c r="GE234" s="1007"/>
      <c r="GF234" s="1007"/>
      <c r="GG234" s="1007"/>
      <c r="GH234" s="1007"/>
      <c r="GI234" s="1007"/>
      <c r="GJ234" s="1007"/>
      <c r="GK234" s="1007"/>
      <c r="GL234" s="1007"/>
      <c r="GM234" s="1007"/>
      <c r="GN234" s="1007"/>
      <c r="GO234" s="1007"/>
      <c r="GP234" s="1007"/>
      <c r="GQ234" s="1007"/>
      <c r="GR234" s="1007"/>
      <c r="GS234" s="1007"/>
      <c r="GT234" s="1007"/>
      <c r="GU234" s="1007"/>
      <c r="GV234" s="1007"/>
      <c r="GW234" s="1007"/>
      <c r="GX234" s="1007"/>
      <c r="GY234" s="1007"/>
      <c r="GZ234" s="1007"/>
      <c r="HA234" s="1007"/>
      <c r="HB234" s="1007"/>
      <c r="HC234" s="1007"/>
      <c r="HD234" s="1007"/>
      <c r="HE234" s="1007"/>
      <c r="HF234" s="1007"/>
      <c r="HG234" s="1007"/>
      <c r="HH234" s="1007"/>
      <c r="HI234" s="1007"/>
      <c r="HJ234" s="1007"/>
      <c r="HK234" s="1007"/>
      <c r="HL234" s="1007"/>
      <c r="HM234" s="1007"/>
      <c r="HN234" s="1007"/>
      <c r="HO234" s="1007"/>
      <c r="HP234" s="1007"/>
      <c r="HQ234" s="1007"/>
      <c r="HR234" s="1007"/>
      <c r="HS234" s="1007"/>
      <c r="HT234" s="1007"/>
      <c r="HU234" s="1007"/>
      <c r="HV234" s="1007"/>
      <c r="HW234" s="1007"/>
      <c r="HX234" s="1007"/>
      <c r="HY234" s="1007"/>
      <c r="HZ234" s="1007"/>
      <c r="IA234" s="1007"/>
      <c r="IB234" s="1007"/>
      <c r="IC234" s="1007"/>
      <c r="ID234" s="1007"/>
      <c r="IE234" s="1007"/>
      <c r="IF234" s="1007"/>
      <c r="IG234" s="1007"/>
      <c r="IH234" s="1007"/>
    </row>
    <row r="235" hidden="1" outlineLevel="1">
      <c r="A235" s="598"/>
      <c r="B235" s="598"/>
      <c r="C235" s="598"/>
      <c r="D235" s="598"/>
      <c r="E235" s="598"/>
      <c r="F235" s="598"/>
      <c r="G235" s="598"/>
      <c r="H235" s="598"/>
      <c r="I235" s="598"/>
      <c r="J235" s="598"/>
      <c r="K235" s="598"/>
      <c r="L235" s="598"/>
      <c r="M235" s="598"/>
      <c r="N235" s="598"/>
      <c r="O235" s="598"/>
      <c r="P235" s="598"/>
      <c r="Q235" s="598"/>
      <c r="R235" s="598"/>
      <c r="S235" s="598"/>
      <c r="T235" s="598"/>
      <c r="U235" s="598"/>
      <c r="V235" s="598"/>
      <c r="W235" s="598"/>
      <c r="X235" s="598"/>
      <c r="Y235" s="598"/>
      <c r="Z235" s="598"/>
      <c r="AA235" s="911"/>
      <c r="AB235" s="1006"/>
      <c r="AC235" s="1007"/>
      <c r="AD235" s="1008"/>
      <c r="AE235" s="1007"/>
      <c r="AF235" s="1007"/>
      <c r="AG235" s="1007"/>
      <c r="AH235" s="1007"/>
      <c r="AI235" s="1007"/>
      <c r="AJ235" s="1007"/>
      <c r="AK235" s="1007"/>
      <c r="AL235" s="1007"/>
      <c r="AM235" s="1007"/>
      <c r="AN235" s="1007"/>
      <c r="AO235" s="1007"/>
      <c r="AP235" s="1007"/>
      <c r="AQ235" s="1007"/>
      <c r="AR235" s="1007"/>
      <c r="AS235" s="1007"/>
      <c r="AT235" s="1007"/>
      <c r="AU235" s="1007"/>
      <c r="AV235" s="1007"/>
      <c r="AW235" s="1007"/>
      <c r="AX235" s="1007"/>
      <c r="AY235" s="1007"/>
      <c r="AZ235" s="1007"/>
      <c r="BA235" s="1007"/>
      <c r="BB235" s="1007"/>
      <c r="BC235" s="1007"/>
      <c r="BD235" s="1007"/>
      <c r="BE235" s="1007"/>
      <c r="BF235" s="1007"/>
      <c r="BG235" s="1007"/>
      <c r="BH235" s="1007"/>
      <c r="BI235" s="1007"/>
      <c r="BJ235" s="1007"/>
      <c r="BK235" s="1007"/>
      <c r="BL235" s="1007"/>
      <c r="BM235" s="1007"/>
      <c r="BN235" s="1007"/>
      <c r="BO235" s="1007"/>
      <c r="BP235" s="1007"/>
      <c r="BQ235" s="1007"/>
      <c r="BR235" s="1007"/>
      <c r="BS235" s="1007"/>
      <c r="BT235" s="1007"/>
      <c r="BU235" s="1007"/>
      <c r="BV235" s="1007"/>
      <c r="BW235" s="1007"/>
      <c r="BX235" s="1007"/>
      <c r="BY235" s="1007"/>
      <c r="BZ235" s="1007"/>
      <c r="CA235" s="1007"/>
      <c r="CB235" s="1007"/>
      <c r="CC235" s="1007"/>
      <c r="CD235" s="1007"/>
      <c r="CE235" s="1007"/>
      <c r="CF235" s="1007"/>
      <c r="CG235" s="1007"/>
      <c r="CH235" s="1007"/>
      <c r="CI235" s="1007"/>
      <c r="CJ235" s="1007"/>
      <c r="CK235" s="1007"/>
      <c r="CL235" s="1007"/>
      <c r="CM235" s="1007"/>
      <c r="CN235" s="1007"/>
      <c r="CO235" s="1007"/>
      <c r="CP235" s="1007"/>
      <c r="CQ235" s="1007"/>
      <c r="CR235" s="1007"/>
      <c r="CS235" s="1007"/>
      <c r="CT235" s="1007"/>
      <c r="CU235" s="1007"/>
      <c r="CV235" s="1007"/>
      <c r="CW235" s="1007"/>
      <c r="CX235" s="1007"/>
      <c r="CY235" s="1007"/>
      <c r="CZ235" s="1007"/>
      <c r="DA235" s="1007"/>
      <c r="DB235" s="1007"/>
      <c r="DC235" s="1007"/>
      <c r="DD235" s="1007"/>
      <c r="DE235" s="1007"/>
      <c r="DF235" s="1007"/>
      <c r="DG235" s="1007"/>
      <c r="DH235" s="1007"/>
      <c r="DI235" s="1007"/>
      <c r="DJ235" s="1007"/>
      <c r="DK235" s="1007"/>
      <c r="DL235" s="1007"/>
      <c r="DM235" s="1007"/>
      <c r="DN235" s="1007"/>
      <c r="DO235" s="1007"/>
      <c r="DP235" s="1007"/>
      <c r="DQ235" s="1007"/>
      <c r="DR235" s="1007"/>
      <c r="DS235" s="1007"/>
      <c r="DT235" s="1007"/>
      <c r="DU235" s="1007"/>
      <c r="DV235" s="1007"/>
      <c r="DW235" s="1007"/>
      <c r="DX235" s="1007"/>
      <c r="DY235" s="1007"/>
      <c r="DZ235" s="1007"/>
      <c r="EA235" s="1007"/>
      <c r="EB235" s="1007"/>
      <c r="EC235" s="1007"/>
      <c r="ED235" s="1007"/>
      <c r="EE235" s="1007"/>
      <c r="EF235" s="1007"/>
      <c r="EG235" s="1007"/>
      <c r="EH235" s="1007"/>
      <c r="EI235" s="1007"/>
      <c r="EJ235" s="1007"/>
      <c r="EK235" s="1007"/>
      <c r="EL235" s="1007"/>
      <c r="EM235" s="1007"/>
      <c r="EN235" s="1007"/>
      <c r="EO235" s="1007"/>
      <c r="EP235" s="1007"/>
      <c r="EQ235" s="1007"/>
      <c r="ER235" s="1007"/>
      <c r="ES235" s="1007"/>
      <c r="ET235" s="1007"/>
      <c r="EU235" s="1007"/>
      <c r="EV235" s="1007"/>
      <c r="EW235" s="1007"/>
      <c r="EX235" s="1007"/>
      <c r="EY235" s="1007"/>
      <c r="EZ235" s="1007"/>
      <c r="FA235" s="1007"/>
      <c r="FB235" s="1007"/>
      <c r="FC235" s="1007"/>
      <c r="FD235" s="1007"/>
      <c r="FE235" s="1007"/>
      <c r="FF235" s="1007"/>
      <c r="FG235" s="1007"/>
      <c r="FH235" s="1007"/>
      <c r="FI235" s="1007"/>
      <c r="FJ235" s="1007"/>
      <c r="FK235" s="1007"/>
      <c r="FL235" s="1007"/>
      <c r="FM235" s="1007"/>
      <c r="FN235" s="1007"/>
      <c r="FO235" s="1007"/>
      <c r="FP235" s="1007"/>
      <c r="FQ235" s="1007"/>
      <c r="FR235" s="1007"/>
      <c r="FS235" s="1007"/>
      <c r="FT235" s="1007"/>
      <c r="FU235" s="1007"/>
      <c r="FV235" s="1007"/>
      <c r="FW235" s="1007"/>
      <c r="FX235" s="1007"/>
      <c r="FY235" s="1007"/>
      <c r="FZ235" s="1007"/>
      <c r="GA235" s="1007"/>
      <c r="GB235" s="1007"/>
      <c r="GC235" s="1007"/>
      <c r="GD235" s="1007"/>
      <c r="GE235" s="1007"/>
      <c r="GF235" s="1007"/>
      <c r="GG235" s="1007"/>
      <c r="GH235" s="1007"/>
      <c r="GI235" s="1007"/>
      <c r="GJ235" s="1007"/>
      <c r="GK235" s="1007"/>
      <c r="GL235" s="1007"/>
      <c r="GM235" s="1007"/>
      <c r="GN235" s="1007"/>
      <c r="GO235" s="1007"/>
      <c r="GP235" s="1007"/>
      <c r="GQ235" s="1007"/>
      <c r="GR235" s="1007"/>
      <c r="GS235" s="1007"/>
      <c r="GT235" s="1007"/>
      <c r="GU235" s="1007"/>
      <c r="GV235" s="1007"/>
      <c r="GW235" s="1007"/>
      <c r="GX235" s="1007"/>
      <c r="GY235" s="1007"/>
      <c r="GZ235" s="1007"/>
      <c r="HA235" s="1007"/>
      <c r="HB235" s="1007"/>
      <c r="HC235" s="1007"/>
      <c r="HD235" s="1007"/>
      <c r="HE235" s="1007"/>
      <c r="HF235" s="1007"/>
      <c r="HG235" s="1007"/>
      <c r="HH235" s="1007"/>
      <c r="HI235" s="1007"/>
      <c r="HJ235" s="1007"/>
      <c r="HK235" s="1007"/>
      <c r="HL235" s="1007"/>
      <c r="HM235" s="1007"/>
      <c r="HN235" s="1007"/>
      <c r="HO235" s="1007"/>
      <c r="HP235" s="1007"/>
      <c r="HQ235" s="1007"/>
      <c r="HR235" s="1007"/>
      <c r="HS235" s="1007"/>
      <c r="HT235" s="1007"/>
      <c r="HU235" s="1007"/>
      <c r="HV235" s="1007"/>
      <c r="HW235" s="1007"/>
      <c r="HX235" s="1007"/>
      <c r="HY235" s="1007"/>
      <c r="HZ235" s="1007"/>
      <c r="IA235" s="1007"/>
      <c r="IB235" s="1007"/>
      <c r="IC235" s="1007"/>
      <c r="ID235" s="1007"/>
      <c r="IE235" s="1007"/>
      <c r="IF235" s="1007"/>
      <c r="IG235" s="1007"/>
      <c r="IH235" s="1007"/>
    </row>
    <row r="236" hidden="1" outlineLevel="1">
      <c r="A236" s="598"/>
      <c r="B236" s="598"/>
      <c r="C236" s="598"/>
      <c r="D236" s="598"/>
      <c r="E236" s="598"/>
      <c r="F236" s="598"/>
      <c r="G236" s="598"/>
      <c r="H236" s="598"/>
      <c r="I236" s="598"/>
      <c r="J236" s="598"/>
      <c r="K236" s="598"/>
      <c r="L236" s="598"/>
      <c r="M236" s="598"/>
      <c r="N236" s="598"/>
      <c r="O236" s="598"/>
      <c r="P236" s="598"/>
      <c r="Q236" s="598"/>
      <c r="R236" s="598"/>
      <c r="S236" s="598"/>
      <c r="T236" s="598"/>
      <c r="U236" s="598"/>
      <c r="V236" s="598"/>
      <c r="W236" s="598"/>
      <c r="X236" s="598"/>
      <c r="Y236" s="598"/>
      <c r="Z236" s="598"/>
      <c r="AA236" s="911"/>
      <c r="AB236" s="1006"/>
      <c r="AC236" s="1007"/>
      <c r="AD236" s="1008"/>
      <c r="AE236" s="1007"/>
      <c r="AF236" s="1007"/>
      <c r="AG236" s="1007"/>
      <c r="AH236" s="1007"/>
      <c r="AI236" s="1007"/>
      <c r="AJ236" s="1007"/>
      <c r="AK236" s="1007"/>
      <c r="AL236" s="1007"/>
      <c r="AM236" s="1007"/>
      <c r="AN236" s="1007"/>
      <c r="AO236" s="1007"/>
      <c r="AP236" s="1007"/>
      <c r="AQ236" s="1007"/>
      <c r="AR236" s="1007"/>
      <c r="AS236" s="1007"/>
      <c r="AT236" s="1007"/>
      <c r="AU236" s="1007"/>
      <c r="AV236" s="1007"/>
      <c r="AW236" s="1007"/>
      <c r="AX236" s="1007"/>
      <c r="AY236" s="1007"/>
      <c r="AZ236" s="1007"/>
      <c r="BA236" s="1007"/>
      <c r="BB236" s="1007"/>
      <c r="BC236" s="1007"/>
      <c r="BD236" s="1007"/>
      <c r="BE236" s="1007"/>
      <c r="BF236" s="1007"/>
      <c r="BG236" s="1007"/>
      <c r="BH236" s="1007"/>
      <c r="BI236" s="1007"/>
      <c r="BJ236" s="1007"/>
      <c r="BK236" s="1007"/>
      <c r="BL236" s="1007"/>
      <c r="BM236" s="1007"/>
      <c r="BN236" s="1007"/>
      <c r="BO236" s="1007"/>
      <c r="BP236" s="1007"/>
      <c r="BQ236" s="1007"/>
      <c r="BR236" s="1007"/>
      <c r="BS236" s="1007"/>
      <c r="BT236" s="1007"/>
      <c r="BU236" s="1007"/>
      <c r="BV236" s="1007"/>
      <c r="BW236" s="1007"/>
      <c r="BX236" s="1007"/>
      <c r="BY236" s="1007"/>
      <c r="BZ236" s="1007"/>
      <c r="CA236" s="1007"/>
      <c r="CB236" s="1007"/>
      <c r="CC236" s="1007"/>
      <c r="CD236" s="1007"/>
      <c r="CE236" s="1007"/>
      <c r="CF236" s="1007"/>
      <c r="CG236" s="1007"/>
      <c r="CH236" s="1007"/>
      <c r="CI236" s="1007"/>
      <c r="CJ236" s="1007"/>
      <c r="CK236" s="1007"/>
      <c r="CL236" s="1007"/>
      <c r="CM236" s="1007"/>
      <c r="CN236" s="1007"/>
      <c r="CO236" s="1007"/>
      <c r="CP236" s="1007"/>
      <c r="CQ236" s="1007"/>
      <c r="CR236" s="1007"/>
      <c r="CS236" s="1007"/>
      <c r="CT236" s="1007"/>
      <c r="CU236" s="1007"/>
      <c r="CV236" s="1007"/>
      <c r="CW236" s="1007"/>
      <c r="CX236" s="1007"/>
      <c r="CY236" s="1007"/>
      <c r="CZ236" s="1007"/>
      <c r="DA236" s="1007"/>
      <c r="DB236" s="1007"/>
      <c r="DC236" s="1007"/>
      <c r="DD236" s="1007"/>
      <c r="DE236" s="1007"/>
      <c r="DF236" s="1007"/>
      <c r="DG236" s="1007"/>
      <c r="DH236" s="1007"/>
      <c r="DI236" s="1007"/>
      <c r="DJ236" s="1007"/>
      <c r="DK236" s="1007"/>
      <c r="DL236" s="1007"/>
      <c r="DM236" s="1007"/>
      <c r="DN236" s="1007"/>
      <c r="DO236" s="1007"/>
      <c r="DP236" s="1007"/>
      <c r="DQ236" s="1007"/>
      <c r="DR236" s="1007"/>
      <c r="DS236" s="1007"/>
      <c r="DT236" s="1007"/>
      <c r="DU236" s="1007"/>
      <c r="DV236" s="1007"/>
      <c r="DW236" s="1007"/>
      <c r="DX236" s="1007"/>
      <c r="DY236" s="1007"/>
      <c r="DZ236" s="1007"/>
      <c r="EA236" s="1007"/>
      <c r="EB236" s="1007"/>
      <c r="EC236" s="1007"/>
      <c r="ED236" s="1007"/>
      <c r="EE236" s="1007"/>
      <c r="EF236" s="1007"/>
      <c r="EG236" s="1007"/>
      <c r="EH236" s="1007"/>
      <c r="EI236" s="1007"/>
      <c r="EJ236" s="1007"/>
      <c r="EK236" s="1007"/>
      <c r="EL236" s="1007"/>
      <c r="EM236" s="1007"/>
      <c r="EN236" s="1007"/>
      <c r="EO236" s="1007"/>
      <c r="EP236" s="1007"/>
      <c r="EQ236" s="1007"/>
      <c r="ER236" s="1007"/>
      <c r="ES236" s="1007"/>
      <c r="ET236" s="1007"/>
      <c r="EU236" s="1007"/>
      <c r="EV236" s="1007"/>
      <c r="EW236" s="1007"/>
      <c r="EX236" s="1007"/>
      <c r="EY236" s="1007"/>
      <c r="EZ236" s="1007"/>
      <c r="FA236" s="1007"/>
      <c r="FB236" s="1007"/>
      <c r="FC236" s="1007"/>
      <c r="FD236" s="1007"/>
      <c r="FE236" s="1007"/>
      <c r="FF236" s="1007"/>
      <c r="FG236" s="1007"/>
      <c r="FH236" s="1007"/>
      <c r="FI236" s="1007"/>
      <c r="FJ236" s="1007"/>
      <c r="FK236" s="1007"/>
      <c r="FL236" s="1007"/>
      <c r="FM236" s="1007"/>
      <c r="FN236" s="1007"/>
      <c r="FO236" s="1007"/>
      <c r="FP236" s="1007"/>
      <c r="FQ236" s="1007"/>
      <c r="FR236" s="1007"/>
      <c r="FS236" s="1007"/>
      <c r="FT236" s="1007"/>
      <c r="FU236" s="1007"/>
      <c r="FV236" s="1007"/>
      <c r="FW236" s="1007"/>
      <c r="FX236" s="1007"/>
      <c r="FY236" s="1007"/>
      <c r="FZ236" s="1007"/>
      <c r="GA236" s="1007"/>
      <c r="GB236" s="1007"/>
      <c r="GC236" s="1007"/>
      <c r="GD236" s="1007"/>
      <c r="GE236" s="1007"/>
      <c r="GF236" s="1007"/>
      <c r="GG236" s="1007"/>
      <c r="GH236" s="1007"/>
      <c r="GI236" s="1007"/>
      <c r="GJ236" s="1007"/>
      <c r="GK236" s="1007"/>
      <c r="GL236" s="1007"/>
      <c r="GM236" s="1007"/>
      <c r="GN236" s="1007"/>
      <c r="GO236" s="1007"/>
      <c r="GP236" s="1007"/>
      <c r="GQ236" s="1007"/>
      <c r="GR236" s="1007"/>
      <c r="GS236" s="1007"/>
      <c r="GT236" s="1007"/>
      <c r="GU236" s="1007"/>
      <c r="GV236" s="1007"/>
      <c r="GW236" s="1007"/>
      <c r="GX236" s="1007"/>
      <c r="GY236" s="1007"/>
      <c r="GZ236" s="1007"/>
      <c r="HA236" s="1007"/>
      <c r="HB236" s="1007"/>
      <c r="HC236" s="1007"/>
      <c r="HD236" s="1007"/>
      <c r="HE236" s="1007"/>
      <c r="HF236" s="1007"/>
      <c r="HG236" s="1007"/>
      <c r="HH236" s="1007"/>
      <c r="HI236" s="1007"/>
      <c r="HJ236" s="1007"/>
      <c r="HK236" s="1007"/>
      <c r="HL236" s="1007"/>
      <c r="HM236" s="1007"/>
      <c r="HN236" s="1007"/>
      <c r="HO236" s="1007"/>
      <c r="HP236" s="1007"/>
      <c r="HQ236" s="1007"/>
      <c r="HR236" s="1007"/>
      <c r="HS236" s="1007"/>
      <c r="HT236" s="1007"/>
      <c r="HU236" s="1007"/>
      <c r="HV236" s="1007"/>
      <c r="HW236" s="1007"/>
      <c r="HX236" s="1007"/>
      <c r="HY236" s="1007"/>
      <c r="HZ236" s="1007"/>
      <c r="IA236" s="1007"/>
      <c r="IB236" s="1007"/>
      <c r="IC236" s="1007"/>
      <c r="ID236" s="1007"/>
      <c r="IE236" s="1007"/>
      <c r="IF236" s="1007"/>
      <c r="IG236" s="1007"/>
      <c r="IH236" s="1007"/>
    </row>
    <row r="237" hidden="1" outlineLevel="1">
      <c r="A237" s="598"/>
      <c r="B237" s="598"/>
      <c r="C237" s="598"/>
      <c r="D237" s="598"/>
      <c r="E237" s="598"/>
      <c r="F237" s="598"/>
      <c r="G237" s="598"/>
      <c r="H237" s="598"/>
      <c r="I237" s="598"/>
      <c r="J237" s="598"/>
      <c r="K237" s="598"/>
      <c r="L237" s="598"/>
      <c r="M237" s="598"/>
      <c r="N237" s="598"/>
      <c r="O237" s="598"/>
      <c r="P237" s="598"/>
      <c r="Q237" s="598"/>
      <c r="R237" s="598"/>
      <c r="S237" s="598"/>
      <c r="T237" s="598"/>
      <c r="U237" s="598"/>
      <c r="V237" s="598"/>
      <c r="W237" s="598"/>
      <c r="X237" s="598"/>
      <c r="Y237" s="598"/>
      <c r="Z237" s="598"/>
      <c r="AA237" s="911"/>
      <c r="AB237" s="1006"/>
      <c r="AC237" s="1007"/>
      <c r="AD237" s="1008"/>
      <c r="AE237" s="1007"/>
      <c r="AF237" s="1007"/>
      <c r="AG237" s="1007"/>
      <c r="AH237" s="1007"/>
      <c r="AI237" s="1007"/>
      <c r="AJ237" s="1007"/>
      <c r="AK237" s="1007"/>
      <c r="AL237" s="1007"/>
      <c r="AM237" s="1007"/>
      <c r="AN237" s="1007"/>
      <c r="AO237" s="1007"/>
      <c r="AP237" s="1007"/>
      <c r="AQ237" s="1007"/>
      <c r="AR237" s="1007"/>
      <c r="AS237" s="1007"/>
      <c r="AT237" s="1007"/>
      <c r="AU237" s="1007"/>
      <c r="AV237" s="1007"/>
      <c r="AW237" s="1007"/>
      <c r="AX237" s="1007"/>
      <c r="AY237" s="1007"/>
      <c r="AZ237" s="1007"/>
      <c r="BA237" s="1007"/>
      <c r="BB237" s="1007"/>
      <c r="BC237" s="1007"/>
      <c r="BD237" s="1007"/>
      <c r="BE237" s="1007"/>
      <c r="BF237" s="1007"/>
      <c r="BG237" s="1007"/>
      <c r="BH237" s="1007"/>
      <c r="BI237" s="1007"/>
      <c r="BJ237" s="1007"/>
      <c r="BK237" s="1007"/>
      <c r="BL237" s="1007"/>
      <c r="BM237" s="1007"/>
      <c r="BN237" s="1007"/>
      <c r="BO237" s="1007"/>
      <c r="BP237" s="1007"/>
      <c r="BQ237" s="1007"/>
      <c r="BR237" s="1007"/>
      <c r="BS237" s="1007"/>
      <c r="BT237" s="1007"/>
      <c r="BU237" s="1007"/>
      <c r="BV237" s="1007"/>
      <c r="BW237" s="1007"/>
      <c r="BX237" s="1007"/>
      <c r="BY237" s="1007"/>
      <c r="BZ237" s="1007"/>
      <c r="CA237" s="1007"/>
      <c r="CB237" s="1007"/>
      <c r="CC237" s="1007"/>
      <c r="CD237" s="1007"/>
      <c r="CE237" s="1007"/>
      <c r="CF237" s="1007"/>
      <c r="CG237" s="1007"/>
      <c r="CH237" s="1007"/>
      <c r="CI237" s="1007"/>
      <c r="CJ237" s="1007"/>
      <c r="CK237" s="1007"/>
      <c r="CL237" s="1007"/>
      <c r="CM237" s="1007"/>
      <c r="CN237" s="1007"/>
      <c r="CO237" s="1007"/>
      <c r="CP237" s="1007"/>
      <c r="CQ237" s="1007"/>
      <c r="CR237" s="1007"/>
      <c r="CS237" s="1007"/>
      <c r="CT237" s="1007"/>
      <c r="CU237" s="1007"/>
      <c r="CV237" s="1007"/>
      <c r="CW237" s="1007"/>
      <c r="CX237" s="1007"/>
      <c r="CY237" s="1007"/>
      <c r="CZ237" s="1007"/>
      <c r="DA237" s="1007"/>
      <c r="DB237" s="1007"/>
      <c r="DC237" s="1007"/>
      <c r="DD237" s="1007"/>
      <c r="DE237" s="1007"/>
      <c r="DF237" s="1007"/>
      <c r="DG237" s="1007"/>
      <c r="DH237" s="1007"/>
      <c r="DI237" s="1007"/>
      <c r="DJ237" s="1007"/>
      <c r="DK237" s="1007"/>
      <c r="DL237" s="1007"/>
      <c r="DM237" s="1007"/>
      <c r="DN237" s="1007"/>
      <c r="DO237" s="1007"/>
      <c r="DP237" s="1007"/>
      <c r="DQ237" s="1007"/>
      <c r="DR237" s="1007"/>
      <c r="DS237" s="1007"/>
      <c r="DT237" s="1007"/>
      <c r="DU237" s="1007"/>
      <c r="DV237" s="1007"/>
      <c r="DW237" s="1007"/>
      <c r="DX237" s="1007"/>
      <c r="DY237" s="1007"/>
      <c r="DZ237" s="1007"/>
      <c r="EA237" s="1007"/>
      <c r="EB237" s="1007"/>
      <c r="EC237" s="1007"/>
      <c r="ED237" s="1007"/>
      <c r="EE237" s="1007"/>
      <c r="EF237" s="1007"/>
      <c r="EG237" s="1007"/>
      <c r="EH237" s="1007"/>
      <c r="EI237" s="1007"/>
      <c r="EJ237" s="1007"/>
      <c r="EK237" s="1007"/>
      <c r="EL237" s="1007"/>
      <c r="EM237" s="1007"/>
      <c r="EN237" s="1007"/>
      <c r="EO237" s="1007"/>
      <c r="EP237" s="1007"/>
      <c r="EQ237" s="1007"/>
      <c r="ER237" s="1007"/>
      <c r="ES237" s="1007"/>
      <c r="ET237" s="1007"/>
      <c r="EU237" s="1007"/>
      <c r="EV237" s="1007"/>
      <c r="EW237" s="1007"/>
      <c r="EX237" s="1007"/>
      <c r="EY237" s="1007"/>
      <c r="EZ237" s="1007"/>
      <c r="FA237" s="1007"/>
      <c r="FB237" s="1007"/>
      <c r="FC237" s="1007"/>
      <c r="FD237" s="1007"/>
      <c r="FE237" s="1007"/>
      <c r="FF237" s="1007"/>
      <c r="FG237" s="1007"/>
      <c r="FH237" s="1007"/>
      <c r="FI237" s="1007"/>
      <c r="FJ237" s="1007"/>
      <c r="FK237" s="1007"/>
      <c r="FL237" s="1007"/>
      <c r="FM237" s="1007"/>
      <c r="FN237" s="1007"/>
      <c r="FO237" s="1007"/>
      <c r="FP237" s="1007"/>
      <c r="FQ237" s="1007"/>
      <c r="FR237" s="1007"/>
      <c r="FS237" s="1007"/>
      <c r="FT237" s="1007"/>
      <c r="FU237" s="1007"/>
      <c r="FV237" s="1007"/>
      <c r="FW237" s="1007"/>
      <c r="FX237" s="1007"/>
      <c r="FY237" s="1007"/>
      <c r="FZ237" s="1007"/>
      <c r="GA237" s="1007"/>
      <c r="GB237" s="1007"/>
      <c r="GC237" s="1007"/>
      <c r="GD237" s="1007"/>
      <c r="GE237" s="1007"/>
      <c r="GF237" s="1007"/>
      <c r="GG237" s="1007"/>
      <c r="GH237" s="1007"/>
      <c r="GI237" s="1007"/>
      <c r="GJ237" s="1007"/>
      <c r="GK237" s="1007"/>
      <c r="GL237" s="1007"/>
      <c r="GM237" s="1007"/>
      <c r="GN237" s="1007"/>
      <c r="GO237" s="1007"/>
      <c r="GP237" s="1007"/>
      <c r="GQ237" s="1007"/>
      <c r="GR237" s="1007"/>
      <c r="GS237" s="1007"/>
      <c r="GT237" s="1007"/>
      <c r="GU237" s="1007"/>
      <c r="GV237" s="1007"/>
      <c r="GW237" s="1007"/>
      <c r="GX237" s="1007"/>
      <c r="GY237" s="1007"/>
      <c r="GZ237" s="1007"/>
      <c r="HA237" s="1007"/>
      <c r="HB237" s="1007"/>
      <c r="HC237" s="1007"/>
      <c r="HD237" s="1007"/>
      <c r="HE237" s="1007"/>
      <c r="HF237" s="1007"/>
      <c r="HG237" s="1007"/>
      <c r="HH237" s="1007"/>
      <c r="HI237" s="1007"/>
      <c r="HJ237" s="1007"/>
      <c r="HK237" s="1007"/>
      <c r="HL237" s="1007"/>
      <c r="HM237" s="1007"/>
      <c r="HN237" s="1007"/>
      <c r="HO237" s="1007"/>
      <c r="HP237" s="1007"/>
      <c r="HQ237" s="1007"/>
      <c r="HR237" s="1007"/>
      <c r="HS237" s="1007"/>
      <c r="HT237" s="1007"/>
      <c r="HU237" s="1007"/>
      <c r="HV237" s="1007"/>
      <c r="HW237" s="1007"/>
      <c r="HX237" s="1007"/>
      <c r="HY237" s="1007"/>
      <c r="HZ237" s="1007"/>
      <c r="IA237" s="1007"/>
      <c r="IB237" s="1007"/>
      <c r="IC237" s="1007"/>
      <c r="ID237" s="1007"/>
      <c r="IE237" s="1007"/>
      <c r="IF237" s="1007"/>
      <c r="IG237" s="1007"/>
      <c r="IH237" s="1007"/>
    </row>
    <row r="238" hidden="1" outlineLevel="1">
      <c r="A238" s="598"/>
      <c r="B238" s="598"/>
      <c r="C238" s="598"/>
      <c r="D238" s="598"/>
      <c r="E238" s="598"/>
      <c r="F238" s="598"/>
      <c r="G238" s="598"/>
      <c r="H238" s="598"/>
      <c r="I238" s="598"/>
      <c r="J238" s="598"/>
      <c r="K238" s="598"/>
      <c r="L238" s="598"/>
      <c r="M238" s="598"/>
      <c r="N238" s="598"/>
      <c r="O238" s="598"/>
      <c r="P238" s="598"/>
      <c r="Q238" s="598"/>
      <c r="R238" s="598"/>
      <c r="S238" s="598"/>
      <c r="T238" s="598"/>
      <c r="U238" s="598"/>
      <c r="V238" s="598"/>
      <c r="W238" s="598"/>
      <c r="X238" s="598"/>
      <c r="Y238" s="598"/>
      <c r="Z238" s="598"/>
      <c r="AA238" s="911"/>
      <c r="AB238" s="1006"/>
      <c r="AC238" s="1007"/>
      <c r="AD238" s="1008"/>
      <c r="AE238" s="1007"/>
      <c r="AF238" s="1007"/>
      <c r="AG238" s="1007"/>
      <c r="AH238" s="1007"/>
      <c r="AI238" s="1007"/>
      <c r="AJ238" s="1007"/>
      <c r="AK238" s="1007"/>
      <c r="AL238" s="1007"/>
      <c r="AM238" s="1007"/>
      <c r="AN238" s="1007"/>
      <c r="AO238" s="1007"/>
      <c r="AP238" s="1007"/>
      <c r="AQ238" s="1007"/>
      <c r="AR238" s="1007"/>
      <c r="AS238" s="1007"/>
      <c r="AT238" s="1007"/>
      <c r="AU238" s="1007"/>
      <c r="AV238" s="1007"/>
      <c r="AW238" s="1007"/>
      <c r="AX238" s="1007"/>
      <c r="AY238" s="1007"/>
      <c r="AZ238" s="1007"/>
      <c r="BA238" s="1007"/>
      <c r="BB238" s="1007"/>
      <c r="BC238" s="1007"/>
      <c r="BD238" s="1007"/>
      <c r="BE238" s="1007"/>
      <c r="BF238" s="1007"/>
      <c r="BG238" s="1007"/>
      <c r="BH238" s="1007"/>
      <c r="BI238" s="1007"/>
      <c r="BJ238" s="1007"/>
      <c r="BK238" s="1007"/>
      <c r="BL238" s="1007"/>
      <c r="BM238" s="1007"/>
      <c r="BN238" s="1007"/>
      <c r="BO238" s="1007"/>
      <c r="BP238" s="1007"/>
      <c r="BQ238" s="1007"/>
      <c r="BR238" s="1007"/>
      <c r="BS238" s="1007"/>
      <c r="BT238" s="1007"/>
      <c r="BU238" s="1007"/>
      <c r="BV238" s="1007"/>
      <c r="BW238" s="1007"/>
      <c r="BX238" s="1007"/>
      <c r="BY238" s="1007"/>
      <c r="BZ238" s="1007"/>
      <c r="CA238" s="1007"/>
      <c r="CB238" s="1007"/>
      <c r="CC238" s="1007"/>
      <c r="CD238" s="1007"/>
      <c r="CE238" s="1007"/>
      <c r="CF238" s="1007"/>
      <c r="CG238" s="1007"/>
      <c r="CH238" s="1007"/>
      <c r="CI238" s="1007"/>
      <c r="CJ238" s="1007"/>
      <c r="CK238" s="1007"/>
      <c r="CL238" s="1007"/>
      <c r="CM238" s="1007"/>
      <c r="CN238" s="1007"/>
      <c r="CO238" s="1007"/>
      <c r="CP238" s="1007"/>
      <c r="CQ238" s="1007"/>
      <c r="CR238" s="1007"/>
      <c r="CS238" s="1007"/>
      <c r="CT238" s="1007"/>
      <c r="CU238" s="1007"/>
      <c r="CV238" s="1007"/>
      <c r="CW238" s="1007"/>
      <c r="CX238" s="1007"/>
      <c r="CY238" s="1007"/>
      <c r="CZ238" s="1007"/>
      <c r="DA238" s="1007"/>
      <c r="DB238" s="1007"/>
      <c r="DC238" s="1007"/>
      <c r="DD238" s="1007"/>
      <c r="DE238" s="1007"/>
      <c r="DF238" s="1007"/>
      <c r="DG238" s="1007"/>
      <c r="DH238" s="1007"/>
      <c r="DI238" s="1007"/>
      <c r="DJ238" s="1007"/>
      <c r="DK238" s="1007"/>
      <c r="DL238" s="1007"/>
      <c r="DM238" s="1007"/>
      <c r="DN238" s="1007"/>
      <c r="DO238" s="1007"/>
      <c r="DP238" s="1007"/>
      <c r="DQ238" s="1007"/>
      <c r="DR238" s="1007"/>
      <c r="DS238" s="1007"/>
      <c r="DT238" s="1007"/>
      <c r="DU238" s="1007"/>
      <c r="DV238" s="1007"/>
      <c r="DW238" s="1007"/>
      <c r="DX238" s="1007"/>
      <c r="DY238" s="1007"/>
      <c r="DZ238" s="1007"/>
      <c r="EA238" s="1007"/>
      <c r="EB238" s="1007"/>
      <c r="EC238" s="1007"/>
      <c r="ED238" s="1007"/>
      <c r="EE238" s="1007"/>
      <c r="EF238" s="1007"/>
      <c r="EG238" s="1007"/>
      <c r="EH238" s="1007"/>
      <c r="EI238" s="1007"/>
      <c r="EJ238" s="1007"/>
      <c r="EK238" s="1007"/>
      <c r="EL238" s="1007"/>
      <c r="EM238" s="1007"/>
      <c r="EN238" s="1007"/>
      <c r="EO238" s="1007"/>
      <c r="EP238" s="1007"/>
      <c r="EQ238" s="1007"/>
      <c r="ER238" s="1007"/>
      <c r="ES238" s="1007"/>
      <c r="ET238" s="1007"/>
      <c r="EU238" s="1007"/>
      <c r="EV238" s="1007"/>
      <c r="EW238" s="1007"/>
      <c r="EX238" s="1007"/>
      <c r="EY238" s="1007"/>
      <c r="EZ238" s="1007"/>
      <c r="FA238" s="1007"/>
      <c r="FB238" s="1007"/>
      <c r="FC238" s="1007"/>
      <c r="FD238" s="1007"/>
      <c r="FE238" s="1007"/>
      <c r="FF238" s="1007"/>
      <c r="FG238" s="1007"/>
      <c r="FH238" s="1007"/>
      <c r="FI238" s="1007"/>
      <c r="FJ238" s="1007"/>
      <c r="FK238" s="1007"/>
      <c r="FL238" s="1007"/>
      <c r="FM238" s="1007"/>
      <c r="FN238" s="1007"/>
      <c r="FO238" s="1007"/>
      <c r="FP238" s="1007"/>
      <c r="FQ238" s="1007"/>
      <c r="FR238" s="1007"/>
      <c r="FS238" s="1007"/>
      <c r="FT238" s="1007"/>
      <c r="FU238" s="1007"/>
      <c r="FV238" s="1007"/>
      <c r="FW238" s="1007"/>
      <c r="FX238" s="1007"/>
      <c r="FY238" s="1007"/>
      <c r="FZ238" s="1007"/>
      <c r="GA238" s="1007"/>
      <c r="GB238" s="1007"/>
      <c r="GC238" s="1007"/>
      <c r="GD238" s="1007"/>
      <c r="GE238" s="1007"/>
      <c r="GF238" s="1007"/>
      <c r="GG238" s="1007"/>
      <c r="GH238" s="1007"/>
      <c r="GI238" s="1007"/>
      <c r="GJ238" s="1007"/>
      <c r="GK238" s="1007"/>
      <c r="GL238" s="1007"/>
      <c r="GM238" s="1007"/>
      <c r="GN238" s="1007"/>
      <c r="GO238" s="1007"/>
      <c r="GP238" s="1007"/>
      <c r="GQ238" s="1007"/>
      <c r="GR238" s="1007"/>
      <c r="GS238" s="1007"/>
      <c r="GT238" s="1007"/>
      <c r="GU238" s="1007"/>
      <c r="GV238" s="1007"/>
      <c r="GW238" s="1007"/>
      <c r="GX238" s="1007"/>
      <c r="GY238" s="1007"/>
      <c r="GZ238" s="1007"/>
      <c r="HA238" s="1007"/>
      <c r="HB238" s="1007"/>
      <c r="HC238" s="1007"/>
      <c r="HD238" s="1007"/>
      <c r="HE238" s="1007"/>
      <c r="HF238" s="1007"/>
      <c r="HG238" s="1007"/>
      <c r="HH238" s="1007"/>
      <c r="HI238" s="1007"/>
      <c r="HJ238" s="1007"/>
      <c r="HK238" s="1007"/>
      <c r="HL238" s="1007"/>
      <c r="HM238" s="1007"/>
      <c r="HN238" s="1007"/>
      <c r="HO238" s="1007"/>
      <c r="HP238" s="1007"/>
      <c r="HQ238" s="1007"/>
      <c r="HR238" s="1007"/>
      <c r="HS238" s="1007"/>
      <c r="HT238" s="1007"/>
      <c r="HU238" s="1007"/>
      <c r="HV238" s="1007"/>
      <c r="HW238" s="1007"/>
      <c r="HX238" s="1007"/>
      <c r="HY238" s="1007"/>
      <c r="HZ238" s="1007"/>
      <c r="IA238" s="1007"/>
      <c r="IB238" s="1007"/>
      <c r="IC238" s="1007"/>
      <c r="ID238" s="1007"/>
      <c r="IE238" s="1007"/>
      <c r="IF238" s="1007"/>
      <c r="IG238" s="1007"/>
      <c r="IH238" s="1007"/>
    </row>
    <row r="239" hidden="1" outlineLevel="1">
      <c r="A239" s="598"/>
      <c r="B239" s="598"/>
      <c r="C239" s="598"/>
      <c r="D239" s="598"/>
      <c r="E239" s="598"/>
      <c r="F239" s="598"/>
      <c r="G239" s="598"/>
      <c r="H239" s="598"/>
      <c r="I239" s="598"/>
      <c r="J239" s="598"/>
      <c r="K239" s="598"/>
      <c r="L239" s="598"/>
      <c r="M239" s="598"/>
      <c r="N239" s="598"/>
      <c r="O239" s="598"/>
      <c r="P239" s="598"/>
      <c r="Q239" s="598"/>
      <c r="R239" s="598"/>
      <c r="S239" s="598"/>
      <c r="T239" s="598"/>
      <c r="U239" s="598"/>
      <c r="V239" s="598"/>
      <c r="W239" s="598"/>
      <c r="X239" s="598"/>
      <c r="Y239" s="598"/>
      <c r="Z239" s="598"/>
      <c r="AA239" s="911"/>
      <c r="AB239" s="1006"/>
      <c r="AC239" s="1007"/>
      <c r="AD239" s="1008"/>
      <c r="AE239" s="1007"/>
      <c r="AF239" s="1007"/>
      <c r="AG239" s="1007"/>
      <c r="AH239" s="1007"/>
      <c r="AI239" s="1007"/>
      <c r="AJ239" s="1007"/>
      <c r="AK239" s="1007"/>
      <c r="AL239" s="1007"/>
      <c r="AM239" s="1007"/>
      <c r="AN239" s="1007"/>
      <c r="AO239" s="1007"/>
      <c r="AP239" s="1007"/>
      <c r="AQ239" s="1007"/>
      <c r="AR239" s="1007"/>
      <c r="AS239" s="1007"/>
      <c r="AT239" s="1007"/>
      <c r="AU239" s="1007"/>
      <c r="AV239" s="1007"/>
      <c r="AW239" s="1007"/>
      <c r="AX239" s="1007"/>
      <c r="AY239" s="1007"/>
      <c r="AZ239" s="1007"/>
      <c r="BA239" s="1007"/>
      <c r="BB239" s="1007"/>
      <c r="BC239" s="1007"/>
      <c r="BD239" s="1007"/>
      <c r="BE239" s="1007"/>
      <c r="BF239" s="1007"/>
      <c r="BG239" s="1007"/>
      <c r="BH239" s="1007"/>
      <c r="BI239" s="1007"/>
      <c r="BJ239" s="1007"/>
      <c r="BK239" s="1007"/>
      <c r="BL239" s="1007"/>
      <c r="BM239" s="1007"/>
      <c r="BN239" s="1007"/>
      <c r="BO239" s="1007"/>
      <c r="BP239" s="1007"/>
      <c r="BQ239" s="1007"/>
      <c r="BR239" s="1007"/>
      <c r="BS239" s="1007"/>
      <c r="BT239" s="1007"/>
      <c r="BU239" s="1007"/>
      <c r="BV239" s="1007"/>
      <c r="BW239" s="1007"/>
      <c r="BX239" s="1007"/>
      <c r="BY239" s="1007"/>
      <c r="BZ239" s="1007"/>
      <c r="CA239" s="1007"/>
      <c r="CB239" s="1007"/>
      <c r="CC239" s="1007"/>
      <c r="CD239" s="1007"/>
      <c r="CE239" s="1007"/>
      <c r="CF239" s="1007"/>
      <c r="CG239" s="1007"/>
      <c r="CH239" s="1007"/>
      <c r="CI239" s="1007"/>
      <c r="CJ239" s="1007"/>
      <c r="CK239" s="1007"/>
      <c r="CL239" s="1007"/>
      <c r="CM239" s="1007"/>
      <c r="CN239" s="1007"/>
      <c r="CO239" s="1007"/>
      <c r="CP239" s="1007"/>
      <c r="CQ239" s="1007"/>
      <c r="CR239" s="1007"/>
      <c r="CS239" s="1007"/>
      <c r="CT239" s="1007"/>
      <c r="CU239" s="1007"/>
      <c r="CV239" s="1007"/>
      <c r="CW239" s="1007"/>
      <c r="CX239" s="1007"/>
      <c r="CY239" s="1007"/>
      <c r="CZ239" s="1007"/>
      <c r="DA239" s="1007"/>
      <c r="DB239" s="1007"/>
      <c r="DC239" s="1007"/>
      <c r="DD239" s="1007"/>
      <c r="DE239" s="1007"/>
      <c r="DF239" s="1007"/>
      <c r="DG239" s="1007"/>
      <c r="DH239" s="1007"/>
      <c r="DI239" s="1007"/>
      <c r="DJ239" s="1007"/>
      <c r="DK239" s="1007"/>
      <c r="DL239" s="1007"/>
      <c r="DM239" s="1007"/>
      <c r="DN239" s="1007"/>
      <c r="DO239" s="1007"/>
      <c r="DP239" s="1007"/>
      <c r="DQ239" s="1007"/>
      <c r="DR239" s="1007"/>
      <c r="DS239" s="1007"/>
      <c r="DT239" s="1007"/>
      <c r="DU239" s="1007"/>
      <c r="DV239" s="1007"/>
      <c r="DW239" s="1007"/>
      <c r="DX239" s="1007"/>
      <c r="DY239" s="1007"/>
      <c r="DZ239" s="1007"/>
      <c r="EA239" s="1007"/>
      <c r="EB239" s="1007"/>
      <c r="EC239" s="1007"/>
      <c r="ED239" s="1007"/>
      <c r="EE239" s="1007"/>
      <c r="EF239" s="1007"/>
      <c r="EG239" s="1007"/>
      <c r="EH239" s="1007"/>
      <c r="EI239" s="1007"/>
      <c r="EJ239" s="1007"/>
      <c r="EK239" s="1007"/>
      <c r="EL239" s="1007"/>
      <c r="EM239" s="1007"/>
      <c r="EN239" s="1007"/>
      <c r="EO239" s="1007"/>
      <c r="EP239" s="1007"/>
      <c r="EQ239" s="1007"/>
      <c r="ER239" s="1007"/>
      <c r="ES239" s="1007"/>
      <c r="ET239" s="1007"/>
      <c r="EU239" s="1007"/>
      <c r="EV239" s="1007"/>
      <c r="EW239" s="1007"/>
      <c r="EX239" s="1007"/>
      <c r="EY239" s="1007"/>
      <c r="EZ239" s="1007"/>
      <c r="FA239" s="1007"/>
      <c r="FB239" s="1007"/>
      <c r="FC239" s="1007"/>
      <c r="FD239" s="1007"/>
      <c r="FE239" s="1007"/>
      <c r="FF239" s="1007"/>
      <c r="FG239" s="1007"/>
      <c r="FH239" s="1007"/>
      <c r="FI239" s="1007"/>
      <c r="FJ239" s="1007"/>
      <c r="FK239" s="1007"/>
      <c r="FL239" s="1007"/>
      <c r="FM239" s="1007"/>
      <c r="FN239" s="1007"/>
      <c r="FO239" s="1007"/>
      <c r="FP239" s="1007"/>
      <c r="FQ239" s="1007"/>
      <c r="FR239" s="1007"/>
      <c r="FS239" s="1007"/>
      <c r="FT239" s="1007"/>
      <c r="FU239" s="1007"/>
      <c r="FV239" s="1007"/>
      <c r="FW239" s="1007"/>
      <c r="FX239" s="1007"/>
      <c r="FY239" s="1007"/>
      <c r="FZ239" s="1007"/>
      <c r="GA239" s="1007"/>
      <c r="GB239" s="1007"/>
      <c r="GC239" s="1007"/>
      <c r="GD239" s="1007"/>
      <c r="GE239" s="1007"/>
      <c r="GF239" s="1007"/>
      <c r="GG239" s="1007"/>
      <c r="GH239" s="1007"/>
      <c r="GI239" s="1007"/>
      <c r="GJ239" s="1007"/>
      <c r="GK239" s="1007"/>
      <c r="GL239" s="1007"/>
      <c r="GM239" s="1007"/>
      <c r="GN239" s="1007"/>
      <c r="GO239" s="1007"/>
      <c r="GP239" s="1007"/>
      <c r="GQ239" s="1007"/>
      <c r="GR239" s="1007"/>
      <c r="GS239" s="1007"/>
      <c r="GT239" s="1007"/>
      <c r="GU239" s="1007"/>
      <c r="GV239" s="1007"/>
      <c r="GW239" s="1007"/>
      <c r="GX239" s="1007"/>
      <c r="GY239" s="1007"/>
      <c r="GZ239" s="1007"/>
      <c r="HA239" s="1007"/>
      <c r="HB239" s="1007"/>
      <c r="HC239" s="1007"/>
      <c r="HD239" s="1007"/>
      <c r="HE239" s="1007"/>
      <c r="HF239" s="1007"/>
      <c r="HG239" s="1007"/>
      <c r="HH239" s="1007"/>
      <c r="HI239" s="1007"/>
      <c r="HJ239" s="1007"/>
      <c r="HK239" s="1007"/>
      <c r="HL239" s="1007"/>
      <c r="HM239" s="1007"/>
      <c r="HN239" s="1007"/>
      <c r="HO239" s="1007"/>
      <c r="HP239" s="1007"/>
      <c r="HQ239" s="1007"/>
      <c r="HR239" s="1007"/>
      <c r="HS239" s="1007"/>
      <c r="HT239" s="1007"/>
      <c r="HU239" s="1007"/>
      <c r="HV239" s="1007"/>
      <c r="HW239" s="1007"/>
      <c r="HX239" s="1007"/>
      <c r="HY239" s="1007"/>
      <c r="HZ239" s="1007"/>
      <c r="IA239" s="1007"/>
      <c r="IB239" s="1007"/>
      <c r="IC239" s="1007"/>
      <c r="ID239" s="1007"/>
      <c r="IE239" s="1007"/>
      <c r="IF239" s="1007"/>
      <c r="IG239" s="1007"/>
      <c r="IH239" s="1007"/>
    </row>
    <row r="240" hidden="1" outlineLevel="1">
      <c r="A240" s="598"/>
      <c r="B240" s="598"/>
      <c r="C240" s="598"/>
      <c r="D240" s="598"/>
      <c r="E240" s="598"/>
      <c r="F240" s="598"/>
      <c r="G240" s="598"/>
      <c r="H240" s="598"/>
      <c r="I240" s="598"/>
      <c r="J240" s="598"/>
      <c r="K240" s="598"/>
      <c r="L240" s="598"/>
      <c r="M240" s="598"/>
      <c r="N240" s="598"/>
      <c r="O240" s="598"/>
      <c r="P240" s="598"/>
      <c r="Q240" s="598"/>
      <c r="R240" s="598"/>
      <c r="S240" s="598"/>
      <c r="T240" s="598"/>
      <c r="U240" s="598"/>
      <c r="V240" s="598"/>
      <c r="W240" s="598"/>
      <c r="X240" s="598"/>
      <c r="Y240" s="598"/>
      <c r="Z240" s="598"/>
      <c r="AA240" s="911"/>
      <c r="AB240" s="1006"/>
      <c r="AC240" s="1007"/>
      <c r="AD240" s="1008"/>
      <c r="AE240" s="1007"/>
      <c r="AF240" s="1007"/>
      <c r="AG240" s="1007"/>
      <c r="AH240" s="1007"/>
      <c r="AI240" s="1007"/>
      <c r="AJ240" s="1007"/>
      <c r="AK240" s="1007"/>
      <c r="AL240" s="1007"/>
      <c r="AM240" s="1007"/>
      <c r="AN240" s="1007"/>
      <c r="AO240" s="1007"/>
      <c r="AP240" s="1007"/>
      <c r="AQ240" s="1007"/>
      <c r="AR240" s="1007"/>
      <c r="AS240" s="1007"/>
      <c r="AT240" s="1007"/>
      <c r="AU240" s="1007"/>
      <c r="AV240" s="1007"/>
      <c r="AW240" s="1007"/>
      <c r="AX240" s="1007"/>
      <c r="AY240" s="1007"/>
      <c r="AZ240" s="1007"/>
      <c r="BA240" s="1007"/>
      <c r="BB240" s="1007"/>
      <c r="BC240" s="1007"/>
      <c r="BD240" s="1007"/>
      <c r="BE240" s="1007"/>
      <c r="BF240" s="1007"/>
      <c r="BG240" s="1007"/>
      <c r="BH240" s="1007"/>
      <c r="BI240" s="1007"/>
      <c r="BJ240" s="1007"/>
      <c r="BK240" s="1007"/>
      <c r="BL240" s="1007"/>
      <c r="BM240" s="1007"/>
      <c r="BN240" s="1007"/>
      <c r="BO240" s="1007"/>
      <c r="BP240" s="1007"/>
      <c r="BQ240" s="1007"/>
      <c r="BR240" s="1007"/>
      <c r="BS240" s="1007"/>
      <c r="BT240" s="1007"/>
      <c r="BU240" s="1007"/>
      <c r="BV240" s="1007"/>
      <c r="BW240" s="1007"/>
      <c r="BX240" s="1007"/>
      <c r="BY240" s="1007"/>
      <c r="BZ240" s="1007"/>
      <c r="CA240" s="1007"/>
      <c r="CB240" s="1007"/>
      <c r="CC240" s="1007"/>
      <c r="CD240" s="1007"/>
      <c r="CE240" s="1007"/>
      <c r="CF240" s="1007"/>
      <c r="CG240" s="1007"/>
      <c r="CH240" s="1007"/>
      <c r="CI240" s="1007"/>
      <c r="CJ240" s="1007"/>
      <c r="CK240" s="1007"/>
      <c r="CL240" s="1007"/>
      <c r="CM240" s="1007"/>
      <c r="CN240" s="1007"/>
      <c r="CO240" s="1007"/>
      <c r="CP240" s="1007"/>
      <c r="CQ240" s="1007"/>
      <c r="CR240" s="1007"/>
      <c r="CS240" s="1007"/>
      <c r="CT240" s="1007"/>
      <c r="CU240" s="1007"/>
      <c r="CV240" s="1007"/>
      <c r="CW240" s="1007"/>
      <c r="CX240" s="1007"/>
      <c r="CY240" s="1007"/>
      <c r="CZ240" s="1007"/>
      <c r="DA240" s="1007"/>
      <c r="DB240" s="1007"/>
      <c r="DC240" s="1007"/>
      <c r="DD240" s="1007"/>
      <c r="DE240" s="1007"/>
      <c r="DF240" s="1007"/>
      <c r="DG240" s="1007"/>
      <c r="DH240" s="1007"/>
      <c r="DI240" s="1007"/>
      <c r="DJ240" s="1007"/>
      <c r="DK240" s="1007"/>
      <c r="DL240" s="1007"/>
      <c r="DM240" s="1007"/>
      <c r="DN240" s="1007"/>
      <c r="DO240" s="1007"/>
      <c r="DP240" s="1007"/>
      <c r="DQ240" s="1007"/>
      <c r="DR240" s="1007"/>
      <c r="DS240" s="1007"/>
      <c r="DT240" s="1007"/>
      <c r="DU240" s="1007"/>
      <c r="DV240" s="1007"/>
      <c r="DW240" s="1007"/>
      <c r="DX240" s="1007"/>
      <c r="DY240" s="1007"/>
      <c r="DZ240" s="1007"/>
      <c r="EA240" s="1007"/>
      <c r="EB240" s="1007"/>
      <c r="EC240" s="1007"/>
      <c r="ED240" s="1007"/>
      <c r="EE240" s="1007"/>
      <c r="EF240" s="1007"/>
      <c r="EG240" s="1007"/>
      <c r="EH240" s="1007"/>
      <c r="EI240" s="1007"/>
      <c r="EJ240" s="1007"/>
      <c r="EK240" s="1007"/>
      <c r="EL240" s="1007"/>
      <c r="EM240" s="1007"/>
      <c r="EN240" s="1007"/>
      <c r="EO240" s="1007"/>
      <c r="EP240" s="1007"/>
      <c r="EQ240" s="1007"/>
      <c r="ER240" s="1007"/>
      <c r="ES240" s="1007"/>
      <c r="ET240" s="1007"/>
      <c r="EU240" s="1007"/>
      <c r="EV240" s="1007"/>
      <c r="EW240" s="1007"/>
      <c r="EX240" s="1007"/>
      <c r="EY240" s="1007"/>
      <c r="EZ240" s="1007"/>
      <c r="FA240" s="1007"/>
      <c r="FB240" s="1007"/>
      <c r="FC240" s="1007"/>
      <c r="FD240" s="1007"/>
      <c r="FE240" s="1007"/>
      <c r="FF240" s="1007"/>
      <c r="FG240" s="1007"/>
      <c r="FH240" s="1007"/>
      <c r="FI240" s="1007"/>
      <c r="FJ240" s="1007"/>
      <c r="FK240" s="1007"/>
      <c r="FL240" s="1007"/>
      <c r="FM240" s="1007"/>
      <c r="FN240" s="1007"/>
      <c r="FO240" s="1007"/>
      <c r="FP240" s="1007"/>
      <c r="FQ240" s="1007"/>
      <c r="FR240" s="1007"/>
      <c r="FS240" s="1007"/>
      <c r="FT240" s="1007"/>
      <c r="FU240" s="1007"/>
      <c r="FV240" s="1007"/>
      <c r="FW240" s="1007"/>
      <c r="FX240" s="1007"/>
      <c r="FY240" s="1007"/>
      <c r="FZ240" s="1007"/>
      <c r="GA240" s="1007"/>
      <c r="GB240" s="1007"/>
      <c r="GC240" s="1007"/>
      <c r="GD240" s="1007"/>
      <c r="GE240" s="1007"/>
      <c r="GF240" s="1007"/>
      <c r="GG240" s="1007"/>
      <c r="GH240" s="1007"/>
      <c r="GI240" s="1007"/>
      <c r="GJ240" s="1007"/>
      <c r="GK240" s="1007"/>
      <c r="GL240" s="1007"/>
      <c r="GM240" s="1007"/>
      <c r="GN240" s="1007"/>
      <c r="GO240" s="1007"/>
      <c r="GP240" s="1007"/>
      <c r="GQ240" s="1007"/>
      <c r="GR240" s="1007"/>
      <c r="GS240" s="1007"/>
      <c r="GT240" s="1007"/>
      <c r="GU240" s="1007"/>
      <c r="GV240" s="1007"/>
      <c r="GW240" s="1007"/>
      <c r="GX240" s="1007"/>
      <c r="GY240" s="1007"/>
      <c r="GZ240" s="1007"/>
      <c r="HA240" s="1007"/>
      <c r="HB240" s="1007"/>
      <c r="HC240" s="1007"/>
      <c r="HD240" s="1007"/>
      <c r="HE240" s="1007"/>
      <c r="HF240" s="1007"/>
      <c r="HG240" s="1007"/>
      <c r="HH240" s="1007"/>
      <c r="HI240" s="1007"/>
      <c r="HJ240" s="1007"/>
      <c r="HK240" s="1007"/>
      <c r="HL240" s="1007"/>
      <c r="HM240" s="1007"/>
      <c r="HN240" s="1007"/>
      <c r="HO240" s="1007"/>
      <c r="HP240" s="1007"/>
      <c r="HQ240" s="1007"/>
      <c r="HR240" s="1007"/>
      <c r="HS240" s="1007"/>
      <c r="HT240" s="1007"/>
      <c r="HU240" s="1007"/>
      <c r="HV240" s="1007"/>
      <c r="HW240" s="1007"/>
      <c r="HX240" s="1007"/>
      <c r="HY240" s="1007"/>
      <c r="HZ240" s="1007"/>
      <c r="IA240" s="1007"/>
      <c r="IB240" s="1007"/>
      <c r="IC240" s="1007"/>
      <c r="ID240" s="1007"/>
      <c r="IE240" s="1007"/>
      <c r="IF240" s="1007"/>
      <c r="IG240" s="1007"/>
      <c r="IH240" s="1007"/>
    </row>
    <row r="241" hidden="1" outlineLevel="1">
      <c r="A241" s="598"/>
      <c r="B241" s="598"/>
      <c r="C241" s="598"/>
      <c r="D241" s="598"/>
      <c r="E241" s="598"/>
      <c r="F241" s="598"/>
      <c r="G241" s="598"/>
      <c r="H241" s="598"/>
      <c r="I241" s="598"/>
      <c r="J241" s="598"/>
      <c r="K241" s="598"/>
      <c r="L241" s="598"/>
      <c r="M241" s="598"/>
      <c r="N241" s="598"/>
      <c r="O241" s="598"/>
      <c r="P241" s="598"/>
      <c r="Q241" s="598"/>
      <c r="R241" s="598"/>
      <c r="S241" s="598"/>
      <c r="T241" s="598"/>
      <c r="U241" s="598"/>
      <c r="V241" s="598"/>
      <c r="W241" s="598"/>
      <c r="X241" s="598"/>
      <c r="Y241" s="598"/>
      <c r="Z241" s="598"/>
      <c r="AA241" s="911"/>
      <c r="AB241" s="1006"/>
      <c r="AC241" s="1007"/>
      <c r="AD241" s="1008"/>
      <c r="AE241" s="1007"/>
      <c r="AF241" s="1007"/>
      <c r="AG241" s="1007"/>
      <c r="AH241" s="1007"/>
      <c r="AI241" s="1007"/>
      <c r="AJ241" s="1007"/>
      <c r="AK241" s="1007"/>
      <c r="AL241" s="1007"/>
      <c r="AM241" s="1007"/>
      <c r="AN241" s="1007"/>
      <c r="AO241" s="1007"/>
      <c r="AP241" s="1007"/>
      <c r="AQ241" s="1007"/>
      <c r="AR241" s="1007"/>
      <c r="AS241" s="1007"/>
      <c r="AT241" s="1007"/>
      <c r="AU241" s="1007"/>
      <c r="AV241" s="1007"/>
      <c r="AW241" s="1007"/>
      <c r="AX241" s="1007"/>
      <c r="AY241" s="1007"/>
      <c r="AZ241" s="1007"/>
      <c r="BA241" s="1007"/>
      <c r="BB241" s="1007"/>
      <c r="BC241" s="1007"/>
      <c r="BD241" s="1007"/>
      <c r="BE241" s="1007"/>
      <c r="BF241" s="1007"/>
      <c r="BG241" s="1007"/>
      <c r="BH241" s="1007"/>
      <c r="BI241" s="1007"/>
      <c r="BJ241" s="1007"/>
      <c r="BK241" s="1007"/>
      <c r="BL241" s="1007"/>
      <c r="BM241" s="1007"/>
      <c r="BN241" s="1007"/>
      <c r="BO241" s="1007"/>
      <c r="BP241" s="1007"/>
      <c r="BQ241" s="1007"/>
      <c r="BR241" s="1007"/>
      <c r="BS241" s="1007"/>
      <c r="BT241" s="1007"/>
      <c r="BU241" s="1007"/>
      <c r="BV241" s="1007"/>
      <c r="BW241" s="1007"/>
      <c r="BX241" s="1007"/>
      <c r="BY241" s="1007"/>
      <c r="BZ241" s="1007"/>
      <c r="CA241" s="1007"/>
      <c r="CB241" s="1007"/>
      <c r="CC241" s="1007"/>
      <c r="CD241" s="1007"/>
      <c r="CE241" s="1007"/>
      <c r="CF241" s="1007"/>
      <c r="CG241" s="1007"/>
      <c r="CH241" s="1007"/>
      <c r="CI241" s="1007"/>
      <c r="CJ241" s="1007"/>
      <c r="CK241" s="1007"/>
      <c r="CL241" s="1007"/>
      <c r="CM241" s="1007"/>
      <c r="CN241" s="1007"/>
      <c r="CO241" s="1007"/>
      <c r="CP241" s="1007"/>
      <c r="CQ241" s="1007"/>
      <c r="CR241" s="1007"/>
      <c r="CS241" s="1007"/>
      <c r="CT241" s="1007"/>
      <c r="CU241" s="1007"/>
      <c r="CV241" s="1007"/>
      <c r="CW241" s="1007"/>
      <c r="CX241" s="1007"/>
      <c r="CY241" s="1007"/>
      <c r="CZ241" s="1007"/>
      <c r="DA241" s="1007"/>
      <c r="DB241" s="1007"/>
      <c r="DC241" s="1007"/>
      <c r="DD241" s="1007"/>
      <c r="DE241" s="1007"/>
      <c r="DF241" s="1007"/>
      <c r="DG241" s="1007"/>
      <c r="DH241" s="1007"/>
      <c r="DI241" s="1007"/>
      <c r="DJ241" s="1007"/>
      <c r="DK241" s="1007"/>
      <c r="DL241" s="1007"/>
      <c r="DM241" s="1007"/>
      <c r="DN241" s="1007"/>
      <c r="DO241" s="1007"/>
      <c r="DP241" s="1007"/>
      <c r="DQ241" s="1007"/>
      <c r="DR241" s="1007"/>
      <c r="DS241" s="1007"/>
      <c r="DT241" s="1007"/>
      <c r="DU241" s="1007"/>
      <c r="DV241" s="1007"/>
      <c r="DW241" s="1007"/>
      <c r="DX241" s="1007"/>
      <c r="DY241" s="1007"/>
      <c r="DZ241" s="1007"/>
      <c r="EA241" s="1007"/>
      <c r="EB241" s="1007"/>
      <c r="EC241" s="1007"/>
      <c r="ED241" s="1007"/>
      <c r="EE241" s="1007"/>
      <c r="EF241" s="1007"/>
      <c r="EG241" s="1007"/>
      <c r="EH241" s="1007"/>
      <c r="EI241" s="1007"/>
      <c r="EJ241" s="1007"/>
      <c r="EK241" s="1007"/>
      <c r="EL241" s="1007"/>
      <c r="EM241" s="1007"/>
      <c r="EN241" s="1007"/>
      <c r="EO241" s="1007"/>
      <c r="EP241" s="1007"/>
      <c r="EQ241" s="1007"/>
      <c r="ER241" s="1007"/>
      <c r="ES241" s="1007"/>
      <c r="ET241" s="1007"/>
      <c r="EU241" s="1007"/>
      <c r="EV241" s="1007"/>
      <c r="EW241" s="1007"/>
      <c r="EX241" s="1007"/>
      <c r="EY241" s="1007"/>
      <c r="EZ241" s="1007"/>
      <c r="FA241" s="1007"/>
      <c r="FB241" s="1007"/>
      <c r="FC241" s="1007"/>
      <c r="FD241" s="1007"/>
      <c r="FE241" s="1007"/>
      <c r="FF241" s="1007"/>
      <c r="FG241" s="1007"/>
      <c r="FH241" s="1007"/>
      <c r="FI241" s="1007"/>
      <c r="FJ241" s="1007"/>
      <c r="FK241" s="1007"/>
      <c r="FL241" s="1007"/>
      <c r="FM241" s="1007"/>
      <c r="FN241" s="1007"/>
      <c r="FO241" s="1007"/>
      <c r="FP241" s="1007"/>
      <c r="FQ241" s="1007"/>
      <c r="FR241" s="1007"/>
      <c r="FS241" s="1007"/>
      <c r="FT241" s="1007"/>
      <c r="FU241" s="1007"/>
      <c r="FV241" s="1007"/>
      <c r="FW241" s="1007"/>
      <c r="FX241" s="1007"/>
      <c r="FY241" s="1007"/>
      <c r="FZ241" s="1007"/>
      <c r="GA241" s="1007"/>
      <c r="GB241" s="1007"/>
      <c r="GC241" s="1007"/>
      <c r="GD241" s="1007"/>
      <c r="GE241" s="1007"/>
      <c r="GF241" s="1007"/>
      <c r="GG241" s="1007"/>
      <c r="GH241" s="1007"/>
      <c r="GI241" s="1007"/>
      <c r="GJ241" s="1007"/>
      <c r="GK241" s="1007"/>
      <c r="GL241" s="1007"/>
      <c r="GM241" s="1007"/>
      <c r="GN241" s="1007"/>
      <c r="GO241" s="1007"/>
      <c r="GP241" s="1007"/>
      <c r="GQ241" s="1007"/>
      <c r="GR241" s="1007"/>
      <c r="GS241" s="1007"/>
      <c r="GT241" s="1007"/>
      <c r="GU241" s="1007"/>
      <c r="GV241" s="1007"/>
      <c r="GW241" s="1007"/>
      <c r="GX241" s="1007"/>
      <c r="GY241" s="1007"/>
      <c r="GZ241" s="1007"/>
      <c r="HA241" s="1007"/>
      <c r="HB241" s="1007"/>
      <c r="HC241" s="1007"/>
      <c r="HD241" s="1007"/>
      <c r="HE241" s="1007"/>
      <c r="HF241" s="1007"/>
      <c r="HG241" s="1007"/>
      <c r="HH241" s="1007"/>
      <c r="HI241" s="1007"/>
      <c r="HJ241" s="1007"/>
      <c r="HK241" s="1007"/>
      <c r="HL241" s="1007"/>
      <c r="HM241" s="1007"/>
      <c r="HN241" s="1007"/>
      <c r="HO241" s="1007"/>
      <c r="HP241" s="1007"/>
      <c r="HQ241" s="1007"/>
      <c r="HR241" s="1007"/>
      <c r="HS241" s="1007"/>
      <c r="HT241" s="1007"/>
      <c r="HU241" s="1007"/>
      <c r="HV241" s="1007"/>
      <c r="HW241" s="1007"/>
      <c r="HX241" s="1007"/>
      <c r="HY241" s="1007"/>
      <c r="HZ241" s="1007"/>
      <c r="IA241" s="1007"/>
      <c r="IB241" s="1007"/>
      <c r="IC241" s="1007"/>
      <c r="ID241" s="1007"/>
      <c r="IE241" s="1007"/>
      <c r="IF241" s="1007"/>
      <c r="IG241" s="1007"/>
      <c r="IH241" s="1007"/>
    </row>
    <row r="242" hidden="1" outlineLevel="1">
      <c r="A242" s="598"/>
      <c r="B242" s="598"/>
      <c r="C242" s="598"/>
      <c r="D242" s="598"/>
      <c r="E242" s="598"/>
      <c r="F242" s="598"/>
      <c r="G242" s="598"/>
      <c r="H242" s="598"/>
      <c r="I242" s="598"/>
      <c r="J242" s="598"/>
      <c r="K242" s="598"/>
      <c r="L242" s="598"/>
      <c r="M242" s="598"/>
      <c r="N242" s="598"/>
      <c r="O242" s="598"/>
      <c r="P242" s="598"/>
      <c r="Q242" s="598"/>
      <c r="R242" s="598"/>
      <c r="S242" s="598"/>
      <c r="T242" s="598"/>
      <c r="U242" s="598"/>
      <c r="V242" s="598"/>
      <c r="W242" s="598"/>
      <c r="X242" s="598"/>
      <c r="Y242" s="598"/>
      <c r="Z242" s="598"/>
      <c r="AA242" s="911"/>
      <c r="AB242" s="1006"/>
      <c r="AC242" s="1007"/>
      <c r="AD242" s="1008"/>
      <c r="AE242" s="1007"/>
      <c r="AF242" s="1007"/>
      <c r="AG242" s="1007"/>
      <c r="AH242" s="1007"/>
      <c r="AI242" s="1007"/>
      <c r="AJ242" s="1007"/>
      <c r="AK242" s="1007"/>
      <c r="AL242" s="1007"/>
      <c r="AM242" s="1007"/>
      <c r="AN242" s="1007"/>
      <c r="AO242" s="1007"/>
      <c r="AP242" s="1007"/>
      <c r="AQ242" s="1007"/>
      <c r="AR242" s="1007"/>
      <c r="AS242" s="1007"/>
      <c r="AT242" s="1007"/>
      <c r="AU242" s="1007"/>
      <c r="AV242" s="1007"/>
      <c r="AW242" s="1007"/>
      <c r="AX242" s="1007"/>
      <c r="AY242" s="1007"/>
      <c r="AZ242" s="1007"/>
      <c r="BA242" s="1007"/>
      <c r="BB242" s="1007"/>
      <c r="BC242" s="1007"/>
      <c r="BD242" s="1007"/>
      <c r="BE242" s="1007"/>
      <c r="BF242" s="1007"/>
      <c r="BG242" s="1007"/>
      <c r="BH242" s="1007"/>
      <c r="BI242" s="1007"/>
      <c r="BJ242" s="1007"/>
      <c r="BK242" s="1007"/>
      <c r="BL242" s="1007"/>
      <c r="BM242" s="1007"/>
      <c r="BN242" s="1007"/>
      <c r="BO242" s="1007"/>
      <c r="BP242" s="1007"/>
      <c r="BQ242" s="1007"/>
      <c r="BR242" s="1007"/>
      <c r="BS242" s="1007"/>
      <c r="BT242" s="1007"/>
      <c r="BU242" s="1007"/>
      <c r="BV242" s="1007"/>
      <c r="BW242" s="1007"/>
      <c r="BX242" s="1007"/>
      <c r="BY242" s="1007"/>
      <c r="BZ242" s="1007"/>
      <c r="CA242" s="1007"/>
      <c r="CB242" s="1007"/>
      <c r="CC242" s="1007"/>
      <c r="CD242" s="1007"/>
      <c r="CE242" s="1007"/>
      <c r="CF242" s="1007"/>
      <c r="CG242" s="1007"/>
      <c r="CH242" s="1007"/>
      <c r="CI242" s="1007"/>
      <c r="CJ242" s="1007"/>
      <c r="CK242" s="1007"/>
      <c r="CL242" s="1007"/>
      <c r="CM242" s="1007"/>
      <c r="CN242" s="1007"/>
      <c r="CO242" s="1007"/>
      <c r="CP242" s="1007"/>
      <c r="CQ242" s="1007"/>
      <c r="CR242" s="1007"/>
      <c r="CS242" s="1007"/>
      <c r="CT242" s="1007"/>
      <c r="CU242" s="1007"/>
      <c r="CV242" s="1007"/>
      <c r="CW242" s="1007"/>
      <c r="CX242" s="1007"/>
      <c r="CY242" s="1007"/>
      <c r="CZ242" s="1007"/>
      <c r="DA242" s="1007"/>
      <c r="DB242" s="1007"/>
      <c r="DC242" s="1007"/>
      <c r="DD242" s="1007"/>
      <c r="DE242" s="1007"/>
      <c r="DF242" s="1007"/>
      <c r="DG242" s="1007"/>
      <c r="DH242" s="1007"/>
      <c r="DI242" s="1007"/>
      <c r="DJ242" s="1007"/>
      <c r="DK242" s="1007"/>
      <c r="DL242" s="1007"/>
      <c r="DM242" s="1007"/>
      <c r="DN242" s="1007"/>
      <c r="DO242" s="1007"/>
      <c r="DP242" s="1007"/>
      <c r="DQ242" s="1007"/>
      <c r="DR242" s="1007"/>
      <c r="DS242" s="1007"/>
      <c r="DT242" s="1007"/>
      <c r="DU242" s="1007"/>
      <c r="DV242" s="1007"/>
      <c r="DW242" s="1007"/>
      <c r="DX242" s="1007"/>
      <c r="DY242" s="1007"/>
      <c r="DZ242" s="1007"/>
      <c r="EA242" s="1007"/>
      <c r="EB242" s="1007"/>
      <c r="EC242" s="1007"/>
      <c r="ED242" s="1007"/>
      <c r="EE242" s="1007"/>
      <c r="EF242" s="1007"/>
      <c r="EG242" s="1007"/>
      <c r="EH242" s="1007"/>
      <c r="EI242" s="1007"/>
      <c r="EJ242" s="1007"/>
      <c r="EK242" s="1007"/>
      <c r="EL242" s="1007"/>
      <c r="EM242" s="1007"/>
      <c r="EN242" s="1007"/>
      <c r="EO242" s="1007"/>
      <c r="EP242" s="1007"/>
      <c r="EQ242" s="1007"/>
      <c r="ER242" s="1007"/>
      <c r="ES242" s="1007"/>
      <c r="ET242" s="1007"/>
      <c r="EU242" s="1007"/>
      <c r="EV242" s="1007"/>
      <c r="EW242" s="1007"/>
      <c r="EX242" s="1007"/>
      <c r="EY242" s="1007"/>
      <c r="EZ242" s="1007"/>
      <c r="FA242" s="1007"/>
      <c r="FB242" s="1007"/>
      <c r="FC242" s="1007"/>
      <c r="FD242" s="1007"/>
      <c r="FE242" s="1007"/>
      <c r="FF242" s="1007"/>
      <c r="FG242" s="1007"/>
      <c r="FH242" s="1007"/>
      <c r="FI242" s="1007"/>
      <c r="FJ242" s="1007"/>
      <c r="FK242" s="1007"/>
      <c r="FL242" s="1007"/>
      <c r="FM242" s="1007"/>
      <c r="FN242" s="1007"/>
      <c r="FO242" s="1007"/>
      <c r="FP242" s="1007"/>
      <c r="FQ242" s="1007"/>
      <c r="FR242" s="1007"/>
      <c r="FS242" s="1007"/>
      <c r="FT242" s="1007"/>
      <c r="FU242" s="1007"/>
      <c r="FV242" s="1007"/>
      <c r="FW242" s="1007"/>
      <c r="FX242" s="1007"/>
      <c r="FY242" s="1007"/>
      <c r="FZ242" s="1007"/>
      <c r="GA242" s="1007"/>
      <c r="GB242" s="1007"/>
      <c r="GC242" s="1007"/>
      <c r="GD242" s="1007"/>
      <c r="GE242" s="1007"/>
      <c r="GF242" s="1007"/>
      <c r="GG242" s="1007"/>
      <c r="GH242" s="1007"/>
      <c r="GI242" s="1007"/>
      <c r="GJ242" s="1007"/>
      <c r="GK242" s="1007"/>
      <c r="GL242" s="1007"/>
      <c r="GM242" s="1007"/>
      <c r="GN242" s="1007"/>
      <c r="GO242" s="1007"/>
      <c r="GP242" s="1007"/>
      <c r="GQ242" s="1007"/>
      <c r="GR242" s="1007"/>
      <c r="GS242" s="1007"/>
      <c r="GT242" s="1007"/>
      <c r="GU242" s="1007"/>
      <c r="GV242" s="1007"/>
      <c r="GW242" s="1007"/>
      <c r="GX242" s="1007"/>
      <c r="GY242" s="1007"/>
      <c r="GZ242" s="1007"/>
      <c r="HA242" s="1007"/>
      <c r="HB242" s="1007"/>
      <c r="HC242" s="1007"/>
      <c r="HD242" s="1007"/>
      <c r="HE242" s="1007"/>
      <c r="HF242" s="1007"/>
      <c r="HG242" s="1007"/>
      <c r="HH242" s="1007"/>
      <c r="HI242" s="1007"/>
      <c r="HJ242" s="1007"/>
      <c r="HK242" s="1007"/>
      <c r="HL242" s="1007"/>
      <c r="HM242" s="1007"/>
      <c r="HN242" s="1007"/>
      <c r="HO242" s="1007"/>
      <c r="HP242" s="1007"/>
      <c r="HQ242" s="1007"/>
      <c r="HR242" s="1007"/>
      <c r="HS242" s="1007"/>
      <c r="HT242" s="1007"/>
      <c r="HU242" s="1007"/>
      <c r="HV242" s="1007"/>
      <c r="HW242" s="1007"/>
      <c r="HX242" s="1007"/>
      <c r="HY242" s="1007"/>
      <c r="HZ242" s="1007"/>
      <c r="IA242" s="1007"/>
      <c r="IB242" s="1007"/>
      <c r="IC242" s="1007"/>
      <c r="ID242" s="1007"/>
      <c r="IE242" s="1007"/>
      <c r="IF242" s="1007"/>
      <c r="IG242" s="1007"/>
      <c r="IH242" s="1007"/>
    </row>
    <row r="243" hidden="1" outlineLevel="1">
      <c r="A243" s="598"/>
      <c r="B243" s="598"/>
      <c r="C243" s="598"/>
      <c r="D243" s="598"/>
      <c r="E243" s="598"/>
      <c r="F243" s="598"/>
      <c r="G243" s="598"/>
      <c r="H243" s="598"/>
      <c r="I243" s="598"/>
      <c r="J243" s="598"/>
      <c r="K243" s="598"/>
      <c r="L243" s="598"/>
      <c r="M243" s="598"/>
      <c r="N243" s="598"/>
      <c r="O243" s="598"/>
      <c r="P243" s="598"/>
      <c r="Q243" s="598"/>
      <c r="R243" s="598"/>
      <c r="S243" s="598"/>
      <c r="T243" s="598"/>
      <c r="U243" s="598"/>
      <c r="V243" s="598"/>
      <c r="W243" s="598"/>
      <c r="X243" s="598"/>
      <c r="Y243" s="598"/>
      <c r="Z243" s="598"/>
      <c r="AA243" s="911"/>
      <c r="AB243" s="1006"/>
      <c r="AC243" s="1007"/>
      <c r="AD243" s="1008"/>
      <c r="AE243" s="1007"/>
      <c r="AF243" s="1007"/>
      <c r="AG243" s="1007"/>
      <c r="AH243" s="1007"/>
      <c r="AI243" s="1007"/>
      <c r="AJ243" s="1007"/>
      <c r="AK243" s="1007"/>
      <c r="AL243" s="1007"/>
      <c r="AM243" s="1007"/>
      <c r="AN243" s="1007"/>
      <c r="AO243" s="1007"/>
      <c r="AP243" s="1007"/>
      <c r="AQ243" s="1007"/>
      <c r="AR243" s="1007"/>
      <c r="AS243" s="1007"/>
      <c r="AT243" s="1007"/>
      <c r="AU243" s="1007"/>
      <c r="AV243" s="1007"/>
      <c r="AW243" s="1007"/>
      <c r="AX243" s="1007"/>
      <c r="AY243" s="1007"/>
      <c r="AZ243" s="1007"/>
      <c r="BA243" s="1007"/>
      <c r="BB243" s="1007"/>
      <c r="BC243" s="1007"/>
      <c r="BD243" s="1007"/>
      <c r="BE243" s="1007"/>
      <c r="BF243" s="1007"/>
      <c r="BG243" s="1007"/>
      <c r="BH243" s="1007"/>
      <c r="BI243" s="1007"/>
      <c r="BJ243" s="1007"/>
      <c r="BK243" s="1007"/>
      <c r="BL243" s="1007"/>
      <c r="BM243" s="1007"/>
      <c r="BN243" s="1007"/>
      <c r="BO243" s="1007"/>
      <c r="BP243" s="1007"/>
      <c r="BQ243" s="1007"/>
      <c r="BR243" s="1007"/>
      <c r="BS243" s="1007"/>
      <c r="BT243" s="1007"/>
      <c r="BU243" s="1007"/>
      <c r="BV243" s="1007"/>
      <c r="BW243" s="1007"/>
      <c r="BX243" s="1007"/>
      <c r="BY243" s="1007"/>
      <c r="BZ243" s="1007"/>
      <c r="CA243" s="1007"/>
      <c r="CB243" s="1007"/>
      <c r="CC243" s="1007"/>
      <c r="CD243" s="1007"/>
      <c r="CE243" s="1007"/>
      <c r="CF243" s="1007"/>
      <c r="CG243" s="1007"/>
      <c r="CH243" s="1007"/>
      <c r="CI243" s="1007"/>
      <c r="CJ243" s="1007"/>
      <c r="CK243" s="1007"/>
      <c r="CL243" s="1007"/>
      <c r="CM243" s="1007"/>
      <c r="CN243" s="1007"/>
      <c r="CO243" s="1007"/>
      <c r="CP243" s="1007"/>
      <c r="CQ243" s="1007"/>
      <c r="CR243" s="1007"/>
      <c r="CS243" s="1007"/>
      <c r="CT243" s="1007"/>
      <c r="CU243" s="1007"/>
      <c r="CV243" s="1007"/>
      <c r="CW243" s="1007"/>
      <c r="CX243" s="1007"/>
      <c r="CY243" s="1007"/>
      <c r="CZ243" s="1007"/>
      <c r="DA243" s="1007"/>
      <c r="DB243" s="1007"/>
      <c r="DC243" s="1007"/>
      <c r="DD243" s="1007"/>
      <c r="DE243" s="1007"/>
      <c r="DF243" s="1007"/>
      <c r="DG243" s="1007"/>
      <c r="DH243" s="1007"/>
      <c r="DI243" s="1007"/>
      <c r="DJ243" s="1007"/>
      <c r="DK243" s="1007"/>
      <c r="DL243" s="1007"/>
      <c r="DM243" s="1007"/>
      <c r="DN243" s="1007"/>
      <c r="DO243" s="1007"/>
      <c r="DP243" s="1007"/>
      <c r="DQ243" s="1007"/>
      <c r="DR243" s="1007"/>
      <c r="DS243" s="1007"/>
      <c r="DT243" s="1007"/>
      <c r="DU243" s="1007"/>
      <c r="DV243" s="1007"/>
      <c r="DW243" s="1007"/>
      <c r="DX243" s="1007"/>
      <c r="DY243" s="1007"/>
      <c r="DZ243" s="1007"/>
      <c r="EA243" s="1007"/>
      <c r="EB243" s="1007"/>
      <c r="EC243" s="1007"/>
      <c r="ED243" s="1007"/>
      <c r="EE243" s="1007"/>
      <c r="EF243" s="1007"/>
      <c r="EG243" s="1007"/>
      <c r="EH243" s="1007"/>
      <c r="EI243" s="1007"/>
      <c r="EJ243" s="1007"/>
      <c r="EK243" s="1007"/>
      <c r="EL243" s="1007"/>
      <c r="EM243" s="1007"/>
      <c r="EN243" s="1007"/>
      <c r="EO243" s="1007"/>
      <c r="EP243" s="1007"/>
      <c r="EQ243" s="1007"/>
      <c r="ER243" s="1007"/>
      <c r="ES243" s="1007"/>
      <c r="ET243" s="1007"/>
      <c r="EU243" s="1007"/>
      <c r="EV243" s="1007"/>
      <c r="EW243" s="1007"/>
      <c r="EX243" s="1007"/>
      <c r="EY243" s="1007"/>
      <c r="EZ243" s="1007"/>
      <c r="FA243" s="1007"/>
      <c r="FB243" s="1007"/>
      <c r="FC243" s="1007"/>
      <c r="FD243" s="1007"/>
      <c r="FE243" s="1007"/>
      <c r="FF243" s="1007"/>
      <c r="FG243" s="1007"/>
      <c r="FH243" s="1007"/>
      <c r="FI243" s="1007"/>
      <c r="FJ243" s="1007"/>
      <c r="FK243" s="1007"/>
      <c r="FL243" s="1007"/>
      <c r="FM243" s="1007"/>
      <c r="FN243" s="1007"/>
      <c r="FO243" s="1007"/>
      <c r="FP243" s="1007"/>
      <c r="FQ243" s="1007"/>
      <c r="FR243" s="1007"/>
      <c r="FS243" s="1007"/>
      <c r="FT243" s="1007"/>
      <c r="FU243" s="1007"/>
      <c r="FV243" s="1007"/>
      <c r="FW243" s="1007"/>
      <c r="FX243" s="1007"/>
      <c r="FY243" s="1007"/>
      <c r="FZ243" s="1007"/>
      <c r="GA243" s="1007"/>
      <c r="GB243" s="1007"/>
      <c r="GC243" s="1007"/>
      <c r="GD243" s="1007"/>
      <c r="GE243" s="1007"/>
      <c r="GF243" s="1007"/>
      <c r="GG243" s="1007"/>
      <c r="GH243" s="1007"/>
      <c r="GI243" s="1007"/>
      <c r="GJ243" s="1007"/>
      <c r="GK243" s="1007"/>
      <c r="GL243" s="1007"/>
      <c r="GM243" s="1007"/>
      <c r="GN243" s="1007"/>
      <c r="GO243" s="1007"/>
      <c r="GP243" s="1007"/>
      <c r="GQ243" s="1007"/>
      <c r="GR243" s="1007"/>
      <c r="GS243" s="1007"/>
      <c r="GT243" s="1007"/>
      <c r="GU243" s="1007"/>
      <c r="GV243" s="1007"/>
      <c r="GW243" s="1007"/>
      <c r="GX243" s="1007"/>
      <c r="GY243" s="1007"/>
      <c r="GZ243" s="1007"/>
      <c r="HA243" s="1007"/>
      <c r="HB243" s="1007"/>
      <c r="HC243" s="1007"/>
      <c r="HD243" s="1007"/>
      <c r="HE243" s="1007"/>
      <c r="HF243" s="1007"/>
      <c r="HG243" s="1007"/>
      <c r="HH243" s="1007"/>
      <c r="HI243" s="1007"/>
      <c r="HJ243" s="1007"/>
      <c r="HK243" s="1007"/>
      <c r="HL243" s="1007"/>
      <c r="HM243" s="1007"/>
      <c r="HN243" s="1007"/>
      <c r="HO243" s="1007"/>
      <c r="HP243" s="1007"/>
      <c r="HQ243" s="1007"/>
      <c r="HR243" s="1007"/>
      <c r="HS243" s="1007"/>
      <c r="HT243" s="1007"/>
      <c r="HU243" s="1007"/>
      <c r="HV243" s="1007"/>
      <c r="HW243" s="1007"/>
      <c r="HX243" s="1007"/>
      <c r="HY243" s="1007"/>
      <c r="HZ243" s="1007"/>
      <c r="IA243" s="1007"/>
      <c r="IB243" s="1007"/>
      <c r="IC243" s="1007"/>
      <c r="ID243" s="1007"/>
      <c r="IE243" s="1007"/>
      <c r="IF243" s="1007"/>
      <c r="IG243" s="1007"/>
      <c r="IH243" s="1007"/>
    </row>
    <row r="244" hidden="1" outlineLevel="1">
      <c r="A244" s="598"/>
      <c r="B244" s="598"/>
      <c r="C244" s="598"/>
      <c r="D244" s="598"/>
      <c r="E244" s="598"/>
      <c r="F244" s="598"/>
      <c r="G244" s="598"/>
      <c r="H244" s="598"/>
      <c r="I244" s="598"/>
      <c r="J244" s="598"/>
      <c r="K244" s="598"/>
      <c r="L244" s="598"/>
      <c r="M244" s="598"/>
      <c r="N244" s="598"/>
      <c r="O244" s="598"/>
      <c r="P244" s="598"/>
      <c r="Q244" s="598"/>
      <c r="R244" s="598"/>
      <c r="S244" s="598"/>
      <c r="T244" s="598"/>
      <c r="U244" s="598"/>
      <c r="V244" s="598"/>
      <c r="W244" s="598"/>
      <c r="X244" s="598"/>
      <c r="Y244" s="598"/>
      <c r="Z244" s="598"/>
      <c r="AA244" s="911"/>
      <c r="AB244" s="1006"/>
      <c r="AC244" s="1007"/>
      <c r="AD244" s="1008"/>
      <c r="AE244" s="1007"/>
      <c r="AF244" s="1007"/>
      <c r="AG244" s="1007"/>
      <c r="AH244" s="1007"/>
      <c r="AI244" s="1007"/>
      <c r="AJ244" s="1007"/>
      <c r="AK244" s="1007"/>
      <c r="AL244" s="1007"/>
      <c r="AM244" s="1007"/>
      <c r="AN244" s="1007"/>
      <c r="AO244" s="1007"/>
      <c r="AP244" s="1007"/>
      <c r="AQ244" s="1007"/>
      <c r="AR244" s="1007"/>
      <c r="AS244" s="1007"/>
      <c r="AT244" s="1007"/>
      <c r="AU244" s="1007"/>
      <c r="AV244" s="1007"/>
      <c r="AW244" s="1007"/>
      <c r="AX244" s="1007"/>
      <c r="AY244" s="1007"/>
      <c r="AZ244" s="1007"/>
      <c r="BA244" s="1007"/>
      <c r="BB244" s="1007"/>
      <c r="BC244" s="1007"/>
      <c r="BD244" s="1007"/>
      <c r="BE244" s="1007"/>
      <c r="BF244" s="1007"/>
      <c r="BG244" s="1007"/>
      <c r="BH244" s="1007"/>
      <c r="BI244" s="1007"/>
      <c r="BJ244" s="1007"/>
      <c r="BK244" s="1007"/>
      <c r="BL244" s="1007"/>
      <c r="BM244" s="1007"/>
      <c r="BN244" s="1007"/>
      <c r="BO244" s="1007"/>
      <c r="BP244" s="1007"/>
      <c r="BQ244" s="1007"/>
      <c r="BR244" s="1007"/>
      <c r="BS244" s="1007"/>
      <c r="BT244" s="1007"/>
      <c r="BU244" s="1007"/>
      <c r="BV244" s="1007"/>
      <c r="BW244" s="1007"/>
      <c r="BX244" s="1007"/>
      <c r="BY244" s="1007"/>
      <c r="BZ244" s="1007"/>
      <c r="CA244" s="1007"/>
      <c r="CB244" s="1007"/>
      <c r="CC244" s="1007"/>
      <c r="CD244" s="1007"/>
      <c r="CE244" s="1007"/>
      <c r="CF244" s="1007"/>
      <c r="CG244" s="1007"/>
      <c r="CH244" s="1007"/>
      <c r="CI244" s="1007"/>
      <c r="CJ244" s="1007"/>
      <c r="CK244" s="1007"/>
      <c r="CL244" s="1007"/>
      <c r="CM244" s="1007"/>
      <c r="CN244" s="1007"/>
      <c r="CO244" s="1007"/>
      <c r="CP244" s="1007"/>
      <c r="CQ244" s="1007"/>
      <c r="CR244" s="1007"/>
      <c r="CS244" s="1007"/>
      <c r="CT244" s="1007"/>
      <c r="CU244" s="1007"/>
      <c r="CV244" s="1007"/>
      <c r="CW244" s="1007"/>
      <c r="CX244" s="1007"/>
      <c r="CY244" s="1007"/>
      <c r="CZ244" s="1007"/>
      <c r="DA244" s="1007"/>
      <c r="DB244" s="1007"/>
      <c r="DC244" s="1007"/>
      <c r="DD244" s="1007"/>
      <c r="DE244" s="1007"/>
      <c r="DF244" s="1007"/>
      <c r="DG244" s="1007"/>
      <c r="DH244" s="1007"/>
      <c r="DI244" s="1007"/>
      <c r="DJ244" s="1007"/>
      <c r="DK244" s="1007"/>
      <c r="DL244" s="1007"/>
      <c r="DM244" s="1007"/>
      <c r="DN244" s="1007"/>
      <c r="DO244" s="1007"/>
      <c r="DP244" s="1007"/>
      <c r="DQ244" s="1007"/>
      <c r="DR244" s="1007"/>
      <c r="DS244" s="1007"/>
      <c r="DT244" s="1007"/>
      <c r="DU244" s="1007"/>
      <c r="DV244" s="1007"/>
      <c r="DW244" s="1007"/>
      <c r="DX244" s="1007"/>
      <c r="DY244" s="1007"/>
      <c r="DZ244" s="1007"/>
      <c r="EA244" s="1007"/>
      <c r="EB244" s="1007"/>
      <c r="EC244" s="1007"/>
      <c r="ED244" s="1007"/>
      <c r="EE244" s="1007"/>
      <c r="EF244" s="1007"/>
      <c r="EG244" s="1007"/>
      <c r="EH244" s="1007"/>
      <c r="EI244" s="1007"/>
      <c r="EJ244" s="1007"/>
      <c r="EK244" s="1007"/>
      <c r="EL244" s="1007"/>
      <c r="EM244" s="1007"/>
      <c r="EN244" s="1007"/>
      <c r="EO244" s="1007"/>
      <c r="EP244" s="1007"/>
      <c r="EQ244" s="1007"/>
      <c r="ER244" s="1007"/>
      <c r="ES244" s="1007"/>
      <c r="ET244" s="1007"/>
      <c r="EU244" s="1007"/>
      <c r="EV244" s="1007"/>
      <c r="EW244" s="1007"/>
      <c r="EX244" s="1007"/>
      <c r="EY244" s="1007"/>
      <c r="EZ244" s="1007"/>
      <c r="FA244" s="1007"/>
      <c r="FB244" s="1007"/>
      <c r="FC244" s="1007"/>
      <c r="FD244" s="1007"/>
      <c r="FE244" s="1007"/>
      <c r="FF244" s="1007"/>
      <c r="FG244" s="1007"/>
      <c r="FH244" s="1007"/>
      <c r="FI244" s="1007"/>
      <c r="FJ244" s="1007"/>
      <c r="FK244" s="1007"/>
      <c r="FL244" s="1007"/>
      <c r="FM244" s="1007"/>
      <c r="FN244" s="1007"/>
      <c r="FO244" s="1007"/>
      <c r="FP244" s="1007"/>
      <c r="FQ244" s="1007"/>
      <c r="FR244" s="1007"/>
      <c r="FS244" s="1007"/>
      <c r="FT244" s="1007"/>
      <c r="FU244" s="1007"/>
      <c r="FV244" s="1007"/>
      <c r="FW244" s="1007"/>
      <c r="FX244" s="1007"/>
      <c r="FY244" s="1007"/>
      <c r="FZ244" s="1007"/>
      <c r="GA244" s="1007"/>
      <c r="GB244" s="1007"/>
      <c r="GC244" s="1007"/>
      <c r="GD244" s="1007"/>
      <c r="GE244" s="1007"/>
      <c r="GF244" s="1007"/>
      <c r="GG244" s="1007"/>
      <c r="GH244" s="1007"/>
      <c r="GI244" s="1007"/>
      <c r="GJ244" s="1007"/>
      <c r="GK244" s="1007"/>
      <c r="GL244" s="1007"/>
      <c r="GM244" s="1007"/>
      <c r="GN244" s="1007"/>
      <c r="GO244" s="1007"/>
      <c r="GP244" s="1007"/>
      <c r="GQ244" s="1007"/>
      <c r="GR244" s="1007"/>
      <c r="GS244" s="1007"/>
      <c r="GT244" s="1007"/>
      <c r="GU244" s="1007"/>
      <c r="GV244" s="1007"/>
      <c r="GW244" s="1007"/>
      <c r="GX244" s="1007"/>
      <c r="GY244" s="1007"/>
      <c r="GZ244" s="1007"/>
      <c r="HA244" s="1007"/>
      <c r="HB244" s="1007"/>
      <c r="HC244" s="1007"/>
      <c r="HD244" s="1007"/>
      <c r="HE244" s="1007"/>
      <c r="HF244" s="1007"/>
      <c r="HG244" s="1007"/>
      <c r="HH244" s="1007"/>
      <c r="HI244" s="1007"/>
      <c r="HJ244" s="1007"/>
      <c r="HK244" s="1007"/>
      <c r="HL244" s="1007"/>
      <c r="HM244" s="1007"/>
      <c r="HN244" s="1007"/>
      <c r="HO244" s="1007"/>
      <c r="HP244" s="1007"/>
      <c r="HQ244" s="1007"/>
      <c r="HR244" s="1007"/>
      <c r="HS244" s="1007"/>
      <c r="HT244" s="1007"/>
      <c r="HU244" s="1007"/>
      <c r="HV244" s="1007"/>
      <c r="HW244" s="1007"/>
      <c r="HX244" s="1007"/>
      <c r="HY244" s="1007"/>
      <c r="HZ244" s="1007"/>
      <c r="IA244" s="1007"/>
      <c r="IB244" s="1007"/>
      <c r="IC244" s="1007"/>
      <c r="ID244" s="1007"/>
      <c r="IE244" s="1007"/>
      <c r="IF244" s="1007"/>
      <c r="IG244" s="1007"/>
      <c r="IH244" s="1007"/>
    </row>
    <row r="245" hidden="1" outlineLevel="1">
      <c r="A245" s="598"/>
      <c r="B245" s="598"/>
      <c r="C245" s="598"/>
      <c r="D245" s="598"/>
      <c r="E245" s="598"/>
      <c r="F245" s="598"/>
      <c r="G245" s="598"/>
      <c r="H245" s="598"/>
      <c r="I245" s="598"/>
      <c r="J245" s="598"/>
      <c r="K245" s="598"/>
      <c r="L245" s="598"/>
      <c r="M245" s="598"/>
      <c r="N245" s="598"/>
      <c r="O245" s="598"/>
      <c r="P245" s="598"/>
      <c r="Q245" s="598"/>
      <c r="R245" s="598"/>
      <c r="S245" s="598"/>
      <c r="T245" s="598"/>
      <c r="U245" s="598"/>
      <c r="V245" s="598"/>
      <c r="W245" s="598"/>
      <c r="X245" s="598"/>
      <c r="Y245" s="598"/>
      <c r="Z245" s="598"/>
      <c r="AA245" s="911"/>
      <c r="AB245" s="1006"/>
      <c r="AC245" s="1007"/>
      <c r="AD245" s="1008"/>
      <c r="AE245" s="1007"/>
      <c r="AF245" s="1007"/>
      <c r="AG245" s="1007"/>
      <c r="AH245" s="1007"/>
      <c r="AI245" s="1007"/>
      <c r="AJ245" s="1007"/>
      <c r="AK245" s="1007"/>
      <c r="AL245" s="1007"/>
      <c r="AM245" s="1007"/>
      <c r="AN245" s="1007"/>
      <c r="AO245" s="1007"/>
      <c r="AP245" s="1007"/>
      <c r="AQ245" s="1007"/>
      <c r="AR245" s="1007"/>
      <c r="AS245" s="1007"/>
      <c r="AT245" s="1007"/>
      <c r="AU245" s="1007"/>
      <c r="AV245" s="1007"/>
      <c r="AW245" s="1007"/>
      <c r="AX245" s="1007"/>
      <c r="AY245" s="1007"/>
      <c r="AZ245" s="1007"/>
      <c r="BA245" s="1007"/>
      <c r="BB245" s="1007"/>
      <c r="BC245" s="1007"/>
      <c r="BD245" s="1007"/>
      <c r="BE245" s="1007"/>
      <c r="BF245" s="1007"/>
      <c r="BG245" s="1007"/>
      <c r="BH245" s="1007"/>
      <c r="BI245" s="1007"/>
      <c r="BJ245" s="1007"/>
      <c r="BK245" s="1007"/>
      <c r="BL245" s="1007"/>
      <c r="BM245" s="1007"/>
      <c r="BN245" s="1007"/>
      <c r="BO245" s="1007"/>
      <c r="BP245" s="1007"/>
      <c r="BQ245" s="1007"/>
      <c r="BR245" s="1007"/>
      <c r="BS245" s="1007"/>
      <c r="BT245" s="1007"/>
      <c r="BU245" s="1007"/>
      <c r="BV245" s="1007"/>
      <c r="BW245" s="1007"/>
      <c r="BX245" s="1007"/>
      <c r="BY245" s="1007"/>
      <c r="BZ245" s="1007"/>
      <c r="CA245" s="1007"/>
      <c r="CB245" s="1007"/>
      <c r="CC245" s="1007"/>
      <c r="CD245" s="1007"/>
      <c r="CE245" s="1007"/>
      <c r="CF245" s="1007"/>
      <c r="CG245" s="1007"/>
      <c r="CH245" s="1007"/>
      <c r="CI245" s="1007"/>
      <c r="CJ245" s="1007"/>
      <c r="CK245" s="1007"/>
      <c r="CL245" s="1007"/>
      <c r="CM245" s="1007"/>
      <c r="CN245" s="1007"/>
      <c r="CO245" s="1007"/>
      <c r="CP245" s="1007"/>
      <c r="CQ245" s="1007"/>
      <c r="CR245" s="1007"/>
      <c r="CS245" s="1007"/>
      <c r="CT245" s="1007"/>
      <c r="CU245" s="1007"/>
      <c r="CV245" s="1007"/>
      <c r="CW245" s="1007"/>
      <c r="CX245" s="1007"/>
      <c r="CY245" s="1007"/>
      <c r="CZ245" s="1007"/>
      <c r="DA245" s="1007"/>
      <c r="DB245" s="1007"/>
      <c r="DC245" s="1007"/>
      <c r="DD245" s="1007"/>
      <c r="DE245" s="1007"/>
      <c r="DF245" s="1007"/>
      <c r="DG245" s="1007"/>
      <c r="DH245" s="1007"/>
      <c r="DI245" s="1007"/>
      <c r="DJ245" s="1007"/>
      <c r="DK245" s="1007"/>
      <c r="DL245" s="1007"/>
      <c r="DM245" s="1007"/>
      <c r="DN245" s="1007"/>
      <c r="DO245" s="1007"/>
      <c r="DP245" s="1007"/>
      <c r="DQ245" s="1007"/>
      <c r="DR245" s="1007"/>
      <c r="DS245" s="1007"/>
      <c r="DT245" s="1007"/>
      <c r="DU245" s="1007"/>
      <c r="DV245" s="1007"/>
      <c r="DW245" s="1007"/>
      <c r="DX245" s="1007"/>
      <c r="DY245" s="1007"/>
      <c r="DZ245" s="1007"/>
      <c r="EA245" s="1007"/>
      <c r="EB245" s="1007"/>
      <c r="EC245" s="1007"/>
      <c r="ED245" s="1007"/>
      <c r="EE245" s="1007"/>
      <c r="EF245" s="1007"/>
      <c r="EG245" s="1007"/>
      <c r="EH245" s="1007"/>
      <c r="EI245" s="1007"/>
      <c r="EJ245" s="1007"/>
      <c r="EK245" s="1007"/>
      <c r="EL245" s="1007"/>
      <c r="EM245" s="1007"/>
      <c r="EN245" s="1007"/>
      <c r="EO245" s="1007"/>
      <c r="EP245" s="1007"/>
      <c r="EQ245" s="1007"/>
      <c r="ER245" s="1007"/>
      <c r="ES245" s="1007"/>
      <c r="ET245" s="1007"/>
      <c r="EU245" s="1007"/>
      <c r="EV245" s="1007"/>
      <c r="EW245" s="1007"/>
      <c r="EX245" s="1007"/>
      <c r="EY245" s="1007"/>
      <c r="EZ245" s="1007"/>
      <c r="FA245" s="1007"/>
      <c r="FB245" s="1007"/>
      <c r="FC245" s="1007"/>
      <c r="FD245" s="1007"/>
      <c r="FE245" s="1007"/>
      <c r="FF245" s="1007"/>
      <c r="FG245" s="1007"/>
      <c r="FH245" s="1007"/>
      <c r="FI245" s="1007"/>
      <c r="FJ245" s="1007"/>
      <c r="FK245" s="1007"/>
      <c r="FL245" s="1007"/>
      <c r="FM245" s="1007"/>
      <c r="FN245" s="1007"/>
      <c r="FO245" s="1007"/>
      <c r="FP245" s="1007"/>
      <c r="FQ245" s="1007"/>
      <c r="FR245" s="1007"/>
      <c r="FS245" s="1007"/>
      <c r="FT245" s="1007"/>
      <c r="FU245" s="1007"/>
      <c r="FV245" s="1007"/>
      <c r="FW245" s="1007"/>
      <c r="FX245" s="1007"/>
      <c r="FY245" s="1007"/>
      <c r="FZ245" s="1007"/>
      <c r="GA245" s="1007"/>
      <c r="GB245" s="1007"/>
      <c r="GC245" s="1007"/>
      <c r="GD245" s="1007"/>
      <c r="GE245" s="1007"/>
      <c r="GF245" s="1007"/>
      <c r="GG245" s="1007"/>
      <c r="GH245" s="1007"/>
      <c r="GI245" s="1007"/>
      <c r="GJ245" s="1007"/>
      <c r="GK245" s="1007"/>
      <c r="GL245" s="1007"/>
      <c r="GM245" s="1007"/>
      <c r="GN245" s="1007"/>
      <c r="GO245" s="1007"/>
      <c r="GP245" s="1007"/>
      <c r="GQ245" s="1007"/>
      <c r="GR245" s="1007"/>
      <c r="GS245" s="1007"/>
      <c r="GT245" s="1007"/>
      <c r="GU245" s="1007"/>
      <c r="GV245" s="1007"/>
      <c r="GW245" s="1007"/>
      <c r="GX245" s="1007"/>
      <c r="GY245" s="1007"/>
      <c r="GZ245" s="1007"/>
      <c r="HA245" s="1007"/>
      <c r="HB245" s="1007"/>
      <c r="HC245" s="1007"/>
      <c r="HD245" s="1007"/>
      <c r="HE245" s="1007"/>
      <c r="HF245" s="1007"/>
      <c r="HG245" s="1007"/>
      <c r="HH245" s="1007"/>
      <c r="HI245" s="1007"/>
      <c r="HJ245" s="1007"/>
      <c r="HK245" s="1007"/>
      <c r="HL245" s="1007"/>
      <c r="HM245" s="1007"/>
      <c r="HN245" s="1007"/>
      <c r="HO245" s="1007"/>
      <c r="HP245" s="1007"/>
      <c r="HQ245" s="1007"/>
      <c r="HR245" s="1007"/>
      <c r="HS245" s="1007"/>
      <c r="HT245" s="1007"/>
      <c r="HU245" s="1007"/>
      <c r="HV245" s="1007"/>
      <c r="HW245" s="1007"/>
      <c r="HX245" s="1007"/>
      <c r="HY245" s="1007"/>
      <c r="HZ245" s="1007"/>
      <c r="IA245" s="1007"/>
      <c r="IB245" s="1007"/>
      <c r="IC245" s="1007"/>
      <c r="ID245" s="1007"/>
      <c r="IE245" s="1007"/>
      <c r="IF245" s="1007"/>
      <c r="IG245" s="1007"/>
      <c r="IH245" s="1007"/>
    </row>
    <row r="246" hidden="1" outlineLevel="1">
      <c r="A246" s="598"/>
      <c r="B246" s="598"/>
      <c r="C246" s="598"/>
      <c r="D246" s="598"/>
      <c r="E246" s="598"/>
      <c r="F246" s="598"/>
      <c r="G246" s="598"/>
      <c r="H246" s="598"/>
      <c r="I246" s="598"/>
      <c r="J246" s="598"/>
      <c r="K246" s="598"/>
      <c r="L246" s="598"/>
      <c r="M246" s="598"/>
      <c r="N246" s="598"/>
      <c r="O246" s="598"/>
      <c r="P246" s="598"/>
      <c r="Q246" s="598"/>
      <c r="R246" s="598"/>
      <c r="S246" s="598"/>
      <c r="T246" s="598"/>
      <c r="U246" s="598"/>
      <c r="V246" s="598"/>
      <c r="W246" s="598"/>
      <c r="X246" s="598"/>
      <c r="Y246" s="598"/>
      <c r="Z246" s="598"/>
      <c r="AA246" s="911"/>
      <c r="AB246" s="1006"/>
      <c r="AC246" s="1007"/>
      <c r="AD246" s="1008"/>
      <c r="AE246" s="1007"/>
      <c r="AF246" s="1007"/>
      <c r="AG246" s="1007"/>
      <c r="AH246" s="1007"/>
      <c r="AI246" s="1007"/>
      <c r="AJ246" s="1007"/>
      <c r="AK246" s="1007"/>
      <c r="AL246" s="1007"/>
      <c r="AM246" s="1007"/>
      <c r="AN246" s="1007"/>
      <c r="AO246" s="1007"/>
      <c r="AP246" s="1007"/>
      <c r="AQ246" s="1007"/>
      <c r="AR246" s="1007"/>
      <c r="AS246" s="1007"/>
      <c r="AT246" s="1007"/>
      <c r="AU246" s="1007"/>
      <c r="AV246" s="1007"/>
      <c r="AW246" s="1007"/>
      <c r="AX246" s="1007"/>
      <c r="AY246" s="1007"/>
      <c r="AZ246" s="1007"/>
      <c r="BA246" s="1007"/>
      <c r="BB246" s="1007"/>
      <c r="BC246" s="1007"/>
      <c r="BD246" s="1007"/>
      <c r="BE246" s="1007"/>
      <c r="BF246" s="1007"/>
      <c r="BG246" s="1007"/>
      <c r="BH246" s="1007"/>
      <c r="BI246" s="1007"/>
      <c r="BJ246" s="1007"/>
      <c r="BK246" s="1007"/>
      <c r="BL246" s="1007"/>
      <c r="BM246" s="1007"/>
      <c r="BN246" s="1007"/>
      <c r="BO246" s="1007"/>
      <c r="BP246" s="1007"/>
      <c r="BQ246" s="1007"/>
      <c r="BR246" s="1007"/>
      <c r="BS246" s="1007"/>
      <c r="BT246" s="1007"/>
      <c r="BU246" s="1007"/>
      <c r="BV246" s="1007"/>
      <c r="BW246" s="1007"/>
      <c r="BX246" s="1007"/>
      <c r="BY246" s="1007"/>
      <c r="BZ246" s="1007"/>
      <c r="CA246" s="1007"/>
      <c r="CB246" s="1007"/>
      <c r="CC246" s="1007"/>
      <c r="CD246" s="1007"/>
      <c r="CE246" s="1007"/>
      <c r="CF246" s="1007"/>
      <c r="CG246" s="1007"/>
      <c r="CH246" s="1007"/>
      <c r="CI246" s="1007"/>
      <c r="CJ246" s="1007"/>
      <c r="CK246" s="1007"/>
      <c r="CL246" s="1007"/>
      <c r="CM246" s="1007"/>
      <c r="CN246" s="1007"/>
      <c r="CO246" s="1007"/>
      <c r="CP246" s="1007"/>
      <c r="CQ246" s="1007"/>
      <c r="CR246" s="1007"/>
      <c r="CS246" s="1007"/>
      <c r="CT246" s="1007"/>
      <c r="CU246" s="1007"/>
      <c r="CV246" s="1007"/>
      <c r="CW246" s="1007"/>
      <c r="CX246" s="1007"/>
      <c r="CY246" s="1007"/>
      <c r="CZ246" s="1007"/>
      <c r="DA246" s="1007"/>
      <c r="DB246" s="1007"/>
      <c r="DC246" s="1007"/>
      <c r="DD246" s="1007"/>
      <c r="DE246" s="1007"/>
      <c r="DF246" s="1007"/>
      <c r="DG246" s="1007"/>
      <c r="DH246" s="1007"/>
      <c r="DI246" s="1007"/>
      <c r="DJ246" s="1007"/>
      <c r="DK246" s="1007"/>
      <c r="DL246" s="1007"/>
      <c r="DM246" s="1007"/>
      <c r="DN246" s="1007"/>
      <c r="DO246" s="1007"/>
      <c r="DP246" s="1007"/>
      <c r="DQ246" s="1007"/>
      <c r="DR246" s="1007"/>
      <c r="DS246" s="1007"/>
      <c r="DT246" s="1007"/>
      <c r="DU246" s="1007"/>
      <c r="DV246" s="1007"/>
      <c r="DW246" s="1007"/>
      <c r="DX246" s="1007"/>
      <c r="DY246" s="1007"/>
      <c r="DZ246" s="1007"/>
      <c r="EA246" s="1007"/>
      <c r="EB246" s="1007"/>
      <c r="EC246" s="1007"/>
      <c r="ED246" s="1007"/>
      <c r="EE246" s="1007"/>
      <c r="EF246" s="1007"/>
      <c r="EG246" s="1007"/>
      <c r="EH246" s="1007"/>
      <c r="EI246" s="1007"/>
      <c r="EJ246" s="1007"/>
      <c r="EK246" s="1007"/>
      <c r="EL246" s="1007"/>
      <c r="EM246" s="1007"/>
      <c r="EN246" s="1007"/>
      <c r="EO246" s="1007"/>
      <c r="EP246" s="1007"/>
      <c r="EQ246" s="1007"/>
      <c r="ER246" s="1007"/>
      <c r="ES246" s="1007"/>
      <c r="ET246" s="1007"/>
      <c r="EU246" s="1007"/>
      <c r="EV246" s="1007"/>
      <c r="EW246" s="1007"/>
      <c r="EX246" s="1007"/>
      <c r="EY246" s="1007"/>
      <c r="EZ246" s="1007"/>
      <c r="FA246" s="1007"/>
      <c r="FB246" s="1007"/>
      <c r="FC246" s="1007"/>
      <c r="FD246" s="1007"/>
      <c r="FE246" s="1007"/>
      <c r="FF246" s="1007"/>
      <c r="FG246" s="1007"/>
      <c r="FH246" s="1007"/>
      <c r="FI246" s="1007"/>
      <c r="FJ246" s="1007"/>
      <c r="FK246" s="1007"/>
      <c r="FL246" s="1007"/>
      <c r="FM246" s="1007"/>
      <c r="FN246" s="1007"/>
      <c r="FO246" s="1007"/>
      <c r="FP246" s="1007"/>
      <c r="FQ246" s="1007"/>
      <c r="FR246" s="1007"/>
      <c r="FS246" s="1007"/>
      <c r="FT246" s="1007"/>
      <c r="FU246" s="1007"/>
      <c r="FV246" s="1007"/>
      <c r="FW246" s="1007"/>
      <c r="FX246" s="1007"/>
      <c r="FY246" s="1007"/>
      <c r="FZ246" s="1007"/>
      <c r="GA246" s="1007"/>
      <c r="GB246" s="1007"/>
      <c r="GC246" s="1007"/>
      <c r="GD246" s="1007"/>
      <c r="GE246" s="1007"/>
      <c r="GF246" s="1007"/>
      <c r="GG246" s="1007"/>
      <c r="GH246" s="1007"/>
      <c r="GI246" s="1007"/>
      <c r="GJ246" s="1007"/>
      <c r="GK246" s="1007"/>
      <c r="GL246" s="1007"/>
      <c r="GM246" s="1007"/>
      <c r="GN246" s="1007"/>
      <c r="GO246" s="1007"/>
      <c r="GP246" s="1007"/>
      <c r="GQ246" s="1007"/>
      <c r="GR246" s="1007"/>
      <c r="GS246" s="1007"/>
      <c r="GT246" s="1007"/>
      <c r="GU246" s="1007"/>
      <c r="GV246" s="1007"/>
      <c r="GW246" s="1007"/>
      <c r="GX246" s="1007"/>
      <c r="GY246" s="1007"/>
      <c r="GZ246" s="1007"/>
      <c r="HA246" s="1007"/>
      <c r="HB246" s="1007"/>
      <c r="HC246" s="1007"/>
      <c r="HD246" s="1007"/>
      <c r="HE246" s="1007"/>
      <c r="HF246" s="1007"/>
      <c r="HG246" s="1007"/>
      <c r="HH246" s="1007"/>
      <c r="HI246" s="1007"/>
      <c r="HJ246" s="1007"/>
      <c r="HK246" s="1007"/>
      <c r="HL246" s="1007"/>
      <c r="HM246" s="1007"/>
      <c r="HN246" s="1007"/>
      <c r="HO246" s="1007"/>
      <c r="HP246" s="1007"/>
      <c r="HQ246" s="1007"/>
      <c r="HR246" s="1007"/>
      <c r="HS246" s="1007"/>
      <c r="HT246" s="1007"/>
      <c r="HU246" s="1007"/>
      <c r="HV246" s="1007"/>
      <c r="HW246" s="1007"/>
      <c r="HX246" s="1007"/>
      <c r="HY246" s="1007"/>
      <c r="HZ246" s="1007"/>
      <c r="IA246" s="1007"/>
      <c r="IB246" s="1007"/>
      <c r="IC246" s="1007"/>
      <c r="ID246" s="1007"/>
      <c r="IE246" s="1007"/>
      <c r="IF246" s="1007"/>
      <c r="IG246" s="1007"/>
      <c r="IH246" s="1007"/>
    </row>
  </sheetData>
  <mergeCells count="38">
    <mergeCell ref="K25:O25"/>
    <mergeCell ref="S25:W25"/>
    <mergeCell ref="C2:E3"/>
    <mergeCell ref="F2:G2"/>
    <mergeCell ref="K2:M3"/>
    <mergeCell ref="N2:O2"/>
    <mergeCell ref="S2:U3"/>
    <mergeCell ref="V2:W2"/>
    <mergeCell ref="C25:G25"/>
    <mergeCell ref="C26:G26"/>
    <mergeCell ref="K26:O26"/>
    <mergeCell ref="S26:W26"/>
    <mergeCell ref="C28:E29"/>
    <mergeCell ref="F28:G28"/>
    <mergeCell ref="K28:M29"/>
    <mergeCell ref="N28:O28"/>
    <mergeCell ref="U34:V35"/>
    <mergeCell ref="W34:W35"/>
    <mergeCell ref="S74:S79"/>
    <mergeCell ref="T74:V79"/>
    <mergeCell ref="T28:W28"/>
    <mergeCell ref="T29:V29"/>
    <mergeCell ref="T30:V30"/>
    <mergeCell ref="T31:V31"/>
    <mergeCell ref="T32:V32"/>
    <mergeCell ref="T33:V33"/>
    <mergeCell ref="T34:T35"/>
    <mergeCell ref="C51:G51"/>
    <mergeCell ref="C52:G52"/>
    <mergeCell ref="C54:W54"/>
    <mergeCell ref="T37:T41"/>
    <mergeCell ref="U37:V37"/>
    <mergeCell ref="U38:V38"/>
    <mergeCell ref="U39:V39"/>
    <mergeCell ref="V40:W40"/>
    <mergeCell ref="V41:W41"/>
    <mergeCell ref="K51:O51"/>
    <mergeCell ref="K52:O52"/>
  </mergeCells>
  <conditionalFormatting sqref="M31:M32">
    <cfRule type="expression" dxfId="18" priority="1">
      <formula>IF(REGEXMATCH($AM31, "MAX"), TRUE, FALSE)</formula>
    </cfRule>
  </conditionalFormatting>
  <conditionalFormatting sqref="M31:M32">
    <cfRule type="expression" dxfId="19" priority="2">
      <formula>IF(REGEXMATCH($AM31, "Target"), TRUE, FALSE)</formula>
    </cfRule>
  </conditionalFormatting>
  <conditionalFormatting sqref="F5:G24 N5:O24 V5:W24 F31:G50 N31:O50">
    <cfRule type="expression" dxfId="20" priority="3">
      <formula>G5="Levels Error!"</formula>
    </cfRule>
  </conditionalFormatting>
  <conditionalFormatting sqref="W38">
    <cfRule type="containsText" dxfId="21" priority="4" operator="containsText" text="Target">
      <formula>NOT(ISERROR(SEARCH(("Target"),(W38))))</formula>
    </cfRule>
  </conditionalFormatting>
  <conditionalFormatting sqref="W38">
    <cfRule type="containsText" dxfId="22" priority="5" operator="containsText" text="Max">
      <formula>NOT(ISERROR(SEARCH(("Max"),(W38))))</formula>
    </cfRule>
  </conditionalFormatting>
  <conditionalFormatting sqref="W39">
    <cfRule type="containsText" dxfId="22" priority="6" operator="containsText" text="Top">
      <formula>NOT(ISERROR(SEARCH(("Top"),(W39))))</formula>
    </cfRule>
  </conditionalFormatting>
  <conditionalFormatting sqref="W39">
    <cfRule type="containsText" dxfId="21" priority="7" operator="containsText" text="Bottom">
      <formula>NOT(ISERROR(SEARCH(("Bottom"),(W39))))</formula>
    </cfRule>
  </conditionalFormatting>
  <conditionalFormatting sqref="E5:E24 M5:M24 U5:U24 E31:E50 M31:M50">
    <cfRule type="expression" dxfId="23" priority="8">
      <formula>IF(SUM(COUNTIF({$E$5:$E$24, $M$5:$M$24, $U$5:$U$24, $E$31:$E$50, $M$31:$M$50}, E5)) &gt; 1, TRUE, FALSE)</formula>
    </cfRule>
  </conditionalFormatting>
  <conditionalFormatting sqref="C5:G24 K5:O24 S5:W24 C31:G50 K31:O50">
    <cfRule type="expression" dxfId="18" priority="9">
      <formula>IF(REGEXMATCH(G5, "MAX"), TRUE, FALSE)</formula>
    </cfRule>
  </conditionalFormatting>
  <conditionalFormatting sqref="N28:O50 P28:Q47 K30:M50">
    <cfRule type="expression" dxfId="18" priority="10">
      <formula>IF(REGEXMATCH($Q28, "MAX"), TRUE, FALSE)</formula>
    </cfRule>
  </conditionalFormatting>
  <conditionalFormatting sqref="N28:O50 P28:Q47 K30:M50">
    <cfRule type="expression" dxfId="19" priority="11">
      <formula>IF(REGEXMATCH($Q28, "Target"), TRUE, FALSE)</formula>
    </cfRule>
  </conditionalFormatting>
  <conditionalFormatting sqref="C5:G24 K5:O24 S5:W24 C31:G50 K31:O50">
    <cfRule type="expression" dxfId="19" priority="12">
      <formula>IF(REGEXMATCH(G5, "Target"), TRUE, FALSE)</formula>
    </cfRule>
  </conditionalFormatting>
  <conditionalFormatting sqref="C5:D24">
    <cfRule type="expression" dxfId="24" priority="13">
      <formula>ISERROR($B5)</formula>
    </cfRule>
  </conditionalFormatting>
  <conditionalFormatting sqref="K5:L24">
    <cfRule type="expression" dxfId="25" priority="14">
      <formula>ISERROR($J5)</formula>
    </cfRule>
  </conditionalFormatting>
  <conditionalFormatting sqref="S5:T24">
    <cfRule type="expression" dxfId="26" priority="15">
      <formula>ISERROR($R5)</formula>
    </cfRule>
  </conditionalFormatting>
  <conditionalFormatting sqref="C30:D50 E30:G30">
    <cfRule type="expression" dxfId="27" priority="16">
      <formula>ISERROR($B30)</formula>
    </cfRule>
  </conditionalFormatting>
  <conditionalFormatting sqref="K30:L50 M30:O30">
    <cfRule type="expression" dxfId="28" priority="17">
      <formula>ISERROR($J30)</formula>
    </cfRule>
  </conditionalFormatting>
  <conditionalFormatting sqref="T29:V29 T30:V30 T31:V31 T32:V32 T33:V33">
    <cfRule type="expression" dxfId="29" priority="18">
      <formula>ISERROR(R29)</formula>
    </cfRule>
  </conditionalFormatting>
  <dataValidations>
    <dataValidation type="list" allowBlank="1" showErrorMessage="1" sqref="S5:S24">
      <formula1>'Lab Planner'!$AH84:$IH84</formula1>
    </dataValidation>
    <dataValidation type="list" allowBlank="1" showErrorMessage="1" sqref="T32">
      <formula1>'Lab Planner'!$E$31:$E$50</formula1>
    </dataValidation>
    <dataValidation type="list" allowBlank="1" showErrorMessage="1" sqref="W38">
      <formula1>"Max,Target"</formula1>
    </dataValidation>
    <dataValidation type="list" allowBlank="1" showErrorMessage="1" sqref="K5:K24">
      <formula1>'Lab Planner'!$AH44:$IH44</formula1>
    </dataValidation>
    <dataValidation type="list" allowBlank="1" showErrorMessage="1" sqref="D31:D50">
      <formula1>'Lab Planner'!$AH144:$IH144</formula1>
    </dataValidation>
    <dataValidation type="list" allowBlank="1" showErrorMessage="1" sqref="T29">
      <formula1>'Lab Planner'!$E$5:$E$24</formula1>
    </dataValidation>
    <dataValidation type="list" allowBlank="1" showErrorMessage="1" sqref="W39">
      <formula1>"Top,Bottom"</formula1>
    </dataValidation>
    <dataValidation type="list" allowBlank="1" showErrorMessage="1" sqref="W37">
      <formula1>"Total,Daily,Gem Rush"</formula1>
    </dataValidation>
    <dataValidation type="list" allowBlank="1" showErrorMessage="1" sqref="T31">
      <formula1>'Lab Planner'!$U$5:$U$24</formula1>
    </dataValidation>
    <dataValidation type="list" allowBlank="1" showErrorMessage="1" sqref="D5:D24">
      <formula1>'Lab Planner'!$AH22:$IH22</formula1>
    </dataValidation>
    <dataValidation type="list" allowBlank="1" showErrorMessage="1" sqref="T5:T24">
      <formula1>'Lab Planner'!$AH104:$IH104</formula1>
    </dataValidation>
    <dataValidation type="list" allowBlank="1" showErrorMessage="1" sqref="C31:C50">
      <formula1>'Lab Planner'!$AH124:$IH124</formula1>
    </dataValidation>
    <dataValidation type="list" allowBlank="1" showErrorMessage="1" sqref="K31:K50">
      <formula1>'Lab Planner'!$AH164:$IH164</formula1>
    </dataValidation>
    <dataValidation type="list" allowBlank="1" showErrorMessage="1" sqref="L5:L24">
      <formula1>'Lab Planner'!$AH64:$IH64</formula1>
    </dataValidation>
    <dataValidation type="list" allowBlank="1" showErrorMessage="1" sqref="T30">
      <formula1>'Lab Planner'!$M$5:$M$24</formula1>
    </dataValidation>
    <dataValidation type="list" allowBlank="1" showErrorMessage="1" sqref="C5:C24">
      <formula1>'Lab Planner'!$AH2:$IH2</formula1>
    </dataValidation>
    <dataValidation type="list" allowBlank="1" showErrorMessage="1" sqref="F2 N2 V2 F28 N28">
      <formula1>'Lab Planner'!$AA$2:$AA$10</formula1>
    </dataValidation>
    <dataValidation type="list" allowBlank="1" showErrorMessage="1" sqref="V41">
      <formula1>"Show Date,Show Running Date,Show Time"</formula1>
    </dataValidation>
    <dataValidation type="list" allowBlank="1" showErrorMessage="1" sqref="E5:E24 M5:M24 U5:U24 E31:E50 M31:M50 E56:E70 M56:M70 U56:U70 E72:E86 M72:M86">
      <formula1>'Lab Planner'!$AC$2:$AC246</formula1>
    </dataValidation>
    <dataValidation type="list" allowBlank="1" showErrorMessage="1" sqref="V40">
      <formula1>"Show All,Completed,Completed &amp; Target"</formula1>
    </dataValidation>
    <dataValidation type="list" allowBlank="1" showErrorMessage="1" sqref="L31:L50">
      <formula1>'Lab Planner'!$AH184:$IH184</formula1>
    </dataValidation>
    <dataValidation type="list" allowBlank="1" showErrorMessage="1" sqref="T33">
      <formula1>'Lab Planner'!$M$31:$M$50</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67" width="6.38"/>
    <col customWidth="1" min="168" max="168" width="8.38"/>
    <col customWidth="1" min="169" max="169" width="6.0"/>
    <col customWidth="1" min="170" max="269" width="6.38"/>
    <col customWidth="1" min="270" max="284" width="8.75"/>
    <col customWidth="1" min="285" max="363" width="6.38"/>
  </cols>
  <sheetData>
    <row r="1">
      <c r="A1" s="1010"/>
      <c r="B1" s="1011" t="s">
        <v>154</v>
      </c>
      <c r="C1" s="1012"/>
      <c r="D1" s="1011" t="s">
        <v>169</v>
      </c>
      <c r="E1" s="1012"/>
      <c r="F1" s="1011" t="s">
        <v>180</v>
      </c>
      <c r="G1" s="1013"/>
      <c r="H1" s="1011" t="s">
        <v>193</v>
      </c>
      <c r="I1" s="1012"/>
      <c r="J1" s="1011" t="s">
        <v>215</v>
      </c>
      <c r="K1" s="1012"/>
      <c r="L1" s="1011" t="s">
        <v>227</v>
      </c>
      <c r="M1" s="1012"/>
      <c r="N1" s="1014" t="s">
        <v>238</v>
      </c>
      <c r="O1" s="1012"/>
      <c r="P1" s="1011" t="s">
        <v>249</v>
      </c>
      <c r="Q1" s="1012"/>
      <c r="R1" s="1011" t="s">
        <v>260</v>
      </c>
      <c r="S1" s="1012"/>
      <c r="T1" s="1011" t="s">
        <v>270</v>
      </c>
      <c r="U1" s="1012"/>
      <c r="V1" s="1011" t="s">
        <v>278</v>
      </c>
      <c r="W1" s="1012"/>
      <c r="X1" s="1011" t="s">
        <v>286</v>
      </c>
      <c r="Y1" s="1012"/>
      <c r="Z1" s="1011" t="s">
        <v>294</v>
      </c>
      <c r="AA1" s="1012"/>
      <c r="AB1" s="1011" t="s">
        <v>301</v>
      </c>
      <c r="AC1" s="1012"/>
      <c r="AD1" s="1011" t="s">
        <v>308</v>
      </c>
      <c r="AE1" s="1012"/>
      <c r="AF1" s="1011" t="s">
        <v>315</v>
      </c>
      <c r="AG1" s="1012"/>
      <c r="AH1" s="1011" t="s">
        <v>322</v>
      </c>
      <c r="AI1" s="1012"/>
      <c r="AJ1" s="1015" t="s">
        <v>155</v>
      </c>
      <c r="AK1" s="1012"/>
      <c r="AL1" s="1015" t="s">
        <v>170</v>
      </c>
      <c r="AM1" s="1012"/>
      <c r="AN1" s="1015" t="s">
        <v>181</v>
      </c>
      <c r="AO1" s="1012"/>
      <c r="AP1" s="1015" t="s">
        <v>195</v>
      </c>
      <c r="AQ1" s="1012"/>
      <c r="AR1" s="1015" t="s">
        <v>216</v>
      </c>
      <c r="AS1" s="1012"/>
      <c r="AT1" s="1015" t="s">
        <v>228</v>
      </c>
      <c r="AU1" s="1012"/>
      <c r="AV1" s="1015" t="s">
        <v>239</v>
      </c>
      <c r="AW1" s="1012"/>
      <c r="AX1" s="1015" t="s">
        <v>250</v>
      </c>
      <c r="AY1" s="1012"/>
      <c r="AZ1" s="1015" t="s">
        <v>261</v>
      </c>
      <c r="BA1" s="1012"/>
      <c r="BB1" s="1016" t="s">
        <v>156</v>
      </c>
      <c r="BC1" s="1012"/>
      <c r="BD1" s="1016" t="s">
        <v>171</v>
      </c>
      <c r="BE1" s="1012"/>
      <c r="BF1" s="1016" t="s">
        <v>182</v>
      </c>
      <c r="BG1" s="1012"/>
      <c r="BH1" s="1016" t="s">
        <v>197</v>
      </c>
      <c r="BI1" s="1012"/>
      <c r="BJ1" s="1016" t="s">
        <v>217</v>
      </c>
      <c r="BK1" s="1012"/>
      <c r="BL1" s="1016" t="s">
        <v>229</v>
      </c>
      <c r="BM1" s="1012"/>
      <c r="BN1" s="1016" t="s">
        <v>240</v>
      </c>
      <c r="BO1" s="1012"/>
      <c r="BP1" s="1016" t="s">
        <v>251</v>
      </c>
      <c r="BQ1" s="1012"/>
      <c r="BR1" s="1016" t="s">
        <v>262</v>
      </c>
      <c r="BS1" s="1012"/>
      <c r="BT1" s="1016" t="s">
        <v>271</v>
      </c>
      <c r="BU1" s="1012"/>
      <c r="BV1" s="1016" t="s">
        <v>279</v>
      </c>
      <c r="BW1" s="1012"/>
      <c r="BX1" s="1016" t="s">
        <v>287</v>
      </c>
      <c r="BY1" s="1012"/>
      <c r="BZ1" s="1016" t="s">
        <v>295</v>
      </c>
      <c r="CA1" s="1012"/>
      <c r="CB1" s="1016" t="s">
        <v>302</v>
      </c>
      <c r="CC1" s="1012"/>
      <c r="CD1" s="1017" t="s">
        <v>309</v>
      </c>
      <c r="CE1" s="1012"/>
      <c r="CF1" s="1016" t="s">
        <v>316</v>
      </c>
      <c r="CG1" s="1012"/>
      <c r="CH1" s="1018" t="s">
        <v>157</v>
      </c>
      <c r="CI1" s="1012"/>
      <c r="CJ1" s="1018" t="s">
        <v>172</v>
      </c>
      <c r="CK1" s="1012"/>
      <c r="CL1" s="1018" t="s">
        <v>183</v>
      </c>
      <c r="CM1" s="1012"/>
      <c r="CN1" s="1018" t="s">
        <v>199</v>
      </c>
      <c r="CO1" s="1012"/>
      <c r="CP1" s="1018" t="s">
        <v>218</v>
      </c>
      <c r="CQ1" s="1012"/>
      <c r="CR1" s="1018" t="s">
        <v>230</v>
      </c>
      <c r="CS1" s="1012"/>
      <c r="CT1" s="1018" t="s">
        <v>241</v>
      </c>
      <c r="CU1" s="1012"/>
      <c r="CV1" s="1018" t="s">
        <v>252</v>
      </c>
      <c r="CW1" s="1012"/>
      <c r="CX1" s="1018" t="s">
        <v>263</v>
      </c>
      <c r="CY1" s="1012"/>
      <c r="CZ1" s="1018" t="s">
        <v>272</v>
      </c>
      <c r="DA1" s="1012"/>
      <c r="DB1" s="1018" t="s">
        <v>280</v>
      </c>
      <c r="DC1" s="1012"/>
      <c r="DD1" s="1018" t="s">
        <v>288</v>
      </c>
      <c r="DE1" s="1012"/>
      <c r="DF1" s="1019" t="s">
        <v>158</v>
      </c>
      <c r="DG1" s="1012"/>
      <c r="DH1" s="1019" t="s">
        <v>173</v>
      </c>
      <c r="DI1" s="1012"/>
      <c r="DJ1" s="1019" t="s">
        <v>184</v>
      </c>
      <c r="DK1" s="1012"/>
      <c r="DL1" s="1019" t="s">
        <v>201</v>
      </c>
      <c r="DM1" s="1012"/>
      <c r="DN1" s="1019" t="s">
        <v>219</v>
      </c>
      <c r="DO1" s="1012"/>
      <c r="DP1" s="1019" t="s">
        <v>231</v>
      </c>
      <c r="DQ1" s="1012"/>
      <c r="DR1" s="1019" t="s">
        <v>242</v>
      </c>
      <c r="DS1" s="1012"/>
      <c r="DT1" s="1019" t="s">
        <v>253</v>
      </c>
      <c r="DU1" s="1012"/>
      <c r="DV1" s="1019" t="s">
        <v>264</v>
      </c>
      <c r="DW1" s="1012"/>
      <c r="DX1" s="1019" t="s">
        <v>273</v>
      </c>
      <c r="DY1" s="1012"/>
      <c r="DZ1" s="1019" t="s">
        <v>281</v>
      </c>
      <c r="EA1" s="1012"/>
      <c r="EB1" s="1019" t="s">
        <v>289</v>
      </c>
      <c r="EC1" s="1012"/>
      <c r="ED1" s="1019" t="s">
        <v>296</v>
      </c>
      <c r="EE1" s="1012"/>
      <c r="EF1" s="1019" t="s">
        <v>303</v>
      </c>
      <c r="EG1" s="1012"/>
      <c r="EH1" s="1019" t="s">
        <v>310</v>
      </c>
      <c r="EI1" s="1012"/>
      <c r="EJ1" s="1019" t="s">
        <v>317</v>
      </c>
      <c r="EK1" s="1012"/>
      <c r="EL1" s="1019" t="s">
        <v>504</v>
      </c>
      <c r="EM1" s="1012"/>
      <c r="EN1" s="1019" t="s">
        <v>328</v>
      </c>
      <c r="EO1" s="1012"/>
      <c r="EP1" s="1019" t="s">
        <v>333</v>
      </c>
      <c r="EQ1" s="1012"/>
      <c r="ER1" s="1019" t="s">
        <v>338</v>
      </c>
      <c r="ES1" s="1012"/>
      <c r="ET1" s="1019" t="s">
        <v>343</v>
      </c>
      <c r="EU1" s="1012"/>
      <c r="EV1" s="1019" t="s">
        <v>346</v>
      </c>
      <c r="EW1" s="1012"/>
      <c r="EX1" s="1019" t="s">
        <v>348</v>
      </c>
      <c r="EY1" s="1012"/>
      <c r="EZ1" s="1019" t="s">
        <v>350</v>
      </c>
      <c r="FA1" s="1012"/>
      <c r="FB1" s="1019" t="s">
        <v>352</v>
      </c>
      <c r="FC1" s="1012"/>
      <c r="FD1" s="1019" t="s">
        <v>354</v>
      </c>
      <c r="FE1" s="1012"/>
      <c r="FF1" s="1019" t="s">
        <v>356</v>
      </c>
      <c r="FG1" s="1012"/>
      <c r="FH1" s="1019" t="s">
        <v>358</v>
      </c>
      <c r="FI1" s="1012"/>
      <c r="FJ1" s="1019" t="s">
        <v>360</v>
      </c>
      <c r="FK1" s="1012"/>
      <c r="FL1" s="1020" t="s">
        <v>362</v>
      </c>
      <c r="FM1" s="1012"/>
      <c r="FN1" s="1021" t="s">
        <v>364</v>
      </c>
      <c r="FO1" s="1012"/>
      <c r="FP1" s="1022" t="s">
        <v>366</v>
      </c>
      <c r="FQ1" s="1012"/>
      <c r="FR1" s="1022" t="s">
        <v>368</v>
      </c>
      <c r="FS1" s="1012"/>
      <c r="FT1" s="1022" t="s">
        <v>370</v>
      </c>
      <c r="FU1" s="1012"/>
      <c r="FV1" s="1021" t="s">
        <v>372</v>
      </c>
      <c r="FW1" s="1012"/>
      <c r="FX1" s="1019" t="s">
        <v>374</v>
      </c>
      <c r="FY1" s="1012"/>
      <c r="FZ1" s="1019" t="s">
        <v>376</v>
      </c>
      <c r="GA1" s="1012"/>
      <c r="GB1" s="1019" t="s">
        <v>378</v>
      </c>
      <c r="GC1" s="1012"/>
      <c r="GD1" s="1019" t="s">
        <v>380</v>
      </c>
      <c r="GE1" s="1012"/>
      <c r="GF1" s="1023" t="s">
        <v>159</v>
      </c>
      <c r="GG1" s="1012"/>
      <c r="GH1" s="1023" t="s">
        <v>174</v>
      </c>
      <c r="GI1" s="1012"/>
      <c r="GJ1" s="1023" t="s">
        <v>185</v>
      </c>
      <c r="GK1" s="1012"/>
      <c r="GL1" s="1023" t="s">
        <v>203</v>
      </c>
      <c r="GM1" s="1012"/>
      <c r="GN1" s="1023" t="s">
        <v>220</v>
      </c>
      <c r="GO1" s="1012"/>
      <c r="GP1" s="1023" t="s">
        <v>232</v>
      </c>
      <c r="GQ1" s="1012"/>
      <c r="GR1" s="1023" t="s">
        <v>243</v>
      </c>
      <c r="GS1" s="1012"/>
      <c r="GT1" s="1023" t="s">
        <v>254</v>
      </c>
      <c r="GU1" s="1012"/>
      <c r="GV1" s="1023" t="s">
        <v>265</v>
      </c>
      <c r="GW1" s="1012"/>
      <c r="GX1" s="1024" t="s">
        <v>505</v>
      </c>
      <c r="GY1" s="1025"/>
      <c r="GZ1" s="1026" t="s">
        <v>160</v>
      </c>
      <c r="HA1" s="1012"/>
      <c r="HB1" s="1026" t="s">
        <v>175</v>
      </c>
      <c r="HC1" s="1012"/>
      <c r="HD1" s="1026" t="s">
        <v>186</v>
      </c>
      <c r="HE1" s="1012"/>
      <c r="HF1" s="1026" t="s">
        <v>205</v>
      </c>
      <c r="HG1" s="1012"/>
      <c r="HH1" s="1026" t="s">
        <v>221</v>
      </c>
      <c r="HI1" s="1012"/>
      <c r="HJ1" s="1026" t="s">
        <v>233</v>
      </c>
      <c r="HK1" s="1012"/>
      <c r="HL1" s="1026" t="s">
        <v>244</v>
      </c>
      <c r="HM1" s="1012"/>
      <c r="HN1" s="1026" t="s">
        <v>255</v>
      </c>
      <c r="HO1" s="1012"/>
      <c r="HP1" s="1026" t="s">
        <v>266</v>
      </c>
      <c r="HQ1" s="1012"/>
      <c r="HR1" s="1027" t="s">
        <v>161</v>
      </c>
      <c r="HS1" s="1012"/>
      <c r="HT1" s="1027" t="s">
        <v>176</v>
      </c>
      <c r="HU1" s="1012"/>
      <c r="HV1" s="1027" t="s">
        <v>187</v>
      </c>
      <c r="HW1" s="1012"/>
      <c r="HX1" s="1027" t="s">
        <v>207</v>
      </c>
      <c r="HY1" s="1012"/>
      <c r="HZ1" s="1028" t="s">
        <v>222</v>
      </c>
      <c r="IA1" s="1012"/>
      <c r="IB1" s="1027" t="s">
        <v>234</v>
      </c>
      <c r="IC1" s="1012"/>
      <c r="ID1" s="1027" t="s">
        <v>245</v>
      </c>
      <c r="IE1" s="1012"/>
      <c r="IF1" s="1029" t="s">
        <v>256</v>
      </c>
      <c r="IG1" s="1012"/>
      <c r="IH1" s="1030" t="s">
        <v>162</v>
      </c>
      <c r="II1" s="1012"/>
      <c r="IJ1" s="1030" t="s">
        <v>177</v>
      </c>
      <c r="IK1" s="1012"/>
      <c r="IL1" s="1030" t="s">
        <v>188</v>
      </c>
      <c r="IM1" s="1012"/>
      <c r="IN1" s="1030" t="s">
        <v>209</v>
      </c>
      <c r="IO1" s="1012"/>
      <c r="IP1" s="1030" t="s">
        <v>223</v>
      </c>
      <c r="IQ1" s="1012"/>
      <c r="IR1" s="1030" t="s">
        <v>235</v>
      </c>
      <c r="IS1" s="1012"/>
      <c r="IT1" s="1030" t="s">
        <v>246</v>
      </c>
      <c r="IU1" s="1012"/>
      <c r="IV1" s="1030" t="s">
        <v>257</v>
      </c>
      <c r="IW1" s="1012"/>
      <c r="IX1" s="1030" t="s">
        <v>267</v>
      </c>
      <c r="IY1" s="1012"/>
      <c r="IZ1" s="1030" t="s">
        <v>275</v>
      </c>
      <c r="JA1" s="1012"/>
      <c r="JB1" s="1030" t="s">
        <v>283</v>
      </c>
      <c r="JC1" s="1012"/>
      <c r="JD1" s="1030" t="s">
        <v>291</v>
      </c>
      <c r="JE1" s="1012"/>
      <c r="JF1" s="1030" t="s">
        <v>298</v>
      </c>
      <c r="JG1" s="1012"/>
      <c r="JH1" s="1030" t="s">
        <v>305</v>
      </c>
      <c r="JI1" s="1012"/>
      <c r="JJ1" s="1031" t="s">
        <v>312</v>
      </c>
      <c r="JK1" s="1012"/>
      <c r="JL1" s="1032" t="s">
        <v>319</v>
      </c>
      <c r="JM1" s="1012"/>
      <c r="JN1" s="1030" t="s">
        <v>325</v>
      </c>
      <c r="JO1" s="1012"/>
      <c r="JP1" s="1032" t="s">
        <v>330</v>
      </c>
      <c r="JQ1" s="1012"/>
      <c r="JR1" s="1030" t="s">
        <v>335</v>
      </c>
      <c r="JS1" s="1012"/>
      <c r="JT1" s="1032" t="s">
        <v>340</v>
      </c>
      <c r="JU1" s="1012"/>
      <c r="JV1" s="1030" t="s">
        <v>345</v>
      </c>
      <c r="JW1" s="1012"/>
      <c r="JX1" s="1033" t="s">
        <v>163</v>
      </c>
      <c r="JZ1" s="1034" t="s">
        <v>178</v>
      </c>
      <c r="KB1" s="1033" t="s">
        <v>506</v>
      </c>
      <c r="KD1" s="1033" t="s">
        <v>211</v>
      </c>
      <c r="KF1" s="1034" t="s">
        <v>224</v>
      </c>
      <c r="KH1" s="1034" t="s">
        <v>236</v>
      </c>
      <c r="KJ1" s="1034" t="s">
        <v>247</v>
      </c>
      <c r="KL1" s="1034" t="s">
        <v>258</v>
      </c>
      <c r="KN1" s="1034" t="s">
        <v>268</v>
      </c>
      <c r="KP1" s="1034" t="s">
        <v>276</v>
      </c>
      <c r="KR1" s="1034" t="s">
        <v>284</v>
      </c>
      <c r="KT1" s="1034" t="s">
        <v>292</v>
      </c>
      <c r="KV1" s="1034" t="s">
        <v>299</v>
      </c>
      <c r="KX1" s="1034" t="s">
        <v>306</v>
      </c>
      <c r="KZ1" s="1034" t="s">
        <v>313</v>
      </c>
      <c r="LB1" s="1034" t="s">
        <v>320</v>
      </c>
      <c r="LD1" s="1034" t="s">
        <v>326</v>
      </c>
      <c r="LF1" s="1034" t="s">
        <v>331</v>
      </c>
      <c r="LH1" s="1034" t="s">
        <v>336</v>
      </c>
      <c r="LJ1" s="1034" t="s">
        <v>341</v>
      </c>
      <c r="LL1" s="1023" t="s">
        <v>164</v>
      </c>
      <c r="LM1" s="1012"/>
      <c r="LN1" s="1023" t="s">
        <v>179</v>
      </c>
      <c r="LO1" s="1012"/>
      <c r="LP1" s="1023" t="s">
        <v>190</v>
      </c>
      <c r="LQ1" s="1012"/>
      <c r="LR1" s="1023" t="s">
        <v>213</v>
      </c>
      <c r="LS1" s="1012"/>
      <c r="LT1" s="1023" t="s">
        <v>225</v>
      </c>
      <c r="LU1" s="1012"/>
      <c r="LV1" s="1023" t="s">
        <v>237</v>
      </c>
      <c r="LW1" s="1012"/>
      <c r="LX1" s="1035" t="s">
        <v>248</v>
      </c>
      <c r="LY1" s="1012"/>
      <c r="LZ1" s="1023" t="s">
        <v>259</v>
      </c>
      <c r="MA1" s="1012"/>
      <c r="MB1" s="1035" t="s">
        <v>269</v>
      </c>
      <c r="MC1" s="1012"/>
      <c r="MD1" s="1023" t="s">
        <v>277</v>
      </c>
      <c r="ME1" s="1012"/>
      <c r="MF1" s="1035" t="s">
        <v>285</v>
      </c>
      <c r="MG1" s="1012"/>
      <c r="MH1" s="1023" t="s">
        <v>293</v>
      </c>
      <c r="MI1" s="1012"/>
      <c r="MJ1" s="1035" t="s">
        <v>300</v>
      </c>
      <c r="MK1" s="1012"/>
      <c r="ML1" s="1023" t="s">
        <v>307</v>
      </c>
      <c r="MM1" s="1012"/>
      <c r="MN1" s="1035" t="s">
        <v>314</v>
      </c>
      <c r="MO1" s="1012"/>
      <c r="MP1" s="1023" t="s">
        <v>321</v>
      </c>
      <c r="MQ1" s="1012"/>
      <c r="MR1" s="1036" t="s">
        <v>327</v>
      </c>
      <c r="MS1" s="1012"/>
      <c r="MT1" s="1035" t="s">
        <v>332</v>
      </c>
      <c r="MU1" s="1012"/>
      <c r="MV1" s="1035" t="s">
        <v>337</v>
      </c>
      <c r="MW1" s="1012"/>
      <c r="MX1" s="1035" t="s">
        <v>342</v>
      </c>
      <c r="MY1" s="1012"/>
    </row>
    <row r="2">
      <c r="A2" s="1037" t="s">
        <v>507</v>
      </c>
      <c r="B2" s="1038" t="s">
        <v>393</v>
      </c>
      <c r="C2" s="1039" t="s">
        <v>508</v>
      </c>
      <c r="D2" s="1038" t="s">
        <v>393</v>
      </c>
      <c r="E2" s="1040" t="s">
        <v>508</v>
      </c>
      <c r="F2" s="1038" t="s">
        <v>393</v>
      </c>
      <c r="G2" s="1040" t="s">
        <v>508</v>
      </c>
      <c r="H2" s="1038" t="s">
        <v>393</v>
      </c>
      <c r="I2" s="1039" t="s">
        <v>508</v>
      </c>
      <c r="J2" s="1038" t="s">
        <v>393</v>
      </c>
      <c r="K2" s="1039" t="s">
        <v>508</v>
      </c>
      <c r="L2" s="1038" t="s">
        <v>393</v>
      </c>
      <c r="M2" s="1039" t="s">
        <v>508</v>
      </c>
      <c r="N2" s="1038" t="s">
        <v>393</v>
      </c>
      <c r="O2" s="1039" t="s">
        <v>508</v>
      </c>
      <c r="P2" s="1038" t="s">
        <v>393</v>
      </c>
      <c r="Q2" s="1039" t="s">
        <v>508</v>
      </c>
      <c r="R2" s="1038" t="s">
        <v>393</v>
      </c>
      <c r="S2" s="1039" t="s">
        <v>508</v>
      </c>
      <c r="T2" s="1038" t="s">
        <v>393</v>
      </c>
      <c r="U2" s="1039" t="s">
        <v>508</v>
      </c>
      <c r="V2" s="1038" t="s">
        <v>393</v>
      </c>
      <c r="W2" s="1039" t="s">
        <v>508</v>
      </c>
      <c r="X2" s="1038" t="s">
        <v>393</v>
      </c>
      <c r="Y2" s="1039" t="s">
        <v>508</v>
      </c>
      <c r="Z2" s="1038" t="s">
        <v>393</v>
      </c>
      <c r="AA2" s="1040" t="s">
        <v>508</v>
      </c>
      <c r="AB2" s="1038" t="s">
        <v>393</v>
      </c>
      <c r="AC2" s="1040" t="s">
        <v>508</v>
      </c>
      <c r="AD2" s="1038" t="s">
        <v>393</v>
      </c>
      <c r="AE2" s="1039" t="s">
        <v>508</v>
      </c>
      <c r="AF2" s="1038" t="s">
        <v>393</v>
      </c>
      <c r="AG2" s="1039" t="s">
        <v>508</v>
      </c>
      <c r="AH2" s="1038" t="s">
        <v>393</v>
      </c>
      <c r="AI2" s="1039" t="s">
        <v>508</v>
      </c>
      <c r="AJ2" s="1041" t="s">
        <v>393</v>
      </c>
      <c r="AK2" s="1042" t="s">
        <v>508</v>
      </c>
      <c r="AL2" s="1041" t="s">
        <v>393</v>
      </c>
      <c r="AM2" s="1042" t="s">
        <v>508</v>
      </c>
      <c r="AN2" s="1041" t="s">
        <v>393</v>
      </c>
      <c r="AO2" s="1042" t="s">
        <v>508</v>
      </c>
      <c r="AP2" s="1041" t="s">
        <v>393</v>
      </c>
      <c r="AQ2" s="1042" t="s">
        <v>508</v>
      </c>
      <c r="AR2" s="1041" t="s">
        <v>393</v>
      </c>
      <c r="AS2" s="1042" t="s">
        <v>508</v>
      </c>
      <c r="AT2" s="1041" t="s">
        <v>393</v>
      </c>
      <c r="AU2" s="1042" t="s">
        <v>508</v>
      </c>
      <c r="AV2" s="1041" t="s">
        <v>393</v>
      </c>
      <c r="AW2" s="1042" t="s">
        <v>508</v>
      </c>
      <c r="AX2" s="1041" t="s">
        <v>393</v>
      </c>
      <c r="AY2" s="1042" t="s">
        <v>508</v>
      </c>
      <c r="AZ2" s="1041" t="s">
        <v>393</v>
      </c>
      <c r="BA2" s="1042" t="s">
        <v>508</v>
      </c>
      <c r="BB2" s="1043" t="s">
        <v>393</v>
      </c>
      <c r="BC2" s="1044" t="s">
        <v>508</v>
      </c>
      <c r="BD2" s="1043" t="s">
        <v>393</v>
      </c>
      <c r="BE2" s="1044" t="s">
        <v>508</v>
      </c>
      <c r="BF2" s="1043" t="s">
        <v>393</v>
      </c>
      <c r="BG2" s="1044" t="s">
        <v>508</v>
      </c>
      <c r="BH2" s="1043" t="s">
        <v>393</v>
      </c>
      <c r="BI2" s="1044" t="s">
        <v>508</v>
      </c>
      <c r="BJ2" s="1043" t="s">
        <v>393</v>
      </c>
      <c r="BK2" s="1044" t="s">
        <v>508</v>
      </c>
      <c r="BL2" s="1043" t="s">
        <v>393</v>
      </c>
      <c r="BM2" s="1044" t="s">
        <v>508</v>
      </c>
      <c r="BN2" s="1043" t="s">
        <v>393</v>
      </c>
      <c r="BO2" s="1044" t="s">
        <v>508</v>
      </c>
      <c r="BP2" s="1043" t="s">
        <v>393</v>
      </c>
      <c r="BQ2" s="1044" t="s">
        <v>508</v>
      </c>
      <c r="BR2" s="1043" t="s">
        <v>393</v>
      </c>
      <c r="BS2" s="1044" t="s">
        <v>508</v>
      </c>
      <c r="BT2" s="1043" t="s">
        <v>393</v>
      </c>
      <c r="BU2" s="1044" t="s">
        <v>508</v>
      </c>
      <c r="BV2" s="1043" t="s">
        <v>393</v>
      </c>
      <c r="BW2" s="1044" t="s">
        <v>508</v>
      </c>
      <c r="BX2" s="1043" t="s">
        <v>393</v>
      </c>
      <c r="BY2" s="1044" t="s">
        <v>508</v>
      </c>
      <c r="BZ2" s="1043" t="s">
        <v>393</v>
      </c>
      <c r="CA2" s="1044" t="s">
        <v>508</v>
      </c>
      <c r="CB2" s="1043" t="s">
        <v>393</v>
      </c>
      <c r="CC2" s="1044" t="s">
        <v>508</v>
      </c>
      <c r="CD2" s="1043" t="s">
        <v>393</v>
      </c>
      <c r="CE2" s="1044" t="s">
        <v>508</v>
      </c>
      <c r="CF2" s="1043" t="s">
        <v>393</v>
      </c>
      <c r="CG2" s="1044" t="s">
        <v>508</v>
      </c>
      <c r="CH2" s="1045" t="s">
        <v>393</v>
      </c>
      <c r="CI2" s="1046" t="s">
        <v>508</v>
      </c>
      <c r="CJ2" s="1045" t="s">
        <v>393</v>
      </c>
      <c r="CK2" s="1046" t="s">
        <v>508</v>
      </c>
      <c r="CL2" s="1045" t="s">
        <v>393</v>
      </c>
      <c r="CM2" s="1046" t="s">
        <v>508</v>
      </c>
      <c r="CN2" s="1045" t="s">
        <v>393</v>
      </c>
      <c r="CO2" s="1046" t="s">
        <v>508</v>
      </c>
      <c r="CP2" s="1045" t="s">
        <v>393</v>
      </c>
      <c r="CQ2" s="1046" t="s">
        <v>508</v>
      </c>
      <c r="CR2" s="1045" t="s">
        <v>393</v>
      </c>
      <c r="CS2" s="1046" t="s">
        <v>508</v>
      </c>
      <c r="CT2" s="1045" t="s">
        <v>393</v>
      </c>
      <c r="CU2" s="1046" t="s">
        <v>508</v>
      </c>
      <c r="CV2" s="1047" t="s">
        <v>393</v>
      </c>
      <c r="CW2" s="1046" t="s">
        <v>508</v>
      </c>
      <c r="CX2" s="1047" t="s">
        <v>393</v>
      </c>
      <c r="CY2" s="1046" t="s">
        <v>508</v>
      </c>
      <c r="CZ2" s="1047" t="s">
        <v>393</v>
      </c>
      <c r="DA2" s="1046" t="s">
        <v>508</v>
      </c>
      <c r="DB2" s="1047" t="s">
        <v>393</v>
      </c>
      <c r="DC2" s="1046" t="s">
        <v>508</v>
      </c>
      <c r="DD2" s="1047" t="s">
        <v>393</v>
      </c>
      <c r="DE2" s="1046" t="s">
        <v>508</v>
      </c>
      <c r="DF2" s="1048" t="s">
        <v>393</v>
      </c>
      <c r="DG2" s="1049" t="s">
        <v>508</v>
      </c>
      <c r="DH2" s="1048" t="s">
        <v>393</v>
      </c>
      <c r="DI2" s="1049" t="s">
        <v>508</v>
      </c>
      <c r="DJ2" s="1048" t="s">
        <v>393</v>
      </c>
      <c r="DK2" s="1049" t="s">
        <v>508</v>
      </c>
      <c r="DL2" s="1048" t="s">
        <v>393</v>
      </c>
      <c r="DM2" s="1049" t="s">
        <v>508</v>
      </c>
      <c r="DN2" s="1048" t="s">
        <v>393</v>
      </c>
      <c r="DO2" s="1049" t="s">
        <v>508</v>
      </c>
      <c r="DP2" s="1048" t="s">
        <v>393</v>
      </c>
      <c r="DQ2" s="1049" t="s">
        <v>508</v>
      </c>
      <c r="DR2" s="1048" t="s">
        <v>393</v>
      </c>
      <c r="DS2" s="1049" t="s">
        <v>508</v>
      </c>
      <c r="DT2" s="1048" t="s">
        <v>393</v>
      </c>
      <c r="DU2" s="1049" t="s">
        <v>508</v>
      </c>
      <c r="DV2" s="1048" t="s">
        <v>393</v>
      </c>
      <c r="DW2" s="1049" t="s">
        <v>508</v>
      </c>
      <c r="DX2" s="1048" t="s">
        <v>393</v>
      </c>
      <c r="DY2" s="1049" t="s">
        <v>508</v>
      </c>
      <c r="DZ2" s="1048" t="s">
        <v>393</v>
      </c>
      <c r="EA2" s="1049" t="s">
        <v>508</v>
      </c>
      <c r="EB2" s="1048" t="s">
        <v>393</v>
      </c>
      <c r="EC2" s="1049" t="s">
        <v>508</v>
      </c>
      <c r="ED2" s="1048" t="s">
        <v>393</v>
      </c>
      <c r="EE2" s="1049" t="s">
        <v>508</v>
      </c>
      <c r="EF2" s="1048" t="s">
        <v>393</v>
      </c>
      <c r="EG2" s="1049" t="s">
        <v>508</v>
      </c>
      <c r="EH2" s="1048" t="s">
        <v>393</v>
      </c>
      <c r="EI2" s="1049" t="s">
        <v>508</v>
      </c>
      <c r="EJ2" s="1048" t="s">
        <v>393</v>
      </c>
      <c r="EK2" s="1049" t="s">
        <v>508</v>
      </c>
      <c r="EL2" s="1048" t="s">
        <v>393</v>
      </c>
      <c r="EM2" s="1049" t="s">
        <v>508</v>
      </c>
      <c r="EN2" s="1048" t="s">
        <v>393</v>
      </c>
      <c r="EO2" s="1049" t="s">
        <v>508</v>
      </c>
      <c r="EP2" s="1048" t="s">
        <v>393</v>
      </c>
      <c r="EQ2" s="1049" t="s">
        <v>508</v>
      </c>
      <c r="ER2" s="1048" t="s">
        <v>393</v>
      </c>
      <c r="ES2" s="1049" t="s">
        <v>508</v>
      </c>
      <c r="ET2" s="1048" t="s">
        <v>393</v>
      </c>
      <c r="EU2" s="1049" t="s">
        <v>508</v>
      </c>
      <c r="EV2" s="1048" t="s">
        <v>393</v>
      </c>
      <c r="EW2" s="1049" t="s">
        <v>508</v>
      </c>
      <c r="EX2" s="1048" t="s">
        <v>393</v>
      </c>
      <c r="EY2" s="1049" t="s">
        <v>508</v>
      </c>
      <c r="EZ2" s="1048" t="s">
        <v>393</v>
      </c>
      <c r="FA2" s="1049" t="s">
        <v>508</v>
      </c>
      <c r="FB2" s="1048" t="s">
        <v>393</v>
      </c>
      <c r="FC2" s="1049" t="s">
        <v>508</v>
      </c>
      <c r="FD2" s="1048" t="s">
        <v>393</v>
      </c>
      <c r="FE2" s="1049" t="s">
        <v>508</v>
      </c>
      <c r="FF2" s="1048" t="s">
        <v>393</v>
      </c>
      <c r="FG2" s="1050" t="s">
        <v>508</v>
      </c>
      <c r="FH2" s="1051" t="s">
        <v>393</v>
      </c>
      <c r="FI2" s="1050" t="s">
        <v>508</v>
      </c>
      <c r="FJ2" s="1051" t="s">
        <v>393</v>
      </c>
      <c r="FK2" s="1050" t="s">
        <v>508</v>
      </c>
      <c r="FL2" s="1051" t="s">
        <v>393</v>
      </c>
      <c r="FM2" s="1050" t="s">
        <v>508</v>
      </c>
      <c r="FN2" s="1052" t="s">
        <v>393</v>
      </c>
      <c r="FO2" s="1050" t="s">
        <v>508</v>
      </c>
      <c r="FP2" s="1052" t="s">
        <v>393</v>
      </c>
      <c r="FQ2" s="1053" t="s">
        <v>508</v>
      </c>
      <c r="FR2" s="1052" t="s">
        <v>393</v>
      </c>
      <c r="FS2" s="1053" t="s">
        <v>508</v>
      </c>
      <c r="FT2" s="1052" t="s">
        <v>393</v>
      </c>
      <c r="FU2" s="1050" t="s">
        <v>508</v>
      </c>
      <c r="FV2" s="1052" t="s">
        <v>393</v>
      </c>
      <c r="FW2" s="1050" t="s">
        <v>508</v>
      </c>
      <c r="FX2" s="1052" t="s">
        <v>393</v>
      </c>
      <c r="FY2" s="1050" t="s">
        <v>508</v>
      </c>
      <c r="FZ2" s="1052" t="s">
        <v>393</v>
      </c>
      <c r="GA2" s="1050" t="s">
        <v>508</v>
      </c>
      <c r="GB2" s="1052" t="s">
        <v>393</v>
      </c>
      <c r="GC2" s="1050" t="s">
        <v>508</v>
      </c>
      <c r="GD2" s="1051" t="s">
        <v>393</v>
      </c>
      <c r="GE2" s="1053" t="s">
        <v>508</v>
      </c>
      <c r="GF2" s="1054" t="s">
        <v>393</v>
      </c>
      <c r="GG2" s="1055" t="s">
        <v>508</v>
      </c>
      <c r="GH2" s="1054" t="s">
        <v>393</v>
      </c>
      <c r="GI2" s="1055" t="s">
        <v>508</v>
      </c>
      <c r="GJ2" s="1054" t="s">
        <v>393</v>
      </c>
      <c r="GK2" s="1055" t="s">
        <v>508</v>
      </c>
      <c r="GL2" s="1054" t="s">
        <v>393</v>
      </c>
      <c r="GM2" s="1055" t="s">
        <v>508</v>
      </c>
      <c r="GN2" s="1054" t="s">
        <v>393</v>
      </c>
      <c r="GO2" s="1055" t="s">
        <v>508</v>
      </c>
      <c r="GP2" s="1054" t="s">
        <v>393</v>
      </c>
      <c r="GQ2" s="1055" t="s">
        <v>508</v>
      </c>
      <c r="GR2" s="1054" t="s">
        <v>393</v>
      </c>
      <c r="GS2" s="1055" t="s">
        <v>508</v>
      </c>
      <c r="GT2" s="1054" t="s">
        <v>393</v>
      </c>
      <c r="GU2" s="1055" t="s">
        <v>508</v>
      </c>
      <c r="GV2" s="1054" t="s">
        <v>393</v>
      </c>
      <c r="GW2" s="1055" t="s">
        <v>508</v>
      </c>
      <c r="GX2" s="1054" t="s">
        <v>393</v>
      </c>
      <c r="GY2" s="1056" t="s">
        <v>508</v>
      </c>
      <c r="GZ2" s="1057" t="s">
        <v>393</v>
      </c>
      <c r="HA2" s="1058" t="s">
        <v>508</v>
      </c>
      <c r="HB2" s="1057" t="s">
        <v>393</v>
      </c>
      <c r="HC2" s="1058" t="s">
        <v>508</v>
      </c>
      <c r="HD2" s="1057" t="s">
        <v>393</v>
      </c>
      <c r="HE2" s="1058" t="s">
        <v>508</v>
      </c>
      <c r="HF2" s="1057" t="s">
        <v>393</v>
      </c>
      <c r="HG2" s="1058" t="s">
        <v>508</v>
      </c>
      <c r="HH2" s="1057" t="s">
        <v>393</v>
      </c>
      <c r="HI2" s="1058" t="s">
        <v>508</v>
      </c>
      <c r="HJ2" s="1057" t="s">
        <v>393</v>
      </c>
      <c r="HK2" s="1058" t="s">
        <v>508</v>
      </c>
      <c r="HL2" s="1057" t="s">
        <v>393</v>
      </c>
      <c r="HM2" s="1058" t="s">
        <v>508</v>
      </c>
      <c r="HN2" s="1057" t="s">
        <v>393</v>
      </c>
      <c r="HO2" s="1058" t="s">
        <v>508</v>
      </c>
      <c r="HP2" s="1057" t="s">
        <v>393</v>
      </c>
      <c r="HQ2" s="1058" t="s">
        <v>508</v>
      </c>
      <c r="HR2" s="1059" t="s">
        <v>393</v>
      </c>
      <c r="HS2" s="1060" t="s">
        <v>508</v>
      </c>
      <c r="HT2" s="1061" t="s">
        <v>393</v>
      </c>
      <c r="HU2" s="1062" t="s">
        <v>508</v>
      </c>
      <c r="HV2" s="1061" t="s">
        <v>393</v>
      </c>
      <c r="HW2" s="1062" t="s">
        <v>508</v>
      </c>
      <c r="HX2" s="1061" t="s">
        <v>393</v>
      </c>
      <c r="HY2" s="1062" t="s">
        <v>508</v>
      </c>
      <c r="HZ2" s="1059" t="s">
        <v>393</v>
      </c>
      <c r="IA2" s="1060" t="s">
        <v>508</v>
      </c>
      <c r="IB2" s="1061" t="s">
        <v>393</v>
      </c>
      <c r="IC2" s="1062" t="s">
        <v>508</v>
      </c>
      <c r="ID2" s="1061" t="s">
        <v>393</v>
      </c>
      <c r="IE2" s="1062" t="s">
        <v>508</v>
      </c>
      <c r="IF2" s="1061" t="s">
        <v>393</v>
      </c>
      <c r="IG2" s="1062" t="s">
        <v>508</v>
      </c>
      <c r="IH2" s="1063" t="s">
        <v>393</v>
      </c>
      <c r="II2" s="1064" t="s">
        <v>508</v>
      </c>
      <c r="IJ2" s="1063" t="s">
        <v>393</v>
      </c>
      <c r="IK2" s="1064" t="s">
        <v>508</v>
      </c>
      <c r="IL2" s="1063" t="s">
        <v>393</v>
      </c>
      <c r="IM2" s="1064" t="s">
        <v>508</v>
      </c>
      <c r="IN2" s="1063" t="s">
        <v>393</v>
      </c>
      <c r="IO2" s="1064" t="s">
        <v>508</v>
      </c>
      <c r="IP2" s="1063" t="s">
        <v>393</v>
      </c>
      <c r="IQ2" s="1064" t="s">
        <v>508</v>
      </c>
      <c r="IR2" s="1063" t="s">
        <v>393</v>
      </c>
      <c r="IS2" s="1064" t="s">
        <v>508</v>
      </c>
      <c r="IT2" s="1063" t="s">
        <v>393</v>
      </c>
      <c r="IU2" s="1064" t="s">
        <v>508</v>
      </c>
      <c r="IV2" s="1063" t="s">
        <v>393</v>
      </c>
      <c r="IW2" s="1064" t="s">
        <v>508</v>
      </c>
      <c r="IX2" s="1063" t="s">
        <v>393</v>
      </c>
      <c r="IY2" s="1064" t="s">
        <v>508</v>
      </c>
      <c r="IZ2" s="1063" t="s">
        <v>393</v>
      </c>
      <c r="JA2" s="1064" t="s">
        <v>508</v>
      </c>
      <c r="JB2" s="1063" t="s">
        <v>393</v>
      </c>
      <c r="JC2" s="1064" t="s">
        <v>508</v>
      </c>
      <c r="JD2" s="1063" t="s">
        <v>393</v>
      </c>
      <c r="JE2" s="1064" t="s">
        <v>508</v>
      </c>
      <c r="JF2" s="1063" t="s">
        <v>393</v>
      </c>
      <c r="JG2" s="1064" t="s">
        <v>508</v>
      </c>
      <c r="JH2" s="1063" t="s">
        <v>393</v>
      </c>
      <c r="JI2" s="1064" t="s">
        <v>508</v>
      </c>
      <c r="JJ2" s="1063" t="s">
        <v>393</v>
      </c>
      <c r="JK2" s="1064" t="s">
        <v>508</v>
      </c>
      <c r="JL2" s="1063" t="s">
        <v>393</v>
      </c>
      <c r="JM2" s="1064" t="s">
        <v>508</v>
      </c>
      <c r="JN2" s="1063" t="s">
        <v>393</v>
      </c>
      <c r="JO2" s="1064" t="s">
        <v>508</v>
      </c>
      <c r="JP2" s="1063" t="s">
        <v>393</v>
      </c>
      <c r="JQ2" s="1064" t="s">
        <v>508</v>
      </c>
      <c r="JR2" s="1063" t="s">
        <v>393</v>
      </c>
      <c r="JS2" s="1064" t="s">
        <v>508</v>
      </c>
      <c r="JT2" s="1063" t="s">
        <v>393</v>
      </c>
      <c r="JU2" s="1064" t="s">
        <v>508</v>
      </c>
      <c r="JV2" s="1063" t="s">
        <v>393</v>
      </c>
      <c r="JW2" s="1064" t="s">
        <v>508</v>
      </c>
      <c r="JX2" s="1065" t="s">
        <v>393</v>
      </c>
      <c r="JY2" s="1066" t="s">
        <v>508</v>
      </c>
      <c r="JZ2" s="1067" t="s">
        <v>393</v>
      </c>
      <c r="KA2" s="1068" t="s">
        <v>508</v>
      </c>
      <c r="KB2" s="1065" t="s">
        <v>393</v>
      </c>
      <c r="KC2" s="1066" t="s">
        <v>508</v>
      </c>
      <c r="KD2" s="1065" t="s">
        <v>393</v>
      </c>
      <c r="KE2" s="1066" t="s">
        <v>508</v>
      </c>
      <c r="KF2" s="1069" t="s">
        <v>393</v>
      </c>
      <c r="KG2" s="1066" t="s">
        <v>508</v>
      </c>
      <c r="KH2" s="1069" t="s">
        <v>393</v>
      </c>
      <c r="KI2" s="1066" t="s">
        <v>508</v>
      </c>
      <c r="KJ2" s="1070" t="s">
        <v>393</v>
      </c>
      <c r="KK2" s="1066" t="s">
        <v>508</v>
      </c>
      <c r="KL2" s="1070" t="s">
        <v>393</v>
      </c>
      <c r="KM2" s="1066" t="s">
        <v>508</v>
      </c>
      <c r="KN2" s="1070" t="s">
        <v>393</v>
      </c>
      <c r="KO2" s="1066" t="s">
        <v>508</v>
      </c>
      <c r="KP2" s="1070" t="s">
        <v>393</v>
      </c>
      <c r="KQ2" s="1066" t="s">
        <v>508</v>
      </c>
      <c r="KR2" s="1070" t="s">
        <v>393</v>
      </c>
      <c r="KS2" s="1066" t="s">
        <v>508</v>
      </c>
      <c r="KT2" s="1070" t="s">
        <v>393</v>
      </c>
      <c r="KU2" s="1066" t="s">
        <v>508</v>
      </c>
      <c r="KV2" s="1070" t="s">
        <v>393</v>
      </c>
      <c r="KW2" s="1066" t="s">
        <v>508</v>
      </c>
      <c r="KX2" s="1070" t="s">
        <v>393</v>
      </c>
      <c r="KY2" s="1066" t="s">
        <v>508</v>
      </c>
      <c r="KZ2" s="1070" t="s">
        <v>393</v>
      </c>
      <c r="LA2" s="1066" t="s">
        <v>508</v>
      </c>
      <c r="LB2" s="1070" t="s">
        <v>393</v>
      </c>
      <c r="LC2" s="1066" t="s">
        <v>508</v>
      </c>
      <c r="LD2" s="1070" t="s">
        <v>393</v>
      </c>
      <c r="LE2" s="1066" t="s">
        <v>508</v>
      </c>
      <c r="LF2" s="1070" t="s">
        <v>393</v>
      </c>
      <c r="LG2" s="1066" t="s">
        <v>508</v>
      </c>
      <c r="LH2" s="1070" t="s">
        <v>393</v>
      </c>
      <c r="LI2" s="1066" t="s">
        <v>508</v>
      </c>
      <c r="LJ2" s="1070" t="s">
        <v>393</v>
      </c>
      <c r="LK2" s="1066" t="s">
        <v>508</v>
      </c>
      <c r="LL2" s="1054" t="s">
        <v>393</v>
      </c>
      <c r="LM2" s="1055" t="s">
        <v>508</v>
      </c>
      <c r="LN2" s="1054" t="s">
        <v>393</v>
      </c>
      <c r="LO2" s="1055" t="s">
        <v>508</v>
      </c>
      <c r="LP2" s="1054" t="s">
        <v>393</v>
      </c>
      <c r="LQ2" s="1055" t="s">
        <v>508</v>
      </c>
      <c r="LR2" s="1054" t="s">
        <v>393</v>
      </c>
      <c r="LS2" s="1055" t="s">
        <v>508</v>
      </c>
      <c r="LT2" s="1054" t="s">
        <v>393</v>
      </c>
      <c r="LU2" s="1055" t="s">
        <v>508</v>
      </c>
      <c r="LV2" s="1054" t="s">
        <v>393</v>
      </c>
      <c r="LW2" s="1055" t="s">
        <v>508</v>
      </c>
      <c r="LX2" s="1054" t="s">
        <v>393</v>
      </c>
      <c r="LY2" s="1055" t="s">
        <v>508</v>
      </c>
      <c r="LZ2" s="1054" t="s">
        <v>393</v>
      </c>
      <c r="MA2" s="1055" t="s">
        <v>508</v>
      </c>
      <c r="MB2" s="1054" t="s">
        <v>393</v>
      </c>
      <c r="MC2" s="1055" t="s">
        <v>508</v>
      </c>
      <c r="MD2" s="1054" t="s">
        <v>393</v>
      </c>
      <c r="ME2" s="1055" t="s">
        <v>508</v>
      </c>
      <c r="MF2" s="1054" t="s">
        <v>393</v>
      </c>
      <c r="MG2" s="1055" t="s">
        <v>508</v>
      </c>
      <c r="MH2" s="1054" t="s">
        <v>393</v>
      </c>
      <c r="MI2" s="1055" t="s">
        <v>508</v>
      </c>
      <c r="MJ2" s="1054" t="s">
        <v>393</v>
      </c>
      <c r="MK2" s="1055" t="s">
        <v>508</v>
      </c>
      <c r="ML2" s="1054" t="s">
        <v>393</v>
      </c>
      <c r="MM2" s="1055" t="s">
        <v>508</v>
      </c>
      <c r="MN2" s="1054" t="s">
        <v>393</v>
      </c>
      <c r="MO2" s="1055" t="s">
        <v>508</v>
      </c>
      <c r="MP2" s="1054" t="s">
        <v>393</v>
      </c>
      <c r="MQ2" s="1055" t="s">
        <v>508</v>
      </c>
      <c r="MR2" s="1054" t="s">
        <v>393</v>
      </c>
      <c r="MS2" s="1055" t="s">
        <v>508</v>
      </c>
      <c r="MT2" s="1054" t="s">
        <v>393</v>
      </c>
      <c r="MU2" s="1055" t="s">
        <v>508</v>
      </c>
      <c r="MV2" s="1054" t="s">
        <v>393</v>
      </c>
      <c r="MW2" s="1055" t="s">
        <v>508</v>
      </c>
      <c r="MX2" s="1054" t="s">
        <v>393</v>
      </c>
      <c r="MY2" s="1055" t="s">
        <v>508</v>
      </c>
    </row>
    <row r="3">
      <c r="A3" s="1071">
        <v>1.0</v>
      </c>
      <c r="B3" s="1072">
        <v>0.0069328703703703705</v>
      </c>
      <c r="C3" s="1073">
        <v>300.0</v>
      </c>
      <c r="D3" s="1072">
        <v>1.6203703703703703E-4</v>
      </c>
      <c r="E3" s="1073">
        <v>30.0</v>
      </c>
      <c r="F3" s="1072">
        <v>1.6203703703703703E-4</v>
      </c>
      <c r="G3" s="1074">
        <v>30.0</v>
      </c>
      <c r="H3" s="1072">
        <v>1.6203703703703703E-4</v>
      </c>
      <c r="I3" s="1073">
        <v>30.0</v>
      </c>
      <c r="J3" s="1072">
        <v>1.6203703703703703E-4</v>
      </c>
      <c r="K3" s="1073">
        <v>30.0</v>
      </c>
      <c r="L3" s="1072">
        <v>2.199074074074074E-4</v>
      </c>
      <c r="M3" s="1075">
        <v>40.0</v>
      </c>
      <c r="N3" s="1076">
        <v>2.777777777777778E-4</v>
      </c>
      <c r="O3" s="1073">
        <v>40.0</v>
      </c>
      <c r="P3" s="1072">
        <v>0.04165509259259259</v>
      </c>
      <c r="Q3" s="1073">
        <v>2500.0</v>
      </c>
      <c r="R3" s="1072">
        <v>0.49930555555555556</v>
      </c>
      <c r="S3" s="1073">
        <v>250000.0</v>
      </c>
      <c r="T3" s="1077">
        <v>1.9993055555555554</v>
      </c>
      <c r="U3" s="1078">
        <v>1000000.0</v>
      </c>
      <c r="V3" s="1072">
        <v>0.5784722222222223</v>
      </c>
      <c r="W3" s="1073">
        <v>350000.0</v>
      </c>
      <c r="X3" s="1072">
        <v>2.5458333333333334</v>
      </c>
      <c r="Y3" s="1073">
        <v>3000000.0</v>
      </c>
      <c r="Z3" s="1079">
        <v>1.6666550925925927</v>
      </c>
      <c r="AA3" s="1073">
        <v>2.0E7</v>
      </c>
      <c r="AB3" s="1079">
        <v>6.666655092592593</v>
      </c>
      <c r="AC3" s="1073">
        <v>5.0E9</v>
      </c>
      <c r="AD3" s="1072">
        <v>1.0798611111111112</v>
      </c>
      <c r="AE3" s="1080">
        <v>1.0E9</v>
      </c>
      <c r="AF3" s="1072">
        <v>1.0798611111111112</v>
      </c>
      <c r="AG3" s="1080">
        <v>1.0E9</v>
      </c>
      <c r="AH3" s="1072">
        <v>1.0798611111111112</v>
      </c>
      <c r="AI3" s="1080">
        <v>1.0E9</v>
      </c>
      <c r="AJ3" s="1081">
        <v>1.6203703703703703E-4</v>
      </c>
      <c r="AK3" s="1082">
        <v>30.0</v>
      </c>
      <c r="AL3" s="1081">
        <v>1.6203703703703703E-4</v>
      </c>
      <c r="AM3" s="1082">
        <v>30.0</v>
      </c>
      <c r="AN3" s="1081">
        <v>1.6203703703703703E-4</v>
      </c>
      <c r="AO3" s="1082">
        <v>30.0</v>
      </c>
      <c r="AP3" s="1081">
        <v>1.6203703703703703E-4</v>
      </c>
      <c r="AQ3" s="1082">
        <v>30.0</v>
      </c>
      <c r="AR3" s="1081">
        <v>1.6203703703703703E-4</v>
      </c>
      <c r="AS3" s="1082">
        <v>30.0</v>
      </c>
      <c r="AT3" s="1081">
        <v>1.1569444444444446</v>
      </c>
      <c r="AU3" s="1082">
        <v>200000.0</v>
      </c>
      <c r="AV3" s="1081">
        <v>1.1569444444444446</v>
      </c>
      <c r="AW3" s="1082">
        <v>200000.0</v>
      </c>
      <c r="AX3" s="1081">
        <v>3.4715277777777778</v>
      </c>
      <c r="AY3" s="1082">
        <v>2.0E11</v>
      </c>
      <c r="AZ3" s="1081">
        <v>0.8326388888888889</v>
      </c>
      <c r="BA3" s="1082">
        <v>3000000.0</v>
      </c>
      <c r="BB3" s="1083">
        <v>1.6203703703703703E-4</v>
      </c>
      <c r="BC3" s="1084">
        <v>30.0</v>
      </c>
      <c r="BD3" s="1083">
        <v>1.6203703703703703E-4</v>
      </c>
      <c r="BE3" s="1084">
        <v>30.0</v>
      </c>
      <c r="BF3" s="1083">
        <v>1.6203703703703703E-4</v>
      </c>
      <c r="BG3" s="1084">
        <v>30.0</v>
      </c>
      <c r="BH3" s="1083">
        <v>0.04165509259259259</v>
      </c>
      <c r="BI3" s="1084">
        <v>5000.0</v>
      </c>
      <c r="BJ3" s="1083">
        <v>0.05486111111111111</v>
      </c>
      <c r="BK3" s="1084">
        <v>15000.0</v>
      </c>
      <c r="BL3" s="1083">
        <v>0.06875</v>
      </c>
      <c r="BM3" s="1084">
        <v>25000.0</v>
      </c>
      <c r="BN3" s="1083">
        <v>0.06875</v>
      </c>
      <c r="BO3" s="1084">
        <v>25000.0</v>
      </c>
      <c r="BP3" s="1083">
        <v>0.11527777777777778</v>
      </c>
      <c r="BQ3" s="1084">
        <v>100000.0</v>
      </c>
      <c r="BR3" s="1083">
        <v>1.1569444444444446</v>
      </c>
      <c r="BS3" s="1084">
        <v>8.0E8</v>
      </c>
      <c r="BT3" s="1085">
        <v>0.23125</v>
      </c>
      <c r="BU3" s="1086">
        <v>1.0E9</v>
      </c>
      <c r="BV3" s="1085">
        <v>0.5784722222222222</v>
      </c>
      <c r="BW3" s="1086">
        <v>1.6E9</v>
      </c>
      <c r="BX3" s="1085">
        <v>1.1569444444444446</v>
      </c>
      <c r="BY3" s="1086">
        <v>3.0E10</v>
      </c>
      <c r="BZ3" s="1085">
        <v>1.1569444444444446</v>
      </c>
      <c r="CA3" s="1086">
        <v>3.0E10</v>
      </c>
      <c r="CB3" s="1085">
        <v>3.4715277777777778</v>
      </c>
      <c r="CC3" s="1086">
        <v>3.0E11</v>
      </c>
      <c r="CD3" s="1083">
        <v>2.3148032407407406</v>
      </c>
      <c r="CE3" s="1087">
        <v>3.0E11</v>
      </c>
      <c r="CF3" s="1083">
        <v>1.1342476851851853</v>
      </c>
      <c r="CG3" s="1087">
        <v>4500.0</v>
      </c>
      <c r="CH3" s="1088">
        <v>1.6203703703703703E-4</v>
      </c>
      <c r="CI3" s="1089">
        <v>30.0</v>
      </c>
      <c r="CJ3" s="1088">
        <v>1.6203703703703703E-4</v>
      </c>
      <c r="CK3" s="1089">
        <v>30.0</v>
      </c>
      <c r="CL3" s="1088">
        <v>1.6203703703703703E-4</v>
      </c>
      <c r="CM3" s="1089">
        <v>30.0</v>
      </c>
      <c r="CN3" s="1088">
        <v>1.6203703703703703E-4</v>
      </c>
      <c r="CO3" s="1089">
        <v>30.0</v>
      </c>
      <c r="CP3" s="1088">
        <v>2.777777777777778E-4</v>
      </c>
      <c r="CQ3" s="1089">
        <v>50.0</v>
      </c>
      <c r="CR3" s="1088">
        <v>0.028923611111111112</v>
      </c>
      <c r="CS3" s="1089">
        <v>250.0</v>
      </c>
      <c r="CT3" s="1088">
        <v>8.10138888888889</v>
      </c>
      <c r="CU3" s="1089">
        <v>1.0E9</v>
      </c>
      <c r="CV3" s="1090">
        <v>2.314583333333333</v>
      </c>
      <c r="CW3" s="1091">
        <v>2.0E10</v>
      </c>
      <c r="CX3" s="1090">
        <v>2.314583333333333</v>
      </c>
      <c r="CY3" s="1091">
        <v>2.0E10</v>
      </c>
      <c r="CZ3" s="1090">
        <v>2.314583333333333</v>
      </c>
      <c r="DA3" s="1091">
        <v>2.0E10</v>
      </c>
      <c r="DB3" s="1090">
        <v>0.69375</v>
      </c>
      <c r="DC3" s="1091">
        <v>9.0E8</v>
      </c>
      <c r="DD3" s="1090">
        <v>0.69375</v>
      </c>
      <c r="DE3" s="1091">
        <v>9.0E8</v>
      </c>
      <c r="DF3" s="1092">
        <v>0.8326388888888889</v>
      </c>
      <c r="DG3" s="1093">
        <v>250000.0</v>
      </c>
      <c r="DH3" s="1092">
        <v>0.9326388888888889</v>
      </c>
      <c r="DI3" s="1093">
        <v>900000.0</v>
      </c>
      <c r="DJ3" s="1092">
        <v>1.6201388888888888</v>
      </c>
      <c r="DK3" s="1093">
        <v>800000.0</v>
      </c>
      <c r="DL3" s="1092">
        <v>0.8326388888888889</v>
      </c>
      <c r="DM3" s="1093">
        <v>250000.0</v>
      </c>
      <c r="DN3" s="1092">
        <v>0.69375</v>
      </c>
      <c r="DO3" s="1093">
        <v>750000.0</v>
      </c>
      <c r="DP3" s="1092">
        <v>0.8326388888888889</v>
      </c>
      <c r="DQ3" s="1093">
        <v>250000.0</v>
      </c>
      <c r="DR3" s="1092">
        <v>0.8326388888888889</v>
      </c>
      <c r="DS3" s="1093">
        <v>250000.0</v>
      </c>
      <c r="DT3" s="1092">
        <v>0.8326388888888889</v>
      </c>
      <c r="DU3" s="1093">
        <v>700000.0</v>
      </c>
      <c r="DV3" s="1092">
        <v>0.8326388888888889</v>
      </c>
      <c r="DW3" s="1093">
        <v>250000.0</v>
      </c>
      <c r="DX3" s="1092">
        <v>0.8326388888888889</v>
      </c>
      <c r="DY3" s="1093">
        <v>250000.0</v>
      </c>
      <c r="DZ3" s="1092">
        <v>1.6666666666666667</v>
      </c>
      <c r="EA3" s="1093">
        <v>1000000.0</v>
      </c>
      <c r="EB3" s="1092">
        <v>1.6666666666666667</v>
      </c>
      <c r="EC3" s="1093">
        <v>1000000.0</v>
      </c>
      <c r="ED3" s="1092">
        <v>0.9951388888888889</v>
      </c>
      <c r="EE3" s="1093">
        <v>950000.0</v>
      </c>
      <c r="EF3" s="1092">
        <v>0.8333333333333334</v>
      </c>
      <c r="EG3" s="1093">
        <v>250000.0</v>
      </c>
      <c r="EH3" s="1092">
        <v>0.8333333333333334</v>
      </c>
      <c r="EI3" s="1093">
        <v>250000.0</v>
      </c>
      <c r="EJ3" s="1092">
        <v>0.8333217592592592</v>
      </c>
      <c r="EK3" s="1093">
        <v>250000.0</v>
      </c>
      <c r="EL3" s="1092">
        <v>0.8333333333333334</v>
      </c>
      <c r="EM3" s="1093">
        <v>250000.0</v>
      </c>
      <c r="EN3" s="1092">
        <v>0.8333333333333334</v>
      </c>
      <c r="EO3" s="1093">
        <v>250000.0</v>
      </c>
      <c r="EP3" s="1092">
        <v>0.8333333333333334</v>
      </c>
      <c r="EQ3" s="1093">
        <v>250000.0</v>
      </c>
      <c r="ER3" s="1092">
        <v>0.8333333333333334</v>
      </c>
      <c r="ES3" s="1093">
        <v>250000.0</v>
      </c>
      <c r="ET3" s="1092">
        <v>0.8326388888888889</v>
      </c>
      <c r="EU3" s="1093">
        <v>500000.0</v>
      </c>
      <c r="EV3" s="1092">
        <v>6.665972222222222</v>
      </c>
      <c r="EW3" s="1093">
        <v>1500000.0</v>
      </c>
      <c r="EX3" s="1092">
        <v>0.8333333333333334</v>
      </c>
      <c r="EY3" s="1093">
        <v>750000.0</v>
      </c>
      <c r="EZ3" s="1092">
        <v>13.888194444444444</v>
      </c>
      <c r="FA3" s="1093">
        <v>2.5E8</v>
      </c>
      <c r="FB3" s="1092">
        <v>1.6659722222222222</v>
      </c>
      <c r="FC3" s="1093">
        <v>2.0E7</v>
      </c>
      <c r="FD3" s="1092">
        <v>17.360416666666666</v>
      </c>
      <c r="FE3" s="1093">
        <v>1.5E10</v>
      </c>
      <c r="FF3" s="1092">
        <v>1.6659722222222222</v>
      </c>
      <c r="FG3" s="1094">
        <v>2.0E7</v>
      </c>
      <c r="FH3" s="1092">
        <v>1.6659722222222222</v>
      </c>
      <c r="FI3" s="1094">
        <v>2.0E7</v>
      </c>
      <c r="FJ3" s="1092">
        <v>6.665416666666666</v>
      </c>
      <c r="FK3" s="1093">
        <v>2.0E8</v>
      </c>
      <c r="FL3" s="1092">
        <v>28.934722222222224</v>
      </c>
      <c r="FM3" s="1093">
        <v>5.5E11</v>
      </c>
      <c r="FN3" s="1095">
        <v>5.208333333333333</v>
      </c>
      <c r="FO3" s="1093">
        <v>5.5E11</v>
      </c>
      <c r="FP3" s="1092">
        <v>8.333333333333334</v>
      </c>
      <c r="FQ3" s="1094">
        <v>1.0E11</v>
      </c>
      <c r="FR3" s="1096">
        <v>8.33332175925926</v>
      </c>
      <c r="FS3" s="1094">
        <v>1.0E11</v>
      </c>
      <c r="FT3" s="1092">
        <v>8.33332175925926</v>
      </c>
      <c r="FU3" s="1094">
        <v>1.0E11</v>
      </c>
      <c r="FV3" s="1092">
        <v>8.333333333333334</v>
      </c>
      <c r="FW3" s="1094">
        <v>1.0E11</v>
      </c>
      <c r="FX3" s="1097">
        <v>3.212337962962963</v>
      </c>
      <c r="FY3" s="1098">
        <v>1.0E9</v>
      </c>
      <c r="FZ3" s="1097">
        <v>8.333333333333334</v>
      </c>
      <c r="GA3" s="1098">
        <v>1.0E11</v>
      </c>
      <c r="GB3" s="1099">
        <v>8.333333333333334</v>
      </c>
      <c r="GC3" s="1098">
        <v>1.0E11</v>
      </c>
      <c r="GD3" s="1092">
        <v>16.666666666666668</v>
      </c>
      <c r="GE3" s="1094">
        <v>1.0E15</v>
      </c>
      <c r="GF3" s="1100">
        <v>1.1569444444444446</v>
      </c>
      <c r="GG3" s="1101">
        <v>1800000.0</v>
      </c>
      <c r="GH3" s="1100">
        <v>0.04165509259259259</v>
      </c>
      <c r="GI3" s="1101">
        <v>2500000.0</v>
      </c>
      <c r="GJ3" s="1100">
        <v>2.082638888888889</v>
      </c>
      <c r="GK3" s="1101">
        <v>1500000.0</v>
      </c>
      <c r="GL3" s="1100">
        <v>1.6201388888888888</v>
      </c>
      <c r="GM3" s="1101">
        <v>2.5E7</v>
      </c>
      <c r="GN3" s="1100">
        <v>11.573611111111111</v>
      </c>
      <c r="GO3" s="1101">
        <v>4.0E10</v>
      </c>
      <c r="GP3" s="1102">
        <v>0.20763888888888887</v>
      </c>
      <c r="GQ3" s="1103">
        <v>2.0E9</v>
      </c>
      <c r="GR3" s="1104">
        <v>5.20832175925926</v>
      </c>
      <c r="GS3" s="1103">
        <v>5.5E11</v>
      </c>
      <c r="GT3" s="1104">
        <v>5.20832175925926</v>
      </c>
      <c r="GU3" s="1103">
        <v>5.5E11</v>
      </c>
      <c r="GV3" s="1104">
        <v>5.208333333333333</v>
      </c>
      <c r="GW3" s="1103">
        <v>5.5E11</v>
      </c>
      <c r="GX3" s="1105">
        <v>20.833333333333332</v>
      </c>
      <c r="GY3" s="1106">
        <v>1.1000000000000001E15</v>
      </c>
      <c r="GZ3" s="1107">
        <v>3.4715277777777778</v>
      </c>
      <c r="HA3" s="1108">
        <v>1500000.0</v>
      </c>
      <c r="HB3" s="1107">
        <v>0.06875</v>
      </c>
      <c r="HC3" s="1108">
        <v>100000.0</v>
      </c>
      <c r="HD3" s="1107">
        <v>4.976388888888889</v>
      </c>
      <c r="HE3" s="1108">
        <v>1.0E8</v>
      </c>
      <c r="HF3" s="1107">
        <v>0.06875</v>
      </c>
      <c r="HG3" s="1108">
        <v>100000.0</v>
      </c>
      <c r="HH3" s="1107">
        <v>4.976388888888889</v>
      </c>
      <c r="HI3" s="1108">
        <v>2.0E8</v>
      </c>
      <c r="HJ3" s="1107">
        <v>4.629166666666666</v>
      </c>
      <c r="HK3" s="1108">
        <v>1.0E9</v>
      </c>
      <c r="HL3" s="1107">
        <v>2.314583333333333</v>
      </c>
      <c r="HM3" s="1108">
        <v>1.0E7</v>
      </c>
      <c r="HN3" s="1107">
        <v>1.0409722222222222</v>
      </c>
      <c r="HO3" s="1108">
        <v>6.0E8</v>
      </c>
      <c r="HP3" s="1107">
        <v>1.9907291666666667</v>
      </c>
      <c r="HQ3" s="1109">
        <v>100000.0</v>
      </c>
      <c r="HR3" s="1110">
        <v>1.620138888888889</v>
      </c>
      <c r="HS3" s="1111">
        <v>3.0E7</v>
      </c>
      <c r="HT3" s="1110">
        <v>1.620138888888889</v>
      </c>
      <c r="HU3" s="1111">
        <v>3.0E7</v>
      </c>
      <c r="HV3" s="1110">
        <v>1.620138888888889</v>
      </c>
      <c r="HW3" s="1111">
        <v>3.0E7</v>
      </c>
      <c r="HX3" s="1112">
        <v>1.620138888888889</v>
      </c>
      <c r="HY3" s="1111">
        <v>3.0E7</v>
      </c>
      <c r="HZ3" s="1112">
        <v>45.625</v>
      </c>
      <c r="IA3" s="1111">
        <v>4.3E13</v>
      </c>
      <c r="IB3" s="1112">
        <v>8.333333333333334</v>
      </c>
      <c r="IC3" s="1111">
        <v>1.0E11</v>
      </c>
      <c r="ID3" s="1112">
        <v>8.333333333333334</v>
      </c>
      <c r="IE3" s="1111">
        <v>1.0E11</v>
      </c>
      <c r="IF3" s="1112">
        <v>8.333333333333334</v>
      </c>
      <c r="IG3" s="1111">
        <v>1.0E11</v>
      </c>
      <c r="IH3" s="1113">
        <v>2.314583333333333</v>
      </c>
      <c r="II3" s="1114">
        <v>2.0E10</v>
      </c>
      <c r="IJ3" s="1113">
        <v>2.314583333333333</v>
      </c>
      <c r="IK3" s="1114">
        <v>2.0E10</v>
      </c>
      <c r="IL3" s="1113">
        <v>2.314583333333333</v>
      </c>
      <c r="IM3" s="1114">
        <v>3.0E10</v>
      </c>
      <c r="IN3" s="1113">
        <v>2.314583333333333</v>
      </c>
      <c r="IO3" s="1114">
        <v>3.0E10</v>
      </c>
      <c r="IP3" s="1113">
        <v>2.777083333333333</v>
      </c>
      <c r="IQ3" s="1114">
        <v>6.0E10</v>
      </c>
      <c r="IR3" s="1113">
        <v>2.314583333333333</v>
      </c>
      <c r="IS3" s="1114">
        <v>3.0E10</v>
      </c>
      <c r="IT3" s="1113">
        <v>2.314583333333333</v>
      </c>
      <c r="IU3" s="1114">
        <v>3.0E10</v>
      </c>
      <c r="IV3" s="1113">
        <v>2.314583333333333</v>
      </c>
      <c r="IW3" s="1114">
        <v>3.0E10</v>
      </c>
      <c r="IX3" s="1113">
        <v>2.314583333333333</v>
      </c>
      <c r="IY3" s="1114">
        <v>3.0E10</v>
      </c>
      <c r="IZ3" s="1113">
        <v>2.314583333333333</v>
      </c>
      <c r="JA3" s="1114">
        <v>4.0E10</v>
      </c>
      <c r="JB3" s="1113">
        <v>2.314583333333333</v>
      </c>
      <c r="JC3" s="1114">
        <v>4.0E10</v>
      </c>
      <c r="JD3" s="1113">
        <v>2.314583333333333</v>
      </c>
      <c r="JE3" s="1114">
        <v>4.0E10</v>
      </c>
      <c r="JF3" s="1113">
        <v>2.314583333333333</v>
      </c>
      <c r="JG3" s="1114">
        <v>4.0E10</v>
      </c>
      <c r="JH3" s="1113">
        <v>2.777083333333333</v>
      </c>
      <c r="JI3" s="1114">
        <v>8.0E10</v>
      </c>
      <c r="JJ3" s="1113">
        <v>10.799305555555556</v>
      </c>
      <c r="JK3" s="1115">
        <v>2.5E17</v>
      </c>
      <c r="JL3" s="1113">
        <v>10.799305555555556</v>
      </c>
      <c r="JM3" s="1115">
        <v>2.5E17</v>
      </c>
      <c r="JN3" s="1113">
        <v>10.799305555555556</v>
      </c>
      <c r="JO3" s="1115">
        <v>2.5E17</v>
      </c>
      <c r="JP3" s="1113">
        <v>10.799305555555556</v>
      </c>
      <c r="JQ3" s="1115">
        <v>2.5E17</v>
      </c>
      <c r="JR3" s="1113">
        <v>10.799305555555556</v>
      </c>
      <c r="JS3" s="1115">
        <v>2.5E17</v>
      </c>
      <c r="JT3" s="1113">
        <v>10.799305555555556</v>
      </c>
      <c r="JU3" s="1115">
        <v>2.5E17</v>
      </c>
      <c r="JV3" s="1113">
        <v>2.6993055555555556</v>
      </c>
      <c r="JW3" s="1115">
        <v>1.0E12</v>
      </c>
      <c r="JX3" s="1116">
        <v>4.166655093</v>
      </c>
      <c r="JY3" s="1117">
        <v>5000000.0</v>
      </c>
      <c r="JZ3" s="1118">
        <v>1.388877315</v>
      </c>
      <c r="KA3" s="1119">
        <v>900000.0</v>
      </c>
      <c r="KB3" s="1116">
        <v>1.388877315</v>
      </c>
      <c r="KC3" s="1120">
        <v>1200000.0</v>
      </c>
      <c r="KD3" s="1116">
        <v>5.208321759</v>
      </c>
      <c r="KE3" s="1120">
        <v>5.0E9</v>
      </c>
      <c r="KF3" s="1116">
        <v>5.208321759</v>
      </c>
      <c r="KG3" s="1120">
        <v>5.0E9</v>
      </c>
      <c r="KH3" s="1116">
        <v>8.680543981</v>
      </c>
      <c r="KI3" s="1120">
        <v>7.0E10</v>
      </c>
      <c r="KJ3" s="1116">
        <v>2.0</v>
      </c>
      <c r="KK3" s="1120">
        <v>1.0E7</v>
      </c>
      <c r="KL3" s="1121">
        <v>142.59258101851853</v>
      </c>
      <c r="KM3" s="1120">
        <v>1.0E13</v>
      </c>
      <c r="KN3" s="1121">
        <v>37.5</v>
      </c>
      <c r="KO3" s="1120">
        <v>5.0E11</v>
      </c>
      <c r="KP3" s="1121">
        <v>37.5</v>
      </c>
      <c r="KQ3" s="1120">
        <v>5.0E11</v>
      </c>
      <c r="KR3" s="1121">
        <v>62.5</v>
      </c>
      <c r="KS3" s="1120">
        <v>5.0E12</v>
      </c>
      <c r="KT3" s="1121">
        <v>16.666666666666668</v>
      </c>
      <c r="KU3" s="1120">
        <v>5.0E10</v>
      </c>
      <c r="KV3" s="1118">
        <v>10.799305555555556</v>
      </c>
      <c r="KW3" s="1119">
        <v>2.5E17</v>
      </c>
      <c r="KX3" s="1118">
        <v>10.799305555555556</v>
      </c>
      <c r="KY3" s="1119">
        <v>2.5E17</v>
      </c>
      <c r="KZ3" s="1118">
        <v>10.799305555555556</v>
      </c>
      <c r="LA3" s="1119">
        <v>2.5E17</v>
      </c>
      <c r="LB3" s="1118">
        <v>10.799305555555556</v>
      </c>
      <c r="LC3" s="1119">
        <v>2.5E17</v>
      </c>
      <c r="LD3" s="1118">
        <v>10.799305555555556</v>
      </c>
      <c r="LE3" s="1119">
        <v>2.5E17</v>
      </c>
      <c r="LF3" s="1118">
        <v>10.799305555555556</v>
      </c>
      <c r="LG3" s="1119">
        <v>2.5E17</v>
      </c>
      <c r="LH3" s="1118">
        <v>10.799305555555556</v>
      </c>
      <c r="LI3" s="1119">
        <v>2.5E17</v>
      </c>
      <c r="LJ3" s="1118">
        <v>10.799305555555556</v>
      </c>
      <c r="LK3" s="1119">
        <v>2.5E17</v>
      </c>
      <c r="LL3" s="1100">
        <v>16.666666666666668</v>
      </c>
      <c r="LM3" s="1101">
        <v>1.0E15</v>
      </c>
      <c r="LN3" s="1122">
        <v>13.499305555555555</v>
      </c>
      <c r="LO3" s="1101">
        <v>2.0E17</v>
      </c>
      <c r="LP3" s="1122">
        <v>13.499305555555555</v>
      </c>
      <c r="LQ3" s="1101">
        <v>2.0E17</v>
      </c>
      <c r="LR3" s="1122">
        <v>13.499305555555555</v>
      </c>
      <c r="LS3" s="1101">
        <v>2.0E17</v>
      </c>
      <c r="LT3" s="1122">
        <v>13.499305555555555</v>
      </c>
      <c r="LU3" s="1101">
        <v>2.0E17</v>
      </c>
      <c r="LV3" s="1122">
        <v>13.499305555555555</v>
      </c>
      <c r="LW3" s="1101">
        <v>2.0E17</v>
      </c>
      <c r="LX3" s="1122">
        <v>16.198611111111113</v>
      </c>
      <c r="LY3" s="1123">
        <v>5.0E17</v>
      </c>
      <c r="LZ3" s="1122">
        <v>16.198611111111113</v>
      </c>
      <c r="MA3" s="1123">
        <v>5.0E17</v>
      </c>
      <c r="MB3" s="1122">
        <v>16.198611111111113</v>
      </c>
      <c r="MC3" s="1123">
        <v>5.0E17</v>
      </c>
      <c r="MD3" s="1122">
        <v>16.198611111111113</v>
      </c>
      <c r="ME3" s="1123">
        <v>5.0E17</v>
      </c>
      <c r="MF3" s="1122">
        <v>26.99861111111111</v>
      </c>
      <c r="MG3" s="1123">
        <v>1.0E18</v>
      </c>
      <c r="MH3" s="1122">
        <v>26.99861111111111</v>
      </c>
      <c r="MI3" s="1123">
        <v>1.0E18</v>
      </c>
      <c r="MJ3" s="1122">
        <v>26.99861111111111</v>
      </c>
      <c r="MK3" s="1123">
        <v>1.0E18</v>
      </c>
      <c r="ML3" s="1122">
        <v>26.99861111111111</v>
      </c>
      <c r="MM3" s="1123">
        <v>1.0E18</v>
      </c>
      <c r="MN3" s="1122">
        <v>26.99861111111111</v>
      </c>
      <c r="MO3" s="1123">
        <v>1.0E18</v>
      </c>
      <c r="MP3" s="1122">
        <v>26.99861111111111</v>
      </c>
      <c r="MQ3" s="1123">
        <v>1.0E18</v>
      </c>
      <c r="MR3" s="1122">
        <v>26.99861111111111</v>
      </c>
      <c r="MS3" s="1123">
        <v>2.0E18</v>
      </c>
      <c r="MT3" s="1122">
        <v>26.99861111111111</v>
      </c>
      <c r="MU3" s="1123">
        <v>2.0E18</v>
      </c>
      <c r="MV3" s="1122">
        <v>26.99861111111111</v>
      </c>
      <c r="MW3" s="1123">
        <v>2.0E18</v>
      </c>
      <c r="MX3" s="1122">
        <v>26.99861111111111</v>
      </c>
      <c r="MY3" s="1123">
        <v>2.0E18</v>
      </c>
    </row>
    <row r="4">
      <c r="A4" s="1071">
        <v>2.0</v>
      </c>
      <c r="B4" s="1072">
        <v>0.10347222222222222</v>
      </c>
      <c r="C4" s="1073">
        <v>2500.0</v>
      </c>
      <c r="D4" s="1072">
        <v>0.0044444444444444444</v>
      </c>
      <c r="E4" s="1073">
        <v>71.0</v>
      </c>
      <c r="F4" s="1072">
        <v>0.0044444444444444444</v>
      </c>
      <c r="G4" s="1074">
        <v>71.0</v>
      </c>
      <c r="H4" s="1072">
        <v>0.0044444444444444444</v>
      </c>
      <c r="I4" s="1073">
        <v>71.0</v>
      </c>
      <c r="J4" s="1072">
        <v>0.0044444444444444444</v>
      </c>
      <c r="K4" s="1073">
        <v>71.0</v>
      </c>
      <c r="L4" s="1072">
        <v>0.00681712962962963</v>
      </c>
      <c r="M4" s="1075">
        <v>83.0</v>
      </c>
      <c r="N4" s="1076">
        <v>0.0067476851851851856</v>
      </c>
      <c r="O4" s="1073">
        <v>83.0</v>
      </c>
      <c r="P4" s="1072">
        <v>0.23125</v>
      </c>
      <c r="Q4" s="1073">
        <v>10000.0</v>
      </c>
      <c r="R4" s="1124"/>
      <c r="S4" s="1125"/>
      <c r="T4" s="1072">
        <v>8.0</v>
      </c>
      <c r="U4" s="1073">
        <v>1.0E9</v>
      </c>
      <c r="V4" s="1124"/>
      <c r="W4" s="1125"/>
      <c r="X4" s="1124"/>
      <c r="Y4" s="1125"/>
      <c r="Z4" s="1124"/>
      <c r="AA4" s="1125"/>
      <c r="AB4" s="1124"/>
      <c r="AC4" s="1125"/>
      <c r="AD4" s="1072">
        <v>2.1597222222222223</v>
      </c>
      <c r="AE4" s="1080">
        <v>1.3E9</v>
      </c>
      <c r="AF4" s="1072">
        <v>2.1597222222222223</v>
      </c>
      <c r="AG4" s="1080">
        <v>1.3E9</v>
      </c>
      <c r="AH4" s="1072">
        <v>2.1597222222222223</v>
      </c>
      <c r="AI4" s="1080">
        <v>1.3E9</v>
      </c>
      <c r="AJ4" s="1081">
        <v>0.0044444444444444444</v>
      </c>
      <c r="AK4" s="1082">
        <v>71.0</v>
      </c>
      <c r="AL4" s="1081">
        <v>0.0044444444444444444</v>
      </c>
      <c r="AM4" s="1082">
        <v>71.0</v>
      </c>
      <c r="AN4" s="1081">
        <v>0.0044444444444444444</v>
      </c>
      <c r="AO4" s="1082">
        <v>71.0</v>
      </c>
      <c r="AP4" s="1081">
        <v>0.0044444444444444444</v>
      </c>
      <c r="AQ4" s="1082">
        <v>71.0</v>
      </c>
      <c r="AR4" s="1081">
        <v>0.0044444444444444444</v>
      </c>
      <c r="AS4" s="1082">
        <v>71.0</v>
      </c>
      <c r="AT4" s="1081">
        <v>1.7368055555555555</v>
      </c>
      <c r="AU4" s="1082">
        <v>401000.0</v>
      </c>
      <c r="AV4" s="1081">
        <v>1.7368055555555555</v>
      </c>
      <c r="AW4" s="1082">
        <v>401000.0</v>
      </c>
      <c r="AX4" s="1081">
        <v>4.051388888888889</v>
      </c>
      <c r="AY4" s="1082">
        <v>2.4E11</v>
      </c>
      <c r="AZ4" s="1124"/>
      <c r="BA4" s="1124"/>
      <c r="BB4" s="1083">
        <v>0.0044444444444444444</v>
      </c>
      <c r="BC4" s="1084">
        <v>71.0</v>
      </c>
      <c r="BD4" s="1083">
        <v>0.0044444444444444444</v>
      </c>
      <c r="BE4" s="1084">
        <v>71.0</v>
      </c>
      <c r="BF4" s="1083">
        <v>0.0044444444444444444</v>
      </c>
      <c r="BG4" s="1084">
        <v>71.0</v>
      </c>
      <c r="BH4" s="1083">
        <v>0.07708333333333334</v>
      </c>
      <c r="BI4" s="1084">
        <v>7500.0</v>
      </c>
      <c r="BJ4" s="1083">
        <v>0.12569444444444444</v>
      </c>
      <c r="BK4" s="1084">
        <v>22500.0</v>
      </c>
      <c r="BL4" s="1083">
        <v>0.20902777777777778</v>
      </c>
      <c r="BM4" s="1084">
        <v>40000.0</v>
      </c>
      <c r="BN4" s="1083">
        <v>0.20902777777777778</v>
      </c>
      <c r="BO4" s="1084">
        <v>40000.0</v>
      </c>
      <c r="BP4" s="1083">
        <v>0.27847222222222223</v>
      </c>
      <c r="BQ4" s="1084">
        <v>119000.0</v>
      </c>
      <c r="BR4" s="1083">
        <v>1.5048611111111112</v>
      </c>
      <c r="BS4" s="1084">
        <v>1.21E9</v>
      </c>
      <c r="BT4" s="1085">
        <v>0.23402777777777778</v>
      </c>
      <c r="BU4" s="1086">
        <v>1.2E9</v>
      </c>
      <c r="BV4" s="1085">
        <v>1.0423611111111113</v>
      </c>
      <c r="BW4" s="1086">
        <v>1.91E9</v>
      </c>
      <c r="BX4" s="1085">
        <v>1.3895833333333334</v>
      </c>
      <c r="BY4" s="1086">
        <v>3.51E10</v>
      </c>
      <c r="BZ4" s="1085">
        <v>1.5048611111111112</v>
      </c>
      <c r="CA4" s="1086">
        <v>3.81E10</v>
      </c>
      <c r="CB4" s="1085">
        <v>4.051388888888889</v>
      </c>
      <c r="CC4" s="1086">
        <v>3.51E11</v>
      </c>
      <c r="CD4" s="1083">
        <v>2.4197800925925925</v>
      </c>
      <c r="CE4" s="1087">
        <v>3.0007E11</v>
      </c>
      <c r="CF4" s="1083">
        <v>1.2534722222222223</v>
      </c>
      <c r="CG4" s="1087">
        <v>7100.0</v>
      </c>
      <c r="CH4" s="1088">
        <v>0.0044444444444444444</v>
      </c>
      <c r="CI4" s="1089">
        <v>71.0</v>
      </c>
      <c r="CJ4" s="1088">
        <v>0.0044444444444444444</v>
      </c>
      <c r="CK4" s="1089">
        <v>71.0</v>
      </c>
      <c r="CL4" s="1088">
        <v>0.0044444444444444444</v>
      </c>
      <c r="CM4" s="1089">
        <v>71.0</v>
      </c>
      <c r="CN4" s="1088">
        <v>0.0044444444444444444</v>
      </c>
      <c r="CO4" s="1089">
        <v>71.0</v>
      </c>
      <c r="CP4" s="1088">
        <v>0.006875</v>
      </c>
      <c r="CQ4" s="1089">
        <v>93.0</v>
      </c>
      <c r="CR4" s="1088">
        <v>0.04791666666666667</v>
      </c>
      <c r="CS4" s="1089">
        <v>910.0</v>
      </c>
      <c r="CT4" s="1126"/>
      <c r="CU4" s="1125"/>
      <c r="CV4" s="1090">
        <v>2.6625</v>
      </c>
      <c r="CW4" s="1091">
        <v>2.501E10</v>
      </c>
      <c r="CX4" s="1090">
        <v>2.6625</v>
      </c>
      <c r="CY4" s="1091">
        <v>2.501E10</v>
      </c>
      <c r="CZ4" s="1090">
        <v>2.6625</v>
      </c>
      <c r="DA4" s="1091">
        <v>2.501E10</v>
      </c>
      <c r="DB4" s="1090">
        <v>1.0423611111111113</v>
      </c>
      <c r="DC4" s="1091">
        <v>1.01E9</v>
      </c>
      <c r="DD4" s="1090">
        <v>1.0423611111111113</v>
      </c>
      <c r="DE4" s="1091">
        <v>1.01E9</v>
      </c>
      <c r="DF4" s="1092">
        <v>0.9729166666666667</v>
      </c>
      <c r="DG4" s="1093">
        <v>285000.0</v>
      </c>
      <c r="DH4" s="1124"/>
      <c r="DI4" s="1125"/>
      <c r="DJ4" s="1092">
        <v>1.7597222222222222</v>
      </c>
      <c r="DK4" s="1093">
        <v>835000.0</v>
      </c>
      <c r="DL4" s="1092">
        <v>0.9729166666666667</v>
      </c>
      <c r="DM4" s="1093">
        <v>285000.0</v>
      </c>
      <c r="DN4" s="1124"/>
      <c r="DO4" s="1125"/>
      <c r="DP4" s="1092">
        <v>0.9729166666666667</v>
      </c>
      <c r="DQ4" s="1093">
        <v>285000.0</v>
      </c>
      <c r="DR4" s="1092">
        <v>0.9729166666666667</v>
      </c>
      <c r="DS4" s="1093">
        <v>285000.0</v>
      </c>
      <c r="DT4" s="1124"/>
      <c r="DU4" s="1125"/>
      <c r="DV4" s="1092">
        <v>0.9729166666666667</v>
      </c>
      <c r="DW4" s="1093">
        <v>285000.0</v>
      </c>
      <c r="DX4" s="1092">
        <v>0.9729166666666667</v>
      </c>
      <c r="DY4" s="1093">
        <v>285000.0</v>
      </c>
      <c r="DZ4" s="1092">
        <v>2.0145833333333334</v>
      </c>
      <c r="EA4" s="1093">
        <v>1310000.0</v>
      </c>
      <c r="EB4" s="1092">
        <v>2.0145833333333334</v>
      </c>
      <c r="EC4" s="1093">
        <v>1310000.0</v>
      </c>
      <c r="ED4" s="1124"/>
      <c r="EE4" s="1125"/>
      <c r="EF4" s="1092">
        <v>1.18125</v>
      </c>
      <c r="EG4" s="1093">
        <v>560000.0</v>
      </c>
      <c r="EH4" s="1092">
        <v>1.18125</v>
      </c>
      <c r="EI4" s="1093">
        <v>560000.0</v>
      </c>
      <c r="EJ4" s="1092">
        <v>1.1813541666666667</v>
      </c>
      <c r="EK4" s="1093">
        <v>560000.0</v>
      </c>
      <c r="EL4" s="1092">
        <v>1.1813541666666667</v>
      </c>
      <c r="EM4" s="1093">
        <v>560000.0</v>
      </c>
      <c r="EN4" s="1092">
        <v>1.18125</v>
      </c>
      <c r="EO4" s="1093">
        <v>560000.0</v>
      </c>
      <c r="EP4" s="1092">
        <v>1.18125</v>
      </c>
      <c r="EQ4" s="1093">
        <v>560000.0</v>
      </c>
      <c r="ER4" s="1092">
        <v>1.18125</v>
      </c>
      <c r="ES4" s="1093">
        <v>560000.0</v>
      </c>
      <c r="ET4" s="1092">
        <v>1.18125</v>
      </c>
      <c r="EU4" s="1093">
        <v>860000.0</v>
      </c>
      <c r="EV4" s="1124"/>
      <c r="EW4" s="1125"/>
      <c r="EX4" s="1092">
        <v>1.7597222222222222</v>
      </c>
      <c r="EY4" s="1093">
        <v>1660000.0</v>
      </c>
      <c r="EZ4" s="1124"/>
      <c r="FA4" s="1127"/>
      <c r="FB4" s="1092">
        <v>2.0145833333333334</v>
      </c>
      <c r="FC4" s="1093">
        <v>2.081E7</v>
      </c>
      <c r="FD4" s="1126"/>
      <c r="FE4" s="1125"/>
      <c r="FF4" s="1092">
        <v>2.0145833333333334</v>
      </c>
      <c r="FG4" s="1094">
        <v>2.1405405E7</v>
      </c>
      <c r="FH4" s="1092">
        <v>2.0145833333333334</v>
      </c>
      <c r="FI4" s="1094">
        <v>2.1405405E7</v>
      </c>
      <c r="FJ4" s="1092">
        <v>7.013912037037037</v>
      </c>
      <c r="FK4" s="1093">
        <v>2.00313514E8</v>
      </c>
      <c r="FL4" s="1124"/>
      <c r="FM4" s="1125"/>
      <c r="FN4" s="1095">
        <v>6.598020833333333</v>
      </c>
      <c r="FO4" s="1093">
        <v>1.05E12</v>
      </c>
      <c r="FP4" s="1092">
        <v>9.33332175925926</v>
      </c>
      <c r="FQ4" s="1094">
        <v>1.5E11</v>
      </c>
      <c r="FR4" s="1096">
        <v>9.333333333333334</v>
      </c>
      <c r="FS4" s="1094">
        <v>1.5E11</v>
      </c>
      <c r="FT4" s="1092">
        <v>9.333333333333334</v>
      </c>
      <c r="FU4" s="1094">
        <v>1.5E11</v>
      </c>
      <c r="FV4" s="1092">
        <v>9.333333333333334</v>
      </c>
      <c r="FW4" s="1094">
        <v>1.5E11</v>
      </c>
      <c r="FX4" s="1097">
        <v>3.802164351851852</v>
      </c>
      <c r="FY4" s="1098">
        <v>1.5E9</v>
      </c>
      <c r="FZ4" s="1097">
        <v>9.333333333333334</v>
      </c>
      <c r="GA4" s="1098">
        <v>1.5E11</v>
      </c>
      <c r="GB4" s="1099">
        <v>10.453472222222222</v>
      </c>
      <c r="GC4" s="1098">
        <v>2.25E11</v>
      </c>
      <c r="GD4" s="1092">
        <v>33.333333333333336</v>
      </c>
      <c r="GE4" s="1094">
        <v>2.1E15</v>
      </c>
      <c r="GF4" s="1100">
        <v>1.7354166666666666</v>
      </c>
      <c r="GG4" s="1101">
        <v>3000000.0</v>
      </c>
      <c r="GH4" s="1100">
        <v>0.38958333333333334</v>
      </c>
      <c r="GI4" s="1101">
        <v>2810000.0</v>
      </c>
      <c r="GJ4" s="1124"/>
      <c r="GK4" s="1125"/>
      <c r="GL4" s="1100">
        <v>5.7868055555555555</v>
      </c>
      <c r="GM4" s="1101">
        <v>9.0E8</v>
      </c>
      <c r="GN4" s="1100">
        <v>32.40694444444444</v>
      </c>
      <c r="GO4" s="1101">
        <v>8.5E11</v>
      </c>
      <c r="GP4" s="1102">
        <v>0.5562499999999999</v>
      </c>
      <c r="GQ4" s="1103">
        <v>3.01E9</v>
      </c>
      <c r="GR4" s="1104">
        <v>6.598020833333333</v>
      </c>
      <c r="GS4" s="1103">
        <v>1.05E12</v>
      </c>
      <c r="GT4" s="1104">
        <v>6.598020833333333</v>
      </c>
      <c r="GU4" s="1103">
        <v>1.05E12</v>
      </c>
      <c r="GV4" s="1104">
        <v>6.598020833333333</v>
      </c>
      <c r="GW4" s="1103">
        <v>1.05E12</v>
      </c>
      <c r="GX4" s="1105">
        <v>31.25</v>
      </c>
      <c r="GY4" s="1106">
        <v>1.3E15</v>
      </c>
      <c r="GZ4" s="1124"/>
      <c r="HA4" s="1125"/>
      <c r="HB4" s="1107">
        <v>0.20902777777777778</v>
      </c>
      <c r="HC4" s="1108">
        <v>220000.0</v>
      </c>
      <c r="HD4" s="1124"/>
      <c r="HE4" s="1125"/>
      <c r="HF4" s="1107">
        <v>0.23194444444444445</v>
      </c>
      <c r="HG4" s="1108">
        <v>280000.0</v>
      </c>
      <c r="HH4" s="1107">
        <v>10.184722222222222</v>
      </c>
      <c r="HI4" s="1108">
        <v>2.0E9</v>
      </c>
      <c r="HJ4" s="1124"/>
      <c r="HK4" s="1125"/>
      <c r="HL4" s="1107">
        <v>4.629166666666666</v>
      </c>
      <c r="HM4" s="1108">
        <v>1.0E8</v>
      </c>
      <c r="HN4" s="1107">
        <v>1.6208333333333333</v>
      </c>
      <c r="HO4" s="1108">
        <v>7.0003E8</v>
      </c>
      <c r="HP4" s="1107">
        <v>2.2233680555555555</v>
      </c>
      <c r="HQ4" s="1109">
        <v>180000.0</v>
      </c>
      <c r="HR4" s="1128">
        <v>1.9680555555555557</v>
      </c>
      <c r="HS4" s="1129">
        <v>6.005E7</v>
      </c>
      <c r="HT4" s="1128">
        <v>1.9680555555555557</v>
      </c>
      <c r="HU4" s="1129">
        <v>6.005E7</v>
      </c>
      <c r="HV4" s="1128">
        <v>1.9680555555555557</v>
      </c>
      <c r="HW4" s="1129">
        <v>6.005E7</v>
      </c>
      <c r="HX4" s="1130">
        <v>1.9680555555555554</v>
      </c>
      <c r="HY4" s="1129">
        <v>6.005E7</v>
      </c>
      <c r="HZ4" s="1130">
        <v>52.46875</v>
      </c>
      <c r="IA4" s="1129">
        <v>6.45E13</v>
      </c>
      <c r="IB4" s="1130">
        <v>9.583333333333334</v>
      </c>
      <c r="IC4" s="1129">
        <v>1.5E11</v>
      </c>
      <c r="ID4" s="1130">
        <v>9.583333333333334</v>
      </c>
      <c r="IE4" s="1129">
        <v>1.5E11</v>
      </c>
      <c r="IF4" s="1130">
        <v>9.583333333333334</v>
      </c>
      <c r="IG4" s="1129">
        <v>1.5E11</v>
      </c>
      <c r="IH4" s="1113">
        <v>2.6625</v>
      </c>
      <c r="II4" s="1114">
        <v>4.0E10</v>
      </c>
      <c r="IJ4" s="1113">
        <v>2.6625</v>
      </c>
      <c r="IK4" s="1114">
        <v>4.0E10</v>
      </c>
      <c r="IL4" s="1113">
        <v>2.6625</v>
      </c>
      <c r="IM4" s="1114">
        <v>6.001E10</v>
      </c>
      <c r="IN4" s="1113">
        <v>2.6625</v>
      </c>
      <c r="IO4" s="1114">
        <v>6.001E10</v>
      </c>
      <c r="IP4" s="1113">
        <v>3.1256944444444446</v>
      </c>
      <c r="IQ4" s="1114">
        <v>1.2001E11</v>
      </c>
      <c r="IR4" s="1113">
        <v>2.6625</v>
      </c>
      <c r="IS4" s="1114">
        <v>6.001E10</v>
      </c>
      <c r="IT4" s="1113">
        <v>2.6625</v>
      </c>
      <c r="IU4" s="1114">
        <v>6.001E10</v>
      </c>
      <c r="IV4" s="1113">
        <v>2.6625</v>
      </c>
      <c r="IW4" s="1114">
        <v>6.001E10</v>
      </c>
      <c r="IX4" s="1113">
        <v>2.6625</v>
      </c>
      <c r="IY4" s="1114">
        <v>6.001E10</v>
      </c>
      <c r="IZ4" s="1113">
        <v>2.6625</v>
      </c>
      <c r="JA4" s="1114">
        <v>8.001E10</v>
      </c>
      <c r="JB4" s="1113">
        <v>2.6625</v>
      </c>
      <c r="JC4" s="1114">
        <v>8.001E10</v>
      </c>
      <c r="JD4" s="1113">
        <v>2.6625</v>
      </c>
      <c r="JE4" s="1114">
        <v>8.001E10</v>
      </c>
      <c r="JF4" s="1113">
        <v>2.6625</v>
      </c>
      <c r="JG4" s="1114">
        <v>8.001E10</v>
      </c>
      <c r="JH4" s="1113">
        <v>3.1256944444444446</v>
      </c>
      <c r="JI4" s="1114">
        <v>1.5E11</v>
      </c>
      <c r="JJ4" s="1113">
        <v>21.59861111111111</v>
      </c>
      <c r="JK4" s="1115">
        <v>5.0E17</v>
      </c>
      <c r="JL4" s="1113">
        <v>21.59861111111111</v>
      </c>
      <c r="JM4" s="1115">
        <v>5.0E17</v>
      </c>
      <c r="JN4" s="1113">
        <v>21.59861111111111</v>
      </c>
      <c r="JO4" s="1115">
        <v>5.0E17</v>
      </c>
      <c r="JP4" s="1113">
        <v>21.59861111111111</v>
      </c>
      <c r="JQ4" s="1115">
        <v>5.0E17</v>
      </c>
      <c r="JR4" s="1113">
        <v>21.59861111111111</v>
      </c>
      <c r="JS4" s="1115">
        <v>5.0E17</v>
      </c>
      <c r="JT4" s="1113">
        <v>21.59861111111111</v>
      </c>
      <c r="JU4" s="1115">
        <v>5.0E17</v>
      </c>
      <c r="JV4" s="1113">
        <v>5.399305555555555</v>
      </c>
      <c r="JW4" s="1115">
        <v>1.4E12</v>
      </c>
      <c r="JX4" s="1116">
        <v>4.5146875</v>
      </c>
      <c r="JY4" s="1117">
        <v>4.0E7</v>
      </c>
      <c r="JZ4" s="1131">
        <v>1.424409722</v>
      </c>
      <c r="KA4" s="1132">
        <v>2920000.0</v>
      </c>
      <c r="KB4" s="1116">
        <v>1.424421296</v>
      </c>
      <c r="KC4" s="1120">
        <v>4230000.0</v>
      </c>
      <c r="KD4" s="1116">
        <v>5.382743056</v>
      </c>
      <c r="KE4" s="1120">
        <v>5.12E9</v>
      </c>
      <c r="KF4" s="1116">
        <v>5.382743056</v>
      </c>
      <c r="KG4" s="1120">
        <v>5.12E9</v>
      </c>
      <c r="KH4" s="1116">
        <v>9.14431713</v>
      </c>
      <c r="KI4" s="1120">
        <v>7.6E10</v>
      </c>
      <c r="KJ4" s="1133"/>
      <c r="KK4" s="1133"/>
      <c r="KL4" s="1121">
        <v>191.20369212962962</v>
      </c>
      <c r="KM4" s="1120">
        <v>8.7E13</v>
      </c>
      <c r="KN4" s="1121">
        <v>91.66666666666667</v>
      </c>
      <c r="KO4" s="1120">
        <v>5.0E13</v>
      </c>
      <c r="KP4" s="1121">
        <v>91.66666666666667</v>
      </c>
      <c r="KQ4" s="1120">
        <v>5.0E13</v>
      </c>
      <c r="KR4" s="1121">
        <v>162.5</v>
      </c>
      <c r="KS4" s="1120">
        <v>5.0E14</v>
      </c>
      <c r="KT4" s="1121">
        <v>62.5</v>
      </c>
      <c r="KU4" s="1120">
        <v>5.0E12</v>
      </c>
      <c r="KV4" s="1131">
        <v>21.59861111111111</v>
      </c>
      <c r="KW4" s="1132">
        <v>5.0E17</v>
      </c>
      <c r="KX4" s="1131">
        <v>21.59861111111111</v>
      </c>
      <c r="KY4" s="1132">
        <v>5.0E17</v>
      </c>
      <c r="KZ4" s="1131">
        <v>21.59861111111111</v>
      </c>
      <c r="LA4" s="1132">
        <v>5.0E17</v>
      </c>
      <c r="LB4" s="1131">
        <v>21.59861111111111</v>
      </c>
      <c r="LC4" s="1132">
        <v>5.0E17</v>
      </c>
      <c r="LD4" s="1131">
        <v>21.59861111111111</v>
      </c>
      <c r="LE4" s="1132">
        <v>5.0E17</v>
      </c>
      <c r="LF4" s="1131">
        <v>21.59861111111111</v>
      </c>
      <c r="LG4" s="1132">
        <v>5.0E17</v>
      </c>
      <c r="LH4" s="1131">
        <v>21.59861111111111</v>
      </c>
      <c r="LI4" s="1132">
        <v>5.0E17</v>
      </c>
      <c r="LJ4" s="1131">
        <v>21.59861111111111</v>
      </c>
      <c r="LK4" s="1132">
        <v>5.0E17</v>
      </c>
      <c r="LL4" s="1100">
        <v>33.333333333333336</v>
      </c>
      <c r="LM4" s="1101">
        <v>2.1E15</v>
      </c>
      <c r="LN4" s="1122">
        <v>26.99861111111111</v>
      </c>
      <c r="LO4" s="1101">
        <v>4.0E17</v>
      </c>
      <c r="LP4" s="1122">
        <v>26.99861111111111</v>
      </c>
      <c r="LQ4" s="1101">
        <v>4.0E17</v>
      </c>
      <c r="LR4" s="1122">
        <v>26.99861111111111</v>
      </c>
      <c r="LS4" s="1101">
        <v>4.0E17</v>
      </c>
      <c r="LT4" s="1122">
        <v>26.99861111111111</v>
      </c>
      <c r="LU4" s="1101">
        <v>4.0E17</v>
      </c>
      <c r="LV4" s="1122">
        <v>26.99861111111111</v>
      </c>
      <c r="LW4" s="1101">
        <v>4.0E17</v>
      </c>
      <c r="LX4" s="1122">
        <v>32.39791666666667</v>
      </c>
      <c r="LY4" s="1123">
        <v>1.0E18</v>
      </c>
      <c r="LZ4" s="1122">
        <v>32.39791666666667</v>
      </c>
      <c r="MA4" s="1123">
        <v>1.0E18</v>
      </c>
      <c r="MB4" s="1122">
        <v>32.39791666666667</v>
      </c>
      <c r="MC4" s="1123">
        <v>1.0E18</v>
      </c>
      <c r="MD4" s="1122">
        <v>32.39791666666667</v>
      </c>
      <c r="ME4" s="1123">
        <v>1.0E18</v>
      </c>
      <c r="MF4" s="1122">
        <v>37.797916666666666</v>
      </c>
      <c r="MG4" s="1123">
        <v>1.5E18</v>
      </c>
      <c r="MH4" s="1122">
        <v>37.797916666666666</v>
      </c>
      <c r="MI4" s="1123">
        <v>1.5E18</v>
      </c>
      <c r="MJ4" s="1122">
        <v>37.797916666666666</v>
      </c>
      <c r="MK4" s="1123">
        <v>1.5E18</v>
      </c>
      <c r="ML4" s="1122">
        <v>37.797916666666666</v>
      </c>
      <c r="MM4" s="1123">
        <v>1.5E18</v>
      </c>
      <c r="MN4" s="1122">
        <v>37.797916666666666</v>
      </c>
      <c r="MO4" s="1123">
        <v>1.5E18</v>
      </c>
      <c r="MP4" s="1122">
        <v>37.797916666666666</v>
      </c>
      <c r="MQ4" s="1123">
        <v>1.5E18</v>
      </c>
      <c r="MR4" s="1122">
        <v>44.81736111111111</v>
      </c>
      <c r="MS4" s="1123">
        <v>4.0E18</v>
      </c>
      <c r="MT4" s="1122">
        <v>44.81736111111111</v>
      </c>
      <c r="MU4" s="1123">
        <v>4.0E18</v>
      </c>
      <c r="MV4" s="1122">
        <v>44.81736111111111</v>
      </c>
      <c r="MW4" s="1123">
        <v>4.0E18</v>
      </c>
      <c r="MX4" s="1122">
        <v>44.81736111111111</v>
      </c>
      <c r="MY4" s="1123">
        <v>4.0E18</v>
      </c>
    </row>
    <row r="5">
      <c r="A5" s="1071">
        <v>3.0</v>
      </c>
      <c r="B5" s="1072">
        <v>0.41597222222222224</v>
      </c>
      <c r="C5" s="1073">
        <v>12000.0</v>
      </c>
      <c r="D5" s="1072">
        <v>0.01138888888888889</v>
      </c>
      <c r="E5" s="1073">
        <v>178.0</v>
      </c>
      <c r="F5" s="1072">
        <v>0.01138888888888889</v>
      </c>
      <c r="G5" s="1074">
        <v>178.0</v>
      </c>
      <c r="H5" s="1072">
        <v>0.01138888888888889</v>
      </c>
      <c r="I5" s="1073">
        <v>178.0</v>
      </c>
      <c r="J5" s="1072">
        <v>0.01138888888888889</v>
      </c>
      <c r="K5" s="1073">
        <v>178.0</v>
      </c>
      <c r="L5" s="1072">
        <v>0.01653935185185185</v>
      </c>
      <c r="M5" s="1075">
        <v>210.0</v>
      </c>
      <c r="N5" s="1076">
        <v>0.015960648148148147</v>
      </c>
      <c r="O5" s="1073">
        <v>211.0</v>
      </c>
      <c r="P5" s="1072">
        <v>1.1569444444444446</v>
      </c>
      <c r="Q5" s="1073">
        <v>50000.0</v>
      </c>
      <c r="R5" s="1124"/>
      <c r="S5" s="1125"/>
      <c r="T5" s="1124"/>
      <c r="U5" s="1125"/>
      <c r="V5" s="1124"/>
      <c r="W5" s="1125"/>
      <c r="X5" s="1124"/>
      <c r="Y5" s="1125"/>
      <c r="Z5" s="1124"/>
      <c r="AA5" s="1125"/>
      <c r="AB5" s="1124"/>
      <c r="AC5" s="1125"/>
      <c r="AD5" s="1072">
        <v>3.2395833333333335</v>
      </c>
      <c r="AE5" s="1080">
        <v>1.69E9</v>
      </c>
      <c r="AF5" s="1072">
        <v>3.2395833333333335</v>
      </c>
      <c r="AG5" s="1080">
        <v>1.69E9</v>
      </c>
      <c r="AH5" s="1072">
        <v>3.2395833333333335</v>
      </c>
      <c r="AI5" s="1080">
        <v>1.69E9</v>
      </c>
      <c r="AJ5" s="1081">
        <v>0.01138888888888889</v>
      </c>
      <c r="AK5" s="1082">
        <v>178.0</v>
      </c>
      <c r="AL5" s="1081">
        <v>0.01138888888888889</v>
      </c>
      <c r="AM5" s="1082">
        <v>178.0</v>
      </c>
      <c r="AN5" s="1081">
        <v>0.01138888888888889</v>
      </c>
      <c r="AO5" s="1082">
        <v>178.0</v>
      </c>
      <c r="AP5" s="1081">
        <v>0.01138888888888889</v>
      </c>
      <c r="AQ5" s="1082">
        <v>178.0</v>
      </c>
      <c r="AR5" s="1081">
        <v>0.01138888888888889</v>
      </c>
      <c r="AS5" s="1082">
        <v>178.0</v>
      </c>
      <c r="AT5" s="1081">
        <v>2.3291666666666666</v>
      </c>
      <c r="AU5" s="1082">
        <v>625990.0</v>
      </c>
      <c r="AV5" s="1081">
        <v>2.3270833333333334</v>
      </c>
      <c r="AW5" s="1082">
        <v>625990.0</v>
      </c>
      <c r="AX5" s="1081">
        <v>4.633333333333334</v>
      </c>
      <c r="AY5" s="1082">
        <v>2.8001E11</v>
      </c>
      <c r="AZ5" s="1124"/>
      <c r="BA5" s="1124"/>
      <c r="BB5" s="1083">
        <v>0.01138888888888889</v>
      </c>
      <c r="BC5" s="1084">
        <v>178.0</v>
      </c>
      <c r="BD5" s="1083">
        <v>0.01138888888888889</v>
      </c>
      <c r="BE5" s="1084">
        <v>178.0</v>
      </c>
      <c r="BF5" s="1083">
        <v>0.01138888888888889</v>
      </c>
      <c r="BG5" s="1084">
        <v>178.0</v>
      </c>
      <c r="BH5" s="1083">
        <v>0.11875</v>
      </c>
      <c r="BI5" s="1084">
        <v>24000.0</v>
      </c>
      <c r="BJ5" s="1083">
        <v>0.20277777777777778</v>
      </c>
      <c r="BK5" s="1084">
        <v>105740.0</v>
      </c>
      <c r="BL5" s="1083">
        <v>0.35625</v>
      </c>
      <c r="BM5" s="1084">
        <v>231980.0</v>
      </c>
      <c r="BN5" s="1083">
        <v>0.35625</v>
      </c>
      <c r="BO5" s="1084">
        <v>231980.0</v>
      </c>
      <c r="BP5" s="1083">
        <v>0.44930555555555557</v>
      </c>
      <c r="BQ5" s="1084">
        <v>314980.0</v>
      </c>
      <c r="BR5" s="1083">
        <v>1.8611111111111112</v>
      </c>
      <c r="BS5" s="1084">
        <v>1.67E9</v>
      </c>
      <c r="BT5" s="1085">
        <v>0.24027777777777778</v>
      </c>
      <c r="BU5" s="1086">
        <v>1.4E9</v>
      </c>
      <c r="BV5" s="1085">
        <v>1.5138888888888888</v>
      </c>
      <c r="BW5" s="1086">
        <v>2.23E9</v>
      </c>
      <c r="BX5" s="1085">
        <v>1.636111111111111</v>
      </c>
      <c r="BY5" s="1086">
        <v>4.035E10</v>
      </c>
      <c r="BZ5" s="1085">
        <v>1.8673611111111112</v>
      </c>
      <c r="CA5" s="1086">
        <v>4.635E10</v>
      </c>
      <c r="CB5" s="1085">
        <v>4.645138888888889</v>
      </c>
      <c r="CC5" s="1086">
        <v>4.0303E11</v>
      </c>
      <c r="CD5" s="1083">
        <v>2.528402777777778</v>
      </c>
      <c r="CE5" s="1087">
        <v>3.0044E11</v>
      </c>
      <c r="CF5" s="1083">
        <v>1.4091203703703703</v>
      </c>
      <c r="CG5" s="1087">
        <v>13300.0</v>
      </c>
      <c r="CH5" s="1088">
        <v>0.01138888888888889</v>
      </c>
      <c r="CI5" s="1089">
        <v>178.0</v>
      </c>
      <c r="CJ5" s="1088">
        <v>0.01138888888888889</v>
      </c>
      <c r="CK5" s="1089">
        <v>178.0</v>
      </c>
      <c r="CL5" s="1088">
        <v>0.01138888888888889</v>
      </c>
      <c r="CM5" s="1089">
        <v>178.0</v>
      </c>
      <c r="CN5" s="1088">
        <v>0.01138888888888889</v>
      </c>
      <c r="CO5" s="1089">
        <v>178.0</v>
      </c>
      <c r="CP5" s="1088">
        <v>0.016770833333333332</v>
      </c>
      <c r="CQ5" s="1089">
        <v>221.0</v>
      </c>
      <c r="CR5" s="1088">
        <v>0.08888888888888889</v>
      </c>
      <c r="CS5" s="1089">
        <v>2130.0</v>
      </c>
      <c r="CT5" s="1126"/>
      <c r="CU5" s="1125"/>
      <c r="CV5" s="1090">
        <v>3.01875</v>
      </c>
      <c r="CW5" s="1091">
        <v>3.007E10</v>
      </c>
      <c r="CX5" s="1090">
        <v>3.01875</v>
      </c>
      <c r="CY5" s="1091">
        <v>3.007E10</v>
      </c>
      <c r="CZ5" s="1090">
        <v>3.01875</v>
      </c>
      <c r="DA5" s="1091">
        <v>3.007E10</v>
      </c>
      <c r="DB5" s="1090">
        <v>1.3958333333333333</v>
      </c>
      <c r="DC5" s="1091">
        <v>1.16E9</v>
      </c>
      <c r="DD5" s="1090">
        <v>1.3958333333333333</v>
      </c>
      <c r="DE5" s="1091">
        <v>1.16E9</v>
      </c>
      <c r="DF5" s="1092">
        <v>1.1201388888888888</v>
      </c>
      <c r="DG5" s="1093">
        <v>496980.0</v>
      </c>
      <c r="DH5" s="1124"/>
      <c r="DI5" s="1125"/>
      <c r="DJ5" s="1092">
        <v>1.9069444444444446</v>
      </c>
      <c r="DK5" s="1093">
        <v>1050000.0</v>
      </c>
      <c r="DL5" s="1092">
        <v>1.1201388888888888</v>
      </c>
      <c r="DM5" s="1093">
        <v>496980.0</v>
      </c>
      <c r="DN5" s="1124"/>
      <c r="DO5" s="1125"/>
      <c r="DP5" s="1092">
        <v>1.1201388888888888</v>
      </c>
      <c r="DQ5" s="1093">
        <v>496980.0</v>
      </c>
      <c r="DR5" s="1092">
        <v>1.1201388888888888</v>
      </c>
      <c r="DS5" s="1093">
        <v>496980.0</v>
      </c>
      <c r="DT5" s="1124"/>
      <c r="DU5" s="1125"/>
      <c r="DV5" s="1092">
        <v>1.1201388888888888</v>
      </c>
      <c r="DW5" s="1093">
        <v>496980.0</v>
      </c>
      <c r="DX5" s="1092">
        <v>1.1201388888888888</v>
      </c>
      <c r="DY5" s="1093">
        <v>496980.0</v>
      </c>
      <c r="DZ5" s="1092">
        <v>2.370138888888889</v>
      </c>
      <c r="EA5" s="1093">
        <v>1850000.0</v>
      </c>
      <c r="EB5" s="1092">
        <v>2.370138888888889</v>
      </c>
      <c r="EC5" s="1093">
        <v>1850000.0</v>
      </c>
      <c r="ED5" s="1124"/>
      <c r="EE5" s="1125"/>
      <c r="EF5" s="1092">
        <v>1.5368055555555555</v>
      </c>
      <c r="EG5" s="1093">
        <v>1100000.0</v>
      </c>
      <c r="EH5" s="1092">
        <v>1.5368055555555555</v>
      </c>
      <c r="EI5" s="1093">
        <v>1100000.0</v>
      </c>
      <c r="EJ5" s="1092">
        <v>1.5369328703703704</v>
      </c>
      <c r="EK5" s="1093">
        <v>1100000.0</v>
      </c>
      <c r="EL5" s="1092">
        <v>1.5369328703703704</v>
      </c>
      <c r="EM5" s="1093">
        <v>1100000.0</v>
      </c>
      <c r="EN5" s="1092">
        <v>1.5368055555555555</v>
      </c>
      <c r="EO5" s="1093">
        <v>1100000.0</v>
      </c>
      <c r="EP5" s="1092">
        <v>1.5368055555555555</v>
      </c>
      <c r="EQ5" s="1093">
        <v>1100000.0</v>
      </c>
      <c r="ER5" s="1092">
        <v>1.5368055555555555</v>
      </c>
      <c r="ES5" s="1093">
        <v>1100000.0</v>
      </c>
      <c r="ET5" s="1092">
        <v>1.5368055555555555</v>
      </c>
      <c r="EU5" s="1093">
        <v>1450000.0</v>
      </c>
      <c r="EV5" s="1124"/>
      <c r="EW5" s="1125"/>
      <c r="EX5" s="1092">
        <v>2.698611111111111</v>
      </c>
      <c r="EY5" s="1093">
        <v>2860000.0</v>
      </c>
      <c r="EZ5" s="1124"/>
      <c r="FA5" s="1127"/>
      <c r="FB5" s="1092">
        <v>2.370138888888889</v>
      </c>
      <c r="FC5" s="1093">
        <v>2.185E7</v>
      </c>
      <c r="FD5" s="1126"/>
      <c r="FE5" s="1125"/>
      <c r="FF5" s="1092">
        <v>2.370138888888889</v>
      </c>
      <c r="FG5" s="1094">
        <v>2.3124324E7</v>
      </c>
      <c r="FH5" s="1092">
        <v>2.370138888888889</v>
      </c>
      <c r="FI5" s="1094">
        <v>2.3124324E7</v>
      </c>
      <c r="FJ5" s="1092">
        <v>7.369502314814815</v>
      </c>
      <c r="FK5" s="1093">
        <v>2.00854054E8</v>
      </c>
      <c r="FL5" s="1124"/>
      <c r="FM5" s="1125"/>
      <c r="FN5" s="1095">
        <v>8.037951388888889</v>
      </c>
      <c r="FO5" s="1093">
        <v>1.55E12</v>
      </c>
      <c r="FP5" s="1092">
        <v>10.453333333333333</v>
      </c>
      <c r="FQ5" s="1094">
        <v>2.25E11</v>
      </c>
      <c r="FR5" s="1096">
        <v>10.453321759259259</v>
      </c>
      <c r="FS5" s="1094">
        <v>2.25E11</v>
      </c>
      <c r="FT5" s="1092">
        <v>10.453333333333333</v>
      </c>
      <c r="FU5" s="1094">
        <v>2.25E11</v>
      </c>
      <c r="FV5" s="1092">
        <v>10.453321759259259</v>
      </c>
      <c r="FW5" s="1094">
        <v>2.25E11</v>
      </c>
      <c r="FX5" s="1097">
        <v>4.04275462962963</v>
      </c>
      <c r="FY5" s="1098">
        <v>2.25E9</v>
      </c>
      <c r="FZ5" s="1097">
        <v>10.453472222222222</v>
      </c>
      <c r="GA5" s="1098">
        <v>2.25E11</v>
      </c>
      <c r="GB5" s="1099">
        <v>13.112650462962963</v>
      </c>
      <c r="GC5" s="1098">
        <v>5.0625E11</v>
      </c>
      <c r="GD5" s="1092">
        <v>50.0</v>
      </c>
      <c r="GE5" s="1094">
        <v>4.2E15</v>
      </c>
      <c r="GF5" s="1100">
        <v>2.314583333333333</v>
      </c>
      <c r="GG5" s="1101">
        <v>4500000.0</v>
      </c>
      <c r="GH5" s="1100">
        <v>0.7451388888888889</v>
      </c>
      <c r="GI5" s="1101">
        <v>3420000.0</v>
      </c>
      <c r="GJ5" s="1124"/>
      <c r="GK5" s="1125"/>
      <c r="GL5" s="1124"/>
      <c r="GM5" s="1125"/>
      <c r="GN5" s="1126"/>
      <c r="GO5" s="1125"/>
      <c r="GP5" s="1102">
        <v>0.9118055555555555</v>
      </c>
      <c r="GQ5" s="1103">
        <v>4.07E9</v>
      </c>
      <c r="GR5" s="1104">
        <v>8.037951388888889</v>
      </c>
      <c r="GS5" s="1103">
        <v>1.55E12</v>
      </c>
      <c r="GT5" s="1104">
        <v>8.037951388888889</v>
      </c>
      <c r="GU5" s="1103">
        <v>1.55E12</v>
      </c>
      <c r="GV5" s="1104">
        <v>8.037951388888889</v>
      </c>
      <c r="GW5" s="1103">
        <v>1.55E12</v>
      </c>
      <c r="GX5" s="1105">
        <v>41.666666666666664</v>
      </c>
      <c r="GY5" s="1106">
        <v>2.0E15</v>
      </c>
      <c r="GZ5" s="1124"/>
      <c r="HA5" s="1125"/>
      <c r="HB5" s="1107">
        <v>0.35625</v>
      </c>
      <c r="HC5" s="1108">
        <v>940000.0</v>
      </c>
      <c r="HD5" s="1124"/>
      <c r="HE5" s="1125"/>
      <c r="HF5" s="1107">
        <v>0.40208333333333335</v>
      </c>
      <c r="HG5" s="1108">
        <v>1360000.0</v>
      </c>
      <c r="HH5" s="1124"/>
      <c r="HI5" s="1125"/>
      <c r="HJ5" s="1124"/>
      <c r="HK5" s="1125"/>
      <c r="HL5" s="1107">
        <v>9.259027777777778</v>
      </c>
      <c r="HM5" s="1108">
        <v>1.0E9</v>
      </c>
      <c r="HN5" s="1107">
        <v>2.2083333333333335</v>
      </c>
      <c r="HO5" s="1108">
        <v>8.0118E8</v>
      </c>
      <c r="HP5" s="1107">
        <v>2.470972222222222</v>
      </c>
      <c r="HQ5" s="1109">
        <v>878820.0</v>
      </c>
      <c r="HR5" s="1128">
        <v>2.3243055555555556</v>
      </c>
      <c r="HS5" s="1129">
        <v>9.16E7</v>
      </c>
      <c r="HT5" s="1128">
        <v>2.3243055555555556</v>
      </c>
      <c r="HU5" s="1129">
        <v>9.16E7</v>
      </c>
      <c r="HV5" s="1128">
        <v>2.3243055555555556</v>
      </c>
      <c r="HW5" s="1129">
        <v>9.16E7</v>
      </c>
      <c r="HX5" s="1130">
        <v>2.3243055555555556</v>
      </c>
      <c r="HY5" s="1129">
        <v>9.16E7</v>
      </c>
      <c r="HZ5" s="1130">
        <v>60.339050925925925</v>
      </c>
      <c r="IA5" s="1129">
        <v>9.675E13</v>
      </c>
      <c r="IB5" s="1130">
        <v>11.020833333333334</v>
      </c>
      <c r="IC5" s="1129">
        <v>2.25E11</v>
      </c>
      <c r="ID5" s="1130">
        <v>11.020833333333334</v>
      </c>
      <c r="IE5" s="1129">
        <v>2.25E11</v>
      </c>
      <c r="IF5" s="1130">
        <v>11.020833333333334</v>
      </c>
      <c r="IG5" s="1129">
        <v>2.25E11</v>
      </c>
      <c r="IH5" s="1113">
        <v>3.01875</v>
      </c>
      <c r="II5" s="1114">
        <v>6.007E10</v>
      </c>
      <c r="IJ5" s="1113">
        <v>3.01875</v>
      </c>
      <c r="IK5" s="1114">
        <v>6.007E10</v>
      </c>
      <c r="IL5" s="1113">
        <v>3.01875</v>
      </c>
      <c r="IM5" s="1114">
        <v>9.007E10</v>
      </c>
      <c r="IN5" s="1113">
        <v>3.01875</v>
      </c>
      <c r="IO5" s="1114">
        <v>9.007E10</v>
      </c>
      <c r="IP5" s="1113">
        <v>3.4819444444444447</v>
      </c>
      <c r="IQ5" s="1114">
        <v>1.8007E11</v>
      </c>
      <c r="IR5" s="1113">
        <v>3.01875</v>
      </c>
      <c r="IS5" s="1114">
        <v>9.007E10</v>
      </c>
      <c r="IT5" s="1113">
        <v>3.01875</v>
      </c>
      <c r="IU5" s="1114">
        <v>9.007E10</v>
      </c>
      <c r="IV5" s="1113">
        <v>3.01875</v>
      </c>
      <c r="IW5" s="1114">
        <v>9.007E10</v>
      </c>
      <c r="IX5" s="1113">
        <v>3.01875</v>
      </c>
      <c r="IY5" s="1114">
        <v>9.007E10</v>
      </c>
      <c r="IZ5" s="1113">
        <v>3.01875</v>
      </c>
      <c r="JA5" s="1114">
        <v>1.2007E11</v>
      </c>
      <c r="JB5" s="1113">
        <v>3.01875</v>
      </c>
      <c r="JC5" s="1114">
        <v>1.2007E11</v>
      </c>
      <c r="JD5" s="1113">
        <v>3.01875</v>
      </c>
      <c r="JE5" s="1114">
        <v>1.2007E11</v>
      </c>
      <c r="JF5" s="1113">
        <v>3.01875</v>
      </c>
      <c r="JG5" s="1114">
        <v>1.2007E11</v>
      </c>
      <c r="JH5" s="1113">
        <v>3.4819444444444447</v>
      </c>
      <c r="JI5" s="1114">
        <v>2.2007E11</v>
      </c>
      <c r="JJ5" s="1113">
        <v>32.39791666666667</v>
      </c>
      <c r="JK5" s="1115">
        <v>7.5E17</v>
      </c>
      <c r="JL5" s="1113">
        <v>32.39791666666667</v>
      </c>
      <c r="JM5" s="1115">
        <v>7.5E17</v>
      </c>
      <c r="JN5" s="1113">
        <v>32.39791666666667</v>
      </c>
      <c r="JO5" s="1115">
        <v>7.5E17</v>
      </c>
      <c r="JP5" s="1113">
        <v>32.39791666666667</v>
      </c>
      <c r="JQ5" s="1115">
        <v>7.5E17</v>
      </c>
      <c r="JR5" s="1113">
        <v>32.39791666666667</v>
      </c>
      <c r="JS5" s="1115">
        <v>7.5E17</v>
      </c>
      <c r="JT5" s="1113">
        <v>32.39791666666667</v>
      </c>
      <c r="JU5" s="1115">
        <v>7.5E17</v>
      </c>
      <c r="JV5" s="1113">
        <v>8.099305555555556</v>
      </c>
      <c r="JW5" s="1115">
        <v>1.96E12</v>
      </c>
      <c r="JX5" s="1116">
        <v>4.868541667</v>
      </c>
      <c r="JY5" s="1117">
        <v>1.1425E8</v>
      </c>
      <c r="JZ5" s="1131">
        <v>1.461342593</v>
      </c>
      <c r="KA5" s="1132">
        <v>1.394E7</v>
      </c>
      <c r="KB5" s="1116">
        <v>1.462604167</v>
      </c>
      <c r="KC5" s="1120">
        <v>2.526E7</v>
      </c>
      <c r="KD5" s="1116">
        <v>5.56119213</v>
      </c>
      <c r="KE5" s="1120">
        <v>5.96E9</v>
      </c>
      <c r="KF5" s="1116">
        <v>5.56119213</v>
      </c>
      <c r="KG5" s="1120">
        <v>5.96E9</v>
      </c>
      <c r="KH5" s="1116">
        <v>9.613923611</v>
      </c>
      <c r="KI5" s="1120">
        <v>1.2857E11</v>
      </c>
      <c r="KJ5" s="1133"/>
      <c r="KK5" s="1133"/>
      <c r="KL5" s="1121">
        <v>256.45734953703703</v>
      </c>
      <c r="KM5" s="1120">
        <v>2.292E14</v>
      </c>
      <c r="KN5" s="1121">
        <v>162.5</v>
      </c>
      <c r="KO5" s="1120">
        <v>5.0E15</v>
      </c>
      <c r="KP5" s="1121">
        <v>162.5</v>
      </c>
      <c r="KQ5" s="1120">
        <v>5.0E15</v>
      </c>
      <c r="KR5" s="1121">
        <v>204.16666666666666</v>
      </c>
      <c r="KS5" s="1120">
        <v>5.0E16</v>
      </c>
      <c r="KT5" s="1121">
        <v>91.66666666666667</v>
      </c>
      <c r="KU5" s="1120">
        <v>5.0E13</v>
      </c>
      <c r="KV5" s="1131">
        <v>32.39791666666667</v>
      </c>
      <c r="KW5" s="1132">
        <v>7.5E17</v>
      </c>
      <c r="KX5" s="1131">
        <v>32.39791666666667</v>
      </c>
      <c r="KY5" s="1132">
        <v>7.5E17</v>
      </c>
      <c r="KZ5" s="1131">
        <v>32.39791666666667</v>
      </c>
      <c r="LA5" s="1132">
        <v>7.5E17</v>
      </c>
      <c r="LB5" s="1131">
        <v>32.39791666666667</v>
      </c>
      <c r="LC5" s="1132">
        <v>7.5E17</v>
      </c>
      <c r="LD5" s="1131">
        <v>32.39791666666667</v>
      </c>
      <c r="LE5" s="1132">
        <v>7.5E17</v>
      </c>
      <c r="LF5" s="1131">
        <v>32.39791666666667</v>
      </c>
      <c r="LG5" s="1132">
        <v>7.5E17</v>
      </c>
      <c r="LH5" s="1131">
        <v>32.39791666666667</v>
      </c>
      <c r="LI5" s="1132">
        <v>7.5E17</v>
      </c>
      <c r="LJ5" s="1131">
        <v>32.39791666666667</v>
      </c>
      <c r="LK5" s="1132">
        <v>7.5E17</v>
      </c>
      <c r="LL5" s="1100">
        <v>50.0</v>
      </c>
      <c r="LM5" s="1101">
        <v>4.2E15</v>
      </c>
      <c r="LN5" s="1122">
        <v>40.49791666666667</v>
      </c>
      <c r="LO5" s="1101">
        <v>6.000000000000001E17</v>
      </c>
      <c r="LP5" s="1122">
        <v>40.49791666666667</v>
      </c>
      <c r="LQ5" s="1101">
        <v>6.000000000000001E17</v>
      </c>
      <c r="LR5" s="1122">
        <v>40.49791666666667</v>
      </c>
      <c r="LS5" s="1101">
        <v>6.000000000000001E17</v>
      </c>
      <c r="LT5" s="1122">
        <v>40.49791666666667</v>
      </c>
      <c r="LU5" s="1101">
        <v>6.000000000000001E17</v>
      </c>
      <c r="LV5" s="1122">
        <v>40.49791666666667</v>
      </c>
      <c r="LW5" s="1101">
        <v>6.000000000000001E17</v>
      </c>
      <c r="LX5" s="1122">
        <v>48.59722222222222</v>
      </c>
      <c r="LY5" s="1123">
        <v>1.5E18</v>
      </c>
      <c r="LZ5" s="1122">
        <v>48.59722222222222</v>
      </c>
      <c r="MA5" s="1123">
        <v>1.5E18</v>
      </c>
      <c r="MB5" s="1122">
        <v>48.59722222222222</v>
      </c>
      <c r="MC5" s="1123">
        <v>1.5E18</v>
      </c>
      <c r="MD5" s="1122">
        <v>48.59722222222222</v>
      </c>
      <c r="ME5" s="1123">
        <v>1.5E18</v>
      </c>
      <c r="MF5" s="1122">
        <v>48.59722222222222</v>
      </c>
      <c r="MG5" s="1123">
        <v>2.25E18</v>
      </c>
      <c r="MH5" s="1122">
        <v>48.59722222222222</v>
      </c>
      <c r="MI5" s="1123">
        <v>2.25E18</v>
      </c>
      <c r="MJ5" s="1122">
        <v>48.59722222222222</v>
      </c>
      <c r="MK5" s="1123">
        <v>2.25E18</v>
      </c>
      <c r="ML5" s="1122">
        <v>48.59722222222222</v>
      </c>
      <c r="MM5" s="1123">
        <v>2.25E18</v>
      </c>
      <c r="MN5" s="1122">
        <v>48.59722222222222</v>
      </c>
      <c r="MO5" s="1123">
        <v>2.25E18</v>
      </c>
      <c r="MP5" s="1122">
        <v>48.59722222222222</v>
      </c>
      <c r="MQ5" s="1123">
        <v>2.25E18</v>
      </c>
      <c r="MR5" s="1122">
        <v>62.636805555555554</v>
      </c>
      <c r="MS5" s="1123">
        <v>8.0E18</v>
      </c>
      <c r="MT5" s="1122">
        <v>62.636805555555554</v>
      </c>
      <c r="MU5" s="1123">
        <v>8.0E18</v>
      </c>
      <c r="MV5" s="1122">
        <v>62.636805555555554</v>
      </c>
      <c r="MW5" s="1123">
        <v>8.0E18</v>
      </c>
      <c r="MX5" s="1122">
        <v>62.636805555555554</v>
      </c>
      <c r="MY5" s="1123">
        <v>8.0E18</v>
      </c>
    </row>
    <row r="6">
      <c r="A6" s="1071">
        <v>4.0</v>
      </c>
      <c r="B6" s="1072">
        <v>1.4465277777777779</v>
      </c>
      <c r="C6" s="1073">
        <v>50000.0</v>
      </c>
      <c r="D6" s="1072">
        <v>0.02189814814814815</v>
      </c>
      <c r="E6" s="1073">
        <v>398.0</v>
      </c>
      <c r="F6" s="1072">
        <v>0.02189814814814815</v>
      </c>
      <c r="G6" s="1074">
        <v>398.0</v>
      </c>
      <c r="H6" s="1072">
        <v>0.02189814814814815</v>
      </c>
      <c r="I6" s="1073">
        <v>398.0</v>
      </c>
      <c r="J6" s="1072">
        <v>0.02189814814814815</v>
      </c>
      <c r="K6" s="1073">
        <v>398.0</v>
      </c>
      <c r="L6" s="1072">
        <v>0.030925925925925926</v>
      </c>
      <c r="M6" s="1075">
        <v>517.0</v>
      </c>
      <c r="N6" s="1076">
        <v>0.029236111111111112</v>
      </c>
      <c r="O6" s="1073">
        <v>522.0</v>
      </c>
      <c r="P6" s="1072">
        <v>2.314583333333333</v>
      </c>
      <c r="Q6" s="1073">
        <v>500000.0</v>
      </c>
      <c r="R6" s="1124"/>
      <c r="S6" s="1125"/>
      <c r="T6" s="1124"/>
      <c r="U6" s="1125"/>
      <c r="V6" s="1124"/>
      <c r="W6" s="1125"/>
      <c r="X6" s="1124"/>
      <c r="Y6" s="1125"/>
      <c r="Z6" s="1124"/>
      <c r="AA6" s="1125"/>
      <c r="AB6" s="1124"/>
      <c r="AC6" s="1125"/>
      <c r="AD6" s="1072">
        <v>4.319444444444445</v>
      </c>
      <c r="AE6" s="1080">
        <v>2.197E9</v>
      </c>
      <c r="AF6" s="1072">
        <v>4.319444444444445</v>
      </c>
      <c r="AG6" s="1080">
        <v>2.197E9</v>
      </c>
      <c r="AH6" s="1072">
        <v>4.319444444444445</v>
      </c>
      <c r="AI6" s="1080">
        <v>2.197E9</v>
      </c>
      <c r="AJ6" s="1081">
        <v>0.02189814814814815</v>
      </c>
      <c r="AK6" s="1082">
        <v>398.0</v>
      </c>
      <c r="AL6" s="1081">
        <v>0.02189814814814815</v>
      </c>
      <c r="AM6" s="1082">
        <v>398.0</v>
      </c>
      <c r="AN6" s="1081">
        <v>0.02189814814814815</v>
      </c>
      <c r="AO6" s="1082">
        <v>398.0</v>
      </c>
      <c r="AP6" s="1081">
        <v>0.02189814814814815</v>
      </c>
      <c r="AQ6" s="1082">
        <v>398.0</v>
      </c>
      <c r="AR6" s="1081">
        <v>0.02189814814814815</v>
      </c>
      <c r="AS6" s="1082">
        <v>398.0</v>
      </c>
      <c r="AT6" s="1081">
        <v>2.975</v>
      </c>
      <c r="AU6" s="1082">
        <v>974770.0</v>
      </c>
      <c r="AV6" s="1081">
        <v>2.9590277777777776</v>
      </c>
      <c r="AW6" s="1082">
        <v>974770.0</v>
      </c>
      <c r="AX6" s="1081">
        <v>5.217361111111111</v>
      </c>
      <c r="AY6" s="1082">
        <v>3.2003E11</v>
      </c>
      <c r="AZ6" s="1124"/>
      <c r="BA6" s="1124"/>
      <c r="BB6" s="1083">
        <v>0.02189814814814815</v>
      </c>
      <c r="BC6" s="1084">
        <v>398.0</v>
      </c>
      <c r="BD6" s="1083">
        <v>0.02189814814814815</v>
      </c>
      <c r="BE6" s="1084">
        <v>398.0</v>
      </c>
      <c r="BF6" s="1083">
        <v>0.02189814814814815</v>
      </c>
      <c r="BG6" s="1084">
        <v>398.0</v>
      </c>
      <c r="BH6" s="1083">
        <v>0.17569444444444443</v>
      </c>
      <c r="BI6" s="1084">
        <v>90500.0</v>
      </c>
      <c r="BJ6" s="1083">
        <v>0.2972222222222222</v>
      </c>
      <c r="BK6" s="1084">
        <v>474530.0</v>
      </c>
      <c r="BL6" s="1083">
        <v>0.5236111111111111</v>
      </c>
      <c r="BM6" s="1084">
        <v>1170000.0</v>
      </c>
      <c r="BN6" s="1083">
        <v>0.5236111111111111</v>
      </c>
      <c r="BO6" s="1084">
        <v>1170000.0</v>
      </c>
      <c r="BP6" s="1083">
        <v>0.6465277777777778</v>
      </c>
      <c r="BQ6" s="1084">
        <v>1250000.0</v>
      </c>
      <c r="BR6" s="1083">
        <v>2.240972222222222</v>
      </c>
      <c r="BS6" s="1084">
        <v>2.33E9</v>
      </c>
      <c r="BT6" s="1085">
        <v>0.24930555555555556</v>
      </c>
      <c r="BU6" s="1086">
        <v>1.6E9</v>
      </c>
      <c r="BV6" s="1085">
        <v>2.0097222222222224</v>
      </c>
      <c r="BW6" s="1086">
        <v>2.61E9</v>
      </c>
      <c r="BX6" s="1085">
        <v>1.9430555555555553</v>
      </c>
      <c r="BY6" s="1086">
        <v>4.572E10</v>
      </c>
      <c r="BZ6" s="1085">
        <v>2.290277777777778</v>
      </c>
      <c r="CA6" s="1086">
        <v>5.472E10</v>
      </c>
      <c r="CB6" s="1085">
        <v>5.299305555555556</v>
      </c>
      <c r="CC6" s="1086">
        <v>4.558E11</v>
      </c>
      <c r="CD6" s="1083">
        <v>2.6430439814814815</v>
      </c>
      <c r="CE6" s="1087">
        <v>3.0141E11</v>
      </c>
      <c r="CF6" s="1083">
        <v>1.6249189814814815</v>
      </c>
      <c r="CG6" s="1087">
        <v>26700.0</v>
      </c>
      <c r="CH6" s="1088">
        <v>0.02189814814814815</v>
      </c>
      <c r="CI6" s="1089">
        <v>398.0</v>
      </c>
      <c r="CJ6" s="1088">
        <v>0.02189814814814815</v>
      </c>
      <c r="CK6" s="1089">
        <v>398.0</v>
      </c>
      <c r="CL6" s="1088">
        <v>0.02189814814814815</v>
      </c>
      <c r="CM6" s="1089">
        <v>398.0</v>
      </c>
      <c r="CN6" s="1088">
        <v>0.02189814814814815</v>
      </c>
      <c r="CO6" s="1089">
        <v>398.0</v>
      </c>
      <c r="CP6" s="1088">
        <v>0.03173611111111111</v>
      </c>
      <c r="CQ6" s="1089">
        <v>532.0</v>
      </c>
      <c r="CR6" s="1088">
        <v>0.18958333333333333</v>
      </c>
      <c r="CS6" s="1089">
        <v>4860.0</v>
      </c>
      <c r="CT6" s="1126"/>
      <c r="CU6" s="1125"/>
      <c r="CV6" s="1090">
        <v>3.3986111111111112</v>
      </c>
      <c r="CW6" s="1091">
        <v>3.533E10</v>
      </c>
      <c r="CX6" s="1090">
        <v>3.3986111111111112</v>
      </c>
      <c r="CY6" s="1091">
        <v>3.007E10</v>
      </c>
      <c r="CZ6" s="1090">
        <v>3.3986111111111112</v>
      </c>
      <c r="DA6" s="1091">
        <v>3.533E10</v>
      </c>
      <c r="DB6" s="1090">
        <v>1.7631944444444445</v>
      </c>
      <c r="DC6" s="1091">
        <v>1.43E9</v>
      </c>
      <c r="DD6" s="1090">
        <v>1.7631944444444445</v>
      </c>
      <c r="DE6" s="1091">
        <v>1.43E9</v>
      </c>
      <c r="DF6" s="1092">
        <v>1.2875</v>
      </c>
      <c r="DG6" s="1093">
        <v>1450000.0</v>
      </c>
      <c r="DH6" s="1124"/>
      <c r="DI6" s="1125"/>
      <c r="DJ6" s="1092">
        <v>2.0743055555555556</v>
      </c>
      <c r="DK6" s="1093">
        <v>2000000.0</v>
      </c>
      <c r="DL6" s="1092">
        <v>1.2875</v>
      </c>
      <c r="DM6" s="1093">
        <v>1450000.0</v>
      </c>
      <c r="DN6" s="1124"/>
      <c r="DO6" s="1125"/>
      <c r="DP6" s="1092">
        <v>1.2875</v>
      </c>
      <c r="DQ6" s="1093">
        <v>1450000.0</v>
      </c>
      <c r="DR6" s="1092">
        <v>1.2875</v>
      </c>
      <c r="DS6" s="1093">
        <v>1450000.0</v>
      </c>
      <c r="DT6" s="1124"/>
      <c r="DU6" s="1125"/>
      <c r="DV6" s="1092">
        <v>1.2875</v>
      </c>
      <c r="DW6" s="1093">
        <v>1450000.0</v>
      </c>
      <c r="DX6" s="1092">
        <v>1.2875</v>
      </c>
      <c r="DY6" s="1093">
        <v>1450000.0</v>
      </c>
      <c r="DZ6" s="1092">
        <v>2.745833333333333</v>
      </c>
      <c r="EA6" s="1093">
        <v>3550000.0</v>
      </c>
      <c r="EB6" s="1092">
        <v>2.745833333333333</v>
      </c>
      <c r="EC6" s="1093">
        <v>3550000.0</v>
      </c>
      <c r="ED6" s="1124"/>
      <c r="EE6" s="1125"/>
      <c r="EF6" s="1092">
        <v>1.9125</v>
      </c>
      <c r="EG6" s="1093">
        <v>2800000.0</v>
      </c>
      <c r="EH6" s="1092">
        <v>1.9125</v>
      </c>
      <c r="EI6" s="1093">
        <v>2800000.0</v>
      </c>
      <c r="EJ6" s="1092">
        <v>1.9128819444444445</v>
      </c>
      <c r="EK6" s="1093">
        <v>2800000.0</v>
      </c>
      <c r="EL6" s="1092">
        <v>1.9128819444444445</v>
      </c>
      <c r="EM6" s="1093">
        <v>2800000.0</v>
      </c>
      <c r="EN6" s="1092">
        <v>1.9125</v>
      </c>
      <c r="EO6" s="1093">
        <v>2800000.0</v>
      </c>
      <c r="EP6" s="1092">
        <v>1.9125</v>
      </c>
      <c r="EQ6" s="1093">
        <v>2800000.0</v>
      </c>
      <c r="ER6" s="1092">
        <v>1.9125</v>
      </c>
      <c r="ES6" s="1093">
        <v>2800000.0</v>
      </c>
      <c r="ET6" s="1092">
        <v>1.9125</v>
      </c>
      <c r="EU6" s="1093">
        <v>3200000.0</v>
      </c>
      <c r="EV6" s="1124"/>
      <c r="EW6" s="1125"/>
      <c r="EX6" s="1092">
        <v>3.6840277777777777</v>
      </c>
      <c r="EY6" s="1093">
        <v>5750000.0</v>
      </c>
      <c r="EZ6" s="1124"/>
      <c r="FA6" s="1127"/>
      <c r="FB6" s="1092">
        <v>2.745833333333333</v>
      </c>
      <c r="FC6" s="1093">
        <v>2.405E7</v>
      </c>
      <c r="FD6" s="1126"/>
      <c r="FE6" s="1125"/>
      <c r="FF6" s="1092">
        <v>2.745833333333333</v>
      </c>
      <c r="FG6" s="1094">
        <v>2.6627027E7</v>
      </c>
      <c r="FH6" s="1092">
        <v>2.745833333333333</v>
      </c>
      <c r="FI6" s="1094">
        <v>2.6627027E7</v>
      </c>
      <c r="FJ6" s="1092">
        <v>7.744918981481481</v>
      </c>
      <c r="FK6" s="1093">
        <v>2.02551351E8</v>
      </c>
      <c r="FL6" s="1124"/>
      <c r="FM6" s="1125"/>
      <c r="FN6" s="1095">
        <v>9.965613425925927</v>
      </c>
      <c r="FO6" s="1093">
        <v>2.0499999999999998E12</v>
      </c>
      <c r="FP6" s="1092">
        <v>11.707731481481481</v>
      </c>
      <c r="FQ6" s="1094">
        <v>3.375E11</v>
      </c>
      <c r="FR6" s="1096">
        <v>11.707731481481481</v>
      </c>
      <c r="FS6" s="1094">
        <v>3.375E11</v>
      </c>
      <c r="FT6" s="1092">
        <v>11.707731481481481</v>
      </c>
      <c r="FU6" s="1094">
        <v>3.375E11</v>
      </c>
      <c r="FV6" s="1092">
        <v>11.707731481481481</v>
      </c>
      <c r="FW6" s="1094">
        <v>3.375E11</v>
      </c>
      <c r="FX6" s="1097">
        <v>4.300879629629629</v>
      </c>
      <c r="FY6" s="1098">
        <v>3.38E9</v>
      </c>
      <c r="FZ6" s="1097">
        <v>11.707731481481481</v>
      </c>
      <c r="GA6" s="1098">
        <v>3.375E11</v>
      </c>
      <c r="GB6" s="1099">
        <v>16.44851851851852</v>
      </c>
      <c r="GC6" s="1098">
        <v>1.14E12</v>
      </c>
      <c r="GD6" s="1092">
        <v>66.66666666666667</v>
      </c>
      <c r="GE6" s="1094">
        <v>8.6E15</v>
      </c>
      <c r="GF6" s="1100">
        <v>3.4715277777777778</v>
      </c>
      <c r="GG6" s="1101">
        <v>7.5E7</v>
      </c>
      <c r="GH6" s="1100">
        <v>1.1208333333333333</v>
      </c>
      <c r="GI6" s="1101">
        <v>5830000.0</v>
      </c>
      <c r="GJ6" s="1124"/>
      <c r="GK6" s="1125"/>
      <c r="GL6" s="1124"/>
      <c r="GM6" s="1125"/>
      <c r="GN6" s="1126"/>
      <c r="GO6" s="1125"/>
      <c r="GP6" s="1102">
        <v>1.2875</v>
      </c>
      <c r="GQ6" s="1134">
        <v>5.33E9</v>
      </c>
      <c r="GR6" s="1104">
        <v>9.965613425925927</v>
      </c>
      <c r="GS6" s="1103">
        <v>2.0499999999999998E12</v>
      </c>
      <c r="GT6" s="1104">
        <v>9.965613425925927</v>
      </c>
      <c r="GU6" s="1103">
        <v>2.0499999999999998E12</v>
      </c>
      <c r="GV6" s="1104">
        <v>9.965613425925927</v>
      </c>
      <c r="GW6" s="1103">
        <v>2.0499999999999998E12</v>
      </c>
      <c r="GX6" s="1105">
        <v>52.083333333333336</v>
      </c>
      <c r="GY6" s="1106">
        <v>3.4E15</v>
      </c>
      <c r="GZ6" s="1124"/>
      <c r="HA6" s="1125"/>
      <c r="HB6" s="1107">
        <v>0.5236111111111111</v>
      </c>
      <c r="HC6" s="1108">
        <v>5260000.0</v>
      </c>
      <c r="HD6" s="1124"/>
      <c r="HE6" s="1125"/>
      <c r="HF6" s="1107">
        <v>0.5930555555555556</v>
      </c>
      <c r="HG6" s="1108">
        <v>7840000.0</v>
      </c>
      <c r="HH6" s="1124"/>
      <c r="HI6" s="1125"/>
      <c r="HJ6" s="1124"/>
      <c r="HK6" s="1125"/>
      <c r="HL6" s="1107">
        <v>20.832638888888887</v>
      </c>
      <c r="HM6" s="1108">
        <v>1.5E10</v>
      </c>
      <c r="HN6" s="1107">
        <v>2.8194444444444446</v>
      </c>
      <c r="HO6" s="1108">
        <v>9.1014E8</v>
      </c>
      <c r="HP6" s="1107">
        <v>2.769178240740741</v>
      </c>
      <c r="HQ6" s="1109">
        <v>4460000.0</v>
      </c>
      <c r="HR6" s="1128">
        <v>2.7041666666666666</v>
      </c>
      <c r="HS6" s="1129">
        <v>1.3215E8</v>
      </c>
      <c r="HT6" s="1128">
        <v>2.7041666666666666</v>
      </c>
      <c r="HU6" s="1129">
        <v>1.3215E8</v>
      </c>
      <c r="HV6" s="1128">
        <v>2.7041666666666666</v>
      </c>
      <c r="HW6" s="1129">
        <v>1.3215E8</v>
      </c>
      <c r="HX6" s="1130">
        <v>2.7041666666666666</v>
      </c>
      <c r="HY6" s="1129">
        <v>1.3215E8</v>
      </c>
      <c r="HZ6" s="1130">
        <v>69.3899074074074</v>
      </c>
      <c r="IA6" s="1129">
        <v>1.4513E14</v>
      </c>
      <c r="IB6" s="1130">
        <v>12.673946759259259</v>
      </c>
      <c r="IC6" s="1129">
        <v>3.375E11</v>
      </c>
      <c r="ID6" s="1130">
        <v>12.673946759259259</v>
      </c>
      <c r="IE6" s="1129">
        <v>3.375E11</v>
      </c>
      <c r="IF6" s="1130">
        <v>12.673946759259259</v>
      </c>
      <c r="IG6" s="1129">
        <v>3.375E11</v>
      </c>
      <c r="IH6" s="1113">
        <v>3.3986111111111112</v>
      </c>
      <c r="II6" s="1114">
        <v>8.033E10</v>
      </c>
      <c r="IJ6" s="1113">
        <v>3.3986111111111112</v>
      </c>
      <c r="IK6" s="1114">
        <v>8.033E10</v>
      </c>
      <c r="IL6" s="1113">
        <v>3.3986111111111112</v>
      </c>
      <c r="IM6" s="1114">
        <v>1.2033E11</v>
      </c>
      <c r="IN6" s="1113">
        <v>3.3986111111111112</v>
      </c>
      <c r="IO6" s="1114">
        <v>1.2033E11</v>
      </c>
      <c r="IP6" s="1113">
        <v>3.861111111111111</v>
      </c>
      <c r="IQ6" s="1114">
        <v>2.4033E11</v>
      </c>
      <c r="IR6" s="1113">
        <v>3.3986111111111112</v>
      </c>
      <c r="IS6" s="1114">
        <v>1.2033E11</v>
      </c>
      <c r="IT6" s="1113">
        <v>3.3986111111111112</v>
      </c>
      <c r="IU6" s="1114">
        <v>1.2033E11</v>
      </c>
      <c r="IV6" s="1113">
        <v>3.3986111111111112</v>
      </c>
      <c r="IW6" s="1114">
        <v>1.2033E11</v>
      </c>
      <c r="IX6" s="1113">
        <v>3.3986111111111112</v>
      </c>
      <c r="IY6" s="1114">
        <v>1.2033E11</v>
      </c>
      <c r="IZ6" s="1113">
        <v>3.3986111111111112</v>
      </c>
      <c r="JA6" s="1114">
        <v>1.6033E11</v>
      </c>
      <c r="JB6" s="1113">
        <v>3.3986111111111112</v>
      </c>
      <c r="JC6" s="1114">
        <v>1.6033E11</v>
      </c>
      <c r="JD6" s="1113">
        <v>3.3986111111111112</v>
      </c>
      <c r="JE6" s="1114">
        <v>1.6033E11</v>
      </c>
      <c r="JF6" s="1113">
        <v>3.3986111111111112</v>
      </c>
      <c r="JG6" s="1114">
        <v>1.6033E11</v>
      </c>
      <c r="JH6" s="1113">
        <v>3.861111111111111</v>
      </c>
      <c r="JI6" s="1114">
        <v>2.9033E11</v>
      </c>
      <c r="JJ6" s="1113">
        <v>43.197916666666664</v>
      </c>
      <c r="JK6" s="1115">
        <v>1.0E18</v>
      </c>
      <c r="JL6" s="1113">
        <v>43.197916666666664</v>
      </c>
      <c r="JM6" s="1115">
        <v>1.0E18</v>
      </c>
      <c r="JN6" s="1113">
        <v>43.197916666666664</v>
      </c>
      <c r="JO6" s="1115">
        <v>1.0E18</v>
      </c>
      <c r="JP6" s="1113">
        <v>43.197916666666664</v>
      </c>
      <c r="JQ6" s="1115">
        <v>1.0E18</v>
      </c>
      <c r="JR6" s="1113">
        <v>43.197916666666664</v>
      </c>
      <c r="JS6" s="1115">
        <v>1.0E18</v>
      </c>
      <c r="JT6" s="1113">
        <v>43.197916666666664</v>
      </c>
      <c r="JU6" s="1115">
        <v>1.0E18</v>
      </c>
      <c r="JV6" s="1113">
        <v>10.799305555555556</v>
      </c>
      <c r="JW6" s="1115">
        <v>2.744E12</v>
      </c>
      <c r="JX6" s="1116">
        <v>5.235578704</v>
      </c>
      <c r="JY6" s="1117">
        <v>2.827E8</v>
      </c>
      <c r="JZ6" s="1131">
        <v>1.499583333</v>
      </c>
      <c r="KA6" s="1132">
        <v>3.98E7</v>
      </c>
      <c r="KB6" s="1116">
        <v>1.504363426</v>
      </c>
      <c r="KC6" s="1120">
        <v>8.229E7</v>
      </c>
      <c r="KD6" s="1116">
        <v>5.746724537</v>
      </c>
      <c r="KE6" s="1120">
        <v>8.42E9</v>
      </c>
      <c r="KF6" s="1116">
        <v>5.746724537</v>
      </c>
      <c r="KG6" s="1120">
        <v>8.42E9</v>
      </c>
      <c r="KH6" s="1116">
        <v>10.09668981</v>
      </c>
      <c r="KI6" s="1120">
        <v>3.0683E11</v>
      </c>
      <c r="KJ6" s="1133"/>
      <c r="KK6" s="1133"/>
      <c r="KL6" s="1121">
        <v>359.33966435185187</v>
      </c>
      <c r="KM6" s="1120">
        <v>5.4736E14</v>
      </c>
      <c r="KN6" s="1121">
        <v>204.16666666666666</v>
      </c>
      <c r="KO6" s="1120">
        <v>5.0E16</v>
      </c>
      <c r="KP6" s="1121">
        <v>204.16666666666666</v>
      </c>
      <c r="KQ6" s="1120">
        <v>5.0E16</v>
      </c>
      <c r="KR6" s="1135"/>
      <c r="KS6" s="1136"/>
      <c r="KT6" s="1121">
        <v>125.0</v>
      </c>
      <c r="KU6" s="1120">
        <v>5.0E14</v>
      </c>
      <c r="KV6" s="1131">
        <v>43.197916666666664</v>
      </c>
      <c r="KW6" s="1132">
        <v>1.0E18</v>
      </c>
      <c r="KX6" s="1131">
        <v>43.197916666666664</v>
      </c>
      <c r="KY6" s="1132">
        <v>1.0E18</v>
      </c>
      <c r="KZ6" s="1131">
        <v>43.197916666666664</v>
      </c>
      <c r="LA6" s="1132">
        <v>1.0E18</v>
      </c>
      <c r="LB6" s="1131">
        <v>43.197916666666664</v>
      </c>
      <c r="LC6" s="1132">
        <v>1.0E18</v>
      </c>
      <c r="LD6" s="1131">
        <v>43.197916666666664</v>
      </c>
      <c r="LE6" s="1132">
        <v>1.0E18</v>
      </c>
      <c r="LF6" s="1131">
        <v>43.197916666666664</v>
      </c>
      <c r="LG6" s="1132">
        <v>1.0E18</v>
      </c>
      <c r="LH6" s="1131">
        <v>43.197916666666664</v>
      </c>
      <c r="LI6" s="1132">
        <v>1.0E18</v>
      </c>
      <c r="LJ6" s="1131">
        <v>43.197916666666664</v>
      </c>
      <c r="LK6" s="1132">
        <v>1.0E18</v>
      </c>
      <c r="LL6" s="1100">
        <v>66.66666666666667</v>
      </c>
      <c r="LM6" s="1101">
        <v>8.6E15</v>
      </c>
      <c r="LN6" s="1122">
        <v>53.99722222222222</v>
      </c>
      <c r="LO6" s="1101">
        <v>8.0E17</v>
      </c>
      <c r="LP6" s="1122">
        <v>53.99722222222222</v>
      </c>
      <c r="LQ6" s="1101">
        <v>8.0E17</v>
      </c>
      <c r="LR6" s="1122">
        <v>53.99722222222222</v>
      </c>
      <c r="LS6" s="1101">
        <v>8.0E17</v>
      </c>
      <c r="LT6" s="1122">
        <v>53.99722222222222</v>
      </c>
      <c r="LU6" s="1101">
        <v>8.0E17</v>
      </c>
      <c r="LV6" s="1122">
        <v>53.99722222222222</v>
      </c>
      <c r="LW6" s="1101">
        <v>8.0E17</v>
      </c>
      <c r="LX6" s="1122">
        <v>64.79652777777778</v>
      </c>
      <c r="LY6" s="1123">
        <v>2.0E18</v>
      </c>
      <c r="LZ6" s="1122">
        <v>64.79652777777778</v>
      </c>
      <c r="MA6" s="1123">
        <v>2.0E18</v>
      </c>
      <c r="MB6" s="1122">
        <v>64.79652777777778</v>
      </c>
      <c r="MC6" s="1123">
        <v>2.0E18</v>
      </c>
      <c r="MD6" s="1122">
        <v>64.79652777777778</v>
      </c>
      <c r="ME6" s="1123">
        <v>2.0E18</v>
      </c>
      <c r="MF6" s="1122">
        <v>59.397222222222226</v>
      </c>
      <c r="MG6" s="1123">
        <v>3.375E18</v>
      </c>
      <c r="MH6" s="1122">
        <v>59.397222222222226</v>
      </c>
      <c r="MI6" s="1123">
        <v>3.375E18</v>
      </c>
      <c r="MJ6" s="1122">
        <v>59.397222222222226</v>
      </c>
      <c r="MK6" s="1123">
        <v>3.375E18</v>
      </c>
      <c r="ML6" s="1122">
        <v>59.397222222222226</v>
      </c>
      <c r="MM6" s="1123">
        <v>3.375E18</v>
      </c>
      <c r="MN6" s="1122">
        <v>59.397222222222226</v>
      </c>
      <c r="MO6" s="1123">
        <v>3.375E18</v>
      </c>
      <c r="MP6" s="1122">
        <v>59.397222222222226</v>
      </c>
      <c r="MQ6" s="1123">
        <v>3.375E18</v>
      </c>
      <c r="MR6" s="1122">
        <v>80.45625</v>
      </c>
      <c r="MS6" s="1123">
        <v>1.6E19</v>
      </c>
      <c r="MT6" s="1122">
        <v>80.45625</v>
      </c>
      <c r="MU6" s="1123">
        <v>1.6E19</v>
      </c>
      <c r="MV6" s="1122">
        <v>80.45625</v>
      </c>
      <c r="MW6" s="1123">
        <v>1.6E19</v>
      </c>
      <c r="MX6" s="1122">
        <v>80.45625</v>
      </c>
      <c r="MY6" s="1123">
        <v>1.6E19</v>
      </c>
    </row>
    <row r="7">
      <c r="A7" s="1071">
        <v>5.0</v>
      </c>
      <c r="B7" s="1072">
        <v>3.81875</v>
      </c>
      <c r="C7" s="1073">
        <v>150000.0</v>
      </c>
      <c r="D7" s="1072">
        <v>0.036631944444444446</v>
      </c>
      <c r="E7" s="1073">
        <v>772.0</v>
      </c>
      <c r="F7" s="1072">
        <v>0.036631944444444446</v>
      </c>
      <c r="G7" s="1074">
        <v>772.0</v>
      </c>
      <c r="H7" s="1072">
        <v>0.036631944444444446</v>
      </c>
      <c r="I7" s="1073">
        <v>772.0</v>
      </c>
      <c r="J7" s="1072">
        <v>0.036631944444444446</v>
      </c>
      <c r="K7" s="1073">
        <v>772.0</v>
      </c>
      <c r="L7" s="1072">
        <v>0.050694444444444445</v>
      </c>
      <c r="M7" s="1075">
        <v>1100.0</v>
      </c>
      <c r="N7" s="1076">
        <v>0.04722222222222222</v>
      </c>
      <c r="O7" s="1073">
        <v>1120.0</v>
      </c>
      <c r="P7" s="1124"/>
      <c r="Q7" s="1125"/>
      <c r="R7" s="1124"/>
      <c r="S7" s="1125"/>
      <c r="T7" s="1124"/>
      <c r="U7" s="1125"/>
      <c r="V7" s="1124"/>
      <c r="W7" s="1125"/>
      <c r="X7" s="1124"/>
      <c r="Y7" s="1125"/>
      <c r="Z7" s="1124"/>
      <c r="AA7" s="1125"/>
      <c r="AB7" s="1124"/>
      <c r="AC7" s="1125"/>
      <c r="AD7" s="1072">
        <v>5.399305555555555</v>
      </c>
      <c r="AE7" s="1080">
        <v>2.8561E9</v>
      </c>
      <c r="AF7" s="1072">
        <v>5.399305555555555</v>
      </c>
      <c r="AG7" s="1080">
        <v>2.8561E9</v>
      </c>
      <c r="AH7" s="1072">
        <v>5.399305555555555</v>
      </c>
      <c r="AI7" s="1080">
        <v>2.8561E9</v>
      </c>
      <c r="AJ7" s="1081">
        <v>0.036631944444444446</v>
      </c>
      <c r="AK7" s="1082">
        <v>772.0</v>
      </c>
      <c r="AL7" s="1081">
        <v>0.036631944444444446</v>
      </c>
      <c r="AM7" s="1082">
        <v>772.0</v>
      </c>
      <c r="AN7" s="1081">
        <v>0.036631944444444446</v>
      </c>
      <c r="AO7" s="1082">
        <v>772.0</v>
      </c>
      <c r="AP7" s="1081">
        <v>0.036631944444444446</v>
      </c>
      <c r="AQ7" s="1082">
        <v>772.0</v>
      </c>
      <c r="AR7" s="1081">
        <v>0.036689814814814814</v>
      </c>
      <c r="AS7" s="1082">
        <v>782.0</v>
      </c>
      <c r="AT7" s="1081">
        <v>3.745833333333333</v>
      </c>
      <c r="AU7" s="1082">
        <v>1680000.0</v>
      </c>
      <c r="AV7" s="1081">
        <v>3.6791666666666667</v>
      </c>
      <c r="AW7" s="1082">
        <v>1680000.0</v>
      </c>
      <c r="AX7" s="1081">
        <v>5.803472222222222</v>
      </c>
      <c r="AY7" s="1082">
        <v>3.601E11</v>
      </c>
      <c r="AZ7" s="1124"/>
      <c r="BA7" s="1124"/>
      <c r="BB7" s="1083">
        <v>0.036631944444444446</v>
      </c>
      <c r="BC7" s="1084">
        <v>772.0</v>
      </c>
      <c r="BD7" s="1083">
        <v>0.036631944444444446</v>
      </c>
      <c r="BE7" s="1084">
        <v>772.0</v>
      </c>
      <c r="BF7" s="1083">
        <v>0.036631944444444446</v>
      </c>
      <c r="BG7" s="1084">
        <v>772.0</v>
      </c>
      <c r="BH7" s="1083">
        <v>0.2590277777777778</v>
      </c>
      <c r="BI7" s="1084">
        <v>267000.0</v>
      </c>
      <c r="BJ7" s="1083">
        <v>0.4236111111111111</v>
      </c>
      <c r="BK7" s="1084">
        <v>1500000.0</v>
      </c>
      <c r="BL7" s="1083">
        <v>0.7284722222222222</v>
      </c>
      <c r="BM7" s="1084">
        <v>3930000.0</v>
      </c>
      <c r="BN7" s="1083">
        <v>0.7284722222222222</v>
      </c>
      <c r="BO7" s="1084">
        <v>3930000.0</v>
      </c>
      <c r="BP7" s="1083">
        <v>0.8909722222222223</v>
      </c>
      <c r="BQ7" s="1084">
        <v>4020000.0</v>
      </c>
      <c r="BR7" s="1083">
        <v>2.665277777777778</v>
      </c>
      <c r="BS7" s="1084">
        <v>3.37E9</v>
      </c>
      <c r="BT7" s="1085">
        <v>0.26319444444444445</v>
      </c>
      <c r="BU7" s="1086">
        <v>1.81E9</v>
      </c>
      <c r="BV7" s="1085">
        <v>2.5493055555555553</v>
      </c>
      <c r="BW7" s="1086">
        <v>3.04E9</v>
      </c>
      <c r="BX7" s="1085">
        <v>2.397222222222222</v>
      </c>
      <c r="BY7" s="1086">
        <v>5.121E10</v>
      </c>
      <c r="BZ7" s="1085">
        <v>2.8604166666666666</v>
      </c>
      <c r="CA7" s="1086">
        <v>6.321E10</v>
      </c>
      <c r="CB7" s="1085">
        <v>6.101388888888889</v>
      </c>
      <c r="CC7" s="1086">
        <v>5.0919E11</v>
      </c>
      <c r="CD7" s="1083">
        <v>2.7656828703703704</v>
      </c>
      <c r="CE7" s="1087">
        <v>3.0328E11</v>
      </c>
      <c r="CF7" s="1083">
        <v>1.920787037037037</v>
      </c>
      <c r="CG7" s="1087">
        <v>50900.0</v>
      </c>
      <c r="CH7" s="1088">
        <v>0.036689814814814814</v>
      </c>
      <c r="CI7" s="1089">
        <v>782.0</v>
      </c>
      <c r="CJ7" s="1088">
        <v>0.036689814814814814</v>
      </c>
      <c r="CK7" s="1089">
        <v>782.0</v>
      </c>
      <c r="CL7" s="1088">
        <v>0.036689814814814814</v>
      </c>
      <c r="CM7" s="1089">
        <v>782.0</v>
      </c>
      <c r="CN7" s="1088">
        <v>0.036689814814814814</v>
      </c>
      <c r="CO7" s="1089">
        <v>782.0</v>
      </c>
      <c r="CP7" s="1088">
        <v>0.05277777777777778</v>
      </c>
      <c r="CQ7" s="1089">
        <v>1130.0</v>
      </c>
      <c r="CR7" s="1088">
        <v>0.4041666666666667</v>
      </c>
      <c r="CS7" s="1089">
        <v>10330.0</v>
      </c>
      <c r="CT7" s="1126"/>
      <c r="CU7" s="1125"/>
      <c r="CV7" s="1090">
        <v>3.822222222222222</v>
      </c>
      <c r="CW7" s="1091">
        <v>4.097E10</v>
      </c>
      <c r="CX7" s="1090">
        <v>3.822222222222222</v>
      </c>
      <c r="CY7" s="1091">
        <v>4.097E10</v>
      </c>
      <c r="CZ7" s="1090">
        <v>3.822222222222222</v>
      </c>
      <c r="DA7" s="1091">
        <v>4.097E10</v>
      </c>
      <c r="DB7" s="1090">
        <v>2.151388888888889</v>
      </c>
      <c r="DC7" s="1091">
        <v>1.94E9</v>
      </c>
      <c r="DD7" s="1090">
        <v>2.151388888888889</v>
      </c>
      <c r="DE7" s="1091">
        <v>1.94E9</v>
      </c>
      <c r="DF7" s="1092">
        <v>1.492361111111111</v>
      </c>
      <c r="DG7" s="1093">
        <v>4230000.0</v>
      </c>
      <c r="DH7" s="1124"/>
      <c r="DI7" s="1125"/>
      <c r="DJ7" s="1092">
        <v>2.279166666666667</v>
      </c>
      <c r="DK7" s="1093">
        <v>4780000.0</v>
      </c>
      <c r="DL7" s="1092">
        <v>1.492361111111111</v>
      </c>
      <c r="DM7" s="1093">
        <v>4230000.0</v>
      </c>
      <c r="DN7" s="1124"/>
      <c r="DO7" s="1125"/>
      <c r="DP7" s="1092">
        <v>1.492361111111111</v>
      </c>
      <c r="DQ7" s="1093">
        <v>4230000.0</v>
      </c>
      <c r="DR7" s="1092">
        <v>1.492361111111111</v>
      </c>
      <c r="DS7" s="1093">
        <v>4230000.0</v>
      </c>
      <c r="DT7" s="1124"/>
      <c r="DU7" s="1125"/>
      <c r="DV7" s="1092">
        <v>1.492361111111111</v>
      </c>
      <c r="DW7" s="1093">
        <v>4230000.0</v>
      </c>
      <c r="DX7" s="1092">
        <v>1.492361111111111</v>
      </c>
      <c r="DY7" s="1093">
        <v>4230000.0</v>
      </c>
      <c r="DZ7" s="1092">
        <v>3.1590277777777778</v>
      </c>
      <c r="EA7" s="1093">
        <v>8500000.0</v>
      </c>
      <c r="EB7" s="1092">
        <v>3.1590277777777778</v>
      </c>
      <c r="EC7" s="1093">
        <v>8500000.0</v>
      </c>
      <c r="ED7" s="1124"/>
      <c r="EE7" s="1125"/>
      <c r="EF7" s="1092">
        <v>2.3256944444444443</v>
      </c>
      <c r="EG7" s="1093">
        <v>7750000.0</v>
      </c>
      <c r="EH7" s="1092">
        <v>2.3256944444444443</v>
      </c>
      <c r="EI7" s="1093">
        <v>7750000.0</v>
      </c>
      <c r="EJ7" s="1092">
        <v>2.3259143518518517</v>
      </c>
      <c r="EK7" s="1093">
        <v>7750000.0</v>
      </c>
      <c r="EL7" s="1092">
        <v>2.3259143518518517</v>
      </c>
      <c r="EM7" s="1093">
        <v>7750000.0</v>
      </c>
      <c r="EN7" s="1092">
        <v>2.3256944444444443</v>
      </c>
      <c r="EO7" s="1093">
        <v>7750000.0</v>
      </c>
      <c r="EP7" s="1092">
        <v>2.3256944444444443</v>
      </c>
      <c r="EQ7" s="1093">
        <v>7750000.0</v>
      </c>
      <c r="ER7" s="1092">
        <v>2.3256944444444443</v>
      </c>
      <c r="ES7" s="1093">
        <v>7750000.0</v>
      </c>
      <c r="ET7" s="1092">
        <v>2.3256944444444443</v>
      </c>
      <c r="EU7" s="1093">
        <v>8200000.0</v>
      </c>
      <c r="EV7" s="1124"/>
      <c r="EW7" s="1125"/>
      <c r="EX7" s="1092">
        <v>4.775</v>
      </c>
      <c r="EY7" s="1093">
        <v>1.39E7</v>
      </c>
      <c r="EZ7" s="1124"/>
      <c r="FA7" s="1127"/>
      <c r="FB7" s="1092">
        <v>3.1590277777777778</v>
      </c>
      <c r="FC7" s="1093">
        <v>2.95E7</v>
      </c>
      <c r="FD7" s="1126"/>
      <c r="FE7" s="1125"/>
      <c r="FF7" s="1092">
        <v>3.1590277777777778</v>
      </c>
      <c r="FG7" s="1094">
        <v>3.5837838E7</v>
      </c>
      <c r="FH7" s="1092">
        <v>3.1590277777777778</v>
      </c>
      <c r="FI7" s="1094">
        <v>3.5837838E7</v>
      </c>
      <c r="FJ7" s="1092">
        <v>8.158587962962963</v>
      </c>
      <c r="FK7" s="1093">
        <v>2.07502703E8</v>
      </c>
      <c r="FL7" s="1124"/>
      <c r="FM7" s="1125"/>
      <c r="FN7" s="1095">
        <v>14.082395833333333</v>
      </c>
      <c r="FO7" s="1093">
        <v>2.56E12</v>
      </c>
      <c r="FP7" s="1092">
        <v>13.112650462962963</v>
      </c>
      <c r="FQ7" s="1094">
        <v>5.0625E11</v>
      </c>
      <c r="FR7" s="1096">
        <v>13.112650462962963</v>
      </c>
      <c r="FS7" s="1094">
        <v>5.0625E11</v>
      </c>
      <c r="FT7" s="1092">
        <v>13.112650462962963</v>
      </c>
      <c r="FU7" s="1094">
        <v>5.0625E11</v>
      </c>
      <c r="FV7" s="1092">
        <v>13.112650462962963</v>
      </c>
      <c r="FW7" s="1094">
        <v>5.0625E11</v>
      </c>
      <c r="FX7" s="1097">
        <v>5.084780092592593</v>
      </c>
      <c r="FY7" s="1098">
        <v>5.06E9</v>
      </c>
      <c r="FZ7" s="1097">
        <v>13.112650462962963</v>
      </c>
      <c r="GA7" s="1098">
        <v>5.0625E11</v>
      </c>
      <c r="GB7" s="1099">
        <v>20.633020833333333</v>
      </c>
      <c r="GC7" s="1098">
        <v>2.56E12</v>
      </c>
      <c r="GD7" s="1092">
        <v>83.33333333333333</v>
      </c>
      <c r="GE7" s="1094">
        <v>1.77E16</v>
      </c>
      <c r="GF7" s="1124"/>
      <c r="GG7" s="1125"/>
      <c r="GH7" s="1100">
        <v>1.5340277777777778</v>
      </c>
      <c r="GI7" s="1101">
        <v>1.394E7</v>
      </c>
      <c r="GJ7" s="1124"/>
      <c r="GK7" s="1125"/>
      <c r="GL7" s="1124"/>
      <c r="GM7" s="1125"/>
      <c r="GN7" s="1126"/>
      <c r="GO7" s="1125"/>
      <c r="GP7" s="1102">
        <v>1.7006944444444443</v>
      </c>
      <c r="GQ7" s="1134">
        <v>6.97E9</v>
      </c>
      <c r="GR7" s="1104">
        <v>14.082395833333333</v>
      </c>
      <c r="GS7" s="1103">
        <v>2.56E12</v>
      </c>
      <c r="GT7" s="1104">
        <v>14.082395833333333</v>
      </c>
      <c r="GU7" s="1103">
        <v>2.56E12</v>
      </c>
      <c r="GV7" s="1104">
        <v>14.082395833333333</v>
      </c>
      <c r="GW7" s="1103">
        <v>2.56E12</v>
      </c>
      <c r="GX7" s="1105">
        <v>62.5</v>
      </c>
      <c r="GY7" s="1106">
        <v>5.6E15</v>
      </c>
      <c r="GZ7" s="1124"/>
      <c r="HA7" s="1125"/>
      <c r="HB7" s="1107">
        <v>0.7284722222222222</v>
      </c>
      <c r="HC7" s="1108">
        <v>2.098E7</v>
      </c>
      <c r="HD7" s="1124"/>
      <c r="HE7" s="1125"/>
      <c r="HF7" s="1107">
        <v>0.8208333333333333</v>
      </c>
      <c r="HG7" s="1108">
        <v>3.142E7</v>
      </c>
      <c r="HH7" s="1124"/>
      <c r="HI7" s="1125"/>
      <c r="HJ7" s="1124"/>
      <c r="HK7" s="1125"/>
      <c r="HL7" s="1137">
        <v>41.666666666666664</v>
      </c>
      <c r="HM7" s="1108">
        <v>1.0E11</v>
      </c>
      <c r="HN7" s="1107">
        <v>3.475</v>
      </c>
      <c r="HO7" s="1108">
        <v>1.05E9</v>
      </c>
      <c r="HP7" s="1107">
        <v>3.1746064814814816</v>
      </c>
      <c r="HQ7" s="1109">
        <v>1.566E7</v>
      </c>
      <c r="HR7" s="1128">
        <v>3.1277777777777778</v>
      </c>
      <c r="HS7" s="1129">
        <v>2.012E8</v>
      </c>
      <c r="HT7" s="1128">
        <v>3.1277777777777778</v>
      </c>
      <c r="HU7" s="1129">
        <v>2.012E8</v>
      </c>
      <c r="HV7" s="1128">
        <v>3.1277777777777778</v>
      </c>
      <c r="HW7" s="1129">
        <v>2.012E8</v>
      </c>
      <c r="HX7" s="1130">
        <v>3.1277777777777778</v>
      </c>
      <c r="HY7" s="1129">
        <v>2.012E8</v>
      </c>
      <c r="HZ7" s="1130">
        <v>79.7983912037037</v>
      </c>
      <c r="IA7" s="1129">
        <v>2.1769E14</v>
      </c>
      <c r="IB7" s="1130">
        <v>14.575046296296296</v>
      </c>
      <c r="IC7" s="1129">
        <v>5.0625E11</v>
      </c>
      <c r="ID7" s="1130">
        <v>14.575046296296296</v>
      </c>
      <c r="IE7" s="1129">
        <v>5.0625E11</v>
      </c>
      <c r="IF7" s="1130">
        <v>14.575046296296296</v>
      </c>
      <c r="IG7" s="1129">
        <v>5.0625E11</v>
      </c>
      <c r="IH7" s="1113">
        <v>3.822222222222222</v>
      </c>
      <c r="II7" s="1114">
        <v>1.0097E11</v>
      </c>
      <c r="IJ7" s="1113">
        <v>3.822222222222222</v>
      </c>
      <c r="IK7" s="1114">
        <v>1.0097E11</v>
      </c>
      <c r="IL7" s="1113">
        <v>3.822222222222222</v>
      </c>
      <c r="IM7" s="1114">
        <v>1.5097E11</v>
      </c>
      <c r="IN7" s="1113">
        <v>3.822222222222222</v>
      </c>
      <c r="IO7" s="1114">
        <v>1.5097E11</v>
      </c>
      <c r="IP7" s="1113">
        <v>4.285416666666666</v>
      </c>
      <c r="IQ7" s="1114">
        <v>3.0097E11</v>
      </c>
      <c r="IR7" s="1113">
        <v>3.822222222222222</v>
      </c>
      <c r="IS7" s="1114">
        <v>1.5097E11</v>
      </c>
      <c r="IT7" s="1113">
        <v>3.822222222222222</v>
      </c>
      <c r="IU7" s="1114">
        <v>1.5097E11</v>
      </c>
      <c r="IV7" s="1113">
        <v>3.822222222222222</v>
      </c>
      <c r="IW7" s="1114">
        <v>1.5097E11</v>
      </c>
      <c r="IX7" s="1113">
        <v>3.822222222222222</v>
      </c>
      <c r="IY7" s="1114">
        <v>1.5097E11</v>
      </c>
      <c r="IZ7" s="1113">
        <v>3.822222222222222</v>
      </c>
      <c r="JA7" s="1114">
        <v>2.0097E11</v>
      </c>
      <c r="JB7" s="1113">
        <v>3.822222222222222</v>
      </c>
      <c r="JC7" s="1114">
        <v>2.0097E11</v>
      </c>
      <c r="JD7" s="1113">
        <v>3.822222222222222</v>
      </c>
      <c r="JE7" s="1114">
        <v>2.0097E11</v>
      </c>
      <c r="JF7" s="1113">
        <v>3.822222222222222</v>
      </c>
      <c r="JG7" s="1114">
        <v>2.0097E11</v>
      </c>
      <c r="JH7" s="1113">
        <v>4.285416666666666</v>
      </c>
      <c r="JI7" s="1114">
        <v>3.6097E11</v>
      </c>
      <c r="JJ7" s="1113">
        <v>53.99722222222222</v>
      </c>
      <c r="JK7" s="1115">
        <v>1.25E18</v>
      </c>
      <c r="JL7" s="1113">
        <v>53.99722222222222</v>
      </c>
      <c r="JM7" s="1115">
        <v>1.25E18</v>
      </c>
      <c r="JN7" s="1113">
        <v>53.99722222222222</v>
      </c>
      <c r="JO7" s="1115">
        <v>1.25E18</v>
      </c>
      <c r="JP7" s="1113">
        <v>53.99722222222222</v>
      </c>
      <c r="JQ7" s="1115">
        <v>1.25E18</v>
      </c>
      <c r="JR7" s="1113">
        <v>53.99722222222222</v>
      </c>
      <c r="JS7" s="1115">
        <v>1.25E18</v>
      </c>
      <c r="JT7" s="1113">
        <v>53.99722222222222</v>
      </c>
      <c r="JU7" s="1115">
        <v>1.25E18</v>
      </c>
      <c r="JV7" s="1113">
        <v>13.499305555555555</v>
      </c>
      <c r="JW7" s="1115">
        <v>3.8416E12</v>
      </c>
      <c r="JX7" s="1116">
        <v>5.623969907</v>
      </c>
      <c r="JY7" s="1117">
        <v>6.1003E8</v>
      </c>
      <c r="JZ7" s="1131">
        <v>1.539050926</v>
      </c>
      <c r="KA7" s="1132">
        <v>8.543E7</v>
      </c>
      <c r="KB7" s="1116">
        <v>1.550347222</v>
      </c>
      <c r="KC7" s="1120">
        <v>1.9232E8</v>
      </c>
      <c r="KD7" s="1116">
        <v>5.942071759</v>
      </c>
      <c r="KE7" s="1120">
        <v>1.352E10</v>
      </c>
      <c r="KF7" s="1116">
        <v>5.942071759</v>
      </c>
      <c r="KG7" s="1120">
        <v>1.352E10</v>
      </c>
      <c r="KH7" s="1116">
        <v>10.60082176</v>
      </c>
      <c r="KI7" s="1120">
        <v>7.14E11</v>
      </c>
      <c r="KJ7" s="1133"/>
      <c r="KK7" s="1133"/>
      <c r="KL7" s="1121">
        <v>523.2604513888889</v>
      </c>
      <c r="KM7" s="1120">
        <v>1.19E15</v>
      </c>
      <c r="KN7" s="1135"/>
      <c r="KO7" s="1136"/>
      <c r="KP7" s="1135"/>
      <c r="KQ7" s="1136"/>
      <c r="KR7" s="1135"/>
      <c r="KS7" s="1136"/>
      <c r="KT7" s="1121">
        <v>162.5</v>
      </c>
      <c r="KU7" s="1120">
        <v>5.0E15</v>
      </c>
      <c r="KV7" s="1131">
        <v>53.99722222222222</v>
      </c>
      <c r="KW7" s="1132">
        <v>1.25E18</v>
      </c>
      <c r="KX7" s="1131">
        <v>53.99722222222222</v>
      </c>
      <c r="KY7" s="1132">
        <v>1.25E18</v>
      </c>
      <c r="KZ7" s="1131">
        <v>53.99722222222222</v>
      </c>
      <c r="LA7" s="1132">
        <v>1.25E18</v>
      </c>
      <c r="LB7" s="1131">
        <v>53.99722222222222</v>
      </c>
      <c r="LC7" s="1132">
        <v>1.25E18</v>
      </c>
      <c r="LD7" s="1131">
        <v>53.99722222222222</v>
      </c>
      <c r="LE7" s="1132">
        <v>1.25E18</v>
      </c>
      <c r="LF7" s="1131">
        <v>53.99722222222222</v>
      </c>
      <c r="LG7" s="1132">
        <v>1.25E18</v>
      </c>
      <c r="LH7" s="1131">
        <v>53.99722222222222</v>
      </c>
      <c r="LI7" s="1132">
        <v>1.25E18</v>
      </c>
      <c r="LJ7" s="1131">
        <v>53.99722222222222</v>
      </c>
      <c r="LK7" s="1132">
        <v>1.25E18</v>
      </c>
      <c r="LL7" s="1100">
        <v>83.33333333333333</v>
      </c>
      <c r="LM7" s="1101">
        <v>1.77E16</v>
      </c>
      <c r="LN7" s="1122">
        <v>67.49652777777777</v>
      </c>
      <c r="LO7" s="1101">
        <v>1.0E18</v>
      </c>
      <c r="LP7" s="1122">
        <v>67.49652777777777</v>
      </c>
      <c r="LQ7" s="1101">
        <v>1.0E18</v>
      </c>
      <c r="LR7" s="1122">
        <v>67.49652777777777</v>
      </c>
      <c r="LS7" s="1101">
        <v>1.0E18</v>
      </c>
      <c r="LT7" s="1122">
        <v>67.49652777777777</v>
      </c>
      <c r="LU7" s="1101">
        <v>1.0E18</v>
      </c>
      <c r="LV7" s="1122">
        <v>67.49652777777777</v>
      </c>
      <c r="LW7" s="1101">
        <v>1.0E18</v>
      </c>
      <c r="LX7" s="1122">
        <v>80.99583333333334</v>
      </c>
      <c r="LY7" s="1123">
        <v>2.5E18</v>
      </c>
      <c r="LZ7" s="1122">
        <v>80.99583333333334</v>
      </c>
      <c r="MA7" s="1123">
        <v>2.5E18</v>
      </c>
      <c r="MB7" s="1122">
        <v>80.99583333333334</v>
      </c>
      <c r="MC7" s="1123">
        <v>2.5E18</v>
      </c>
      <c r="MD7" s="1122">
        <v>80.99583333333334</v>
      </c>
      <c r="ME7" s="1123">
        <v>2.5E18</v>
      </c>
      <c r="MF7" s="1122">
        <v>70.19652777777777</v>
      </c>
      <c r="MG7" s="1123">
        <v>5.0625E18</v>
      </c>
      <c r="MH7" s="1122">
        <v>70.19652777777777</v>
      </c>
      <c r="MI7" s="1123">
        <v>5.0625E18</v>
      </c>
      <c r="MJ7" s="1122">
        <v>70.19652777777777</v>
      </c>
      <c r="MK7" s="1123">
        <v>5.0625E18</v>
      </c>
      <c r="ML7" s="1122">
        <v>70.19652777777777</v>
      </c>
      <c r="MM7" s="1123">
        <v>5.0625E18</v>
      </c>
      <c r="MN7" s="1122">
        <v>70.19652777777777</v>
      </c>
      <c r="MO7" s="1123">
        <v>5.0625E18</v>
      </c>
      <c r="MP7" s="1122">
        <v>70.19652777777777</v>
      </c>
      <c r="MQ7" s="1123">
        <v>5.0625E18</v>
      </c>
      <c r="MR7" s="1122">
        <v>98.275</v>
      </c>
      <c r="MS7" s="1123">
        <v>3.2E19</v>
      </c>
      <c r="MT7" s="1122">
        <v>98.275</v>
      </c>
      <c r="MU7" s="1123">
        <v>3.2E19</v>
      </c>
      <c r="MV7" s="1122">
        <v>98.275</v>
      </c>
      <c r="MW7" s="1123">
        <v>3.2E19</v>
      </c>
      <c r="MX7" s="1122">
        <v>98.275</v>
      </c>
      <c r="MY7" s="1123">
        <v>3.2E19</v>
      </c>
    </row>
    <row r="8">
      <c r="A8" s="1071">
        <v>6.0</v>
      </c>
      <c r="B8" s="1072">
        <v>14.073611111111111</v>
      </c>
      <c r="C8" s="1073">
        <v>500000.0</v>
      </c>
      <c r="D8" s="1072">
        <v>0.05555555555555555</v>
      </c>
      <c r="E8" s="1073">
        <v>1340.0</v>
      </c>
      <c r="F8" s="1072">
        <v>0.05555555555555555</v>
      </c>
      <c r="G8" s="1074">
        <v>1340.0</v>
      </c>
      <c r="H8" s="1072">
        <v>0.05555555555555555</v>
      </c>
      <c r="I8" s="1073">
        <v>1340.0</v>
      </c>
      <c r="J8" s="1072">
        <v>0.05555555555555555</v>
      </c>
      <c r="K8" s="1073">
        <v>1340.0</v>
      </c>
      <c r="L8" s="1072">
        <v>0.07777777777777778</v>
      </c>
      <c r="M8" s="1075">
        <v>2070.0</v>
      </c>
      <c r="N8" s="1076">
        <v>0.07083333333333333</v>
      </c>
      <c r="O8" s="1073">
        <v>2100.0</v>
      </c>
      <c r="P8" s="1124"/>
      <c r="Q8" s="1125"/>
      <c r="R8" s="1124"/>
      <c r="S8" s="1125"/>
      <c r="T8" s="1124"/>
      <c r="U8" s="1125"/>
      <c r="V8" s="1124"/>
      <c r="W8" s="1125"/>
      <c r="X8" s="1124"/>
      <c r="Y8" s="1125"/>
      <c r="Z8" s="1124"/>
      <c r="AA8" s="1125"/>
      <c r="AB8" s="1124"/>
      <c r="AC8" s="1125"/>
      <c r="AD8" s="1072">
        <v>6.479166666666667</v>
      </c>
      <c r="AE8" s="1080">
        <v>3.71293E9</v>
      </c>
      <c r="AF8" s="1072">
        <v>6.479166666666667</v>
      </c>
      <c r="AG8" s="1080">
        <v>3.71293E9</v>
      </c>
      <c r="AH8" s="1072">
        <v>6.479166666666667</v>
      </c>
      <c r="AI8" s="1080">
        <v>3.71293E9</v>
      </c>
      <c r="AJ8" s="1081">
        <v>0.05555555555555555</v>
      </c>
      <c r="AK8" s="1082">
        <v>1340.0</v>
      </c>
      <c r="AL8" s="1081">
        <v>0.05555555555555555</v>
      </c>
      <c r="AM8" s="1082">
        <v>1340.0</v>
      </c>
      <c r="AN8" s="1081">
        <v>0.05555555555555555</v>
      </c>
      <c r="AO8" s="1082">
        <v>1340.0</v>
      </c>
      <c r="AP8" s="1081">
        <v>0.05555555555555555</v>
      </c>
      <c r="AQ8" s="1082">
        <v>1340.0</v>
      </c>
      <c r="AR8" s="1081">
        <v>0.05555555555555555</v>
      </c>
      <c r="AS8" s="1082">
        <v>1350.0</v>
      </c>
      <c r="AT8" s="1081">
        <v>4.749305555555556</v>
      </c>
      <c r="AU8" s="1082">
        <v>3130000.0</v>
      </c>
      <c r="AV8" s="1081">
        <v>4.5569444444444445</v>
      </c>
      <c r="AW8" s="1082">
        <v>3130000.0</v>
      </c>
      <c r="AX8" s="1081">
        <v>6.393055555555556</v>
      </c>
      <c r="AY8" s="1082">
        <v>4.0023E11</v>
      </c>
      <c r="AZ8" s="1124"/>
      <c r="BA8" s="1124"/>
      <c r="BB8" s="1083">
        <v>0.05555555555555555</v>
      </c>
      <c r="BC8" s="1084">
        <v>1340.0</v>
      </c>
      <c r="BD8" s="1083">
        <v>0.05555555555555555</v>
      </c>
      <c r="BE8" s="1084">
        <v>1340.0</v>
      </c>
      <c r="BF8" s="1083">
        <v>0.05555555555555555</v>
      </c>
      <c r="BG8" s="1084">
        <v>1340.0</v>
      </c>
      <c r="BH8" s="1083">
        <v>0.37916666666666665</v>
      </c>
      <c r="BI8" s="1084">
        <v>637500.0</v>
      </c>
      <c r="BJ8" s="1083">
        <v>0.5951388888888889</v>
      </c>
      <c r="BK8" s="1084">
        <v>3700000.0</v>
      </c>
      <c r="BL8" s="1083">
        <v>0.9902777777777778</v>
      </c>
      <c r="BM8" s="1084">
        <v>1.018E7</v>
      </c>
      <c r="BN8" s="1083">
        <v>0.9902777777777778</v>
      </c>
      <c r="BO8" s="1084">
        <v>1.018E7</v>
      </c>
      <c r="BP8" s="1083">
        <v>1.2138888888888888</v>
      </c>
      <c r="BQ8" s="1084">
        <v>1.027E7</v>
      </c>
      <c r="BR8" s="1083">
        <v>3.1590277777777778</v>
      </c>
      <c r="BS8" s="1084">
        <v>5.06E9</v>
      </c>
      <c r="BT8" s="1085">
        <v>0.28125</v>
      </c>
      <c r="BU8" s="1086">
        <v>2.02E9</v>
      </c>
      <c r="BV8" s="1085">
        <v>3.1590277777777778</v>
      </c>
      <c r="BW8" s="1086">
        <v>3.55E9</v>
      </c>
      <c r="BX8" s="1085">
        <v>3.1354166666666665</v>
      </c>
      <c r="BY8" s="1086">
        <v>5.681E10</v>
      </c>
      <c r="BZ8" s="1085">
        <v>3.713888888888889</v>
      </c>
      <c r="CA8" s="1086">
        <v>7.181E10</v>
      </c>
      <c r="CB8" s="1085">
        <v>7.186111111111112</v>
      </c>
      <c r="CC8" s="1086">
        <v>5.6313E11</v>
      </c>
      <c r="CD8" s="1083">
        <v>2.898125</v>
      </c>
      <c r="CE8" s="1087">
        <v>3.0635E11</v>
      </c>
      <c r="CF8" s="1083">
        <v>2.314699074074074</v>
      </c>
      <c r="CG8" s="1087">
        <v>89500.0</v>
      </c>
      <c r="CH8" s="1088">
        <v>0.05555555555555555</v>
      </c>
      <c r="CI8" s="1089">
        <v>1350.0</v>
      </c>
      <c r="CJ8" s="1088">
        <v>0.05555555555555555</v>
      </c>
      <c r="CK8" s="1089">
        <v>1350.0</v>
      </c>
      <c r="CL8" s="1088">
        <v>0.05555555555555555</v>
      </c>
      <c r="CM8" s="1089">
        <v>1350.0</v>
      </c>
      <c r="CN8" s="1088">
        <v>0.05555555555555555</v>
      </c>
      <c r="CO8" s="1089">
        <v>1350.0</v>
      </c>
      <c r="CP8" s="1088">
        <v>0.08194444444444444</v>
      </c>
      <c r="CQ8" s="1089">
        <v>2110.0</v>
      </c>
      <c r="CR8" s="1088">
        <v>0.7993055555555556</v>
      </c>
      <c r="CS8" s="1089">
        <v>20020.0</v>
      </c>
      <c r="CT8" s="1126"/>
      <c r="CU8" s="1125"/>
      <c r="CV8" s="1090">
        <v>4.316666666666667</v>
      </c>
      <c r="CW8" s="1091">
        <v>4.726E10</v>
      </c>
      <c r="CX8" s="1090">
        <v>4.316666666666667</v>
      </c>
      <c r="CY8" s="1091">
        <v>4.726E10</v>
      </c>
      <c r="CZ8" s="1090">
        <v>4.316666666666667</v>
      </c>
      <c r="DA8" s="1091">
        <v>4.726E10</v>
      </c>
      <c r="DB8" s="1090">
        <v>2.5701388888888888</v>
      </c>
      <c r="DC8" s="1091">
        <v>2.8E9</v>
      </c>
      <c r="DD8" s="1090">
        <v>2.5701388888888888</v>
      </c>
      <c r="DE8" s="1091">
        <v>2.8E9</v>
      </c>
      <c r="DF8" s="1092">
        <v>1.7541666666666667</v>
      </c>
      <c r="DG8" s="1093">
        <v>1.05E7</v>
      </c>
      <c r="DH8" s="1124"/>
      <c r="DI8" s="1125"/>
      <c r="DJ8" s="1092">
        <v>2.5409722222222224</v>
      </c>
      <c r="DK8" s="1093">
        <v>1.105E7</v>
      </c>
      <c r="DL8" s="1092">
        <v>1.7541666666666667</v>
      </c>
      <c r="DM8" s="1093">
        <v>1.05E7</v>
      </c>
      <c r="DN8" s="1124"/>
      <c r="DO8" s="1125"/>
      <c r="DP8" s="1092">
        <v>1.7541666666666667</v>
      </c>
      <c r="DQ8" s="1093">
        <v>1.05E7</v>
      </c>
      <c r="DR8" s="1092">
        <v>1.7541666666666667</v>
      </c>
      <c r="DS8" s="1093">
        <v>1.05E7</v>
      </c>
      <c r="DT8" s="1124"/>
      <c r="DU8" s="1125"/>
      <c r="DV8" s="1092">
        <v>1.7541666666666667</v>
      </c>
      <c r="DW8" s="1093">
        <v>1.05E7</v>
      </c>
      <c r="DX8" s="1092">
        <v>1.7541666666666667</v>
      </c>
      <c r="DY8" s="1093">
        <v>1.05E7</v>
      </c>
      <c r="DZ8" s="1092">
        <v>3.629166666666667</v>
      </c>
      <c r="EA8" s="1093">
        <v>2.029E7</v>
      </c>
      <c r="EB8" s="1092">
        <v>3.629166666666667</v>
      </c>
      <c r="EC8" s="1093">
        <v>2.029E7</v>
      </c>
      <c r="ED8" s="1124"/>
      <c r="EE8" s="1125"/>
      <c r="EF8" s="1092">
        <v>2.7958333333333334</v>
      </c>
      <c r="EG8" s="1093">
        <v>1.954E7</v>
      </c>
      <c r="EH8" s="1092">
        <v>2.7958333333333334</v>
      </c>
      <c r="EI8" s="1093">
        <v>1.954E7</v>
      </c>
      <c r="EJ8" s="1092">
        <v>2.795891203703704</v>
      </c>
      <c r="EK8" s="1093">
        <v>1.954E7</v>
      </c>
      <c r="EL8" s="1092">
        <v>2.795891203703704</v>
      </c>
      <c r="EM8" s="1093">
        <v>1.954E7</v>
      </c>
      <c r="EN8" s="1092">
        <v>2.7958333333333334</v>
      </c>
      <c r="EO8" s="1093">
        <v>1.954E7</v>
      </c>
      <c r="EP8" s="1092">
        <v>2.7958333333333334</v>
      </c>
      <c r="EQ8" s="1093">
        <v>1.954E7</v>
      </c>
      <c r="ER8" s="1092">
        <v>2.7958333333333334</v>
      </c>
      <c r="ES8" s="1093">
        <v>1.954E7</v>
      </c>
      <c r="ET8" s="1092">
        <v>2.7958333333333334</v>
      </c>
      <c r="EU8" s="1093">
        <v>2.004E7</v>
      </c>
      <c r="EV8" s="1124"/>
      <c r="EW8" s="1125"/>
      <c r="EX8" s="1092">
        <v>6.057638888888889</v>
      </c>
      <c r="EY8" s="1093">
        <v>3.408E7</v>
      </c>
      <c r="EZ8" s="1124"/>
      <c r="FA8" s="1127"/>
      <c r="FB8" s="1092">
        <v>3.629166666666667</v>
      </c>
      <c r="FC8" s="1093">
        <v>4.179E7</v>
      </c>
      <c r="FD8" s="1126"/>
      <c r="FE8" s="1125"/>
      <c r="FF8" s="1092">
        <v>3.629166666666667</v>
      </c>
      <c r="FG8" s="1094">
        <v>5.8248649E7</v>
      </c>
      <c r="FH8" s="1092">
        <v>3.629166666666667</v>
      </c>
      <c r="FI8" s="1094">
        <v>5.8248649E7</v>
      </c>
      <c r="FJ8" s="1092">
        <v>8.628912037037036</v>
      </c>
      <c r="FK8" s="1093">
        <v>2.19286486E8</v>
      </c>
      <c r="FL8" s="1124"/>
      <c r="FM8" s="1125"/>
      <c r="FN8" s="1095">
        <v>24.81190972222222</v>
      </c>
      <c r="FO8" s="1093">
        <v>3.07E12</v>
      </c>
      <c r="FP8" s="1092">
        <v>14.686168981481481</v>
      </c>
      <c r="FQ8" s="1094">
        <v>7.5938E11</v>
      </c>
      <c r="FR8" s="1096">
        <v>14.686168981481481</v>
      </c>
      <c r="FS8" s="1094">
        <v>7.5938E11</v>
      </c>
      <c r="FT8" s="1092">
        <v>14.686168981481481</v>
      </c>
      <c r="FU8" s="1094">
        <v>7.5938E11</v>
      </c>
      <c r="FV8" s="1092">
        <v>14.686168981481481</v>
      </c>
      <c r="FW8" s="1094">
        <v>7.5938E11</v>
      </c>
      <c r="FX8" s="1097">
        <v>5.720185185185185</v>
      </c>
      <c r="FY8" s="1098">
        <v>7.59E9</v>
      </c>
      <c r="FZ8" s="1097">
        <v>14.68619212962963</v>
      </c>
      <c r="GA8" s="1098">
        <v>7.59375E11</v>
      </c>
      <c r="GB8" s="1099">
        <v>25.882060185185185</v>
      </c>
      <c r="GC8" s="1098">
        <v>5.77E12</v>
      </c>
      <c r="GD8" s="1092">
        <v>100.0</v>
      </c>
      <c r="GE8" s="1094">
        <v>3.62E16</v>
      </c>
      <c r="GF8" s="1124"/>
      <c r="GG8" s="1125"/>
      <c r="GH8" s="1100">
        <v>2.004166666666667</v>
      </c>
      <c r="GI8" s="1101">
        <v>3.525E7</v>
      </c>
      <c r="GJ8" s="1124"/>
      <c r="GK8" s="1125"/>
      <c r="GL8" s="1124"/>
      <c r="GM8" s="1125"/>
      <c r="GN8" s="1126"/>
      <c r="GO8" s="1125"/>
      <c r="GP8" s="1102">
        <v>2.1708333333333334</v>
      </c>
      <c r="GQ8" s="1134">
        <v>9.26E9</v>
      </c>
      <c r="GR8" s="1104">
        <v>24.81190972222222</v>
      </c>
      <c r="GS8" s="1103">
        <v>3.07E12</v>
      </c>
      <c r="GT8" s="1104">
        <v>24.81190972222222</v>
      </c>
      <c r="GU8" s="1103">
        <v>3.07E12</v>
      </c>
      <c r="GV8" s="1104">
        <v>24.81190972222222</v>
      </c>
      <c r="GW8" s="1103">
        <v>3.07E12</v>
      </c>
      <c r="GX8" s="1105">
        <v>72.91666666666667</v>
      </c>
      <c r="GY8" s="1106">
        <v>7.7E15</v>
      </c>
      <c r="GZ8" s="1124"/>
      <c r="HA8" s="1125"/>
      <c r="HB8" s="1107">
        <v>0.9902777777777778</v>
      </c>
      <c r="HC8" s="1108">
        <v>6.31E7</v>
      </c>
      <c r="HD8" s="1124"/>
      <c r="HE8" s="1125"/>
      <c r="HF8" s="1107">
        <v>1.1055555555555556</v>
      </c>
      <c r="HG8" s="1108">
        <v>9.46E7</v>
      </c>
      <c r="HH8" s="1124"/>
      <c r="HI8" s="1125"/>
      <c r="HJ8" s="1124"/>
      <c r="HK8" s="1125"/>
      <c r="HL8" s="1137">
        <v>83.33333333333333</v>
      </c>
      <c r="HM8" s="1108">
        <v>1.0E12</v>
      </c>
      <c r="HN8" s="1107">
        <v>4.200694444444444</v>
      </c>
      <c r="HO8" s="1108">
        <v>1.25E9</v>
      </c>
      <c r="HP8" s="1107">
        <v>3.7639814814814816</v>
      </c>
      <c r="HQ8" s="1109">
        <v>4.228E7</v>
      </c>
      <c r="HR8" s="1128">
        <v>3.6222222222222222</v>
      </c>
      <c r="HS8" s="1129">
        <v>3.3625E8</v>
      </c>
      <c r="HT8" s="1128">
        <v>3.6222222222222222</v>
      </c>
      <c r="HU8" s="1129">
        <v>3.3625E8</v>
      </c>
      <c r="HV8" s="1128">
        <v>3.6222222222222222</v>
      </c>
      <c r="HW8" s="1129">
        <v>3.3625E8</v>
      </c>
      <c r="HX8" s="1130">
        <v>3.6222222222222222</v>
      </c>
      <c r="HY8" s="1129">
        <v>3.3625E8</v>
      </c>
      <c r="HZ8" s="1124"/>
      <c r="IA8" s="1125"/>
      <c r="IB8" s="1130">
        <v>16.761296296296297</v>
      </c>
      <c r="IC8" s="1129">
        <v>7.5938E11</v>
      </c>
      <c r="ID8" s="1130">
        <v>16.761296296296297</v>
      </c>
      <c r="IE8" s="1129">
        <v>7.5938E11</v>
      </c>
      <c r="IF8" s="1130">
        <v>16.761296296296297</v>
      </c>
      <c r="IG8" s="1129">
        <v>7.5938E11</v>
      </c>
      <c r="IH8" s="1113">
        <v>4.316666666666667</v>
      </c>
      <c r="II8" s="1114">
        <v>1.2226E11</v>
      </c>
      <c r="IJ8" s="1113">
        <v>4.316666666666667</v>
      </c>
      <c r="IK8" s="1114">
        <v>1.2226E11</v>
      </c>
      <c r="IL8" s="1113">
        <v>4.316666666666667</v>
      </c>
      <c r="IM8" s="1114">
        <v>1.8226E11</v>
      </c>
      <c r="IN8" s="1113">
        <v>4.316666666666667</v>
      </c>
      <c r="IO8" s="1114">
        <v>1.8226E11</v>
      </c>
      <c r="IP8" s="1113">
        <v>4.779861111111111</v>
      </c>
      <c r="IQ8" s="1114">
        <v>3.6226E11</v>
      </c>
      <c r="IR8" s="1113">
        <v>4.316666666666667</v>
      </c>
      <c r="IS8" s="1114">
        <v>1.8226E11</v>
      </c>
      <c r="IT8" s="1113">
        <v>4.316666666666667</v>
      </c>
      <c r="IU8" s="1114">
        <v>1.8226E11</v>
      </c>
      <c r="IV8" s="1113">
        <v>4.316666666666667</v>
      </c>
      <c r="IW8" s="1114">
        <v>1.8226E11</v>
      </c>
      <c r="IX8" s="1113">
        <v>4.316666666666667</v>
      </c>
      <c r="IY8" s="1114">
        <v>1.8226E11</v>
      </c>
      <c r="IZ8" s="1113">
        <v>4.316666666666667</v>
      </c>
      <c r="JA8" s="1114">
        <v>2.4226E11</v>
      </c>
      <c r="JB8" s="1113">
        <v>4.316666666666667</v>
      </c>
      <c r="JC8" s="1114">
        <v>2.4226E11</v>
      </c>
      <c r="JD8" s="1113">
        <v>4.316666666666667</v>
      </c>
      <c r="JE8" s="1114">
        <v>2.4226E11</v>
      </c>
      <c r="JF8" s="1113">
        <v>4.316666666666667</v>
      </c>
      <c r="JG8" s="1114">
        <v>2.4226E11</v>
      </c>
      <c r="JH8" s="1113">
        <v>4.779861111111111</v>
      </c>
      <c r="JI8" s="1114">
        <v>4.3226E11</v>
      </c>
      <c r="JJ8" s="1113">
        <v>64.79652777777778</v>
      </c>
      <c r="JK8" s="1115">
        <v>1.5E18</v>
      </c>
      <c r="JL8" s="1113">
        <v>64.79652777777778</v>
      </c>
      <c r="JM8" s="1115">
        <v>1.5E18</v>
      </c>
      <c r="JN8" s="1113">
        <v>64.79652777777778</v>
      </c>
      <c r="JO8" s="1115">
        <v>1.5E18</v>
      </c>
      <c r="JP8" s="1113">
        <v>64.79652777777778</v>
      </c>
      <c r="JQ8" s="1115">
        <v>1.5E18</v>
      </c>
      <c r="JR8" s="1113">
        <v>64.79652777777778</v>
      </c>
      <c r="JS8" s="1115">
        <v>1.5E18</v>
      </c>
      <c r="JT8" s="1113">
        <v>64.79652777777778</v>
      </c>
      <c r="JU8" s="1115">
        <v>1.5E18</v>
      </c>
      <c r="JV8" s="1113">
        <v>16.198611111111113</v>
      </c>
      <c r="JW8" s="1115">
        <v>5.37824E12</v>
      </c>
      <c r="JX8" s="1116">
        <v>6.0425</v>
      </c>
      <c r="JY8" s="1117">
        <v>1.17E9</v>
      </c>
      <c r="JZ8" s="1131">
        <v>1.579733796</v>
      </c>
      <c r="KA8" s="1132">
        <v>1.1526E8</v>
      </c>
      <c r="KB8" s="1116">
        <v>1.601053241</v>
      </c>
      <c r="KC8" s="1120">
        <v>3.7635E8</v>
      </c>
      <c r="KD8" s="1116">
        <v>6.149791667</v>
      </c>
      <c r="KE8" s="1120">
        <v>2.235E10</v>
      </c>
      <c r="KF8" s="1116">
        <v>6.149791667</v>
      </c>
      <c r="KG8" s="1120">
        <v>2.235E10</v>
      </c>
      <c r="KH8" s="1116">
        <v>11.13509259</v>
      </c>
      <c r="KI8" s="1120">
        <v>1.47E12</v>
      </c>
      <c r="KJ8" s="1133"/>
      <c r="KK8" s="1133"/>
      <c r="KL8" s="1133"/>
      <c r="KM8" s="1133"/>
      <c r="KN8" s="1133"/>
      <c r="KO8" s="1133"/>
      <c r="KP8" s="1133"/>
      <c r="KQ8" s="1133"/>
      <c r="KR8" s="1133"/>
      <c r="KS8" s="1133"/>
      <c r="KT8" s="1138">
        <v>204.16666666666666</v>
      </c>
      <c r="KU8" s="1138">
        <v>5.0E16</v>
      </c>
      <c r="KV8" s="1131">
        <v>64.79652777777778</v>
      </c>
      <c r="KW8" s="1132">
        <v>1.5E18</v>
      </c>
      <c r="KX8" s="1131">
        <v>64.79652777777778</v>
      </c>
      <c r="KY8" s="1132">
        <v>1.5E18</v>
      </c>
      <c r="KZ8" s="1131">
        <v>64.79652777777778</v>
      </c>
      <c r="LA8" s="1132">
        <v>1.5E18</v>
      </c>
      <c r="LB8" s="1131">
        <v>64.79652777777778</v>
      </c>
      <c r="LC8" s="1132">
        <v>1.5E18</v>
      </c>
      <c r="LD8" s="1131">
        <v>64.79652777777778</v>
      </c>
      <c r="LE8" s="1132">
        <v>1.5E18</v>
      </c>
      <c r="LF8" s="1131">
        <v>64.79652777777778</v>
      </c>
      <c r="LG8" s="1132">
        <v>1.5E18</v>
      </c>
      <c r="LH8" s="1131">
        <v>64.79652777777778</v>
      </c>
      <c r="LI8" s="1132">
        <v>1.5E18</v>
      </c>
      <c r="LJ8" s="1131">
        <v>64.79652777777778</v>
      </c>
      <c r="LK8" s="1132">
        <v>1.5E18</v>
      </c>
      <c r="LL8" s="1100">
        <v>100.0</v>
      </c>
      <c r="LM8" s="1101">
        <v>3.62E16</v>
      </c>
      <c r="LN8" s="1122">
        <v>80.99583333333334</v>
      </c>
      <c r="LO8" s="1101">
        <v>1.2E18</v>
      </c>
      <c r="LP8" s="1122">
        <v>80.99583333333334</v>
      </c>
      <c r="LQ8" s="1101">
        <v>1.2E18</v>
      </c>
      <c r="LR8" s="1122">
        <v>80.99583333333334</v>
      </c>
      <c r="LS8" s="1101">
        <v>1.2E18</v>
      </c>
      <c r="LT8" s="1122">
        <v>80.99583333333334</v>
      </c>
      <c r="LU8" s="1101">
        <v>1.2E18</v>
      </c>
      <c r="LV8" s="1122">
        <v>80.99583333333334</v>
      </c>
      <c r="LW8" s="1101">
        <v>1.2E18</v>
      </c>
      <c r="LX8" s="1122">
        <v>97.19513888888889</v>
      </c>
      <c r="LY8" s="1123">
        <v>3.0E18</v>
      </c>
      <c r="LZ8" s="1122">
        <v>97.19513888888889</v>
      </c>
      <c r="MA8" s="1123">
        <v>3.0E18</v>
      </c>
      <c r="MB8" s="1122">
        <v>97.19513888888889</v>
      </c>
      <c r="MC8" s="1123">
        <v>3.0E18</v>
      </c>
      <c r="MD8" s="1122">
        <v>97.19513888888889</v>
      </c>
      <c r="ME8" s="1123">
        <v>3.0E18</v>
      </c>
      <c r="MF8" s="1122">
        <v>80.99583333333334</v>
      </c>
      <c r="MG8" s="1123">
        <v>7.59375E18</v>
      </c>
      <c r="MH8" s="1122">
        <v>80.99583333333334</v>
      </c>
      <c r="MI8" s="1123">
        <v>7.59375E18</v>
      </c>
      <c r="MJ8" s="1122">
        <v>80.99583333333334</v>
      </c>
      <c r="MK8" s="1123">
        <v>7.59375E18</v>
      </c>
      <c r="ML8" s="1122">
        <v>80.99583333333334</v>
      </c>
      <c r="MM8" s="1123">
        <v>7.59375E18</v>
      </c>
      <c r="MN8" s="1122">
        <v>80.99583333333334</v>
      </c>
      <c r="MO8" s="1123">
        <v>7.59375E18</v>
      </c>
      <c r="MP8" s="1122">
        <v>80.99583333333334</v>
      </c>
      <c r="MQ8" s="1123">
        <v>7.59375E18</v>
      </c>
      <c r="MR8" s="1122">
        <v>116.09444444444445</v>
      </c>
      <c r="MS8" s="1123">
        <v>6.4E19</v>
      </c>
      <c r="MT8" s="1122">
        <v>116.09444444444445</v>
      </c>
      <c r="MU8" s="1123">
        <v>6.4E19</v>
      </c>
      <c r="MV8" s="1122">
        <v>116.09444444444445</v>
      </c>
      <c r="MW8" s="1123">
        <v>6.4E19</v>
      </c>
      <c r="MX8" s="1122">
        <v>116.09444444444445</v>
      </c>
      <c r="MY8" s="1123">
        <v>6.4E19</v>
      </c>
    </row>
    <row r="9">
      <c r="A9" s="1071">
        <v>7.0</v>
      </c>
      <c r="B9" s="1072">
        <v>25.4625</v>
      </c>
      <c r="C9" s="1073">
        <v>1000000.0</v>
      </c>
      <c r="D9" s="1072">
        <v>0.08055555555555556</v>
      </c>
      <c r="E9" s="1073">
        <v>2120.0</v>
      </c>
      <c r="F9" s="1072">
        <v>0.08055555555555556</v>
      </c>
      <c r="G9" s="1074">
        <v>2120.0</v>
      </c>
      <c r="H9" s="1072">
        <v>0.08055555555555556</v>
      </c>
      <c r="I9" s="1073">
        <v>2120.0</v>
      </c>
      <c r="J9" s="1072">
        <v>0.08055555555555556</v>
      </c>
      <c r="K9" s="1073">
        <v>2120.0</v>
      </c>
      <c r="L9" s="1072">
        <v>0.1125</v>
      </c>
      <c r="M9" s="1075">
        <v>3510.0</v>
      </c>
      <c r="N9" s="1076">
        <v>0.10069444444444445</v>
      </c>
      <c r="O9" s="1073">
        <v>3580.0</v>
      </c>
      <c r="P9" s="1124"/>
      <c r="Q9" s="1125"/>
      <c r="R9" s="1124"/>
      <c r="S9" s="1125"/>
      <c r="T9" s="1124"/>
      <c r="U9" s="1125"/>
      <c r="V9" s="1124"/>
      <c r="W9" s="1125"/>
      <c r="X9" s="1124"/>
      <c r="Y9" s="1125"/>
      <c r="Z9" s="1124"/>
      <c r="AA9" s="1125"/>
      <c r="AB9" s="1124"/>
      <c r="AC9" s="1125"/>
      <c r="AD9" s="1072">
        <v>7.559027777777778</v>
      </c>
      <c r="AE9" s="1080">
        <v>4.826809E9</v>
      </c>
      <c r="AF9" s="1072">
        <v>7.559027777777778</v>
      </c>
      <c r="AG9" s="1080">
        <v>4.826809E9</v>
      </c>
      <c r="AH9" s="1072">
        <v>7.559027777777778</v>
      </c>
      <c r="AI9" s="1080">
        <v>4.826809E9</v>
      </c>
      <c r="AJ9" s="1081">
        <v>0.08055555555555556</v>
      </c>
      <c r="AK9" s="1082">
        <v>2120.0</v>
      </c>
      <c r="AL9" s="1081">
        <v>0.08055555555555556</v>
      </c>
      <c r="AM9" s="1082">
        <v>2120.0</v>
      </c>
      <c r="AN9" s="1081">
        <v>0.08055555555555556</v>
      </c>
      <c r="AO9" s="1082">
        <v>2120.0</v>
      </c>
      <c r="AP9" s="1081">
        <v>0.08055555555555556</v>
      </c>
      <c r="AQ9" s="1082">
        <v>2120.0</v>
      </c>
      <c r="AR9" s="1081">
        <v>0.08055555555555556</v>
      </c>
      <c r="AS9" s="1082">
        <v>2130.0</v>
      </c>
      <c r="AT9" s="1081">
        <v>6.131944444444445</v>
      </c>
      <c r="AU9" s="1082">
        <v>5940000.0</v>
      </c>
      <c r="AV9" s="1081">
        <v>5.679166666666666</v>
      </c>
      <c r="AW9" s="1082">
        <v>5940000.0</v>
      </c>
      <c r="AX9" s="1081">
        <v>6.986111111111111</v>
      </c>
      <c r="AY9" s="1082">
        <v>4.4045E11</v>
      </c>
      <c r="AZ9" s="1124"/>
      <c r="BA9" s="1124"/>
      <c r="BB9" s="1083">
        <v>0.08055555555555556</v>
      </c>
      <c r="BC9" s="1084">
        <v>2120.0</v>
      </c>
      <c r="BD9" s="1083">
        <v>0.08055555555555556</v>
      </c>
      <c r="BE9" s="1084">
        <v>2120.0</v>
      </c>
      <c r="BF9" s="1083">
        <v>0.08055555555555556</v>
      </c>
      <c r="BG9" s="1084">
        <v>2120.0</v>
      </c>
      <c r="BH9" s="1083">
        <v>0.5493055555555556</v>
      </c>
      <c r="BI9" s="1084">
        <v>1310000.0</v>
      </c>
      <c r="BJ9" s="1083">
        <v>0.8305555555555556</v>
      </c>
      <c r="BK9" s="1084">
        <v>7780000.0</v>
      </c>
      <c r="BL9" s="1083">
        <v>1.33125</v>
      </c>
      <c r="BM9" s="1084">
        <v>2.224E7</v>
      </c>
      <c r="BN9" s="1083">
        <v>1.33125</v>
      </c>
      <c r="BO9" s="1084">
        <v>2.224E7</v>
      </c>
      <c r="BP9" s="1083">
        <v>1.648611111111111</v>
      </c>
      <c r="BQ9" s="1084">
        <v>2.234E7</v>
      </c>
      <c r="BR9" s="1083">
        <v>3.7534722222222223</v>
      </c>
      <c r="BS9" s="1084">
        <v>7.73E9</v>
      </c>
      <c r="BT9" s="1085">
        <v>0.30486111111111114</v>
      </c>
      <c r="BU9" s="1086">
        <v>2.24E9</v>
      </c>
      <c r="BV9" s="1085">
        <v>3.8687500000000004</v>
      </c>
      <c r="BW9" s="1086">
        <v>4.15E9</v>
      </c>
      <c r="BX9" s="1085">
        <v>4.343055555555555</v>
      </c>
      <c r="BY9" s="1086">
        <v>6.252E10</v>
      </c>
      <c r="BZ9" s="1085">
        <v>5.0375</v>
      </c>
      <c r="CA9" s="1086">
        <v>8.052E10</v>
      </c>
      <c r="CB9" s="1085">
        <v>8.741666666666667</v>
      </c>
      <c r="CC9" s="1086">
        <v>6.1758E11</v>
      </c>
      <c r="CD9" s="1083">
        <v>3.042037037037037</v>
      </c>
      <c r="CE9" s="1087">
        <v>3.1092E11</v>
      </c>
      <c r="CF9" s="1083">
        <v>2.8232523148148148</v>
      </c>
      <c r="CG9" s="1087">
        <v>146100.0</v>
      </c>
      <c r="CH9" s="1088">
        <v>0.08055555555555556</v>
      </c>
      <c r="CI9" s="1089">
        <v>2130.0</v>
      </c>
      <c r="CJ9" s="1088">
        <v>0.08055555555555556</v>
      </c>
      <c r="CK9" s="1089">
        <v>2130.0</v>
      </c>
      <c r="CL9" s="1088">
        <v>0.08055555555555556</v>
      </c>
      <c r="CM9" s="1089">
        <v>2130.0</v>
      </c>
      <c r="CN9" s="1088">
        <v>0.08055555555555556</v>
      </c>
      <c r="CO9" s="1089">
        <v>2130.0</v>
      </c>
      <c r="CP9" s="1088">
        <v>0.12013888888888888</v>
      </c>
      <c r="CQ9" s="1089">
        <v>3590.0</v>
      </c>
      <c r="CR9" s="1088">
        <v>1.4513888888888888</v>
      </c>
      <c r="CS9" s="1089">
        <v>35600.0</v>
      </c>
      <c r="CT9" s="1126"/>
      <c r="CU9" s="1125"/>
      <c r="CV9" s="1090">
        <v>4.910416666666666</v>
      </c>
      <c r="CW9" s="1091">
        <v>5.453E10</v>
      </c>
      <c r="CX9" s="1090">
        <v>4.910416666666666</v>
      </c>
      <c r="CY9" s="1091">
        <v>5.453E10</v>
      </c>
      <c r="CZ9" s="1090">
        <v>4.910416666666666</v>
      </c>
      <c r="DA9" s="1091">
        <v>5.453E10</v>
      </c>
      <c r="DB9" s="1090">
        <v>3.0277777777777777</v>
      </c>
      <c r="DC9" s="1091">
        <v>4.15E9</v>
      </c>
      <c r="DD9" s="1090">
        <v>3.0277777777777777</v>
      </c>
      <c r="DE9" s="1091">
        <v>4.15E9</v>
      </c>
      <c r="DF9" s="1092">
        <v>2.095138888888889</v>
      </c>
      <c r="DG9" s="1093">
        <v>2.258E7</v>
      </c>
      <c r="DH9" s="1124"/>
      <c r="DI9" s="1125"/>
      <c r="DJ9" s="1092">
        <v>2.8819444444444446</v>
      </c>
      <c r="DK9" s="1093">
        <v>2.313E7</v>
      </c>
      <c r="DL9" s="1092">
        <v>2.095138888888889</v>
      </c>
      <c r="DM9" s="1093">
        <v>2.258E7</v>
      </c>
      <c r="DN9" s="1124"/>
      <c r="DO9" s="1125"/>
      <c r="DP9" s="1092">
        <v>2.095138888888889</v>
      </c>
      <c r="DQ9" s="1093">
        <v>2.258E7</v>
      </c>
      <c r="DR9" s="1092">
        <v>2.095138888888889</v>
      </c>
      <c r="DS9" s="1093">
        <v>2.258E7</v>
      </c>
      <c r="DT9" s="1124"/>
      <c r="DU9" s="1125"/>
      <c r="DV9" s="1092">
        <v>2.095138888888889</v>
      </c>
      <c r="DW9" s="1093">
        <v>2.258E7</v>
      </c>
      <c r="DX9" s="1092">
        <v>2.095138888888889</v>
      </c>
      <c r="DY9" s="1093">
        <v>2.258E7</v>
      </c>
      <c r="DZ9" s="1092">
        <v>4.178472222222222</v>
      </c>
      <c r="EA9" s="1093">
        <v>4.433E7</v>
      </c>
      <c r="EB9" s="1092">
        <v>4.178472222222222</v>
      </c>
      <c r="EC9" s="1093">
        <v>4.433E7</v>
      </c>
      <c r="ED9" s="1124"/>
      <c r="EE9" s="1125"/>
      <c r="EF9" s="1092">
        <v>3.345138888888889</v>
      </c>
      <c r="EG9" s="1093">
        <v>4.358E7</v>
      </c>
      <c r="EH9" s="1092">
        <v>3.345138888888889</v>
      </c>
      <c r="EI9" s="1093">
        <v>4.358E7</v>
      </c>
      <c r="EJ9" s="1092">
        <v>3.345324074074074</v>
      </c>
      <c r="EK9" s="1093">
        <v>4.358E7</v>
      </c>
      <c r="EL9" s="1092">
        <v>3.345324074074074</v>
      </c>
      <c r="EM9" s="1093">
        <v>4.358E7</v>
      </c>
      <c r="EN9" s="1092">
        <v>3.345138888888889</v>
      </c>
      <c r="EO9" s="1093">
        <v>4.358E7</v>
      </c>
      <c r="EP9" s="1092">
        <v>3.345138888888889</v>
      </c>
      <c r="EQ9" s="1093">
        <v>4.358E7</v>
      </c>
      <c r="ER9" s="1092">
        <v>3.345138888888889</v>
      </c>
      <c r="ES9" s="1093">
        <v>4.358E7</v>
      </c>
      <c r="ET9" s="1092">
        <v>3.345138888888889</v>
      </c>
      <c r="EU9" s="1093">
        <v>4.413E7</v>
      </c>
      <c r="EV9" s="1124"/>
      <c r="EW9" s="1125"/>
      <c r="EX9" s="1126"/>
      <c r="EY9" s="1125"/>
      <c r="EZ9" s="1124"/>
      <c r="FA9" s="1127"/>
      <c r="FB9" s="1092">
        <v>4.178472222222222</v>
      </c>
      <c r="FC9" s="1093">
        <v>6.633E7</v>
      </c>
      <c r="FD9" s="1126"/>
      <c r="FE9" s="1125"/>
      <c r="FF9" s="1092">
        <v>4.178472222222222</v>
      </c>
      <c r="FG9" s="1094">
        <v>1.06162162E8</v>
      </c>
      <c r="FH9" s="1092">
        <v>4.178472222222222</v>
      </c>
      <c r="FI9" s="1094">
        <v>1.06162162E8</v>
      </c>
      <c r="FJ9" s="1092">
        <v>9.178587962962963</v>
      </c>
      <c r="FK9" s="1093">
        <v>2.4332973E8</v>
      </c>
      <c r="FL9" s="1124"/>
      <c r="FM9" s="1125"/>
      <c r="FN9" s="1095">
        <v>51.34166666666667</v>
      </c>
      <c r="FO9" s="1093">
        <v>3.6E12</v>
      </c>
      <c r="FP9" s="1092">
        <v>16.44851851851852</v>
      </c>
      <c r="FQ9" s="1094">
        <v>1.14E12</v>
      </c>
      <c r="FR9" s="1139"/>
      <c r="FS9" s="1126"/>
      <c r="FT9" s="1092">
        <v>16.44851851851852</v>
      </c>
      <c r="FU9" s="1094">
        <v>1.14E12</v>
      </c>
      <c r="FV9" s="1092">
        <v>16.44851851851852</v>
      </c>
      <c r="FW9" s="1094">
        <v>1.14E12</v>
      </c>
      <c r="FX9" s="1097">
        <v>6.381597222222222</v>
      </c>
      <c r="FY9" s="1098">
        <v>1.139E10</v>
      </c>
      <c r="FZ9" s="1097">
        <v>16.44851851851852</v>
      </c>
      <c r="GA9" s="1098">
        <v>1.14E12</v>
      </c>
      <c r="GB9" s="1099">
        <v>32.466458333333335</v>
      </c>
      <c r="GC9" s="1098">
        <v>1.297E13</v>
      </c>
      <c r="GD9" s="1092">
        <v>116.66666666666667</v>
      </c>
      <c r="GE9" s="1094">
        <v>7.42E16</v>
      </c>
      <c r="GF9" s="1124"/>
      <c r="GG9" s="1125"/>
      <c r="GH9" s="1100">
        <v>2.553472222222222</v>
      </c>
      <c r="GI9" s="1101">
        <v>8.206E7</v>
      </c>
      <c r="GJ9" s="1124"/>
      <c r="GK9" s="1125"/>
      <c r="GL9" s="1124"/>
      <c r="GM9" s="1125"/>
      <c r="GN9" s="1126"/>
      <c r="GO9" s="1125"/>
      <c r="GP9" s="1102">
        <v>2.720138888888889</v>
      </c>
      <c r="GQ9" s="1103">
        <v>8.23E9</v>
      </c>
      <c r="GR9" s="1104">
        <v>51.341655092592596</v>
      </c>
      <c r="GS9" s="1103">
        <v>3.6E12</v>
      </c>
      <c r="GT9" s="1104">
        <v>51.341655092592596</v>
      </c>
      <c r="GU9" s="1103">
        <v>3.6E12</v>
      </c>
      <c r="GV9" s="1104">
        <v>51.34166666666667</v>
      </c>
      <c r="GW9" s="1103">
        <v>3.6E12</v>
      </c>
      <c r="GX9" s="1105">
        <v>83.33333333333333</v>
      </c>
      <c r="GY9" s="1106">
        <v>9.1E15</v>
      </c>
      <c r="GZ9" s="1124"/>
      <c r="HA9" s="1125"/>
      <c r="HB9" s="1107">
        <v>1.33125</v>
      </c>
      <c r="HC9" s="1108">
        <v>1.5622E8</v>
      </c>
      <c r="HD9" s="1124"/>
      <c r="HE9" s="1125"/>
      <c r="HF9" s="1107">
        <v>1.4701388888888889</v>
      </c>
      <c r="HG9" s="1108">
        <v>2.3428E8</v>
      </c>
      <c r="HH9" s="1124"/>
      <c r="HI9" s="1125"/>
      <c r="HJ9" s="1124"/>
      <c r="HK9" s="1125"/>
      <c r="HL9" s="1137">
        <v>166.6666550925926</v>
      </c>
      <c r="HM9" s="1108">
        <v>1.0E14</v>
      </c>
      <c r="HN9" s="1107">
        <v>5.026388888888889</v>
      </c>
      <c r="HO9" s="1108">
        <v>1.6E9</v>
      </c>
      <c r="HP9" s="1107">
        <v>4.6335648148148145</v>
      </c>
      <c r="HQ9" s="1109">
        <v>9.564E7</v>
      </c>
      <c r="HR9" s="1128">
        <v>4.215972222222222</v>
      </c>
      <c r="HS9" s="1129">
        <v>5.988E8</v>
      </c>
      <c r="HT9" s="1128">
        <v>4.215972222222222</v>
      </c>
      <c r="HU9" s="1129">
        <v>5.988E8</v>
      </c>
      <c r="HV9" s="1128">
        <v>4.215972222222222</v>
      </c>
      <c r="HW9" s="1129">
        <v>5.988E8</v>
      </c>
      <c r="HX9" s="1130">
        <v>4.215972222222222</v>
      </c>
      <c r="HY9" s="1129">
        <v>5.988E8</v>
      </c>
      <c r="HZ9" s="1124"/>
      <c r="IA9" s="1125"/>
      <c r="IB9" s="1130">
        <v>19.275497685185186</v>
      </c>
      <c r="IC9" s="1129">
        <v>1.14E12</v>
      </c>
      <c r="ID9" s="1130">
        <v>19.275497685185186</v>
      </c>
      <c r="IE9" s="1129">
        <v>1.14E12</v>
      </c>
      <c r="IF9" s="1130">
        <v>19.275497685185186</v>
      </c>
      <c r="IG9" s="1129">
        <v>1.14E12</v>
      </c>
      <c r="IH9" s="1113">
        <v>4.910416666666666</v>
      </c>
      <c r="II9" s="1114">
        <v>1.4453E11</v>
      </c>
      <c r="IJ9" s="1113">
        <v>4.910416666666666</v>
      </c>
      <c r="IK9" s="1114">
        <v>1.4453E11</v>
      </c>
      <c r="IL9" s="1113">
        <v>4.910416666666666</v>
      </c>
      <c r="IM9" s="1114">
        <v>2.1453E11</v>
      </c>
      <c r="IN9" s="1113">
        <v>4.910416666666666</v>
      </c>
      <c r="IO9" s="1114">
        <v>2.1453E11</v>
      </c>
      <c r="IP9" s="1113">
        <v>5.373611111111111</v>
      </c>
      <c r="IQ9" s="1114">
        <v>4.2453E11</v>
      </c>
      <c r="IR9" s="1113">
        <v>4.910416666666666</v>
      </c>
      <c r="IS9" s="1114">
        <v>2.1453E11</v>
      </c>
      <c r="IT9" s="1113">
        <v>4.910416666666666</v>
      </c>
      <c r="IU9" s="1114">
        <v>2.1453E11</v>
      </c>
      <c r="IV9" s="1113">
        <v>4.910416666666666</v>
      </c>
      <c r="IW9" s="1114">
        <v>2.1453E11</v>
      </c>
      <c r="IX9" s="1113">
        <v>4.910416666666666</v>
      </c>
      <c r="IY9" s="1114">
        <v>2.1453E11</v>
      </c>
      <c r="IZ9" s="1113">
        <v>4.910416666666666</v>
      </c>
      <c r="JA9" s="1114">
        <v>2.8453E11</v>
      </c>
      <c r="JB9" s="1113">
        <v>4.910416666666666</v>
      </c>
      <c r="JC9" s="1114">
        <v>2.8453E11</v>
      </c>
      <c r="JD9" s="1113">
        <v>4.910416666666666</v>
      </c>
      <c r="JE9" s="1114">
        <v>2.8453E11</v>
      </c>
      <c r="JF9" s="1113">
        <v>4.910416666666666</v>
      </c>
      <c r="JG9" s="1114">
        <v>2.8453E11</v>
      </c>
      <c r="JH9" s="1113">
        <v>5.373611111111111</v>
      </c>
      <c r="JI9" s="1114">
        <v>5.0453E11</v>
      </c>
      <c r="JJ9" s="1113">
        <v>75.59652777777778</v>
      </c>
      <c r="JK9" s="1115">
        <v>1.75E18</v>
      </c>
      <c r="JL9" s="1113">
        <v>75.59652777777778</v>
      </c>
      <c r="JM9" s="1115">
        <v>1.75E18</v>
      </c>
      <c r="JN9" s="1113">
        <v>75.59652777777778</v>
      </c>
      <c r="JO9" s="1115">
        <v>1.75E18</v>
      </c>
      <c r="JP9" s="1113">
        <v>75.59652777777778</v>
      </c>
      <c r="JQ9" s="1115">
        <v>1.75E18</v>
      </c>
      <c r="JR9" s="1113">
        <v>75.59652777777778</v>
      </c>
      <c r="JS9" s="1115">
        <v>1.75E18</v>
      </c>
      <c r="JT9" s="1113">
        <v>75.59652777777778</v>
      </c>
      <c r="JU9" s="1115">
        <v>1.75E18</v>
      </c>
      <c r="JV9" s="1113">
        <v>18.898611111111112</v>
      </c>
      <c r="JW9" s="1115">
        <v>7.529536E12</v>
      </c>
      <c r="JX9" s="1116">
        <v>6.500405093</v>
      </c>
      <c r="JY9" s="1117">
        <v>2.03E9</v>
      </c>
      <c r="JZ9" s="1131">
        <v>1.621597222</v>
      </c>
      <c r="KA9" s="1132">
        <v>2.5339E8</v>
      </c>
      <c r="KB9" s="1116">
        <v>1.656944444</v>
      </c>
      <c r="KC9" s="1120">
        <v>6.4938E8</v>
      </c>
      <c r="KD9" s="1116">
        <v>6.372291667</v>
      </c>
      <c r="KE9" s="1120">
        <v>3.603E10</v>
      </c>
      <c r="KF9" s="1116">
        <v>6.372291667</v>
      </c>
      <c r="KG9" s="1120">
        <v>3.603E10</v>
      </c>
      <c r="KH9" s="1116">
        <v>11.70875</v>
      </c>
      <c r="KI9" s="1120">
        <v>2.72E12</v>
      </c>
      <c r="KJ9" s="1133"/>
      <c r="KK9" s="1133"/>
      <c r="KL9" s="1133"/>
      <c r="KM9" s="1133"/>
      <c r="KN9" s="1133"/>
      <c r="KO9" s="1133"/>
      <c r="KP9" s="1133"/>
      <c r="KQ9" s="1133"/>
      <c r="KR9" s="1133"/>
      <c r="KS9" s="1133"/>
      <c r="KT9" s="1138">
        <v>250.0</v>
      </c>
      <c r="KU9" s="1138">
        <v>5.0E17</v>
      </c>
      <c r="KV9" s="1131">
        <v>75.59652777777778</v>
      </c>
      <c r="KW9" s="1132">
        <v>1.75E18</v>
      </c>
      <c r="KX9" s="1131">
        <v>75.59652777777778</v>
      </c>
      <c r="KY9" s="1132">
        <v>1.75E18</v>
      </c>
      <c r="KZ9" s="1131">
        <v>75.59652777777778</v>
      </c>
      <c r="LA9" s="1132">
        <v>1.75E18</v>
      </c>
      <c r="LB9" s="1131">
        <v>75.59652777777778</v>
      </c>
      <c r="LC9" s="1132">
        <v>1.75E18</v>
      </c>
      <c r="LD9" s="1131">
        <v>75.59652777777778</v>
      </c>
      <c r="LE9" s="1132">
        <v>1.75E18</v>
      </c>
      <c r="LF9" s="1131">
        <v>75.59652777777778</v>
      </c>
      <c r="LG9" s="1132">
        <v>1.75E18</v>
      </c>
      <c r="LH9" s="1131">
        <v>75.59652777777778</v>
      </c>
      <c r="LI9" s="1132">
        <v>1.75E18</v>
      </c>
      <c r="LJ9" s="1131">
        <v>75.59652777777778</v>
      </c>
      <c r="LK9" s="1132">
        <v>1.75E18</v>
      </c>
      <c r="LL9" s="1100">
        <v>116.66666666666667</v>
      </c>
      <c r="LM9" s="1101">
        <v>7.42E16</v>
      </c>
      <c r="LN9" s="1122">
        <v>94.49513888888889</v>
      </c>
      <c r="LO9" s="1101">
        <v>1.4E18</v>
      </c>
      <c r="LP9" s="1122">
        <v>94.49513888888889</v>
      </c>
      <c r="LQ9" s="1101">
        <v>1.4E18</v>
      </c>
      <c r="LR9" s="1122">
        <v>94.49513888888889</v>
      </c>
      <c r="LS9" s="1101">
        <v>1.4E18</v>
      </c>
      <c r="LT9" s="1122">
        <v>94.49513888888889</v>
      </c>
      <c r="LU9" s="1101">
        <v>1.4E18</v>
      </c>
      <c r="LV9" s="1122">
        <v>94.49513888888889</v>
      </c>
      <c r="LW9" s="1101">
        <v>1.4E18</v>
      </c>
      <c r="LX9" s="1122">
        <v>113.39444444444445</v>
      </c>
      <c r="LY9" s="1123">
        <v>3.5E18</v>
      </c>
      <c r="LZ9" s="1122">
        <v>113.39444444444445</v>
      </c>
      <c r="MA9" s="1123">
        <v>3.5E18</v>
      </c>
      <c r="MB9" s="1122">
        <v>113.39444444444445</v>
      </c>
      <c r="MC9" s="1123">
        <v>3.5E18</v>
      </c>
      <c r="MD9" s="1122">
        <v>113.39444444444445</v>
      </c>
      <c r="ME9" s="1123">
        <v>3.5E18</v>
      </c>
      <c r="MF9" s="1122">
        <v>91.79583333333333</v>
      </c>
      <c r="MG9" s="1123">
        <v>1.1390625E19</v>
      </c>
      <c r="MH9" s="1122">
        <v>91.79583333333333</v>
      </c>
      <c r="MI9" s="1123">
        <v>1.1390625E19</v>
      </c>
      <c r="MJ9" s="1122">
        <v>91.79583333333333</v>
      </c>
      <c r="MK9" s="1123">
        <v>1.1390625E19</v>
      </c>
      <c r="ML9" s="1122">
        <v>91.79583333333333</v>
      </c>
      <c r="MM9" s="1123">
        <v>1.1390625E19</v>
      </c>
      <c r="MN9" s="1122">
        <v>91.79583333333333</v>
      </c>
      <c r="MO9" s="1123">
        <v>1.1390625E19</v>
      </c>
      <c r="MP9" s="1122">
        <v>91.79583333333333</v>
      </c>
      <c r="MQ9" s="1123">
        <v>1.1390625E19</v>
      </c>
      <c r="MR9" s="1122">
        <v>133.9138888888889</v>
      </c>
      <c r="MS9" s="1123">
        <v>1.28E20</v>
      </c>
      <c r="MT9" s="1122">
        <v>133.9138888888889</v>
      </c>
      <c r="MU9" s="1123">
        <v>1.28E20</v>
      </c>
      <c r="MV9" s="1122">
        <v>133.9138888888889</v>
      </c>
      <c r="MW9" s="1123">
        <v>1.28E20</v>
      </c>
      <c r="MX9" s="1122">
        <v>133.9138888888889</v>
      </c>
      <c r="MY9" s="1123">
        <v>1.28E20</v>
      </c>
    </row>
    <row r="10">
      <c r="A10" s="1071">
        <v>8.0</v>
      </c>
      <c r="B10" s="1124"/>
      <c r="C10" s="1125"/>
      <c r="D10" s="1072">
        <v>0.11041666666666666</v>
      </c>
      <c r="E10" s="1073">
        <v>3170.0</v>
      </c>
      <c r="F10" s="1072">
        <v>0.11041666666666666</v>
      </c>
      <c r="G10" s="1074">
        <v>3170.0</v>
      </c>
      <c r="H10" s="1072">
        <v>0.11041666666666666</v>
      </c>
      <c r="I10" s="1073">
        <v>3170.0</v>
      </c>
      <c r="J10" s="1072">
        <v>0.11041666666666666</v>
      </c>
      <c r="K10" s="1073">
        <v>3170.0</v>
      </c>
      <c r="L10" s="1072">
        <v>0.15625</v>
      </c>
      <c r="M10" s="1075">
        <v>5550.0</v>
      </c>
      <c r="N10" s="1076">
        <v>0.13680555555555557</v>
      </c>
      <c r="O10" s="1073">
        <v>5670.0</v>
      </c>
      <c r="P10" s="1124"/>
      <c r="Q10" s="1125"/>
      <c r="R10" s="1124"/>
      <c r="S10" s="1125"/>
      <c r="T10" s="1124"/>
      <c r="U10" s="1125"/>
      <c r="V10" s="1124"/>
      <c r="W10" s="1125"/>
      <c r="X10" s="1124"/>
      <c r="Y10" s="1125"/>
      <c r="Z10" s="1124"/>
      <c r="AA10" s="1125"/>
      <c r="AB10" s="1124"/>
      <c r="AC10" s="1125"/>
      <c r="AD10" s="1072">
        <v>8.639583333333333</v>
      </c>
      <c r="AE10" s="1080">
        <v>6.2748517E9</v>
      </c>
      <c r="AF10" s="1072">
        <v>8.639583333333333</v>
      </c>
      <c r="AG10" s="1080">
        <v>6.2748517E9</v>
      </c>
      <c r="AH10" s="1072">
        <v>8.639583333333333</v>
      </c>
      <c r="AI10" s="1080">
        <v>6.2748517E9</v>
      </c>
      <c r="AJ10" s="1081">
        <v>0.11041666666666666</v>
      </c>
      <c r="AK10" s="1082">
        <v>3170.0</v>
      </c>
      <c r="AL10" s="1081">
        <v>0.11041666666666666</v>
      </c>
      <c r="AM10" s="1082">
        <v>3170.0</v>
      </c>
      <c r="AN10" s="1081">
        <v>0.11041666666666666</v>
      </c>
      <c r="AO10" s="1082">
        <v>3170.0</v>
      </c>
      <c r="AP10" s="1081">
        <v>0.11041666666666666</v>
      </c>
      <c r="AQ10" s="1082">
        <v>3170.0</v>
      </c>
      <c r="AR10" s="1081">
        <v>0.11041666666666666</v>
      </c>
      <c r="AS10" s="1082">
        <v>3180.0</v>
      </c>
      <c r="AT10" s="1081">
        <v>8.078472222222222</v>
      </c>
      <c r="AU10" s="1082">
        <v>1.097E7</v>
      </c>
      <c r="AV10" s="1081">
        <v>7.153472222222222</v>
      </c>
      <c r="AW10" s="1082">
        <v>1.097E7</v>
      </c>
      <c r="AX10" s="1081">
        <v>7.581250000000001</v>
      </c>
      <c r="AY10" s="1082">
        <v>4.8081E11</v>
      </c>
      <c r="AZ10" s="1124"/>
      <c r="BA10" s="1124"/>
      <c r="BB10" s="1083">
        <v>0.11041666666666666</v>
      </c>
      <c r="BC10" s="1084">
        <v>3170.0</v>
      </c>
      <c r="BD10" s="1083">
        <v>0.11041666666666666</v>
      </c>
      <c r="BE10" s="1084">
        <v>3170.0</v>
      </c>
      <c r="BF10" s="1083">
        <v>0.11041666666666666</v>
      </c>
      <c r="BG10" s="1084">
        <v>3170.0</v>
      </c>
      <c r="BH10" s="1083">
        <v>0.7826388888888889</v>
      </c>
      <c r="BI10" s="1084">
        <v>2420000.0</v>
      </c>
      <c r="BJ10" s="1083">
        <v>1.1465277777777778</v>
      </c>
      <c r="BK10" s="1084">
        <v>1.462E7</v>
      </c>
      <c r="BL10" s="1083">
        <v>1.7763888888888888</v>
      </c>
      <c r="BM10" s="1084">
        <v>4.31E7</v>
      </c>
      <c r="BN10" s="1083">
        <v>1.7763888888888888</v>
      </c>
      <c r="BO10" s="1084">
        <v>4.31E7</v>
      </c>
      <c r="BP10" s="1083">
        <v>2.234027777777778</v>
      </c>
      <c r="BQ10" s="1084">
        <v>4.321E7</v>
      </c>
      <c r="BR10" s="1083">
        <v>4.480555555555555</v>
      </c>
      <c r="BS10" s="1084">
        <v>1.173E10</v>
      </c>
      <c r="BT10" s="1085">
        <v>0.33402777777777776</v>
      </c>
      <c r="BU10" s="1086">
        <v>2.46E9</v>
      </c>
      <c r="BV10" s="1085">
        <v>4.7124999999999995</v>
      </c>
      <c r="BW10" s="1086">
        <v>4.86E9</v>
      </c>
      <c r="BX10" s="1085">
        <v>6.264583333333333</v>
      </c>
      <c r="BY10" s="1086">
        <v>6.832E10</v>
      </c>
      <c r="BZ10" s="1085">
        <v>7.075</v>
      </c>
      <c r="CA10" s="1086">
        <v>8.932E10</v>
      </c>
      <c r="CB10" s="1085">
        <v>11.010416666666666</v>
      </c>
      <c r="CC10" s="1086">
        <v>6.725E11</v>
      </c>
      <c r="CD10" s="1083">
        <v>3.1989814814814816</v>
      </c>
      <c r="CE10" s="1087">
        <v>3.1729E11</v>
      </c>
      <c r="CF10" s="1083">
        <v>3.4620949074074074</v>
      </c>
      <c r="CG10" s="1087">
        <v>224300.0</v>
      </c>
      <c r="CH10" s="1088">
        <v>0.11041666666666666</v>
      </c>
      <c r="CI10" s="1089">
        <v>3180.0</v>
      </c>
      <c r="CJ10" s="1088">
        <v>0.11041666666666666</v>
      </c>
      <c r="CK10" s="1089">
        <v>3180.0</v>
      </c>
      <c r="CL10" s="1088">
        <v>0.11041666666666666</v>
      </c>
      <c r="CM10" s="1089">
        <v>3180.0</v>
      </c>
      <c r="CN10" s="1088">
        <v>0.11041666666666666</v>
      </c>
      <c r="CO10" s="1089">
        <v>3180.0</v>
      </c>
      <c r="CP10" s="1088">
        <v>0.16805555555555554</v>
      </c>
      <c r="CQ10" s="1089">
        <v>5680.0</v>
      </c>
      <c r="CR10" s="1088">
        <v>2.446527777777778</v>
      </c>
      <c r="CS10" s="1089">
        <v>58900.0</v>
      </c>
      <c r="CT10" s="1126"/>
      <c r="CU10" s="1125"/>
      <c r="CV10" s="1090">
        <v>5.638194444444444</v>
      </c>
      <c r="CW10" s="1091">
        <v>6.313E10</v>
      </c>
      <c r="CX10" s="1090">
        <v>5.638194444444444</v>
      </c>
      <c r="CY10" s="1091">
        <v>6.313E10</v>
      </c>
      <c r="CZ10" s="1090">
        <v>5.638194444444444</v>
      </c>
      <c r="DA10" s="1091">
        <v>6.313E10</v>
      </c>
      <c r="DB10" s="1090">
        <v>3.5347222222222223</v>
      </c>
      <c r="DC10" s="1091">
        <v>6.14E9</v>
      </c>
      <c r="DD10" s="1090">
        <v>3.5347222222222223</v>
      </c>
      <c r="DE10" s="1091">
        <v>6.14E9</v>
      </c>
      <c r="DF10" s="1092">
        <v>2.540277777777778</v>
      </c>
      <c r="DG10" s="1093">
        <v>4.347E7</v>
      </c>
      <c r="DH10" s="1124"/>
      <c r="DI10" s="1125"/>
      <c r="DJ10" s="1092">
        <v>3.327777777777778</v>
      </c>
      <c r="DK10" s="1093">
        <v>4.402E7</v>
      </c>
      <c r="DL10" s="1092">
        <v>2.540277777777778</v>
      </c>
      <c r="DM10" s="1093">
        <v>4.347E7</v>
      </c>
      <c r="DN10" s="1124"/>
      <c r="DO10" s="1125"/>
      <c r="DP10" s="1092">
        <v>2.540277777777778</v>
      </c>
      <c r="DQ10" s="1093">
        <v>4.347E7</v>
      </c>
      <c r="DR10" s="1092">
        <v>2.540277777777778</v>
      </c>
      <c r="DS10" s="1093">
        <v>4.347E7</v>
      </c>
      <c r="DT10" s="1124"/>
      <c r="DU10" s="1125"/>
      <c r="DV10" s="1092">
        <v>2.540277777777778</v>
      </c>
      <c r="DW10" s="1093">
        <v>4.347E7</v>
      </c>
      <c r="DX10" s="1092">
        <v>2.540277777777778</v>
      </c>
      <c r="DY10" s="1093">
        <v>4.347E7</v>
      </c>
      <c r="DZ10" s="1092">
        <v>4.831944444444445</v>
      </c>
      <c r="EA10" s="1093">
        <v>8.816E7</v>
      </c>
      <c r="EB10" s="1092">
        <v>4.831944444444445</v>
      </c>
      <c r="EC10" s="1093">
        <v>8.816E7</v>
      </c>
      <c r="ED10" s="1124"/>
      <c r="EE10" s="1125"/>
      <c r="EF10" s="1092">
        <v>3.998611111111111</v>
      </c>
      <c r="EG10" s="1093">
        <v>8.741E7</v>
      </c>
      <c r="EH10" s="1092">
        <v>3.998611111111111</v>
      </c>
      <c r="EI10" s="1093">
        <v>8.741E7</v>
      </c>
      <c r="EJ10" s="1092">
        <v>3.9991203703703704</v>
      </c>
      <c r="EK10" s="1093">
        <v>8.741E7</v>
      </c>
      <c r="EL10" s="1092">
        <v>3.9991203703703704</v>
      </c>
      <c r="EM10" s="1093">
        <v>8.741E7</v>
      </c>
      <c r="EN10" s="1092">
        <v>3.998611111111111</v>
      </c>
      <c r="EO10" s="1093">
        <v>8.741E7</v>
      </c>
      <c r="EP10" s="1092">
        <v>3.998611111111111</v>
      </c>
      <c r="EQ10" s="1093">
        <v>8.741E7</v>
      </c>
      <c r="ER10" s="1092">
        <v>3.998611111111111</v>
      </c>
      <c r="ES10" s="1093">
        <v>8.741E7</v>
      </c>
      <c r="ET10" s="1092">
        <v>3.998611111111111</v>
      </c>
      <c r="EU10" s="1093">
        <v>8.801E7</v>
      </c>
      <c r="EV10" s="1124"/>
      <c r="EW10" s="1125"/>
      <c r="EX10" s="1124"/>
      <c r="EY10" s="1125"/>
      <c r="EZ10" s="1124"/>
      <c r="FA10" s="1127"/>
      <c r="FB10" s="1092">
        <v>4.831944444444445</v>
      </c>
      <c r="FC10" s="1093">
        <v>1.1066E8</v>
      </c>
      <c r="FD10" s="1126"/>
      <c r="FE10" s="1125"/>
      <c r="FF10" s="1092">
        <v>4.831944444444445</v>
      </c>
      <c r="FG10" s="1094">
        <v>1.9787027E8</v>
      </c>
      <c r="FH10" s="1092">
        <v>4.831944444444445</v>
      </c>
      <c r="FI10" s="1094">
        <v>1.9787027E8</v>
      </c>
      <c r="FJ10" s="1092">
        <v>9.831666666666667</v>
      </c>
      <c r="FK10" s="1093">
        <v>2.87156757E8</v>
      </c>
      <c r="FL10" s="1124"/>
      <c r="FM10" s="1125"/>
      <c r="FN10" s="1139"/>
      <c r="FO10" s="1126"/>
      <c r="FP10" s="1092">
        <v>18.422337962962963</v>
      </c>
      <c r="FQ10" s="1094">
        <v>1.71E12</v>
      </c>
      <c r="FR10" s="1139"/>
      <c r="FS10" s="1126"/>
      <c r="FT10" s="1092">
        <v>18.422337962962963</v>
      </c>
      <c r="FU10" s="1094">
        <v>1.71E12</v>
      </c>
      <c r="FV10" s="1092">
        <v>18.422337962962963</v>
      </c>
      <c r="FW10" s="1094">
        <v>1.71E12</v>
      </c>
      <c r="FX10" s="1097">
        <v>7.127731481481481</v>
      </c>
      <c r="FY10" s="1098">
        <v>1.709E10</v>
      </c>
      <c r="FZ10" s="1097">
        <v>18.422337962962963</v>
      </c>
      <c r="GA10" s="1098">
        <v>1.71E12</v>
      </c>
      <c r="GB10" s="1097">
        <v>40.72592592592593</v>
      </c>
      <c r="GC10" s="1098">
        <v>2.919E13</v>
      </c>
      <c r="GD10" s="1092">
        <v>133.33333333333334</v>
      </c>
      <c r="GE10" s="1094">
        <v>1.522E17</v>
      </c>
      <c r="GF10" s="1124"/>
      <c r="GG10" s="1125"/>
      <c r="GH10" s="1100">
        <v>3.2069444444444444</v>
      </c>
      <c r="GI10" s="1101">
        <v>1.7267E8</v>
      </c>
      <c r="GJ10" s="1124"/>
      <c r="GK10" s="1125"/>
      <c r="GL10" s="1124"/>
      <c r="GM10" s="1125"/>
      <c r="GN10" s="1126"/>
      <c r="GO10" s="1125"/>
      <c r="GP10" s="1102">
        <v>3.3736111111111113</v>
      </c>
      <c r="GQ10" s="1134">
        <v>1.253E10</v>
      </c>
      <c r="GR10" s="1124"/>
      <c r="GS10" s="1125"/>
      <c r="GT10" s="1124"/>
      <c r="GU10" s="1125"/>
      <c r="GV10" s="1126"/>
      <c r="GW10" s="1125"/>
      <c r="GX10" s="1105">
        <v>93.75</v>
      </c>
      <c r="GY10" s="1106">
        <v>9.8E15</v>
      </c>
      <c r="GZ10" s="1124"/>
      <c r="HA10" s="1125"/>
      <c r="HB10" s="1107">
        <v>1.7763888888888888</v>
      </c>
      <c r="HC10" s="1108">
        <v>3.3694E8</v>
      </c>
      <c r="HD10" s="1124"/>
      <c r="HE10" s="1125"/>
      <c r="HF10" s="1107">
        <v>1.9388888888888889</v>
      </c>
      <c r="HG10" s="1108">
        <v>5.0536E8</v>
      </c>
      <c r="HH10" s="1124"/>
      <c r="HI10" s="1125"/>
      <c r="HJ10" s="1124"/>
      <c r="HK10" s="1125"/>
      <c r="HL10" s="1137">
        <v>333.3333333333333</v>
      </c>
      <c r="HM10" s="1108">
        <v>1.0E15</v>
      </c>
      <c r="HN10" s="1107">
        <v>5.985416666666667</v>
      </c>
      <c r="HO10" s="1108">
        <v>2.2E9</v>
      </c>
      <c r="HP10" s="1107">
        <v>5.898645833333333</v>
      </c>
      <c r="HQ10" s="1109">
        <v>1.9102E8</v>
      </c>
      <c r="HR10" s="1128">
        <v>4.9437500000000005</v>
      </c>
      <c r="HS10" s="1129">
        <v>1.08E9</v>
      </c>
      <c r="HT10" s="1128">
        <v>4.9437500000000005</v>
      </c>
      <c r="HU10" s="1129">
        <v>1.08E9</v>
      </c>
      <c r="HV10" s="1128">
        <v>4.9437500000000005</v>
      </c>
      <c r="HW10" s="1129">
        <v>1.08E9</v>
      </c>
      <c r="HX10" s="1130">
        <v>4.94375</v>
      </c>
      <c r="HY10" s="1129">
        <v>1.08E9</v>
      </c>
      <c r="HZ10" s="1124"/>
      <c r="IA10" s="1125"/>
      <c r="IB10" s="1130">
        <v>22.166817129629628</v>
      </c>
      <c r="IC10" s="1129">
        <v>1.71E12</v>
      </c>
      <c r="ID10" s="1130">
        <v>22.166817129629628</v>
      </c>
      <c r="IE10" s="1129">
        <v>1.71E12</v>
      </c>
      <c r="IF10" s="1130">
        <v>22.166817129629628</v>
      </c>
      <c r="IG10" s="1129">
        <v>1.71E12</v>
      </c>
      <c r="IH10" s="1113">
        <v>5.638194444444444</v>
      </c>
      <c r="II10" s="1114">
        <v>1.6813E11</v>
      </c>
      <c r="IJ10" s="1113">
        <v>5.638194444444444</v>
      </c>
      <c r="IK10" s="1114">
        <v>1.6813E11</v>
      </c>
      <c r="IL10" s="1113">
        <v>5.638194444444444</v>
      </c>
      <c r="IM10" s="1114">
        <v>2.4813E11</v>
      </c>
      <c r="IN10" s="1113">
        <v>5.638194444444444</v>
      </c>
      <c r="IO10" s="1114">
        <v>2.4813E11</v>
      </c>
      <c r="IP10" s="1113">
        <v>6.101388888888889</v>
      </c>
      <c r="IQ10" s="1114">
        <v>4.8813E11</v>
      </c>
      <c r="IR10" s="1113">
        <v>5.638194444444444</v>
      </c>
      <c r="IS10" s="1114">
        <v>2.4813E11</v>
      </c>
      <c r="IT10" s="1113">
        <v>5.638194444444444</v>
      </c>
      <c r="IU10" s="1114">
        <v>2.4813E11</v>
      </c>
      <c r="IV10" s="1113">
        <v>5.638194444444444</v>
      </c>
      <c r="IW10" s="1114">
        <v>2.4813E11</v>
      </c>
      <c r="IX10" s="1113">
        <v>5.638194444444444</v>
      </c>
      <c r="IY10" s="1114">
        <v>2.4813E11</v>
      </c>
      <c r="IZ10" s="1113">
        <v>5.638194444444444</v>
      </c>
      <c r="JA10" s="1114">
        <v>3.2813E11</v>
      </c>
      <c r="JB10" s="1113">
        <v>5.638194444444444</v>
      </c>
      <c r="JC10" s="1114">
        <v>3.2813E11</v>
      </c>
      <c r="JD10" s="1113">
        <v>5.638194444444444</v>
      </c>
      <c r="JE10" s="1114">
        <v>3.2813E11</v>
      </c>
      <c r="JF10" s="1113">
        <v>5.638194444444444</v>
      </c>
      <c r="JG10" s="1114">
        <v>3.2813E11</v>
      </c>
      <c r="JH10" s="1113">
        <v>6.101388888888889</v>
      </c>
      <c r="JI10" s="1114">
        <v>5.7813E11</v>
      </c>
      <c r="JJ10" s="1113">
        <v>86.39583333333333</v>
      </c>
      <c r="JK10" s="1115">
        <v>2.0E18</v>
      </c>
      <c r="JL10" s="1113">
        <v>86.39583333333333</v>
      </c>
      <c r="JM10" s="1115">
        <v>2.0E18</v>
      </c>
      <c r="JN10" s="1113">
        <v>86.39583333333333</v>
      </c>
      <c r="JO10" s="1115">
        <v>2.0E18</v>
      </c>
      <c r="JP10" s="1113">
        <v>86.39583333333333</v>
      </c>
      <c r="JQ10" s="1115">
        <v>2.0E18</v>
      </c>
      <c r="JR10" s="1113">
        <v>86.39583333333333</v>
      </c>
      <c r="JS10" s="1115">
        <v>2.0E18</v>
      </c>
      <c r="JT10" s="1113">
        <v>86.39583333333333</v>
      </c>
      <c r="JU10" s="1115">
        <v>2.0E18</v>
      </c>
      <c r="JV10" s="1113">
        <v>21.59861111111111</v>
      </c>
      <c r="JW10" s="1115">
        <v>1.05413504E13</v>
      </c>
      <c r="JX10" s="1116">
        <v>7.007314815</v>
      </c>
      <c r="JY10" s="1117">
        <v>3.29E9</v>
      </c>
      <c r="JZ10" s="1131">
        <v>1.664618056</v>
      </c>
      <c r="KA10" s="1132">
        <v>3.8368E8</v>
      </c>
      <c r="KB10" s="1116">
        <v>1.718402778</v>
      </c>
      <c r="KC10" s="1120">
        <v>1.03E9</v>
      </c>
      <c r="KD10" s="1116">
        <v>6.611909722</v>
      </c>
      <c r="KE10" s="1120">
        <v>5.576E10</v>
      </c>
      <c r="KF10" s="1116">
        <v>6.611909722</v>
      </c>
      <c r="KG10" s="1120">
        <v>5.576E10</v>
      </c>
      <c r="KH10" s="1116">
        <v>12.33140046</v>
      </c>
      <c r="KI10" s="1120">
        <v>4.61E12</v>
      </c>
      <c r="KJ10" s="1133"/>
      <c r="KK10" s="1133"/>
      <c r="KL10" s="1133"/>
      <c r="KM10" s="1133"/>
      <c r="KN10" s="1133"/>
      <c r="KO10" s="1133"/>
      <c r="KP10" s="1133"/>
      <c r="KQ10" s="1133"/>
      <c r="KR10" s="1133"/>
      <c r="KS10" s="1133"/>
      <c r="KT10" s="1133"/>
      <c r="KU10" s="1133"/>
      <c r="KV10" s="1131">
        <v>86.39583333333333</v>
      </c>
      <c r="KW10" s="1132">
        <v>2.0E18</v>
      </c>
      <c r="KX10" s="1131">
        <v>86.39583333333333</v>
      </c>
      <c r="KY10" s="1132">
        <v>2.0E18</v>
      </c>
      <c r="KZ10" s="1131">
        <v>86.39583333333333</v>
      </c>
      <c r="LA10" s="1132">
        <v>2.0E18</v>
      </c>
      <c r="LB10" s="1131">
        <v>86.39583333333333</v>
      </c>
      <c r="LC10" s="1132">
        <v>2.0E18</v>
      </c>
      <c r="LD10" s="1131">
        <v>86.39583333333333</v>
      </c>
      <c r="LE10" s="1132">
        <v>2.0E18</v>
      </c>
      <c r="LF10" s="1131">
        <v>86.39583333333333</v>
      </c>
      <c r="LG10" s="1132">
        <v>2.0E18</v>
      </c>
      <c r="LH10" s="1131">
        <v>86.39583333333333</v>
      </c>
      <c r="LI10" s="1132">
        <v>2.0E18</v>
      </c>
      <c r="LJ10" s="1131">
        <v>86.39583333333333</v>
      </c>
      <c r="LK10" s="1132">
        <v>2.0E18</v>
      </c>
      <c r="LL10" s="1100">
        <v>133.33333333333334</v>
      </c>
      <c r="LM10" s="1101">
        <v>1.522E17</v>
      </c>
      <c r="LN10" s="1122">
        <v>107.99513888888889</v>
      </c>
      <c r="LO10" s="1101">
        <v>1.5999999999999997E18</v>
      </c>
      <c r="LP10" s="1122">
        <v>107.99513888888889</v>
      </c>
      <c r="LQ10" s="1101">
        <v>1.5999999999999997E18</v>
      </c>
      <c r="LR10" s="1122">
        <v>107.99513888888889</v>
      </c>
      <c r="LS10" s="1101">
        <v>1.5999999999999997E18</v>
      </c>
      <c r="LT10" s="1122">
        <v>107.99513888888889</v>
      </c>
      <c r="LU10" s="1101">
        <v>1.5999999999999997E18</v>
      </c>
      <c r="LV10" s="1122">
        <v>107.99513888888889</v>
      </c>
      <c r="LW10" s="1101">
        <v>1.5999999999999997E18</v>
      </c>
      <c r="LX10" s="1122">
        <v>129.59375</v>
      </c>
      <c r="LY10" s="1123">
        <v>4.0E18</v>
      </c>
      <c r="LZ10" s="1122">
        <v>129.59375</v>
      </c>
      <c r="MA10" s="1123">
        <v>4.0E18</v>
      </c>
      <c r="MB10" s="1122">
        <v>129.59375</v>
      </c>
      <c r="MC10" s="1123">
        <v>4.0E18</v>
      </c>
      <c r="MD10" s="1122">
        <v>129.59375</v>
      </c>
      <c r="ME10" s="1123">
        <v>4.0E18</v>
      </c>
      <c r="MF10" s="1122">
        <v>102.59513888888888</v>
      </c>
      <c r="MG10" s="1123">
        <v>1.70859375E19</v>
      </c>
      <c r="MH10" s="1122">
        <v>102.59513888888888</v>
      </c>
      <c r="MI10" s="1123">
        <v>1.70859375E19</v>
      </c>
      <c r="MJ10" s="1122">
        <v>102.59513888888888</v>
      </c>
      <c r="MK10" s="1123">
        <v>1.70859375E19</v>
      </c>
      <c r="ML10" s="1122">
        <v>102.59513888888888</v>
      </c>
      <c r="MM10" s="1123">
        <v>1.70859375E19</v>
      </c>
      <c r="MN10" s="1122">
        <v>102.59513888888888</v>
      </c>
      <c r="MO10" s="1123">
        <v>1.70859375E19</v>
      </c>
      <c r="MP10" s="1122">
        <v>102.59513888888888</v>
      </c>
      <c r="MQ10" s="1123">
        <v>1.70859375E19</v>
      </c>
      <c r="MR10" s="1122">
        <v>151.73263888888889</v>
      </c>
      <c r="MS10" s="1123">
        <v>2.56E20</v>
      </c>
      <c r="MT10" s="1122">
        <v>151.73263888888889</v>
      </c>
      <c r="MU10" s="1123">
        <v>2.56E20</v>
      </c>
      <c r="MV10" s="1122">
        <v>151.73263888888889</v>
      </c>
      <c r="MW10" s="1123">
        <v>2.56E20</v>
      </c>
      <c r="MX10" s="1122">
        <v>151.73263888888889</v>
      </c>
      <c r="MY10" s="1123">
        <v>2.56E20</v>
      </c>
    </row>
    <row r="11">
      <c r="A11" s="1071">
        <v>9.0</v>
      </c>
      <c r="B11" s="1124"/>
      <c r="C11" s="1125"/>
      <c r="D11" s="1072">
        <v>0.14652777777777778</v>
      </c>
      <c r="E11" s="1073">
        <v>4510.0</v>
      </c>
      <c r="F11" s="1072">
        <v>0.14652777777777778</v>
      </c>
      <c r="G11" s="1074">
        <v>4510.0</v>
      </c>
      <c r="H11" s="1072">
        <v>0.14652777777777778</v>
      </c>
      <c r="I11" s="1073">
        <v>4510.0</v>
      </c>
      <c r="J11" s="1072">
        <v>0.14652777777777778</v>
      </c>
      <c r="K11" s="1073">
        <v>4510.0</v>
      </c>
      <c r="L11" s="1072">
        <v>0.20902777777777778</v>
      </c>
      <c r="M11" s="1075">
        <v>8270.0</v>
      </c>
      <c r="N11" s="1076">
        <v>0.1798611111111111</v>
      </c>
      <c r="O11" s="1073">
        <v>8470.0</v>
      </c>
      <c r="P11" s="1124"/>
      <c r="Q11" s="1125"/>
      <c r="R11" s="1124"/>
      <c r="S11" s="1125"/>
      <c r="T11" s="1124"/>
      <c r="U11" s="1125"/>
      <c r="V11" s="1124"/>
      <c r="W11" s="1125"/>
      <c r="X11" s="1124"/>
      <c r="Y11" s="1125"/>
      <c r="Z11" s="1124"/>
      <c r="AA11" s="1125"/>
      <c r="AB11" s="1124"/>
      <c r="AC11" s="1125"/>
      <c r="AD11" s="1072">
        <v>9.719444444444445</v>
      </c>
      <c r="AE11" s="1080">
        <v>8.157307210000001E9</v>
      </c>
      <c r="AF11" s="1072">
        <v>9.719444444444445</v>
      </c>
      <c r="AG11" s="1080">
        <v>8.157307210000001E9</v>
      </c>
      <c r="AH11" s="1072">
        <v>9.719444444444445</v>
      </c>
      <c r="AI11" s="1080">
        <v>8.157307210000001E9</v>
      </c>
      <c r="AJ11" s="1081">
        <v>0.14652777777777778</v>
      </c>
      <c r="AK11" s="1082">
        <v>4510.0</v>
      </c>
      <c r="AL11" s="1081">
        <v>0.14652777777777778</v>
      </c>
      <c r="AM11" s="1082">
        <v>4510.0</v>
      </c>
      <c r="AN11" s="1081">
        <v>0.14652777777777778</v>
      </c>
      <c r="AO11" s="1082">
        <v>4510.0</v>
      </c>
      <c r="AP11" s="1081">
        <v>0.14652777777777778</v>
      </c>
      <c r="AQ11" s="1082">
        <v>4510.0</v>
      </c>
      <c r="AR11" s="1081">
        <v>0.14652777777777778</v>
      </c>
      <c r="AS11" s="1082">
        <v>4520.0</v>
      </c>
      <c r="AT11" s="1081">
        <v>10.816666666666666</v>
      </c>
      <c r="AU11" s="1082">
        <v>1.936E7</v>
      </c>
      <c r="AV11" s="1081">
        <v>9.104861111111111</v>
      </c>
      <c r="AW11" s="1082">
        <v>1.936E7</v>
      </c>
      <c r="AX11" s="1081">
        <v>8.17986111111111</v>
      </c>
      <c r="AY11" s="1082">
        <v>5.2135E11</v>
      </c>
      <c r="AZ11" s="1124"/>
      <c r="BA11" s="1124"/>
      <c r="BB11" s="1083">
        <v>0.14652777777777778</v>
      </c>
      <c r="BC11" s="1084">
        <v>4510.0</v>
      </c>
      <c r="BD11" s="1083">
        <v>0.14652777777777778</v>
      </c>
      <c r="BE11" s="1084">
        <v>4510.0</v>
      </c>
      <c r="BF11" s="1083">
        <v>0.14652777777777778</v>
      </c>
      <c r="BG11" s="1084">
        <v>4510.0</v>
      </c>
      <c r="BH11" s="1083">
        <v>1.0930555555555554</v>
      </c>
      <c r="BI11" s="1084">
        <v>4110000.0</v>
      </c>
      <c r="BJ11" s="1083">
        <v>1.5638888888888889</v>
      </c>
      <c r="BK11" s="1084">
        <v>2.525E7</v>
      </c>
      <c r="BL11" s="1083">
        <v>2.3534722222222224</v>
      </c>
      <c r="BM11" s="1084">
        <v>7.65E7</v>
      </c>
      <c r="BN11" s="1083">
        <v>2.3534722222222224</v>
      </c>
      <c r="BO11" s="1084">
        <v>7.65E7</v>
      </c>
      <c r="BP11" s="1083">
        <v>3.0145833333333334</v>
      </c>
      <c r="BQ11" s="1084">
        <v>7.661E7</v>
      </c>
      <c r="BR11" s="1083">
        <v>5.379166666666666</v>
      </c>
      <c r="BS11" s="1084">
        <v>1.751E10</v>
      </c>
      <c r="BT11" s="1085">
        <v>0.36874999999999997</v>
      </c>
      <c r="BU11" s="1086">
        <v>2.7E9</v>
      </c>
      <c r="BV11" s="1085">
        <v>5.726388888888889</v>
      </c>
      <c r="BW11" s="1086">
        <v>5.69E9</v>
      </c>
      <c r="BX11" s="1085">
        <v>9.201388888888888</v>
      </c>
      <c r="BY11" s="1086">
        <v>7.422E10</v>
      </c>
      <c r="BZ11" s="1085">
        <v>10.127083333333333</v>
      </c>
      <c r="CA11" s="1086">
        <v>9.822E10</v>
      </c>
      <c r="CB11" s="1085">
        <v>14.29375</v>
      </c>
      <c r="CC11" s="1086">
        <v>7.2786E11</v>
      </c>
      <c r="CD11" s="1083">
        <v>3.3704282407407407</v>
      </c>
      <c r="CE11" s="1087">
        <v>3.2576E11</v>
      </c>
      <c r="CF11" s="1083">
        <v>4.246076388888889</v>
      </c>
      <c r="CG11" s="1087">
        <v>327700.0</v>
      </c>
      <c r="CH11" s="1088">
        <v>0.14652777777777778</v>
      </c>
      <c r="CI11" s="1089">
        <v>4520.0</v>
      </c>
      <c r="CJ11" s="1088">
        <v>0.14652777777777778</v>
      </c>
      <c r="CK11" s="1089">
        <v>4520.0</v>
      </c>
      <c r="CL11" s="1088">
        <v>0.14652777777777778</v>
      </c>
      <c r="CM11" s="1089">
        <v>4520.0</v>
      </c>
      <c r="CN11" s="1088">
        <v>0.14652777777777778</v>
      </c>
      <c r="CO11" s="1089">
        <v>4520.0</v>
      </c>
      <c r="CP11" s="1088">
        <v>0.22708333333333333</v>
      </c>
      <c r="CQ11" s="1089">
        <v>8480.0</v>
      </c>
      <c r="CR11" s="1088">
        <v>3.8819444444444446</v>
      </c>
      <c r="CS11" s="1089">
        <v>91940.0</v>
      </c>
      <c r="CT11" s="1126"/>
      <c r="CU11" s="1125"/>
      <c r="CV11" s="1090">
        <v>6.5368055555555555</v>
      </c>
      <c r="CW11" s="1091">
        <v>7.351E10</v>
      </c>
      <c r="CX11" s="1090">
        <v>6.5368055555555555</v>
      </c>
      <c r="CY11" s="1091">
        <v>7.351E10</v>
      </c>
      <c r="CZ11" s="1090">
        <v>6.5368055555555555</v>
      </c>
      <c r="DA11" s="1091">
        <v>7.351E10</v>
      </c>
      <c r="DB11" s="1090">
        <v>4.100694444444444</v>
      </c>
      <c r="DC11" s="1091">
        <v>8.94E9</v>
      </c>
      <c r="DD11" s="1090">
        <v>4.100694444444444</v>
      </c>
      <c r="DE11" s="1091">
        <v>8.94E9</v>
      </c>
      <c r="DF11" s="1092">
        <v>3.1173611111111112</v>
      </c>
      <c r="DG11" s="1093">
        <v>7.688E7</v>
      </c>
      <c r="DH11" s="1124"/>
      <c r="DI11" s="1125"/>
      <c r="DJ11" s="1092">
        <v>3.904166666666667</v>
      </c>
      <c r="DK11" s="1093">
        <v>7.743E7</v>
      </c>
      <c r="DL11" s="1092">
        <v>3.1173611111111112</v>
      </c>
      <c r="DM11" s="1093">
        <v>7.688E7</v>
      </c>
      <c r="DN11" s="1124"/>
      <c r="DO11" s="1125"/>
      <c r="DP11" s="1092">
        <v>3.1173611111111112</v>
      </c>
      <c r="DQ11" s="1093">
        <v>7.688E7</v>
      </c>
      <c r="DR11" s="1092">
        <v>3.1173611111111112</v>
      </c>
      <c r="DS11" s="1093">
        <v>7.688E7</v>
      </c>
      <c r="DT11" s="1124"/>
      <c r="DU11" s="1125"/>
      <c r="DV11" s="1092">
        <v>3.1173611111111112</v>
      </c>
      <c r="DW11" s="1093">
        <v>7.688E7</v>
      </c>
      <c r="DX11" s="1092">
        <v>3.1173611111111112</v>
      </c>
      <c r="DY11" s="1093">
        <v>7.688E7</v>
      </c>
      <c r="DZ11" s="1092">
        <v>5.617361111111111</v>
      </c>
      <c r="EA11" s="1093">
        <v>1.6166E8</v>
      </c>
      <c r="EB11" s="1092">
        <v>5.617361111111111</v>
      </c>
      <c r="EC11" s="1093">
        <v>1.6166E8</v>
      </c>
      <c r="ED11" s="1124"/>
      <c r="EE11" s="1125"/>
      <c r="EF11" s="1092">
        <v>4.784027777777778</v>
      </c>
      <c r="EG11" s="1093">
        <v>1.6091E8</v>
      </c>
      <c r="EH11" s="1092">
        <v>4.784027777777778</v>
      </c>
      <c r="EI11" s="1093">
        <v>1.6091E8</v>
      </c>
      <c r="EJ11" s="1092">
        <v>4.784375</v>
      </c>
      <c r="EK11" s="1093">
        <v>1.6091E8</v>
      </c>
      <c r="EL11" s="1092">
        <v>4.784375</v>
      </c>
      <c r="EM11" s="1093">
        <v>1.6091E8</v>
      </c>
      <c r="EN11" s="1092">
        <v>4.784027777777778</v>
      </c>
      <c r="EO11" s="1093">
        <v>1.6091E8</v>
      </c>
      <c r="EP11" s="1092">
        <v>4.784027777777778</v>
      </c>
      <c r="EQ11" s="1093">
        <v>1.6091E8</v>
      </c>
      <c r="ER11" s="1092">
        <v>4.784027777777778</v>
      </c>
      <c r="ES11" s="1093">
        <v>1.6091E8</v>
      </c>
      <c r="ET11" s="1092">
        <v>4.784027777777778</v>
      </c>
      <c r="EU11" s="1093">
        <v>1.6156E8</v>
      </c>
      <c r="EV11" s="1124"/>
      <c r="EW11" s="1125"/>
      <c r="EX11" s="1124"/>
      <c r="EY11" s="1125"/>
      <c r="EZ11" s="1124"/>
      <c r="FA11" s="1127"/>
      <c r="FB11" s="1092">
        <v>5.617361111111111</v>
      </c>
      <c r="FC11" s="1093">
        <v>1.8466E8</v>
      </c>
      <c r="FD11" s="1126"/>
      <c r="FE11" s="1125"/>
      <c r="FF11" s="1092">
        <v>5.617361111111111</v>
      </c>
      <c r="FG11" s="1094">
        <v>3.58875676E8</v>
      </c>
      <c r="FH11" s="1092">
        <v>5.617361111111111</v>
      </c>
      <c r="FI11" s="1094">
        <v>3.58875676E8</v>
      </c>
      <c r="FJ11" s="1092">
        <v>10.61650462962963</v>
      </c>
      <c r="FK11" s="1093">
        <v>3.60659459E8</v>
      </c>
      <c r="FL11" s="1124"/>
      <c r="FM11" s="1125"/>
      <c r="FN11" s="1139"/>
      <c r="FO11" s="1126"/>
      <c r="FP11" s="1092">
        <v>20.633020833333333</v>
      </c>
      <c r="FQ11" s="1094">
        <v>2.56E12</v>
      </c>
      <c r="FR11" s="1139"/>
      <c r="FS11" s="1126"/>
      <c r="FT11" s="1092">
        <v>20.633020833333333</v>
      </c>
      <c r="FU11" s="1094">
        <v>2.56E12</v>
      </c>
      <c r="FV11" s="1092">
        <v>20.633020833333333</v>
      </c>
      <c r="FW11" s="1094">
        <v>2.56E12</v>
      </c>
      <c r="FX11" s="1097">
        <v>8.648946759259259</v>
      </c>
      <c r="FY11" s="1098">
        <v>2.563E10</v>
      </c>
      <c r="FZ11" s="1097">
        <v>20.633020833333333</v>
      </c>
      <c r="GA11" s="1098">
        <v>2.56E12</v>
      </c>
      <c r="GB11" s="1097">
        <v>51.0866087962963</v>
      </c>
      <c r="GC11" s="1098">
        <v>6.568E13</v>
      </c>
      <c r="GD11" s="1092">
        <v>150.0</v>
      </c>
      <c r="GE11" s="1094">
        <v>3.119E17</v>
      </c>
      <c r="GF11" s="1124"/>
      <c r="GG11" s="1125"/>
      <c r="GH11" s="1100">
        <v>3.9923611111111112</v>
      </c>
      <c r="GI11" s="1101">
        <v>3.3258E8</v>
      </c>
      <c r="GJ11" s="1124"/>
      <c r="GK11" s="1125"/>
      <c r="GL11" s="1124"/>
      <c r="GM11" s="1125"/>
      <c r="GN11" s="1126"/>
      <c r="GO11" s="1125"/>
      <c r="GP11" s="1102">
        <v>4.159027777777778</v>
      </c>
      <c r="GQ11" s="1134">
        <v>1.713E10</v>
      </c>
      <c r="GR11" s="1124"/>
      <c r="GS11" s="1125"/>
      <c r="GT11" s="1124"/>
      <c r="GU11" s="1125"/>
      <c r="GV11" s="1126"/>
      <c r="GW11" s="1125"/>
      <c r="GX11" s="1105">
        <v>104.16666666666667</v>
      </c>
      <c r="GY11" s="1106">
        <v>1.0E16</v>
      </c>
      <c r="GZ11" s="1124"/>
      <c r="HA11" s="1125"/>
      <c r="HB11" s="1107">
        <v>2.3534722222222224</v>
      </c>
      <c r="HC11" s="1108">
        <v>6.5626E8</v>
      </c>
      <c r="HD11" s="1124"/>
      <c r="HE11" s="1125"/>
      <c r="HF11" s="1107">
        <v>2.5388888888888888</v>
      </c>
      <c r="HG11" s="1108">
        <v>9.8434E8</v>
      </c>
      <c r="HH11" s="1124"/>
      <c r="HI11" s="1125"/>
      <c r="HJ11" s="1124"/>
      <c r="HK11" s="1125"/>
      <c r="HL11" s="1124"/>
      <c r="HM11" s="1125"/>
      <c r="HN11" s="1107">
        <v>7.115277777777778</v>
      </c>
      <c r="HO11" s="1108">
        <v>3.23E9</v>
      </c>
      <c r="HP11" s="1107">
        <v>7.693263888888889</v>
      </c>
      <c r="HQ11" s="1109">
        <v>3.4806E8</v>
      </c>
      <c r="HR11" s="1128">
        <v>5.842361111111111</v>
      </c>
      <c r="HS11" s="1129">
        <v>1.91E9</v>
      </c>
      <c r="HT11" s="1128">
        <v>5.842361111111111</v>
      </c>
      <c r="HU11" s="1129">
        <v>1.91E9</v>
      </c>
      <c r="HV11" s="1128">
        <v>5.842361111111111</v>
      </c>
      <c r="HW11" s="1129">
        <v>1.91E9</v>
      </c>
      <c r="HX11" s="1130">
        <v>5.842361111111111</v>
      </c>
      <c r="HY11" s="1129">
        <v>1.91E9</v>
      </c>
      <c r="HZ11" s="1124"/>
      <c r="IA11" s="1125"/>
      <c r="IB11" s="1130">
        <v>25.49184027777778</v>
      </c>
      <c r="IC11" s="1129">
        <v>2.56E12</v>
      </c>
      <c r="ID11" s="1130">
        <v>25.49184027777778</v>
      </c>
      <c r="IE11" s="1129">
        <v>2.56E12</v>
      </c>
      <c r="IF11" s="1130">
        <v>25.49184027777778</v>
      </c>
      <c r="IG11" s="1129">
        <v>2.56E12</v>
      </c>
      <c r="IH11" s="1113">
        <v>6.5368055555555555</v>
      </c>
      <c r="II11" s="1114">
        <v>1.9351E11</v>
      </c>
      <c r="IJ11" s="1113">
        <v>6.5368055555555555</v>
      </c>
      <c r="IK11" s="1114">
        <v>1.9351E11</v>
      </c>
      <c r="IL11" s="1113">
        <v>6.5368055555555555</v>
      </c>
      <c r="IM11" s="1114">
        <v>2.8351E11</v>
      </c>
      <c r="IN11" s="1113">
        <v>6.5368055555555555</v>
      </c>
      <c r="IO11" s="1114">
        <v>2.8351E11</v>
      </c>
      <c r="IP11" s="1113">
        <v>7.0</v>
      </c>
      <c r="IQ11" s="1114">
        <v>5.5351E11</v>
      </c>
      <c r="IR11" s="1113">
        <v>6.5368055555555555</v>
      </c>
      <c r="IS11" s="1114">
        <v>2.8351E11</v>
      </c>
      <c r="IT11" s="1113">
        <v>6.5368055555555555</v>
      </c>
      <c r="IU11" s="1114">
        <v>2.8351E11</v>
      </c>
      <c r="IV11" s="1113">
        <v>6.5368055555555555</v>
      </c>
      <c r="IW11" s="1114">
        <v>2.8351E11</v>
      </c>
      <c r="IX11" s="1113">
        <v>6.5368055555555555</v>
      </c>
      <c r="IY11" s="1114">
        <v>2.8351E11</v>
      </c>
      <c r="IZ11" s="1113">
        <v>6.5368055555555555</v>
      </c>
      <c r="JA11" s="1114">
        <v>3.7351E11</v>
      </c>
      <c r="JB11" s="1113">
        <v>6.5368055555555555</v>
      </c>
      <c r="JC11" s="1114">
        <v>3.7351E11</v>
      </c>
      <c r="JD11" s="1113">
        <v>6.5368055555555555</v>
      </c>
      <c r="JE11" s="1114">
        <v>3.7351E11</v>
      </c>
      <c r="JF11" s="1113">
        <v>6.5368055555555555</v>
      </c>
      <c r="JG11" s="1114">
        <v>3.7351E11</v>
      </c>
      <c r="JH11" s="1113">
        <v>7.0</v>
      </c>
      <c r="JI11" s="1114">
        <v>6.5351E11</v>
      </c>
      <c r="JJ11" s="1113">
        <v>97.19513888888889</v>
      </c>
      <c r="JK11" s="1115">
        <v>2.25E18</v>
      </c>
      <c r="JL11" s="1113">
        <v>97.19513888888889</v>
      </c>
      <c r="JM11" s="1115">
        <v>2.25E18</v>
      </c>
      <c r="JN11" s="1113">
        <v>97.19513888888889</v>
      </c>
      <c r="JO11" s="1115">
        <v>2.25E18</v>
      </c>
      <c r="JP11" s="1113">
        <v>97.19513888888889</v>
      </c>
      <c r="JQ11" s="1115">
        <v>2.25E18</v>
      </c>
      <c r="JR11" s="1113">
        <v>97.19513888888889</v>
      </c>
      <c r="JS11" s="1115">
        <v>2.25E18</v>
      </c>
      <c r="JT11" s="1113">
        <v>97.19513888888889</v>
      </c>
      <c r="JU11" s="1115">
        <v>2.25E18</v>
      </c>
      <c r="JV11" s="1113">
        <v>24.29861111111111</v>
      </c>
      <c r="JW11" s="1115">
        <v>1.475789056E13</v>
      </c>
      <c r="JX11" s="1116">
        <v>7.57318287</v>
      </c>
      <c r="JY11" s="1117">
        <v>5.02E9</v>
      </c>
      <c r="JZ11" s="1131">
        <v>1.708773148</v>
      </c>
      <c r="KA11" s="1132">
        <v>5.4981E8</v>
      </c>
      <c r="KB11" s="1116">
        <v>1.785787037</v>
      </c>
      <c r="KC11" s="1120">
        <v>1.54E9</v>
      </c>
      <c r="KD11" s="1116">
        <v>6.870891204</v>
      </c>
      <c r="KE11" s="1120">
        <v>8.276E10</v>
      </c>
      <c r="KF11" s="1116">
        <v>6.870891204</v>
      </c>
      <c r="KG11" s="1120">
        <v>8.276E10</v>
      </c>
      <c r="KH11" s="1116">
        <v>13.01299769</v>
      </c>
      <c r="KI11" s="1120">
        <v>7.32E12</v>
      </c>
      <c r="KJ11" s="1133"/>
      <c r="KK11" s="1133"/>
      <c r="KL11" s="1133"/>
      <c r="KM11" s="1133"/>
      <c r="KN11" s="1133"/>
      <c r="KO11" s="1133"/>
      <c r="KP11" s="1133"/>
      <c r="KQ11" s="1133"/>
      <c r="KR11" s="1133"/>
      <c r="KS11" s="1133"/>
      <c r="KT11" s="1133"/>
      <c r="KU11" s="1133"/>
      <c r="KV11" s="1131">
        <v>97.19513888888889</v>
      </c>
      <c r="KW11" s="1132">
        <v>2.25E18</v>
      </c>
      <c r="KX11" s="1131">
        <v>97.19513888888889</v>
      </c>
      <c r="KY11" s="1132">
        <v>2.25E18</v>
      </c>
      <c r="KZ11" s="1131">
        <v>97.19513888888889</v>
      </c>
      <c r="LA11" s="1132">
        <v>2.25E18</v>
      </c>
      <c r="LB11" s="1131">
        <v>97.19513888888889</v>
      </c>
      <c r="LC11" s="1132">
        <v>2.25E18</v>
      </c>
      <c r="LD11" s="1131">
        <v>97.19513888888889</v>
      </c>
      <c r="LE11" s="1132">
        <v>2.25E18</v>
      </c>
      <c r="LF11" s="1131">
        <v>97.19513888888889</v>
      </c>
      <c r="LG11" s="1132">
        <v>2.25E18</v>
      </c>
      <c r="LH11" s="1131">
        <v>97.19513888888889</v>
      </c>
      <c r="LI11" s="1132">
        <v>2.25E18</v>
      </c>
      <c r="LJ11" s="1131">
        <v>97.19513888888889</v>
      </c>
      <c r="LK11" s="1132">
        <v>2.25E18</v>
      </c>
      <c r="LL11" s="1100">
        <v>150.0</v>
      </c>
      <c r="LM11" s="1101">
        <v>3.119E17</v>
      </c>
      <c r="LN11" s="1122">
        <v>121.49444444444444</v>
      </c>
      <c r="LO11" s="1101">
        <v>1.7999999999999997E18</v>
      </c>
      <c r="LP11" s="1122">
        <v>121.49444444444444</v>
      </c>
      <c r="LQ11" s="1101">
        <v>1.7999999999999997E18</v>
      </c>
      <c r="LR11" s="1122">
        <v>121.49444444444444</v>
      </c>
      <c r="LS11" s="1101">
        <v>1.7999999999999997E18</v>
      </c>
      <c r="LT11" s="1122">
        <v>121.49444444444444</v>
      </c>
      <c r="LU11" s="1101">
        <v>1.7999999999999997E18</v>
      </c>
      <c r="LV11" s="1122">
        <v>121.49444444444444</v>
      </c>
      <c r="LW11" s="1101">
        <v>1.7999999999999997E18</v>
      </c>
      <c r="LX11" s="1122">
        <v>145.79305555555555</v>
      </c>
      <c r="LY11" s="1123">
        <v>4.5E18</v>
      </c>
      <c r="LZ11" s="1122">
        <v>145.79305555555555</v>
      </c>
      <c r="MA11" s="1123">
        <v>4.5E18</v>
      </c>
      <c r="MB11" s="1122">
        <v>145.79305555555555</v>
      </c>
      <c r="MC11" s="1123">
        <v>4.5E18</v>
      </c>
      <c r="MD11" s="1122">
        <v>145.79305555555555</v>
      </c>
      <c r="ME11" s="1123">
        <v>4.5E18</v>
      </c>
      <c r="MF11" s="1122">
        <v>113.39444444444445</v>
      </c>
      <c r="MG11" s="1123">
        <v>2.562890625E19</v>
      </c>
      <c r="MH11" s="1122">
        <v>113.39444444444445</v>
      </c>
      <c r="MI11" s="1123">
        <v>2.562890625E19</v>
      </c>
      <c r="MJ11" s="1122">
        <v>113.39444444444445</v>
      </c>
      <c r="MK11" s="1123">
        <v>2.562890625E19</v>
      </c>
      <c r="ML11" s="1122">
        <v>113.39444444444445</v>
      </c>
      <c r="MM11" s="1123">
        <v>2.562890625E19</v>
      </c>
      <c r="MN11" s="1122">
        <v>113.39444444444445</v>
      </c>
      <c r="MO11" s="1123">
        <v>2.562890625E19</v>
      </c>
      <c r="MP11" s="1122">
        <v>113.39444444444445</v>
      </c>
      <c r="MQ11" s="1123">
        <v>2.562890625E19</v>
      </c>
      <c r="MR11" s="1122">
        <v>169.55208333333334</v>
      </c>
      <c r="MS11" s="1123">
        <v>5.12E20</v>
      </c>
      <c r="MT11" s="1122">
        <v>169.55208333333334</v>
      </c>
      <c r="MU11" s="1123">
        <v>5.12E20</v>
      </c>
      <c r="MV11" s="1122">
        <v>169.55208333333334</v>
      </c>
      <c r="MW11" s="1123">
        <v>5.12E20</v>
      </c>
      <c r="MX11" s="1122">
        <v>169.55208333333334</v>
      </c>
      <c r="MY11" s="1123">
        <v>5.12E20</v>
      </c>
    </row>
    <row r="12">
      <c r="A12" s="1071">
        <v>10.0</v>
      </c>
      <c r="B12" s="1140"/>
      <c r="C12" s="1141"/>
      <c r="D12" s="1077">
        <v>0.18888888888888888</v>
      </c>
      <c r="E12" s="1078">
        <v>6170.0</v>
      </c>
      <c r="F12" s="1077">
        <v>0.18888888888888888</v>
      </c>
      <c r="G12" s="1142">
        <v>6170.0</v>
      </c>
      <c r="H12" s="1077">
        <v>0.18888888888888888</v>
      </c>
      <c r="I12" s="1078">
        <v>6170.0</v>
      </c>
      <c r="J12" s="1077">
        <v>0.18888888888888888</v>
      </c>
      <c r="K12" s="1078">
        <v>6170.0</v>
      </c>
      <c r="L12" s="1077">
        <v>0.27152777777777776</v>
      </c>
      <c r="M12" s="1143">
        <v>11790.0</v>
      </c>
      <c r="N12" s="1144">
        <v>0.23055555555555557</v>
      </c>
      <c r="O12" s="1078">
        <v>12120.0</v>
      </c>
      <c r="P12" s="1140"/>
      <c r="Q12" s="1141"/>
      <c r="R12" s="1140"/>
      <c r="S12" s="1141"/>
      <c r="T12" s="1140"/>
      <c r="U12" s="1141"/>
      <c r="V12" s="1140"/>
      <c r="W12" s="1141"/>
      <c r="X12" s="1140"/>
      <c r="Y12" s="1141"/>
      <c r="Z12" s="1140"/>
      <c r="AA12" s="1141"/>
      <c r="AB12" s="1140"/>
      <c r="AC12" s="1141"/>
      <c r="AD12" s="1077">
        <v>10.799305555555556</v>
      </c>
      <c r="AE12" s="1145">
        <v>1.060449937E10</v>
      </c>
      <c r="AF12" s="1077">
        <v>10.799305555555556</v>
      </c>
      <c r="AG12" s="1145">
        <v>1.060449937E10</v>
      </c>
      <c r="AH12" s="1077">
        <v>10.799305555555556</v>
      </c>
      <c r="AI12" s="1145">
        <v>1.060449937E10</v>
      </c>
      <c r="AJ12" s="1146">
        <v>0.18888888888888888</v>
      </c>
      <c r="AK12" s="1147">
        <v>6170.0</v>
      </c>
      <c r="AL12" s="1146">
        <v>0.18888888888888888</v>
      </c>
      <c r="AM12" s="1147">
        <v>6170.0</v>
      </c>
      <c r="AN12" s="1146">
        <v>0.18888888888888888</v>
      </c>
      <c r="AO12" s="1147">
        <v>6170.0</v>
      </c>
      <c r="AP12" s="1146">
        <v>0.18888888888888888</v>
      </c>
      <c r="AQ12" s="1147">
        <v>6170.0</v>
      </c>
      <c r="AR12" s="1146">
        <v>0.18888888888888888</v>
      </c>
      <c r="AS12" s="1147">
        <v>6180.0</v>
      </c>
      <c r="AT12" s="1146">
        <v>14.614583333333334</v>
      </c>
      <c r="AU12" s="1147">
        <v>3.254E7</v>
      </c>
      <c r="AV12" s="1146">
        <v>11.68125</v>
      </c>
      <c r="AW12" s="1147">
        <v>3.254E7</v>
      </c>
      <c r="AX12" s="1146">
        <v>8.781944444444445</v>
      </c>
      <c r="AY12" s="1147">
        <v>5.6211E11</v>
      </c>
      <c r="AZ12" s="1140"/>
      <c r="BA12" s="1140"/>
      <c r="BB12" s="1085">
        <v>0.18888888888888888</v>
      </c>
      <c r="BC12" s="1086">
        <v>6170.0</v>
      </c>
      <c r="BD12" s="1085">
        <v>0.18888888888888888</v>
      </c>
      <c r="BE12" s="1086">
        <v>6170.0</v>
      </c>
      <c r="BF12" s="1085">
        <v>0.18888888888888888</v>
      </c>
      <c r="BG12" s="1086">
        <v>6170.0</v>
      </c>
      <c r="BH12" s="1085">
        <v>1.4958333333333333</v>
      </c>
      <c r="BI12" s="1086">
        <v>6580000.0</v>
      </c>
      <c r="BJ12" s="1085">
        <v>2.102777777777778</v>
      </c>
      <c r="BK12" s="1086">
        <v>4.09E7</v>
      </c>
      <c r="BL12" s="1085">
        <v>3.0909722222222222</v>
      </c>
      <c r="BM12" s="1086">
        <v>1.2691E8</v>
      </c>
      <c r="BN12" s="1085">
        <v>3.0909722222222222</v>
      </c>
      <c r="BO12" s="1086">
        <v>1.2691E8</v>
      </c>
      <c r="BP12" s="1085">
        <v>4.0375</v>
      </c>
      <c r="BQ12" s="1086">
        <v>1.2702E8</v>
      </c>
      <c r="BR12" s="1085">
        <v>6.489583333333333</v>
      </c>
      <c r="BS12" s="1086">
        <v>2.554E10</v>
      </c>
      <c r="BT12" s="1085">
        <v>0.4097222222222222</v>
      </c>
      <c r="BU12" s="1086">
        <v>2.94E9</v>
      </c>
      <c r="BV12" s="1085">
        <v>6.952083333333333</v>
      </c>
      <c r="BW12" s="1086">
        <v>6.65E9</v>
      </c>
      <c r="BX12" s="1085">
        <v>13.516666666666667</v>
      </c>
      <c r="BY12" s="1086">
        <v>8.022E10</v>
      </c>
      <c r="BZ12" s="1085">
        <v>14.558333333333334</v>
      </c>
      <c r="CA12" s="1086">
        <v>1.0722E11</v>
      </c>
      <c r="CB12" s="1085">
        <v>18.95625</v>
      </c>
      <c r="CC12" s="1086">
        <v>7.8363E11</v>
      </c>
      <c r="CD12" s="1083">
        <v>3.557824074074074</v>
      </c>
      <c r="CE12" s="1087">
        <v>3.3662E11</v>
      </c>
      <c r="CF12" s="1083">
        <v>5.189444444444445</v>
      </c>
      <c r="CG12" s="1087">
        <v>459900.0</v>
      </c>
      <c r="CH12" s="1090">
        <v>0.18888888888888888</v>
      </c>
      <c r="CI12" s="1091">
        <v>6180.0</v>
      </c>
      <c r="CJ12" s="1090">
        <v>0.18888888888888888</v>
      </c>
      <c r="CK12" s="1091">
        <v>6180.0</v>
      </c>
      <c r="CL12" s="1090">
        <v>0.18888888888888888</v>
      </c>
      <c r="CM12" s="1091">
        <v>6180.0</v>
      </c>
      <c r="CN12" s="1090">
        <v>0.18888888888888888</v>
      </c>
      <c r="CO12" s="1091">
        <v>6180.0</v>
      </c>
      <c r="CP12" s="1090">
        <v>0.2972222222222222</v>
      </c>
      <c r="CQ12" s="1091">
        <v>12130.0</v>
      </c>
      <c r="CR12" s="1090">
        <v>5.860416666666667</v>
      </c>
      <c r="CS12" s="1091">
        <v>136870.0</v>
      </c>
      <c r="CT12" s="1148"/>
      <c r="CU12" s="1141"/>
      <c r="CV12" s="1090">
        <v>7.646527777777778</v>
      </c>
      <c r="CW12" s="1091">
        <v>8.614E10</v>
      </c>
      <c r="CX12" s="1090">
        <v>7.646527777777778</v>
      </c>
      <c r="CY12" s="1091">
        <v>8.614E10</v>
      </c>
      <c r="CZ12" s="1090">
        <v>7.646527777777778</v>
      </c>
      <c r="DA12" s="1091">
        <v>8.614E10</v>
      </c>
      <c r="DB12" s="1090">
        <v>4.735416666666667</v>
      </c>
      <c r="DC12" s="1091">
        <v>1.273E10</v>
      </c>
      <c r="DD12" s="1090">
        <v>4.735416666666667</v>
      </c>
      <c r="DE12" s="1091">
        <v>1.273E10</v>
      </c>
      <c r="DF12" s="1149">
        <v>3.854861111111111</v>
      </c>
      <c r="DG12" s="1150">
        <v>1.2731E8</v>
      </c>
      <c r="DH12" s="1140"/>
      <c r="DI12" s="1141"/>
      <c r="DJ12" s="1149">
        <v>4.641666666666667</v>
      </c>
      <c r="DK12" s="1150">
        <v>1.2786E8</v>
      </c>
      <c r="DL12" s="1149">
        <v>3.854861111111111</v>
      </c>
      <c r="DM12" s="1150">
        <v>1.2731E8</v>
      </c>
      <c r="DN12" s="1140"/>
      <c r="DO12" s="1141"/>
      <c r="DP12" s="1149">
        <v>3.854861111111111</v>
      </c>
      <c r="DQ12" s="1150">
        <v>1.2731E8</v>
      </c>
      <c r="DR12" s="1149">
        <v>3.854861111111111</v>
      </c>
      <c r="DS12" s="1150">
        <v>1.2731E8</v>
      </c>
      <c r="DT12" s="1140"/>
      <c r="DU12" s="1141"/>
      <c r="DV12" s="1149">
        <v>3.854861111111111</v>
      </c>
      <c r="DW12" s="1150">
        <v>1.2731E8</v>
      </c>
      <c r="DX12" s="1149">
        <v>3.854861111111111</v>
      </c>
      <c r="DY12" s="1150">
        <v>1.2731E8</v>
      </c>
      <c r="DZ12" s="1149">
        <v>6.563194444444444</v>
      </c>
      <c r="EA12" s="1150">
        <v>2.7737E8</v>
      </c>
      <c r="EB12" s="1149">
        <v>6.563194444444444</v>
      </c>
      <c r="EC12" s="1150">
        <v>2.7737E8</v>
      </c>
      <c r="ED12" s="1140"/>
      <c r="EE12" s="1141"/>
      <c r="EF12" s="1149">
        <v>5.729861111111111</v>
      </c>
      <c r="EG12" s="1150">
        <v>2.7662E8</v>
      </c>
      <c r="EH12" s="1149">
        <v>5.729861111111111</v>
      </c>
      <c r="EI12" s="1150">
        <v>2.7662E8</v>
      </c>
      <c r="EJ12" s="1092">
        <v>5.730196759259259</v>
      </c>
      <c r="EK12" s="1093">
        <v>2.7662E8</v>
      </c>
      <c r="EL12" s="1149">
        <v>5.730196759259259</v>
      </c>
      <c r="EM12" s="1150">
        <v>2.7662E8</v>
      </c>
      <c r="EN12" s="1149">
        <v>5.729861111111111</v>
      </c>
      <c r="EO12" s="1150">
        <v>2.7662E8</v>
      </c>
      <c r="EP12" s="1149">
        <v>5.729861111111111</v>
      </c>
      <c r="EQ12" s="1150">
        <v>2.7662E8</v>
      </c>
      <c r="ER12" s="1149">
        <v>5.729861111111111</v>
      </c>
      <c r="ES12" s="1150">
        <v>2.7662E8</v>
      </c>
      <c r="ET12" s="1149">
        <v>5.729861111111111</v>
      </c>
      <c r="EU12" s="1150">
        <v>2.7732E8</v>
      </c>
      <c r="EV12" s="1140"/>
      <c r="EW12" s="1141"/>
      <c r="EX12" s="1140"/>
      <c r="EY12" s="1141"/>
      <c r="EZ12" s="1140"/>
      <c r="FA12" s="1151"/>
      <c r="FB12" s="1149">
        <v>6.563194444444444</v>
      </c>
      <c r="FC12" s="1150">
        <v>3.0087E8</v>
      </c>
      <c r="FD12" s="1148"/>
      <c r="FE12" s="1141"/>
      <c r="FF12" s="1149">
        <v>6.563194444444444</v>
      </c>
      <c r="FG12" s="1094">
        <v>6.23091892E8</v>
      </c>
      <c r="FH12" s="1092">
        <v>6.563194444444444</v>
      </c>
      <c r="FI12" s="1094">
        <v>6.23091892E8</v>
      </c>
      <c r="FJ12" s="1092">
        <v>11.562835648148148</v>
      </c>
      <c r="FK12" s="1093">
        <v>4.76367568E8</v>
      </c>
      <c r="FL12" s="1140"/>
      <c r="FM12" s="1141"/>
      <c r="FN12" s="1152"/>
      <c r="FO12" s="1148"/>
      <c r="FP12" s="1149">
        <v>23.108981481481482</v>
      </c>
      <c r="FQ12" s="1153">
        <v>3.84E12</v>
      </c>
      <c r="FR12" s="1152"/>
      <c r="FS12" s="1148"/>
      <c r="FT12" s="1149">
        <v>23.108981481481482</v>
      </c>
      <c r="FU12" s="1153">
        <v>3.84E12</v>
      </c>
      <c r="FV12" s="1149">
        <v>23.108981481481482</v>
      </c>
      <c r="FW12" s="1153">
        <v>3.84E12</v>
      </c>
      <c r="FX12" s="1154">
        <v>8.974780092592592</v>
      </c>
      <c r="FY12" s="1155">
        <v>3.844E10</v>
      </c>
      <c r="FZ12" s="1154">
        <v>23.108981481481482</v>
      </c>
      <c r="GA12" s="1155">
        <v>3.84E12</v>
      </c>
      <c r="GB12" s="1154">
        <v>64.12471064814815</v>
      </c>
      <c r="GC12" s="1155">
        <v>1.4779E14</v>
      </c>
      <c r="GD12" s="1092">
        <v>166.66666666666666</v>
      </c>
      <c r="GE12" s="1153">
        <v>6.394E17</v>
      </c>
      <c r="GF12" s="1140"/>
      <c r="GG12" s="1141"/>
      <c r="GH12" s="1102">
        <v>4.938194444444444</v>
      </c>
      <c r="GI12" s="1103">
        <v>5.9569E8</v>
      </c>
      <c r="GJ12" s="1140"/>
      <c r="GK12" s="1141"/>
      <c r="GL12" s="1140"/>
      <c r="GM12" s="1141"/>
      <c r="GN12" s="1148"/>
      <c r="GO12" s="1141"/>
      <c r="GP12" s="1102">
        <v>5.104861111111111</v>
      </c>
      <c r="GQ12" s="1134">
        <v>3.214E10</v>
      </c>
      <c r="GR12" s="1140"/>
      <c r="GS12" s="1141"/>
      <c r="GT12" s="1140"/>
      <c r="GU12" s="1141"/>
      <c r="GV12" s="1148"/>
      <c r="GW12" s="1141"/>
      <c r="GX12" s="1156"/>
      <c r="GY12" s="1157"/>
      <c r="GZ12" s="1140"/>
      <c r="HA12" s="1141"/>
      <c r="HB12" s="1158">
        <v>3.0909722222222222</v>
      </c>
      <c r="HC12" s="1159">
        <v>1.18E9</v>
      </c>
      <c r="HD12" s="1140"/>
      <c r="HE12" s="1141"/>
      <c r="HF12" s="1158">
        <v>3.2993055555555557</v>
      </c>
      <c r="HG12" s="1159">
        <v>1.77E9</v>
      </c>
      <c r="HH12" s="1140"/>
      <c r="HI12" s="1141"/>
      <c r="HJ12" s="1140"/>
      <c r="HK12" s="1141"/>
      <c r="HL12" s="1140"/>
      <c r="HM12" s="1141"/>
      <c r="HN12" s="1158">
        <v>8.456944444444444</v>
      </c>
      <c r="HO12" s="1159">
        <v>4.92E9</v>
      </c>
      <c r="HP12" s="1158">
        <v>10.169884259259259</v>
      </c>
      <c r="HQ12" s="1160">
        <v>5.9104E8</v>
      </c>
      <c r="HR12" s="1161">
        <v>6.952083333333333</v>
      </c>
      <c r="HS12" s="1162">
        <v>3.25E9</v>
      </c>
      <c r="HT12" s="1161">
        <v>6.952083333333333</v>
      </c>
      <c r="HU12" s="1162">
        <v>3.25E9</v>
      </c>
      <c r="HV12" s="1161">
        <v>6.952083333333333</v>
      </c>
      <c r="HW12" s="1162">
        <v>3.25E9</v>
      </c>
      <c r="HX12" s="1163">
        <v>6.952083333333333</v>
      </c>
      <c r="HY12" s="1162">
        <v>3.25E9</v>
      </c>
      <c r="HZ12" s="1140"/>
      <c r="IA12" s="1141"/>
      <c r="IB12" s="1163">
        <v>29.315625</v>
      </c>
      <c r="IC12" s="1162">
        <v>3.84E12</v>
      </c>
      <c r="ID12" s="1163">
        <v>29.315625</v>
      </c>
      <c r="IE12" s="1162">
        <v>3.84E12</v>
      </c>
      <c r="IF12" s="1163">
        <v>29.315625</v>
      </c>
      <c r="IG12" s="1162">
        <v>3.84E12</v>
      </c>
      <c r="IH12" s="1113">
        <v>7.646527777777778</v>
      </c>
      <c r="II12" s="1114">
        <v>2.2114E11</v>
      </c>
      <c r="IJ12" s="1113">
        <v>7.646527777777778</v>
      </c>
      <c r="IK12" s="1114">
        <v>2.2114E11</v>
      </c>
      <c r="IL12" s="1113">
        <v>7.646527777777778</v>
      </c>
      <c r="IM12" s="1114">
        <v>3.2114E11</v>
      </c>
      <c r="IN12" s="1113">
        <v>7.646527777777778</v>
      </c>
      <c r="IO12" s="1114">
        <v>3.2114E11</v>
      </c>
      <c r="IP12" s="1113">
        <v>8.109722222222222</v>
      </c>
      <c r="IQ12" s="1114">
        <v>6.2114E11</v>
      </c>
      <c r="IR12" s="1113">
        <v>7.646527777777778</v>
      </c>
      <c r="IS12" s="1114">
        <v>3.2114E11</v>
      </c>
      <c r="IT12" s="1113">
        <v>7.646527777777778</v>
      </c>
      <c r="IU12" s="1114">
        <v>3.2114E11</v>
      </c>
      <c r="IV12" s="1113">
        <v>7.646527777777778</v>
      </c>
      <c r="IW12" s="1114">
        <v>3.2114E11</v>
      </c>
      <c r="IX12" s="1113">
        <v>7.646527777777778</v>
      </c>
      <c r="IY12" s="1114">
        <v>3.2114E11</v>
      </c>
      <c r="IZ12" s="1113">
        <v>7.646527777777778</v>
      </c>
      <c r="JA12" s="1114">
        <v>4.2114E11</v>
      </c>
      <c r="JB12" s="1113">
        <v>7.646527777777778</v>
      </c>
      <c r="JC12" s="1114">
        <v>4.2114E11</v>
      </c>
      <c r="JD12" s="1113">
        <v>7.646527777777778</v>
      </c>
      <c r="JE12" s="1114">
        <v>4.2114E11</v>
      </c>
      <c r="JF12" s="1113">
        <v>7.646527777777778</v>
      </c>
      <c r="JG12" s="1114">
        <v>4.2114E11</v>
      </c>
      <c r="JH12" s="1113">
        <v>8.109722222222222</v>
      </c>
      <c r="JI12" s="1114">
        <v>7.3114E11</v>
      </c>
      <c r="JJ12" s="1113">
        <v>107.99513888888889</v>
      </c>
      <c r="JK12" s="1115">
        <v>2.5E18</v>
      </c>
      <c r="JL12" s="1113">
        <v>107.99513888888889</v>
      </c>
      <c r="JM12" s="1115">
        <v>2.5E18</v>
      </c>
      <c r="JN12" s="1113">
        <v>107.99513888888889</v>
      </c>
      <c r="JO12" s="1115">
        <v>2.5E18</v>
      </c>
      <c r="JP12" s="1113">
        <v>107.99513888888889</v>
      </c>
      <c r="JQ12" s="1115">
        <v>2.5E18</v>
      </c>
      <c r="JR12" s="1113">
        <v>107.99513888888889</v>
      </c>
      <c r="JS12" s="1115">
        <v>2.5E18</v>
      </c>
      <c r="JT12" s="1113">
        <v>107.99513888888889</v>
      </c>
      <c r="JU12" s="1115">
        <v>2.5E18</v>
      </c>
      <c r="JV12" s="1113">
        <v>26.99861111111111</v>
      </c>
      <c r="JW12" s="1115">
        <v>2.066104678E13</v>
      </c>
      <c r="JX12" s="1116">
        <v>8.208217593</v>
      </c>
      <c r="JY12" s="1117">
        <v>7.32E9</v>
      </c>
      <c r="JZ12" s="1164">
        <v>1.7540625</v>
      </c>
      <c r="KA12" s="1165">
        <v>7.5528E8</v>
      </c>
      <c r="KB12" s="1116">
        <v>1.859421296</v>
      </c>
      <c r="KC12" s="1120">
        <v>2.19E9</v>
      </c>
      <c r="KD12" s="1116">
        <v>7.151423611</v>
      </c>
      <c r="KE12" s="1120">
        <v>1.1831E11</v>
      </c>
      <c r="KF12" s="1116">
        <v>7.151423611</v>
      </c>
      <c r="KG12" s="1120">
        <v>1.1831E11</v>
      </c>
      <c r="KH12" s="1116">
        <v>13.76377315</v>
      </c>
      <c r="KI12" s="1120">
        <v>1.101E13</v>
      </c>
      <c r="KJ12" s="1133"/>
      <c r="KK12" s="1133"/>
      <c r="KL12" s="1133"/>
      <c r="KM12" s="1133"/>
      <c r="KN12" s="1133"/>
      <c r="KO12" s="1133"/>
      <c r="KP12" s="1133"/>
      <c r="KQ12" s="1133"/>
      <c r="KR12" s="1133"/>
      <c r="KS12" s="1133"/>
      <c r="KT12" s="1133"/>
      <c r="KU12" s="1133"/>
      <c r="KV12" s="1164">
        <v>107.99513888888889</v>
      </c>
      <c r="KW12" s="1165">
        <v>2.5E18</v>
      </c>
      <c r="KX12" s="1164">
        <v>107.99513888888889</v>
      </c>
      <c r="KY12" s="1165">
        <v>2.5E18</v>
      </c>
      <c r="KZ12" s="1164">
        <v>107.99513888888889</v>
      </c>
      <c r="LA12" s="1165">
        <v>2.5E18</v>
      </c>
      <c r="LB12" s="1164">
        <v>107.99513888888889</v>
      </c>
      <c r="LC12" s="1165">
        <v>2.5E18</v>
      </c>
      <c r="LD12" s="1164">
        <v>107.99513888888889</v>
      </c>
      <c r="LE12" s="1165">
        <v>2.5E18</v>
      </c>
      <c r="LF12" s="1164">
        <v>107.99513888888889</v>
      </c>
      <c r="LG12" s="1165">
        <v>2.5E18</v>
      </c>
      <c r="LH12" s="1164">
        <v>107.99513888888889</v>
      </c>
      <c r="LI12" s="1165">
        <v>2.5E18</v>
      </c>
      <c r="LJ12" s="1164">
        <v>107.99513888888889</v>
      </c>
      <c r="LK12" s="1165">
        <v>2.5E18</v>
      </c>
      <c r="LL12" s="1102">
        <v>166.66666666666666</v>
      </c>
      <c r="LM12" s="1103">
        <v>6.394E17</v>
      </c>
      <c r="LN12" s="1104">
        <v>134.99375</v>
      </c>
      <c r="LO12" s="1103">
        <v>1.9999999999999997E18</v>
      </c>
      <c r="LP12" s="1104">
        <v>134.99375</v>
      </c>
      <c r="LQ12" s="1103">
        <v>1.9999999999999997E18</v>
      </c>
      <c r="LR12" s="1104">
        <v>134.99375</v>
      </c>
      <c r="LS12" s="1103">
        <v>1.9999999999999997E18</v>
      </c>
      <c r="LT12" s="1104">
        <v>134.99375</v>
      </c>
      <c r="LU12" s="1103">
        <v>1.9999999999999997E18</v>
      </c>
      <c r="LV12" s="1104">
        <v>134.99375</v>
      </c>
      <c r="LW12" s="1103">
        <v>1.9999999999999997E18</v>
      </c>
      <c r="LX12" s="1104">
        <v>161.9923611111111</v>
      </c>
      <c r="LY12" s="1166">
        <v>5.0E18</v>
      </c>
      <c r="LZ12" s="1104">
        <v>161.9923611111111</v>
      </c>
      <c r="MA12" s="1166">
        <v>5.0E18</v>
      </c>
      <c r="MB12" s="1104">
        <v>161.9923611111111</v>
      </c>
      <c r="MC12" s="1166">
        <v>5.0E18</v>
      </c>
      <c r="MD12" s="1104">
        <v>161.9923611111111</v>
      </c>
      <c r="ME12" s="1166">
        <v>5.0E18</v>
      </c>
      <c r="MF12" s="1104">
        <v>124.19444444444444</v>
      </c>
      <c r="MG12" s="1166">
        <v>3.8443359375E19</v>
      </c>
      <c r="MH12" s="1104">
        <v>124.19444444444444</v>
      </c>
      <c r="MI12" s="1166">
        <v>3.8443359375E19</v>
      </c>
      <c r="MJ12" s="1104">
        <v>124.19444444444444</v>
      </c>
      <c r="MK12" s="1166">
        <v>3.8443359375E19</v>
      </c>
      <c r="ML12" s="1104">
        <v>124.19444444444444</v>
      </c>
      <c r="MM12" s="1166">
        <v>3.8443359375E19</v>
      </c>
      <c r="MN12" s="1104">
        <v>124.19444444444444</v>
      </c>
      <c r="MO12" s="1166">
        <v>3.8443359375E19</v>
      </c>
      <c r="MP12" s="1104">
        <v>124.19444444444444</v>
      </c>
      <c r="MQ12" s="1166">
        <v>3.8443359375E19</v>
      </c>
      <c r="MR12" s="1104">
        <v>187.37152777777777</v>
      </c>
      <c r="MS12" s="1166">
        <v>1.024E21</v>
      </c>
      <c r="MT12" s="1104">
        <v>187.37152777777777</v>
      </c>
      <c r="MU12" s="1166">
        <v>1.024E21</v>
      </c>
      <c r="MV12" s="1104">
        <v>187.37152777777777</v>
      </c>
      <c r="MW12" s="1166">
        <v>1.024E21</v>
      </c>
      <c r="MX12" s="1104">
        <v>187.37152777777777</v>
      </c>
      <c r="MY12" s="1166">
        <v>1.024E21</v>
      </c>
    </row>
    <row r="13">
      <c r="A13" s="1071">
        <v>11.0</v>
      </c>
      <c r="B13" s="1124"/>
      <c r="C13" s="1125"/>
      <c r="D13" s="1072">
        <v>0.23819444444444443</v>
      </c>
      <c r="E13" s="1073">
        <v>8170.0</v>
      </c>
      <c r="F13" s="1072">
        <v>0.23819444444444443</v>
      </c>
      <c r="G13" s="1074">
        <v>8170.0</v>
      </c>
      <c r="H13" s="1072">
        <v>0.23819444444444443</v>
      </c>
      <c r="I13" s="1073">
        <v>8170.0</v>
      </c>
      <c r="J13" s="1072">
        <v>0.23819444444444443</v>
      </c>
      <c r="K13" s="1073">
        <v>8170.0</v>
      </c>
      <c r="L13" s="1072">
        <v>0.3451388888888889</v>
      </c>
      <c r="M13" s="1075">
        <v>16200.0</v>
      </c>
      <c r="N13" s="1076">
        <v>0.2875</v>
      </c>
      <c r="O13" s="1073">
        <v>16710.0</v>
      </c>
      <c r="P13" s="1124"/>
      <c r="Q13" s="1125"/>
      <c r="R13" s="1124"/>
      <c r="S13" s="1125"/>
      <c r="T13" s="1124"/>
      <c r="U13" s="1125"/>
      <c r="V13" s="1124"/>
      <c r="W13" s="1125"/>
      <c r="X13" s="1124"/>
      <c r="Y13" s="1125"/>
      <c r="Z13" s="1124"/>
      <c r="AA13" s="1125"/>
      <c r="AB13" s="1124"/>
      <c r="AC13" s="1125"/>
      <c r="AD13" s="1072">
        <v>11.879166666666666</v>
      </c>
      <c r="AE13" s="1080">
        <v>1.378584918E10</v>
      </c>
      <c r="AF13" s="1072">
        <v>11.879166666666666</v>
      </c>
      <c r="AG13" s="1080">
        <v>1.378584918E10</v>
      </c>
      <c r="AH13" s="1072">
        <v>11.879166666666666</v>
      </c>
      <c r="AI13" s="1080">
        <v>1.378584918E10</v>
      </c>
      <c r="AJ13" s="1081">
        <v>0.23819444444444443</v>
      </c>
      <c r="AK13" s="1082">
        <v>8170.0</v>
      </c>
      <c r="AL13" s="1081">
        <v>0.23819444444444443</v>
      </c>
      <c r="AM13" s="1082">
        <v>8170.0</v>
      </c>
      <c r="AN13" s="1081">
        <v>0.23819444444444443</v>
      </c>
      <c r="AO13" s="1082">
        <v>8170.0</v>
      </c>
      <c r="AP13" s="1081">
        <v>0.23819444444444443</v>
      </c>
      <c r="AQ13" s="1082">
        <v>8170.0</v>
      </c>
      <c r="AR13" s="1081">
        <v>0.23819444444444443</v>
      </c>
      <c r="AS13" s="1082">
        <v>8180.0</v>
      </c>
      <c r="AT13" s="1081">
        <v>19.78472222222222</v>
      </c>
      <c r="AU13" s="1082">
        <v>5.232E7</v>
      </c>
      <c r="AV13" s="1081">
        <v>15.045833333333333</v>
      </c>
      <c r="AW13" s="1082">
        <v>5.232E7</v>
      </c>
      <c r="AX13" s="1081">
        <v>9.3875</v>
      </c>
      <c r="AY13" s="1082">
        <v>6.0315E11</v>
      </c>
      <c r="AZ13" s="1124"/>
      <c r="BA13" s="1124"/>
      <c r="BB13" s="1083">
        <v>0.23819444444444443</v>
      </c>
      <c r="BC13" s="1084">
        <v>8170.0</v>
      </c>
      <c r="BD13" s="1083">
        <v>0.23819444444444443</v>
      </c>
      <c r="BE13" s="1084">
        <v>8170.0</v>
      </c>
      <c r="BF13" s="1083">
        <v>0.23819444444444443</v>
      </c>
      <c r="BG13" s="1084">
        <v>8170.0</v>
      </c>
      <c r="BH13" s="1083">
        <v>2.004861111111111</v>
      </c>
      <c r="BI13" s="1084">
        <v>1.002E7</v>
      </c>
      <c r="BJ13" s="1083">
        <v>2.7847222222222223</v>
      </c>
      <c r="BK13" s="1084">
        <v>6.299E7</v>
      </c>
      <c r="BL13" s="1083">
        <v>4.020138888888889</v>
      </c>
      <c r="BM13" s="1084">
        <v>1.996E8</v>
      </c>
      <c r="BN13" s="1083">
        <v>4.020138888888889</v>
      </c>
      <c r="BO13" s="1084">
        <v>1.996E8</v>
      </c>
      <c r="BP13" s="1083">
        <v>5.354861111111111</v>
      </c>
      <c r="BQ13" s="1084">
        <v>1.9972E8</v>
      </c>
      <c r="BR13" s="1126"/>
      <c r="BS13" s="1125"/>
      <c r="BT13" s="1085">
        <v>0.45763888888888893</v>
      </c>
      <c r="BU13" s="1086">
        <v>3.2E9</v>
      </c>
      <c r="BV13" s="1085">
        <v>8.433333333333334</v>
      </c>
      <c r="BW13" s="1086">
        <v>7.75E9</v>
      </c>
      <c r="BX13" s="1085">
        <v>19.637534722222224</v>
      </c>
      <c r="BY13" s="1086">
        <v>8.631E10</v>
      </c>
      <c r="BZ13" s="1085">
        <v>20.794444444444444</v>
      </c>
      <c r="CA13" s="1086">
        <v>1.1631E11</v>
      </c>
      <c r="CB13" s="1126"/>
      <c r="CC13" s="1125"/>
      <c r="CD13" s="1083">
        <v>3.7625231481481483</v>
      </c>
      <c r="CE13" s="1087">
        <v>3.502E11</v>
      </c>
      <c r="CF13" s="1133"/>
      <c r="CG13" s="1167"/>
      <c r="CH13" s="1088">
        <v>0.23819444444444443</v>
      </c>
      <c r="CI13" s="1089">
        <v>8180.0</v>
      </c>
      <c r="CJ13" s="1088">
        <v>0.23819444444444443</v>
      </c>
      <c r="CK13" s="1089">
        <v>8180.0</v>
      </c>
      <c r="CL13" s="1088">
        <v>0.23819444444444443</v>
      </c>
      <c r="CM13" s="1089">
        <v>8180.0</v>
      </c>
      <c r="CN13" s="1088">
        <v>0.23819444444444443</v>
      </c>
      <c r="CO13" s="1089">
        <v>8180.0</v>
      </c>
      <c r="CP13" s="1088">
        <v>0.38055555555555554</v>
      </c>
      <c r="CQ13" s="1089">
        <v>16720.0</v>
      </c>
      <c r="CR13" s="1088">
        <v>8.495833333333334</v>
      </c>
      <c r="CS13" s="1089">
        <v>195990.0</v>
      </c>
      <c r="CT13" s="1126"/>
      <c r="CU13" s="1125"/>
      <c r="CV13" s="1090">
        <v>9.011805555555556</v>
      </c>
      <c r="CW13" s="1091">
        <v>1.0155E11</v>
      </c>
      <c r="CX13" s="1090">
        <v>9.011805555555556</v>
      </c>
      <c r="CY13" s="1091">
        <v>1.0155E11</v>
      </c>
      <c r="CZ13" s="1090">
        <v>9.011805555555556</v>
      </c>
      <c r="DA13" s="1091">
        <v>1.0155E11</v>
      </c>
      <c r="DB13" s="1090">
        <v>5.450694444444445</v>
      </c>
      <c r="DC13" s="1091">
        <v>1.771E10</v>
      </c>
      <c r="DD13" s="1090">
        <v>5.450694444444445</v>
      </c>
      <c r="DE13" s="1091">
        <v>1.771E10</v>
      </c>
      <c r="DF13" s="1092">
        <v>4.784027777777778</v>
      </c>
      <c r="DG13" s="1093">
        <v>2.0003E8</v>
      </c>
      <c r="DH13" s="1124"/>
      <c r="DI13" s="1125"/>
      <c r="DJ13" s="1092">
        <v>5.570833333333334</v>
      </c>
      <c r="DK13" s="1093">
        <v>2.0058E8</v>
      </c>
      <c r="DL13" s="1092">
        <v>4.784027777777778</v>
      </c>
      <c r="DM13" s="1093">
        <v>2.0003E8</v>
      </c>
      <c r="DN13" s="1124"/>
      <c r="DO13" s="1125"/>
      <c r="DP13" s="1092">
        <v>4.784027777777778</v>
      </c>
      <c r="DQ13" s="1093">
        <v>2.0003E8</v>
      </c>
      <c r="DR13" s="1092">
        <v>4.784027777777778</v>
      </c>
      <c r="DS13" s="1093">
        <v>2.0003E8</v>
      </c>
      <c r="DT13" s="1124"/>
      <c r="DU13" s="1125"/>
      <c r="DV13" s="1092">
        <v>4.784027777777778</v>
      </c>
      <c r="DW13" s="1093">
        <v>2.0003E8</v>
      </c>
      <c r="DX13" s="1092">
        <v>4.784027777777778</v>
      </c>
      <c r="DY13" s="1093">
        <v>2.0003E8</v>
      </c>
      <c r="DZ13" s="1092">
        <v>7.700694444444444</v>
      </c>
      <c r="EA13" s="1093">
        <v>4.5068E8</v>
      </c>
      <c r="EB13" s="1092">
        <v>7.700694444444444</v>
      </c>
      <c r="EC13" s="1093">
        <v>4.5068E8</v>
      </c>
      <c r="ED13" s="1124"/>
      <c r="EE13" s="1125"/>
      <c r="EF13" s="1092">
        <v>6.867361111111111</v>
      </c>
      <c r="EG13" s="1093">
        <v>4.4993E8</v>
      </c>
      <c r="EH13" s="1092">
        <v>6.867361111111111</v>
      </c>
      <c r="EI13" s="1093">
        <v>4.4993E8</v>
      </c>
      <c r="EJ13" s="1092">
        <v>7.200636574074074</v>
      </c>
      <c r="EK13" s="1093">
        <v>3.3462E8</v>
      </c>
      <c r="EL13" s="1092">
        <v>6.867581018518519</v>
      </c>
      <c r="EM13" s="1093">
        <v>4.4993E8</v>
      </c>
      <c r="EN13" s="1092">
        <v>6.867361111111111</v>
      </c>
      <c r="EO13" s="1093">
        <v>4.4993E8</v>
      </c>
      <c r="EP13" s="1092">
        <v>6.867361111111111</v>
      </c>
      <c r="EQ13" s="1093">
        <v>4.4993E8</v>
      </c>
      <c r="ER13" s="1092">
        <v>6.867361111111111</v>
      </c>
      <c r="ES13" s="1093">
        <v>4.4993E8</v>
      </c>
      <c r="ET13" s="1092">
        <v>6.867361111111111</v>
      </c>
      <c r="EU13" s="1093">
        <v>4.5068E8</v>
      </c>
      <c r="EV13" s="1124"/>
      <c r="EW13" s="1125"/>
      <c r="EX13" s="1124"/>
      <c r="EY13" s="1125"/>
      <c r="EZ13" s="1124"/>
      <c r="FA13" s="1125"/>
      <c r="FB13" s="1126"/>
      <c r="FC13" s="1125"/>
      <c r="FD13" s="1126"/>
      <c r="FE13" s="1125"/>
      <c r="FF13" s="1092">
        <v>7.700694444444444</v>
      </c>
      <c r="FG13" s="1094">
        <v>1.03E9</v>
      </c>
      <c r="FH13" s="1092">
        <v>7.700694444444444</v>
      </c>
      <c r="FI13" s="1094">
        <v>1.03E9</v>
      </c>
      <c r="FJ13" s="1092">
        <v>12.700416666666667</v>
      </c>
      <c r="FK13" s="1093">
        <v>6.49686486E8</v>
      </c>
      <c r="FL13" s="1124"/>
      <c r="FM13" s="1125"/>
      <c r="FN13" s="1139"/>
      <c r="FO13" s="1126"/>
      <c r="FP13" s="1092">
        <v>25.882060185185185</v>
      </c>
      <c r="FQ13" s="1094">
        <v>5.77E12</v>
      </c>
      <c r="FR13" s="1139"/>
      <c r="FS13" s="1126"/>
      <c r="FT13" s="1092">
        <v>25.882060185185185</v>
      </c>
      <c r="FU13" s="1094">
        <v>5.77E12</v>
      </c>
      <c r="FV13" s="1092">
        <v>25.882060185185185</v>
      </c>
      <c r="FW13" s="1094">
        <v>5.77E12</v>
      </c>
      <c r="FX13" s="1097">
        <v>10.042754629629629</v>
      </c>
      <c r="FY13" s="1098">
        <v>5.767E10</v>
      </c>
      <c r="FZ13" s="1097">
        <v>25.882060185185185</v>
      </c>
      <c r="GA13" s="1098">
        <v>5.77E12</v>
      </c>
      <c r="GB13" s="1133"/>
      <c r="GC13" s="1133"/>
      <c r="GD13" s="1133"/>
      <c r="GE13" s="1167"/>
      <c r="GF13" s="1124"/>
      <c r="GG13" s="1125"/>
      <c r="GH13" s="1100">
        <v>6.075694444444444</v>
      </c>
      <c r="GI13" s="1101">
        <v>1.01E9</v>
      </c>
      <c r="GJ13" s="1124"/>
      <c r="GK13" s="1125"/>
      <c r="GL13" s="1124"/>
      <c r="GM13" s="1125"/>
      <c r="GN13" s="1126"/>
      <c r="GO13" s="1125"/>
      <c r="GP13" s="1102">
        <v>6.242361111111111</v>
      </c>
      <c r="GQ13" s="1134">
        <v>4.355E10</v>
      </c>
      <c r="GR13" s="1124"/>
      <c r="GS13" s="1125"/>
      <c r="GT13" s="1124"/>
      <c r="GU13" s="1125"/>
      <c r="GV13" s="1126"/>
      <c r="GW13" s="1125"/>
      <c r="GX13" s="1168"/>
      <c r="GY13" s="1133"/>
      <c r="GZ13" s="1124"/>
      <c r="HA13" s="1125"/>
      <c r="HB13" s="1107">
        <v>4.020138888888889</v>
      </c>
      <c r="HC13" s="1108">
        <v>2.0E9</v>
      </c>
      <c r="HD13" s="1124"/>
      <c r="HE13" s="1125"/>
      <c r="HF13" s="1107">
        <v>4.251388888888889</v>
      </c>
      <c r="HG13" s="1108">
        <v>3.0E9</v>
      </c>
      <c r="HH13" s="1124"/>
      <c r="HI13" s="1125"/>
      <c r="HJ13" s="1124"/>
      <c r="HK13" s="1125"/>
      <c r="HL13" s="1124"/>
      <c r="HM13" s="1125"/>
      <c r="HN13" s="1126"/>
      <c r="HO13" s="1125"/>
      <c r="HP13" s="1107">
        <v>13.499166666666667</v>
      </c>
      <c r="HQ13" s="1109">
        <v>9.4928E8</v>
      </c>
      <c r="HR13" s="1128">
        <v>8.31736111111111</v>
      </c>
      <c r="HS13" s="1129">
        <v>5.33E9</v>
      </c>
      <c r="HT13" s="1128">
        <v>8.31736111111111</v>
      </c>
      <c r="HU13" s="1129">
        <v>5.33E9</v>
      </c>
      <c r="HV13" s="1128">
        <v>8.31736111111111</v>
      </c>
      <c r="HW13" s="1129">
        <v>5.33E9</v>
      </c>
      <c r="HX13" s="1130">
        <v>8.317361111111111</v>
      </c>
      <c r="HY13" s="1129">
        <v>5.33E9</v>
      </c>
      <c r="HZ13" s="1124"/>
      <c r="IA13" s="1125"/>
      <c r="IB13" s="1130">
        <v>33.71296296296296</v>
      </c>
      <c r="IC13" s="1129">
        <v>5.77E12</v>
      </c>
      <c r="ID13" s="1130">
        <v>33.71296296296296</v>
      </c>
      <c r="IE13" s="1129">
        <v>5.77E12</v>
      </c>
      <c r="IF13" s="1130">
        <v>33.71296296296296</v>
      </c>
      <c r="IG13" s="1129">
        <v>5.77E12</v>
      </c>
      <c r="IH13" s="1113">
        <v>9.011805555555556</v>
      </c>
      <c r="II13" s="1114">
        <v>2.5155E11</v>
      </c>
      <c r="IJ13" s="1113">
        <v>9.011805555555556</v>
      </c>
      <c r="IK13" s="1114">
        <v>2.5155E11</v>
      </c>
      <c r="IL13" s="1113">
        <v>9.011805555555556</v>
      </c>
      <c r="IM13" s="1114">
        <v>3.6155E11</v>
      </c>
      <c r="IN13" s="1113">
        <v>9.011805555555556</v>
      </c>
      <c r="IO13" s="1114">
        <v>3.6155E11</v>
      </c>
      <c r="IP13" s="1113">
        <v>9.475000000000001</v>
      </c>
      <c r="IQ13" s="1114">
        <v>6.9155E11</v>
      </c>
      <c r="IR13" s="1113">
        <v>9.011805555555556</v>
      </c>
      <c r="IS13" s="1114">
        <v>3.6155E11</v>
      </c>
      <c r="IT13" s="1113">
        <v>9.011805555555556</v>
      </c>
      <c r="IU13" s="1114">
        <v>3.6155E11</v>
      </c>
      <c r="IV13" s="1113">
        <v>9.011805555555556</v>
      </c>
      <c r="IW13" s="1114">
        <v>3.6155E11</v>
      </c>
      <c r="IX13" s="1113">
        <v>9.011805555555556</v>
      </c>
      <c r="IY13" s="1114">
        <v>3.6155E11</v>
      </c>
      <c r="IZ13" s="1113">
        <v>9.011805555555556</v>
      </c>
      <c r="JA13" s="1114">
        <v>4.7155E11</v>
      </c>
      <c r="JB13" s="1113">
        <v>9.011805555555556</v>
      </c>
      <c r="JC13" s="1114">
        <v>4.7155E11</v>
      </c>
      <c r="JD13" s="1113">
        <v>9.011805555555556</v>
      </c>
      <c r="JE13" s="1114">
        <v>4.7155E11</v>
      </c>
      <c r="JF13" s="1113">
        <v>9.011805555555556</v>
      </c>
      <c r="JG13" s="1114">
        <v>4.7155E11</v>
      </c>
      <c r="JH13" s="1113">
        <v>9.475000000000001</v>
      </c>
      <c r="JI13" s="1114">
        <v>8.1155E11</v>
      </c>
      <c r="JJ13" s="1113">
        <v>118.79444444444445</v>
      </c>
      <c r="JK13" s="1115">
        <v>2.75E18</v>
      </c>
      <c r="JL13" s="1113">
        <v>118.79444444444445</v>
      </c>
      <c r="JM13" s="1115">
        <v>2.75E18</v>
      </c>
      <c r="JN13" s="1113">
        <v>118.79444444444445</v>
      </c>
      <c r="JO13" s="1115">
        <v>2.75E18</v>
      </c>
      <c r="JP13" s="1113">
        <v>118.79444444444445</v>
      </c>
      <c r="JQ13" s="1115">
        <v>2.75E18</v>
      </c>
      <c r="JR13" s="1113">
        <v>118.79444444444445</v>
      </c>
      <c r="JS13" s="1115">
        <v>2.75E18</v>
      </c>
      <c r="JT13" s="1113">
        <v>118.79444444444445</v>
      </c>
      <c r="JU13" s="1115">
        <v>2.75E18</v>
      </c>
      <c r="JV13" s="1113">
        <v>29.698611111111113</v>
      </c>
      <c r="JW13" s="1115">
        <v>2.89254655E13</v>
      </c>
      <c r="JX13" s="1169"/>
      <c r="JY13" s="1167"/>
      <c r="JZ13" s="1116">
        <v>1.800451389</v>
      </c>
      <c r="KA13" s="1120">
        <v>1.0E9</v>
      </c>
      <c r="KB13" s="1116">
        <v>1.939618056</v>
      </c>
      <c r="KC13" s="1120">
        <v>3.0E9</v>
      </c>
      <c r="KD13" s="1116">
        <v>7.455636574</v>
      </c>
      <c r="KE13" s="1120">
        <v>1.6369E11</v>
      </c>
      <c r="KF13" s="1116">
        <v>7.455636574</v>
      </c>
      <c r="KG13" s="1120">
        <v>1.6369E11</v>
      </c>
      <c r="KH13" s="1169"/>
      <c r="KI13" s="1167"/>
      <c r="KJ13" s="1133"/>
      <c r="KK13" s="1133"/>
      <c r="KL13" s="1133"/>
      <c r="KM13" s="1133"/>
      <c r="KN13" s="1133"/>
      <c r="KO13" s="1133"/>
      <c r="KP13" s="1133"/>
      <c r="KQ13" s="1133"/>
      <c r="KR13" s="1133"/>
      <c r="KS13" s="1133"/>
      <c r="KT13" s="1133"/>
      <c r="KU13" s="1133"/>
      <c r="KV13" s="1118">
        <v>118.79444444444445</v>
      </c>
      <c r="KW13" s="1119">
        <v>2.75E18</v>
      </c>
      <c r="KX13" s="1118">
        <v>118.79444444444445</v>
      </c>
      <c r="KY13" s="1119">
        <v>2.75E18</v>
      </c>
      <c r="KZ13" s="1118">
        <v>118.79444444444445</v>
      </c>
      <c r="LA13" s="1119">
        <v>2.75E18</v>
      </c>
      <c r="LB13" s="1118">
        <v>118.79444444444445</v>
      </c>
      <c r="LC13" s="1119">
        <v>2.75E18</v>
      </c>
      <c r="LD13" s="1118">
        <v>118.79444444444445</v>
      </c>
      <c r="LE13" s="1119">
        <v>2.75E18</v>
      </c>
      <c r="LF13" s="1118">
        <v>118.79444444444445</v>
      </c>
      <c r="LG13" s="1119">
        <v>2.75E18</v>
      </c>
      <c r="LH13" s="1118">
        <v>118.79444444444445</v>
      </c>
      <c r="LI13" s="1119">
        <v>2.75E18</v>
      </c>
      <c r="LJ13" s="1118">
        <v>118.79444444444445</v>
      </c>
      <c r="LK13" s="1119">
        <v>2.75E18</v>
      </c>
      <c r="LL13" s="1133"/>
      <c r="LM13" s="1133"/>
      <c r="LN13" s="1122">
        <v>148.49305555555554</v>
      </c>
      <c r="LO13" s="1101">
        <v>2.1999999999999997E18</v>
      </c>
      <c r="LP13" s="1122">
        <v>148.49305555555554</v>
      </c>
      <c r="LQ13" s="1101">
        <v>2.1999999999999997E18</v>
      </c>
      <c r="LR13" s="1122">
        <v>148.49305555555554</v>
      </c>
      <c r="LS13" s="1101">
        <v>2.1999999999999997E18</v>
      </c>
      <c r="LT13" s="1122">
        <v>148.49305555555554</v>
      </c>
      <c r="LU13" s="1101">
        <v>2.1999999999999997E18</v>
      </c>
      <c r="LV13" s="1122">
        <v>148.49305555555554</v>
      </c>
      <c r="LW13" s="1101">
        <v>2.1999999999999997E18</v>
      </c>
      <c r="LX13" s="1122">
        <v>178.19166666666666</v>
      </c>
      <c r="LY13" s="1123">
        <v>5.5E18</v>
      </c>
      <c r="LZ13" s="1122">
        <v>178.19166666666666</v>
      </c>
      <c r="MA13" s="1123">
        <v>5.5E18</v>
      </c>
      <c r="MB13" s="1122">
        <v>178.19166666666666</v>
      </c>
      <c r="MC13" s="1123">
        <v>5.5E18</v>
      </c>
      <c r="MD13" s="1122">
        <v>178.19166666666666</v>
      </c>
      <c r="ME13" s="1123">
        <v>5.5E18</v>
      </c>
      <c r="MF13" s="1133"/>
      <c r="MG13" s="1133"/>
      <c r="MH13" s="1133"/>
      <c r="MI13" s="1133"/>
      <c r="MJ13" s="1133"/>
      <c r="MK13" s="1133"/>
      <c r="ML13" s="1133"/>
      <c r="MM13" s="1133"/>
      <c r="MN13" s="1133"/>
      <c r="MO13" s="1133"/>
      <c r="MP13" s="1133"/>
      <c r="MQ13" s="1133"/>
      <c r="MR13" s="1133"/>
      <c r="MS13" s="1133"/>
      <c r="MT13" s="1133"/>
      <c r="MU13" s="1133"/>
      <c r="MV13" s="1133"/>
      <c r="MW13" s="1133"/>
      <c r="MX13" s="1133"/>
      <c r="MY13" s="1133"/>
    </row>
    <row r="14">
      <c r="A14" s="1071">
        <v>12.0</v>
      </c>
      <c r="B14" s="1124"/>
      <c r="C14" s="1125"/>
      <c r="D14" s="1072">
        <v>0.29375</v>
      </c>
      <c r="E14" s="1073">
        <v>10560.0</v>
      </c>
      <c r="F14" s="1072">
        <v>0.29375</v>
      </c>
      <c r="G14" s="1074">
        <v>10560.0</v>
      </c>
      <c r="H14" s="1072">
        <v>0.29375</v>
      </c>
      <c r="I14" s="1073">
        <v>10560.0</v>
      </c>
      <c r="J14" s="1072">
        <v>0.29375</v>
      </c>
      <c r="K14" s="1073">
        <v>10560.0</v>
      </c>
      <c r="L14" s="1072">
        <v>0.42986111111111114</v>
      </c>
      <c r="M14" s="1075">
        <v>21620.0</v>
      </c>
      <c r="N14" s="1076">
        <v>0.3527777777777778</v>
      </c>
      <c r="O14" s="1073">
        <v>22360.0</v>
      </c>
      <c r="P14" s="1124"/>
      <c r="Q14" s="1125"/>
      <c r="R14" s="1124"/>
      <c r="S14" s="1125"/>
      <c r="T14" s="1124"/>
      <c r="U14" s="1125"/>
      <c r="V14" s="1124"/>
      <c r="W14" s="1125"/>
      <c r="X14" s="1124"/>
      <c r="Y14" s="1125"/>
      <c r="Z14" s="1124"/>
      <c r="AA14" s="1125"/>
      <c r="AB14" s="1124"/>
      <c r="AC14" s="1125"/>
      <c r="AD14" s="1072">
        <v>12.959027777777777</v>
      </c>
      <c r="AE14" s="1080">
        <v>1.792160394E10</v>
      </c>
      <c r="AF14" s="1072">
        <v>12.959027777777777</v>
      </c>
      <c r="AG14" s="1080">
        <v>1.792160394E10</v>
      </c>
      <c r="AH14" s="1072">
        <v>12.959027777777777</v>
      </c>
      <c r="AI14" s="1080">
        <v>1.792160394E10</v>
      </c>
      <c r="AJ14" s="1081">
        <v>0.29375</v>
      </c>
      <c r="AK14" s="1082">
        <v>10560.0</v>
      </c>
      <c r="AL14" s="1081">
        <v>0.29375</v>
      </c>
      <c r="AM14" s="1082">
        <v>10560.0</v>
      </c>
      <c r="AN14" s="1081">
        <v>0.29375</v>
      </c>
      <c r="AO14" s="1082">
        <v>10560.0</v>
      </c>
      <c r="AP14" s="1081">
        <v>0.29375</v>
      </c>
      <c r="AQ14" s="1082">
        <v>10560.0</v>
      </c>
      <c r="AR14" s="1081">
        <v>0.29375</v>
      </c>
      <c r="AS14" s="1082">
        <v>10570.0</v>
      </c>
      <c r="AT14" s="1081">
        <v>26.684722222222224</v>
      </c>
      <c r="AU14" s="1082">
        <v>8.084E7</v>
      </c>
      <c r="AV14" s="1081">
        <v>19.384722222222223</v>
      </c>
      <c r="AW14" s="1082">
        <v>8.084E7</v>
      </c>
      <c r="AX14" s="1081">
        <v>9.995833333333334</v>
      </c>
      <c r="AY14" s="1082">
        <v>6.4453E11</v>
      </c>
      <c r="AZ14" s="1124"/>
      <c r="BA14" s="1124"/>
      <c r="BB14" s="1083">
        <v>0.29375</v>
      </c>
      <c r="BC14" s="1084">
        <v>10560.0</v>
      </c>
      <c r="BD14" s="1083">
        <v>0.29375</v>
      </c>
      <c r="BE14" s="1084">
        <v>10560.0</v>
      </c>
      <c r="BF14" s="1083">
        <v>0.29375</v>
      </c>
      <c r="BG14" s="1084">
        <v>10560.0</v>
      </c>
      <c r="BH14" s="1083">
        <v>2.6375</v>
      </c>
      <c r="BI14" s="1084">
        <v>1.466E7</v>
      </c>
      <c r="BJ14" s="1083">
        <v>3.6333333333333333</v>
      </c>
      <c r="BK14" s="1084">
        <v>9.308E7</v>
      </c>
      <c r="BL14" s="1083">
        <v>5.173611111111111</v>
      </c>
      <c r="BM14" s="1084">
        <v>3.0068E8</v>
      </c>
      <c r="BN14" s="1083">
        <v>5.173611111111111</v>
      </c>
      <c r="BO14" s="1084">
        <v>3.0068E8</v>
      </c>
      <c r="BP14" s="1083">
        <v>7.022222222222222</v>
      </c>
      <c r="BQ14" s="1084">
        <v>3.008E8</v>
      </c>
      <c r="BR14" s="1126"/>
      <c r="BS14" s="1125"/>
      <c r="BT14" s="1085">
        <v>0.5125</v>
      </c>
      <c r="BU14" s="1086">
        <v>3.47E9</v>
      </c>
      <c r="BV14" s="1085">
        <v>10.216666666666667</v>
      </c>
      <c r="BW14" s="1086">
        <v>9.02E9</v>
      </c>
      <c r="BX14" s="1085">
        <v>22.583171296296296</v>
      </c>
      <c r="BY14" s="1086">
        <v>9.249E10</v>
      </c>
      <c r="BZ14" s="1085">
        <v>29.330555555555556</v>
      </c>
      <c r="CA14" s="1086">
        <v>1.2549E11</v>
      </c>
      <c r="CB14" s="1126"/>
      <c r="CC14" s="1125"/>
      <c r="CD14" s="1083">
        <v>3.9858680555555557</v>
      </c>
      <c r="CE14" s="1087">
        <v>3.6677E11</v>
      </c>
      <c r="CF14" s="1133"/>
      <c r="CG14" s="1167"/>
      <c r="CH14" s="1088">
        <v>0.29375</v>
      </c>
      <c r="CI14" s="1089">
        <v>10570.0</v>
      </c>
      <c r="CJ14" s="1088">
        <v>0.29375</v>
      </c>
      <c r="CK14" s="1089">
        <v>10570.0</v>
      </c>
      <c r="CL14" s="1088">
        <v>0.29375</v>
      </c>
      <c r="CM14" s="1089">
        <v>10570.0</v>
      </c>
      <c r="CN14" s="1088">
        <v>0.29375</v>
      </c>
      <c r="CO14" s="1089">
        <v>10570.0</v>
      </c>
      <c r="CP14" s="1088">
        <v>0.4770833333333333</v>
      </c>
      <c r="CQ14" s="1089">
        <v>22370.0</v>
      </c>
      <c r="CR14" s="1088">
        <v>11.908333333333333</v>
      </c>
      <c r="CS14" s="1089">
        <v>271720.0</v>
      </c>
      <c r="CT14" s="1126"/>
      <c r="CU14" s="1125"/>
      <c r="CV14" s="1090">
        <v>10.67986111111111</v>
      </c>
      <c r="CW14" s="1091">
        <v>1.2032E11</v>
      </c>
      <c r="CX14" s="1090">
        <v>10.67986111111111</v>
      </c>
      <c r="CY14" s="1091">
        <v>1.2032E11</v>
      </c>
      <c r="CZ14" s="1090">
        <v>10.67986111111111</v>
      </c>
      <c r="DA14" s="1091">
        <v>1.2032E11</v>
      </c>
      <c r="DB14" s="1090">
        <v>6.2555555555555555</v>
      </c>
      <c r="DC14" s="1091">
        <v>2.407E10</v>
      </c>
      <c r="DD14" s="1090">
        <v>6.2555555555555555</v>
      </c>
      <c r="DE14" s="1091">
        <v>2.407E10</v>
      </c>
      <c r="DF14" s="1092">
        <v>5.9375</v>
      </c>
      <c r="DG14" s="1093">
        <v>3.0112E8</v>
      </c>
      <c r="DH14" s="1124"/>
      <c r="DI14" s="1125"/>
      <c r="DJ14" s="1092">
        <v>6.7243055555555555</v>
      </c>
      <c r="DK14" s="1093">
        <v>3.0167E8</v>
      </c>
      <c r="DL14" s="1092">
        <v>5.9375</v>
      </c>
      <c r="DM14" s="1093">
        <v>3.0112E8</v>
      </c>
      <c r="DN14" s="1124"/>
      <c r="DO14" s="1125"/>
      <c r="DP14" s="1092">
        <v>5.9375</v>
      </c>
      <c r="DQ14" s="1093">
        <v>3.0112E8</v>
      </c>
      <c r="DR14" s="1092">
        <v>5.9375</v>
      </c>
      <c r="DS14" s="1093">
        <v>3.0112E8</v>
      </c>
      <c r="DT14" s="1124"/>
      <c r="DU14" s="1125"/>
      <c r="DV14" s="1092">
        <v>5.9375</v>
      </c>
      <c r="DW14" s="1093">
        <v>3.0112E8</v>
      </c>
      <c r="DX14" s="1092">
        <v>5.9375</v>
      </c>
      <c r="DY14" s="1093">
        <v>3.0112E8</v>
      </c>
      <c r="DZ14" s="1092">
        <v>9.0625</v>
      </c>
      <c r="EA14" s="1093">
        <v>7.0009E8</v>
      </c>
      <c r="EB14" s="1092">
        <v>9.0625</v>
      </c>
      <c r="EC14" s="1093">
        <v>7.0009E8</v>
      </c>
      <c r="ED14" s="1124"/>
      <c r="EE14" s="1125"/>
      <c r="EF14" s="1092">
        <v>8.229166666666666</v>
      </c>
      <c r="EG14" s="1093">
        <v>6.9934E8</v>
      </c>
      <c r="EH14" s="1092">
        <v>8.229166666666666</v>
      </c>
      <c r="EI14" s="1093">
        <v>6.9934E8</v>
      </c>
      <c r="EJ14" s="1092">
        <v>7.616793981481481</v>
      </c>
      <c r="EK14" s="1093">
        <v>3.4744E8</v>
      </c>
      <c r="EL14" s="1092">
        <v>8.229270833333333</v>
      </c>
      <c r="EM14" s="1093">
        <v>6.9934E8</v>
      </c>
      <c r="EN14" s="1092">
        <v>8.229166666666666</v>
      </c>
      <c r="EO14" s="1093">
        <v>6.9934E8</v>
      </c>
      <c r="EP14" s="1092">
        <v>8.229166666666666</v>
      </c>
      <c r="EQ14" s="1093">
        <v>6.9934E8</v>
      </c>
      <c r="ER14" s="1092">
        <v>8.229166666666666</v>
      </c>
      <c r="ES14" s="1093">
        <v>6.9934E8</v>
      </c>
      <c r="ET14" s="1092">
        <v>8.229166666666666</v>
      </c>
      <c r="EU14" s="1093">
        <v>7.0014E8</v>
      </c>
      <c r="EV14" s="1124"/>
      <c r="EW14" s="1125"/>
      <c r="EX14" s="1124"/>
      <c r="EY14" s="1125"/>
      <c r="EZ14" s="1124"/>
      <c r="FA14" s="1125"/>
      <c r="FB14" s="1126"/>
      <c r="FC14" s="1125"/>
      <c r="FD14" s="1126"/>
      <c r="FE14" s="1125"/>
      <c r="FF14" s="1092">
        <v>9.0625</v>
      </c>
      <c r="FG14" s="1094">
        <v>1.64E9</v>
      </c>
      <c r="FH14" s="1092">
        <v>9.0625</v>
      </c>
      <c r="FI14" s="1094">
        <v>1.64E9</v>
      </c>
      <c r="FJ14" s="1092">
        <v>14.061828703703704</v>
      </c>
      <c r="FK14" s="1093">
        <v>8.99091892E8</v>
      </c>
      <c r="FL14" s="1124"/>
      <c r="FM14" s="1125"/>
      <c r="FN14" s="1139"/>
      <c r="FO14" s="1126"/>
      <c r="FP14" s="1092">
        <v>28.987916666666667</v>
      </c>
      <c r="FQ14" s="1094">
        <v>8.65E12</v>
      </c>
      <c r="FR14" s="1139"/>
      <c r="FS14" s="1126"/>
      <c r="FT14" s="1092">
        <v>28.987916666666667</v>
      </c>
      <c r="FU14" s="1094">
        <v>8.65E12</v>
      </c>
      <c r="FV14" s="1092">
        <v>28.987916666666667</v>
      </c>
      <c r="FW14" s="1094">
        <v>8.65E12</v>
      </c>
      <c r="FX14" s="1097">
        <v>11.087881944444444</v>
      </c>
      <c r="FY14" s="1098">
        <v>8.65E10</v>
      </c>
      <c r="FZ14" s="1097">
        <v>28.98790509259259</v>
      </c>
      <c r="GA14" s="1098">
        <v>8.65E12</v>
      </c>
      <c r="GB14" s="1133"/>
      <c r="GC14" s="1133"/>
      <c r="GD14" s="1133"/>
      <c r="GE14" s="1167"/>
      <c r="GF14" s="1124"/>
      <c r="GG14" s="1125"/>
      <c r="GH14" s="1100">
        <v>7.4375</v>
      </c>
      <c r="GI14" s="1101">
        <v>1.62E9</v>
      </c>
      <c r="GJ14" s="1124"/>
      <c r="GK14" s="1125"/>
      <c r="GL14" s="1124"/>
      <c r="GM14" s="1125"/>
      <c r="GN14" s="1126"/>
      <c r="GO14" s="1125"/>
      <c r="GP14" s="1102">
        <v>7.604166666666666</v>
      </c>
      <c r="GQ14" s="1134">
        <v>5.832E10</v>
      </c>
      <c r="GR14" s="1124"/>
      <c r="GS14" s="1125"/>
      <c r="GT14" s="1124"/>
      <c r="GU14" s="1125"/>
      <c r="GV14" s="1126"/>
      <c r="GW14" s="1125"/>
      <c r="GX14" s="1168"/>
      <c r="GY14" s="1133"/>
      <c r="GZ14" s="1124"/>
      <c r="HA14" s="1125"/>
      <c r="HB14" s="1107">
        <v>5.173611111111111</v>
      </c>
      <c r="HC14" s="1108">
        <v>3.22E9</v>
      </c>
      <c r="HD14" s="1124"/>
      <c r="HE14" s="1125"/>
      <c r="HF14" s="1107">
        <v>5.427777777777778</v>
      </c>
      <c r="HG14" s="1108">
        <v>4.83E9</v>
      </c>
      <c r="HH14" s="1124"/>
      <c r="HI14" s="1125"/>
      <c r="HJ14" s="1124"/>
      <c r="HK14" s="1125"/>
      <c r="HL14" s="1124"/>
      <c r="HM14" s="1125"/>
      <c r="HN14" s="1126"/>
      <c r="HO14" s="1125"/>
      <c r="HP14" s="1107">
        <v>17.869722222222222</v>
      </c>
      <c r="HQ14" s="1109">
        <v>1.46E9</v>
      </c>
      <c r="HR14" s="1128">
        <v>9.985416666666667</v>
      </c>
      <c r="HS14" s="1129">
        <v>8.41E9</v>
      </c>
      <c r="HT14" s="1128">
        <v>9.985416666666667</v>
      </c>
      <c r="HU14" s="1129">
        <v>8.41E9</v>
      </c>
      <c r="HV14" s="1128">
        <v>9.985416666666667</v>
      </c>
      <c r="HW14" s="1129">
        <v>8.41E9</v>
      </c>
      <c r="HX14" s="1130">
        <v>9.985416666666667</v>
      </c>
      <c r="HY14" s="1129">
        <v>8.41E9</v>
      </c>
      <c r="HZ14" s="1124"/>
      <c r="IA14" s="1125"/>
      <c r="IB14" s="1130">
        <v>38.76991898148148</v>
      </c>
      <c r="IC14" s="1129">
        <v>8.65E12</v>
      </c>
      <c r="ID14" s="1130">
        <v>38.76991898148148</v>
      </c>
      <c r="IE14" s="1129">
        <v>8.65E12</v>
      </c>
      <c r="IF14" s="1130">
        <v>38.76991898148148</v>
      </c>
      <c r="IG14" s="1129">
        <v>8.65E12</v>
      </c>
      <c r="IH14" s="1113">
        <v>10.67986111111111</v>
      </c>
      <c r="II14" s="1114">
        <v>2.8532E11</v>
      </c>
      <c r="IJ14" s="1113">
        <v>10.67986111111111</v>
      </c>
      <c r="IK14" s="1114">
        <v>2.8532E11</v>
      </c>
      <c r="IL14" s="1113">
        <v>10.67986111111111</v>
      </c>
      <c r="IM14" s="1114">
        <v>4.0532E11</v>
      </c>
      <c r="IN14" s="1113">
        <v>10.67986111111111</v>
      </c>
      <c r="IO14" s="1114">
        <v>4.0532E11</v>
      </c>
      <c r="IP14" s="1113">
        <v>11.14236111111111</v>
      </c>
      <c r="IQ14" s="1114">
        <v>7.6532E11</v>
      </c>
      <c r="IR14" s="1113">
        <v>10.67986111111111</v>
      </c>
      <c r="IS14" s="1114">
        <v>4.0532E11</v>
      </c>
      <c r="IT14" s="1113">
        <v>10.67986111111111</v>
      </c>
      <c r="IU14" s="1114">
        <v>4.0532E11</v>
      </c>
      <c r="IV14" s="1113">
        <v>10.67986111111111</v>
      </c>
      <c r="IW14" s="1114">
        <v>4.0532E11</v>
      </c>
      <c r="IX14" s="1113">
        <v>10.67986111111111</v>
      </c>
      <c r="IY14" s="1114">
        <v>4.0532E11</v>
      </c>
      <c r="IZ14" s="1113">
        <v>10.67986111111111</v>
      </c>
      <c r="JA14" s="1114">
        <v>5.2532E11</v>
      </c>
      <c r="JB14" s="1113">
        <v>10.67986111111111</v>
      </c>
      <c r="JC14" s="1114">
        <v>5.2532E11</v>
      </c>
      <c r="JD14" s="1113">
        <v>10.67986111111111</v>
      </c>
      <c r="JE14" s="1114">
        <v>5.2532E11</v>
      </c>
      <c r="JF14" s="1113">
        <v>10.67986111111111</v>
      </c>
      <c r="JG14" s="1114">
        <v>5.2532E11</v>
      </c>
      <c r="JH14" s="1113">
        <v>11.14236111111111</v>
      </c>
      <c r="JI14" s="1114">
        <v>8.9532E11</v>
      </c>
      <c r="JJ14" s="1113">
        <v>129.59375</v>
      </c>
      <c r="JK14" s="1115">
        <v>3.0E18</v>
      </c>
      <c r="JL14" s="1113">
        <v>129.59375</v>
      </c>
      <c r="JM14" s="1115">
        <v>3.0E18</v>
      </c>
      <c r="JN14" s="1113">
        <v>129.59375</v>
      </c>
      <c r="JO14" s="1115">
        <v>3.0E18</v>
      </c>
      <c r="JP14" s="1113">
        <v>129.59375</v>
      </c>
      <c r="JQ14" s="1115">
        <v>3.0E18</v>
      </c>
      <c r="JR14" s="1113">
        <v>129.59375</v>
      </c>
      <c r="JS14" s="1115">
        <v>3.0E18</v>
      </c>
      <c r="JT14" s="1113">
        <v>129.59375</v>
      </c>
      <c r="JU14" s="1115">
        <v>3.0E18</v>
      </c>
      <c r="JV14" s="1113">
        <v>32.39791666666667</v>
      </c>
      <c r="JW14" s="1115">
        <v>4.04956517E13</v>
      </c>
      <c r="JX14" s="1169"/>
      <c r="JY14" s="1167"/>
      <c r="JZ14" s="1116">
        <v>1.847951389</v>
      </c>
      <c r="KA14" s="1120">
        <v>1.3E9</v>
      </c>
      <c r="KB14" s="1116">
        <v>2.026643519</v>
      </c>
      <c r="KC14" s="1120">
        <v>3.99E9</v>
      </c>
      <c r="KD14" s="1116">
        <v>7.785601852</v>
      </c>
      <c r="KE14" s="1120">
        <v>2.2023E11</v>
      </c>
      <c r="KF14" s="1116">
        <v>7.785601852</v>
      </c>
      <c r="KG14" s="1120">
        <v>2.2023E11</v>
      </c>
      <c r="KH14" s="1169"/>
      <c r="KI14" s="1167"/>
      <c r="KJ14" s="1133"/>
      <c r="KK14" s="1133"/>
      <c r="KL14" s="1133"/>
      <c r="KM14" s="1133"/>
      <c r="KN14" s="1133"/>
      <c r="KO14" s="1133"/>
      <c r="KP14" s="1133"/>
      <c r="KQ14" s="1133"/>
      <c r="KR14" s="1133"/>
      <c r="KS14" s="1133"/>
      <c r="KT14" s="1133"/>
      <c r="KU14" s="1133"/>
      <c r="KV14" s="1131">
        <v>129.59375</v>
      </c>
      <c r="KW14" s="1132">
        <v>3.0E18</v>
      </c>
      <c r="KX14" s="1131">
        <v>129.59375</v>
      </c>
      <c r="KY14" s="1132">
        <v>3.0E18</v>
      </c>
      <c r="KZ14" s="1131">
        <v>129.59375</v>
      </c>
      <c r="LA14" s="1132">
        <v>3.0E18</v>
      </c>
      <c r="LB14" s="1131">
        <v>129.59375</v>
      </c>
      <c r="LC14" s="1132">
        <v>3.0E18</v>
      </c>
      <c r="LD14" s="1131">
        <v>129.59375</v>
      </c>
      <c r="LE14" s="1132">
        <v>3.0E18</v>
      </c>
      <c r="LF14" s="1131">
        <v>129.59375</v>
      </c>
      <c r="LG14" s="1132">
        <v>3.0E18</v>
      </c>
      <c r="LH14" s="1131">
        <v>129.59375</v>
      </c>
      <c r="LI14" s="1132">
        <v>3.0E18</v>
      </c>
      <c r="LJ14" s="1131">
        <v>129.59375</v>
      </c>
      <c r="LK14" s="1132">
        <v>3.0E18</v>
      </c>
      <c r="LL14" s="1133"/>
      <c r="LM14" s="1133"/>
      <c r="LN14" s="1122">
        <v>161.9923611111111</v>
      </c>
      <c r="LO14" s="1101">
        <v>2.4E18</v>
      </c>
      <c r="LP14" s="1122">
        <v>161.9923611111111</v>
      </c>
      <c r="LQ14" s="1101">
        <v>2.4E18</v>
      </c>
      <c r="LR14" s="1122">
        <v>161.9923611111111</v>
      </c>
      <c r="LS14" s="1101">
        <v>2.4E18</v>
      </c>
      <c r="LT14" s="1122">
        <v>161.9923611111111</v>
      </c>
      <c r="LU14" s="1101">
        <v>2.4E18</v>
      </c>
      <c r="LV14" s="1122">
        <v>161.9923611111111</v>
      </c>
      <c r="LW14" s="1101">
        <v>2.4E18</v>
      </c>
      <c r="LX14" s="1122">
        <v>194.39097222222222</v>
      </c>
      <c r="LY14" s="1123">
        <v>6.0E18</v>
      </c>
      <c r="LZ14" s="1122">
        <v>194.39097222222222</v>
      </c>
      <c r="MA14" s="1123">
        <v>6.0E18</v>
      </c>
      <c r="MB14" s="1122">
        <v>194.39097222222222</v>
      </c>
      <c r="MC14" s="1123">
        <v>6.0E18</v>
      </c>
      <c r="MD14" s="1122">
        <v>194.39097222222222</v>
      </c>
      <c r="ME14" s="1123">
        <v>6.0E18</v>
      </c>
      <c r="MF14" s="1133"/>
      <c r="MG14" s="1133"/>
      <c r="MH14" s="1133"/>
      <c r="MI14" s="1133"/>
      <c r="MJ14" s="1133"/>
      <c r="MK14" s="1133"/>
      <c r="ML14" s="1133"/>
      <c r="MM14" s="1133"/>
      <c r="MN14" s="1133"/>
      <c r="MO14" s="1133"/>
      <c r="MP14" s="1133"/>
      <c r="MQ14" s="1133"/>
      <c r="MR14" s="1133"/>
      <c r="MS14" s="1133"/>
      <c r="MT14" s="1133"/>
      <c r="MU14" s="1133"/>
      <c r="MV14" s="1133"/>
      <c r="MW14" s="1133"/>
      <c r="MX14" s="1133"/>
      <c r="MY14" s="1133"/>
    </row>
    <row r="15">
      <c r="A15" s="1071">
        <v>13.0</v>
      </c>
      <c r="B15" s="1170"/>
      <c r="C15" s="1125"/>
      <c r="D15" s="1072">
        <v>0.35694444444444445</v>
      </c>
      <c r="E15" s="1073">
        <v>13350.0</v>
      </c>
      <c r="F15" s="1072">
        <v>0.35694444444444445</v>
      </c>
      <c r="G15" s="1074">
        <v>13350.0</v>
      </c>
      <c r="H15" s="1072">
        <v>0.35694444444444445</v>
      </c>
      <c r="I15" s="1073">
        <v>13350.0</v>
      </c>
      <c r="J15" s="1072">
        <v>0.35694444444444445</v>
      </c>
      <c r="K15" s="1073">
        <v>13350.0</v>
      </c>
      <c r="L15" s="1072">
        <v>0.5270833333333333</v>
      </c>
      <c r="M15" s="1075">
        <v>28150.0</v>
      </c>
      <c r="N15" s="1076">
        <v>0.425</v>
      </c>
      <c r="O15" s="1073">
        <v>29200.0</v>
      </c>
      <c r="P15" s="1124"/>
      <c r="Q15" s="1125"/>
      <c r="R15" s="1124"/>
      <c r="S15" s="1125"/>
      <c r="T15" s="1124"/>
      <c r="U15" s="1125"/>
      <c r="V15" s="1124"/>
      <c r="W15" s="1125"/>
      <c r="X15" s="1124"/>
      <c r="Y15" s="1125"/>
      <c r="Z15" s="1124"/>
      <c r="AA15" s="1125"/>
      <c r="AB15" s="1124"/>
      <c r="AC15" s="1125"/>
      <c r="AD15" s="1072">
        <v>14.03888888888889</v>
      </c>
      <c r="AE15" s="1080">
        <v>2.329808512E10</v>
      </c>
      <c r="AF15" s="1072">
        <v>14.03888888888889</v>
      </c>
      <c r="AG15" s="1080">
        <v>2.329808512E10</v>
      </c>
      <c r="AH15" s="1072">
        <v>14.03888888888889</v>
      </c>
      <c r="AI15" s="1080">
        <v>2.329808512E10</v>
      </c>
      <c r="AJ15" s="1081">
        <v>0.35694444444444445</v>
      </c>
      <c r="AK15" s="1082">
        <v>13350.0</v>
      </c>
      <c r="AL15" s="1081">
        <v>0.35694444444444445</v>
      </c>
      <c r="AM15" s="1082">
        <v>13350.0</v>
      </c>
      <c r="AN15" s="1081">
        <v>0.35694444444444445</v>
      </c>
      <c r="AO15" s="1082">
        <v>13350.0</v>
      </c>
      <c r="AP15" s="1081">
        <v>0.35694444444444445</v>
      </c>
      <c r="AQ15" s="1082">
        <v>13350.0</v>
      </c>
      <c r="AR15" s="1081">
        <v>0.35694444444444445</v>
      </c>
      <c r="AS15" s="1082">
        <v>13360.0</v>
      </c>
      <c r="AT15" s="1081">
        <v>35.71666666666667</v>
      </c>
      <c r="AU15" s="1082">
        <v>1.2067E8</v>
      </c>
      <c r="AV15" s="1081">
        <v>24.90138888888889</v>
      </c>
      <c r="AW15" s="1082">
        <v>1.2067E8</v>
      </c>
      <c r="AX15" s="1081">
        <v>10.608333333333334</v>
      </c>
      <c r="AY15" s="1082">
        <v>6.8631E11</v>
      </c>
      <c r="AZ15" s="1124"/>
      <c r="BA15" s="1124"/>
      <c r="BB15" s="1083">
        <v>0.35694444444444445</v>
      </c>
      <c r="BC15" s="1084">
        <v>13350.0</v>
      </c>
      <c r="BD15" s="1083">
        <v>0.35694444444444445</v>
      </c>
      <c r="BE15" s="1084">
        <v>13350.0</v>
      </c>
      <c r="BF15" s="1083">
        <v>0.35694444444444445</v>
      </c>
      <c r="BG15" s="1084">
        <v>13350.0</v>
      </c>
      <c r="BH15" s="1083">
        <v>3.408333333333333</v>
      </c>
      <c r="BI15" s="1084">
        <v>2.076E7</v>
      </c>
      <c r="BJ15" s="1083">
        <v>4.6715277777777775</v>
      </c>
      <c r="BK15" s="1084">
        <v>1.3297E8</v>
      </c>
      <c r="BL15" s="1083">
        <v>6.585416666666666</v>
      </c>
      <c r="BM15" s="1084">
        <v>4.3708E8</v>
      </c>
      <c r="BN15" s="1083">
        <v>6.585416666666666</v>
      </c>
      <c r="BO15" s="1084">
        <v>4.3708E8</v>
      </c>
      <c r="BP15" s="1083">
        <v>9.1</v>
      </c>
      <c r="BQ15" s="1084">
        <v>4.3721E8</v>
      </c>
      <c r="BR15" s="1126"/>
      <c r="BS15" s="1125"/>
      <c r="BT15" s="1085">
        <v>0.5743055555555555</v>
      </c>
      <c r="BU15" s="1086">
        <v>3.76E9</v>
      </c>
      <c r="BV15" s="1085">
        <v>12.35138888888889</v>
      </c>
      <c r="BW15" s="1086">
        <v>1.046E10</v>
      </c>
      <c r="BX15" s="1085">
        <v>25.970648148148147</v>
      </c>
      <c r="BY15" s="1086">
        <v>9.876E10</v>
      </c>
      <c r="BZ15" s="1085">
        <v>40.72847222222222</v>
      </c>
      <c r="CA15" s="1086">
        <v>1.3476E11</v>
      </c>
      <c r="CB15" s="1126"/>
      <c r="CC15" s="1125"/>
      <c r="CD15" s="1083">
        <v>4.229120370370371</v>
      </c>
      <c r="CE15" s="1087">
        <v>3.8664E11</v>
      </c>
      <c r="CF15" s="1133"/>
      <c r="CG15" s="1167"/>
      <c r="CH15" s="1088">
        <v>0.35694444444444445</v>
      </c>
      <c r="CI15" s="1089">
        <v>13360.0</v>
      </c>
      <c r="CJ15" s="1088">
        <v>0.35694444444444445</v>
      </c>
      <c r="CK15" s="1089">
        <v>13360.0</v>
      </c>
      <c r="CL15" s="1088">
        <v>0.35694444444444445</v>
      </c>
      <c r="CM15" s="1089">
        <v>13360.0</v>
      </c>
      <c r="CN15" s="1088">
        <v>0.35694444444444445</v>
      </c>
      <c r="CO15" s="1089">
        <v>13360.0</v>
      </c>
      <c r="CP15" s="1088">
        <v>0.5875</v>
      </c>
      <c r="CQ15" s="1089">
        <v>29210.0</v>
      </c>
      <c r="CR15" s="1088">
        <v>16.225694444444443</v>
      </c>
      <c r="CS15" s="1089">
        <v>366610.0</v>
      </c>
      <c r="CT15" s="1126"/>
      <c r="CU15" s="1125"/>
      <c r="CV15" s="1090">
        <v>12.698611111111111</v>
      </c>
      <c r="CW15" s="1091">
        <v>1.4308E11</v>
      </c>
      <c r="CX15" s="1090">
        <v>12.698611111111111</v>
      </c>
      <c r="CY15" s="1091">
        <v>1.4308E11</v>
      </c>
      <c r="CZ15" s="1090">
        <v>12.698611111111111</v>
      </c>
      <c r="DA15" s="1091">
        <v>1.4308E11</v>
      </c>
      <c r="DB15" s="1090">
        <v>7.1618055555555555</v>
      </c>
      <c r="DC15" s="1091">
        <v>3.203E10</v>
      </c>
      <c r="DD15" s="1090">
        <v>7.1618055555555555</v>
      </c>
      <c r="DE15" s="1091">
        <v>3.203E10</v>
      </c>
      <c r="DF15" s="1092">
        <v>7.3493055555555555</v>
      </c>
      <c r="DG15" s="1093">
        <v>4.3755E8</v>
      </c>
      <c r="DH15" s="1124"/>
      <c r="DI15" s="1125"/>
      <c r="DJ15" s="1092">
        <v>8.136111111111111</v>
      </c>
      <c r="DK15" s="1093">
        <v>4.381E8</v>
      </c>
      <c r="DL15" s="1092">
        <v>7.3493055555555555</v>
      </c>
      <c r="DM15" s="1093">
        <v>4.3755E8</v>
      </c>
      <c r="DN15" s="1124"/>
      <c r="DO15" s="1125"/>
      <c r="DP15" s="1092">
        <v>7.3493055555555555</v>
      </c>
      <c r="DQ15" s="1093">
        <v>4.3755E8</v>
      </c>
      <c r="DR15" s="1092">
        <v>7.3493055555555555</v>
      </c>
      <c r="DS15" s="1093">
        <v>4.3755E8</v>
      </c>
      <c r="DT15" s="1124"/>
      <c r="DU15" s="1125"/>
      <c r="DV15" s="1092">
        <v>7.3493055555555555</v>
      </c>
      <c r="DW15" s="1093">
        <v>4.3755E8</v>
      </c>
      <c r="DX15" s="1092">
        <v>7.3493055555555555</v>
      </c>
      <c r="DY15" s="1093">
        <v>4.3755E8</v>
      </c>
      <c r="DZ15" s="1092">
        <v>10.682638888888889</v>
      </c>
      <c r="EA15" s="1093">
        <v>1.05E9</v>
      </c>
      <c r="EB15" s="1092">
        <v>10.682638888888889</v>
      </c>
      <c r="EC15" s="1093">
        <v>1.05E9</v>
      </c>
      <c r="ED15" s="1124"/>
      <c r="EE15" s="1125"/>
      <c r="EF15" s="1092">
        <v>9.849305555555556</v>
      </c>
      <c r="EG15" s="1093">
        <v>1.05E9</v>
      </c>
      <c r="EH15" s="1092">
        <v>9.849305555555556</v>
      </c>
      <c r="EI15" s="1093">
        <v>1.05E9</v>
      </c>
      <c r="EJ15" s="1092">
        <v>8.043032407407408</v>
      </c>
      <c r="EK15" s="1093">
        <v>3.6346E8</v>
      </c>
      <c r="EL15" s="1092">
        <v>9.849733796296297</v>
      </c>
      <c r="EM15" s="1093">
        <v>1.05E9</v>
      </c>
      <c r="EN15" s="1092">
        <v>9.849305555555556</v>
      </c>
      <c r="EO15" s="1093">
        <v>1.05E9</v>
      </c>
      <c r="EP15" s="1092">
        <v>9.849305555555556</v>
      </c>
      <c r="EQ15" s="1093">
        <v>1.05E9</v>
      </c>
      <c r="ER15" s="1092">
        <v>9.849305555555556</v>
      </c>
      <c r="ES15" s="1093">
        <v>1.05E9</v>
      </c>
      <c r="ET15" s="1092">
        <v>9.849305555555556</v>
      </c>
      <c r="EU15" s="1093">
        <v>1.05E9</v>
      </c>
      <c r="EV15" s="1124"/>
      <c r="EW15" s="1125"/>
      <c r="EX15" s="1124"/>
      <c r="EY15" s="1125"/>
      <c r="EZ15" s="1124"/>
      <c r="FA15" s="1125"/>
      <c r="FB15" s="1126"/>
      <c r="FC15" s="1125"/>
      <c r="FD15" s="1126"/>
      <c r="FE15" s="1125"/>
      <c r="FF15" s="1092">
        <v>10.682638888888889</v>
      </c>
      <c r="FG15" s="1094">
        <v>2.52E9</v>
      </c>
      <c r="FH15" s="1092">
        <v>10.682638888888889</v>
      </c>
      <c r="FI15" s="1094">
        <v>2.52E9</v>
      </c>
      <c r="FJ15" s="1092">
        <v>15.6825</v>
      </c>
      <c r="FK15" s="1093">
        <v>1.243243243E9</v>
      </c>
      <c r="FL15" s="1126"/>
      <c r="FM15" s="1125"/>
      <c r="FN15" s="1139"/>
      <c r="FO15" s="1126"/>
      <c r="FP15" s="1092">
        <v>32.466458333333335</v>
      </c>
      <c r="FQ15" s="1094">
        <v>1.297E13</v>
      </c>
      <c r="FR15" s="1139"/>
      <c r="FS15" s="1126"/>
      <c r="FT15" s="1092">
        <v>32.466458333333335</v>
      </c>
      <c r="FU15" s="1094">
        <v>1.297E13</v>
      </c>
      <c r="FV15" s="1092">
        <v>32.466458333333335</v>
      </c>
      <c r="FW15" s="1094">
        <v>1.297E13</v>
      </c>
      <c r="FX15" s="1097">
        <v>12.13542824074074</v>
      </c>
      <c r="FY15" s="1098">
        <v>1.2975E11</v>
      </c>
      <c r="FZ15" s="1097">
        <v>32.466458333333335</v>
      </c>
      <c r="GA15" s="1098">
        <v>1.2975E13</v>
      </c>
      <c r="GB15" s="1133"/>
      <c r="GC15" s="1133"/>
      <c r="GD15" s="1133"/>
      <c r="GE15" s="1167"/>
      <c r="GF15" s="1124"/>
      <c r="GG15" s="1125"/>
      <c r="GH15" s="1100">
        <v>9.057638888888889</v>
      </c>
      <c r="GI15" s="1101">
        <v>2.49E9</v>
      </c>
      <c r="GJ15" s="1124"/>
      <c r="GK15" s="1125"/>
      <c r="GL15" s="1124"/>
      <c r="GM15" s="1125"/>
      <c r="GN15" s="1126"/>
      <c r="GO15" s="1125"/>
      <c r="GP15" s="1102">
        <v>9.224305555555556</v>
      </c>
      <c r="GQ15" s="1134">
        <v>7.708E10</v>
      </c>
      <c r="GR15" s="1124"/>
      <c r="GS15" s="1125"/>
      <c r="GT15" s="1124"/>
      <c r="GU15" s="1125"/>
      <c r="GV15" s="1126"/>
      <c r="GW15" s="1125"/>
      <c r="GX15" s="1168"/>
      <c r="GY15" s="1133"/>
      <c r="GZ15" s="1124"/>
      <c r="HA15" s="1125"/>
      <c r="HB15" s="1107">
        <v>6.585416666666666</v>
      </c>
      <c r="HC15" s="1108">
        <v>4.98E9</v>
      </c>
      <c r="HD15" s="1124"/>
      <c r="HE15" s="1125"/>
      <c r="HF15" s="1107">
        <v>6.863194444444445</v>
      </c>
      <c r="HG15" s="1108">
        <v>7.47E9</v>
      </c>
      <c r="HH15" s="1124"/>
      <c r="HI15" s="1125"/>
      <c r="HJ15" s="1124"/>
      <c r="HK15" s="1125"/>
      <c r="HL15" s="1124"/>
      <c r="HM15" s="1125"/>
      <c r="HN15" s="1126"/>
      <c r="HO15" s="1125"/>
      <c r="HP15" s="1107">
        <v>23.487962962962964</v>
      </c>
      <c r="HQ15" s="1109">
        <v>2.16E9</v>
      </c>
      <c r="HR15" s="1128">
        <v>12.004166666666666</v>
      </c>
      <c r="HS15" s="1129">
        <v>1.283E10</v>
      </c>
      <c r="HT15" s="1128">
        <v>12.004166666666666</v>
      </c>
      <c r="HU15" s="1129">
        <v>1.283E10</v>
      </c>
      <c r="HV15" s="1128">
        <v>12.004166666666666</v>
      </c>
      <c r="HW15" s="1129">
        <v>1.283E10</v>
      </c>
      <c r="HX15" s="1130">
        <v>12.004166666666666</v>
      </c>
      <c r="HY15" s="1129">
        <v>1.283E10</v>
      </c>
      <c r="HZ15" s="1126"/>
      <c r="IA15" s="1125"/>
      <c r="IB15" s="1130">
        <v>44.585393518518515</v>
      </c>
      <c r="IC15" s="1129">
        <v>1.297E13</v>
      </c>
      <c r="ID15" s="1130">
        <v>44.585393518518515</v>
      </c>
      <c r="IE15" s="1129">
        <v>1.297E13</v>
      </c>
      <c r="IF15" s="1130">
        <v>44.585393518518515</v>
      </c>
      <c r="IG15" s="1129">
        <v>1.297E13</v>
      </c>
      <c r="IH15" s="1113">
        <v>12.698611111111111</v>
      </c>
      <c r="II15" s="1114">
        <v>3.2308E11</v>
      </c>
      <c r="IJ15" s="1113">
        <v>12.698611111111111</v>
      </c>
      <c r="IK15" s="1114">
        <v>3.2308E11</v>
      </c>
      <c r="IL15" s="1113">
        <v>12.698611111111111</v>
      </c>
      <c r="IM15" s="1114">
        <v>4.5308E11</v>
      </c>
      <c r="IN15" s="1113">
        <v>12.698611111111111</v>
      </c>
      <c r="IO15" s="1114">
        <v>4.5308E11</v>
      </c>
      <c r="IP15" s="1113">
        <v>13.161805555555556</v>
      </c>
      <c r="IQ15" s="1114">
        <v>8.4308E11</v>
      </c>
      <c r="IR15" s="1113">
        <v>12.698611111111111</v>
      </c>
      <c r="IS15" s="1114">
        <v>4.5308E11</v>
      </c>
      <c r="IT15" s="1113">
        <v>12.698611111111111</v>
      </c>
      <c r="IU15" s="1114">
        <v>4.5308E11</v>
      </c>
      <c r="IV15" s="1113">
        <v>12.698611111111111</v>
      </c>
      <c r="IW15" s="1114">
        <v>4.5308E11</v>
      </c>
      <c r="IX15" s="1113">
        <v>12.698611111111111</v>
      </c>
      <c r="IY15" s="1114">
        <v>4.5308E11</v>
      </c>
      <c r="IZ15" s="1113">
        <v>12.698611111111111</v>
      </c>
      <c r="JA15" s="1114">
        <v>5.8308E11</v>
      </c>
      <c r="JB15" s="1113">
        <v>12.698611111111111</v>
      </c>
      <c r="JC15" s="1114">
        <v>5.8308E11</v>
      </c>
      <c r="JD15" s="1113">
        <v>12.698611111111111</v>
      </c>
      <c r="JE15" s="1114">
        <v>5.8308E11</v>
      </c>
      <c r="JF15" s="1113">
        <v>12.698611111111111</v>
      </c>
      <c r="JG15" s="1114">
        <v>5.8308E11</v>
      </c>
      <c r="JH15" s="1113">
        <v>13.161805555555556</v>
      </c>
      <c r="JI15" s="1114">
        <v>9.8308E11</v>
      </c>
      <c r="JJ15" s="1113">
        <v>140.39375</v>
      </c>
      <c r="JK15" s="1115">
        <v>3.25E18</v>
      </c>
      <c r="JL15" s="1113">
        <v>140.39375</v>
      </c>
      <c r="JM15" s="1115">
        <v>3.25E18</v>
      </c>
      <c r="JN15" s="1113">
        <v>140.39375</v>
      </c>
      <c r="JO15" s="1115">
        <v>3.25E18</v>
      </c>
      <c r="JP15" s="1113">
        <v>140.39375</v>
      </c>
      <c r="JQ15" s="1115">
        <v>3.25E18</v>
      </c>
      <c r="JR15" s="1113">
        <v>140.39375</v>
      </c>
      <c r="JS15" s="1115">
        <v>3.25E18</v>
      </c>
      <c r="JT15" s="1113">
        <v>140.39375</v>
      </c>
      <c r="JU15" s="1115">
        <v>3.25E18</v>
      </c>
      <c r="JV15" s="1113">
        <v>35.09791666666667</v>
      </c>
      <c r="JW15" s="1115">
        <v>5.669391238E13</v>
      </c>
      <c r="JX15" s="1169"/>
      <c r="JY15" s="1167"/>
      <c r="JZ15" s="1116">
        <v>1.896550926</v>
      </c>
      <c r="KA15" s="1120">
        <v>1.64E9</v>
      </c>
      <c r="KB15" s="1116">
        <v>2.120763889</v>
      </c>
      <c r="KC15" s="1120">
        <v>5.19E9</v>
      </c>
      <c r="KD15" s="1116">
        <v>8.14337963</v>
      </c>
      <c r="KE15" s="1120">
        <v>2.8928E11</v>
      </c>
      <c r="KF15" s="1116">
        <v>8.14337963</v>
      </c>
      <c r="KG15" s="1120">
        <v>2.8928E11</v>
      </c>
      <c r="KH15" s="1133"/>
      <c r="KI15" s="1167"/>
      <c r="KJ15" s="1133"/>
      <c r="KK15" s="1133"/>
      <c r="KL15" s="1133"/>
      <c r="KM15" s="1133"/>
      <c r="KN15" s="1133"/>
      <c r="KO15" s="1133"/>
      <c r="KP15" s="1133"/>
      <c r="KQ15" s="1133"/>
      <c r="KR15" s="1133"/>
      <c r="KS15" s="1133"/>
      <c r="KT15" s="1133"/>
      <c r="KU15" s="1133"/>
      <c r="KV15" s="1131">
        <v>140.39375</v>
      </c>
      <c r="KW15" s="1132">
        <v>3.25E18</v>
      </c>
      <c r="KX15" s="1131">
        <v>140.39375</v>
      </c>
      <c r="KY15" s="1132">
        <v>3.25E18</v>
      </c>
      <c r="KZ15" s="1131">
        <v>140.39375</v>
      </c>
      <c r="LA15" s="1132">
        <v>3.25E18</v>
      </c>
      <c r="LB15" s="1131">
        <v>140.39375</v>
      </c>
      <c r="LC15" s="1132">
        <v>3.25E18</v>
      </c>
      <c r="LD15" s="1131">
        <v>140.39375</v>
      </c>
      <c r="LE15" s="1132">
        <v>3.25E18</v>
      </c>
      <c r="LF15" s="1131">
        <v>140.39375</v>
      </c>
      <c r="LG15" s="1132">
        <v>3.25E18</v>
      </c>
      <c r="LH15" s="1131">
        <v>140.39375</v>
      </c>
      <c r="LI15" s="1132">
        <v>3.25E18</v>
      </c>
      <c r="LJ15" s="1131">
        <v>140.39375</v>
      </c>
      <c r="LK15" s="1132">
        <v>3.25E18</v>
      </c>
      <c r="LL15" s="1133"/>
      <c r="LM15" s="1133"/>
      <c r="LN15" s="1122">
        <v>175.49166666666667</v>
      </c>
      <c r="LO15" s="1101">
        <v>2.6E18</v>
      </c>
      <c r="LP15" s="1122">
        <v>175.49166666666667</v>
      </c>
      <c r="LQ15" s="1101">
        <v>2.6E18</v>
      </c>
      <c r="LR15" s="1122">
        <v>175.49166666666667</v>
      </c>
      <c r="LS15" s="1101">
        <v>2.6E18</v>
      </c>
      <c r="LT15" s="1122">
        <v>175.49166666666667</v>
      </c>
      <c r="LU15" s="1101">
        <v>2.6E18</v>
      </c>
      <c r="LV15" s="1122">
        <v>175.49166666666667</v>
      </c>
      <c r="LW15" s="1101">
        <v>2.6E18</v>
      </c>
      <c r="LX15" s="1122">
        <v>210.59027777777777</v>
      </c>
      <c r="LY15" s="1123">
        <v>6.5E18</v>
      </c>
      <c r="LZ15" s="1122">
        <v>210.59027777777777</v>
      </c>
      <c r="MA15" s="1123">
        <v>6.5E18</v>
      </c>
      <c r="MB15" s="1122">
        <v>210.59027777777777</v>
      </c>
      <c r="MC15" s="1123">
        <v>6.5E18</v>
      </c>
      <c r="MD15" s="1122">
        <v>210.59027777777777</v>
      </c>
      <c r="ME15" s="1123">
        <v>6.5E18</v>
      </c>
      <c r="MF15" s="1133"/>
      <c r="MG15" s="1133"/>
      <c r="MH15" s="1133"/>
      <c r="MI15" s="1133"/>
      <c r="MJ15" s="1133"/>
      <c r="MK15" s="1133"/>
      <c r="ML15" s="1133"/>
      <c r="MM15" s="1133"/>
      <c r="MN15" s="1133"/>
      <c r="MO15" s="1133"/>
      <c r="MP15" s="1133"/>
      <c r="MQ15" s="1133"/>
      <c r="MR15" s="1133"/>
      <c r="MS15" s="1133"/>
      <c r="MT15" s="1133"/>
      <c r="MU15" s="1133"/>
      <c r="MV15" s="1133"/>
      <c r="MW15" s="1133"/>
      <c r="MX15" s="1133"/>
      <c r="MY15" s="1133"/>
    </row>
    <row r="16">
      <c r="A16" s="1071">
        <v>14.0</v>
      </c>
      <c r="B16" s="1124"/>
      <c r="C16" s="1125"/>
      <c r="D16" s="1072">
        <v>0.4270833333333333</v>
      </c>
      <c r="E16" s="1073">
        <v>16580.0</v>
      </c>
      <c r="F16" s="1072">
        <v>0.4270833333333333</v>
      </c>
      <c r="G16" s="1074">
        <v>16580.0</v>
      </c>
      <c r="H16" s="1072">
        <v>0.4270833333333333</v>
      </c>
      <c r="I16" s="1073">
        <v>16580.0</v>
      </c>
      <c r="J16" s="1072">
        <v>0.4270833333333333</v>
      </c>
      <c r="K16" s="1073">
        <v>16580.0</v>
      </c>
      <c r="L16" s="1072">
        <v>0.6361111111111111</v>
      </c>
      <c r="M16" s="1075">
        <v>35890.0</v>
      </c>
      <c r="N16" s="1076">
        <v>0.5048611111111111</v>
      </c>
      <c r="O16" s="1073">
        <v>37340.0</v>
      </c>
      <c r="P16" s="1124"/>
      <c r="Q16" s="1125"/>
      <c r="R16" s="1124"/>
      <c r="S16" s="1125"/>
      <c r="T16" s="1124"/>
      <c r="U16" s="1125"/>
      <c r="V16" s="1124"/>
      <c r="W16" s="1125"/>
      <c r="X16" s="1124"/>
      <c r="Y16" s="1125"/>
      <c r="Z16" s="1124"/>
      <c r="AA16" s="1125"/>
      <c r="AB16" s="1124"/>
      <c r="AC16" s="1125"/>
      <c r="AD16" s="1072">
        <v>15.11875</v>
      </c>
      <c r="AE16" s="1080">
        <v>3.028751066E10</v>
      </c>
      <c r="AF16" s="1072">
        <v>15.11875</v>
      </c>
      <c r="AG16" s="1080">
        <v>3.028751066E10</v>
      </c>
      <c r="AH16" s="1072">
        <v>15.11875</v>
      </c>
      <c r="AI16" s="1080">
        <v>3.028751066E10</v>
      </c>
      <c r="AJ16" s="1081">
        <v>0.4270833333333333</v>
      </c>
      <c r="AK16" s="1082">
        <v>16580.0</v>
      </c>
      <c r="AL16" s="1081">
        <v>0.4270833333333333</v>
      </c>
      <c r="AM16" s="1082">
        <v>16580.0</v>
      </c>
      <c r="AN16" s="1081">
        <v>0.4270833333333333</v>
      </c>
      <c r="AO16" s="1082">
        <v>16580.0</v>
      </c>
      <c r="AP16" s="1081">
        <v>0.4270833333333333</v>
      </c>
      <c r="AQ16" s="1082">
        <v>16580.0</v>
      </c>
      <c r="AR16" s="1081">
        <v>0.4270833333333333</v>
      </c>
      <c r="AS16" s="1082">
        <v>16590.0</v>
      </c>
      <c r="AT16" s="1081">
        <v>47.329861111111114</v>
      </c>
      <c r="AU16" s="1082">
        <v>1.748E8</v>
      </c>
      <c r="AV16" s="1081">
        <v>31.820138888888888</v>
      </c>
      <c r="AW16" s="1082">
        <v>1.748E8</v>
      </c>
      <c r="AX16" s="1081">
        <v>11.223611111111111</v>
      </c>
      <c r="AY16" s="1082">
        <v>7.2855E11</v>
      </c>
      <c r="AZ16" s="1124"/>
      <c r="BA16" s="1124"/>
      <c r="BB16" s="1083">
        <v>0.4270833333333333</v>
      </c>
      <c r="BC16" s="1084">
        <v>16580.0</v>
      </c>
      <c r="BD16" s="1083">
        <v>0.4270833333333333</v>
      </c>
      <c r="BE16" s="1084">
        <v>16580.0</v>
      </c>
      <c r="BF16" s="1083">
        <v>0.4270833333333333</v>
      </c>
      <c r="BG16" s="1084">
        <v>16580.0</v>
      </c>
      <c r="BH16" s="1083">
        <v>4.334722222222222</v>
      </c>
      <c r="BI16" s="1084">
        <v>2.859E7</v>
      </c>
      <c r="BJ16" s="1083">
        <v>5.923611111111111</v>
      </c>
      <c r="BK16" s="1084">
        <v>1.8461E8</v>
      </c>
      <c r="BL16" s="1083">
        <v>8.292361111111111</v>
      </c>
      <c r="BM16" s="1084">
        <v>6.1662E8</v>
      </c>
      <c r="BN16" s="1083">
        <v>8.292361111111111</v>
      </c>
      <c r="BO16" s="1084">
        <v>6.1662E8</v>
      </c>
      <c r="BP16" s="1083">
        <v>11.651388888888889</v>
      </c>
      <c r="BQ16" s="1084">
        <v>6.1675E8</v>
      </c>
      <c r="BR16" s="1126"/>
      <c r="BS16" s="1125"/>
      <c r="BT16" s="1085">
        <v>0.6430555555555556</v>
      </c>
      <c r="BU16" s="1086">
        <v>4.07E9</v>
      </c>
      <c r="BV16" s="1085">
        <v>14.890972222222222</v>
      </c>
      <c r="BW16" s="1086">
        <v>1.208E10</v>
      </c>
      <c r="BX16" s="1085">
        <v>29.86625</v>
      </c>
      <c r="BY16" s="1086">
        <v>1.0512E11</v>
      </c>
      <c r="BZ16" s="1085">
        <v>55.62152777777778</v>
      </c>
      <c r="CA16" s="1086">
        <v>1.4412E11</v>
      </c>
      <c r="CB16" s="1126"/>
      <c r="CC16" s="1125"/>
      <c r="CD16" s="1083">
        <v>4.493553240740741</v>
      </c>
      <c r="CE16" s="1087">
        <v>4.1011E11</v>
      </c>
      <c r="CF16" s="1133"/>
      <c r="CG16" s="1167"/>
      <c r="CH16" s="1088">
        <v>0.4270833333333333</v>
      </c>
      <c r="CI16" s="1089">
        <v>16590.0</v>
      </c>
      <c r="CJ16" s="1088">
        <v>0.4270833333333333</v>
      </c>
      <c r="CK16" s="1089">
        <v>16590.0</v>
      </c>
      <c r="CL16" s="1088">
        <v>0.4270833333333333</v>
      </c>
      <c r="CM16" s="1089">
        <v>16590.0</v>
      </c>
      <c r="CN16" s="1088">
        <v>0.4270833333333333</v>
      </c>
      <c r="CO16" s="1089">
        <v>16590.0</v>
      </c>
      <c r="CP16" s="1088">
        <v>0.7131944444444445</v>
      </c>
      <c r="CQ16" s="1089">
        <v>37350.0</v>
      </c>
      <c r="CR16" s="1088">
        <v>21.56875</v>
      </c>
      <c r="CS16" s="1089">
        <v>483330.0</v>
      </c>
      <c r="CT16" s="1126"/>
      <c r="CU16" s="1125"/>
      <c r="CV16" s="1090">
        <v>15.122916666666667</v>
      </c>
      <c r="CW16" s="1091">
        <v>1.705E11</v>
      </c>
      <c r="CX16" s="1090">
        <v>15.122916666666667</v>
      </c>
      <c r="CY16" s="1091">
        <v>1.705E11</v>
      </c>
      <c r="CZ16" s="1090">
        <v>15.122916666666667</v>
      </c>
      <c r="DA16" s="1091">
        <v>1.705E11</v>
      </c>
      <c r="DB16" s="1090">
        <v>8.181249999999999</v>
      </c>
      <c r="DC16" s="1091">
        <v>4.181E10</v>
      </c>
      <c r="DD16" s="1090">
        <v>8.181249999999999</v>
      </c>
      <c r="DE16" s="1091">
        <v>4.181E10</v>
      </c>
      <c r="DF16" s="1092">
        <v>9.05625</v>
      </c>
      <c r="DG16" s="1093">
        <v>6.1711E8</v>
      </c>
      <c r="DH16" s="1124"/>
      <c r="DI16" s="1125"/>
      <c r="DJ16" s="1092">
        <v>9.843055555555555</v>
      </c>
      <c r="DK16" s="1093">
        <v>6.1766E8</v>
      </c>
      <c r="DL16" s="1092">
        <v>9.05625</v>
      </c>
      <c r="DM16" s="1093">
        <v>6.1711E8</v>
      </c>
      <c r="DN16" s="1124"/>
      <c r="DO16" s="1125"/>
      <c r="DP16" s="1092">
        <v>9.05625</v>
      </c>
      <c r="DQ16" s="1093">
        <v>6.1711E8</v>
      </c>
      <c r="DR16" s="1092">
        <v>9.05625</v>
      </c>
      <c r="DS16" s="1093">
        <v>6.1711E8</v>
      </c>
      <c r="DT16" s="1124"/>
      <c r="DU16" s="1125"/>
      <c r="DV16" s="1092">
        <v>9.05625</v>
      </c>
      <c r="DW16" s="1093">
        <v>6.1711E8</v>
      </c>
      <c r="DX16" s="1092">
        <v>9.05625</v>
      </c>
      <c r="DY16" s="1093">
        <v>6.1711E8</v>
      </c>
      <c r="DZ16" s="1092">
        <v>12.597916666666666</v>
      </c>
      <c r="EA16" s="1093">
        <v>1.52E9</v>
      </c>
      <c r="EB16" s="1092">
        <v>12.597916666666666</v>
      </c>
      <c r="EC16" s="1093">
        <v>1.52E9</v>
      </c>
      <c r="ED16" s="1124"/>
      <c r="EE16" s="1125"/>
      <c r="EF16" s="1092">
        <v>11.764583333333333</v>
      </c>
      <c r="EG16" s="1093">
        <v>1.52E9</v>
      </c>
      <c r="EH16" s="1092">
        <v>11.764583333333333</v>
      </c>
      <c r="EI16" s="1093">
        <v>1.52E9</v>
      </c>
      <c r="EJ16" s="1092">
        <v>8.479780092592593</v>
      </c>
      <c r="EK16" s="1093">
        <v>3.8311E8</v>
      </c>
      <c r="EL16" s="1092">
        <v>11.765011574074075</v>
      </c>
      <c r="EM16" s="1093">
        <v>1.52E9</v>
      </c>
      <c r="EN16" s="1092">
        <v>11.764583333333333</v>
      </c>
      <c r="EO16" s="1093">
        <v>1.52E9</v>
      </c>
      <c r="EP16" s="1092">
        <v>11.764583333333333</v>
      </c>
      <c r="EQ16" s="1093">
        <v>1.52E9</v>
      </c>
      <c r="ER16" s="1092">
        <v>11.764583333333333</v>
      </c>
      <c r="ES16" s="1093">
        <v>1.52E9</v>
      </c>
      <c r="ET16" s="1092">
        <v>11.764583333333333</v>
      </c>
      <c r="EU16" s="1093">
        <v>1.52E9</v>
      </c>
      <c r="EV16" s="1124"/>
      <c r="EW16" s="1125"/>
      <c r="EX16" s="1124"/>
      <c r="EY16" s="1125"/>
      <c r="EZ16" s="1124"/>
      <c r="FA16" s="1125"/>
      <c r="FB16" s="1126"/>
      <c r="FC16" s="1125"/>
      <c r="FD16" s="1126"/>
      <c r="FE16" s="1125"/>
      <c r="FF16" s="1092">
        <v>12.597916666666666</v>
      </c>
      <c r="FG16" s="1094">
        <v>3.74E9</v>
      </c>
      <c r="FH16" s="1092">
        <v>12.597916666666666</v>
      </c>
      <c r="FI16" s="1094">
        <v>3.74E9</v>
      </c>
      <c r="FJ16" s="1092">
        <v>17.59783564814815</v>
      </c>
      <c r="FK16" s="1093">
        <v>1.718918919E9</v>
      </c>
      <c r="FL16" s="1124"/>
      <c r="FM16" s="1125"/>
      <c r="FN16" s="1139"/>
      <c r="FO16" s="1126"/>
      <c r="FP16" s="1092">
        <v>36.36244212962963</v>
      </c>
      <c r="FQ16" s="1094">
        <v>1.946E13</v>
      </c>
      <c r="FR16" s="1139"/>
      <c r="FS16" s="1126"/>
      <c r="FT16" s="1092">
        <v>36.36244212962963</v>
      </c>
      <c r="FU16" s="1094">
        <v>1.946E13</v>
      </c>
      <c r="FV16" s="1092">
        <v>36.36244212962963</v>
      </c>
      <c r="FW16" s="1094">
        <v>1.946E13</v>
      </c>
      <c r="FX16" s="1097">
        <v>14.08568287037037</v>
      </c>
      <c r="FY16" s="1098">
        <v>1.9462E11</v>
      </c>
      <c r="FZ16" s="1097">
        <v>36.362430555555555</v>
      </c>
      <c r="GA16" s="1098">
        <v>1.94625E13</v>
      </c>
      <c r="GB16" s="1133"/>
      <c r="GC16" s="1133"/>
      <c r="GD16" s="1133"/>
      <c r="GE16" s="1167"/>
      <c r="GF16" s="1124"/>
      <c r="GG16" s="1125"/>
      <c r="GH16" s="1100">
        <v>10.972916666666666</v>
      </c>
      <c r="GI16" s="1101">
        <v>3.72E9</v>
      </c>
      <c r="GJ16" s="1124"/>
      <c r="GK16" s="1125"/>
      <c r="GL16" s="1124"/>
      <c r="GM16" s="1125"/>
      <c r="GN16" s="1126"/>
      <c r="GO16" s="1125"/>
      <c r="GP16" s="1102">
        <v>11.139583333333333</v>
      </c>
      <c r="GQ16" s="1134">
        <v>1.005E11</v>
      </c>
      <c r="GR16" s="1124"/>
      <c r="GS16" s="1125"/>
      <c r="GT16" s="1124"/>
      <c r="GU16" s="1125"/>
      <c r="GV16" s="1126"/>
      <c r="GW16" s="1125"/>
      <c r="GX16" s="1168"/>
      <c r="GY16" s="1133"/>
      <c r="GZ16" s="1124"/>
      <c r="HA16" s="1125"/>
      <c r="HB16" s="1107">
        <v>8.292361111111111</v>
      </c>
      <c r="HC16" s="1108">
        <v>7.43E9</v>
      </c>
      <c r="HD16" s="1124"/>
      <c r="HE16" s="1125"/>
      <c r="HF16" s="1107">
        <v>8.593055555555555</v>
      </c>
      <c r="HG16" s="1108">
        <v>1.114E10</v>
      </c>
      <c r="HH16" s="1124"/>
      <c r="HI16" s="1125"/>
      <c r="HJ16" s="1124"/>
      <c r="HK16" s="1125"/>
      <c r="HL16" s="1124"/>
      <c r="HM16" s="1125"/>
      <c r="HN16" s="1126"/>
      <c r="HO16" s="1125"/>
      <c r="HP16" s="1107">
        <v>30.57792824074074</v>
      </c>
      <c r="HQ16" s="1109">
        <v>3.09E9</v>
      </c>
      <c r="HR16" s="1128">
        <v>14.428472222222222</v>
      </c>
      <c r="HS16" s="1129">
        <v>1.898E10</v>
      </c>
      <c r="HT16" s="1128">
        <v>14.428472222222222</v>
      </c>
      <c r="HU16" s="1129">
        <v>1.898E10</v>
      </c>
      <c r="HV16" s="1128">
        <v>14.428472222222222</v>
      </c>
      <c r="HW16" s="1129">
        <v>1.898E10</v>
      </c>
      <c r="HX16" s="1130">
        <v>14.428472222222222</v>
      </c>
      <c r="HY16" s="1129">
        <v>1.898E10</v>
      </c>
      <c r="HZ16" s="1124"/>
      <c r="IA16" s="1125"/>
      <c r="IB16" s="1130">
        <v>51.27320601851852</v>
      </c>
      <c r="IC16" s="1129">
        <v>1.946E13</v>
      </c>
      <c r="ID16" s="1130">
        <v>51.27320601851852</v>
      </c>
      <c r="IE16" s="1129">
        <v>1.946E13</v>
      </c>
      <c r="IF16" s="1130">
        <v>51.27320601851852</v>
      </c>
      <c r="IG16" s="1129">
        <v>1.946E13</v>
      </c>
      <c r="IH16" s="1113">
        <v>15.122916666666667</v>
      </c>
      <c r="II16" s="1114">
        <v>3.655E11</v>
      </c>
      <c r="IJ16" s="1113">
        <v>15.122916666666667</v>
      </c>
      <c r="IK16" s="1114">
        <v>3.655E11</v>
      </c>
      <c r="IL16" s="1113">
        <v>15.122916666666667</v>
      </c>
      <c r="IM16" s="1114">
        <v>5.055E11</v>
      </c>
      <c r="IN16" s="1113">
        <v>15.122916666666667</v>
      </c>
      <c r="IO16" s="1114">
        <v>5.055E11</v>
      </c>
      <c r="IP16" s="1113">
        <v>15.585416666666667</v>
      </c>
      <c r="IQ16" s="1114">
        <v>9.255E11</v>
      </c>
      <c r="IR16" s="1113">
        <v>15.122916666666667</v>
      </c>
      <c r="IS16" s="1114">
        <v>5.055E11</v>
      </c>
      <c r="IT16" s="1113">
        <v>15.122916666666667</v>
      </c>
      <c r="IU16" s="1114">
        <v>5.055E11</v>
      </c>
      <c r="IV16" s="1113">
        <v>15.122916666666667</v>
      </c>
      <c r="IW16" s="1114">
        <v>5.055E11</v>
      </c>
      <c r="IX16" s="1113">
        <v>15.122916666666667</v>
      </c>
      <c r="IY16" s="1114">
        <v>5.055E11</v>
      </c>
      <c r="IZ16" s="1113">
        <v>15.122916666666667</v>
      </c>
      <c r="JA16" s="1114">
        <v>6.455E11</v>
      </c>
      <c r="JB16" s="1113">
        <v>15.122916666666667</v>
      </c>
      <c r="JC16" s="1114">
        <v>6.455E11</v>
      </c>
      <c r="JD16" s="1113">
        <v>15.122916666666667</v>
      </c>
      <c r="JE16" s="1114">
        <v>6.455E11</v>
      </c>
      <c r="JF16" s="1113">
        <v>15.122916666666667</v>
      </c>
      <c r="JG16" s="1114">
        <v>6.455E11</v>
      </c>
      <c r="JH16" s="1113">
        <v>15.585416666666667</v>
      </c>
      <c r="JI16" s="1114">
        <v>1.08E12</v>
      </c>
      <c r="JJ16" s="1113">
        <v>151.19305555555556</v>
      </c>
      <c r="JK16" s="1115">
        <v>3.5E18</v>
      </c>
      <c r="JL16" s="1113">
        <v>151.19305555555556</v>
      </c>
      <c r="JM16" s="1115">
        <v>3.5E18</v>
      </c>
      <c r="JN16" s="1113">
        <v>151.19305555555556</v>
      </c>
      <c r="JO16" s="1115">
        <v>3.5E18</v>
      </c>
      <c r="JP16" s="1113">
        <v>151.19305555555556</v>
      </c>
      <c r="JQ16" s="1115">
        <v>3.5E18</v>
      </c>
      <c r="JR16" s="1113">
        <v>151.19305555555556</v>
      </c>
      <c r="JS16" s="1115">
        <v>3.5E18</v>
      </c>
      <c r="JT16" s="1113">
        <v>151.19305555555556</v>
      </c>
      <c r="JU16" s="1115">
        <v>3.5E18</v>
      </c>
      <c r="JV16" s="1113">
        <v>37.797916666666666</v>
      </c>
      <c r="JW16" s="1115">
        <v>7.937147733E13</v>
      </c>
      <c r="JX16" s="1169"/>
      <c r="JY16" s="1167"/>
      <c r="JZ16" s="1116">
        <v>1.946215278</v>
      </c>
      <c r="KA16" s="1120">
        <v>2.04E9</v>
      </c>
      <c r="KB16" s="1116">
        <v>2.222256944</v>
      </c>
      <c r="KC16" s="1120">
        <v>6.59E9</v>
      </c>
      <c r="KD16" s="1116">
        <v>8.530949074</v>
      </c>
      <c r="KE16" s="1120">
        <v>3.7222E11</v>
      </c>
      <c r="KF16" s="1116">
        <v>8.530949074</v>
      </c>
      <c r="KG16" s="1120">
        <v>3.7222E11</v>
      </c>
      <c r="KH16" s="1169"/>
      <c r="KI16" s="1167"/>
      <c r="KJ16" s="1133"/>
      <c r="KK16" s="1133"/>
      <c r="KL16" s="1133"/>
      <c r="KM16" s="1133"/>
      <c r="KN16" s="1133"/>
      <c r="KO16" s="1133"/>
      <c r="KP16" s="1133"/>
      <c r="KQ16" s="1133"/>
      <c r="KR16" s="1133"/>
      <c r="KS16" s="1133"/>
      <c r="KT16" s="1133"/>
      <c r="KU16" s="1133"/>
      <c r="KV16" s="1131">
        <v>151.19305555555556</v>
      </c>
      <c r="KW16" s="1132">
        <v>3.5E18</v>
      </c>
      <c r="KX16" s="1131">
        <v>151.19305555555556</v>
      </c>
      <c r="KY16" s="1132">
        <v>3.5E18</v>
      </c>
      <c r="KZ16" s="1131">
        <v>151.19305555555556</v>
      </c>
      <c r="LA16" s="1132">
        <v>3.5E18</v>
      </c>
      <c r="LB16" s="1131">
        <v>151.19305555555556</v>
      </c>
      <c r="LC16" s="1132">
        <v>3.5E18</v>
      </c>
      <c r="LD16" s="1131">
        <v>151.19305555555556</v>
      </c>
      <c r="LE16" s="1132">
        <v>3.5E18</v>
      </c>
      <c r="LF16" s="1131">
        <v>151.19305555555556</v>
      </c>
      <c r="LG16" s="1132">
        <v>3.5E18</v>
      </c>
      <c r="LH16" s="1131">
        <v>151.19305555555556</v>
      </c>
      <c r="LI16" s="1132">
        <v>3.5E18</v>
      </c>
      <c r="LJ16" s="1131">
        <v>151.19305555555556</v>
      </c>
      <c r="LK16" s="1132">
        <v>3.5E18</v>
      </c>
      <c r="LL16" s="1133"/>
      <c r="LM16" s="1133"/>
      <c r="LN16" s="1122">
        <v>188.9909722222222</v>
      </c>
      <c r="LO16" s="1101">
        <v>2.8000000000000005E18</v>
      </c>
      <c r="LP16" s="1122">
        <v>188.9909722222222</v>
      </c>
      <c r="LQ16" s="1101">
        <v>2.8000000000000005E18</v>
      </c>
      <c r="LR16" s="1122">
        <v>188.9909722222222</v>
      </c>
      <c r="LS16" s="1101">
        <v>2.8000000000000005E18</v>
      </c>
      <c r="LT16" s="1122">
        <v>188.9909722222222</v>
      </c>
      <c r="LU16" s="1101">
        <v>2.8000000000000005E18</v>
      </c>
      <c r="LV16" s="1122">
        <v>188.9909722222222</v>
      </c>
      <c r="LW16" s="1101">
        <v>2.8000000000000005E18</v>
      </c>
      <c r="LX16" s="1122">
        <v>226.78958333333333</v>
      </c>
      <c r="LY16" s="1123">
        <v>7.0E18</v>
      </c>
      <c r="LZ16" s="1122">
        <v>226.78958333333333</v>
      </c>
      <c r="MA16" s="1123">
        <v>7.0E18</v>
      </c>
      <c r="MB16" s="1122">
        <v>226.78958333333333</v>
      </c>
      <c r="MC16" s="1123">
        <v>7.0E18</v>
      </c>
      <c r="MD16" s="1122">
        <v>226.78958333333333</v>
      </c>
      <c r="ME16" s="1123">
        <v>7.0E18</v>
      </c>
      <c r="MF16" s="1133"/>
      <c r="MG16" s="1133"/>
      <c r="MH16" s="1133"/>
      <c r="MI16" s="1133"/>
      <c r="MJ16" s="1133"/>
      <c r="MK16" s="1133"/>
      <c r="ML16" s="1133"/>
      <c r="MM16" s="1133"/>
      <c r="MN16" s="1133"/>
      <c r="MO16" s="1133"/>
      <c r="MP16" s="1133"/>
      <c r="MQ16" s="1133"/>
      <c r="MR16" s="1133"/>
      <c r="MS16" s="1133"/>
      <c r="MT16" s="1133"/>
      <c r="MU16" s="1133"/>
      <c r="MV16" s="1133"/>
      <c r="MW16" s="1133"/>
      <c r="MX16" s="1133"/>
      <c r="MY16" s="1133"/>
    </row>
    <row r="17">
      <c r="A17" s="1071">
        <v>15.0</v>
      </c>
      <c r="B17" s="1124"/>
      <c r="C17" s="1125"/>
      <c r="D17" s="1072">
        <v>0.5048611111111111</v>
      </c>
      <c r="E17" s="1073">
        <v>20270.0</v>
      </c>
      <c r="F17" s="1072">
        <v>0.5048611111111111</v>
      </c>
      <c r="G17" s="1074">
        <v>20270.0</v>
      </c>
      <c r="H17" s="1072">
        <v>0.5048611111111111</v>
      </c>
      <c r="I17" s="1073">
        <v>20270.0</v>
      </c>
      <c r="J17" s="1072">
        <v>0.5048611111111111</v>
      </c>
      <c r="K17" s="1073">
        <v>20270.0</v>
      </c>
      <c r="L17" s="1072">
        <v>0.7590277777777777</v>
      </c>
      <c r="M17" s="1075">
        <v>44940.0</v>
      </c>
      <c r="N17" s="1076">
        <v>0.5930555555555556</v>
      </c>
      <c r="O17" s="1073">
        <v>46910.0</v>
      </c>
      <c r="P17" s="1124"/>
      <c r="Q17" s="1125"/>
      <c r="R17" s="1124"/>
      <c r="S17" s="1125"/>
      <c r="T17" s="1124"/>
      <c r="U17" s="1125"/>
      <c r="V17" s="1124"/>
      <c r="W17" s="1125"/>
      <c r="X17" s="1124"/>
      <c r="Y17" s="1125"/>
      <c r="Z17" s="1124"/>
      <c r="AA17" s="1125"/>
      <c r="AB17" s="1124"/>
      <c r="AC17" s="1125"/>
      <c r="AD17" s="1072">
        <v>16.198611111111113</v>
      </c>
      <c r="AE17" s="1080">
        <v>3.937376386E10</v>
      </c>
      <c r="AF17" s="1072">
        <v>16.198611111111113</v>
      </c>
      <c r="AG17" s="1080">
        <v>3.937376386E10</v>
      </c>
      <c r="AH17" s="1072">
        <v>16.198611111111113</v>
      </c>
      <c r="AI17" s="1080">
        <v>3.937376386E10</v>
      </c>
      <c r="AJ17" s="1081">
        <v>0.5048611111111111</v>
      </c>
      <c r="AK17" s="1082">
        <v>20270.0</v>
      </c>
      <c r="AL17" s="1081">
        <v>0.5048611111111111</v>
      </c>
      <c r="AM17" s="1082">
        <v>20270.0</v>
      </c>
      <c r="AN17" s="1081">
        <v>0.5048611111111111</v>
      </c>
      <c r="AO17" s="1082">
        <v>20270.0</v>
      </c>
      <c r="AP17" s="1081">
        <v>0.5048611111111111</v>
      </c>
      <c r="AQ17" s="1082">
        <v>20270.0</v>
      </c>
      <c r="AR17" s="1081">
        <v>0.5048611111111111</v>
      </c>
      <c r="AS17" s="1082">
        <v>20280.0</v>
      </c>
      <c r="AT17" s="1081">
        <v>62.020833333333336</v>
      </c>
      <c r="AU17" s="1082">
        <v>2.4667E8</v>
      </c>
      <c r="AV17" s="1081">
        <v>40.38263888888889</v>
      </c>
      <c r="AW17" s="1082">
        <v>2.4667E8</v>
      </c>
      <c r="AX17" s="1081">
        <v>11.843055555555557</v>
      </c>
      <c r="AY17" s="1082">
        <v>7.7133E11</v>
      </c>
      <c r="AZ17" s="1124"/>
      <c r="BA17" s="1124"/>
      <c r="BB17" s="1083">
        <v>0.5048611111111111</v>
      </c>
      <c r="BC17" s="1084">
        <v>20270.0</v>
      </c>
      <c r="BD17" s="1083">
        <v>0.5048611111111111</v>
      </c>
      <c r="BE17" s="1084">
        <v>20270.0</v>
      </c>
      <c r="BF17" s="1083">
        <v>0.5048611111111111</v>
      </c>
      <c r="BG17" s="1084">
        <v>20270.0</v>
      </c>
      <c r="BH17" s="1083">
        <v>5.434027777777778</v>
      </c>
      <c r="BI17" s="1084">
        <v>3.844E7</v>
      </c>
      <c r="BJ17" s="1083">
        <v>7.415972222222222</v>
      </c>
      <c r="BK17" s="1084">
        <v>2.5014E8</v>
      </c>
      <c r="BL17" s="1083">
        <v>10.331944444444444</v>
      </c>
      <c r="BM17" s="1084">
        <v>8.4801E8</v>
      </c>
      <c r="BN17" s="1083">
        <v>10.331944444444444</v>
      </c>
      <c r="BO17" s="1084">
        <v>8.4801E8</v>
      </c>
      <c r="BP17" s="1083">
        <v>14.741666666666667</v>
      </c>
      <c r="BQ17" s="1084">
        <v>8.4814E8</v>
      </c>
      <c r="BR17" s="1126"/>
      <c r="BS17" s="1125"/>
      <c r="BT17" s="1085">
        <v>0.7201388888888889</v>
      </c>
      <c r="BU17" s="1086">
        <v>4.41E9</v>
      </c>
      <c r="BV17" s="1085">
        <v>17.89027777777778</v>
      </c>
      <c r="BW17" s="1086">
        <v>1.389E10</v>
      </c>
      <c r="BX17" s="1085">
        <v>34.346180555555556</v>
      </c>
      <c r="BY17" s="1086">
        <v>1.1156E11</v>
      </c>
      <c r="BZ17" s="1085">
        <v>74.71458333333332</v>
      </c>
      <c r="CA17" s="1086">
        <v>1.5356E11</v>
      </c>
      <c r="CB17" s="1126"/>
      <c r="CC17" s="1125"/>
      <c r="CD17" s="1083">
        <v>4.78037037037037</v>
      </c>
      <c r="CE17" s="1087">
        <v>4.3748E11</v>
      </c>
      <c r="CF17" s="1133"/>
      <c r="CG17" s="1167"/>
      <c r="CH17" s="1088">
        <v>0.5048611111111111</v>
      </c>
      <c r="CI17" s="1089">
        <v>20280.0</v>
      </c>
      <c r="CJ17" s="1088">
        <v>0.5048611111111111</v>
      </c>
      <c r="CK17" s="1089">
        <v>20280.0</v>
      </c>
      <c r="CL17" s="1088">
        <v>0.5048611111111111</v>
      </c>
      <c r="CM17" s="1089">
        <v>20280.0</v>
      </c>
      <c r="CN17" s="1088">
        <v>0.5048611111111111</v>
      </c>
      <c r="CO17" s="1089">
        <v>20280.0</v>
      </c>
      <c r="CP17" s="1088">
        <v>0.8548611111111112</v>
      </c>
      <c r="CQ17" s="1089">
        <v>46920.0</v>
      </c>
      <c r="CR17" s="1088">
        <v>28.12152777777778</v>
      </c>
      <c r="CS17" s="1089">
        <v>624680.0</v>
      </c>
      <c r="CT17" s="1126"/>
      <c r="CU17" s="1125"/>
      <c r="CV17" s="1090">
        <v>18.00625</v>
      </c>
      <c r="CW17" s="1091">
        <v>2.0331E11</v>
      </c>
      <c r="CX17" s="1090">
        <v>18.00625</v>
      </c>
      <c r="CY17" s="1091">
        <v>2.0331E11</v>
      </c>
      <c r="CZ17" s="1090">
        <v>18.00625</v>
      </c>
      <c r="DA17" s="1091">
        <v>2.0331E11</v>
      </c>
      <c r="DB17" s="1090">
        <v>9.323611111111111</v>
      </c>
      <c r="DC17" s="1091">
        <v>5.364E10</v>
      </c>
      <c r="DD17" s="1090">
        <v>9.323611111111111</v>
      </c>
      <c r="DE17" s="1091">
        <v>5.364E10</v>
      </c>
      <c r="DF17" s="1092">
        <v>11.095833333333333</v>
      </c>
      <c r="DG17" s="1093">
        <v>8.4851E8</v>
      </c>
      <c r="DH17" s="1124"/>
      <c r="DI17" s="1125"/>
      <c r="DJ17" s="1092">
        <v>11.88263888888889</v>
      </c>
      <c r="DK17" s="1093">
        <v>8.4906E8</v>
      </c>
      <c r="DL17" s="1092">
        <v>11.095833333333333</v>
      </c>
      <c r="DM17" s="1093">
        <v>8.4851E8</v>
      </c>
      <c r="DN17" s="1124"/>
      <c r="DO17" s="1125"/>
      <c r="DP17" s="1092">
        <v>11.095833333333333</v>
      </c>
      <c r="DQ17" s="1093">
        <v>8.4851E8</v>
      </c>
      <c r="DR17" s="1092">
        <v>11.095833333333333</v>
      </c>
      <c r="DS17" s="1093">
        <v>8.4851E8</v>
      </c>
      <c r="DT17" s="1124"/>
      <c r="DU17" s="1125"/>
      <c r="DV17" s="1092">
        <v>11.095833333333333</v>
      </c>
      <c r="DW17" s="1093">
        <v>8.4851E8</v>
      </c>
      <c r="DX17" s="1092">
        <v>11.095833333333333</v>
      </c>
      <c r="DY17" s="1093">
        <v>8.4851E8</v>
      </c>
      <c r="DZ17" s="1092">
        <v>14.845833333333333</v>
      </c>
      <c r="EA17" s="1093">
        <v>2.14E9</v>
      </c>
      <c r="EB17" s="1092">
        <v>14.845833333333333</v>
      </c>
      <c r="EC17" s="1093">
        <v>2.14E9</v>
      </c>
      <c r="ED17" s="1124"/>
      <c r="EE17" s="1125"/>
      <c r="EF17" s="1092">
        <v>14.0125</v>
      </c>
      <c r="EG17" s="1093">
        <v>2.14E9</v>
      </c>
      <c r="EH17" s="1124"/>
      <c r="EI17" s="1125"/>
      <c r="EJ17" s="1092">
        <v>8.927488425925926</v>
      </c>
      <c r="EK17" s="1093">
        <v>4.0687E8</v>
      </c>
      <c r="EL17" s="1092">
        <v>14.096030092592592</v>
      </c>
      <c r="EM17" s="1093">
        <v>2.14E9</v>
      </c>
      <c r="EN17" s="1092">
        <v>14.0125</v>
      </c>
      <c r="EO17" s="1093">
        <v>2.14E9</v>
      </c>
      <c r="EP17" s="1092">
        <v>14.0125</v>
      </c>
      <c r="EQ17" s="1093">
        <v>2.14E9</v>
      </c>
      <c r="ER17" s="1092">
        <v>14.0125</v>
      </c>
      <c r="ES17" s="1093">
        <v>2.14E9</v>
      </c>
      <c r="ET17" s="1092">
        <v>14.0125</v>
      </c>
      <c r="EU17" s="1093">
        <v>2.14E9</v>
      </c>
      <c r="EV17" s="1124"/>
      <c r="EW17" s="1125"/>
      <c r="EX17" s="1124"/>
      <c r="EY17" s="1125"/>
      <c r="EZ17" s="1124"/>
      <c r="FA17" s="1125"/>
      <c r="FB17" s="1126"/>
      <c r="FC17" s="1125"/>
      <c r="FD17" s="1126"/>
      <c r="FE17" s="1125"/>
      <c r="FF17" s="1092">
        <v>14.845833333333333</v>
      </c>
      <c r="FG17" s="1094">
        <v>5.41E9</v>
      </c>
      <c r="FH17" s="1092">
        <v>14.845833333333333</v>
      </c>
      <c r="FI17" s="1094">
        <v>5.41E9</v>
      </c>
      <c r="FJ17" s="1092">
        <v>19.84466435185185</v>
      </c>
      <c r="FK17" s="1093">
        <v>2.335135135E9</v>
      </c>
      <c r="FL17" s="1124"/>
      <c r="FM17" s="1125"/>
      <c r="FN17" s="1139"/>
      <c r="FO17" s="1126"/>
      <c r="FP17" s="1092">
        <v>40.72592592592593</v>
      </c>
      <c r="FQ17" s="1094">
        <v>2.919E13</v>
      </c>
      <c r="FR17" s="1139"/>
      <c r="FS17" s="1126"/>
      <c r="FT17" s="1092">
        <v>40.72592592592593</v>
      </c>
      <c r="FU17" s="1094">
        <v>2.919E13</v>
      </c>
      <c r="FV17" s="1092">
        <v>40.72592592592593</v>
      </c>
      <c r="FW17" s="1094">
        <v>2.919E13</v>
      </c>
      <c r="FX17" s="1097">
        <v>15.638958333333333</v>
      </c>
      <c r="FY17" s="1098">
        <v>2.9193E11</v>
      </c>
      <c r="FZ17" s="1097">
        <v>40.72592592592593</v>
      </c>
      <c r="GA17" s="1098">
        <v>2.91875E13</v>
      </c>
      <c r="GB17" s="1133"/>
      <c r="GC17" s="1133"/>
      <c r="GD17" s="1133"/>
      <c r="GE17" s="1167"/>
      <c r="GF17" s="1124"/>
      <c r="GG17" s="1125"/>
      <c r="GH17" s="1100">
        <v>13.220833333333333</v>
      </c>
      <c r="GI17" s="1101">
        <v>5.38E9</v>
      </c>
      <c r="GJ17" s="1124"/>
      <c r="GK17" s="1125"/>
      <c r="GL17" s="1124"/>
      <c r="GM17" s="1125"/>
      <c r="GN17" s="1126"/>
      <c r="GO17" s="1125"/>
      <c r="GP17" s="1102">
        <v>13.3875</v>
      </c>
      <c r="GQ17" s="1134">
        <v>1.2931E11</v>
      </c>
      <c r="GR17" s="1124"/>
      <c r="GS17" s="1125"/>
      <c r="GT17" s="1124"/>
      <c r="GU17" s="1125"/>
      <c r="GV17" s="1126"/>
      <c r="GW17" s="1125"/>
      <c r="GX17" s="1168"/>
      <c r="GY17" s="1133"/>
      <c r="GZ17" s="1124"/>
      <c r="HA17" s="1125"/>
      <c r="HB17" s="1107">
        <v>10.331944444444444</v>
      </c>
      <c r="HC17" s="1108">
        <v>1.076E10</v>
      </c>
      <c r="HD17" s="1124"/>
      <c r="HE17" s="1125"/>
      <c r="HF17" s="1107">
        <v>10.655555555555555</v>
      </c>
      <c r="HG17" s="1108">
        <v>1.614E10</v>
      </c>
      <c r="HH17" s="1124"/>
      <c r="HI17" s="1125"/>
      <c r="HJ17" s="1124"/>
      <c r="HK17" s="1125"/>
      <c r="HL17" s="1124"/>
      <c r="HM17" s="1125"/>
      <c r="HN17" s="1126"/>
      <c r="HO17" s="1125"/>
      <c r="HP17" s="1107">
        <v>39.381076388888886</v>
      </c>
      <c r="HQ17" s="1109">
        <v>4.31E9</v>
      </c>
      <c r="HR17" s="1128">
        <v>17.311805555555555</v>
      </c>
      <c r="HS17" s="1129">
        <v>2.734E10</v>
      </c>
      <c r="HT17" s="1128">
        <v>17.311805555555555</v>
      </c>
      <c r="HU17" s="1129">
        <v>2.734E10</v>
      </c>
      <c r="HV17" s="1128">
        <v>17.311805555555555</v>
      </c>
      <c r="HW17" s="1129">
        <v>2.734E10</v>
      </c>
      <c r="HX17" s="1130">
        <v>17.311805555555555</v>
      </c>
      <c r="HY17" s="1129">
        <v>2.734E10</v>
      </c>
      <c r="HZ17" s="1124"/>
      <c r="IA17" s="1125"/>
      <c r="IB17" s="1130">
        <v>58.964189814814816</v>
      </c>
      <c r="IC17" s="1129">
        <v>2.919E13</v>
      </c>
      <c r="ID17" s="1130">
        <v>58.964189814814816</v>
      </c>
      <c r="IE17" s="1129">
        <v>2.919E13</v>
      </c>
      <c r="IF17" s="1130">
        <v>58.964189814814816</v>
      </c>
      <c r="IG17" s="1129">
        <v>2.919E13</v>
      </c>
      <c r="IH17" s="1113">
        <v>18.00625</v>
      </c>
      <c r="II17" s="1114">
        <v>4.1331E11</v>
      </c>
      <c r="IJ17" s="1113">
        <v>18.00625</v>
      </c>
      <c r="IK17" s="1114">
        <v>4.1331E11</v>
      </c>
      <c r="IL17" s="1113">
        <v>18.00625</v>
      </c>
      <c r="IM17" s="1114">
        <v>5.6331E11</v>
      </c>
      <c r="IN17" s="1113">
        <v>18.00625</v>
      </c>
      <c r="IO17" s="1114">
        <v>5.6331E11</v>
      </c>
      <c r="IP17" s="1113">
        <v>18.46875</v>
      </c>
      <c r="IQ17" s="1114">
        <v>1.01E12</v>
      </c>
      <c r="IR17" s="1113">
        <v>18.00625</v>
      </c>
      <c r="IS17" s="1114">
        <v>5.6331E11</v>
      </c>
      <c r="IT17" s="1113">
        <v>18.00625</v>
      </c>
      <c r="IU17" s="1114">
        <v>5.6331E11</v>
      </c>
      <c r="IV17" s="1113">
        <v>18.00625</v>
      </c>
      <c r="IW17" s="1114">
        <v>5.6331E11</v>
      </c>
      <c r="IX17" s="1113">
        <v>18.00625</v>
      </c>
      <c r="IY17" s="1114">
        <v>5.6331E11</v>
      </c>
      <c r="IZ17" s="1113">
        <v>18.00625</v>
      </c>
      <c r="JA17" s="1114">
        <v>7.1331E11</v>
      </c>
      <c r="JB17" s="1113">
        <v>18.00625</v>
      </c>
      <c r="JC17" s="1114">
        <v>7.1331E11</v>
      </c>
      <c r="JD17" s="1113">
        <v>18.00625</v>
      </c>
      <c r="JE17" s="1114">
        <v>7.1331E11</v>
      </c>
      <c r="JF17" s="1113">
        <v>18.00625</v>
      </c>
      <c r="JG17" s="1114">
        <v>7.1331E11</v>
      </c>
      <c r="JH17" s="1113">
        <v>18.46875</v>
      </c>
      <c r="JI17" s="1114">
        <v>1.17E12</v>
      </c>
      <c r="JJ17" s="1113">
        <v>161.9923611111111</v>
      </c>
      <c r="JK17" s="1115">
        <v>3.75E18</v>
      </c>
      <c r="JL17" s="1113">
        <v>161.9923611111111</v>
      </c>
      <c r="JM17" s="1115">
        <v>3.75E18</v>
      </c>
      <c r="JN17" s="1113">
        <v>161.9923611111111</v>
      </c>
      <c r="JO17" s="1115">
        <v>3.75E18</v>
      </c>
      <c r="JP17" s="1113">
        <v>161.9923611111111</v>
      </c>
      <c r="JQ17" s="1115">
        <v>3.75E18</v>
      </c>
      <c r="JR17" s="1113">
        <v>161.9923611111111</v>
      </c>
      <c r="JS17" s="1115">
        <v>3.75E18</v>
      </c>
      <c r="JT17" s="1113">
        <v>161.9923611111111</v>
      </c>
      <c r="JU17" s="1115">
        <v>3.75E18</v>
      </c>
      <c r="JV17" s="1113">
        <v>40.49791666666667</v>
      </c>
      <c r="JW17" s="1115">
        <v>1.111200683E14</v>
      </c>
      <c r="JX17" s="1169"/>
      <c r="JY17" s="1167"/>
      <c r="JZ17" s="1116">
        <v>1.996956019</v>
      </c>
      <c r="KA17" s="1120">
        <v>2.49E9</v>
      </c>
      <c r="KB17" s="1116">
        <v>2.331331019</v>
      </c>
      <c r="KC17" s="1120">
        <v>8.23E9</v>
      </c>
      <c r="KD17" s="1116">
        <v>8.950300926</v>
      </c>
      <c r="KE17" s="1120">
        <v>4.7045E11</v>
      </c>
      <c r="KF17" s="1116">
        <v>8.950300926</v>
      </c>
      <c r="KG17" s="1120">
        <v>4.7045E11</v>
      </c>
      <c r="KH17" s="1169"/>
      <c r="KI17" s="1167"/>
      <c r="KJ17" s="1133"/>
      <c r="KK17" s="1133"/>
      <c r="KL17" s="1133"/>
      <c r="KM17" s="1133"/>
      <c r="KN17" s="1133"/>
      <c r="KO17" s="1133"/>
      <c r="KP17" s="1133"/>
      <c r="KQ17" s="1133"/>
      <c r="KR17" s="1133"/>
      <c r="KS17" s="1133"/>
      <c r="KT17" s="1133"/>
      <c r="KU17" s="1133"/>
      <c r="KV17" s="1131">
        <v>161.9923611111111</v>
      </c>
      <c r="KW17" s="1132">
        <v>3.75E18</v>
      </c>
      <c r="KX17" s="1131">
        <v>161.9923611111111</v>
      </c>
      <c r="KY17" s="1132">
        <v>3.75E18</v>
      </c>
      <c r="KZ17" s="1131">
        <v>161.9923611111111</v>
      </c>
      <c r="LA17" s="1132">
        <v>3.75E18</v>
      </c>
      <c r="LB17" s="1131">
        <v>161.9923611111111</v>
      </c>
      <c r="LC17" s="1132">
        <v>3.75E18</v>
      </c>
      <c r="LD17" s="1131">
        <v>161.9923611111111</v>
      </c>
      <c r="LE17" s="1132">
        <v>3.75E18</v>
      </c>
      <c r="LF17" s="1131">
        <v>161.9923611111111</v>
      </c>
      <c r="LG17" s="1132">
        <v>3.75E18</v>
      </c>
      <c r="LH17" s="1131">
        <v>161.9923611111111</v>
      </c>
      <c r="LI17" s="1132">
        <v>3.75E18</v>
      </c>
      <c r="LJ17" s="1131">
        <v>161.9923611111111</v>
      </c>
      <c r="LK17" s="1132">
        <v>3.75E18</v>
      </c>
      <c r="LL17" s="1133"/>
      <c r="LM17" s="1133"/>
      <c r="LN17" s="1122">
        <v>202.4909722222222</v>
      </c>
      <c r="LO17" s="1101">
        <v>3.0000000000000005E18</v>
      </c>
      <c r="LP17" s="1122">
        <v>202.4909722222222</v>
      </c>
      <c r="LQ17" s="1101">
        <v>3.0000000000000005E18</v>
      </c>
      <c r="LR17" s="1122">
        <v>202.4909722222222</v>
      </c>
      <c r="LS17" s="1101">
        <v>3.0000000000000005E18</v>
      </c>
      <c r="LT17" s="1122">
        <v>202.4909722222222</v>
      </c>
      <c r="LU17" s="1101">
        <v>3.0000000000000005E18</v>
      </c>
      <c r="LV17" s="1122">
        <v>202.4909722222222</v>
      </c>
      <c r="LW17" s="1101">
        <v>3.0000000000000005E18</v>
      </c>
      <c r="LX17" s="1122">
        <v>242.98888888888888</v>
      </c>
      <c r="LY17" s="1123">
        <v>7.5E18</v>
      </c>
      <c r="LZ17" s="1122">
        <v>242.98888888888888</v>
      </c>
      <c r="MA17" s="1123">
        <v>7.5E18</v>
      </c>
      <c r="MB17" s="1122">
        <v>242.98888888888888</v>
      </c>
      <c r="MC17" s="1123">
        <v>7.5E18</v>
      </c>
      <c r="MD17" s="1122">
        <v>242.98888888888888</v>
      </c>
      <c r="ME17" s="1123">
        <v>7.5E18</v>
      </c>
      <c r="MF17" s="1133"/>
      <c r="MG17" s="1133"/>
      <c r="MH17" s="1133"/>
      <c r="MI17" s="1133"/>
      <c r="MJ17" s="1133"/>
      <c r="MK17" s="1133"/>
      <c r="ML17" s="1133"/>
      <c r="MM17" s="1133"/>
      <c r="MN17" s="1133"/>
      <c r="MO17" s="1133"/>
      <c r="MP17" s="1133"/>
      <c r="MQ17" s="1133"/>
      <c r="MR17" s="1133"/>
      <c r="MS17" s="1133"/>
      <c r="MT17" s="1133"/>
      <c r="MU17" s="1133"/>
      <c r="MV17" s="1133"/>
      <c r="MW17" s="1133"/>
      <c r="MX17" s="1133"/>
      <c r="MY17" s="1133"/>
    </row>
    <row r="18">
      <c r="A18" s="1071">
        <v>16.0</v>
      </c>
      <c r="B18" s="1124"/>
      <c r="C18" s="1125"/>
      <c r="D18" s="1072">
        <v>0.5902777777777778</v>
      </c>
      <c r="E18" s="1073">
        <v>24440.0</v>
      </c>
      <c r="F18" s="1072">
        <v>0.5902777777777778</v>
      </c>
      <c r="G18" s="1074">
        <v>24440.0</v>
      </c>
      <c r="H18" s="1072">
        <v>0.5902777777777778</v>
      </c>
      <c r="I18" s="1073">
        <v>24440.0</v>
      </c>
      <c r="J18" s="1072">
        <v>0.5902777777777778</v>
      </c>
      <c r="K18" s="1073">
        <v>24440.0</v>
      </c>
      <c r="L18" s="1072">
        <v>0.8951388888888889</v>
      </c>
      <c r="M18" s="1075">
        <v>55400.0</v>
      </c>
      <c r="N18" s="1076">
        <v>0.6881944444444444</v>
      </c>
      <c r="O18" s="1073">
        <v>58010.0</v>
      </c>
      <c r="P18" s="1124"/>
      <c r="Q18" s="1125"/>
      <c r="R18" s="1124"/>
      <c r="S18" s="1125"/>
      <c r="T18" s="1124"/>
      <c r="U18" s="1125"/>
      <c r="V18" s="1124"/>
      <c r="W18" s="1125"/>
      <c r="X18" s="1124"/>
      <c r="Y18" s="1125"/>
      <c r="Z18" s="1124"/>
      <c r="AA18" s="1125"/>
      <c r="AB18" s="1124"/>
      <c r="AC18" s="1125"/>
      <c r="AD18" s="1072">
        <v>17.279166666666665</v>
      </c>
      <c r="AE18" s="1080">
        <v>5.118589301E10</v>
      </c>
      <c r="AF18" s="1072">
        <v>17.279166666666665</v>
      </c>
      <c r="AG18" s="1080">
        <v>5.118589301E10</v>
      </c>
      <c r="AH18" s="1072">
        <v>17.279166666666665</v>
      </c>
      <c r="AI18" s="1080">
        <v>5.118589301E10</v>
      </c>
      <c r="AJ18" s="1081">
        <v>0.5902777777777778</v>
      </c>
      <c r="AK18" s="1082">
        <v>24440.0</v>
      </c>
      <c r="AL18" s="1081">
        <v>0.5902777777777778</v>
      </c>
      <c r="AM18" s="1082">
        <v>24440.0</v>
      </c>
      <c r="AN18" s="1081">
        <v>0.5902777777777778</v>
      </c>
      <c r="AO18" s="1082">
        <v>24440.0</v>
      </c>
      <c r="AP18" s="1081">
        <v>0.5902777777777778</v>
      </c>
      <c r="AQ18" s="1082">
        <v>24440.0</v>
      </c>
      <c r="AR18" s="1081">
        <v>0.5902777777777778</v>
      </c>
      <c r="AS18" s="1082">
        <v>24450.0</v>
      </c>
      <c r="AT18" s="1081">
        <v>80.33402777777778</v>
      </c>
      <c r="AU18" s="1082">
        <v>3.402E8</v>
      </c>
      <c r="AV18" s="1081">
        <v>50.85347222222222</v>
      </c>
      <c r="AW18" s="1082">
        <v>3.402E8</v>
      </c>
      <c r="AX18" s="1081">
        <v>12.465972222222224</v>
      </c>
      <c r="AY18" s="1082">
        <v>8.1473E11</v>
      </c>
      <c r="AZ18" s="1124"/>
      <c r="BA18" s="1124"/>
      <c r="BB18" s="1083">
        <v>0.5902777777777778</v>
      </c>
      <c r="BC18" s="1084">
        <v>24440.0</v>
      </c>
      <c r="BD18" s="1083">
        <v>0.5902777777777778</v>
      </c>
      <c r="BE18" s="1084">
        <v>24440.0</v>
      </c>
      <c r="BF18" s="1083">
        <v>0.5902777777777778</v>
      </c>
      <c r="BG18" s="1084">
        <v>24440.0</v>
      </c>
      <c r="BH18" s="1083">
        <v>6.723611111111111</v>
      </c>
      <c r="BI18" s="1084">
        <v>5.065E7</v>
      </c>
      <c r="BJ18" s="1083">
        <v>9.175</v>
      </c>
      <c r="BK18" s="1084">
        <v>3.319E8</v>
      </c>
      <c r="BL18" s="1083">
        <v>12.74236111111111</v>
      </c>
      <c r="BM18" s="1084">
        <v>1.14E9</v>
      </c>
      <c r="BN18" s="1083">
        <v>12.74236111111111</v>
      </c>
      <c r="BO18" s="1084">
        <v>1.14E9</v>
      </c>
      <c r="BP18" s="1083">
        <v>18.443055555555556</v>
      </c>
      <c r="BQ18" s="1084">
        <v>1.14E9</v>
      </c>
      <c r="BR18" s="1126"/>
      <c r="BS18" s="1125"/>
      <c r="BT18" s="1085">
        <v>0.8041666666666666</v>
      </c>
      <c r="BU18" s="1086">
        <v>4.76E9</v>
      </c>
      <c r="BV18" s="1085">
        <v>21.406944444444445</v>
      </c>
      <c r="BW18" s="1086">
        <v>1.592E10</v>
      </c>
      <c r="BX18" s="1085">
        <v>39.49811342592593</v>
      </c>
      <c r="BY18" s="1086">
        <v>1.1809E11</v>
      </c>
      <c r="BZ18" s="1085">
        <v>98.7875</v>
      </c>
      <c r="CA18" s="1086">
        <v>1.6309E11</v>
      </c>
      <c r="CB18" s="1126"/>
      <c r="CC18" s="1125"/>
      <c r="CD18" s="1083">
        <v>5.090787037037037</v>
      </c>
      <c r="CE18" s="1087">
        <v>4.6905E11</v>
      </c>
      <c r="CF18" s="1133"/>
      <c r="CG18" s="1167"/>
      <c r="CH18" s="1088">
        <v>0.5902777777777778</v>
      </c>
      <c r="CI18" s="1089">
        <v>24450.0</v>
      </c>
      <c r="CJ18" s="1088">
        <v>0.5902777777777778</v>
      </c>
      <c r="CK18" s="1089">
        <v>24450.0</v>
      </c>
      <c r="CL18" s="1088">
        <v>0.5902777777777778</v>
      </c>
      <c r="CM18" s="1089">
        <v>24450.0</v>
      </c>
      <c r="CN18" s="1088">
        <v>0.5902777777777778</v>
      </c>
      <c r="CO18" s="1089">
        <v>24450.0</v>
      </c>
      <c r="CP18" s="1088">
        <v>1.0125</v>
      </c>
      <c r="CQ18" s="1089">
        <v>58020.0</v>
      </c>
      <c r="CR18" s="1124"/>
      <c r="CS18" s="1125"/>
      <c r="CT18" s="1126"/>
      <c r="CU18" s="1125"/>
      <c r="CV18" s="1090">
        <v>21.406944444444445</v>
      </c>
      <c r="CW18" s="1091">
        <v>2.4227E11</v>
      </c>
      <c r="CX18" s="1090">
        <v>21.406944444444445</v>
      </c>
      <c r="CY18" s="1091">
        <v>2.4227E11</v>
      </c>
      <c r="CZ18" s="1090">
        <v>21.406944444444445</v>
      </c>
      <c r="DA18" s="1091">
        <v>2.4227E11</v>
      </c>
      <c r="DB18" s="1090">
        <v>10.602083333333335</v>
      </c>
      <c r="DC18" s="1091">
        <v>6.776E10</v>
      </c>
      <c r="DD18" s="1090">
        <v>10.602083333333335</v>
      </c>
      <c r="DE18" s="1091">
        <v>6.776E10</v>
      </c>
      <c r="DF18" s="1092">
        <v>13.50625</v>
      </c>
      <c r="DG18" s="1093">
        <v>1.14E9</v>
      </c>
      <c r="DH18" s="1124"/>
      <c r="DI18" s="1125"/>
      <c r="DJ18" s="1092">
        <v>14.29375</v>
      </c>
      <c r="DK18" s="1093">
        <v>1.14E9</v>
      </c>
      <c r="DL18" s="1092">
        <v>13.50625</v>
      </c>
      <c r="DM18" s="1093">
        <v>1.14E9</v>
      </c>
      <c r="DN18" s="1124"/>
      <c r="DO18" s="1125"/>
      <c r="DP18" s="1092">
        <v>13.50625</v>
      </c>
      <c r="DQ18" s="1093">
        <v>1.14E9</v>
      </c>
      <c r="DR18" s="1092">
        <v>13.50625</v>
      </c>
      <c r="DS18" s="1093">
        <v>1.14E9</v>
      </c>
      <c r="DT18" s="1124"/>
      <c r="DU18" s="1125"/>
      <c r="DV18" s="1092">
        <v>13.50625</v>
      </c>
      <c r="DW18" s="1093">
        <v>1.14E9</v>
      </c>
      <c r="DX18" s="1092">
        <v>13.50625</v>
      </c>
      <c r="DY18" s="1093">
        <v>1.14E9</v>
      </c>
      <c r="DZ18" s="1092">
        <v>17.464583333333334</v>
      </c>
      <c r="EA18" s="1093">
        <v>2.95E9</v>
      </c>
      <c r="EB18" s="1092">
        <v>17.464583333333334</v>
      </c>
      <c r="EC18" s="1093">
        <v>2.95E9</v>
      </c>
      <c r="ED18" s="1124"/>
      <c r="EE18" s="1125"/>
      <c r="EF18" s="1092">
        <v>16.63125</v>
      </c>
      <c r="EG18" s="1093">
        <v>2.95E9</v>
      </c>
      <c r="EH18" s="1124"/>
      <c r="EI18" s="1125"/>
      <c r="EJ18" s="1092">
        <v>9.3865625</v>
      </c>
      <c r="EK18" s="1093">
        <v>4.3521E8</v>
      </c>
      <c r="EL18" s="1092">
        <v>16.631840277777776</v>
      </c>
      <c r="EM18" s="1093">
        <v>2.95E9</v>
      </c>
      <c r="EN18" s="1092">
        <v>16.63125</v>
      </c>
      <c r="EO18" s="1093">
        <v>2.95E9</v>
      </c>
      <c r="EP18" s="1092">
        <v>16.63125</v>
      </c>
      <c r="EQ18" s="1093">
        <v>2.95E9</v>
      </c>
      <c r="ER18" s="1092">
        <v>16.63125</v>
      </c>
      <c r="ES18" s="1093">
        <v>2.95E9</v>
      </c>
      <c r="ET18" s="1092">
        <v>16.63125</v>
      </c>
      <c r="EU18" s="1093">
        <v>2.95E9</v>
      </c>
      <c r="EV18" s="1124"/>
      <c r="EW18" s="1125"/>
      <c r="EX18" s="1124"/>
      <c r="EY18" s="1125"/>
      <c r="EZ18" s="1124"/>
      <c r="FA18" s="1125"/>
      <c r="FB18" s="1126"/>
      <c r="FC18" s="1125"/>
      <c r="FD18" s="1126"/>
      <c r="FE18" s="1125"/>
      <c r="FF18" s="1092">
        <v>17.464583333333334</v>
      </c>
      <c r="FG18" s="1094">
        <v>7.63E9</v>
      </c>
      <c r="FH18" s="1092">
        <v>17.464583333333334</v>
      </c>
      <c r="FI18" s="1094">
        <v>7.63E9</v>
      </c>
      <c r="FJ18" s="1092">
        <v>22.46408564814815</v>
      </c>
      <c r="FK18" s="1093">
        <v>3.145945946E9</v>
      </c>
      <c r="FL18" s="1124"/>
      <c r="FM18" s="1125"/>
      <c r="FN18" s="1139"/>
      <c r="FO18" s="1126"/>
      <c r="FP18" s="1092">
        <v>45.61304398148148</v>
      </c>
      <c r="FQ18" s="1094">
        <v>4.379E13</v>
      </c>
      <c r="FR18" s="1139"/>
      <c r="FS18" s="1126"/>
      <c r="FT18" s="1092">
        <v>45.61304398148148</v>
      </c>
      <c r="FU18" s="1094">
        <v>4.379E13</v>
      </c>
      <c r="FV18" s="1092">
        <v>45.61304398148148</v>
      </c>
      <c r="FW18" s="1094">
        <v>4.379E13</v>
      </c>
      <c r="FX18" s="1097">
        <v>17.387303240740742</v>
      </c>
      <c r="FY18" s="1098">
        <v>4.3789E11</v>
      </c>
      <c r="FZ18" s="1097">
        <v>45.61304398148148</v>
      </c>
      <c r="GA18" s="1098">
        <v>4.37925E13</v>
      </c>
      <c r="GB18" s="1133"/>
      <c r="GC18" s="1133"/>
      <c r="GD18" s="1133"/>
      <c r="GE18" s="1167"/>
      <c r="GF18" s="1124"/>
      <c r="GG18" s="1125"/>
      <c r="GH18" s="1100">
        <v>15.839583333333334</v>
      </c>
      <c r="GI18" s="1101">
        <v>7.6E9</v>
      </c>
      <c r="GJ18" s="1124"/>
      <c r="GK18" s="1125"/>
      <c r="GL18" s="1124"/>
      <c r="GM18" s="1125"/>
      <c r="GN18" s="1126"/>
      <c r="GO18" s="1125"/>
      <c r="GP18" s="1102">
        <v>16.00625</v>
      </c>
      <c r="GQ18" s="1134">
        <v>1.6427E11</v>
      </c>
      <c r="GR18" s="1124"/>
      <c r="GS18" s="1125"/>
      <c r="GT18" s="1124"/>
      <c r="GU18" s="1125"/>
      <c r="GV18" s="1126"/>
      <c r="GW18" s="1125"/>
      <c r="GX18" s="1168"/>
      <c r="GY18" s="1133"/>
      <c r="GZ18" s="1124"/>
      <c r="HA18" s="1125"/>
      <c r="HB18" s="1107">
        <v>12.74236111111111</v>
      </c>
      <c r="HC18" s="1108">
        <v>1.519E10</v>
      </c>
      <c r="HD18" s="1124"/>
      <c r="HE18" s="1125"/>
      <c r="HF18" s="1107">
        <v>13.089583333333334</v>
      </c>
      <c r="HG18" s="1108">
        <v>2.278E10</v>
      </c>
      <c r="HH18" s="1124"/>
      <c r="HI18" s="1125"/>
      <c r="HJ18" s="1124"/>
      <c r="HK18" s="1125"/>
      <c r="HL18" s="1124"/>
      <c r="HM18" s="1125"/>
      <c r="HN18" s="1126"/>
      <c r="HO18" s="1125"/>
      <c r="HP18" s="1107">
        <v>50.15623842592593</v>
      </c>
      <c r="HQ18" s="1109">
        <v>5.88E9</v>
      </c>
      <c r="HR18" s="1128">
        <v>20.7125</v>
      </c>
      <c r="HS18" s="1129">
        <v>3.845E10</v>
      </c>
      <c r="HT18" s="1128">
        <v>20.7125</v>
      </c>
      <c r="HU18" s="1129">
        <v>3.845E10</v>
      </c>
      <c r="HV18" s="1128">
        <v>20.7125</v>
      </c>
      <c r="HW18" s="1129">
        <v>3.845E10</v>
      </c>
      <c r="HX18" s="1130">
        <v>20.7125</v>
      </c>
      <c r="HY18" s="1129">
        <v>3.845E10</v>
      </c>
      <c r="HZ18" s="1124"/>
      <c r="IA18" s="1125"/>
      <c r="IB18" s="1130">
        <v>67.80881944444444</v>
      </c>
      <c r="IC18" s="1129">
        <v>4.379E13</v>
      </c>
      <c r="ID18" s="1130">
        <v>67.80881944444444</v>
      </c>
      <c r="IE18" s="1129">
        <v>4.379E13</v>
      </c>
      <c r="IF18" s="1130">
        <v>67.80881944444444</v>
      </c>
      <c r="IG18" s="1129">
        <v>4.379E13</v>
      </c>
      <c r="IH18" s="1113">
        <v>21.406944444444445</v>
      </c>
      <c r="II18" s="1114">
        <v>4.6727E11</v>
      </c>
      <c r="IJ18" s="1113">
        <v>21.406944444444445</v>
      </c>
      <c r="IK18" s="1114">
        <v>4.6727E11</v>
      </c>
      <c r="IL18" s="1113">
        <v>21.406944444444445</v>
      </c>
      <c r="IM18" s="1114">
        <v>6.2727E11</v>
      </c>
      <c r="IN18" s="1113">
        <v>21.406944444444445</v>
      </c>
      <c r="IO18" s="1114">
        <v>6.2727E11</v>
      </c>
      <c r="IP18" s="1113">
        <v>21.869444444444444</v>
      </c>
      <c r="IQ18" s="1114">
        <v>1.11E12</v>
      </c>
      <c r="IR18" s="1113">
        <v>21.406944444444445</v>
      </c>
      <c r="IS18" s="1114">
        <v>6.2727E11</v>
      </c>
      <c r="IT18" s="1113">
        <v>21.406944444444445</v>
      </c>
      <c r="IU18" s="1114">
        <v>6.2727E11</v>
      </c>
      <c r="IV18" s="1113">
        <v>21.406944444444445</v>
      </c>
      <c r="IW18" s="1114">
        <v>6.2727E11</v>
      </c>
      <c r="IX18" s="1113">
        <v>21.406944444444445</v>
      </c>
      <c r="IY18" s="1114">
        <v>6.2727E11</v>
      </c>
      <c r="IZ18" s="1113">
        <v>21.406944444444445</v>
      </c>
      <c r="JA18" s="1114">
        <v>7.8727E11</v>
      </c>
      <c r="JB18" s="1113">
        <v>21.406944444444445</v>
      </c>
      <c r="JC18" s="1114">
        <v>7.8727E11</v>
      </c>
      <c r="JD18" s="1113">
        <v>21.406944444444445</v>
      </c>
      <c r="JE18" s="1114">
        <v>7.8727E11</v>
      </c>
      <c r="JF18" s="1113">
        <v>21.406944444444445</v>
      </c>
      <c r="JG18" s="1114">
        <v>7.8727E11</v>
      </c>
      <c r="JH18" s="1113">
        <v>21.869444444444444</v>
      </c>
      <c r="JI18" s="1114">
        <v>1.28E12</v>
      </c>
      <c r="JJ18" s="1113">
        <v>172.79166666666666</v>
      </c>
      <c r="JK18" s="1115">
        <v>4.0E18</v>
      </c>
      <c r="JL18" s="1113">
        <v>172.79166666666666</v>
      </c>
      <c r="JM18" s="1115">
        <v>4.0E18</v>
      </c>
      <c r="JN18" s="1113">
        <v>172.79166666666666</v>
      </c>
      <c r="JO18" s="1115">
        <v>4.0E18</v>
      </c>
      <c r="JP18" s="1113">
        <v>172.79166666666666</v>
      </c>
      <c r="JQ18" s="1115">
        <v>4.0E18</v>
      </c>
      <c r="JR18" s="1113">
        <v>172.79166666666666</v>
      </c>
      <c r="JS18" s="1115">
        <v>4.0E18</v>
      </c>
      <c r="JT18" s="1113">
        <v>172.79166666666666</v>
      </c>
      <c r="JU18" s="1115">
        <v>4.0E18</v>
      </c>
      <c r="JV18" s="1113">
        <v>43.197916666666664</v>
      </c>
      <c r="JW18" s="1115">
        <v>1.555680956E14</v>
      </c>
      <c r="JX18" s="1169"/>
      <c r="JY18" s="1167"/>
      <c r="JZ18" s="1116">
        <v>2.048761574</v>
      </c>
      <c r="KA18" s="1120">
        <v>3.0E9</v>
      </c>
      <c r="KB18" s="1116">
        <v>2.448240741</v>
      </c>
      <c r="KC18" s="1120">
        <v>1.013E10</v>
      </c>
      <c r="KD18" s="1116">
        <v>9.820046296</v>
      </c>
      <c r="KE18" s="1120">
        <v>5.8539E11</v>
      </c>
      <c r="KF18" s="1116">
        <v>9.820046296</v>
      </c>
      <c r="KG18" s="1120">
        <v>5.8539E11</v>
      </c>
      <c r="KH18" s="1169"/>
      <c r="KI18" s="1167"/>
      <c r="KJ18" s="1133"/>
      <c r="KK18" s="1133"/>
      <c r="KL18" s="1133"/>
      <c r="KM18" s="1133"/>
      <c r="KN18" s="1133"/>
      <c r="KO18" s="1133"/>
      <c r="KP18" s="1133"/>
      <c r="KQ18" s="1133"/>
      <c r="KR18" s="1133"/>
      <c r="KS18" s="1133"/>
      <c r="KT18" s="1133"/>
      <c r="KU18" s="1133"/>
      <c r="KV18" s="1131">
        <v>172.79166666666666</v>
      </c>
      <c r="KW18" s="1132">
        <v>4.0E18</v>
      </c>
      <c r="KX18" s="1131">
        <v>172.79166666666666</v>
      </c>
      <c r="KY18" s="1132">
        <v>4.0E18</v>
      </c>
      <c r="KZ18" s="1131">
        <v>172.79166666666666</v>
      </c>
      <c r="LA18" s="1132">
        <v>4.0E18</v>
      </c>
      <c r="LB18" s="1131">
        <v>172.79166666666666</v>
      </c>
      <c r="LC18" s="1132">
        <v>4.0E18</v>
      </c>
      <c r="LD18" s="1131">
        <v>172.79166666666666</v>
      </c>
      <c r="LE18" s="1132">
        <v>4.0E18</v>
      </c>
      <c r="LF18" s="1131">
        <v>172.79166666666666</v>
      </c>
      <c r="LG18" s="1132">
        <v>4.0E18</v>
      </c>
      <c r="LH18" s="1131">
        <v>172.79166666666666</v>
      </c>
      <c r="LI18" s="1132">
        <v>4.0E18</v>
      </c>
      <c r="LJ18" s="1131">
        <v>172.79166666666666</v>
      </c>
      <c r="LK18" s="1132">
        <v>4.0E18</v>
      </c>
      <c r="LL18" s="1133"/>
      <c r="LM18" s="1133"/>
      <c r="LN18" s="1122">
        <v>215.99027777777778</v>
      </c>
      <c r="LO18" s="1101">
        <v>3.2000000000000005E18</v>
      </c>
      <c r="LP18" s="1122">
        <v>215.99027777777778</v>
      </c>
      <c r="LQ18" s="1101">
        <v>3.2000000000000005E18</v>
      </c>
      <c r="LR18" s="1122">
        <v>215.99027777777778</v>
      </c>
      <c r="LS18" s="1101">
        <v>3.2000000000000005E18</v>
      </c>
      <c r="LT18" s="1122">
        <v>215.99027777777778</v>
      </c>
      <c r="LU18" s="1101">
        <v>3.2000000000000005E18</v>
      </c>
      <c r="LV18" s="1122">
        <v>215.99027777777778</v>
      </c>
      <c r="LW18" s="1101">
        <v>3.2000000000000005E18</v>
      </c>
      <c r="LX18" s="1122">
        <v>259.18819444444443</v>
      </c>
      <c r="LY18" s="1123">
        <v>8.0E18</v>
      </c>
      <c r="LZ18" s="1122">
        <v>259.18819444444443</v>
      </c>
      <c r="MA18" s="1123">
        <v>8.0E18</v>
      </c>
      <c r="MB18" s="1122">
        <v>259.18819444444443</v>
      </c>
      <c r="MC18" s="1123">
        <v>8.0E18</v>
      </c>
      <c r="MD18" s="1122">
        <v>259.18819444444443</v>
      </c>
      <c r="ME18" s="1123">
        <v>8.0E18</v>
      </c>
      <c r="MF18" s="1133"/>
      <c r="MG18" s="1133"/>
      <c r="MH18" s="1133"/>
      <c r="MI18" s="1133"/>
      <c r="MJ18" s="1133"/>
      <c r="MK18" s="1133"/>
      <c r="ML18" s="1133"/>
      <c r="MM18" s="1133"/>
      <c r="MN18" s="1133"/>
      <c r="MO18" s="1133"/>
      <c r="MP18" s="1133"/>
      <c r="MQ18" s="1133"/>
      <c r="MR18" s="1133"/>
      <c r="MS18" s="1133"/>
      <c r="MT18" s="1133"/>
      <c r="MU18" s="1133"/>
      <c r="MV18" s="1133"/>
      <c r="MW18" s="1133"/>
      <c r="MX18" s="1133"/>
      <c r="MY18" s="1133"/>
    </row>
    <row r="19">
      <c r="A19" s="1071">
        <v>17.0</v>
      </c>
      <c r="B19" s="1124"/>
      <c r="C19" s="1125"/>
      <c r="D19" s="1072">
        <v>0.6840277777777778</v>
      </c>
      <c r="E19" s="1073">
        <v>29130.0</v>
      </c>
      <c r="F19" s="1072">
        <v>0.6840277777777778</v>
      </c>
      <c r="G19" s="1074">
        <v>29130.0</v>
      </c>
      <c r="H19" s="1072">
        <v>0.6840277777777778</v>
      </c>
      <c r="I19" s="1073">
        <v>29130.0</v>
      </c>
      <c r="J19" s="1072">
        <v>0.6840277777777778</v>
      </c>
      <c r="K19" s="1073">
        <v>29130.0</v>
      </c>
      <c r="L19" s="1072">
        <v>1.0451388888888888</v>
      </c>
      <c r="M19" s="1075">
        <v>67380.0</v>
      </c>
      <c r="N19" s="1076">
        <v>0.7916666666666666</v>
      </c>
      <c r="O19" s="1073">
        <v>70780.0</v>
      </c>
      <c r="P19" s="1124"/>
      <c r="Q19" s="1125"/>
      <c r="R19" s="1124"/>
      <c r="S19" s="1125"/>
      <c r="T19" s="1124"/>
      <c r="U19" s="1125"/>
      <c r="V19" s="1124"/>
      <c r="W19" s="1125"/>
      <c r="X19" s="1124"/>
      <c r="Y19" s="1125"/>
      <c r="Z19" s="1124"/>
      <c r="AA19" s="1125"/>
      <c r="AB19" s="1124"/>
      <c r="AC19" s="1125"/>
      <c r="AD19" s="1072">
        <v>18.35902777777778</v>
      </c>
      <c r="AE19" s="1080">
        <v>6.654166092E10</v>
      </c>
      <c r="AF19" s="1072">
        <v>18.35902777777778</v>
      </c>
      <c r="AG19" s="1080">
        <v>6.654166092E10</v>
      </c>
      <c r="AH19" s="1072">
        <v>18.35902777777778</v>
      </c>
      <c r="AI19" s="1080">
        <v>6.654166092E10</v>
      </c>
      <c r="AJ19" s="1081">
        <v>0.6840277777777778</v>
      </c>
      <c r="AK19" s="1082">
        <v>29130.0</v>
      </c>
      <c r="AL19" s="1081">
        <v>0.6840277777777778</v>
      </c>
      <c r="AM19" s="1082">
        <v>29130.0</v>
      </c>
      <c r="AN19" s="1081">
        <v>0.6840277777777778</v>
      </c>
      <c r="AO19" s="1082">
        <v>29130.0</v>
      </c>
      <c r="AP19" s="1081">
        <v>0.6840277777777778</v>
      </c>
      <c r="AQ19" s="1082">
        <v>29130.0</v>
      </c>
      <c r="AR19" s="1081">
        <v>0.6840277777777778</v>
      </c>
      <c r="AS19" s="1082">
        <v>29140.0</v>
      </c>
      <c r="AT19" s="1081">
        <v>102.8625</v>
      </c>
      <c r="AU19" s="1082">
        <v>4.5982E8</v>
      </c>
      <c r="AV19" s="1081">
        <v>63.5125</v>
      </c>
      <c r="AW19" s="1082">
        <v>4.5982E8</v>
      </c>
      <c r="AX19" s="1081">
        <v>13.092361111111112</v>
      </c>
      <c r="AY19" s="1082">
        <v>8.5882E11</v>
      </c>
      <c r="AZ19" s="1124"/>
      <c r="BA19" s="1124"/>
      <c r="BB19" s="1083">
        <v>0.6840277777777778</v>
      </c>
      <c r="BC19" s="1084">
        <v>29130.0</v>
      </c>
      <c r="BD19" s="1083">
        <v>0.6840277777777778</v>
      </c>
      <c r="BE19" s="1084">
        <v>29130.0</v>
      </c>
      <c r="BF19" s="1083">
        <v>0.6840277777777778</v>
      </c>
      <c r="BG19" s="1084">
        <v>29130.0</v>
      </c>
      <c r="BH19" s="1083">
        <v>8.220833333333333</v>
      </c>
      <c r="BI19" s="1084">
        <v>6.557E7</v>
      </c>
      <c r="BJ19" s="1083">
        <v>11.22638888888889</v>
      </c>
      <c r="BK19" s="1084">
        <v>4.3243E8</v>
      </c>
      <c r="BL19" s="1083">
        <v>15.565277777777778</v>
      </c>
      <c r="BM19" s="1084">
        <v>1.51E9</v>
      </c>
      <c r="BN19" s="1083">
        <v>15.565277777777778</v>
      </c>
      <c r="BO19" s="1084">
        <v>1.51E9</v>
      </c>
      <c r="BP19" s="1083">
        <v>22.82777777777778</v>
      </c>
      <c r="BQ19" s="1084">
        <v>1.51E9</v>
      </c>
      <c r="BR19" s="1126"/>
      <c r="BS19" s="1125"/>
      <c r="BT19" s="1085">
        <v>0.8972222222222223</v>
      </c>
      <c r="BU19" s="1086">
        <v>5.14E9</v>
      </c>
      <c r="BV19" s="1085">
        <v>25.500694444444445</v>
      </c>
      <c r="BW19" s="1086">
        <v>1.816E10</v>
      </c>
      <c r="BX19" s="1085">
        <v>45.42282407407407</v>
      </c>
      <c r="BY19" s="1086">
        <v>1.247E11</v>
      </c>
      <c r="BZ19" s="1085">
        <v>128.69583333333333</v>
      </c>
      <c r="CA19" s="1086">
        <v>1.727E11</v>
      </c>
      <c r="CB19" s="1126"/>
      <c r="CC19" s="1125"/>
      <c r="CD19" s="1083">
        <v>5.425949074074074</v>
      </c>
      <c r="CE19" s="1087">
        <v>5.0512E11</v>
      </c>
      <c r="CF19" s="1133"/>
      <c r="CG19" s="1167"/>
      <c r="CH19" s="1088">
        <v>0.6840277777777778</v>
      </c>
      <c r="CI19" s="1089">
        <v>29140.0</v>
      </c>
      <c r="CJ19" s="1088">
        <v>0.6840277777777778</v>
      </c>
      <c r="CK19" s="1089">
        <v>29140.0</v>
      </c>
      <c r="CL19" s="1088">
        <v>0.6840277777777778</v>
      </c>
      <c r="CM19" s="1089">
        <v>29140.0</v>
      </c>
      <c r="CN19" s="1088">
        <v>0.6840277777777778</v>
      </c>
      <c r="CO19" s="1089">
        <v>29140.0</v>
      </c>
      <c r="CP19" s="1088">
        <v>1.1875</v>
      </c>
      <c r="CQ19" s="1089">
        <v>70790.0</v>
      </c>
      <c r="CR19" s="1124"/>
      <c r="CS19" s="1125"/>
      <c r="CT19" s="1126"/>
      <c r="CU19" s="1125"/>
      <c r="CV19" s="1090">
        <v>25.385416666666668</v>
      </c>
      <c r="CW19" s="1091">
        <v>2.882E11</v>
      </c>
      <c r="CX19" s="1090">
        <v>25.385416666666668</v>
      </c>
      <c r="CY19" s="1091">
        <v>2.882E11</v>
      </c>
      <c r="CZ19" s="1090">
        <v>25.385416666666668</v>
      </c>
      <c r="DA19" s="1091">
        <v>2.882E11</v>
      </c>
      <c r="DB19" s="1090">
        <v>12.027777777777779</v>
      </c>
      <c r="DC19" s="1091">
        <v>8.442E10</v>
      </c>
      <c r="DD19" s="1090">
        <v>12.027777777777779</v>
      </c>
      <c r="DE19" s="1091">
        <v>8.442E10</v>
      </c>
      <c r="DF19" s="1092">
        <v>16.329166666666666</v>
      </c>
      <c r="DG19" s="1093">
        <v>1.51E9</v>
      </c>
      <c r="DH19" s="1124"/>
      <c r="DI19" s="1125"/>
      <c r="DJ19" s="1092">
        <v>17.116666666666667</v>
      </c>
      <c r="DK19" s="1093">
        <v>1.51E9</v>
      </c>
      <c r="DL19" s="1092">
        <v>16.329166666666666</v>
      </c>
      <c r="DM19" s="1093">
        <v>1.51E9</v>
      </c>
      <c r="DN19" s="1124"/>
      <c r="DO19" s="1125"/>
      <c r="DP19" s="1092">
        <v>16.329166666666666</v>
      </c>
      <c r="DQ19" s="1093">
        <v>1.51E9</v>
      </c>
      <c r="DR19" s="1092">
        <v>16.329166666666666</v>
      </c>
      <c r="DS19" s="1093">
        <v>1.51E9</v>
      </c>
      <c r="DT19" s="1124"/>
      <c r="DU19" s="1125"/>
      <c r="DV19" s="1092">
        <v>16.329166666666666</v>
      </c>
      <c r="DW19" s="1093">
        <v>1.51E9</v>
      </c>
      <c r="DX19" s="1092">
        <v>16.329166666666666</v>
      </c>
      <c r="DY19" s="1093">
        <v>1.51E9</v>
      </c>
      <c r="DZ19" s="1092">
        <v>20.495833333333334</v>
      </c>
      <c r="EA19" s="1093">
        <v>3.98E9</v>
      </c>
      <c r="EB19" s="1092">
        <v>20.495833333333334</v>
      </c>
      <c r="EC19" s="1093">
        <v>3.98E9</v>
      </c>
      <c r="ED19" s="1124"/>
      <c r="EE19" s="1125"/>
      <c r="EF19" s="1092">
        <v>19.6625</v>
      </c>
      <c r="EG19" s="1093">
        <v>3.98E9</v>
      </c>
      <c r="EH19" s="1124"/>
      <c r="EI19" s="1125"/>
      <c r="EJ19" s="1092">
        <v>9.857395833333333</v>
      </c>
      <c r="EK19" s="1093">
        <v>4.6864E8</v>
      </c>
      <c r="EL19" s="1092">
        <v>19.66295138888889</v>
      </c>
      <c r="EM19" s="1093">
        <v>3.98E9</v>
      </c>
      <c r="EN19" s="1092">
        <v>19.6625</v>
      </c>
      <c r="EO19" s="1093">
        <v>3.98E9</v>
      </c>
      <c r="EP19" s="1092">
        <v>19.6625</v>
      </c>
      <c r="EQ19" s="1093">
        <v>3.98E9</v>
      </c>
      <c r="ER19" s="1092">
        <v>19.6625</v>
      </c>
      <c r="ES19" s="1093">
        <v>3.98E9</v>
      </c>
      <c r="ET19" s="1092">
        <v>19.6625</v>
      </c>
      <c r="EU19" s="1093">
        <v>3.98E9</v>
      </c>
      <c r="EV19" s="1124"/>
      <c r="EW19" s="1125"/>
      <c r="EX19" s="1124"/>
      <c r="EY19" s="1125"/>
      <c r="EZ19" s="1124"/>
      <c r="FA19" s="1125"/>
      <c r="FB19" s="1126"/>
      <c r="FC19" s="1125"/>
      <c r="FD19" s="1126"/>
      <c r="FE19" s="1125"/>
      <c r="FF19" s="1092">
        <v>20.495833333333334</v>
      </c>
      <c r="FG19" s="1094">
        <v>1.052E10</v>
      </c>
      <c r="FH19" s="1092">
        <v>20.495833333333334</v>
      </c>
      <c r="FI19" s="1094">
        <v>1.052E10</v>
      </c>
      <c r="FJ19" s="1092">
        <v>25.495752314814816</v>
      </c>
      <c r="FK19" s="1093">
        <v>4.172972973E9</v>
      </c>
      <c r="FL19" s="1124"/>
      <c r="FM19" s="1125"/>
      <c r="FN19" s="1139"/>
      <c r="FO19" s="1126"/>
      <c r="FP19" s="1092">
        <v>51.0866087962963</v>
      </c>
      <c r="FQ19" s="1094">
        <v>6.568000000000001E13</v>
      </c>
      <c r="FR19" s="1139"/>
      <c r="FS19" s="1126"/>
      <c r="FT19" s="1092">
        <v>51.0866087962963</v>
      </c>
      <c r="FU19" s="1094">
        <v>6.568000000000001E13</v>
      </c>
      <c r="FV19" s="1092">
        <v>51.0866087962963</v>
      </c>
      <c r="FW19" s="1094">
        <v>6.568000000000001E13</v>
      </c>
      <c r="FX19" s="1097">
        <v>19.30611111111111</v>
      </c>
      <c r="FY19" s="1098">
        <v>6.5684E11</v>
      </c>
      <c r="FZ19" s="1097">
        <v>51.0866087962963</v>
      </c>
      <c r="GA19" s="1098">
        <v>6.5684E13</v>
      </c>
      <c r="GB19" s="1133"/>
      <c r="GC19" s="1133"/>
      <c r="GD19" s="1133"/>
      <c r="GE19" s="1167"/>
      <c r="GF19" s="1124"/>
      <c r="GG19" s="1125"/>
      <c r="GH19" s="1100">
        <v>18.870833333333334</v>
      </c>
      <c r="GI19" s="1101">
        <v>1.049E10</v>
      </c>
      <c r="GJ19" s="1124"/>
      <c r="GK19" s="1125"/>
      <c r="GL19" s="1124"/>
      <c r="GM19" s="1125"/>
      <c r="GN19" s="1126"/>
      <c r="GO19" s="1125"/>
      <c r="GP19" s="1102">
        <v>19.0375</v>
      </c>
      <c r="GQ19" s="1134">
        <v>2.062E11</v>
      </c>
      <c r="GR19" s="1124"/>
      <c r="GS19" s="1125"/>
      <c r="GT19" s="1124"/>
      <c r="GU19" s="1125"/>
      <c r="GV19" s="1126"/>
      <c r="GW19" s="1125"/>
      <c r="GX19" s="1168"/>
      <c r="GY19" s="1133"/>
      <c r="GZ19" s="1124"/>
      <c r="HA19" s="1125"/>
      <c r="HB19" s="1107">
        <v>15.565277777777778</v>
      </c>
      <c r="HC19" s="1108">
        <v>2.097E10</v>
      </c>
      <c r="HD19" s="1124"/>
      <c r="HE19" s="1125"/>
      <c r="HF19" s="1107">
        <v>15.935416666666667</v>
      </c>
      <c r="HG19" s="1108">
        <v>3.146E10</v>
      </c>
      <c r="HH19" s="1124"/>
      <c r="HI19" s="1125"/>
      <c r="HJ19" s="1124"/>
      <c r="HK19" s="1125"/>
      <c r="HL19" s="1124"/>
      <c r="HM19" s="1125"/>
      <c r="HN19" s="1126"/>
      <c r="HO19" s="1125"/>
      <c r="HP19" s="1107">
        <v>63.179409722222225</v>
      </c>
      <c r="HQ19" s="1109">
        <v>7.87E9</v>
      </c>
      <c r="HR19" s="1128">
        <v>24.690972222222225</v>
      </c>
      <c r="HS19" s="1129">
        <v>5.294E10</v>
      </c>
      <c r="HT19" s="1128">
        <v>24.690972222222225</v>
      </c>
      <c r="HU19" s="1129">
        <v>5.294E10</v>
      </c>
      <c r="HV19" s="1128">
        <v>24.690972222222225</v>
      </c>
      <c r="HW19" s="1129">
        <v>5.294E10</v>
      </c>
      <c r="HX19" s="1130">
        <v>24.69097222222222</v>
      </c>
      <c r="HY19" s="1129">
        <v>5.294E10</v>
      </c>
      <c r="HZ19" s="1124"/>
      <c r="IA19" s="1125"/>
      <c r="IB19" s="1130">
        <v>77.98013888888889</v>
      </c>
      <c r="IC19" s="1129">
        <v>6.568000000000001E13</v>
      </c>
      <c r="ID19" s="1130">
        <v>77.98013888888889</v>
      </c>
      <c r="IE19" s="1129">
        <v>6.568000000000001E13</v>
      </c>
      <c r="IF19" s="1130">
        <v>77.98013888888889</v>
      </c>
      <c r="IG19" s="1129">
        <v>6.568000000000001E13</v>
      </c>
      <c r="IH19" s="1113">
        <v>25.385416666666668</v>
      </c>
      <c r="II19" s="1114">
        <v>5.282E11</v>
      </c>
      <c r="IJ19" s="1113">
        <v>25.385416666666668</v>
      </c>
      <c r="IK19" s="1114">
        <v>5.282E11</v>
      </c>
      <c r="IL19" s="1113">
        <v>25.385416666666668</v>
      </c>
      <c r="IM19" s="1114">
        <v>6.982E11</v>
      </c>
      <c r="IN19" s="1113">
        <v>25.385416666666668</v>
      </c>
      <c r="IO19" s="1114">
        <v>6.982E11</v>
      </c>
      <c r="IP19" s="1113">
        <v>25.847916666666666</v>
      </c>
      <c r="IQ19" s="1114">
        <v>1.21E12</v>
      </c>
      <c r="IR19" s="1113">
        <v>25.385416666666668</v>
      </c>
      <c r="IS19" s="1114">
        <v>6.982E11</v>
      </c>
      <c r="IT19" s="1113">
        <v>25.385416666666668</v>
      </c>
      <c r="IU19" s="1114">
        <v>6.982E11</v>
      </c>
      <c r="IV19" s="1113">
        <v>25.385416666666668</v>
      </c>
      <c r="IW19" s="1114">
        <v>6.982E11</v>
      </c>
      <c r="IX19" s="1113">
        <v>25.385416666666668</v>
      </c>
      <c r="IY19" s="1114">
        <v>6.982E11</v>
      </c>
      <c r="IZ19" s="1113">
        <v>25.385416666666668</v>
      </c>
      <c r="JA19" s="1114">
        <v>8.682E11</v>
      </c>
      <c r="JB19" s="1113">
        <v>25.385416666666668</v>
      </c>
      <c r="JC19" s="1114">
        <v>8.682E11</v>
      </c>
      <c r="JD19" s="1113">
        <v>25.385416666666668</v>
      </c>
      <c r="JE19" s="1114">
        <v>8.682E11</v>
      </c>
      <c r="JF19" s="1113">
        <v>25.385416666666668</v>
      </c>
      <c r="JG19" s="1114">
        <v>8.682E11</v>
      </c>
      <c r="JH19" s="1113">
        <v>25.847916666666666</v>
      </c>
      <c r="JI19" s="1114">
        <v>1.39E12</v>
      </c>
      <c r="JJ19" s="1113">
        <v>183.59166666666667</v>
      </c>
      <c r="JK19" s="1115">
        <v>4.25E18</v>
      </c>
      <c r="JL19" s="1113">
        <v>183.59166666666667</v>
      </c>
      <c r="JM19" s="1115">
        <v>4.25E18</v>
      </c>
      <c r="JN19" s="1113">
        <v>183.59166666666667</v>
      </c>
      <c r="JO19" s="1115">
        <v>4.25E18</v>
      </c>
      <c r="JP19" s="1113">
        <v>183.59166666666667</v>
      </c>
      <c r="JQ19" s="1115">
        <v>4.25E18</v>
      </c>
      <c r="JR19" s="1113">
        <v>183.59166666666667</v>
      </c>
      <c r="JS19" s="1115">
        <v>4.25E18</v>
      </c>
      <c r="JT19" s="1113">
        <v>183.59166666666667</v>
      </c>
      <c r="JU19" s="1115">
        <v>4.25E18</v>
      </c>
      <c r="JV19" s="1113">
        <v>45.89791666666667</v>
      </c>
      <c r="JW19" s="1115">
        <v>2.177953338E14</v>
      </c>
      <c r="JX19" s="1169"/>
      <c r="JY19" s="1167"/>
      <c r="JZ19" s="1116">
        <v>2.10162037</v>
      </c>
      <c r="KA19" s="1120">
        <v>3.57E9</v>
      </c>
      <c r="KB19" s="1116">
        <v>2.57318287</v>
      </c>
      <c r="KC19" s="1120">
        <v>1.229E10</v>
      </c>
      <c r="KD19" s="1116">
        <v>9.892094907</v>
      </c>
      <c r="KE19" s="1120">
        <v>7.1848E11</v>
      </c>
      <c r="KF19" s="1116">
        <v>9.892094907</v>
      </c>
      <c r="KG19" s="1120">
        <v>7.1848E11</v>
      </c>
      <c r="KH19" s="1169"/>
      <c r="KI19" s="1167"/>
      <c r="KJ19" s="1133"/>
      <c r="KK19" s="1133"/>
      <c r="KL19" s="1133"/>
      <c r="KM19" s="1133"/>
      <c r="KN19" s="1133"/>
      <c r="KO19" s="1133"/>
      <c r="KP19" s="1133"/>
      <c r="KQ19" s="1133"/>
      <c r="KR19" s="1133"/>
      <c r="KS19" s="1133"/>
      <c r="KT19" s="1133"/>
      <c r="KU19" s="1133"/>
      <c r="KV19" s="1131">
        <v>183.59166666666667</v>
      </c>
      <c r="KW19" s="1132">
        <v>4.25E18</v>
      </c>
      <c r="KX19" s="1131">
        <v>183.59166666666667</v>
      </c>
      <c r="KY19" s="1132">
        <v>4.25E18</v>
      </c>
      <c r="KZ19" s="1131">
        <v>183.59166666666667</v>
      </c>
      <c r="LA19" s="1132">
        <v>4.25E18</v>
      </c>
      <c r="LB19" s="1131">
        <v>183.59166666666667</v>
      </c>
      <c r="LC19" s="1132">
        <v>4.25E18</v>
      </c>
      <c r="LD19" s="1131">
        <v>183.59166666666667</v>
      </c>
      <c r="LE19" s="1132">
        <v>4.25E18</v>
      </c>
      <c r="LF19" s="1131">
        <v>183.59166666666667</v>
      </c>
      <c r="LG19" s="1132">
        <v>4.25E18</v>
      </c>
      <c r="LH19" s="1131">
        <v>183.59166666666667</v>
      </c>
      <c r="LI19" s="1132">
        <v>4.25E18</v>
      </c>
      <c r="LJ19" s="1131">
        <v>183.59166666666667</v>
      </c>
      <c r="LK19" s="1132">
        <v>4.25E18</v>
      </c>
      <c r="LL19" s="1133"/>
      <c r="LM19" s="1133"/>
      <c r="LN19" s="1122">
        <v>229.48958333333334</v>
      </c>
      <c r="LO19" s="1101">
        <v>3.400000000000001E18</v>
      </c>
      <c r="LP19" s="1122">
        <v>229.48958333333334</v>
      </c>
      <c r="LQ19" s="1101">
        <v>3.400000000000001E18</v>
      </c>
      <c r="LR19" s="1122">
        <v>229.48958333333334</v>
      </c>
      <c r="LS19" s="1101">
        <v>3.400000000000001E18</v>
      </c>
      <c r="LT19" s="1122">
        <v>229.48958333333334</v>
      </c>
      <c r="LU19" s="1101">
        <v>3.400000000000001E18</v>
      </c>
      <c r="LV19" s="1122">
        <v>229.48958333333334</v>
      </c>
      <c r="LW19" s="1101">
        <v>3.400000000000001E18</v>
      </c>
      <c r="LX19" s="1122">
        <v>275.3875</v>
      </c>
      <c r="LY19" s="1123">
        <v>8.5E18</v>
      </c>
      <c r="LZ19" s="1122">
        <v>275.3875</v>
      </c>
      <c r="MA19" s="1123">
        <v>8.5E18</v>
      </c>
      <c r="MB19" s="1122">
        <v>275.3875</v>
      </c>
      <c r="MC19" s="1123">
        <v>8.5E18</v>
      </c>
      <c r="MD19" s="1122">
        <v>275.3875</v>
      </c>
      <c r="ME19" s="1123">
        <v>8.5E18</v>
      </c>
      <c r="MF19" s="1133"/>
      <c r="MG19" s="1133"/>
      <c r="MH19" s="1133"/>
      <c r="MI19" s="1133"/>
      <c r="MJ19" s="1133"/>
      <c r="MK19" s="1133"/>
      <c r="ML19" s="1133"/>
      <c r="MM19" s="1133"/>
      <c r="MN19" s="1133"/>
      <c r="MO19" s="1133"/>
      <c r="MP19" s="1133"/>
      <c r="MQ19" s="1133"/>
      <c r="MR19" s="1133"/>
      <c r="MS19" s="1133"/>
      <c r="MT19" s="1133"/>
      <c r="MU19" s="1133"/>
      <c r="MV19" s="1133"/>
      <c r="MW19" s="1133"/>
      <c r="MX19" s="1133"/>
      <c r="MY19" s="1133"/>
    </row>
    <row r="20">
      <c r="A20" s="1071">
        <v>18.0</v>
      </c>
      <c r="B20" s="1124"/>
      <c r="C20" s="1125"/>
      <c r="D20" s="1072">
        <v>0.7861111111111111</v>
      </c>
      <c r="E20" s="1073">
        <v>34360.0</v>
      </c>
      <c r="F20" s="1072">
        <v>0.7861111111111111</v>
      </c>
      <c r="G20" s="1074">
        <v>34360.0</v>
      </c>
      <c r="H20" s="1072">
        <v>0.7861111111111111</v>
      </c>
      <c r="I20" s="1073">
        <v>34360.0</v>
      </c>
      <c r="J20" s="1072">
        <v>0.7861111111111111</v>
      </c>
      <c r="K20" s="1073">
        <v>34360.0</v>
      </c>
      <c r="L20" s="1072">
        <v>1.2104166666666667</v>
      </c>
      <c r="M20" s="1075">
        <v>80990.0</v>
      </c>
      <c r="N20" s="1076">
        <v>0.9034722222222222</v>
      </c>
      <c r="O20" s="1073">
        <v>85340.0</v>
      </c>
      <c r="P20" s="1124"/>
      <c r="Q20" s="1125"/>
      <c r="R20" s="1124"/>
      <c r="S20" s="1125"/>
      <c r="T20" s="1124"/>
      <c r="U20" s="1125"/>
      <c r="V20" s="1124"/>
      <c r="W20" s="1125"/>
      <c r="X20" s="1124"/>
      <c r="Y20" s="1125"/>
      <c r="Z20" s="1124"/>
      <c r="AA20" s="1125"/>
      <c r="AB20" s="1124"/>
      <c r="AC20" s="1125"/>
      <c r="AD20" s="1072">
        <v>19.43888888888889</v>
      </c>
      <c r="AE20" s="1080">
        <v>8.650415919E10</v>
      </c>
      <c r="AF20" s="1072">
        <v>19.43888888888889</v>
      </c>
      <c r="AG20" s="1080">
        <v>8.650415919E10</v>
      </c>
      <c r="AH20" s="1072">
        <v>19.43888888888889</v>
      </c>
      <c r="AI20" s="1080">
        <v>8.650415919E10</v>
      </c>
      <c r="AJ20" s="1081">
        <v>0.7861111111111111</v>
      </c>
      <c r="AK20" s="1082">
        <v>34360.0</v>
      </c>
      <c r="AL20" s="1081">
        <v>0.7861111111111111</v>
      </c>
      <c r="AM20" s="1082">
        <v>34360.0</v>
      </c>
      <c r="AN20" s="1081">
        <v>0.7861111111111111</v>
      </c>
      <c r="AO20" s="1082">
        <v>34360.0</v>
      </c>
      <c r="AP20" s="1081">
        <v>0.7861111111111111</v>
      </c>
      <c r="AQ20" s="1082">
        <v>34360.0</v>
      </c>
      <c r="AR20" s="1081">
        <v>0.7861111111111111</v>
      </c>
      <c r="AS20" s="1082">
        <v>34370.0</v>
      </c>
      <c r="AT20" s="1081">
        <v>130.24791666666667</v>
      </c>
      <c r="AU20" s="1082">
        <v>6.1049E8</v>
      </c>
      <c r="AV20" s="1081">
        <v>78.6625</v>
      </c>
      <c r="AW20" s="1082">
        <v>6.1049E8</v>
      </c>
      <c r="AX20" s="1081">
        <v>13.722222222222223</v>
      </c>
      <c r="AY20" s="1082">
        <v>9.037E11</v>
      </c>
      <c r="AZ20" s="1124"/>
      <c r="BA20" s="1124"/>
      <c r="BB20" s="1083">
        <v>0.7861111111111111</v>
      </c>
      <c r="BC20" s="1084">
        <v>34360.0</v>
      </c>
      <c r="BD20" s="1083">
        <v>0.7861111111111111</v>
      </c>
      <c r="BE20" s="1084">
        <v>34360.0</v>
      </c>
      <c r="BF20" s="1083">
        <v>0.7861111111111111</v>
      </c>
      <c r="BG20" s="1084">
        <v>34360.0</v>
      </c>
      <c r="BH20" s="1083">
        <v>9.94375</v>
      </c>
      <c r="BI20" s="1084">
        <v>8.355E7</v>
      </c>
      <c r="BJ20" s="1083">
        <v>13.598611111111111</v>
      </c>
      <c r="BK20" s="1084">
        <v>5.5444E8</v>
      </c>
      <c r="BL20" s="1083">
        <v>18.841666666666665</v>
      </c>
      <c r="BM20" s="1084">
        <v>1.95E9</v>
      </c>
      <c r="BN20" s="1083">
        <v>18.841666666666665</v>
      </c>
      <c r="BO20" s="1084">
        <v>1.95E9</v>
      </c>
      <c r="BP20" s="1083">
        <v>27.972916666666666</v>
      </c>
      <c r="BQ20" s="1084">
        <v>1.95E9</v>
      </c>
      <c r="BR20" s="1126"/>
      <c r="BS20" s="1125"/>
      <c r="BT20" s="1085">
        <v>0.9979166666666667</v>
      </c>
      <c r="BU20" s="1086">
        <v>5.55E9</v>
      </c>
      <c r="BV20" s="1085">
        <v>30.23611111111111</v>
      </c>
      <c r="BW20" s="1086">
        <v>2.064E10</v>
      </c>
      <c r="BX20" s="1085">
        <v>52.23625</v>
      </c>
      <c r="BY20" s="1086">
        <v>1.314E11</v>
      </c>
      <c r="BZ20" s="1085">
        <v>165.37222222222223</v>
      </c>
      <c r="CA20" s="1086">
        <v>1.824E11</v>
      </c>
      <c r="CB20" s="1126"/>
      <c r="CC20" s="1125"/>
      <c r="CD20" s="1083">
        <v>5.787002314814814</v>
      </c>
      <c r="CE20" s="1087">
        <v>5.4599E11</v>
      </c>
      <c r="CF20" s="1133"/>
      <c r="CG20" s="1167"/>
      <c r="CH20" s="1088">
        <v>0.7861111111111111</v>
      </c>
      <c r="CI20" s="1089">
        <v>34370.0</v>
      </c>
      <c r="CJ20" s="1088">
        <v>0.7861111111111111</v>
      </c>
      <c r="CK20" s="1089">
        <v>34370.0</v>
      </c>
      <c r="CL20" s="1088">
        <v>0.7861111111111111</v>
      </c>
      <c r="CM20" s="1089">
        <v>34370.0</v>
      </c>
      <c r="CN20" s="1088">
        <v>0.7861111111111111</v>
      </c>
      <c r="CO20" s="1089">
        <v>34370.0</v>
      </c>
      <c r="CP20" s="1088">
        <v>1.3798611111111112</v>
      </c>
      <c r="CQ20" s="1089">
        <v>85350.0</v>
      </c>
      <c r="CR20" s="1124"/>
      <c r="CS20" s="1125"/>
      <c r="CT20" s="1126"/>
      <c r="CU20" s="1125"/>
      <c r="CV20" s="1090">
        <v>30.004166666666666</v>
      </c>
      <c r="CW20" s="1091">
        <v>3.4196E11</v>
      </c>
      <c r="CX20" s="1090">
        <v>30.004166666666666</v>
      </c>
      <c r="CY20" s="1091">
        <v>3.4196E11</v>
      </c>
      <c r="CZ20" s="1090">
        <v>30.004166666666666</v>
      </c>
      <c r="DA20" s="1091">
        <v>3.4196E11</v>
      </c>
      <c r="DB20" s="1090">
        <v>13.611805555555556</v>
      </c>
      <c r="DC20" s="1091">
        <v>1.0388E11</v>
      </c>
      <c r="DD20" s="1090">
        <v>13.611805555555556</v>
      </c>
      <c r="DE20" s="1091">
        <v>1.0388E11</v>
      </c>
      <c r="DF20" s="1092">
        <v>19.605555555555554</v>
      </c>
      <c r="DG20" s="1093">
        <v>1.95E9</v>
      </c>
      <c r="DH20" s="1124"/>
      <c r="DI20" s="1125"/>
      <c r="DJ20" s="1092">
        <v>20.393055555555556</v>
      </c>
      <c r="DK20" s="1093">
        <v>1.96E9</v>
      </c>
      <c r="DL20" s="1092">
        <v>19.605555555555554</v>
      </c>
      <c r="DM20" s="1093">
        <v>1.95E9</v>
      </c>
      <c r="DN20" s="1124"/>
      <c r="DO20" s="1125"/>
      <c r="DP20" s="1092">
        <v>19.605555555555554</v>
      </c>
      <c r="DQ20" s="1093">
        <v>1.95E9</v>
      </c>
      <c r="DR20" s="1092">
        <v>19.605555555555554</v>
      </c>
      <c r="DS20" s="1093">
        <v>1.95E9</v>
      </c>
      <c r="DT20" s="1124"/>
      <c r="DU20" s="1125"/>
      <c r="DV20" s="1092">
        <v>19.605555555555554</v>
      </c>
      <c r="DW20" s="1093">
        <v>1.95E9</v>
      </c>
      <c r="DX20" s="1092">
        <v>19.605555555555554</v>
      </c>
      <c r="DY20" s="1093">
        <v>1.95E9</v>
      </c>
      <c r="DZ20" s="1092">
        <v>23.980555555555554</v>
      </c>
      <c r="EA20" s="1093">
        <v>5.27E9</v>
      </c>
      <c r="EB20" s="1092">
        <v>23.980555555555554</v>
      </c>
      <c r="EC20" s="1093">
        <v>5.27E9</v>
      </c>
      <c r="ED20" s="1124"/>
      <c r="EE20" s="1125"/>
      <c r="EF20" s="1092">
        <v>23.147222222222222</v>
      </c>
      <c r="EG20" s="1093">
        <v>5.27E9</v>
      </c>
      <c r="EH20" s="1124"/>
      <c r="EI20" s="1125"/>
      <c r="EJ20" s="1092">
        <v>10.34039351851852</v>
      </c>
      <c r="EK20" s="1093">
        <v>5.0767E8</v>
      </c>
      <c r="EL20" s="1092">
        <v>22.98121527777778</v>
      </c>
      <c r="EM20" s="1093">
        <v>5.27E9</v>
      </c>
      <c r="EN20" s="1092">
        <v>23.147222222222222</v>
      </c>
      <c r="EO20" s="1093">
        <v>5.27E9</v>
      </c>
      <c r="EP20" s="1092">
        <v>23.147222222222222</v>
      </c>
      <c r="EQ20" s="1093">
        <v>5.27E9</v>
      </c>
      <c r="ER20" s="1092">
        <v>23.147222222222222</v>
      </c>
      <c r="ES20" s="1093">
        <v>5.27E9</v>
      </c>
      <c r="ET20" s="1092">
        <v>23.147222222222222</v>
      </c>
      <c r="EU20" s="1093">
        <v>5.27E9</v>
      </c>
      <c r="EV20" s="1124"/>
      <c r="EW20" s="1125"/>
      <c r="EX20" s="1124"/>
      <c r="EY20" s="1125"/>
      <c r="EZ20" s="1124"/>
      <c r="FA20" s="1125"/>
      <c r="FB20" s="1126"/>
      <c r="FC20" s="1125"/>
      <c r="FD20" s="1126"/>
      <c r="FE20" s="1125"/>
      <c r="FF20" s="1092">
        <v>23.980555555555554</v>
      </c>
      <c r="FG20" s="1094">
        <v>1.423E10</v>
      </c>
      <c r="FH20" s="1092">
        <v>23.980555555555554</v>
      </c>
      <c r="FI20" s="1094">
        <v>1.423E10</v>
      </c>
      <c r="FJ20" s="1092">
        <v>28.980752314814815</v>
      </c>
      <c r="FK20" s="1093">
        <v>5.47027027E9</v>
      </c>
      <c r="FL20" s="1124"/>
      <c r="FM20" s="1125"/>
      <c r="FN20" s="1139"/>
      <c r="FO20" s="1126"/>
      <c r="FP20" s="1092">
        <v>57.21700231481481</v>
      </c>
      <c r="FQ20" s="1094">
        <v>9.853E13</v>
      </c>
      <c r="FR20" s="1139"/>
      <c r="FS20" s="1126"/>
      <c r="FT20" s="1092">
        <v>57.21700231481481</v>
      </c>
      <c r="FU20" s="1094">
        <v>9.853E13</v>
      </c>
      <c r="FV20" s="1092">
        <v>57.21700231481481</v>
      </c>
      <c r="FW20" s="1094">
        <v>9.853E13</v>
      </c>
      <c r="FX20" s="1097">
        <v>21.337511574074075</v>
      </c>
      <c r="FY20" s="1098">
        <v>9.8526E11</v>
      </c>
      <c r="FZ20" s="1097">
        <v>57.21700231481481</v>
      </c>
      <c r="GA20" s="1098">
        <v>9.8526E13</v>
      </c>
      <c r="GB20" s="1133"/>
      <c r="GC20" s="1133"/>
      <c r="GD20" s="1133"/>
      <c r="GE20" s="1167"/>
      <c r="GF20" s="1124"/>
      <c r="GG20" s="1125"/>
      <c r="GH20" s="1100">
        <v>22.355555555555554</v>
      </c>
      <c r="GI20" s="1101">
        <v>1.421E10</v>
      </c>
      <c r="GJ20" s="1124"/>
      <c r="GK20" s="1125"/>
      <c r="GL20" s="1124"/>
      <c r="GM20" s="1125"/>
      <c r="GN20" s="1126"/>
      <c r="GO20" s="1125"/>
      <c r="GP20" s="1102">
        <v>22.522222222222222</v>
      </c>
      <c r="GQ20" s="1134">
        <v>2.5596E11</v>
      </c>
      <c r="GR20" s="1124"/>
      <c r="GS20" s="1125"/>
      <c r="GT20" s="1124"/>
      <c r="GU20" s="1125"/>
      <c r="GV20" s="1126"/>
      <c r="GW20" s="1125"/>
      <c r="GX20" s="1168"/>
      <c r="GY20" s="1133"/>
      <c r="GZ20" s="1124"/>
      <c r="HA20" s="1125"/>
      <c r="HB20" s="1107">
        <v>18.841666666666665</v>
      </c>
      <c r="HC20" s="1108">
        <v>2.84E10</v>
      </c>
      <c r="HD20" s="1124"/>
      <c r="HE20" s="1125"/>
      <c r="HF20" s="1107">
        <v>19.235416666666666</v>
      </c>
      <c r="HG20" s="1108">
        <v>4.26E10</v>
      </c>
      <c r="HH20" s="1124"/>
      <c r="HI20" s="1125"/>
      <c r="HJ20" s="1124"/>
      <c r="HK20" s="1125"/>
      <c r="HL20" s="1124"/>
      <c r="HM20" s="1125"/>
      <c r="HN20" s="1126"/>
      <c r="HO20" s="1125"/>
      <c r="HP20" s="1107">
        <v>78.74365740740741</v>
      </c>
      <c r="HQ20" s="1109">
        <v>1.033E10</v>
      </c>
      <c r="HR20" s="1128">
        <v>29.309722222222224</v>
      </c>
      <c r="HS20" s="1129">
        <v>7.153E10</v>
      </c>
      <c r="HT20" s="1128">
        <v>29.309722222222224</v>
      </c>
      <c r="HU20" s="1129">
        <v>7.153E10</v>
      </c>
      <c r="HV20" s="1128">
        <v>29.309722222222224</v>
      </c>
      <c r="HW20" s="1129">
        <v>7.153E10</v>
      </c>
      <c r="HX20" s="1130">
        <v>29.309722222222224</v>
      </c>
      <c r="HY20" s="1129">
        <v>7.153E10</v>
      </c>
      <c r="HZ20" s="1124"/>
      <c r="IA20" s="1125"/>
      <c r="IB20" s="1130">
        <v>89.67715277777778</v>
      </c>
      <c r="IC20" s="1129">
        <v>9.853E13</v>
      </c>
      <c r="ID20" s="1130">
        <v>89.67715277777778</v>
      </c>
      <c r="IE20" s="1129">
        <v>9.853E13</v>
      </c>
      <c r="IF20" s="1130">
        <v>89.67715277777778</v>
      </c>
      <c r="IG20" s="1129">
        <v>9.853E13</v>
      </c>
      <c r="IH20" s="1113">
        <v>30.004166666666666</v>
      </c>
      <c r="II20" s="1114">
        <v>5.9696E11</v>
      </c>
      <c r="IJ20" s="1113">
        <v>30.004166666666666</v>
      </c>
      <c r="IK20" s="1114">
        <v>5.9696E11</v>
      </c>
      <c r="IL20" s="1113">
        <v>30.004166666666666</v>
      </c>
      <c r="IM20" s="1114">
        <v>7.7696E11</v>
      </c>
      <c r="IN20" s="1113">
        <v>30.004166666666666</v>
      </c>
      <c r="IO20" s="1114">
        <v>7.7696E11</v>
      </c>
      <c r="IP20" s="1113">
        <v>30.46736111111111</v>
      </c>
      <c r="IQ20" s="1114">
        <v>1.32E12</v>
      </c>
      <c r="IR20" s="1113">
        <v>30.004166666666666</v>
      </c>
      <c r="IS20" s="1114">
        <v>7.7696E11</v>
      </c>
      <c r="IT20" s="1113">
        <v>30.004166666666666</v>
      </c>
      <c r="IU20" s="1114">
        <v>7.7696E11</v>
      </c>
      <c r="IV20" s="1113">
        <v>30.004166666666666</v>
      </c>
      <c r="IW20" s="1114">
        <v>7.7696E11</v>
      </c>
      <c r="IX20" s="1113">
        <v>30.004166666666666</v>
      </c>
      <c r="IY20" s="1114">
        <v>7.7696E11</v>
      </c>
      <c r="IZ20" s="1113">
        <v>30.004166666666666</v>
      </c>
      <c r="JA20" s="1114">
        <v>9.5696E11</v>
      </c>
      <c r="JB20" s="1113">
        <v>30.004166666666666</v>
      </c>
      <c r="JC20" s="1114">
        <v>9.5696E11</v>
      </c>
      <c r="JD20" s="1113">
        <v>30.004166666666666</v>
      </c>
      <c r="JE20" s="1114">
        <v>9.5696E11</v>
      </c>
      <c r="JF20" s="1113">
        <v>30.004166666666666</v>
      </c>
      <c r="JG20" s="1114">
        <v>9.5696E11</v>
      </c>
      <c r="JH20" s="1113">
        <v>30.46736111111111</v>
      </c>
      <c r="JI20" s="1114">
        <v>1.51E12</v>
      </c>
      <c r="JJ20" s="1113">
        <v>194.39097222222222</v>
      </c>
      <c r="JK20" s="1115">
        <v>4.5E18</v>
      </c>
      <c r="JL20" s="1113">
        <v>194.39097222222222</v>
      </c>
      <c r="JM20" s="1115">
        <v>4.5E18</v>
      </c>
      <c r="JN20" s="1113">
        <v>194.39097222222222</v>
      </c>
      <c r="JO20" s="1115">
        <v>4.5E18</v>
      </c>
      <c r="JP20" s="1113">
        <v>194.39097222222222</v>
      </c>
      <c r="JQ20" s="1115">
        <v>4.5E18</v>
      </c>
      <c r="JR20" s="1113">
        <v>194.39097222222222</v>
      </c>
      <c r="JS20" s="1115">
        <v>4.5E18</v>
      </c>
      <c r="JT20" s="1113">
        <v>194.39097222222222</v>
      </c>
      <c r="JU20" s="1115">
        <v>4.5E18</v>
      </c>
      <c r="JV20" s="1113">
        <v>48.59722222222222</v>
      </c>
      <c r="JW20" s="1115">
        <v>3.049134673E14</v>
      </c>
      <c r="JX20" s="1169"/>
      <c r="JY20" s="1167"/>
      <c r="JZ20" s="1116">
        <v>2.155532407</v>
      </c>
      <c r="KA20" s="1120">
        <v>4.2E9</v>
      </c>
      <c r="KB20" s="1116">
        <v>2.706377315</v>
      </c>
      <c r="KC20" s="1120">
        <v>1.474E10</v>
      </c>
      <c r="KD20" s="1116">
        <v>10.41833333</v>
      </c>
      <c r="KE20" s="1120">
        <v>8.7118E11</v>
      </c>
      <c r="KF20" s="1116">
        <v>10.41833333</v>
      </c>
      <c r="KG20" s="1120">
        <v>8.7118E11</v>
      </c>
      <c r="KH20" s="1169"/>
      <c r="KI20" s="1167"/>
      <c r="KJ20" s="1133"/>
      <c r="KK20" s="1133"/>
      <c r="KL20" s="1133"/>
      <c r="KM20" s="1133"/>
      <c r="KN20" s="1133"/>
      <c r="KO20" s="1133"/>
      <c r="KP20" s="1133"/>
      <c r="KQ20" s="1133"/>
      <c r="KR20" s="1133"/>
      <c r="KS20" s="1133"/>
      <c r="KT20" s="1133"/>
      <c r="KU20" s="1133"/>
      <c r="KV20" s="1131">
        <v>194.39097222222222</v>
      </c>
      <c r="KW20" s="1132">
        <v>4.5E18</v>
      </c>
      <c r="KX20" s="1131">
        <v>194.39097222222222</v>
      </c>
      <c r="KY20" s="1132">
        <v>4.5E18</v>
      </c>
      <c r="KZ20" s="1131">
        <v>194.39097222222222</v>
      </c>
      <c r="LA20" s="1132">
        <v>4.5E18</v>
      </c>
      <c r="LB20" s="1131">
        <v>194.39097222222222</v>
      </c>
      <c r="LC20" s="1132">
        <v>4.5E18</v>
      </c>
      <c r="LD20" s="1131">
        <v>194.39097222222222</v>
      </c>
      <c r="LE20" s="1132">
        <v>4.5E18</v>
      </c>
      <c r="LF20" s="1131">
        <v>194.39097222222222</v>
      </c>
      <c r="LG20" s="1132">
        <v>4.5E18</v>
      </c>
      <c r="LH20" s="1131">
        <v>194.39097222222222</v>
      </c>
      <c r="LI20" s="1132">
        <v>4.5E18</v>
      </c>
      <c r="LJ20" s="1131">
        <v>194.39097222222222</v>
      </c>
      <c r="LK20" s="1132">
        <v>4.5E18</v>
      </c>
      <c r="LL20" s="1133"/>
      <c r="LM20" s="1133"/>
      <c r="LN20" s="1122">
        <v>242.98888888888888</v>
      </c>
      <c r="LO20" s="1101">
        <v>3.600000000000001E18</v>
      </c>
      <c r="LP20" s="1122">
        <v>242.98888888888888</v>
      </c>
      <c r="LQ20" s="1101">
        <v>3.600000000000001E18</v>
      </c>
      <c r="LR20" s="1122">
        <v>242.98888888888888</v>
      </c>
      <c r="LS20" s="1101">
        <v>3.600000000000001E18</v>
      </c>
      <c r="LT20" s="1122">
        <v>242.98888888888888</v>
      </c>
      <c r="LU20" s="1101">
        <v>3.600000000000001E18</v>
      </c>
      <c r="LV20" s="1122">
        <v>242.98888888888888</v>
      </c>
      <c r="LW20" s="1101">
        <v>3.600000000000001E18</v>
      </c>
      <c r="LX20" s="1122">
        <v>291.58680555555554</v>
      </c>
      <c r="LY20" s="1123">
        <v>9.0E18</v>
      </c>
      <c r="LZ20" s="1122">
        <v>291.58680555555554</v>
      </c>
      <c r="MA20" s="1123">
        <v>9.0E18</v>
      </c>
      <c r="MB20" s="1122">
        <v>291.58680555555554</v>
      </c>
      <c r="MC20" s="1123">
        <v>9.0E18</v>
      </c>
      <c r="MD20" s="1122">
        <v>291.58680555555554</v>
      </c>
      <c r="ME20" s="1123">
        <v>9.0E18</v>
      </c>
      <c r="MF20" s="1133"/>
      <c r="MG20" s="1133"/>
      <c r="MH20" s="1133"/>
      <c r="MI20" s="1133"/>
      <c r="MJ20" s="1133"/>
      <c r="MK20" s="1133"/>
      <c r="ML20" s="1133"/>
      <c r="MM20" s="1133"/>
      <c r="MN20" s="1133"/>
      <c r="MO20" s="1133"/>
      <c r="MP20" s="1133"/>
      <c r="MQ20" s="1133"/>
      <c r="MR20" s="1133"/>
      <c r="MS20" s="1133"/>
      <c r="MT20" s="1133"/>
      <c r="MU20" s="1133"/>
      <c r="MV20" s="1133"/>
      <c r="MW20" s="1133"/>
      <c r="MX20" s="1133"/>
      <c r="MY20" s="1133"/>
    </row>
    <row r="21">
      <c r="A21" s="1071">
        <v>19.0</v>
      </c>
      <c r="B21" s="1124"/>
      <c r="C21" s="1125"/>
      <c r="D21" s="1072">
        <v>0.8965277777777778</v>
      </c>
      <c r="E21" s="1073">
        <v>40160.0</v>
      </c>
      <c r="F21" s="1072">
        <v>0.8965277777777778</v>
      </c>
      <c r="G21" s="1074">
        <v>40160.0</v>
      </c>
      <c r="H21" s="1072">
        <v>0.8965277777777778</v>
      </c>
      <c r="I21" s="1073">
        <v>40160.0</v>
      </c>
      <c r="J21" s="1072">
        <v>0.8965277777777778</v>
      </c>
      <c r="K21" s="1073">
        <v>40160.0</v>
      </c>
      <c r="L21" s="1072">
        <v>1.3979166666666667</v>
      </c>
      <c r="M21" s="1075">
        <v>96310.0</v>
      </c>
      <c r="N21" s="1076">
        <v>1.0229166666666667</v>
      </c>
      <c r="O21" s="1073">
        <v>101810.0</v>
      </c>
      <c r="P21" s="1124"/>
      <c r="Q21" s="1125"/>
      <c r="R21" s="1124"/>
      <c r="S21" s="1125"/>
      <c r="T21" s="1124"/>
      <c r="U21" s="1125"/>
      <c r="V21" s="1124"/>
      <c r="W21" s="1125"/>
      <c r="X21" s="1124"/>
      <c r="Y21" s="1125"/>
      <c r="Z21" s="1124"/>
      <c r="AA21" s="1125"/>
      <c r="AB21" s="1124"/>
      <c r="AC21" s="1125"/>
      <c r="AD21" s="1072">
        <v>20.51875</v>
      </c>
      <c r="AE21" s="1080">
        <v>1.12455407E11</v>
      </c>
      <c r="AF21" s="1072">
        <v>20.51875</v>
      </c>
      <c r="AG21" s="1080">
        <v>1.12455407E11</v>
      </c>
      <c r="AH21" s="1072">
        <v>20.51875</v>
      </c>
      <c r="AI21" s="1080">
        <v>1.12455407E11</v>
      </c>
      <c r="AJ21" s="1081">
        <v>0.8965277777777778</v>
      </c>
      <c r="AK21" s="1082">
        <v>40160.0</v>
      </c>
      <c r="AL21" s="1081">
        <v>0.8965277777777778</v>
      </c>
      <c r="AM21" s="1082">
        <v>40160.0</v>
      </c>
      <c r="AN21" s="1081">
        <v>0.8965277777777778</v>
      </c>
      <c r="AO21" s="1082">
        <v>40160.0</v>
      </c>
      <c r="AP21" s="1081">
        <v>0.8965277777777778</v>
      </c>
      <c r="AQ21" s="1082">
        <v>40160.0</v>
      </c>
      <c r="AR21" s="1081">
        <v>0.8965277777777778</v>
      </c>
      <c r="AS21" s="1082">
        <v>40170.0</v>
      </c>
      <c r="AT21" s="1081">
        <v>163.18402777777777</v>
      </c>
      <c r="AU21" s="1082">
        <v>7.9773E8</v>
      </c>
      <c r="AV21" s="1081">
        <v>96.6236111111111</v>
      </c>
      <c r="AW21" s="1082">
        <v>7.9773E8</v>
      </c>
      <c r="AX21" s="1081">
        <v>14.356250000000001</v>
      </c>
      <c r="AY21" s="1082">
        <v>9.4944E11</v>
      </c>
      <c r="AZ21" s="1124"/>
      <c r="BA21" s="1124"/>
      <c r="BB21" s="1083">
        <v>0.8965277777777778</v>
      </c>
      <c r="BC21" s="1084">
        <v>40160.0</v>
      </c>
      <c r="BD21" s="1083">
        <v>0.8965277777777778</v>
      </c>
      <c r="BE21" s="1084">
        <v>40160.0</v>
      </c>
      <c r="BF21" s="1083">
        <v>0.8965277777777778</v>
      </c>
      <c r="BG21" s="1084">
        <v>40160.0</v>
      </c>
      <c r="BH21" s="1083">
        <v>11.911805555555556</v>
      </c>
      <c r="BI21" s="1084">
        <v>1.0501E8</v>
      </c>
      <c r="BJ21" s="1083">
        <v>16.319444444444443</v>
      </c>
      <c r="BK21" s="1084">
        <v>7.0085E8</v>
      </c>
      <c r="BL21" s="1083">
        <v>22.615277777777777</v>
      </c>
      <c r="BM21" s="1084">
        <v>2.5E9</v>
      </c>
      <c r="BN21" s="1083">
        <v>22.615277777777777</v>
      </c>
      <c r="BO21" s="1084">
        <v>2.5E9</v>
      </c>
      <c r="BP21" s="1083">
        <v>33.958333333333336</v>
      </c>
      <c r="BQ21" s="1084">
        <v>2.5E9</v>
      </c>
      <c r="BR21" s="1126"/>
      <c r="BS21" s="1125"/>
      <c r="BT21" s="1085">
        <v>1.1069444444444443</v>
      </c>
      <c r="BU21" s="1086">
        <v>5.99E9</v>
      </c>
      <c r="BV21" s="1085">
        <v>35.67638888888889</v>
      </c>
      <c r="BW21" s="1086">
        <v>2.336E10</v>
      </c>
      <c r="BX21" s="1085">
        <v>60.07168981481482</v>
      </c>
      <c r="BY21" s="1086">
        <v>1.3818E11</v>
      </c>
      <c r="BZ21" s="1085">
        <v>209.82847222222222</v>
      </c>
      <c r="CA21" s="1086">
        <v>1.9218E11</v>
      </c>
      <c r="CB21" s="1126"/>
      <c r="CC21" s="1125"/>
      <c r="CD21" s="1083">
        <v>6.175081018518519</v>
      </c>
      <c r="CE21" s="1087">
        <v>5.9196E11</v>
      </c>
      <c r="CF21" s="1133"/>
      <c r="CG21" s="1167"/>
      <c r="CH21" s="1088">
        <v>0.8965277777777778</v>
      </c>
      <c r="CI21" s="1089">
        <v>40170.0</v>
      </c>
      <c r="CJ21" s="1088">
        <v>0.8965277777777778</v>
      </c>
      <c r="CK21" s="1089">
        <v>40170.0</v>
      </c>
      <c r="CL21" s="1088">
        <v>0.8965277777777778</v>
      </c>
      <c r="CM21" s="1089">
        <v>40170.0</v>
      </c>
      <c r="CN21" s="1088">
        <v>0.8965277777777778</v>
      </c>
      <c r="CO21" s="1089">
        <v>40170.0</v>
      </c>
      <c r="CP21" s="1088">
        <v>1.5909722222222225</v>
      </c>
      <c r="CQ21" s="1089">
        <v>101820.0</v>
      </c>
      <c r="CR21" s="1124"/>
      <c r="CS21" s="1125"/>
      <c r="CT21" s="1126"/>
      <c r="CU21" s="1125"/>
      <c r="CV21" s="1090">
        <v>35.329166666666666</v>
      </c>
      <c r="CW21" s="1091">
        <v>4.0445E11</v>
      </c>
      <c r="CX21" s="1090">
        <v>35.329166666666666</v>
      </c>
      <c r="CY21" s="1091">
        <v>4.0445E11</v>
      </c>
      <c r="CZ21" s="1090">
        <v>35.329166666666666</v>
      </c>
      <c r="DA21" s="1091">
        <v>4.0445E11</v>
      </c>
      <c r="DB21" s="1090">
        <v>15.366666666666667</v>
      </c>
      <c r="DC21" s="1091">
        <v>1.2642E11</v>
      </c>
      <c r="DD21" s="1090">
        <v>15.366666666666667</v>
      </c>
      <c r="DE21" s="1091">
        <v>1.2642E11</v>
      </c>
      <c r="DF21" s="1092">
        <v>23.379166666666666</v>
      </c>
      <c r="DG21" s="1093">
        <v>2.5E9</v>
      </c>
      <c r="DH21" s="1124"/>
      <c r="DI21" s="1125"/>
      <c r="DJ21" s="1092">
        <v>24.166666666666668</v>
      </c>
      <c r="DK21" s="1093">
        <v>2.5E9</v>
      </c>
      <c r="DL21" s="1092">
        <v>23.379166666666666</v>
      </c>
      <c r="DM21" s="1093">
        <v>2.5E9</v>
      </c>
      <c r="DN21" s="1124"/>
      <c r="DO21" s="1125"/>
      <c r="DP21" s="1092">
        <v>23.379166666666666</v>
      </c>
      <c r="DQ21" s="1093">
        <v>2.5E9</v>
      </c>
      <c r="DR21" s="1092">
        <v>23.379166666666666</v>
      </c>
      <c r="DS21" s="1093">
        <v>2.5E9</v>
      </c>
      <c r="DT21" s="1124"/>
      <c r="DU21" s="1125"/>
      <c r="DV21" s="1092">
        <v>23.379166666666666</v>
      </c>
      <c r="DW21" s="1093">
        <v>2.5E9</v>
      </c>
      <c r="DX21" s="1092">
        <v>23.379166666666666</v>
      </c>
      <c r="DY21" s="1093">
        <v>2.5E9</v>
      </c>
      <c r="DZ21" s="1092">
        <v>27.9625</v>
      </c>
      <c r="EA21" s="1093">
        <v>6.88E9</v>
      </c>
      <c r="EB21" s="1092">
        <v>27.9625</v>
      </c>
      <c r="EC21" s="1093">
        <v>6.88E9</v>
      </c>
      <c r="ED21" s="1124"/>
      <c r="EE21" s="1125"/>
      <c r="EF21" s="1092">
        <v>27.129166666666666</v>
      </c>
      <c r="EG21" s="1093">
        <v>6.88E9</v>
      </c>
      <c r="EH21" s="1124"/>
      <c r="EI21" s="1125"/>
      <c r="EJ21" s="1092">
        <v>10.835902777777777</v>
      </c>
      <c r="EK21" s="1093">
        <v>5.5283E8</v>
      </c>
      <c r="EL21" s="1092">
        <v>27.129803240740742</v>
      </c>
      <c r="EM21" s="1093">
        <v>6.88E9</v>
      </c>
      <c r="EN21" s="1092">
        <v>27.129166666666666</v>
      </c>
      <c r="EO21" s="1093">
        <v>6.88E9</v>
      </c>
      <c r="EP21" s="1092">
        <v>27.129166666666666</v>
      </c>
      <c r="EQ21" s="1093">
        <v>6.88E9</v>
      </c>
      <c r="ER21" s="1092">
        <v>27.129166666666666</v>
      </c>
      <c r="ES21" s="1093">
        <v>6.88E9</v>
      </c>
      <c r="ET21" s="1092">
        <v>27.129166666666666</v>
      </c>
      <c r="EU21" s="1093">
        <v>6.88E9</v>
      </c>
      <c r="EV21" s="1124"/>
      <c r="EW21" s="1125"/>
      <c r="EX21" s="1124"/>
      <c r="EY21" s="1125"/>
      <c r="EZ21" s="1124"/>
      <c r="FA21" s="1125"/>
      <c r="FB21" s="1126"/>
      <c r="FC21" s="1125"/>
      <c r="FD21" s="1126"/>
      <c r="FE21" s="1125"/>
      <c r="FF21" s="1092">
        <v>27.96216435185185</v>
      </c>
      <c r="FG21" s="1094">
        <v>1.893E10</v>
      </c>
      <c r="FH21" s="1092">
        <v>27.96216435185185</v>
      </c>
      <c r="FI21" s="1094">
        <v>1.893E10</v>
      </c>
      <c r="FJ21" s="1126"/>
      <c r="FK21" s="1125"/>
      <c r="FL21" s="1124"/>
      <c r="FM21" s="1125"/>
      <c r="FN21" s="1139"/>
      <c r="FO21" s="1126"/>
      <c r="FP21" s="1092">
        <v>64.08304398148148</v>
      </c>
      <c r="FQ21" s="1094">
        <v>1.4779E14</v>
      </c>
      <c r="FR21" s="1139"/>
      <c r="FS21" s="1126"/>
      <c r="FT21" s="1092">
        <v>64.08304398148148</v>
      </c>
      <c r="FU21" s="1094">
        <v>1.4779E14</v>
      </c>
      <c r="FV21" s="1092">
        <v>64.08304398148148</v>
      </c>
      <c r="FW21" s="1094">
        <v>1.4779E14</v>
      </c>
      <c r="FX21" s="1097">
        <v>24.76534722222222</v>
      </c>
      <c r="FY21" s="1098">
        <v>1.48E12</v>
      </c>
      <c r="FZ21" s="1097">
        <v>64.12471064814815</v>
      </c>
      <c r="GA21" s="1098">
        <v>1.4779E14</v>
      </c>
      <c r="GB21" s="1133"/>
      <c r="GC21" s="1133"/>
      <c r="GD21" s="1133"/>
      <c r="GE21" s="1167"/>
      <c r="GF21" s="1124"/>
      <c r="GG21" s="1125"/>
      <c r="GH21" s="1100">
        <v>26.3375</v>
      </c>
      <c r="GI21" s="1101">
        <v>1.89E10</v>
      </c>
      <c r="GJ21" s="1124"/>
      <c r="GK21" s="1125"/>
      <c r="GL21" s="1124"/>
      <c r="GM21" s="1125"/>
      <c r="GN21" s="1126"/>
      <c r="GO21" s="1125"/>
      <c r="GP21" s="1102">
        <v>26.504166666666666</v>
      </c>
      <c r="GQ21" s="1134">
        <v>3.1445E11</v>
      </c>
      <c r="GR21" s="1124"/>
      <c r="GS21" s="1125"/>
      <c r="GT21" s="1124"/>
      <c r="GU21" s="1125"/>
      <c r="GV21" s="1126"/>
      <c r="GW21" s="1125"/>
      <c r="GX21" s="1168"/>
      <c r="GY21" s="1133"/>
      <c r="GZ21" s="1124"/>
      <c r="HA21" s="1125"/>
      <c r="HB21" s="1107">
        <v>22.615277777777777</v>
      </c>
      <c r="HC21" s="1108">
        <v>3.779E10</v>
      </c>
      <c r="HD21" s="1124"/>
      <c r="HE21" s="1125"/>
      <c r="HF21" s="1107">
        <v>23.031944444444445</v>
      </c>
      <c r="HG21" s="1108">
        <v>5.669E10</v>
      </c>
      <c r="HH21" s="1124"/>
      <c r="HI21" s="1125"/>
      <c r="HJ21" s="1124"/>
      <c r="HK21" s="1125"/>
      <c r="HL21" s="1124"/>
      <c r="HM21" s="1125"/>
      <c r="HN21" s="1126"/>
      <c r="HO21" s="1125"/>
      <c r="HP21" s="1107">
        <v>97.15971064814815</v>
      </c>
      <c r="HQ21" s="1109">
        <v>1.336E10</v>
      </c>
      <c r="HR21" s="1128">
        <v>34.63472222222222</v>
      </c>
      <c r="HS21" s="1129">
        <v>9.505E10</v>
      </c>
      <c r="HT21" s="1128">
        <v>34.63472222222222</v>
      </c>
      <c r="HU21" s="1129">
        <v>9.505E10</v>
      </c>
      <c r="HV21" s="1128">
        <v>34.63472222222222</v>
      </c>
      <c r="HW21" s="1129">
        <v>9.505E10</v>
      </c>
      <c r="HX21" s="1130">
        <v>34.63472222222222</v>
      </c>
      <c r="HY21" s="1129">
        <v>9.505E10</v>
      </c>
      <c r="HZ21" s="1124"/>
      <c r="IA21" s="1125"/>
      <c r="IB21" s="1130">
        <v>103.12872685185185</v>
      </c>
      <c r="IC21" s="1129">
        <v>1.4779E14</v>
      </c>
      <c r="ID21" s="1130">
        <v>103.12872685185185</v>
      </c>
      <c r="IE21" s="1129">
        <v>1.4779E14</v>
      </c>
      <c r="IF21" s="1130">
        <v>103.12872685185185</v>
      </c>
      <c r="IG21" s="1129">
        <v>1.4779E14</v>
      </c>
      <c r="IH21" s="1113">
        <v>35.329166666666666</v>
      </c>
      <c r="II21" s="1114">
        <v>6.7445E11</v>
      </c>
      <c r="IJ21" s="1113">
        <v>35.329166666666666</v>
      </c>
      <c r="IK21" s="1114">
        <v>6.7445E11</v>
      </c>
      <c r="IL21" s="1113">
        <v>35.329166666666666</v>
      </c>
      <c r="IM21" s="1114">
        <v>8.6445E11</v>
      </c>
      <c r="IN21" s="1113">
        <v>35.329166666666666</v>
      </c>
      <c r="IO21" s="1114">
        <v>8.6445E11</v>
      </c>
      <c r="IP21" s="1113">
        <v>35.792361111111106</v>
      </c>
      <c r="IQ21" s="1114">
        <v>1.43E12</v>
      </c>
      <c r="IR21" s="1113">
        <v>35.329166666666666</v>
      </c>
      <c r="IS21" s="1114">
        <v>8.6445E11</v>
      </c>
      <c r="IT21" s="1113">
        <v>35.329166666666666</v>
      </c>
      <c r="IU21" s="1114">
        <v>8.6445E11</v>
      </c>
      <c r="IV21" s="1113">
        <v>35.329166666666666</v>
      </c>
      <c r="IW21" s="1114">
        <v>8.6445E11</v>
      </c>
      <c r="IX21" s="1113">
        <v>35.329166666666666</v>
      </c>
      <c r="IY21" s="1114">
        <v>8.6445E11</v>
      </c>
      <c r="IZ21" s="1113">
        <v>35.329166666666666</v>
      </c>
      <c r="JA21" s="1114">
        <v>1.05E12</v>
      </c>
      <c r="JB21" s="1113">
        <v>35.329166666666666</v>
      </c>
      <c r="JC21" s="1114">
        <v>1.05E12</v>
      </c>
      <c r="JD21" s="1113">
        <v>35.329166666666666</v>
      </c>
      <c r="JE21" s="1114">
        <v>1.05E12</v>
      </c>
      <c r="JF21" s="1113">
        <v>35.329166666666666</v>
      </c>
      <c r="JG21" s="1114">
        <v>1.05E12</v>
      </c>
      <c r="JH21" s="1113">
        <v>35.792361111111106</v>
      </c>
      <c r="JI21" s="1114">
        <v>1.63E12</v>
      </c>
      <c r="JJ21" s="1113">
        <v>205.19027777777777</v>
      </c>
      <c r="JK21" s="1115">
        <v>4.75E18</v>
      </c>
      <c r="JL21" s="1113">
        <v>205.19027777777777</v>
      </c>
      <c r="JM21" s="1115">
        <v>4.75E18</v>
      </c>
      <c r="JN21" s="1113">
        <v>205.19027777777777</v>
      </c>
      <c r="JO21" s="1115">
        <v>4.75E18</v>
      </c>
      <c r="JP21" s="1113">
        <v>205.19027777777777</v>
      </c>
      <c r="JQ21" s="1115">
        <v>4.75E18</v>
      </c>
      <c r="JR21" s="1113">
        <v>205.19027777777777</v>
      </c>
      <c r="JS21" s="1115">
        <v>4.75E18</v>
      </c>
      <c r="JT21" s="1113">
        <v>205.19027777777777</v>
      </c>
      <c r="JU21" s="1115">
        <v>4.75E18</v>
      </c>
      <c r="JV21" s="1113">
        <v>51.297222222222224</v>
      </c>
      <c r="JW21" s="1115">
        <v>4.268788542E14</v>
      </c>
      <c r="JX21" s="1169"/>
      <c r="JY21" s="1167"/>
      <c r="JZ21" s="1116">
        <v>2.210486111</v>
      </c>
      <c r="KA21" s="1120">
        <v>4.9E9</v>
      </c>
      <c r="KB21" s="1116">
        <v>2.848032407</v>
      </c>
      <c r="KC21" s="1120">
        <v>1.75E10</v>
      </c>
      <c r="KD21" s="1116">
        <v>10.98394676</v>
      </c>
      <c r="KE21" s="1120">
        <v>1.04E12</v>
      </c>
      <c r="KF21" s="1116">
        <v>10.98394676</v>
      </c>
      <c r="KG21" s="1120">
        <v>1.04E12</v>
      </c>
      <c r="KH21" s="1169"/>
      <c r="KI21" s="1167"/>
      <c r="KJ21" s="1133"/>
      <c r="KK21" s="1133"/>
      <c r="KL21" s="1133"/>
      <c r="KM21" s="1133"/>
      <c r="KN21" s="1133"/>
      <c r="KO21" s="1133"/>
      <c r="KP21" s="1133"/>
      <c r="KQ21" s="1133"/>
      <c r="KR21" s="1133"/>
      <c r="KS21" s="1133"/>
      <c r="KT21" s="1133"/>
      <c r="KU21" s="1133"/>
      <c r="KV21" s="1131">
        <v>205.19027777777777</v>
      </c>
      <c r="KW21" s="1132">
        <v>4.75E18</v>
      </c>
      <c r="KX21" s="1131">
        <v>205.19027777777777</v>
      </c>
      <c r="KY21" s="1132">
        <v>4.75E18</v>
      </c>
      <c r="KZ21" s="1131">
        <v>205.19027777777777</v>
      </c>
      <c r="LA21" s="1132">
        <v>4.75E18</v>
      </c>
      <c r="LB21" s="1131">
        <v>205.19027777777777</v>
      </c>
      <c r="LC21" s="1132">
        <v>4.75E18</v>
      </c>
      <c r="LD21" s="1131">
        <v>205.19027777777777</v>
      </c>
      <c r="LE21" s="1132">
        <v>4.75E18</v>
      </c>
      <c r="LF21" s="1131">
        <v>205.19027777777777</v>
      </c>
      <c r="LG21" s="1132">
        <v>4.75E18</v>
      </c>
      <c r="LH21" s="1131">
        <v>205.19027777777777</v>
      </c>
      <c r="LI21" s="1132">
        <v>4.75E18</v>
      </c>
      <c r="LJ21" s="1131">
        <v>205.19027777777777</v>
      </c>
      <c r="LK21" s="1132">
        <v>4.75E18</v>
      </c>
      <c r="LL21" s="1133"/>
      <c r="LM21" s="1133"/>
      <c r="LN21" s="1122">
        <v>256.48819444444445</v>
      </c>
      <c r="LO21" s="1101">
        <v>3.800000000000001E18</v>
      </c>
      <c r="LP21" s="1122">
        <v>256.48819444444445</v>
      </c>
      <c r="LQ21" s="1101">
        <v>3.800000000000001E18</v>
      </c>
      <c r="LR21" s="1122">
        <v>256.48819444444445</v>
      </c>
      <c r="LS21" s="1101">
        <v>3.800000000000001E18</v>
      </c>
      <c r="LT21" s="1122">
        <v>256.48819444444445</v>
      </c>
      <c r="LU21" s="1101">
        <v>3.800000000000001E18</v>
      </c>
      <c r="LV21" s="1122">
        <v>256.48819444444445</v>
      </c>
      <c r="LW21" s="1101">
        <v>3.800000000000001E18</v>
      </c>
      <c r="LX21" s="1122">
        <v>307.7861111111111</v>
      </c>
      <c r="LY21" s="1123">
        <v>9.5E18</v>
      </c>
      <c r="LZ21" s="1122">
        <v>307.7861111111111</v>
      </c>
      <c r="MA21" s="1123">
        <v>9.5E18</v>
      </c>
      <c r="MB21" s="1122">
        <v>307.7861111111111</v>
      </c>
      <c r="MC21" s="1123">
        <v>9.5E18</v>
      </c>
      <c r="MD21" s="1122">
        <v>307.7861111111111</v>
      </c>
      <c r="ME21" s="1123">
        <v>9.5E18</v>
      </c>
      <c r="MF21" s="1133"/>
      <c r="MG21" s="1133"/>
      <c r="MH21" s="1133"/>
      <c r="MI21" s="1133"/>
      <c r="MJ21" s="1133"/>
      <c r="MK21" s="1133"/>
      <c r="ML21" s="1133"/>
      <c r="MM21" s="1133"/>
      <c r="MN21" s="1133"/>
      <c r="MO21" s="1133"/>
      <c r="MP21" s="1133"/>
      <c r="MQ21" s="1133"/>
      <c r="MR21" s="1133"/>
      <c r="MS21" s="1133"/>
      <c r="MT21" s="1133"/>
      <c r="MU21" s="1133"/>
      <c r="MV21" s="1133"/>
      <c r="MW21" s="1133"/>
      <c r="MX21" s="1133"/>
      <c r="MY21" s="1133"/>
    </row>
    <row r="22">
      <c r="A22" s="1071">
        <v>20.0</v>
      </c>
      <c r="B22" s="1140"/>
      <c r="C22" s="1141"/>
      <c r="D22" s="1077">
        <v>1.0152777777777777</v>
      </c>
      <c r="E22" s="1078">
        <v>46540.0</v>
      </c>
      <c r="F22" s="1077">
        <v>1.0152777777777777</v>
      </c>
      <c r="G22" s="1142">
        <v>46540.0</v>
      </c>
      <c r="H22" s="1077">
        <v>1.0152777777777777</v>
      </c>
      <c r="I22" s="1078">
        <v>46540.0</v>
      </c>
      <c r="J22" s="1077">
        <v>1.0152777777777777</v>
      </c>
      <c r="K22" s="1078">
        <v>46540.0</v>
      </c>
      <c r="L22" s="1077">
        <v>1.5868055555555556</v>
      </c>
      <c r="M22" s="1143">
        <v>113450.0</v>
      </c>
      <c r="N22" s="1144">
        <v>1.15</v>
      </c>
      <c r="O22" s="1078">
        <v>120310.0</v>
      </c>
      <c r="P22" s="1140"/>
      <c r="Q22" s="1141"/>
      <c r="R22" s="1140"/>
      <c r="S22" s="1141"/>
      <c r="T22" s="1140"/>
      <c r="U22" s="1141"/>
      <c r="V22" s="1140"/>
      <c r="W22" s="1141"/>
      <c r="X22" s="1140"/>
      <c r="Y22" s="1141"/>
      <c r="Z22" s="1140"/>
      <c r="AA22" s="1141"/>
      <c r="AB22" s="1140"/>
      <c r="AC22" s="1141"/>
      <c r="AD22" s="1077">
        <v>21.59861111111111</v>
      </c>
      <c r="AE22" s="1145">
        <v>1.46192029E11</v>
      </c>
      <c r="AF22" s="1077">
        <v>21.59861111111111</v>
      </c>
      <c r="AG22" s="1145">
        <v>1.46192029E11</v>
      </c>
      <c r="AH22" s="1077">
        <v>21.59861111111111</v>
      </c>
      <c r="AI22" s="1145">
        <v>1.46192029E11</v>
      </c>
      <c r="AJ22" s="1146">
        <v>1.0152777777777777</v>
      </c>
      <c r="AK22" s="1147">
        <v>46540.0</v>
      </c>
      <c r="AL22" s="1146">
        <v>1.0152777777777777</v>
      </c>
      <c r="AM22" s="1147">
        <v>46540.0</v>
      </c>
      <c r="AN22" s="1146">
        <v>1.0152777777777777</v>
      </c>
      <c r="AO22" s="1147">
        <v>46540.0</v>
      </c>
      <c r="AP22" s="1146">
        <v>1.0152777777777777</v>
      </c>
      <c r="AQ22" s="1147">
        <v>46540.0</v>
      </c>
      <c r="AR22" s="1146">
        <v>1.0152777777777777</v>
      </c>
      <c r="AS22" s="1147">
        <v>46550.0</v>
      </c>
      <c r="AT22" s="1081">
        <v>202.41319444444446</v>
      </c>
      <c r="AU22" s="1082">
        <v>1.03E9</v>
      </c>
      <c r="AV22" s="1081">
        <v>117.73680555555555</v>
      </c>
      <c r="AW22" s="1082">
        <v>1.03E9</v>
      </c>
      <c r="AX22" s="1146">
        <v>14.994444444444445</v>
      </c>
      <c r="AY22" s="1147">
        <v>9.9616E11</v>
      </c>
      <c r="AZ22" s="1140"/>
      <c r="BA22" s="1140"/>
      <c r="BB22" s="1085">
        <v>1.0152777777777777</v>
      </c>
      <c r="BC22" s="1086">
        <v>46540.0</v>
      </c>
      <c r="BD22" s="1085">
        <v>1.0152777777777777</v>
      </c>
      <c r="BE22" s="1086">
        <v>46540.0</v>
      </c>
      <c r="BF22" s="1085">
        <v>1.0152777777777777</v>
      </c>
      <c r="BG22" s="1086">
        <v>46540.0</v>
      </c>
      <c r="BH22" s="1085">
        <v>14.143055555555556</v>
      </c>
      <c r="BI22" s="1086">
        <v>1.3035E8</v>
      </c>
      <c r="BJ22" s="1085">
        <v>19.42361111111111</v>
      </c>
      <c r="BK22" s="1086">
        <v>8.7476E8</v>
      </c>
      <c r="BL22" s="1085">
        <v>26.930555555555557</v>
      </c>
      <c r="BM22" s="1086">
        <v>3.15E9</v>
      </c>
      <c r="BN22" s="1085">
        <v>26.930555555555557</v>
      </c>
      <c r="BO22" s="1086">
        <v>3.15E9</v>
      </c>
      <c r="BP22" s="1085">
        <v>40.86736111111111</v>
      </c>
      <c r="BQ22" s="1086">
        <v>3.15E9</v>
      </c>
      <c r="BR22" s="1148"/>
      <c r="BS22" s="1141"/>
      <c r="BT22" s="1085">
        <v>1.2249999999999999</v>
      </c>
      <c r="BU22" s="1086">
        <v>6.46E9</v>
      </c>
      <c r="BV22" s="1085">
        <v>41.890972222222224</v>
      </c>
      <c r="BW22" s="1086">
        <v>2.633E10</v>
      </c>
      <c r="BX22" s="1085">
        <v>69.08244212962963</v>
      </c>
      <c r="BY22" s="1086">
        <v>1.4503E11</v>
      </c>
      <c r="BZ22" s="1085">
        <v>263.15694444444443</v>
      </c>
      <c r="CA22" s="1086">
        <v>2.0203E11</v>
      </c>
      <c r="CB22" s="1148"/>
      <c r="CC22" s="1141"/>
      <c r="CD22" s="1083">
        <v>6.591284722222222</v>
      </c>
      <c r="CE22" s="1087">
        <v>6.4333E11</v>
      </c>
      <c r="CF22" s="1157"/>
      <c r="CG22" s="1171"/>
      <c r="CH22" s="1090">
        <v>1.0152777777777777</v>
      </c>
      <c r="CI22" s="1091">
        <v>46550.0</v>
      </c>
      <c r="CJ22" s="1090">
        <v>1.0152777777777777</v>
      </c>
      <c r="CK22" s="1091">
        <v>46550.0</v>
      </c>
      <c r="CL22" s="1090">
        <v>1.0152777777777777</v>
      </c>
      <c r="CM22" s="1091">
        <v>46550.0</v>
      </c>
      <c r="CN22" s="1090">
        <v>1.0152777777777777</v>
      </c>
      <c r="CO22" s="1091">
        <v>46550.0</v>
      </c>
      <c r="CP22" s="1090">
        <v>1.8215277777777776</v>
      </c>
      <c r="CQ22" s="1091">
        <v>120320.0</v>
      </c>
      <c r="CR22" s="1140"/>
      <c r="CS22" s="1141"/>
      <c r="CT22" s="1148"/>
      <c r="CU22" s="1141"/>
      <c r="CV22" s="1090">
        <v>41.42777777777778</v>
      </c>
      <c r="CW22" s="1091">
        <v>4.766E11</v>
      </c>
      <c r="CX22" s="1090">
        <v>41.42777777777778</v>
      </c>
      <c r="CY22" s="1091">
        <v>4.766E11</v>
      </c>
      <c r="CZ22" s="1090">
        <v>41.42777777777778</v>
      </c>
      <c r="DA22" s="1091">
        <v>4.766E11</v>
      </c>
      <c r="DB22" s="1090">
        <v>17.304861111111112</v>
      </c>
      <c r="DC22" s="1091">
        <v>1.5229E11</v>
      </c>
      <c r="DD22" s="1090">
        <v>17.304861111111112</v>
      </c>
      <c r="DE22" s="1091">
        <v>1.5229E11</v>
      </c>
      <c r="DF22" s="1149">
        <v>27.694444444444443</v>
      </c>
      <c r="DG22" s="1150">
        <v>3.15E9</v>
      </c>
      <c r="DH22" s="1140"/>
      <c r="DI22" s="1141"/>
      <c r="DJ22" s="1149">
        <v>28.48125</v>
      </c>
      <c r="DK22" s="1150">
        <v>3.15E9</v>
      </c>
      <c r="DL22" s="1149">
        <v>27.694444444444443</v>
      </c>
      <c r="DM22" s="1150">
        <v>3.15E9</v>
      </c>
      <c r="DN22" s="1140"/>
      <c r="DO22" s="1141"/>
      <c r="DP22" s="1149">
        <v>27.694444444444443</v>
      </c>
      <c r="DQ22" s="1150">
        <v>3.15E9</v>
      </c>
      <c r="DR22" s="1149">
        <v>27.694444444444443</v>
      </c>
      <c r="DS22" s="1150">
        <v>3.15E9</v>
      </c>
      <c r="DT22" s="1140"/>
      <c r="DU22" s="1141"/>
      <c r="DV22" s="1149">
        <v>27.694444444444443</v>
      </c>
      <c r="DW22" s="1150">
        <v>3.15E9</v>
      </c>
      <c r="DX22" s="1149">
        <v>27.694444444444443</v>
      </c>
      <c r="DY22" s="1150">
        <v>3.15E9</v>
      </c>
      <c r="DZ22" s="1149">
        <v>32.486111111111114</v>
      </c>
      <c r="EA22" s="1150">
        <v>8.84E9</v>
      </c>
      <c r="EB22" s="1149">
        <v>32.486111111111114</v>
      </c>
      <c r="EC22" s="1150">
        <v>8.84E9</v>
      </c>
      <c r="ED22" s="1140"/>
      <c r="EE22" s="1141"/>
      <c r="EF22" s="1149">
        <v>31.65277777777778</v>
      </c>
      <c r="EG22" s="1150">
        <v>8.84E9</v>
      </c>
      <c r="EH22" s="1140"/>
      <c r="EI22" s="1141"/>
      <c r="EJ22" s="1092">
        <v>11.34431712962963</v>
      </c>
      <c r="EK22" s="1093">
        <v>6.0468E8</v>
      </c>
      <c r="EL22" s="1092">
        <v>31.653206018518517</v>
      </c>
      <c r="EM22" s="1093">
        <v>8.84E9</v>
      </c>
      <c r="EN22" s="1149">
        <v>31.65277777777778</v>
      </c>
      <c r="EO22" s="1150">
        <v>8.84E9</v>
      </c>
      <c r="EP22" s="1149">
        <v>31.65277777777778</v>
      </c>
      <c r="EQ22" s="1150">
        <v>8.84E9</v>
      </c>
      <c r="ER22" s="1149">
        <v>31.65277777777778</v>
      </c>
      <c r="ES22" s="1150">
        <v>8.84E9</v>
      </c>
      <c r="ET22" s="1149">
        <v>31.65277777777778</v>
      </c>
      <c r="EU22" s="1150">
        <v>8.84E9</v>
      </c>
      <c r="EV22" s="1140"/>
      <c r="EW22" s="1141"/>
      <c r="EX22" s="1140"/>
      <c r="EY22" s="1141"/>
      <c r="EZ22" s="1140"/>
      <c r="FA22" s="1141"/>
      <c r="FB22" s="1148"/>
      <c r="FC22" s="1141"/>
      <c r="FD22" s="1148"/>
      <c r="FE22" s="1141"/>
      <c r="FF22" s="1149">
        <v>32.486111111111114</v>
      </c>
      <c r="FG22" s="1153">
        <v>2.48E10</v>
      </c>
      <c r="FH22" s="1149">
        <v>32.486111111111114</v>
      </c>
      <c r="FI22" s="1153">
        <v>2.48E10</v>
      </c>
      <c r="FJ22" s="1148"/>
      <c r="FK22" s="1141"/>
      <c r="FL22" s="1140"/>
      <c r="FM22" s="1141"/>
      <c r="FN22" s="1152"/>
      <c r="FO22" s="1148"/>
      <c r="FP22" s="1149">
        <v>71.77300925925925</v>
      </c>
      <c r="FQ22" s="1153">
        <v>2.2168E14</v>
      </c>
      <c r="FR22" s="1152"/>
      <c r="FS22" s="1148"/>
      <c r="FT22" s="1149">
        <v>71.77300925925925</v>
      </c>
      <c r="FU22" s="1153">
        <v>2.2168E14</v>
      </c>
      <c r="FV22" s="1149">
        <v>71.77300925925925</v>
      </c>
      <c r="FW22" s="1153">
        <v>2.2168E14</v>
      </c>
      <c r="FX22" s="1154">
        <v>27.556851851851853</v>
      </c>
      <c r="FY22" s="1155">
        <v>2.22E12</v>
      </c>
      <c r="FZ22" s="1154">
        <v>71.77300925925925</v>
      </c>
      <c r="GA22" s="1155">
        <v>2.2168E14</v>
      </c>
      <c r="GB22" s="1157"/>
      <c r="GC22" s="1157"/>
      <c r="GD22" s="1157"/>
      <c r="GE22" s="1171"/>
      <c r="GF22" s="1140"/>
      <c r="GG22" s="1141"/>
      <c r="GH22" s="1102">
        <v>30.86111111111111</v>
      </c>
      <c r="GI22" s="1103">
        <v>2.477E10</v>
      </c>
      <c r="GJ22" s="1140"/>
      <c r="GK22" s="1141"/>
      <c r="GL22" s="1140"/>
      <c r="GM22" s="1141"/>
      <c r="GN22" s="1148"/>
      <c r="GO22" s="1141"/>
      <c r="GP22" s="1102">
        <v>31.02777777777778</v>
      </c>
      <c r="GQ22" s="1134">
        <v>3.826E11</v>
      </c>
      <c r="GR22" s="1140"/>
      <c r="GS22" s="1141"/>
      <c r="GT22" s="1140"/>
      <c r="GU22" s="1141"/>
      <c r="GV22" s="1148"/>
      <c r="GW22" s="1141"/>
      <c r="GX22" s="1156"/>
      <c r="GY22" s="1157"/>
      <c r="GZ22" s="1140"/>
      <c r="HA22" s="1141"/>
      <c r="HB22" s="1158">
        <v>26.930555555555557</v>
      </c>
      <c r="HC22" s="1159">
        <v>4.952E10</v>
      </c>
      <c r="HD22" s="1140"/>
      <c r="HE22" s="1141"/>
      <c r="HF22" s="1158">
        <v>27.37013888888889</v>
      </c>
      <c r="HG22" s="1159">
        <v>7.429E10</v>
      </c>
      <c r="HH22" s="1140"/>
      <c r="HI22" s="1141"/>
      <c r="HJ22" s="1140"/>
      <c r="HK22" s="1141"/>
      <c r="HL22" s="1140"/>
      <c r="HM22" s="1141"/>
      <c r="HN22" s="1148"/>
      <c r="HO22" s="1141"/>
      <c r="HP22" s="1158">
        <v>118.75243055555555</v>
      </c>
      <c r="HQ22" s="1160">
        <v>1.704E10</v>
      </c>
      <c r="HR22" s="1161">
        <v>40.733333333333334</v>
      </c>
      <c r="HS22" s="1162">
        <v>1.244E11</v>
      </c>
      <c r="HT22" s="1161">
        <v>40.733333333333334</v>
      </c>
      <c r="HU22" s="1162">
        <v>1.244E11</v>
      </c>
      <c r="HV22" s="1161">
        <v>40.733333333333334</v>
      </c>
      <c r="HW22" s="1162">
        <v>1.244E11</v>
      </c>
      <c r="HX22" s="1163">
        <v>40.733333333333334</v>
      </c>
      <c r="HY22" s="1162">
        <v>1.244E11</v>
      </c>
      <c r="HZ22" s="1140"/>
      <c r="IA22" s="1141"/>
      <c r="IB22" s="1163">
        <v>118.5980324074074</v>
      </c>
      <c r="IC22" s="1162">
        <v>2.2168E14</v>
      </c>
      <c r="ID22" s="1163">
        <v>118.5980324074074</v>
      </c>
      <c r="IE22" s="1162">
        <v>2.2168E14</v>
      </c>
      <c r="IF22" s="1163">
        <v>118.5980324074074</v>
      </c>
      <c r="IG22" s="1162">
        <v>2.2168E14</v>
      </c>
      <c r="IH22" s="1113">
        <v>41.42777777777778</v>
      </c>
      <c r="II22" s="1114">
        <v>7.616E11</v>
      </c>
      <c r="IJ22" s="1113">
        <v>41.42777777777778</v>
      </c>
      <c r="IK22" s="1114">
        <v>7.616E11</v>
      </c>
      <c r="IL22" s="1113">
        <v>41.42777777777778</v>
      </c>
      <c r="IM22" s="1114">
        <v>9.616E11</v>
      </c>
      <c r="IN22" s="1113">
        <v>41.42777777777778</v>
      </c>
      <c r="IO22" s="1114">
        <v>9.616E11</v>
      </c>
      <c r="IP22" s="1113">
        <v>41.890972222222224</v>
      </c>
      <c r="IQ22" s="1114">
        <v>1.56E12</v>
      </c>
      <c r="IR22" s="1113">
        <v>41.42777777777778</v>
      </c>
      <c r="IS22" s="1114">
        <v>9.616E11</v>
      </c>
      <c r="IT22" s="1113">
        <v>41.42777777777778</v>
      </c>
      <c r="IU22" s="1114">
        <v>9.616E11</v>
      </c>
      <c r="IV22" s="1113">
        <v>41.42777777777778</v>
      </c>
      <c r="IW22" s="1114">
        <v>9.616E11</v>
      </c>
      <c r="IX22" s="1113">
        <v>41.42777777777778</v>
      </c>
      <c r="IY22" s="1114">
        <v>9.616E11</v>
      </c>
      <c r="IZ22" s="1113">
        <v>41.42777777777778</v>
      </c>
      <c r="JA22" s="1114">
        <v>1.16E12</v>
      </c>
      <c r="JB22" s="1113">
        <v>41.42777777777778</v>
      </c>
      <c r="JC22" s="1114">
        <v>1.16E12</v>
      </c>
      <c r="JD22" s="1113">
        <v>41.42777777777778</v>
      </c>
      <c r="JE22" s="1114">
        <v>1.16E12</v>
      </c>
      <c r="JF22" s="1113">
        <v>41.42777777777778</v>
      </c>
      <c r="JG22" s="1114">
        <v>1.16E12</v>
      </c>
      <c r="JH22" s="1113">
        <v>41.890972222222224</v>
      </c>
      <c r="JI22" s="1114">
        <v>1.77E12</v>
      </c>
      <c r="JJ22" s="1113">
        <v>215.99027777777778</v>
      </c>
      <c r="JK22" s="1115">
        <v>5.0E18</v>
      </c>
      <c r="JL22" s="1113">
        <v>215.99027777777778</v>
      </c>
      <c r="JM22" s="1115">
        <v>5.0E18</v>
      </c>
      <c r="JN22" s="1113">
        <v>215.99027777777778</v>
      </c>
      <c r="JO22" s="1115">
        <v>5.0E18</v>
      </c>
      <c r="JP22" s="1113">
        <v>215.99027777777778</v>
      </c>
      <c r="JQ22" s="1115">
        <v>5.0E18</v>
      </c>
      <c r="JR22" s="1113">
        <v>215.99027777777778</v>
      </c>
      <c r="JS22" s="1115">
        <v>5.0E18</v>
      </c>
      <c r="JT22" s="1113">
        <v>215.99027777777778</v>
      </c>
      <c r="JU22" s="1115">
        <v>5.0E18</v>
      </c>
      <c r="JV22" s="1113">
        <v>53.99722222222222</v>
      </c>
      <c r="JW22" s="1115">
        <v>5.976303959E14</v>
      </c>
      <c r="JX22" s="1172"/>
      <c r="JY22" s="1171"/>
      <c r="JZ22" s="1116">
        <v>2.266481481</v>
      </c>
      <c r="KA22" s="1120">
        <v>5.67E9</v>
      </c>
      <c r="KB22" s="1116">
        <v>2.998321759</v>
      </c>
      <c r="KC22" s="1120">
        <v>2.058E10</v>
      </c>
      <c r="KD22" s="1116">
        <v>11.59079861</v>
      </c>
      <c r="KE22" s="1120">
        <v>1.24E12</v>
      </c>
      <c r="KF22" s="1116">
        <v>11.59079861</v>
      </c>
      <c r="KG22" s="1120">
        <v>1.24E12</v>
      </c>
      <c r="KH22" s="1172"/>
      <c r="KI22" s="1171"/>
      <c r="KJ22" s="1133"/>
      <c r="KK22" s="1133"/>
      <c r="KL22" s="1133"/>
      <c r="KM22" s="1133"/>
      <c r="KN22" s="1133"/>
      <c r="KO22" s="1133"/>
      <c r="KP22" s="1133"/>
      <c r="KQ22" s="1133"/>
      <c r="KR22" s="1133"/>
      <c r="KS22" s="1133"/>
      <c r="KT22" s="1133"/>
      <c r="KU22" s="1133"/>
      <c r="KV22" s="1164">
        <v>215.99027777777778</v>
      </c>
      <c r="KW22" s="1165">
        <v>5.0E18</v>
      </c>
      <c r="KX22" s="1164">
        <v>215.99027777777778</v>
      </c>
      <c r="KY22" s="1165">
        <v>5.0E18</v>
      </c>
      <c r="KZ22" s="1164">
        <v>215.99027777777778</v>
      </c>
      <c r="LA22" s="1165">
        <v>5.0E18</v>
      </c>
      <c r="LB22" s="1164">
        <v>215.99027777777778</v>
      </c>
      <c r="LC22" s="1165">
        <v>5.0E18</v>
      </c>
      <c r="LD22" s="1164">
        <v>215.99027777777778</v>
      </c>
      <c r="LE22" s="1165">
        <v>5.0E18</v>
      </c>
      <c r="LF22" s="1164">
        <v>215.99027777777778</v>
      </c>
      <c r="LG22" s="1165">
        <v>5.0E18</v>
      </c>
      <c r="LH22" s="1164">
        <v>215.99027777777778</v>
      </c>
      <c r="LI22" s="1165">
        <v>5.0E18</v>
      </c>
      <c r="LJ22" s="1164">
        <v>215.99027777777778</v>
      </c>
      <c r="LK22" s="1165">
        <v>5.0E18</v>
      </c>
      <c r="LL22" s="1133"/>
      <c r="LM22" s="1133"/>
      <c r="LN22" s="1104">
        <v>269.9875</v>
      </c>
      <c r="LO22" s="1103">
        <v>4.000000000000001E18</v>
      </c>
      <c r="LP22" s="1104">
        <v>269.9875</v>
      </c>
      <c r="LQ22" s="1103">
        <v>4.000000000000001E18</v>
      </c>
      <c r="LR22" s="1104">
        <v>269.9875</v>
      </c>
      <c r="LS22" s="1103">
        <v>4.000000000000001E18</v>
      </c>
      <c r="LT22" s="1104">
        <v>269.9875</v>
      </c>
      <c r="LU22" s="1103">
        <v>4.000000000000001E18</v>
      </c>
      <c r="LV22" s="1104">
        <v>269.9875</v>
      </c>
      <c r="LW22" s="1103">
        <v>4.000000000000001E18</v>
      </c>
      <c r="LX22" s="1104">
        <v>323.98541666666665</v>
      </c>
      <c r="LY22" s="1166">
        <v>1.0E19</v>
      </c>
      <c r="LZ22" s="1104">
        <v>323.98541666666665</v>
      </c>
      <c r="MA22" s="1166">
        <v>1.0E19</v>
      </c>
      <c r="MB22" s="1104">
        <v>323.98541666666665</v>
      </c>
      <c r="MC22" s="1166">
        <v>1.0E19</v>
      </c>
      <c r="MD22" s="1104">
        <v>323.98541666666665</v>
      </c>
      <c r="ME22" s="1166">
        <v>1.0E19</v>
      </c>
      <c r="MF22" s="1133"/>
      <c r="MG22" s="1133"/>
      <c r="MH22" s="1133"/>
      <c r="MI22" s="1133"/>
      <c r="MJ22" s="1133"/>
      <c r="MK22" s="1133"/>
      <c r="ML22" s="1133"/>
      <c r="MM22" s="1133"/>
      <c r="MN22" s="1133"/>
      <c r="MO22" s="1133"/>
      <c r="MP22" s="1133"/>
      <c r="MQ22" s="1133"/>
      <c r="MR22" s="1133"/>
      <c r="MS22" s="1133"/>
      <c r="MT22" s="1133"/>
      <c r="MU22" s="1133"/>
      <c r="MV22" s="1133"/>
      <c r="MW22" s="1133"/>
      <c r="MX22" s="1133"/>
      <c r="MY22" s="1133"/>
    </row>
    <row r="23">
      <c r="A23" s="1071">
        <v>21.0</v>
      </c>
      <c r="B23" s="1124"/>
      <c r="C23" s="1126"/>
      <c r="D23" s="1072">
        <v>1.1430555555555555</v>
      </c>
      <c r="E23" s="1073">
        <v>53530.0</v>
      </c>
      <c r="F23" s="1072">
        <v>1.1430555555555555</v>
      </c>
      <c r="G23" s="1073">
        <v>53530.0</v>
      </c>
      <c r="H23" s="1072">
        <v>1.1430555555555555</v>
      </c>
      <c r="I23" s="1073">
        <v>53530.0</v>
      </c>
      <c r="J23" s="1072">
        <v>1.1430555555555555</v>
      </c>
      <c r="K23" s="1073">
        <v>53530.0</v>
      </c>
      <c r="L23" s="1072">
        <v>1.7993055555555555</v>
      </c>
      <c r="M23" s="1075">
        <v>132510.0</v>
      </c>
      <c r="N23" s="1076">
        <v>1.2847222222222223</v>
      </c>
      <c r="O23" s="1073">
        <v>140970.0</v>
      </c>
      <c r="P23" s="1124"/>
      <c r="Q23" s="1125"/>
      <c r="R23" s="1124"/>
      <c r="S23" s="1125"/>
      <c r="T23" s="1124"/>
      <c r="U23" s="1125"/>
      <c r="V23" s="1124"/>
      <c r="W23" s="1125"/>
      <c r="X23" s="1124"/>
      <c r="Y23" s="1125"/>
      <c r="Z23" s="1124"/>
      <c r="AA23" s="1125"/>
      <c r="AB23" s="1124"/>
      <c r="AC23" s="1125"/>
      <c r="AD23" s="1072">
        <v>22.678472222222222</v>
      </c>
      <c r="AE23" s="1080">
        <v>1.900496377E11</v>
      </c>
      <c r="AF23" s="1072">
        <v>22.678472222222222</v>
      </c>
      <c r="AG23" s="1080">
        <v>1.900496377E11</v>
      </c>
      <c r="AH23" s="1072">
        <v>22.678472222222222</v>
      </c>
      <c r="AI23" s="1080">
        <v>1.900496377E11</v>
      </c>
      <c r="AJ23" s="1081">
        <v>1.1430555555555555</v>
      </c>
      <c r="AK23" s="1082">
        <v>53530.0</v>
      </c>
      <c r="AL23" s="1081">
        <v>1.1430555555555555</v>
      </c>
      <c r="AM23" s="1082">
        <v>53530.0</v>
      </c>
      <c r="AN23" s="1081">
        <v>1.1430555555555555</v>
      </c>
      <c r="AO23" s="1082">
        <v>53530.0</v>
      </c>
      <c r="AP23" s="1081">
        <v>1.1430555555555555</v>
      </c>
      <c r="AQ23" s="1082">
        <v>53530.0</v>
      </c>
      <c r="AR23" s="1081">
        <v>1.14375</v>
      </c>
      <c r="AS23" s="1082">
        <v>53540.0</v>
      </c>
      <c r="AT23" s="1081">
        <v>248.72986111111112</v>
      </c>
      <c r="AU23" s="1082">
        <v>1.31E9</v>
      </c>
      <c r="AV23" s="1081">
        <v>142.36041666666668</v>
      </c>
      <c r="AW23" s="1082">
        <v>1.31E9</v>
      </c>
      <c r="AX23" s="1081">
        <v>15.636111111111111</v>
      </c>
      <c r="AY23" s="1082">
        <v>1.04E12</v>
      </c>
      <c r="AZ23" s="1124"/>
      <c r="BA23" s="1124"/>
      <c r="BB23" s="1083">
        <v>1.1430555555555555</v>
      </c>
      <c r="BC23" s="1084">
        <v>53530.0</v>
      </c>
      <c r="BD23" s="1083">
        <v>1.1430555555555555</v>
      </c>
      <c r="BE23" s="1084">
        <v>53530.0</v>
      </c>
      <c r="BF23" s="1083">
        <v>1.1430555555555555</v>
      </c>
      <c r="BG23" s="1084">
        <v>53530.0</v>
      </c>
      <c r="BH23" s="1083">
        <v>16.656944444444445</v>
      </c>
      <c r="BI23" s="1084">
        <v>1.6004E8</v>
      </c>
      <c r="BJ23" s="1124"/>
      <c r="BK23" s="1125"/>
      <c r="BL23" s="1124"/>
      <c r="BM23" s="1125"/>
      <c r="BN23" s="1083">
        <v>31.832638888888887</v>
      </c>
      <c r="BO23" s="1084">
        <v>3.93E9</v>
      </c>
      <c r="BP23" s="1124"/>
      <c r="BQ23" s="1125"/>
      <c r="BR23" s="1126"/>
      <c r="BS23" s="1125"/>
      <c r="BT23" s="1085">
        <v>1.3513888888888888</v>
      </c>
      <c r="BU23" s="1086">
        <v>6.97E9</v>
      </c>
      <c r="BV23" s="1126"/>
      <c r="BW23" s="1126"/>
      <c r="BX23" s="1085">
        <v>79.44481481481482</v>
      </c>
      <c r="BY23" s="1086">
        <v>1.5197E11</v>
      </c>
      <c r="BZ23" s="1126"/>
      <c r="CA23" s="1126"/>
      <c r="CB23" s="1126"/>
      <c r="CC23" s="1125"/>
      <c r="CD23" s="1083">
        <v>7.036689814814815</v>
      </c>
      <c r="CE23" s="1087">
        <v>7.004E11</v>
      </c>
      <c r="CF23" s="1133"/>
      <c r="CG23" s="1167"/>
      <c r="CH23" s="1088">
        <v>1.14375</v>
      </c>
      <c r="CI23" s="1089">
        <v>53540.0</v>
      </c>
      <c r="CJ23" s="1088">
        <v>1.14375</v>
      </c>
      <c r="CK23" s="1089">
        <v>53540.0</v>
      </c>
      <c r="CL23" s="1088">
        <v>1.14375</v>
      </c>
      <c r="CM23" s="1089">
        <v>53540.0</v>
      </c>
      <c r="CN23" s="1088">
        <v>1.14375</v>
      </c>
      <c r="CO23" s="1089">
        <v>53540.0</v>
      </c>
      <c r="CP23" s="1088">
        <v>2.0715277777777774</v>
      </c>
      <c r="CQ23" s="1089">
        <v>140980.0</v>
      </c>
      <c r="CR23" s="1124"/>
      <c r="CS23" s="1125"/>
      <c r="CT23" s="1126"/>
      <c r="CU23" s="1125"/>
      <c r="CV23" s="1126"/>
      <c r="CW23" s="1125"/>
      <c r="CX23" s="1126"/>
      <c r="CY23" s="1125"/>
      <c r="CZ23" s="1126"/>
      <c r="DA23" s="1126"/>
      <c r="DB23" s="1126"/>
      <c r="DC23" s="1126"/>
      <c r="DD23" s="1126"/>
      <c r="DE23" s="1125"/>
      <c r="DF23" s="1126"/>
      <c r="DG23" s="1125"/>
      <c r="DH23" s="1124"/>
      <c r="DI23" s="1125"/>
      <c r="DJ23" s="1126"/>
      <c r="DK23" s="1125"/>
      <c r="DL23" s="1092">
        <v>32.59652777777778</v>
      </c>
      <c r="DM23" s="1093">
        <v>3.93E9</v>
      </c>
      <c r="DN23" s="1124"/>
      <c r="DO23" s="1125"/>
      <c r="DP23" s="1092">
        <v>32.59652777777778</v>
      </c>
      <c r="DQ23" s="1093">
        <v>3.93E9</v>
      </c>
      <c r="DR23" s="1092">
        <v>32.59652777777778</v>
      </c>
      <c r="DS23" s="1093">
        <v>3.93E9</v>
      </c>
      <c r="DT23" s="1124"/>
      <c r="DU23" s="1125"/>
      <c r="DV23" s="1092">
        <v>32.59652777777778</v>
      </c>
      <c r="DW23" s="1093">
        <v>3.93E9</v>
      </c>
      <c r="DX23" s="1092">
        <v>32.59652777777778</v>
      </c>
      <c r="DY23" s="1093">
        <v>3.93E9</v>
      </c>
      <c r="DZ23" s="1092">
        <v>37.59652777777778</v>
      </c>
      <c r="EA23" s="1093">
        <v>1.122E10</v>
      </c>
      <c r="EB23" s="1124"/>
      <c r="EC23" s="1125"/>
      <c r="ED23" s="1124"/>
      <c r="EE23" s="1125"/>
      <c r="EF23" s="1092">
        <v>36.763194444444444</v>
      </c>
      <c r="EG23" s="1093">
        <v>1.122E10</v>
      </c>
      <c r="EH23" s="1124"/>
      <c r="EI23" s="1125"/>
      <c r="EJ23" s="1092">
        <v>11.865960648148148</v>
      </c>
      <c r="EK23" s="1093">
        <v>6.6377E8</v>
      </c>
      <c r="EL23" s="1169"/>
      <c r="EM23" s="1167"/>
      <c r="EN23" s="1124"/>
      <c r="EO23" s="1125"/>
      <c r="EP23" s="1124"/>
      <c r="EQ23" s="1125"/>
      <c r="ER23" s="1124"/>
      <c r="ES23" s="1125"/>
      <c r="ET23" s="1092">
        <v>36.763194444444444</v>
      </c>
      <c r="EU23" s="1093">
        <v>1.122E10</v>
      </c>
      <c r="EV23" s="1124"/>
      <c r="EW23" s="1125"/>
      <c r="EX23" s="1124"/>
      <c r="EY23" s="1125"/>
      <c r="EZ23" s="1124"/>
      <c r="FA23" s="1125"/>
      <c r="FB23" s="1126"/>
      <c r="FC23" s="1125"/>
      <c r="FD23" s="1126"/>
      <c r="FE23" s="1125"/>
      <c r="FF23" s="1126"/>
      <c r="FG23" s="1125"/>
      <c r="FH23" s="1126"/>
      <c r="FI23" s="1126"/>
      <c r="FJ23" s="1126"/>
      <c r="FK23" s="1125"/>
      <c r="FL23" s="1124"/>
      <c r="FM23" s="1125"/>
      <c r="FN23" s="1139"/>
      <c r="FO23" s="1126"/>
      <c r="FP23" s="1092">
        <v>80.38577546296297</v>
      </c>
      <c r="FQ23" s="1094">
        <v>3.3253E14</v>
      </c>
      <c r="FR23" s="1139"/>
      <c r="FS23" s="1126"/>
      <c r="FT23" s="1092">
        <v>80.38577546296297</v>
      </c>
      <c r="FU23" s="1094">
        <v>3.3253E14</v>
      </c>
      <c r="FV23" s="1092">
        <v>80.38577546296297</v>
      </c>
      <c r="FW23" s="1094">
        <v>3.3253E14</v>
      </c>
      <c r="FX23" s="1133"/>
      <c r="FY23" s="1133"/>
      <c r="FZ23" s="1097">
        <v>80.38577546296297</v>
      </c>
      <c r="GA23" s="1098">
        <v>3.3253E14</v>
      </c>
      <c r="GB23" s="1133"/>
      <c r="GC23" s="1133"/>
      <c r="GD23" s="1133"/>
      <c r="GE23" s="1167"/>
      <c r="GF23" s="1126"/>
      <c r="GG23" s="1125"/>
      <c r="GH23" s="1100">
        <v>35.97152777777778</v>
      </c>
      <c r="GI23" s="1101">
        <v>3.201E10</v>
      </c>
      <c r="GJ23" s="1124"/>
      <c r="GK23" s="1125"/>
      <c r="GL23" s="1124"/>
      <c r="GM23" s="1125"/>
      <c r="GN23" s="1126"/>
      <c r="GO23" s="1125"/>
      <c r="GP23" s="1102">
        <v>36.138194444444444</v>
      </c>
      <c r="GQ23" s="1134">
        <v>4.6142E11</v>
      </c>
      <c r="GR23" s="1124"/>
      <c r="GS23" s="1125"/>
      <c r="GT23" s="1124"/>
      <c r="GU23" s="1125"/>
      <c r="GV23" s="1126"/>
      <c r="GW23" s="1125"/>
      <c r="GX23" s="1168"/>
      <c r="GY23" s="1133"/>
      <c r="GZ23" s="1124"/>
      <c r="HA23" s="1125"/>
      <c r="HB23" s="1107">
        <v>31.832638888888887</v>
      </c>
      <c r="HC23" s="1108">
        <v>6.4E10</v>
      </c>
      <c r="HD23" s="1124"/>
      <c r="HE23" s="1125"/>
      <c r="HF23" s="1107">
        <v>32.295833333333334</v>
      </c>
      <c r="HG23" s="1108">
        <v>9.6E10</v>
      </c>
      <c r="HH23" s="1124"/>
      <c r="HI23" s="1125"/>
      <c r="HJ23" s="1124"/>
      <c r="HK23" s="1125"/>
      <c r="HL23" s="1124"/>
      <c r="HM23" s="1125"/>
      <c r="HN23" s="1126"/>
      <c r="HO23" s="1125"/>
      <c r="HP23" s="1107">
        <v>143.86752314814814</v>
      </c>
      <c r="HQ23" s="1108">
        <v>2.147E10</v>
      </c>
      <c r="HR23" s="1130">
        <v>47.67519675925926</v>
      </c>
      <c r="HS23" s="1129">
        <v>1.6063E11</v>
      </c>
      <c r="HT23" s="1130">
        <v>47.67519675925926</v>
      </c>
      <c r="HU23" s="1129">
        <v>1.6063E11</v>
      </c>
      <c r="HV23" s="1130">
        <v>47.67519675925926</v>
      </c>
      <c r="HW23" s="1129">
        <v>1.6063E11</v>
      </c>
      <c r="HX23" s="1130">
        <v>47.67519675925926</v>
      </c>
      <c r="HY23" s="1129">
        <v>1.6063E11</v>
      </c>
      <c r="HZ23" s="1124"/>
      <c r="IA23" s="1125"/>
      <c r="IB23" s="1124"/>
      <c r="IC23" s="1125"/>
      <c r="ID23" s="1124"/>
      <c r="IE23" s="1125"/>
      <c r="IF23" s="1124"/>
      <c r="IG23" s="1125"/>
      <c r="IH23" s="1113">
        <v>48.36944444444445</v>
      </c>
      <c r="II23" s="1114">
        <v>8.5942E11</v>
      </c>
      <c r="IJ23" s="1113">
        <v>48.36944444444445</v>
      </c>
      <c r="IK23" s="1114">
        <v>8.5942E11</v>
      </c>
      <c r="IL23" s="1113">
        <v>48.36944444444445</v>
      </c>
      <c r="IM23" s="1114">
        <v>1.07E12</v>
      </c>
      <c r="IN23" s="1113">
        <v>48.36944444444445</v>
      </c>
      <c r="IO23" s="1114">
        <v>1.07E12</v>
      </c>
      <c r="IP23" s="1113">
        <v>48.83194444444444</v>
      </c>
      <c r="IQ23" s="1114">
        <v>1.7E12</v>
      </c>
      <c r="IR23" s="1113">
        <v>48.36944444444445</v>
      </c>
      <c r="IS23" s="1114">
        <v>1.07E12</v>
      </c>
      <c r="IT23" s="1113">
        <v>48.36944444444445</v>
      </c>
      <c r="IU23" s="1114">
        <v>1.07E12</v>
      </c>
      <c r="IV23" s="1113">
        <v>48.36944444444445</v>
      </c>
      <c r="IW23" s="1114">
        <v>1.07E12</v>
      </c>
      <c r="IX23" s="1113">
        <v>48.36944444444445</v>
      </c>
      <c r="IY23" s="1114">
        <v>1.07E12</v>
      </c>
      <c r="IZ23" s="1113">
        <v>48.36944444444445</v>
      </c>
      <c r="JA23" s="1114">
        <v>1.28E12</v>
      </c>
      <c r="JB23" s="1113">
        <v>48.36944444444445</v>
      </c>
      <c r="JC23" s="1114">
        <v>1.28E12</v>
      </c>
      <c r="JD23" s="1113">
        <v>48.36944444444445</v>
      </c>
      <c r="JE23" s="1114">
        <v>1.28E12</v>
      </c>
      <c r="JF23" s="1113">
        <v>48.36944444444445</v>
      </c>
      <c r="JG23" s="1114">
        <v>1.28E12</v>
      </c>
      <c r="JH23" s="1124"/>
      <c r="JI23" s="1125"/>
      <c r="JJ23" s="1113">
        <v>226.78958333333333</v>
      </c>
      <c r="JK23" s="1115">
        <v>5.25E18</v>
      </c>
      <c r="JL23" s="1113">
        <v>226.78958333333333</v>
      </c>
      <c r="JM23" s="1115">
        <v>5.25E18</v>
      </c>
      <c r="JN23" s="1113">
        <v>226.78958333333333</v>
      </c>
      <c r="JO23" s="1115">
        <v>5.25E18</v>
      </c>
      <c r="JP23" s="1113">
        <v>226.78958333333333</v>
      </c>
      <c r="JQ23" s="1115">
        <v>5.25E18</v>
      </c>
      <c r="JR23" s="1113">
        <v>226.78958333333333</v>
      </c>
      <c r="JS23" s="1115">
        <v>5.25E18</v>
      </c>
      <c r="JT23" s="1113">
        <v>226.78958333333333</v>
      </c>
      <c r="JU23" s="1115">
        <v>5.25E18</v>
      </c>
      <c r="JV23" s="1113">
        <v>56.69722222222222</v>
      </c>
      <c r="JW23" s="1115">
        <v>8.366825543E14</v>
      </c>
      <c r="JX23" s="1169"/>
      <c r="JY23" s="1133"/>
      <c r="JZ23" s="1173">
        <v>2.323506944</v>
      </c>
      <c r="KA23" s="1120">
        <v>6.51E9</v>
      </c>
      <c r="KB23" s="1173">
        <v>3.157453704</v>
      </c>
      <c r="KC23" s="1174">
        <v>2.4E10</v>
      </c>
      <c r="KD23" s="1173">
        <v>12.24069444</v>
      </c>
      <c r="KE23" s="1120">
        <v>1.46E12</v>
      </c>
      <c r="KF23" s="1173">
        <v>12.24069444</v>
      </c>
      <c r="KG23" s="1120">
        <v>1.46E12</v>
      </c>
      <c r="KH23" s="1133"/>
      <c r="KI23" s="1133"/>
      <c r="KJ23" s="1133"/>
      <c r="KK23" s="1133"/>
      <c r="KL23" s="1133"/>
      <c r="KM23" s="1133"/>
      <c r="KN23" s="1133"/>
      <c r="KO23" s="1133"/>
      <c r="KP23" s="1133"/>
      <c r="KQ23" s="1133"/>
      <c r="KR23" s="1133"/>
      <c r="KS23" s="1133"/>
      <c r="KT23" s="1133"/>
      <c r="KU23" s="1133"/>
      <c r="KV23" s="1118">
        <v>226.78958333333333</v>
      </c>
      <c r="KW23" s="1119">
        <v>5.25E18</v>
      </c>
      <c r="KX23" s="1118">
        <v>226.78958333333333</v>
      </c>
      <c r="KY23" s="1119">
        <v>5.25E18</v>
      </c>
      <c r="KZ23" s="1118">
        <v>226.78958333333333</v>
      </c>
      <c r="LA23" s="1119">
        <v>5.25E18</v>
      </c>
      <c r="LB23" s="1118">
        <v>226.78958333333333</v>
      </c>
      <c r="LC23" s="1119">
        <v>5.25E18</v>
      </c>
      <c r="LD23" s="1118">
        <v>226.78958333333333</v>
      </c>
      <c r="LE23" s="1119">
        <v>5.25E18</v>
      </c>
      <c r="LF23" s="1118">
        <v>226.78958333333333</v>
      </c>
      <c r="LG23" s="1119">
        <v>5.25E18</v>
      </c>
      <c r="LH23" s="1118">
        <v>226.78958333333333</v>
      </c>
      <c r="LI23" s="1119">
        <v>5.25E18</v>
      </c>
      <c r="LJ23" s="1118">
        <v>226.78958333333333</v>
      </c>
      <c r="LK23" s="1119">
        <v>5.25E18</v>
      </c>
      <c r="LL23" s="1133"/>
      <c r="LM23" s="1133"/>
      <c r="LN23" s="1133"/>
      <c r="LO23" s="1133"/>
      <c r="LP23" s="1133"/>
      <c r="LQ23" s="1133"/>
      <c r="LR23" s="1133"/>
      <c r="LS23" s="1133"/>
      <c r="LT23" s="1133"/>
      <c r="LU23" s="1133"/>
      <c r="LV23" s="1133"/>
      <c r="LW23" s="1133"/>
      <c r="LX23" s="1133"/>
      <c r="LY23" s="1133"/>
      <c r="LZ23" s="1133"/>
      <c r="MA23" s="1133"/>
      <c r="MB23" s="1133"/>
      <c r="MC23" s="1133"/>
      <c r="MD23" s="1133"/>
      <c r="ME23" s="1133"/>
      <c r="MF23" s="1133"/>
      <c r="MG23" s="1133"/>
      <c r="MH23" s="1133"/>
      <c r="MI23" s="1133"/>
      <c r="MJ23" s="1133"/>
      <c r="MK23" s="1133"/>
      <c r="ML23" s="1133"/>
      <c r="MM23" s="1133"/>
      <c r="MN23" s="1133"/>
      <c r="MO23" s="1133"/>
      <c r="MP23" s="1133"/>
      <c r="MQ23" s="1133"/>
      <c r="MR23" s="1133"/>
      <c r="MS23" s="1133"/>
      <c r="MT23" s="1133"/>
      <c r="MU23" s="1133"/>
      <c r="MV23" s="1133"/>
      <c r="MW23" s="1133"/>
      <c r="MX23" s="1133"/>
      <c r="MY23" s="1133"/>
    </row>
    <row r="24">
      <c r="A24" s="1071">
        <v>22.0</v>
      </c>
      <c r="B24" s="1124"/>
      <c r="C24" s="1126"/>
      <c r="D24" s="1072">
        <v>1.2805555555555554</v>
      </c>
      <c r="E24" s="1073">
        <v>61160.0</v>
      </c>
      <c r="F24" s="1072">
        <v>1.2805555555555554</v>
      </c>
      <c r="G24" s="1073">
        <v>61160.0</v>
      </c>
      <c r="H24" s="1072">
        <v>1.2805555555555554</v>
      </c>
      <c r="I24" s="1073">
        <v>61160.0</v>
      </c>
      <c r="J24" s="1072">
        <v>1.2805555555555554</v>
      </c>
      <c r="K24" s="1073">
        <v>61160.0</v>
      </c>
      <c r="L24" s="1072">
        <v>2.0277777777777777</v>
      </c>
      <c r="M24" s="1075">
        <v>153580.0</v>
      </c>
      <c r="N24" s="1076">
        <v>1.4277777777777778</v>
      </c>
      <c r="O24" s="1073">
        <v>163910.0</v>
      </c>
      <c r="P24" s="1124"/>
      <c r="Q24" s="1125"/>
      <c r="R24" s="1124"/>
      <c r="S24" s="1125"/>
      <c r="T24" s="1124"/>
      <c r="U24" s="1125"/>
      <c r="V24" s="1124"/>
      <c r="W24" s="1125"/>
      <c r="X24" s="1124"/>
      <c r="Y24" s="1125"/>
      <c r="Z24" s="1124"/>
      <c r="AA24" s="1125"/>
      <c r="AB24" s="1124"/>
      <c r="AC24" s="1125"/>
      <c r="AD24" s="1072">
        <v>23.758333333333333</v>
      </c>
      <c r="AE24" s="1080">
        <v>2.470645291E11</v>
      </c>
      <c r="AF24" s="1072">
        <v>23.758333333333333</v>
      </c>
      <c r="AG24" s="1080">
        <v>2.470645291E11</v>
      </c>
      <c r="AH24" s="1072">
        <v>23.758333333333333</v>
      </c>
      <c r="AI24" s="1080">
        <v>2.470645291E11</v>
      </c>
      <c r="AJ24" s="1081">
        <v>1.2805555555555554</v>
      </c>
      <c r="AK24" s="1082">
        <v>61160.0</v>
      </c>
      <c r="AL24" s="1081">
        <v>1.2805555555555554</v>
      </c>
      <c r="AM24" s="1082">
        <v>61160.0</v>
      </c>
      <c r="AN24" s="1081">
        <v>1.2805555555555554</v>
      </c>
      <c r="AO24" s="1082">
        <v>61160.0</v>
      </c>
      <c r="AP24" s="1081">
        <v>1.2805555555555554</v>
      </c>
      <c r="AQ24" s="1082">
        <v>61160.0</v>
      </c>
      <c r="AR24" s="1081">
        <v>1.2805555555555554</v>
      </c>
      <c r="AS24" s="1082">
        <v>61170.0</v>
      </c>
      <c r="AT24" s="1081">
        <v>302.98055555555555</v>
      </c>
      <c r="AU24" s="1082">
        <v>1.64E9</v>
      </c>
      <c r="AV24" s="1081">
        <v>170.87569444444443</v>
      </c>
      <c r="AW24" s="1082">
        <v>1.64E9</v>
      </c>
      <c r="AX24" s="1081">
        <v>16.28125</v>
      </c>
      <c r="AY24" s="1082">
        <v>1.09E12</v>
      </c>
      <c r="AZ24" s="1124"/>
      <c r="BA24" s="1124"/>
      <c r="BB24" s="1083">
        <v>1.2805555555555554</v>
      </c>
      <c r="BC24" s="1084">
        <v>61160.0</v>
      </c>
      <c r="BD24" s="1083">
        <v>1.2805555555555554</v>
      </c>
      <c r="BE24" s="1084">
        <v>61160.0</v>
      </c>
      <c r="BF24" s="1083">
        <v>1.2805555555555554</v>
      </c>
      <c r="BG24" s="1084">
        <v>61160.0</v>
      </c>
      <c r="BH24" s="1083">
        <v>19.47361111111111</v>
      </c>
      <c r="BI24" s="1084">
        <v>1.9452E8</v>
      </c>
      <c r="BJ24" s="1124"/>
      <c r="BK24" s="1125"/>
      <c r="BL24" s="1124"/>
      <c r="BM24" s="1125"/>
      <c r="BN24" s="1083">
        <v>37.36944444444445</v>
      </c>
      <c r="BO24" s="1084">
        <v>4.85E9</v>
      </c>
      <c r="BP24" s="1124"/>
      <c r="BQ24" s="1125"/>
      <c r="BR24" s="1126"/>
      <c r="BS24" s="1125"/>
      <c r="BT24" s="1085">
        <v>1.4874999999999998</v>
      </c>
      <c r="BU24" s="1086">
        <v>7.51E9</v>
      </c>
      <c r="BV24" s="1126"/>
      <c r="BW24" s="1126"/>
      <c r="BX24" s="1085">
        <v>91.36153935185185</v>
      </c>
      <c r="BY24" s="1086">
        <v>1.5899E11</v>
      </c>
      <c r="BZ24" s="1126"/>
      <c r="CA24" s="1126"/>
      <c r="CB24" s="1126"/>
      <c r="CC24" s="1125"/>
      <c r="CD24" s="1083">
        <v>7.512372685185185</v>
      </c>
      <c r="CE24" s="1087">
        <v>7.6347E11</v>
      </c>
      <c r="CF24" s="1133"/>
      <c r="CG24" s="1167"/>
      <c r="CH24" s="1088">
        <v>1.2805555555555554</v>
      </c>
      <c r="CI24" s="1089">
        <v>61170.0</v>
      </c>
      <c r="CJ24" s="1088">
        <v>1.2805555555555554</v>
      </c>
      <c r="CK24" s="1089">
        <v>61170.0</v>
      </c>
      <c r="CL24" s="1088">
        <v>1.2805555555555554</v>
      </c>
      <c r="CM24" s="1089">
        <v>61170.0</v>
      </c>
      <c r="CN24" s="1088">
        <v>1.2805555555555554</v>
      </c>
      <c r="CO24" s="1089">
        <v>61170.0</v>
      </c>
      <c r="CP24" s="1088">
        <v>2.341666666666667</v>
      </c>
      <c r="CQ24" s="1089">
        <v>163920.0</v>
      </c>
      <c r="CR24" s="1124"/>
      <c r="CS24" s="1125"/>
      <c r="CT24" s="1126"/>
      <c r="CU24" s="1125"/>
      <c r="CV24" s="1126"/>
      <c r="CW24" s="1125"/>
      <c r="CX24" s="1126"/>
      <c r="CY24" s="1125"/>
      <c r="CZ24" s="1126"/>
      <c r="DA24" s="1126"/>
      <c r="DB24" s="1126"/>
      <c r="DC24" s="1126"/>
      <c r="DD24" s="1126"/>
      <c r="DE24" s="1125"/>
      <c r="DF24" s="1126"/>
      <c r="DG24" s="1125"/>
      <c r="DH24" s="1124"/>
      <c r="DI24" s="1125"/>
      <c r="DJ24" s="1124"/>
      <c r="DK24" s="1125"/>
      <c r="DL24" s="1092">
        <v>38.13333333333333</v>
      </c>
      <c r="DM24" s="1093">
        <v>4.85E9</v>
      </c>
      <c r="DN24" s="1124"/>
      <c r="DO24" s="1125"/>
      <c r="DP24" s="1092">
        <v>38.13333333333333</v>
      </c>
      <c r="DQ24" s="1093">
        <v>4.85E9</v>
      </c>
      <c r="DR24" s="1092">
        <v>38.13333333333333</v>
      </c>
      <c r="DS24" s="1093">
        <v>4.85E9</v>
      </c>
      <c r="DT24" s="1124"/>
      <c r="DU24" s="1125"/>
      <c r="DV24" s="1092">
        <v>38.13333333333333</v>
      </c>
      <c r="DW24" s="1093">
        <v>4.85E9</v>
      </c>
      <c r="DX24" s="1092">
        <v>38.13333333333333</v>
      </c>
      <c r="DY24" s="1093">
        <v>4.85E9</v>
      </c>
      <c r="DZ24" s="1092">
        <v>43.34166666666667</v>
      </c>
      <c r="EA24" s="1093">
        <v>1.408E10</v>
      </c>
      <c r="EB24" s="1124"/>
      <c r="EC24" s="1125"/>
      <c r="ED24" s="1124"/>
      <c r="EE24" s="1125"/>
      <c r="EF24" s="1092">
        <v>42.50833333333333</v>
      </c>
      <c r="EG24" s="1093">
        <v>1.408E10</v>
      </c>
      <c r="EH24" s="1124"/>
      <c r="EI24" s="1125"/>
      <c r="EJ24" s="1092">
        <v>12.40119212962963</v>
      </c>
      <c r="EK24" s="1093">
        <v>7.3069E8</v>
      </c>
      <c r="EL24" s="1169"/>
      <c r="EM24" s="1167"/>
      <c r="EN24" s="1124"/>
      <c r="EO24" s="1125"/>
      <c r="EP24" s="1124"/>
      <c r="EQ24" s="1125"/>
      <c r="ER24" s="1124"/>
      <c r="ES24" s="1125"/>
      <c r="ET24" s="1092">
        <v>42.50833333333333</v>
      </c>
      <c r="EU24" s="1093">
        <v>1.408E10</v>
      </c>
      <c r="EV24" s="1124"/>
      <c r="EW24" s="1125"/>
      <c r="EX24" s="1124"/>
      <c r="EY24" s="1125"/>
      <c r="EZ24" s="1124"/>
      <c r="FA24" s="1125"/>
      <c r="FB24" s="1126"/>
      <c r="FC24" s="1125"/>
      <c r="FD24" s="1126"/>
      <c r="FE24" s="1125"/>
      <c r="FF24" s="1126"/>
      <c r="FG24" s="1125"/>
      <c r="FH24" s="1126"/>
      <c r="FI24" s="1126"/>
      <c r="FJ24" s="1126"/>
      <c r="FK24" s="1125"/>
      <c r="FL24" s="1124"/>
      <c r="FM24" s="1125"/>
      <c r="FN24" s="1139"/>
      <c r="FO24" s="1126"/>
      <c r="FP24" s="1092">
        <v>90.03207175925925</v>
      </c>
      <c r="FQ24" s="1094">
        <v>4.9879E14</v>
      </c>
      <c r="FR24" s="1139"/>
      <c r="FS24" s="1126"/>
      <c r="FT24" s="1092">
        <v>90.03207175925925</v>
      </c>
      <c r="FU24" s="1094">
        <v>4.9879E14</v>
      </c>
      <c r="FV24" s="1092">
        <v>90.03207175925925</v>
      </c>
      <c r="FW24" s="1094">
        <v>4.9879E14</v>
      </c>
      <c r="FX24" s="1133"/>
      <c r="FY24" s="1133"/>
      <c r="FZ24" s="1097">
        <v>90.03207175925925</v>
      </c>
      <c r="GA24" s="1098">
        <v>4.9879E14</v>
      </c>
      <c r="GB24" s="1133"/>
      <c r="GC24" s="1133"/>
      <c r="GD24" s="1133"/>
      <c r="GE24" s="1167"/>
      <c r="GF24" s="1124"/>
      <c r="GG24" s="1125"/>
      <c r="GH24" s="1100">
        <v>41.71666666666667</v>
      </c>
      <c r="GI24" s="1101">
        <v>4.085E10</v>
      </c>
      <c r="GJ24" s="1124"/>
      <c r="GK24" s="1125"/>
      <c r="GL24" s="1124"/>
      <c r="GM24" s="1125"/>
      <c r="GN24" s="1126"/>
      <c r="GO24" s="1125"/>
      <c r="GP24" s="1102">
        <v>41.88333333333333</v>
      </c>
      <c r="GQ24" s="1134">
        <v>5.5194E11</v>
      </c>
      <c r="GR24" s="1124"/>
      <c r="GS24" s="1125"/>
      <c r="GT24" s="1124"/>
      <c r="GU24" s="1125"/>
      <c r="GV24" s="1126"/>
      <c r="GW24" s="1125"/>
      <c r="GX24" s="1168"/>
      <c r="GY24" s="1133"/>
      <c r="GZ24" s="1124"/>
      <c r="HA24" s="1125"/>
      <c r="HB24" s="1107">
        <v>37.37013888888889</v>
      </c>
      <c r="HC24" s="1108">
        <v>8.168E10</v>
      </c>
      <c r="HD24" s="1124"/>
      <c r="HE24" s="1125"/>
      <c r="HF24" s="1107">
        <v>37.855555555555554</v>
      </c>
      <c r="HG24" s="1108">
        <v>1.2253E11</v>
      </c>
      <c r="HH24" s="1124"/>
      <c r="HI24" s="1125"/>
      <c r="HJ24" s="1124"/>
      <c r="HK24" s="1125"/>
      <c r="HL24" s="1124"/>
      <c r="HM24" s="1125"/>
      <c r="HN24" s="1126"/>
      <c r="HO24" s="1125"/>
      <c r="HP24" s="1107">
        <v>172.86466435185184</v>
      </c>
      <c r="HQ24" s="1108">
        <v>2.674E10</v>
      </c>
      <c r="HR24" s="1130">
        <v>55.53217592592593</v>
      </c>
      <c r="HS24" s="1129">
        <v>2.0487E11</v>
      </c>
      <c r="HT24" s="1130">
        <v>55.53217592592593</v>
      </c>
      <c r="HU24" s="1129">
        <v>2.0487E11</v>
      </c>
      <c r="HV24" s="1130">
        <v>55.53217592592593</v>
      </c>
      <c r="HW24" s="1129">
        <v>2.0487E11</v>
      </c>
      <c r="HX24" s="1130">
        <v>55.53217592592593</v>
      </c>
      <c r="HY24" s="1129">
        <v>2.0487E11</v>
      </c>
      <c r="HZ24" s="1124"/>
      <c r="IA24" s="1125"/>
      <c r="IB24" s="1124"/>
      <c r="IC24" s="1125"/>
      <c r="ID24" s="1124"/>
      <c r="IE24" s="1125"/>
      <c r="IF24" s="1124"/>
      <c r="IG24" s="1125"/>
      <c r="IH24" s="1113">
        <v>56.22638888888889</v>
      </c>
      <c r="II24" s="1114">
        <v>9.6894E11</v>
      </c>
      <c r="IJ24" s="1113">
        <v>56.22638888888889</v>
      </c>
      <c r="IK24" s="1114">
        <v>9.6894E11</v>
      </c>
      <c r="IL24" s="1113">
        <v>56.22638888888889</v>
      </c>
      <c r="IM24" s="1114">
        <v>1.19E12</v>
      </c>
      <c r="IN24" s="1113">
        <v>56.22638888888889</v>
      </c>
      <c r="IO24" s="1114">
        <v>1.19E12</v>
      </c>
      <c r="IP24" s="1113">
        <v>56.68958333333333</v>
      </c>
      <c r="IQ24" s="1114">
        <v>1.85E12</v>
      </c>
      <c r="IR24" s="1113">
        <v>56.22638888888889</v>
      </c>
      <c r="IS24" s="1114">
        <v>1.19E12</v>
      </c>
      <c r="IT24" s="1113">
        <v>56.22638888888889</v>
      </c>
      <c r="IU24" s="1114">
        <v>1.19E12</v>
      </c>
      <c r="IV24" s="1113">
        <v>56.22638888888889</v>
      </c>
      <c r="IW24" s="1114">
        <v>1.19E12</v>
      </c>
      <c r="IX24" s="1113">
        <v>56.22638888888889</v>
      </c>
      <c r="IY24" s="1114">
        <v>1.19E12</v>
      </c>
      <c r="IZ24" s="1113">
        <v>56.22638888888889</v>
      </c>
      <c r="JA24" s="1114">
        <v>1.41E12</v>
      </c>
      <c r="JB24" s="1113">
        <v>56.22638888888889</v>
      </c>
      <c r="JC24" s="1114">
        <v>1.41E12</v>
      </c>
      <c r="JD24" s="1113">
        <v>56.22638888888889</v>
      </c>
      <c r="JE24" s="1114">
        <v>1.41E12</v>
      </c>
      <c r="JF24" s="1113">
        <v>56.22638888888889</v>
      </c>
      <c r="JG24" s="1114">
        <v>1.41E12</v>
      </c>
      <c r="JH24" s="1124"/>
      <c r="JI24" s="1125"/>
      <c r="JJ24" s="1113">
        <v>237.5888888888889</v>
      </c>
      <c r="JK24" s="1115">
        <v>5.5E18</v>
      </c>
      <c r="JL24" s="1113">
        <v>237.5888888888889</v>
      </c>
      <c r="JM24" s="1115">
        <v>5.5E18</v>
      </c>
      <c r="JN24" s="1113">
        <v>237.5888888888889</v>
      </c>
      <c r="JO24" s="1115">
        <v>5.5E18</v>
      </c>
      <c r="JP24" s="1113">
        <v>237.5888888888889</v>
      </c>
      <c r="JQ24" s="1115">
        <v>5.5E18</v>
      </c>
      <c r="JR24" s="1113">
        <v>237.5888888888889</v>
      </c>
      <c r="JS24" s="1115">
        <v>5.5E18</v>
      </c>
      <c r="JT24" s="1113">
        <v>237.5888888888889</v>
      </c>
      <c r="JU24" s="1115">
        <v>5.5E18</v>
      </c>
      <c r="JV24" s="1113">
        <v>59.397222222222226</v>
      </c>
      <c r="JW24" s="1115">
        <v>1.171355576E15</v>
      </c>
      <c r="JX24" s="1169"/>
      <c r="JY24" s="1133"/>
      <c r="JZ24" s="1173">
        <v>2.3815625</v>
      </c>
      <c r="KA24" s="1120">
        <v>7.43E9</v>
      </c>
      <c r="KB24" s="1173">
        <v>3.325613426</v>
      </c>
      <c r="KC24" s="1174">
        <v>2.778E10</v>
      </c>
      <c r="KD24" s="1173">
        <v>12.93546296</v>
      </c>
      <c r="KE24" s="1120">
        <v>1.71E12</v>
      </c>
      <c r="KF24" s="1173">
        <v>12.93546296</v>
      </c>
      <c r="KG24" s="1120">
        <v>1.71E12</v>
      </c>
      <c r="KH24" s="1133"/>
      <c r="KI24" s="1133"/>
      <c r="KJ24" s="1133"/>
      <c r="KK24" s="1133"/>
      <c r="KL24" s="1133"/>
      <c r="KM24" s="1133"/>
      <c r="KN24" s="1133"/>
      <c r="KO24" s="1133"/>
      <c r="KP24" s="1133"/>
      <c r="KQ24" s="1133"/>
      <c r="KR24" s="1133"/>
      <c r="KS24" s="1133"/>
      <c r="KT24" s="1133"/>
      <c r="KU24" s="1133"/>
      <c r="KV24" s="1131">
        <v>237.5888888888889</v>
      </c>
      <c r="KW24" s="1132">
        <v>5.5E18</v>
      </c>
      <c r="KX24" s="1131">
        <v>237.5888888888889</v>
      </c>
      <c r="KY24" s="1132">
        <v>5.5E18</v>
      </c>
      <c r="KZ24" s="1131">
        <v>237.5888888888889</v>
      </c>
      <c r="LA24" s="1132">
        <v>5.5E18</v>
      </c>
      <c r="LB24" s="1131">
        <v>237.5888888888889</v>
      </c>
      <c r="LC24" s="1132">
        <v>5.5E18</v>
      </c>
      <c r="LD24" s="1131">
        <v>237.5888888888889</v>
      </c>
      <c r="LE24" s="1132">
        <v>5.5E18</v>
      </c>
      <c r="LF24" s="1131">
        <v>237.5888888888889</v>
      </c>
      <c r="LG24" s="1132">
        <v>5.5E18</v>
      </c>
      <c r="LH24" s="1131">
        <v>237.5888888888889</v>
      </c>
      <c r="LI24" s="1132">
        <v>5.5E18</v>
      </c>
      <c r="LJ24" s="1131">
        <v>237.5888888888889</v>
      </c>
      <c r="LK24" s="1132">
        <v>5.5E18</v>
      </c>
      <c r="LL24" s="1133"/>
      <c r="LM24" s="1133"/>
      <c r="LN24" s="1133"/>
      <c r="LO24" s="1133"/>
      <c r="LP24" s="1133"/>
      <c r="LQ24" s="1133"/>
      <c r="LR24" s="1133"/>
      <c r="LS24" s="1133"/>
      <c r="LT24" s="1133"/>
      <c r="LU24" s="1133"/>
      <c r="LV24" s="1133"/>
      <c r="LW24" s="1133"/>
      <c r="LX24" s="1133"/>
      <c r="LY24" s="1133"/>
      <c r="LZ24" s="1133"/>
      <c r="MA24" s="1133"/>
      <c r="MB24" s="1133"/>
      <c r="MC24" s="1133"/>
      <c r="MD24" s="1133"/>
      <c r="ME24" s="1133"/>
      <c r="MF24" s="1133"/>
      <c r="MG24" s="1133"/>
      <c r="MH24" s="1133"/>
      <c r="MI24" s="1133"/>
      <c r="MJ24" s="1133"/>
      <c r="MK24" s="1133"/>
      <c r="ML24" s="1133"/>
      <c r="MM24" s="1133"/>
      <c r="MN24" s="1133"/>
      <c r="MO24" s="1133"/>
      <c r="MP24" s="1133"/>
      <c r="MQ24" s="1133"/>
      <c r="MR24" s="1133"/>
      <c r="MS24" s="1133"/>
      <c r="MT24" s="1133"/>
      <c r="MU24" s="1133"/>
      <c r="MV24" s="1133"/>
      <c r="MW24" s="1133"/>
      <c r="MX24" s="1133"/>
      <c r="MY24" s="1133"/>
    </row>
    <row r="25">
      <c r="A25" s="1071">
        <v>23.0</v>
      </c>
      <c r="B25" s="1124"/>
      <c r="C25" s="1126"/>
      <c r="D25" s="1072">
        <v>1.426388888888889</v>
      </c>
      <c r="E25" s="1073">
        <v>69460.0</v>
      </c>
      <c r="F25" s="1072">
        <v>1.426388888888889</v>
      </c>
      <c r="G25" s="1073">
        <v>69460.0</v>
      </c>
      <c r="H25" s="1072">
        <v>1.426388888888889</v>
      </c>
      <c r="I25" s="1073">
        <v>69460.0</v>
      </c>
      <c r="J25" s="1072">
        <v>1.426388888888889</v>
      </c>
      <c r="K25" s="1073">
        <v>69460.0</v>
      </c>
      <c r="L25" s="1072">
        <v>2.2736111111111112</v>
      </c>
      <c r="M25" s="1075">
        <v>176770.0</v>
      </c>
      <c r="N25" s="1076">
        <v>1.5791666666666666</v>
      </c>
      <c r="O25" s="1073">
        <v>189260.0</v>
      </c>
      <c r="P25" s="1124"/>
      <c r="Q25" s="1125"/>
      <c r="R25" s="1124"/>
      <c r="S25" s="1125"/>
      <c r="T25" s="1124"/>
      <c r="U25" s="1125"/>
      <c r="V25" s="1124"/>
      <c r="W25" s="1125"/>
      <c r="X25" s="1124"/>
      <c r="Y25" s="1125"/>
      <c r="Z25" s="1124"/>
      <c r="AA25" s="1125"/>
      <c r="AB25" s="1124"/>
      <c r="AC25" s="1125"/>
      <c r="AD25" s="1072">
        <v>24.83888888888889</v>
      </c>
      <c r="AE25" s="1080">
        <v>3.211838878E11</v>
      </c>
      <c r="AF25" s="1072">
        <v>24.83888888888889</v>
      </c>
      <c r="AG25" s="1080">
        <v>3.211838878E11</v>
      </c>
      <c r="AH25" s="1072">
        <v>24.83888888888889</v>
      </c>
      <c r="AI25" s="1080">
        <v>3.211838878E11</v>
      </c>
      <c r="AJ25" s="1081">
        <v>1.426388888888889</v>
      </c>
      <c r="AK25" s="1082">
        <v>69460.0</v>
      </c>
      <c r="AL25" s="1081">
        <v>1.426388888888889</v>
      </c>
      <c r="AM25" s="1082">
        <v>69460.0</v>
      </c>
      <c r="AN25" s="1081">
        <v>1.426388888888889</v>
      </c>
      <c r="AO25" s="1082">
        <v>69460.0</v>
      </c>
      <c r="AP25" s="1081">
        <v>1.426388888888889</v>
      </c>
      <c r="AQ25" s="1082">
        <v>69460.0</v>
      </c>
      <c r="AR25" s="1081">
        <v>1.426388888888889</v>
      </c>
      <c r="AS25" s="1082">
        <v>69470.0</v>
      </c>
      <c r="AT25" s="1081">
        <v>366.0638888888889</v>
      </c>
      <c r="AU25" s="1082">
        <v>2.04E9</v>
      </c>
      <c r="AV25" s="1081">
        <v>203.67916666666665</v>
      </c>
      <c r="AW25" s="1082">
        <v>2.04E9</v>
      </c>
      <c r="AX25" s="1081">
        <v>16.931250000000002</v>
      </c>
      <c r="AY25" s="1082">
        <v>1.14E12</v>
      </c>
      <c r="AZ25" s="1124"/>
      <c r="BA25" s="1124"/>
      <c r="BB25" s="1083">
        <v>1.426388888888889</v>
      </c>
      <c r="BC25" s="1084">
        <v>69460.0</v>
      </c>
      <c r="BD25" s="1083">
        <v>1.426388888888889</v>
      </c>
      <c r="BE25" s="1084">
        <v>69460.0</v>
      </c>
      <c r="BF25" s="1083">
        <v>1.426388888888889</v>
      </c>
      <c r="BG25" s="1084">
        <v>69460.0</v>
      </c>
      <c r="BH25" s="1083">
        <v>22.61111111111111</v>
      </c>
      <c r="BI25" s="1084">
        <v>2.3429E8</v>
      </c>
      <c r="BJ25" s="1124"/>
      <c r="BK25" s="1125"/>
      <c r="BL25" s="1124"/>
      <c r="BM25" s="1125"/>
      <c r="BN25" s="1083">
        <v>43.58819444444445</v>
      </c>
      <c r="BO25" s="1084">
        <v>5.92E9</v>
      </c>
      <c r="BP25" s="1124"/>
      <c r="BQ25" s="1125"/>
      <c r="BR25" s="1126"/>
      <c r="BS25" s="1125"/>
      <c r="BT25" s="1085">
        <v>1.6319444444444444</v>
      </c>
      <c r="BU25" s="1086">
        <v>8.09E9</v>
      </c>
      <c r="BV25" s="1126"/>
      <c r="BW25" s="1126"/>
      <c r="BX25" s="1085">
        <v>105.0657638888889</v>
      </c>
      <c r="BY25" s="1086">
        <v>1.6608E11</v>
      </c>
      <c r="BZ25" s="1126"/>
      <c r="CA25" s="1126"/>
      <c r="CB25" s="1126"/>
      <c r="CC25" s="1125"/>
      <c r="CD25" s="1083">
        <v>8.019386574074074</v>
      </c>
      <c r="CE25" s="1087">
        <v>8.3284E11</v>
      </c>
      <c r="CF25" s="1133"/>
      <c r="CG25" s="1167"/>
      <c r="CH25" s="1088">
        <v>1.426388888888889</v>
      </c>
      <c r="CI25" s="1089">
        <v>69470.0</v>
      </c>
      <c r="CJ25" s="1088">
        <v>1.426388888888889</v>
      </c>
      <c r="CK25" s="1089">
        <v>69470.0</v>
      </c>
      <c r="CL25" s="1088">
        <v>1.426388888888889</v>
      </c>
      <c r="CM25" s="1089">
        <v>69470.0</v>
      </c>
      <c r="CN25" s="1088">
        <v>1.426388888888889</v>
      </c>
      <c r="CO25" s="1089">
        <v>69470.0</v>
      </c>
      <c r="CP25" s="1088">
        <v>2.6326388888888888</v>
      </c>
      <c r="CQ25" s="1089">
        <v>189270.0</v>
      </c>
      <c r="CR25" s="1124"/>
      <c r="CS25" s="1125"/>
      <c r="CT25" s="1126"/>
      <c r="CU25" s="1125"/>
      <c r="CV25" s="1126"/>
      <c r="CW25" s="1125"/>
      <c r="CX25" s="1126"/>
      <c r="CY25" s="1125"/>
      <c r="CZ25" s="1126"/>
      <c r="DA25" s="1126"/>
      <c r="DB25" s="1126"/>
      <c r="DC25" s="1126"/>
      <c r="DD25" s="1126"/>
      <c r="DE25" s="1125"/>
      <c r="DF25" s="1126"/>
      <c r="DG25" s="1125"/>
      <c r="DH25" s="1124"/>
      <c r="DI25" s="1125"/>
      <c r="DJ25" s="1124"/>
      <c r="DK25" s="1125"/>
      <c r="DL25" s="1092">
        <v>44.35208333333333</v>
      </c>
      <c r="DM25" s="1093">
        <v>5.92E9</v>
      </c>
      <c r="DN25" s="1124"/>
      <c r="DO25" s="1125"/>
      <c r="DP25" s="1092">
        <v>44.35208333333333</v>
      </c>
      <c r="DQ25" s="1093">
        <v>5.92E9</v>
      </c>
      <c r="DR25" s="1092">
        <v>44.35208333333333</v>
      </c>
      <c r="DS25" s="1093">
        <v>5.92E9</v>
      </c>
      <c r="DT25" s="1124"/>
      <c r="DU25" s="1125"/>
      <c r="DV25" s="1092">
        <v>44.35208333333333</v>
      </c>
      <c r="DW25" s="1093">
        <v>5.92E9</v>
      </c>
      <c r="DX25" s="1092">
        <v>44.35208333333333</v>
      </c>
      <c r="DY25" s="1093">
        <v>5.92E9</v>
      </c>
      <c r="DZ25" s="1092">
        <v>49.76875</v>
      </c>
      <c r="EA25" s="1093">
        <v>1.748E10</v>
      </c>
      <c r="EB25" s="1124"/>
      <c r="EC25" s="1125"/>
      <c r="ED25" s="1124"/>
      <c r="EE25" s="1125"/>
      <c r="EF25" s="1092">
        <v>48.93541666666667</v>
      </c>
      <c r="EG25" s="1093">
        <v>1.748E10</v>
      </c>
      <c r="EH25" s="1124"/>
      <c r="EI25" s="1125"/>
      <c r="EJ25" s="1092">
        <v>12.950358796296296</v>
      </c>
      <c r="EK25" s="1093">
        <v>8.0604E8</v>
      </c>
      <c r="EL25" s="1169"/>
      <c r="EM25" s="1167"/>
      <c r="EN25" s="1124"/>
      <c r="EO25" s="1125"/>
      <c r="EP25" s="1124"/>
      <c r="EQ25" s="1125"/>
      <c r="ER25" s="1124"/>
      <c r="ES25" s="1125"/>
      <c r="ET25" s="1092">
        <v>48.93541666666667</v>
      </c>
      <c r="EU25" s="1093">
        <v>1.748E10</v>
      </c>
      <c r="EV25" s="1124"/>
      <c r="EW25" s="1125"/>
      <c r="EX25" s="1124"/>
      <c r="EY25" s="1125"/>
      <c r="EZ25" s="1124"/>
      <c r="FA25" s="1125"/>
      <c r="FB25" s="1126"/>
      <c r="FC25" s="1125"/>
      <c r="FD25" s="1126"/>
      <c r="FE25" s="1125"/>
      <c r="FF25" s="1126"/>
      <c r="FG25" s="1125"/>
      <c r="FH25" s="1126"/>
      <c r="FI25" s="1126"/>
      <c r="FJ25" s="1126"/>
      <c r="FK25" s="1125"/>
      <c r="FL25" s="1126"/>
      <c r="FM25" s="1125"/>
      <c r="FN25" s="1139"/>
      <c r="FO25" s="1126"/>
      <c r="FP25" s="1092">
        <v>100.83591435185186</v>
      </c>
      <c r="FQ25" s="1094">
        <v>7.4818E14</v>
      </c>
      <c r="FR25" s="1139"/>
      <c r="FS25" s="1126"/>
      <c r="FT25" s="1092">
        <v>100.83591435185186</v>
      </c>
      <c r="FU25" s="1094">
        <v>7.4818E14</v>
      </c>
      <c r="FV25" s="1092">
        <v>100.83591435185186</v>
      </c>
      <c r="FW25" s="1094">
        <v>7.4818E14</v>
      </c>
      <c r="FX25" s="1133"/>
      <c r="FY25" s="1133"/>
      <c r="FZ25" s="1097">
        <v>100.83591435185186</v>
      </c>
      <c r="GA25" s="1098">
        <v>7.4818E14</v>
      </c>
      <c r="GB25" s="1133"/>
      <c r="GC25" s="1133"/>
      <c r="GD25" s="1133"/>
      <c r="GE25" s="1167"/>
      <c r="GF25" s="1124"/>
      <c r="GG25" s="1125"/>
      <c r="GH25" s="1100">
        <v>48.14375</v>
      </c>
      <c r="GI25" s="1101">
        <v>5.155E10</v>
      </c>
      <c r="GJ25" s="1124"/>
      <c r="GK25" s="1125"/>
      <c r="GL25" s="1124"/>
      <c r="GM25" s="1125"/>
      <c r="GN25" s="1126"/>
      <c r="GO25" s="1125"/>
      <c r="GP25" s="1102">
        <v>48.31041666666666</v>
      </c>
      <c r="GQ25" s="1134">
        <v>6.5521E11</v>
      </c>
      <c r="GR25" s="1124"/>
      <c r="GS25" s="1125"/>
      <c r="GT25" s="1124"/>
      <c r="GU25" s="1125"/>
      <c r="GV25" s="1126"/>
      <c r="GW25" s="1125"/>
      <c r="GX25" s="1168"/>
      <c r="GY25" s="1133"/>
      <c r="GZ25" s="1124"/>
      <c r="HA25" s="1125"/>
      <c r="HB25" s="1107">
        <v>43.58819444444445</v>
      </c>
      <c r="HC25" s="1108">
        <v>1.0307E11</v>
      </c>
      <c r="HD25" s="1124"/>
      <c r="HE25" s="1125"/>
      <c r="HF25" s="1107">
        <v>44.09722222222222</v>
      </c>
      <c r="HG25" s="1108">
        <v>1.5461E11</v>
      </c>
      <c r="HH25" s="1124"/>
      <c r="HI25" s="1125"/>
      <c r="HJ25" s="1124"/>
      <c r="HK25" s="1125"/>
      <c r="HL25" s="1124"/>
      <c r="HM25" s="1125"/>
      <c r="HN25" s="1126"/>
      <c r="HO25" s="1125"/>
      <c r="HP25" s="1107">
        <v>206.12081018518518</v>
      </c>
      <c r="HQ25" s="1108">
        <v>3.296E10</v>
      </c>
      <c r="HR25" s="1130">
        <v>64.37881944444445</v>
      </c>
      <c r="HS25" s="1129">
        <v>2.5837E11</v>
      </c>
      <c r="HT25" s="1130">
        <v>64.37881944444445</v>
      </c>
      <c r="HU25" s="1129">
        <v>2.5837E11</v>
      </c>
      <c r="HV25" s="1130">
        <v>64.37881944444445</v>
      </c>
      <c r="HW25" s="1129">
        <v>2.5837E11</v>
      </c>
      <c r="HX25" s="1130">
        <v>64.37881944444445</v>
      </c>
      <c r="HY25" s="1129">
        <v>2.5837E11</v>
      </c>
      <c r="HZ25" s="1126"/>
      <c r="IA25" s="1125"/>
      <c r="IB25" s="1126"/>
      <c r="IC25" s="1125"/>
      <c r="ID25" s="1126"/>
      <c r="IE25" s="1125"/>
      <c r="IF25" s="1126"/>
      <c r="IG25" s="1125"/>
      <c r="IH25" s="1113">
        <v>65.07291666666667</v>
      </c>
      <c r="II25" s="1114">
        <v>1.09E12</v>
      </c>
      <c r="IJ25" s="1113">
        <v>65.07291666666667</v>
      </c>
      <c r="IK25" s="1114">
        <v>1.09E12</v>
      </c>
      <c r="IL25" s="1113">
        <v>65.07291666666667</v>
      </c>
      <c r="IM25" s="1114">
        <v>1.32E12</v>
      </c>
      <c r="IN25" s="1113">
        <v>65.07291666666667</v>
      </c>
      <c r="IO25" s="1114">
        <v>1.32E12</v>
      </c>
      <c r="IP25" s="1113">
        <v>65.53611111111111</v>
      </c>
      <c r="IQ25" s="1114">
        <v>2.01E12</v>
      </c>
      <c r="IR25" s="1113">
        <v>65.07291666666667</v>
      </c>
      <c r="IS25" s="1114">
        <v>1.32E12</v>
      </c>
      <c r="IT25" s="1113">
        <v>65.07291666666667</v>
      </c>
      <c r="IU25" s="1114">
        <v>1.32E12</v>
      </c>
      <c r="IV25" s="1113">
        <v>65.07291666666667</v>
      </c>
      <c r="IW25" s="1114">
        <v>1.32E12</v>
      </c>
      <c r="IX25" s="1113">
        <v>65.07291666666667</v>
      </c>
      <c r="IY25" s="1114">
        <v>1.32E12</v>
      </c>
      <c r="IZ25" s="1113">
        <v>65.07291666666667</v>
      </c>
      <c r="JA25" s="1114">
        <v>1.55E12</v>
      </c>
      <c r="JB25" s="1113">
        <v>65.07291666666667</v>
      </c>
      <c r="JC25" s="1114">
        <v>1.55E12</v>
      </c>
      <c r="JD25" s="1113">
        <v>65.07291666666667</v>
      </c>
      <c r="JE25" s="1114">
        <v>1.55E12</v>
      </c>
      <c r="JF25" s="1113">
        <v>65.07291666666667</v>
      </c>
      <c r="JG25" s="1114">
        <v>1.55E12</v>
      </c>
      <c r="JH25" s="1126"/>
      <c r="JI25" s="1125"/>
      <c r="JJ25" s="1113">
        <v>248.38888888888889</v>
      </c>
      <c r="JK25" s="1115">
        <v>5.75E18</v>
      </c>
      <c r="JL25" s="1113">
        <v>248.38888888888889</v>
      </c>
      <c r="JM25" s="1115">
        <v>5.75E18</v>
      </c>
      <c r="JN25" s="1113">
        <v>248.38888888888889</v>
      </c>
      <c r="JO25" s="1115">
        <v>5.75E18</v>
      </c>
      <c r="JP25" s="1113">
        <v>248.38888888888889</v>
      </c>
      <c r="JQ25" s="1115">
        <v>5.75E18</v>
      </c>
      <c r="JR25" s="1113">
        <v>248.38888888888889</v>
      </c>
      <c r="JS25" s="1115">
        <v>5.75E18</v>
      </c>
      <c r="JT25" s="1113">
        <v>248.38888888888889</v>
      </c>
      <c r="JU25" s="1115">
        <v>5.75E18</v>
      </c>
      <c r="JV25" s="1113">
        <v>62.09722222222222</v>
      </c>
      <c r="JW25" s="1115">
        <v>1.639897806E15</v>
      </c>
      <c r="JX25" s="1169"/>
      <c r="JY25" s="1133"/>
      <c r="JZ25" s="1173">
        <v>2.440636574</v>
      </c>
      <c r="KA25" s="1120">
        <v>8.43E9</v>
      </c>
      <c r="KB25" s="1173">
        <v>3.502974537</v>
      </c>
      <c r="KC25" s="1174">
        <v>3.195E10</v>
      </c>
      <c r="KD25" s="1173">
        <v>13.67685185</v>
      </c>
      <c r="KE25" s="1120">
        <v>1.98E12</v>
      </c>
      <c r="KF25" s="1173">
        <v>13.67685185</v>
      </c>
      <c r="KG25" s="1120">
        <v>1.98E12</v>
      </c>
      <c r="KH25" s="1133"/>
      <c r="KI25" s="1133"/>
      <c r="KJ25" s="1133"/>
      <c r="KK25" s="1133"/>
      <c r="KL25" s="1133"/>
      <c r="KM25" s="1133"/>
      <c r="KN25" s="1133"/>
      <c r="KO25" s="1133"/>
      <c r="KP25" s="1133"/>
      <c r="KQ25" s="1133"/>
      <c r="KR25" s="1133"/>
      <c r="KS25" s="1133"/>
      <c r="KT25" s="1133"/>
      <c r="KU25" s="1133"/>
      <c r="KV25" s="1131">
        <v>248.38888888888889</v>
      </c>
      <c r="KW25" s="1132">
        <v>5.75E18</v>
      </c>
      <c r="KX25" s="1131">
        <v>248.38888888888889</v>
      </c>
      <c r="KY25" s="1132">
        <v>5.75E18</v>
      </c>
      <c r="KZ25" s="1131">
        <v>248.38888888888889</v>
      </c>
      <c r="LA25" s="1132">
        <v>5.75E18</v>
      </c>
      <c r="LB25" s="1131">
        <v>248.38888888888889</v>
      </c>
      <c r="LC25" s="1132">
        <v>5.75E18</v>
      </c>
      <c r="LD25" s="1131">
        <v>248.38888888888889</v>
      </c>
      <c r="LE25" s="1132">
        <v>5.75E18</v>
      </c>
      <c r="LF25" s="1131">
        <v>248.38888888888889</v>
      </c>
      <c r="LG25" s="1132">
        <v>5.75E18</v>
      </c>
      <c r="LH25" s="1131">
        <v>248.38888888888889</v>
      </c>
      <c r="LI25" s="1132">
        <v>5.75E18</v>
      </c>
      <c r="LJ25" s="1131">
        <v>248.38888888888889</v>
      </c>
      <c r="LK25" s="1132">
        <v>5.75E18</v>
      </c>
      <c r="LL25" s="1133"/>
      <c r="LM25" s="1133"/>
      <c r="LN25" s="1133"/>
      <c r="LO25" s="1133"/>
      <c r="LP25" s="1133"/>
      <c r="LQ25" s="1133"/>
      <c r="LR25" s="1133"/>
      <c r="LS25" s="1133"/>
      <c r="LT25" s="1133"/>
      <c r="LU25" s="1133"/>
      <c r="LV25" s="1133"/>
      <c r="LW25" s="1133"/>
      <c r="LX25" s="1133"/>
      <c r="LY25" s="1133"/>
      <c r="LZ25" s="1133"/>
      <c r="MA25" s="1133"/>
      <c r="MB25" s="1133"/>
      <c r="MC25" s="1133"/>
      <c r="MD25" s="1133"/>
      <c r="ME25" s="1133"/>
      <c r="MF25" s="1133"/>
      <c r="MG25" s="1133"/>
      <c r="MH25" s="1133"/>
      <c r="MI25" s="1133"/>
      <c r="MJ25" s="1133"/>
      <c r="MK25" s="1133"/>
      <c r="ML25" s="1133"/>
      <c r="MM25" s="1133"/>
      <c r="MN25" s="1133"/>
      <c r="MO25" s="1133"/>
      <c r="MP25" s="1133"/>
      <c r="MQ25" s="1133"/>
      <c r="MR25" s="1133"/>
      <c r="MS25" s="1133"/>
      <c r="MT25" s="1133"/>
      <c r="MU25" s="1133"/>
      <c r="MV25" s="1133"/>
      <c r="MW25" s="1133"/>
      <c r="MX25" s="1133"/>
      <c r="MY25" s="1133"/>
    </row>
    <row r="26">
      <c r="A26" s="1071">
        <v>24.0</v>
      </c>
      <c r="B26" s="1124"/>
      <c r="C26" s="1126"/>
      <c r="D26" s="1072">
        <v>1.5819444444444444</v>
      </c>
      <c r="E26" s="1073">
        <v>78430.0</v>
      </c>
      <c r="F26" s="1072">
        <v>1.5819444444444444</v>
      </c>
      <c r="G26" s="1073">
        <v>78430.0</v>
      </c>
      <c r="H26" s="1072">
        <v>1.5819444444444444</v>
      </c>
      <c r="I26" s="1073">
        <v>78430.0</v>
      </c>
      <c r="J26" s="1072">
        <v>1.5819444444444444</v>
      </c>
      <c r="K26" s="1073">
        <v>78430.0</v>
      </c>
      <c r="L26" s="1072">
        <v>2.5375</v>
      </c>
      <c r="M26" s="1075">
        <v>202170.0</v>
      </c>
      <c r="N26" s="1076">
        <v>1.7375</v>
      </c>
      <c r="O26" s="1073">
        <v>217150.0</v>
      </c>
      <c r="P26" s="1124"/>
      <c r="Q26" s="1125"/>
      <c r="R26" s="1124"/>
      <c r="S26" s="1125"/>
      <c r="T26" s="1124"/>
      <c r="U26" s="1125"/>
      <c r="V26" s="1124"/>
      <c r="W26" s="1125"/>
      <c r="X26" s="1124"/>
      <c r="Y26" s="1125"/>
      <c r="Z26" s="1124"/>
      <c r="AA26" s="1125"/>
      <c r="AB26" s="1124"/>
      <c r="AC26" s="1125"/>
      <c r="AD26" s="1072">
        <v>25.91875</v>
      </c>
      <c r="AE26" s="1080">
        <v>4.175390541E11</v>
      </c>
      <c r="AF26" s="1072">
        <v>25.91875</v>
      </c>
      <c r="AG26" s="1080">
        <v>4.175390541E11</v>
      </c>
      <c r="AH26" s="1072">
        <v>25.91875</v>
      </c>
      <c r="AI26" s="1080">
        <v>4.175390541E11</v>
      </c>
      <c r="AJ26" s="1081">
        <v>1.5819444444444444</v>
      </c>
      <c r="AK26" s="1082">
        <v>78430.0</v>
      </c>
      <c r="AL26" s="1081">
        <v>1.5819444444444444</v>
      </c>
      <c r="AM26" s="1082">
        <v>78430.0</v>
      </c>
      <c r="AN26" s="1081">
        <v>1.5819444444444444</v>
      </c>
      <c r="AO26" s="1082">
        <v>78430.0</v>
      </c>
      <c r="AP26" s="1081">
        <v>1.5819444444444444</v>
      </c>
      <c r="AQ26" s="1082">
        <v>78430.0</v>
      </c>
      <c r="AR26" s="1081">
        <v>1.5819444444444444</v>
      </c>
      <c r="AS26" s="1082">
        <v>78440.0</v>
      </c>
      <c r="AT26" s="1081">
        <v>438.93125000000003</v>
      </c>
      <c r="AU26" s="1082">
        <v>2.52E9</v>
      </c>
      <c r="AV26" s="1081">
        <v>241.19027777777777</v>
      </c>
      <c r="AW26" s="1082">
        <v>2.52E9</v>
      </c>
      <c r="AX26" s="1081">
        <v>17.584722222222222</v>
      </c>
      <c r="AY26" s="1082">
        <v>1.19E12</v>
      </c>
      <c r="AZ26" s="1124"/>
      <c r="BA26" s="1124"/>
      <c r="BB26" s="1083">
        <v>1.5819444444444444</v>
      </c>
      <c r="BC26" s="1084">
        <v>78430.0</v>
      </c>
      <c r="BD26" s="1083">
        <v>1.5819444444444444</v>
      </c>
      <c r="BE26" s="1084">
        <v>78430.0</v>
      </c>
      <c r="BF26" s="1083">
        <v>1.5819444444444444</v>
      </c>
      <c r="BG26" s="1084">
        <v>78430.0</v>
      </c>
      <c r="BH26" s="1083">
        <v>26.091666666666665</v>
      </c>
      <c r="BI26" s="1084">
        <v>2.7988E8</v>
      </c>
      <c r="BJ26" s="1124"/>
      <c r="BK26" s="1125"/>
      <c r="BL26" s="1124"/>
      <c r="BM26" s="1125"/>
      <c r="BN26" s="1083">
        <v>50.53888888888889</v>
      </c>
      <c r="BO26" s="1084">
        <v>7.17E9</v>
      </c>
      <c r="BP26" s="1124"/>
      <c r="BQ26" s="1125"/>
      <c r="BR26" s="1126"/>
      <c r="BS26" s="1125"/>
      <c r="BT26" s="1085">
        <v>1.7868055555555555</v>
      </c>
      <c r="BU26" s="1086">
        <v>8.72E9</v>
      </c>
      <c r="BV26" s="1126"/>
      <c r="BW26" s="1126"/>
      <c r="BX26" s="1085">
        <v>120.82563657407407</v>
      </c>
      <c r="BY26" s="1086">
        <v>1.7326E11</v>
      </c>
      <c r="BZ26" s="1126"/>
      <c r="CA26" s="1126"/>
      <c r="CB26" s="1126"/>
      <c r="CC26" s="1125"/>
      <c r="CD26" s="1083">
        <v>8.558773148148148</v>
      </c>
      <c r="CE26" s="1087">
        <v>9.0881E11</v>
      </c>
      <c r="CF26" s="1133"/>
      <c r="CG26" s="1167"/>
      <c r="CH26" s="1088">
        <v>1.5819444444444444</v>
      </c>
      <c r="CI26" s="1089">
        <v>78440.0</v>
      </c>
      <c r="CJ26" s="1088">
        <v>1.5819444444444444</v>
      </c>
      <c r="CK26" s="1089">
        <v>78440.0</v>
      </c>
      <c r="CL26" s="1088">
        <v>1.5819444444444444</v>
      </c>
      <c r="CM26" s="1089">
        <v>78440.0</v>
      </c>
      <c r="CN26" s="1088">
        <v>1.5819444444444444</v>
      </c>
      <c r="CO26" s="1089">
        <v>78440.0</v>
      </c>
      <c r="CP26" s="1088">
        <v>2.9451388888888888</v>
      </c>
      <c r="CQ26" s="1089">
        <v>217160.0</v>
      </c>
      <c r="CR26" s="1124"/>
      <c r="CS26" s="1125"/>
      <c r="CT26" s="1126"/>
      <c r="CU26" s="1125"/>
      <c r="CV26" s="1126"/>
      <c r="CW26" s="1125"/>
      <c r="CX26" s="1126"/>
      <c r="CY26" s="1125"/>
      <c r="CZ26" s="1126"/>
      <c r="DA26" s="1126"/>
      <c r="DB26" s="1126"/>
      <c r="DC26" s="1126"/>
      <c r="DD26" s="1126"/>
      <c r="DE26" s="1125"/>
      <c r="DF26" s="1126"/>
      <c r="DG26" s="1125"/>
      <c r="DH26" s="1124"/>
      <c r="DI26" s="1125"/>
      <c r="DJ26" s="1124"/>
      <c r="DK26" s="1125"/>
      <c r="DL26" s="1092">
        <v>51.30277777777778</v>
      </c>
      <c r="DM26" s="1093">
        <v>7.17E9</v>
      </c>
      <c r="DN26" s="1124"/>
      <c r="DO26" s="1125"/>
      <c r="DP26" s="1092">
        <v>51.30277777777778</v>
      </c>
      <c r="DQ26" s="1093">
        <v>7.17E9</v>
      </c>
      <c r="DR26" s="1092">
        <v>51.30277777777778</v>
      </c>
      <c r="DS26" s="1093">
        <v>7.17E9</v>
      </c>
      <c r="DT26" s="1124"/>
      <c r="DU26" s="1125"/>
      <c r="DV26" s="1092">
        <v>51.30277777777778</v>
      </c>
      <c r="DW26" s="1093">
        <v>7.17E9</v>
      </c>
      <c r="DX26" s="1092">
        <v>51.30277777777778</v>
      </c>
      <c r="DY26" s="1093">
        <v>7.17E9</v>
      </c>
      <c r="DZ26" s="1092">
        <v>56.92777777777778</v>
      </c>
      <c r="EA26" s="1093">
        <v>2.149E10</v>
      </c>
      <c r="EB26" s="1124"/>
      <c r="EC26" s="1125"/>
      <c r="ED26" s="1124"/>
      <c r="EE26" s="1125"/>
      <c r="EF26" s="1092">
        <v>56.09444444444444</v>
      </c>
      <c r="EG26" s="1093">
        <v>2.149E10</v>
      </c>
      <c r="EH26" s="1124"/>
      <c r="EI26" s="1125"/>
      <c r="EJ26" s="1092">
        <v>13.513761574074074</v>
      </c>
      <c r="EK26" s="1093">
        <v>8.9041E8</v>
      </c>
      <c r="EL26" s="1169"/>
      <c r="EM26" s="1167"/>
      <c r="EN26" s="1124"/>
      <c r="EO26" s="1125"/>
      <c r="EP26" s="1124"/>
      <c r="EQ26" s="1125"/>
      <c r="ER26" s="1124"/>
      <c r="ES26" s="1125"/>
      <c r="ET26" s="1092">
        <v>56.09444444444444</v>
      </c>
      <c r="EU26" s="1093">
        <v>2.149E10</v>
      </c>
      <c r="EV26" s="1124"/>
      <c r="EW26" s="1125"/>
      <c r="EX26" s="1124"/>
      <c r="EY26" s="1125"/>
      <c r="EZ26" s="1124"/>
      <c r="FA26" s="1125"/>
      <c r="FB26" s="1126"/>
      <c r="FC26" s="1125"/>
      <c r="FD26" s="1126"/>
      <c r="FE26" s="1125"/>
      <c r="FF26" s="1126"/>
      <c r="FG26" s="1125"/>
      <c r="FH26" s="1126"/>
      <c r="FI26" s="1126"/>
      <c r="FJ26" s="1126"/>
      <c r="FK26" s="1125"/>
      <c r="FL26" s="1124"/>
      <c r="FM26" s="1125"/>
      <c r="FN26" s="1139"/>
      <c r="FO26" s="1126"/>
      <c r="FP26" s="1092">
        <v>112.93622685185186</v>
      </c>
      <c r="FQ26" s="1094">
        <v>1.1200000000000001E15</v>
      </c>
      <c r="FR26" s="1139"/>
      <c r="FS26" s="1126"/>
      <c r="FT26" s="1092">
        <v>112.93622685185186</v>
      </c>
      <c r="FU26" s="1094">
        <v>1.1200000000000001E15</v>
      </c>
      <c r="FV26" s="1092">
        <v>112.93622685185186</v>
      </c>
      <c r="FW26" s="1094">
        <v>1.1200000000000001E15</v>
      </c>
      <c r="FX26" s="1133"/>
      <c r="FY26" s="1133"/>
      <c r="FZ26" s="1097">
        <v>112.93622685185186</v>
      </c>
      <c r="GA26" s="1098">
        <v>1.12E15</v>
      </c>
      <c r="GB26" s="1133"/>
      <c r="GC26" s="1133"/>
      <c r="GD26" s="1133"/>
      <c r="GE26" s="1167"/>
      <c r="GF26" s="1124"/>
      <c r="GG26" s="1125"/>
      <c r="GH26" s="1100">
        <v>55.30277777777778</v>
      </c>
      <c r="GI26" s="1101">
        <v>6.437E10</v>
      </c>
      <c r="GJ26" s="1124"/>
      <c r="GK26" s="1125"/>
      <c r="GL26" s="1124"/>
      <c r="GM26" s="1125"/>
      <c r="GN26" s="1126"/>
      <c r="GO26" s="1125"/>
      <c r="GP26" s="1102">
        <v>55.46944444444445</v>
      </c>
      <c r="GQ26" s="1103">
        <v>7.509E11</v>
      </c>
      <c r="GR26" s="1124"/>
      <c r="GS26" s="1125"/>
      <c r="GT26" s="1124"/>
      <c r="GU26" s="1125"/>
      <c r="GV26" s="1126"/>
      <c r="GW26" s="1125"/>
      <c r="GX26" s="1168"/>
      <c r="GY26" s="1133"/>
      <c r="GZ26" s="1124"/>
      <c r="HA26" s="1125"/>
      <c r="HB26" s="1107">
        <v>50.53888888888889</v>
      </c>
      <c r="HC26" s="1108">
        <v>1.2837E11</v>
      </c>
      <c r="HD26" s="1124"/>
      <c r="HE26" s="1125"/>
      <c r="HF26" s="1107">
        <v>51.07083333333333</v>
      </c>
      <c r="HG26" s="1108">
        <v>1.9309E11</v>
      </c>
      <c r="HH26" s="1124"/>
      <c r="HI26" s="1125"/>
      <c r="HJ26" s="1124"/>
      <c r="HK26" s="1125"/>
      <c r="HL26" s="1124"/>
      <c r="HM26" s="1125"/>
      <c r="HN26" s="1126"/>
      <c r="HO26" s="1125"/>
      <c r="HP26" s="1107">
        <v>244.029375</v>
      </c>
      <c r="HQ26" s="1108">
        <v>4.026E10</v>
      </c>
      <c r="HR26" s="1130">
        <v>74.29159722222222</v>
      </c>
      <c r="HS26" s="1129">
        <v>3.2254E11</v>
      </c>
      <c r="HT26" s="1130">
        <v>74.29159722222222</v>
      </c>
      <c r="HU26" s="1129">
        <v>3.2254E11</v>
      </c>
      <c r="HV26" s="1130">
        <v>74.29159722222222</v>
      </c>
      <c r="HW26" s="1129">
        <v>3.2254E11</v>
      </c>
      <c r="HX26" s="1130">
        <v>74.29159722222222</v>
      </c>
      <c r="HY26" s="1129">
        <v>3.2254E11</v>
      </c>
      <c r="HZ26" s="1124"/>
      <c r="IA26" s="1125"/>
      <c r="IB26" s="1124"/>
      <c r="IC26" s="1125"/>
      <c r="ID26" s="1124"/>
      <c r="IE26" s="1125"/>
      <c r="IF26" s="1124"/>
      <c r="IG26" s="1125"/>
      <c r="IH26" s="1113">
        <v>74.98541666666667</v>
      </c>
      <c r="II26" s="1114">
        <v>1.23E12</v>
      </c>
      <c r="IJ26" s="1113">
        <v>74.98541666666667</v>
      </c>
      <c r="IK26" s="1114">
        <v>1.23E12</v>
      </c>
      <c r="IL26" s="1113">
        <v>74.98541666666667</v>
      </c>
      <c r="IM26" s="1114">
        <v>1.47E12</v>
      </c>
      <c r="IN26" s="1113">
        <v>74.98541666666667</v>
      </c>
      <c r="IO26" s="1114">
        <v>1.47E12</v>
      </c>
      <c r="IP26" s="1113">
        <v>75.44861111111112</v>
      </c>
      <c r="IQ26" s="1114">
        <v>2.19E12</v>
      </c>
      <c r="IR26" s="1113">
        <v>74.98541666666667</v>
      </c>
      <c r="IS26" s="1114">
        <v>1.47E12</v>
      </c>
      <c r="IT26" s="1113">
        <v>74.98541666666667</v>
      </c>
      <c r="IU26" s="1114">
        <v>1.47E12</v>
      </c>
      <c r="IV26" s="1113">
        <v>74.98541666666667</v>
      </c>
      <c r="IW26" s="1114">
        <v>1.47E12</v>
      </c>
      <c r="IX26" s="1113">
        <v>74.98541666666667</v>
      </c>
      <c r="IY26" s="1114">
        <v>1.47E12</v>
      </c>
      <c r="IZ26" s="1113">
        <v>74.98541666666667</v>
      </c>
      <c r="JA26" s="1114">
        <v>1.71E12</v>
      </c>
      <c r="JB26" s="1113">
        <v>74.98541666666667</v>
      </c>
      <c r="JC26" s="1114">
        <v>1.71E12</v>
      </c>
      <c r="JD26" s="1113">
        <v>74.98541666666667</v>
      </c>
      <c r="JE26" s="1114">
        <v>1.71E12</v>
      </c>
      <c r="JF26" s="1113">
        <v>74.98541666666667</v>
      </c>
      <c r="JG26" s="1114">
        <v>1.71E12</v>
      </c>
      <c r="JH26" s="1124"/>
      <c r="JI26" s="1125"/>
      <c r="JJ26" s="1113">
        <v>259.18819444444443</v>
      </c>
      <c r="JK26" s="1115">
        <v>6.0E18</v>
      </c>
      <c r="JL26" s="1113">
        <v>259.18819444444443</v>
      </c>
      <c r="JM26" s="1115">
        <v>6.0E18</v>
      </c>
      <c r="JN26" s="1113">
        <v>259.18819444444443</v>
      </c>
      <c r="JO26" s="1115">
        <v>6.0E18</v>
      </c>
      <c r="JP26" s="1113">
        <v>259.18819444444443</v>
      </c>
      <c r="JQ26" s="1115">
        <v>6.0E18</v>
      </c>
      <c r="JR26" s="1113">
        <v>259.18819444444443</v>
      </c>
      <c r="JS26" s="1115">
        <v>6.0E18</v>
      </c>
      <c r="JT26" s="1113">
        <v>259.18819444444443</v>
      </c>
      <c r="JU26" s="1115">
        <v>6.0E18</v>
      </c>
      <c r="JV26" s="1113">
        <v>64.79652777777778</v>
      </c>
      <c r="JW26" s="1115">
        <v>2.295856929E15</v>
      </c>
      <c r="JX26" s="1169"/>
      <c r="JY26" s="1133"/>
      <c r="JZ26" s="1173">
        <v>2.500729167</v>
      </c>
      <c r="KA26" s="1120">
        <v>9.5E9</v>
      </c>
      <c r="KB26" s="1173">
        <v>3.689699074</v>
      </c>
      <c r="KC26" s="1174">
        <v>3.65E10</v>
      </c>
      <c r="KD26" s="1173">
        <v>14.46666667</v>
      </c>
      <c r="KE26" s="1120">
        <v>2.28E12</v>
      </c>
      <c r="KF26" s="1173">
        <v>14.46666667</v>
      </c>
      <c r="KG26" s="1120">
        <v>2.28E12</v>
      </c>
      <c r="KH26" s="1133"/>
      <c r="KI26" s="1133"/>
      <c r="KJ26" s="1133"/>
      <c r="KK26" s="1133"/>
      <c r="KL26" s="1133"/>
      <c r="KM26" s="1133"/>
      <c r="KN26" s="1133"/>
      <c r="KO26" s="1133"/>
      <c r="KP26" s="1133"/>
      <c r="KQ26" s="1133"/>
      <c r="KR26" s="1133"/>
      <c r="KS26" s="1133"/>
      <c r="KT26" s="1133"/>
      <c r="KU26" s="1133"/>
      <c r="KV26" s="1131">
        <v>259.18819444444443</v>
      </c>
      <c r="KW26" s="1132">
        <v>6.0E18</v>
      </c>
      <c r="KX26" s="1131">
        <v>259.18819444444443</v>
      </c>
      <c r="KY26" s="1132">
        <v>6.0E18</v>
      </c>
      <c r="KZ26" s="1131">
        <v>259.18819444444443</v>
      </c>
      <c r="LA26" s="1132">
        <v>6.0E18</v>
      </c>
      <c r="LB26" s="1131">
        <v>259.18819444444443</v>
      </c>
      <c r="LC26" s="1132">
        <v>6.0E18</v>
      </c>
      <c r="LD26" s="1131">
        <v>259.18819444444443</v>
      </c>
      <c r="LE26" s="1132">
        <v>6.0E18</v>
      </c>
      <c r="LF26" s="1131">
        <v>259.18819444444443</v>
      </c>
      <c r="LG26" s="1132">
        <v>6.0E18</v>
      </c>
      <c r="LH26" s="1131">
        <v>259.18819444444443</v>
      </c>
      <c r="LI26" s="1132">
        <v>6.0E18</v>
      </c>
      <c r="LJ26" s="1131">
        <v>259.18819444444443</v>
      </c>
      <c r="LK26" s="1132">
        <v>6.0E18</v>
      </c>
      <c r="LL26" s="1133"/>
      <c r="LM26" s="1133"/>
      <c r="LN26" s="1133"/>
      <c r="LO26" s="1133"/>
      <c r="LP26" s="1133"/>
      <c r="LQ26" s="1133"/>
      <c r="LR26" s="1133"/>
      <c r="LS26" s="1133"/>
      <c r="LT26" s="1133"/>
      <c r="LU26" s="1133"/>
      <c r="LV26" s="1133"/>
      <c r="LW26" s="1133"/>
      <c r="LX26" s="1133"/>
      <c r="LY26" s="1133"/>
      <c r="LZ26" s="1133"/>
      <c r="MA26" s="1133"/>
      <c r="MB26" s="1133"/>
      <c r="MC26" s="1133"/>
      <c r="MD26" s="1133"/>
      <c r="ME26" s="1133"/>
      <c r="MF26" s="1133"/>
      <c r="MG26" s="1133"/>
      <c r="MH26" s="1133"/>
      <c r="MI26" s="1133"/>
      <c r="MJ26" s="1133"/>
      <c r="MK26" s="1133"/>
      <c r="ML26" s="1133"/>
      <c r="MM26" s="1133"/>
      <c r="MN26" s="1133"/>
      <c r="MO26" s="1133"/>
      <c r="MP26" s="1133"/>
      <c r="MQ26" s="1133"/>
      <c r="MR26" s="1133"/>
      <c r="MS26" s="1133"/>
      <c r="MT26" s="1133"/>
      <c r="MU26" s="1133"/>
      <c r="MV26" s="1133"/>
      <c r="MW26" s="1133"/>
      <c r="MX26" s="1133"/>
      <c r="MY26" s="1133"/>
    </row>
    <row r="27">
      <c r="A27" s="1071">
        <v>25.0</v>
      </c>
      <c r="B27" s="1124"/>
      <c r="C27" s="1126"/>
      <c r="D27" s="1072">
        <v>1.7472222222222222</v>
      </c>
      <c r="E27" s="1073">
        <v>88120.0</v>
      </c>
      <c r="F27" s="1072">
        <v>1.7472222222222222</v>
      </c>
      <c r="G27" s="1073">
        <v>88120.0</v>
      </c>
      <c r="H27" s="1072">
        <v>1.7472222222222222</v>
      </c>
      <c r="I27" s="1073">
        <v>88120.0</v>
      </c>
      <c r="J27" s="1072">
        <v>1.7472222222222222</v>
      </c>
      <c r="K27" s="1073">
        <v>88120.0</v>
      </c>
      <c r="L27" s="1072">
        <v>2.81875</v>
      </c>
      <c r="M27" s="1075">
        <v>229870.0</v>
      </c>
      <c r="N27" s="1076">
        <v>1.9041666666666666</v>
      </c>
      <c r="O27" s="1073">
        <v>247700.0</v>
      </c>
      <c r="P27" s="1124"/>
      <c r="Q27" s="1125"/>
      <c r="R27" s="1124"/>
      <c r="S27" s="1125"/>
      <c r="T27" s="1124"/>
      <c r="U27" s="1125"/>
      <c r="V27" s="1124"/>
      <c r="W27" s="1125"/>
      <c r="X27" s="1124"/>
      <c r="Y27" s="1125"/>
      <c r="Z27" s="1124"/>
      <c r="AA27" s="1125"/>
      <c r="AB27" s="1124"/>
      <c r="AC27" s="1125"/>
      <c r="AD27" s="1072">
        <v>26.99861111111111</v>
      </c>
      <c r="AE27" s="1080">
        <v>5.4280077040000006E11</v>
      </c>
      <c r="AF27" s="1072">
        <v>26.99861111111111</v>
      </c>
      <c r="AG27" s="1080">
        <v>5.4280077040000006E11</v>
      </c>
      <c r="AH27" s="1072">
        <v>26.99861111111111</v>
      </c>
      <c r="AI27" s="1080">
        <v>5.4280077040000006E11</v>
      </c>
      <c r="AJ27" s="1081">
        <v>1.7472222222222222</v>
      </c>
      <c r="AK27" s="1082">
        <v>88120.0</v>
      </c>
      <c r="AL27" s="1081">
        <v>1.7472222222222222</v>
      </c>
      <c r="AM27" s="1082">
        <v>88120.0</v>
      </c>
      <c r="AN27" s="1081">
        <v>1.7472222222222222</v>
      </c>
      <c r="AO27" s="1082">
        <v>88120.0</v>
      </c>
      <c r="AP27" s="1081">
        <v>1.7472222222222222</v>
      </c>
      <c r="AQ27" s="1082">
        <v>88120.0</v>
      </c>
      <c r="AR27" s="1081">
        <v>1.7472222222222222</v>
      </c>
      <c r="AS27" s="1082">
        <v>88130.0</v>
      </c>
      <c r="AT27" s="1081">
        <v>522.5868055555555</v>
      </c>
      <c r="AU27" s="1082">
        <v>3.07E9</v>
      </c>
      <c r="AV27" s="1081">
        <v>283.8458333333333</v>
      </c>
      <c r="AW27" s="1082">
        <v>3.07E9</v>
      </c>
      <c r="AX27" s="1081">
        <v>18.241666666666667</v>
      </c>
      <c r="AY27" s="1082">
        <v>1.25E12</v>
      </c>
      <c r="AZ27" s="1124"/>
      <c r="BA27" s="1124"/>
      <c r="BB27" s="1083">
        <v>1.7472222222222222</v>
      </c>
      <c r="BC27" s="1084">
        <v>88120.0</v>
      </c>
      <c r="BD27" s="1083">
        <v>1.7472222222222222</v>
      </c>
      <c r="BE27" s="1084">
        <v>88120.0</v>
      </c>
      <c r="BF27" s="1083">
        <v>1.7472222222222222</v>
      </c>
      <c r="BG27" s="1084">
        <v>88120.0</v>
      </c>
      <c r="BH27" s="1083">
        <v>29.93402777777778</v>
      </c>
      <c r="BI27" s="1084">
        <v>3.3182E8</v>
      </c>
      <c r="BJ27" s="1124"/>
      <c r="BK27" s="1125"/>
      <c r="BL27" s="1124"/>
      <c r="BM27" s="1125"/>
      <c r="BN27" s="1083">
        <v>58.270833333333336</v>
      </c>
      <c r="BO27" s="1084">
        <v>8.61E9</v>
      </c>
      <c r="BP27" s="1124"/>
      <c r="BQ27" s="1125"/>
      <c r="BR27" s="1126"/>
      <c r="BS27" s="1125"/>
      <c r="BT27" s="1085">
        <v>1.9506944444444443</v>
      </c>
      <c r="BU27" s="1086">
        <v>9.39E9</v>
      </c>
      <c r="BV27" s="1126"/>
      <c r="BW27" s="1126"/>
      <c r="BX27" s="1085">
        <v>138.94946759259258</v>
      </c>
      <c r="BY27" s="1086">
        <v>1.8051E11</v>
      </c>
      <c r="BZ27" s="1126"/>
      <c r="CA27" s="1126"/>
      <c r="CB27" s="1126"/>
      <c r="CC27" s="1125"/>
      <c r="CD27" s="1083">
        <v>9.131539351851853</v>
      </c>
      <c r="CE27" s="1087">
        <v>9.9168E11</v>
      </c>
      <c r="CF27" s="1133"/>
      <c r="CG27" s="1167"/>
      <c r="CH27" s="1088">
        <v>1.7472222222222222</v>
      </c>
      <c r="CI27" s="1089">
        <v>88130.0</v>
      </c>
      <c r="CJ27" s="1088">
        <v>1.7472222222222222</v>
      </c>
      <c r="CK27" s="1089">
        <v>88130.0</v>
      </c>
      <c r="CL27" s="1088">
        <v>1.7472222222222222</v>
      </c>
      <c r="CM27" s="1089">
        <v>88130.0</v>
      </c>
      <c r="CN27" s="1088">
        <v>1.7472222222222222</v>
      </c>
      <c r="CO27" s="1089">
        <v>88130.0</v>
      </c>
      <c r="CP27" s="1088">
        <v>3.2805555555555554</v>
      </c>
      <c r="CQ27" s="1089">
        <v>247710.0</v>
      </c>
      <c r="CR27" s="1124"/>
      <c r="CS27" s="1125"/>
      <c r="CT27" s="1126"/>
      <c r="CU27" s="1125"/>
      <c r="CV27" s="1126"/>
      <c r="CW27" s="1125"/>
      <c r="CX27" s="1126"/>
      <c r="CY27" s="1125"/>
      <c r="CZ27" s="1126"/>
      <c r="DA27" s="1126"/>
      <c r="DB27" s="1126"/>
      <c r="DC27" s="1126"/>
      <c r="DD27" s="1126"/>
      <c r="DE27" s="1125"/>
      <c r="DF27" s="1126"/>
      <c r="DG27" s="1125"/>
      <c r="DH27" s="1124"/>
      <c r="DI27" s="1125"/>
      <c r="DJ27" s="1124"/>
      <c r="DK27" s="1125"/>
      <c r="DL27" s="1092">
        <v>59.03472222222222</v>
      </c>
      <c r="DM27" s="1093">
        <v>8.61E9</v>
      </c>
      <c r="DN27" s="1124"/>
      <c r="DO27" s="1125"/>
      <c r="DP27" s="1092">
        <v>59.03472222222222</v>
      </c>
      <c r="DQ27" s="1093">
        <v>8.61E9</v>
      </c>
      <c r="DR27" s="1092">
        <v>59.03472222222222</v>
      </c>
      <c r="DS27" s="1093">
        <v>8.61E9</v>
      </c>
      <c r="DT27" s="1124"/>
      <c r="DU27" s="1125"/>
      <c r="DV27" s="1092">
        <v>59.03472222222222</v>
      </c>
      <c r="DW27" s="1093">
        <v>8.61E9</v>
      </c>
      <c r="DX27" s="1092">
        <v>59.03472222222222</v>
      </c>
      <c r="DY27" s="1093">
        <v>8.61E9</v>
      </c>
      <c r="DZ27" s="1092">
        <v>64.86805555555556</v>
      </c>
      <c r="EA27" s="1093">
        <v>2.619E10</v>
      </c>
      <c r="EB27" s="1124"/>
      <c r="EC27" s="1125"/>
      <c r="ED27" s="1124"/>
      <c r="EE27" s="1125"/>
      <c r="EF27" s="1092">
        <v>64.03472222222223</v>
      </c>
      <c r="EG27" s="1093">
        <v>2.619E10</v>
      </c>
      <c r="EH27" s="1124"/>
      <c r="EI27" s="1125"/>
      <c r="EJ27" s="1092">
        <v>14.09173611111111</v>
      </c>
      <c r="EK27" s="1093">
        <v>9.8443E8</v>
      </c>
      <c r="EL27" s="1169"/>
      <c r="EM27" s="1167"/>
      <c r="EN27" s="1124"/>
      <c r="EO27" s="1125"/>
      <c r="EP27" s="1124"/>
      <c r="EQ27" s="1125"/>
      <c r="ER27" s="1124"/>
      <c r="ES27" s="1125"/>
      <c r="ET27" s="1092">
        <v>64.03472222222223</v>
      </c>
      <c r="EU27" s="1093">
        <v>2.619E10</v>
      </c>
      <c r="EV27" s="1124"/>
      <c r="EW27" s="1125"/>
      <c r="EX27" s="1124"/>
      <c r="EY27" s="1125"/>
      <c r="EZ27" s="1124"/>
      <c r="FA27" s="1125"/>
      <c r="FB27" s="1126"/>
      <c r="FC27" s="1125"/>
      <c r="FD27" s="1126"/>
      <c r="FE27" s="1125"/>
      <c r="FF27" s="1126"/>
      <c r="FG27" s="1125"/>
      <c r="FH27" s="1126"/>
      <c r="FI27" s="1126"/>
      <c r="FJ27" s="1126"/>
      <c r="FK27" s="1125"/>
      <c r="FL27" s="1124"/>
      <c r="FM27" s="1125"/>
      <c r="FN27" s="1139"/>
      <c r="FO27" s="1126"/>
      <c r="FP27" s="1092">
        <v>126.48857638888889</v>
      </c>
      <c r="FQ27" s="1094">
        <v>1.68E15</v>
      </c>
      <c r="FR27" s="1139"/>
      <c r="FS27" s="1126"/>
      <c r="FT27" s="1092">
        <v>126.48857638888889</v>
      </c>
      <c r="FU27" s="1094">
        <v>1.68E15</v>
      </c>
      <c r="FV27" s="1092">
        <v>126.48857638888889</v>
      </c>
      <c r="FW27" s="1094">
        <v>1.68E15</v>
      </c>
      <c r="FX27" s="1133"/>
      <c r="FY27" s="1133"/>
      <c r="FZ27" s="1097">
        <v>126.48857638888889</v>
      </c>
      <c r="GA27" s="1098">
        <v>1.68E15</v>
      </c>
      <c r="GB27" s="1133"/>
      <c r="GC27" s="1133"/>
      <c r="GD27" s="1133"/>
      <c r="GE27" s="1167"/>
      <c r="GF27" s="1124"/>
      <c r="GG27" s="1125"/>
      <c r="GH27" s="1100">
        <v>63.24305555555556</v>
      </c>
      <c r="GI27" s="1101">
        <v>7.964E10</v>
      </c>
      <c r="GJ27" s="1124"/>
      <c r="GK27" s="1125"/>
      <c r="GL27" s="1124"/>
      <c r="GM27" s="1125"/>
      <c r="GN27" s="1126"/>
      <c r="GO27" s="1125"/>
      <c r="GP27" s="1102">
        <v>63.40972222222222</v>
      </c>
      <c r="GQ27" s="1134">
        <v>7.7237E11</v>
      </c>
      <c r="GR27" s="1124"/>
      <c r="GS27" s="1125"/>
      <c r="GT27" s="1124"/>
      <c r="GU27" s="1125"/>
      <c r="GV27" s="1126"/>
      <c r="GW27" s="1125"/>
      <c r="GX27" s="1168"/>
      <c r="GY27" s="1133"/>
      <c r="GZ27" s="1124"/>
      <c r="HA27" s="1125"/>
      <c r="HB27" s="1107">
        <v>58.270833333333336</v>
      </c>
      <c r="HC27" s="1108">
        <v>1.5925E11</v>
      </c>
      <c r="HD27" s="1124"/>
      <c r="HE27" s="1125"/>
      <c r="HF27" s="1107">
        <v>58.826388888888886</v>
      </c>
      <c r="HG27" s="1108">
        <v>2.3888E11</v>
      </c>
      <c r="HH27" s="1124"/>
      <c r="HI27" s="1125"/>
      <c r="HJ27" s="1124"/>
      <c r="HK27" s="1125"/>
      <c r="HL27" s="1124"/>
      <c r="HM27" s="1125"/>
      <c r="HN27" s="1126"/>
      <c r="HO27" s="1125"/>
      <c r="HP27" s="1107">
        <v>287.0002199074074</v>
      </c>
      <c r="HQ27" s="1108">
        <v>4.876E10</v>
      </c>
      <c r="HR27" s="1130">
        <v>85.3490625</v>
      </c>
      <c r="HS27" s="1129">
        <v>3.9888E11</v>
      </c>
      <c r="HT27" s="1130">
        <v>85.3490625</v>
      </c>
      <c r="HU27" s="1129">
        <v>3.9888E11</v>
      </c>
      <c r="HV27" s="1130">
        <v>85.3490625</v>
      </c>
      <c r="HW27" s="1129">
        <v>3.9888E11</v>
      </c>
      <c r="HX27" s="1130">
        <v>85.3490625</v>
      </c>
      <c r="HY27" s="1129">
        <v>3.9888E11</v>
      </c>
      <c r="HZ27" s="1124"/>
      <c r="IA27" s="1125"/>
      <c r="IB27" s="1124"/>
      <c r="IC27" s="1125"/>
      <c r="ID27" s="1124"/>
      <c r="IE27" s="1125"/>
      <c r="IF27" s="1124"/>
      <c r="IG27" s="1125"/>
      <c r="IH27" s="1113">
        <v>86.04305555555555</v>
      </c>
      <c r="II27" s="1114">
        <v>1.38E12</v>
      </c>
      <c r="IJ27" s="1113">
        <v>86.04305555555555</v>
      </c>
      <c r="IK27" s="1114">
        <v>1.38E12</v>
      </c>
      <c r="IL27" s="1113">
        <v>86.04305555555555</v>
      </c>
      <c r="IM27" s="1114">
        <v>1.63E12</v>
      </c>
      <c r="IN27" s="1113">
        <v>86.04305555555555</v>
      </c>
      <c r="IO27" s="1114">
        <v>1.63E12</v>
      </c>
      <c r="IP27" s="1113">
        <v>86.50625</v>
      </c>
      <c r="IQ27" s="1114">
        <v>2.38E12</v>
      </c>
      <c r="IR27" s="1113">
        <v>86.04305555555555</v>
      </c>
      <c r="IS27" s="1114">
        <v>1.63E12</v>
      </c>
      <c r="IT27" s="1113">
        <v>86.04305555555555</v>
      </c>
      <c r="IU27" s="1114">
        <v>1.63E12</v>
      </c>
      <c r="IV27" s="1113">
        <v>86.04305555555555</v>
      </c>
      <c r="IW27" s="1114">
        <v>1.63E12</v>
      </c>
      <c r="IX27" s="1113">
        <v>86.04305555555555</v>
      </c>
      <c r="IY27" s="1114">
        <v>1.63E12</v>
      </c>
      <c r="IZ27" s="1113">
        <v>86.04305555555555</v>
      </c>
      <c r="JA27" s="1114">
        <v>1.88E12</v>
      </c>
      <c r="JB27" s="1113">
        <v>86.04305555555555</v>
      </c>
      <c r="JC27" s="1114">
        <v>1.88E12</v>
      </c>
      <c r="JD27" s="1113">
        <v>86.04305555555555</v>
      </c>
      <c r="JE27" s="1114">
        <v>1.88E12</v>
      </c>
      <c r="JF27" s="1113">
        <v>86.04305555555555</v>
      </c>
      <c r="JG27" s="1114">
        <v>1.88E12</v>
      </c>
      <c r="JH27" s="1124"/>
      <c r="JI27" s="1125"/>
      <c r="JJ27" s="1113">
        <v>269.9875</v>
      </c>
      <c r="JK27" s="1115">
        <v>6.25E18</v>
      </c>
      <c r="JL27" s="1113">
        <v>269.9875</v>
      </c>
      <c r="JM27" s="1115">
        <v>6.25E18</v>
      </c>
      <c r="JN27" s="1113">
        <v>269.9875</v>
      </c>
      <c r="JO27" s="1115">
        <v>6.25E18</v>
      </c>
      <c r="JP27" s="1113">
        <v>269.9875</v>
      </c>
      <c r="JQ27" s="1115">
        <v>6.25E18</v>
      </c>
      <c r="JR27" s="1113">
        <v>269.9875</v>
      </c>
      <c r="JS27" s="1115">
        <v>6.25E18</v>
      </c>
      <c r="JT27" s="1113">
        <v>269.9875</v>
      </c>
      <c r="JU27" s="1115">
        <v>6.25E18</v>
      </c>
      <c r="JV27" s="1113">
        <v>67.49652777777777</v>
      </c>
      <c r="JW27" s="1115">
        <v>3.2141997E15</v>
      </c>
      <c r="JX27" s="1169"/>
      <c r="JY27" s="1133"/>
      <c r="JZ27" s="1173">
        <v>2.561828704</v>
      </c>
      <c r="KA27" s="1120">
        <v>1.066E10</v>
      </c>
      <c r="KB27" s="1173">
        <v>3.885972222</v>
      </c>
      <c r="KC27" s="1174">
        <v>4.147E10</v>
      </c>
      <c r="KD27" s="1173">
        <v>15.30664352</v>
      </c>
      <c r="KE27" s="1120">
        <v>2.62E12</v>
      </c>
      <c r="KF27" s="1173">
        <v>15.30664352</v>
      </c>
      <c r="KG27" s="1120">
        <v>2.62E12</v>
      </c>
      <c r="KH27" s="1133"/>
      <c r="KI27" s="1133"/>
      <c r="KJ27" s="1133"/>
      <c r="KK27" s="1133"/>
      <c r="KL27" s="1133"/>
      <c r="KM27" s="1133"/>
      <c r="KN27" s="1133"/>
      <c r="KO27" s="1133"/>
      <c r="KP27" s="1133"/>
      <c r="KQ27" s="1133"/>
      <c r="KR27" s="1133"/>
      <c r="KS27" s="1133"/>
      <c r="KT27" s="1133"/>
      <c r="KU27" s="1133"/>
      <c r="KV27" s="1131">
        <v>269.9875</v>
      </c>
      <c r="KW27" s="1132">
        <v>6.25E18</v>
      </c>
      <c r="KX27" s="1131">
        <v>269.9875</v>
      </c>
      <c r="KY27" s="1132">
        <v>6.25E18</v>
      </c>
      <c r="KZ27" s="1131">
        <v>269.9875</v>
      </c>
      <c r="LA27" s="1132">
        <v>6.25E18</v>
      </c>
      <c r="LB27" s="1131">
        <v>269.9875</v>
      </c>
      <c r="LC27" s="1132">
        <v>6.25E18</v>
      </c>
      <c r="LD27" s="1131">
        <v>269.9875</v>
      </c>
      <c r="LE27" s="1132">
        <v>6.25E18</v>
      </c>
      <c r="LF27" s="1131">
        <v>269.9875</v>
      </c>
      <c r="LG27" s="1132">
        <v>6.25E18</v>
      </c>
      <c r="LH27" s="1131">
        <v>269.9875</v>
      </c>
      <c r="LI27" s="1132">
        <v>6.25E18</v>
      </c>
      <c r="LJ27" s="1131">
        <v>269.9875</v>
      </c>
      <c r="LK27" s="1132">
        <v>6.25E18</v>
      </c>
      <c r="LL27" s="1133"/>
      <c r="LM27" s="1133"/>
      <c r="LN27" s="1133"/>
      <c r="LO27" s="1133"/>
      <c r="LP27" s="1133"/>
      <c r="LQ27" s="1133"/>
      <c r="LR27" s="1133"/>
      <c r="LS27" s="1133"/>
      <c r="LT27" s="1133"/>
      <c r="LU27" s="1133"/>
      <c r="LV27" s="1133"/>
      <c r="LW27" s="1133"/>
      <c r="LX27" s="1133"/>
      <c r="LY27" s="1133"/>
      <c r="LZ27" s="1133"/>
      <c r="MA27" s="1133"/>
      <c r="MB27" s="1133"/>
      <c r="MC27" s="1133"/>
      <c r="MD27" s="1133"/>
      <c r="ME27" s="1133"/>
      <c r="MF27" s="1133"/>
      <c r="MG27" s="1133"/>
      <c r="MH27" s="1133"/>
      <c r="MI27" s="1133"/>
      <c r="MJ27" s="1133"/>
      <c r="MK27" s="1133"/>
      <c r="ML27" s="1133"/>
      <c r="MM27" s="1133"/>
      <c r="MN27" s="1133"/>
      <c r="MO27" s="1133"/>
      <c r="MP27" s="1133"/>
      <c r="MQ27" s="1133"/>
      <c r="MR27" s="1133"/>
      <c r="MS27" s="1133"/>
      <c r="MT27" s="1133"/>
      <c r="MU27" s="1133"/>
      <c r="MV27" s="1133"/>
      <c r="MW27" s="1133"/>
      <c r="MX27" s="1133"/>
      <c r="MY27" s="1133"/>
    </row>
    <row r="28">
      <c r="A28" s="1071">
        <v>26.0</v>
      </c>
      <c r="B28" s="1124"/>
      <c r="C28" s="1126"/>
      <c r="D28" s="1072">
        <v>1.9215277777777777</v>
      </c>
      <c r="E28" s="1073">
        <v>98530.0</v>
      </c>
      <c r="F28" s="1072">
        <v>1.9215277777777777</v>
      </c>
      <c r="G28" s="1073">
        <v>98530.0</v>
      </c>
      <c r="H28" s="1072">
        <v>1.9215277777777777</v>
      </c>
      <c r="I28" s="1073">
        <v>98530.0</v>
      </c>
      <c r="J28" s="1072">
        <v>1.9215277777777777</v>
      </c>
      <c r="K28" s="1073">
        <v>98530.0</v>
      </c>
      <c r="L28" s="1072">
        <v>3.11875</v>
      </c>
      <c r="M28" s="1075">
        <v>259970.0</v>
      </c>
      <c r="N28" s="1076">
        <v>2.0791666666666666</v>
      </c>
      <c r="O28" s="1073">
        <v>281050.0</v>
      </c>
      <c r="P28" s="1124"/>
      <c r="Q28" s="1125"/>
      <c r="R28" s="1124"/>
      <c r="S28" s="1125"/>
      <c r="T28" s="1124"/>
      <c r="U28" s="1125"/>
      <c r="V28" s="1124"/>
      <c r="W28" s="1125"/>
      <c r="X28" s="1124"/>
      <c r="Y28" s="1125"/>
      <c r="Z28" s="1124"/>
      <c r="AA28" s="1125"/>
      <c r="AB28" s="1124"/>
      <c r="AC28" s="1125"/>
      <c r="AD28" s="1072">
        <v>28.07847222222222</v>
      </c>
      <c r="AE28" s="1080">
        <v>7.056410015E11</v>
      </c>
      <c r="AF28" s="1072">
        <v>28.07847222222222</v>
      </c>
      <c r="AG28" s="1080">
        <v>7.056410015E11</v>
      </c>
      <c r="AH28" s="1072">
        <v>28.07847222222222</v>
      </c>
      <c r="AI28" s="1080">
        <v>7.056410015E11</v>
      </c>
      <c r="AJ28" s="1081">
        <v>1.9215277777777777</v>
      </c>
      <c r="AK28" s="1082">
        <v>98530.0</v>
      </c>
      <c r="AL28" s="1081">
        <v>1.9215277777777777</v>
      </c>
      <c r="AM28" s="1082">
        <v>98530.0</v>
      </c>
      <c r="AN28" s="1081">
        <v>1.9215277777777777</v>
      </c>
      <c r="AO28" s="1082">
        <v>98530.0</v>
      </c>
      <c r="AP28" s="1081">
        <v>1.9215277777777777</v>
      </c>
      <c r="AQ28" s="1082">
        <v>98530.0</v>
      </c>
      <c r="AR28" s="1081">
        <v>1.9215277777777777</v>
      </c>
      <c r="AS28" s="1082">
        <v>98540.0</v>
      </c>
      <c r="AT28" s="1081">
        <v>618.0902777777778</v>
      </c>
      <c r="AU28" s="1082">
        <v>3.72E9</v>
      </c>
      <c r="AV28" s="1081">
        <v>332.1034722222222</v>
      </c>
      <c r="AW28" s="1082">
        <v>3.72E9</v>
      </c>
      <c r="AX28" s="1081">
        <v>18.903472222222224</v>
      </c>
      <c r="AY28" s="1082">
        <v>1.3E12</v>
      </c>
      <c r="AZ28" s="1124"/>
      <c r="BA28" s="1124"/>
      <c r="BB28" s="1083">
        <v>1.9215277777777777</v>
      </c>
      <c r="BC28" s="1084">
        <v>98530.0</v>
      </c>
      <c r="BD28" s="1083">
        <v>1.9215277777777777</v>
      </c>
      <c r="BE28" s="1084">
        <v>98530.0</v>
      </c>
      <c r="BF28" s="1083">
        <v>1.9215277777777777</v>
      </c>
      <c r="BG28" s="1084">
        <v>98530.0</v>
      </c>
      <c r="BH28" s="1083">
        <v>34.15902777777778</v>
      </c>
      <c r="BI28" s="1084">
        <v>3.9067E8</v>
      </c>
      <c r="BJ28" s="1124"/>
      <c r="BK28" s="1125"/>
      <c r="BL28" s="1124"/>
      <c r="BM28" s="1125"/>
      <c r="BN28" s="1083">
        <v>66.83680555555556</v>
      </c>
      <c r="BO28" s="1084">
        <v>1.026E10</v>
      </c>
      <c r="BP28" s="1124"/>
      <c r="BQ28" s="1125"/>
      <c r="BR28" s="1126"/>
      <c r="BS28" s="1125"/>
      <c r="BT28" s="1085">
        <v>2.124305555555556</v>
      </c>
      <c r="BU28" s="1086">
        <v>1.01E10</v>
      </c>
      <c r="BV28" s="1126"/>
      <c r="BW28" s="1126"/>
      <c r="BX28" s="1085">
        <v>159.79188657407408</v>
      </c>
      <c r="BY28" s="1086">
        <v>1.8783E11</v>
      </c>
      <c r="BZ28" s="1126"/>
      <c r="CA28" s="1126"/>
      <c r="CB28" s="1126"/>
      <c r="CC28" s="1125"/>
      <c r="CD28" s="1083">
        <v>9.738703703703704</v>
      </c>
      <c r="CE28" s="1087">
        <v>1.0800000000000001E12</v>
      </c>
      <c r="CF28" s="1133"/>
      <c r="CG28" s="1167"/>
      <c r="CH28" s="1088">
        <v>1.9215277777777777</v>
      </c>
      <c r="CI28" s="1089">
        <v>98540.0</v>
      </c>
      <c r="CJ28" s="1088">
        <v>1.9215277777777777</v>
      </c>
      <c r="CK28" s="1089">
        <v>98540.0</v>
      </c>
      <c r="CL28" s="1088">
        <v>1.9215277777777777</v>
      </c>
      <c r="CM28" s="1089">
        <v>98540.0</v>
      </c>
      <c r="CN28" s="1088">
        <v>1.9215277777777777</v>
      </c>
      <c r="CO28" s="1089">
        <v>98540.0</v>
      </c>
      <c r="CP28" s="1088">
        <v>3.6381944444444443</v>
      </c>
      <c r="CQ28" s="1089">
        <v>281060.0</v>
      </c>
      <c r="CR28" s="1124"/>
      <c r="CS28" s="1125"/>
      <c r="CT28" s="1126"/>
      <c r="CU28" s="1125"/>
      <c r="CV28" s="1126"/>
      <c r="CW28" s="1125"/>
      <c r="CX28" s="1126"/>
      <c r="CY28" s="1125"/>
      <c r="CZ28" s="1126"/>
      <c r="DA28" s="1126"/>
      <c r="DB28" s="1126"/>
      <c r="DC28" s="1126"/>
      <c r="DD28" s="1126"/>
      <c r="DE28" s="1125"/>
      <c r="DF28" s="1126"/>
      <c r="DG28" s="1125"/>
      <c r="DH28" s="1124"/>
      <c r="DI28" s="1125"/>
      <c r="DJ28" s="1124"/>
      <c r="DK28" s="1125"/>
      <c r="DL28" s="1092">
        <v>67.60069444444444</v>
      </c>
      <c r="DM28" s="1093">
        <v>1.026E10</v>
      </c>
      <c r="DN28" s="1124"/>
      <c r="DO28" s="1125"/>
      <c r="DP28" s="1092">
        <v>67.60069444444444</v>
      </c>
      <c r="DQ28" s="1093">
        <v>1.026E10</v>
      </c>
      <c r="DR28" s="1092">
        <v>67.60069444444444</v>
      </c>
      <c r="DS28" s="1093">
        <v>1.026E10</v>
      </c>
      <c r="DT28" s="1124"/>
      <c r="DU28" s="1125"/>
      <c r="DV28" s="1092">
        <v>67.60069444444444</v>
      </c>
      <c r="DW28" s="1093">
        <v>1.026E10</v>
      </c>
      <c r="DX28" s="1092">
        <v>67.60069444444444</v>
      </c>
      <c r="DY28" s="1093">
        <v>1.026E10</v>
      </c>
      <c r="DZ28" s="1126"/>
      <c r="EA28" s="1125"/>
      <c r="EB28" s="1126"/>
      <c r="EC28" s="1125"/>
      <c r="ED28" s="1124"/>
      <c r="EE28" s="1125"/>
      <c r="EF28" s="1092">
        <v>72.80902777777777</v>
      </c>
      <c r="EG28" s="1093">
        <v>3.166E10</v>
      </c>
      <c r="EH28" s="1124"/>
      <c r="EI28" s="1125"/>
      <c r="EJ28" s="1092">
        <v>14.684594907407407</v>
      </c>
      <c r="EK28" s="1093">
        <v>1.09E9</v>
      </c>
      <c r="EL28" s="1169"/>
      <c r="EM28" s="1167"/>
      <c r="EN28" s="1124"/>
      <c r="EO28" s="1125"/>
      <c r="EP28" s="1124"/>
      <c r="EQ28" s="1125"/>
      <c r="ER28" s="1124"/>
      <c r="ES28" s="1125"/>
      <c r="ET28" s="1124"/>
      <c r="EU28" s="1125"/>
      <c r="EV28" s="1124"/>
      <c r="EW28" s="1125"/>
      <c r="EX28" s="1124"/>
      <c r="EY28" s="1125"/>
      <c r="EZ28" s="1124"/>
      <c r="FA28" s="1125"/>
      <c r="FB28" s="1126"/>
      <c r="FC28" s="1125"/>
      <c r="FD28" s="1126"/>
      <c r="FE28" s="1125"/>
      <c r="FF28" s="1126"/>
      <c r="FG28" s="1125"/>
      <c r="FH28" s="1126"/>
      <c r="FI28" s="1126"/>
      <c r="FJ28" s="1126"/>
      <c r="FK28" s="1125"/>
      <c r="FL28" s="1124"/>
      <c r="FM28" s="1125"/>
      <c r="FN28" s="1139"/>
      <c r="FO28" s="1126"/>
      <c r="FP28" s="1092">
        <v>141.66721064814814</v>
      </c>
      <c r="FQ28" s="1094">
        <v>2.53E15</v>
      </c>
      <c r="FR28" s="1139"/>
      <c r="FS28" s="1126"/>
      <c r="FT28" s="1092">
        <v>141.66721064814814</v>
      </c>
      <c r="FU28" s="1094">
        <v>2.53E15</v>
      </c>
      <c r="FV28" s="1092">
        <v>141.66721064814814</v>
      </c>
      <c r="FW28" s="1094">
        <v>2.53E15</v>
      </c>
      <c r="FX28" s="1133"/>
      <c r="FY28" s="1133"/>
      <c r="FZ28" s="1097">
        <v>141.66721064814814</v>
      </c>
      <c r="GA28" s="1098">
        <v>2.53E15</v>
      </c>
      <c r="GB28" s="1133"/>
      <c r="GC28" s="1133"/>
      <c r="GD28" s="1133"/>
      <c r="GE28" s="1167"/>
      <c r="GF28" s="1124"/>
      <c r="GG28" s="1125"/>
      <c r="GH28" s="1100">
        <v>72.01736111111111</v>
      </c>
      <c r="GI28" s="1101">
        <v>9.767E10</v>
      </c>
      <c r="GJ28" s="1124"/>
      <c r="GK28" s="1125"/>
      <c r="GL28" s="1124"/>
      <c r="GM28" s="1125"/>
      <c r="GN28" s="1126"/>
      <c r="GO28" s="1125"/>
      <c r="GP28" s="1102">
        <v>72.18402777777779</v>
      </c>
      <c r="GQ28" s="1134">
        <v>9.0456E11</v>
      </c>
      <c r="GR28" s="1124"/>
      <c r="GS28" s="1125"/>
      <c r="GT28" s="1124"/>
      <c r="GU28" s="1125"/>
      <c r="GV28" s="1126"/>
      <c r="GW28" s="1125"/>
      <c r="GX28" s="1168"/>
      <c r="GY28" s="1133"/>
      <c r="GZ28" s="1124"/>
      <c r="HA28" s="1125"/>
      <c r="HB28" s="1107">
        <v>66.83680555555556</v>
      </c>
      <c r="HC28" s="1108">
        <v>1.9532E11</v>
      </c>
      <c r="HD28" s="1124"/>
      <c r="HE28" s="1125"/>
      <c r="HF28" s="1124"/>
      <c r="HG28" s="1175"/>
      <c r="HH28" s="1124"/>
      <c r="HI28" s="1125"/>
      <c r="HJ28" s="1124"/>
      <c r="HK28" s="1125"/>
      <c r="HL28" s="1124"/>
      <c r="HM28" s="1125"/>
      <c r="HN28" s="1126"/>
      <c r="HO28" s="1125"/>
      <c r="HP28" s="1107">
        <v>335.45966435185187</v>
      </c>
      <c r="HQ28" s="1108">
        <v>5.86E10</v>
      </c>
      <c r="HR28" s="1124"/>
      <c r="HS28" s="1125"/>
      <c r="HT28" s="1124"/>
      <c r="HU28" s="1125"/>
      <c r="HV28" s="1124"/>
      <c r="HW28" s="1125"/>
      <c r="HX28" s="1124"/>
      <c r="HY28" s="1125"/>
      <c r="HZ28" s="1124"/>
      <c r="IA28" s="1125"/>
      <c r="IB28" s="1124"/>
      <c r="IC28" s="1125"/>
      <c r="ID28" s="1124"/>
      <c r="IE28" s="1125"/>
      <c r="IF28" s="1124"/>
      <c r="IG28" s="1125"/>
      <c r="IH28" s="1113">
        <v>98.32569444444445</v>
      </c>
      <c r="II28" s="1114">
        <v>1.55E12</v>
      </c>
      <c r="IJ28" s="1113">
        <v>98.32569444444445</v>
      </c>
      <c r="IK28" s="1114">
        <v>1.55E12</v>
      </c>
      <c r="IL28" s="1113">
        <v>98.32569444444445</v>
      </c>
      <c r="IM28" s="1114">
        <v>1.81E12</v>
      </c>
      <c r="IN28" s="1113">
        <v>98.32569444444445</v>
      </c>
      <c r="IO28" s="1114">
        <v>1.81E12</v>
      </c>
      <c r="IP28" s="1113">
        <v>98.78888888888889</v>
      </c>
      <c r="IQ28" s="1114">
        <v>2.59E12</v>
      </c>
      <c r="IR28" s="1113">
        <v>98.32569444444445</v>
      </c>
      <c r="IS28" s="1114">
        <v>1.81E12</v>
      </c>
      <c r="IT28" s="1113">
        <v>98.32569444444445</v>
      </c>
      <c r="IU28" s="1114">
        <v>1.81E12</v>
      </c>
      <c r="IV28" s="1113">
        <v>98.32569444444445</v>
      </c>
      <c r="IW28" s="1114">
        <v>1.81E12</v>
      </c>
      <c r="IX28" s="1113">
        <v>98.32569444444445</v>
      </c>
      <c r="IY28" s="1114">
        <v>1.81E12</v>
      </c>
      <c r="IZ28" s="1113">
        <v>98.32569444444445</v>
      </c>
      <c r="JA28" s="1114">
        <v>2.07E12</v>
      </c>
      <c r="JB28" s="1113">
        <v>98.32569444444445</v>
      </c>
      <c r="JC28" s="1114">
        <v>2.07E12</v>
      </c>
      <c r="JD28" s="1113">
        <v>98.32569444444445</v>
      </c>
      <c r="JE28" s="1114">
        <v>2.07E12</v>
      </c>
      <c r="JF28" s="1113">
        <v>98.32569444444445</v>
      </c>
      <c r="JG28" s="1114">
        <v>2.07E12</v>
      </c>
      <c r="JH28" s="1124"/>
      <c r="JI28" s="1125"/>
      <c r="JJ28" s="1113">
        <v>280.7875</v>
      </c>
      <c r="JK28" s="1115">
        <v>6.5E18</v>
      </c>
      <c r="JL28" s="1113">
        <v>280.7875</v>
      </c>
      <c r="JM28" s="1115">
        <v>6.5E18</v>
      </c>
      <c r="JN28" s="1113">
        <v>280.7875</v>
      </c>
      <c r="JO28" s="1115">
        <v>6.5E18</v>
      </c>
      <c r="JP28" s="1113">
        <v>280.7875</v>
      </c>
      <c r="JQ28" s="1115">
        <v>6.5E18</v>
      </c>
      <c r="JR28" s="1113">
        <v>280.7875</v>
      </c>
      <c r="JS28" s="1115">
        <v>6.5E18</v>
      </c>
      <c r="JT28" s="1113">
        <v>280.7875</v>
      </c>
      <c r="JU28" s="1115">
        <v>6.5E18</v>
      </c>
      <c r="JV28" s="1113">
        <v>70.19652777777777</v>
      </c>
      <c r="JW28" s="1115">
        <v>4.499879581E15</v>
      </c>
      <c r="JX28" s="1169"/>
      <c r="JY28" s="1133"/>
      <c r="JZ28" s="1173">
        <v>2.623935185</v>
      </c>
      <c r="KA28" s="1120">
        <v>1.19E10</v>
      </c>
      <c r="KB28" s="1173">
        <v>4.091956019</v>
      </c>
      <c r="KC28" s="1174">
        <v>4.688E10</v>
      </c>
      <c r="KD28" s="1173">
        <v>16.19853009</v>
      </c>
      <c r="KE28" s="1120">
        <v>2.98E12</v>
      </c>
      <c r="KF28" s="1173">
        <v>16.19853009</v>
      </c>
      <c r="KG28" s="1120">
        <v>2.98E12</v>
      </c>
      <c r="KH28" s="1133"/>
      <c r="KI28" s="1133"/>
      <c r="KJ28" s="1133"/>
      <c r="KK28" s="1133"/>
      <c r="KL28" s="1133"/>
      <c r="KM28" s="1133"/>
      <c r="KN28" s="1133"/>
      <c r="KO28" s="1133"/>
      <c r="KP28" s="1133"/>
      <c r="KQ28" s="1133"/>
      <c r="KR28" s="1133"/>
      <c r="KS28" s="1133"/>
      <c r="KT28" s="1133"/>
      <c r="KU28" s="1133"/>
      <c r="KV28" s="1131">
        <v>280.7875</v>
      </c>
      <c r="KW28" s="1132">
        <v>6.5E18</v>
      </c>
      <c r="KX28" s="1131">
        <v>280.7875</v>
      </c>
      <c r="KY28" s="1132">
        <v>6.5E18</v>
      </c>
      <c r="KZ28" s="1131">
        <v>280.7875</v>
      </c>
      <c r="LA28" s="1132">
        <v>6.5E18</v>
      </c>
      <c r="LB28" s="1131">
        <v>280.7875</v>
      </c>
      <c r="LC28" s="1132">
        <v>6.5E18</v>
      </c>
      <c r="LD28" s="1131">
        <v>280.7875</v>
      </c>
      <c r="LE28" s="1132">
        <v>6.5E18</v>
      </c>
      <c r="LF28" s="1131">
        <v>280.7875</v>
      </c>
      <c r="LG28" s="1132">
        <v>6.5E18</v>
      </c>
      <c r="LH28" s="1131">
        <v>280.7875</v>
      </c>
      <c r="LI28" s="1132">
        <v>6.5E18</v>
      </c>
      <c r="LJ28" s="1131">
        <v>280.7875</v>
      </c>
      <c r="LK28" s="1132">
        <v>6.5E18</v>
      </c>
      <c r="LL28" s="1133"/>
      <c r="LM28" s="1133"/>
      <c r="LN28" s="1133"/>
      <c r="LO28" s="1133"/>
      <c r="LP28" s="1133"/>
      <c r="LQ28" s="1133"/>
      <c r="LR28" s="1133"/>
      <c r="LS28" s="1133"/>
      <c r="LT28" s="1133"/>
      <c r="LU28" s="1133"/>
      <c r="LV28" s="1133"/>
      <c r="LW28" s="1133"/>
      <c r="LX28" s="1133"/>
      <c r="LY28" s="1133"/>
      <c r="LZ28" s="1133"/>
      <c r="MA28" s="1133"/>
      <c r="MB28" s="1133"/>
      <c r="MC28" s="1133"/>
      <c r="MD28" s="1133"/>
      <c r="ME28" s="1133"/>
      <c r="MF28" s="1133"/>
      <c r="MG28" s="1133"/>
      <c r="MH28" s="1133"/>
      <c r="MI28" s="1133"/>
      <c r="MJ28" s="1133"/>
      <c r="MK28" s="1133"/>
      <c r="ML28" s="1133"/>
      <c r="MM28" s="1133"/>
      <c r="MN28" s="1133"/>
      <c r="MO28" s="1133"/>
      <c r="MP28" s="1133"/>
      <c r="MQ28" s="1133"/>
      <c r="MR28" s="1133"/>
      <c r="MS28" s="1133"/>
      <c r="MT28" s="1133"/>
      <c r="MU28" s="1133"/>
      <c r="MV28" s="1133"/>
      <c r="MW28" s="1133"/>
      <c r="MX28" s="1133"/>
      <c r="MY28" s="1133"/>
    </row>
    <row r="29">
      <c r="A29" s="1071">
        <v>27.0</v>
      </c>
      <c r="B29" s="1124"/>
      <c r="C29" s="1126"/>
      <c r="D29" s="1072">
        <v>2.10625</v>
      </c>
      <c r="E29" s="1073">
        <v>109700.0</v>
      </c>
      <c r="F29" s="1072">
        <v>2.10625</v>
      </c>
      <c r="G29" s="1073">
        <v>109700.0</v>
      </c>
      <c r="H29" s="1072">
        <v>2.10625</v>
      </c>
      <c r="I29" s="1073">
        <v>109700.0</v>
      </c>
      <c r="J29" s="1072">
        <v>2.10625</v>
      </c>
      <c r="K29" s="1073">
        <v>109700.0</v>
      </c>
      <c r="L29" s="1072">
        <v>3.4368055555555554</v>
      </c>
      <c r="M29" s="1075">
        <v>292560.0</v>
      </c>
      <c r="N29" s="1076">
        <v>2.261111111111111</v>
      </c>
      <c r="O29" s="1073">
        <v>317310.0</v>
      </c>
      <c r="P29" s="1124"/>
      <c r="Q29" s="1125"/>
      <c r="R29" s="1124"/>
      <c r="S29" s="1125"/>
      <c r="T29" s="1124"/>
      <c r="U29" s="1125"/>
      <c r="V29" s="1124"/>
      <c r="W29" s="1125"/>
      <c r="X29" s="1124"/>
      <c r="Y29" s="1125"/>
      <c r="Z29" s="1124"/>
      <c r="AA29" s="1125"/>
      <c r="AB29" s="1124"/>
      <c r="AC29" s="1125"/>
      <c r="AD29" s="1072">
        <v>29.158333333333335</v>
      </c>
      <c r="AE29" s="1080">
        <v>9.173333019E11</v>
      </c>
      <c r="AF29" s="1072">
        <v>29.158333333333335</v>
      </c>
      <c r="AG29" s="1080">
        <v>9.173333019E11</v>
      </c>
      <c r="AH29" s="1072">
        <v>29.158333333333335</v>
      </c>
      <c r="AI29" s="1080">
        <v>9.173333019E11</v>
      </c>
      <c r="AJ29" s="1081">
        <v>2.10625</v>
      </c>
      <c r="AK29" s="1082">
        <v>109700.0</v>
      </c>
      <c r="AL29" s="1081">
        <v>2.10625</v>
      </c>
      <c r="AM29" s="1082">
        <v>109700.0</v>
      </c>
      <c r="AN29" s="1081">
        <v>2.10625</v>
      </c>
      <c r="AO29" s="1082">
        <v>109700.0</v>
      </c>
      <c r="AP29" s="1081">
        <v>2.10625</v>
      </c>
      <c r="AQ29" s="1082">
        <v>109700.0</v>
      </c>
      <c r="AR29" s="1081">
        <v>2.10625</v>
      </c>
      <c r="AS29" s="1082">
        <v>109710.0</v>
      </c>
      <c r="AT29" s="1081">
        <v>726.5527777777777</v>
      </c>
      <c r="AU29" s="1082">
        <v>4.48E9</v>
      </c>
      <c r="AV29" s="1081">
        <v>386.4381944444445</v>
      </c>
      <c r="AW29" s="1082">
        <v>4.48E9</v>
      </c>
      <c r="AX29" s="1081">
        <v>19.56875</v>
      </c>
      <c r="AY29" s="1082">
        <v>1.36E12</v>
      </c>
      <c r="AZ29" s="1124"/>
      <c r="BA29" s="1124"/>
      <c r="BB29" s="1083">
        <v>2.10625</v>
      </c>
      <c r="BC29" s="1084">
        <v>109700.0</v>
      </c>
      <c r="BD29" s="1083">
        <v>2.10625</v>
      </c>
      <c r="BE29" s="1084">
        <v>109700.0</v>
      </c>
      <c r="BF29" s="1083">
        <v>2.10625</v>
      </c>
      <c r="BG29" s="1084">
        <v>109700.0</v>
      </c>
      <c r="BH29" s="1083">
        <v>38.78819444444444</v>
      </c>
      <c r="BI29" s="1084">
        <v>4.5702E8</v>
      </c>
      <c r="BJ29" s="1124"/>
      <c r="BK29" s="1125"/>
      <c r="BL29" s="1124"/>
      <c r="BM29" s="1125"/>
      <c r="BN29" s="1083">
        <v>76.28958333333334</v>
      </c>
      <c r="BO29" s="1084">
        <v>1.214E10</v>
      </c>
      <c r="BP29" s="1124"/>
      <c r="BQ29" s="1125"/>
      <c r="BR29" s="1126"/>
      <c r="BS29" s="1125"/>
      <c r="BT29" s="1085">
        <v>2.3076388888888886</v>
      </c>
      <c r="BU29" s="1086">
        <v>1.087E10</v>
      </c>
      <c r="BV29" s="1126"/>
      <c r="BW29" s="1126"/>
      <c r="BX29" s="1085">
        <v>183.76065972222221</v>
      </c>
      <c r="BY29" s="1086">
        <v>1.9523E11</v>
      </c>
      <c r="BZ29" s="1126"/>
      <c r="CA29" s="1126"/>
      <c r="CB29" s="1126"/>
      <c r="CC29" s="1125"/>
      <c r="CD29" s="1083">
        <v>10.381261574074074</v>
      </c>
      <c r="CE29" s="1087">
        <v>1.18E12</v>
      </c>
      <c r="CF29" s="1133"/>
      <c r="CG29" s="1167"/>
      <c r="CH29" s="1088">
        <v>2.10625</v>
      </c>
      <c r="CI29" s="1089">
        <v>109710.0</v>
      </c>
      <c r="CJ29" s="1088">
        <v>2.10625</v>
      </c>
      <c r="CK29" s="1089">
        <v>109710.0</v>
      </c>
      <c r="CL29" s="1088">
        <v>2.10625</v>
      </c>
      <c r="CM29" s="1089">
        <v>109710.0</v>
      </c>
      <c r="CN29" s="1088">
        <v>2.10625</v>
      </c>
      <c r="CO29" s="1089">
        <v>109710.0</v>
      </c>
      <c r="CP29" s="1088">
        <v>4.01875</v>
      </c>
      <c r="CQ29" s="1089">
        <v>317320.0</v>
      </c>
      <c r="CR29" s="1124"/>
      <c r="CS29" s="1125"/>
      <c r="CT29" s="1126"/>
      <c r="CU29" s="1125"/>
      <c r="CV29" s="1126"/>
      <c r="CW29" s="1125"/>
      <c r="CX29" s="1126"/>
      <c r="CY29" s="1125"/>
      <c r="CZ29" s="1126"/>
      <c r="DA29" s="1126"/>
      <c r="DB29" s="1126"/>
      <c r="DC29" s="1126"/>
      <c r="DD29" s="1126"/>
      <c r="DE29" s="1125"/>
      <c r="DF29" s="1126"/>
      <c r="DG29" s="1125"/>
      <c r="DH29" s="1124"/>
      <c r="DI29" s="1125"/>
      <c r="DJ29" s="1124"/>
      <c r="DK29" s="1125"/>
      <c r="DL29" s="1092">
        <v>77.05347222222223</v>
      </c>
      <c r="DM29" s="1093">
        <v>1.215E10</v>
      </c>
      <c r="DN29" s="1124"/>
      <c r="DO29" s="1125"/>
      <c r="DP29" s="1092">
        <v>77.05347222222223</v>
      </c>
      <c r="DQ29" s="1093">
        <v>1.215E10</v>
      </c>
      <c r="DR29" s="1092">
        <v>77.05347222222223</v>
      </c>
      <c r="DS29" s="1093">
        <v>1.215E10</v>
      </c>
      <c r="DT29" s="1124"/>
      <c r="DU29" s="1125"/>
      <c r="DV29" s="1092">
        <v>77.05347222222223</v>
      </c>
      <c r="DW29" s="1093">
        <v>1.215E10</v>
      </c>
      <c r="DX29" s="1092">
        <v>77.05347222222223</v>
      </c>
      <c r="DY29" s="1093">
        <v>1.215E10</v>
      </c>
      <c r="DZ29" s="1124"/>
      <c r="EA29" s="1125"/>
      <c r="EB29" s="1124"/>
      <c r="EC29" s="1125"/>
      <c r="ED29" s="1124"/>
      <c r="EE29" s="1125"/>
      <c r="EF29" s="1092">
        <v>82.47013888888888</v>
      </c>
      <c r="EG29" s="1093">
        <v>3.799E10</v>
      </c>
      <c r="EH29" s="1124"/>
      <c r="EI29" s="1125"/>
      <c r="EJ29" s="1092">
        <v>15.292650462962962</v>
      </c>
      <c r="EK29" s="1093">
        <v>1.2E9</v>
      </c>
      <c r="EL29" s="1169"/>
      <c r="EM29" s="1167"/>
      <c r="EN29" s="1124"/>
      <c r="EO29" s="1125"/>
      <c r="EP29" s="1124"/>
      <c r="EQ29" s="1125"/>
      <c r="ER29" s="1124"/>
      <c r="ES29" s="1125"/>
      <c r="ET29" s="1124"/>
      <c r="EU29" s="1125"/>
      <c r="EV29" s="1124"/>
      <c r="EW29" s="1125"/>
      <c r="EX29" s="1124"/>
      <c r="EY29" s="1125"/>
      <c r="EZ29" s="1124"/>
      <c r="FA29" s="1125"/>
      <c r="FB29" s="1126"/>
      <c r="FC29" s="1125"/>
      <c r="FD29" s="1126"/>
      <c r="FE29" s="1125"/>
      <c r="FF29" s="1126"/>
      <c r="FG29" s="1125"/>
      <c r="FH29" s="1126"/>
      <c r="FI29" s="1126"/>
      <c r="FJ29" s="1126"/>
      <c r="FK29" s="1125"/>
      <c r="FL29" s="1124"/>
      <c r="FM29" s="1125"/>
      <c r="FN29" s="1139"/>
      <c r="FO29" s="1126"/>
      <c r="FP29" s="1092">
        <v>158.6672685185185</v>
      </c>
      <c r="FQ29" s="1094">
        <v>3.79E15</v>
      </c>
      <c r="FR29" s="1139"/>
      <c r="FS29" s="1126"/>
      <c r="FT29" s="1092">
        <v>158.6672685185185</v>
      </c>
      <c r="FU29" s="1094">
        <v>3.79E15</v>
      </c>
      <c r="FV29" s="1092">
        <v>158.6672685185185</v>
      </c>
      <c r="FW29" s="1094">
        <v>3.79E15</v>
      </c>
      <c r="FX29" s="1133"/>
      <c r="FY29" s="1133"/>
      <c r="FZ29" s="1097">
        <v>158.6672685185185</v>
      </c>
      <c r="GA29" s="1098">
        <v>3.79E15</v>
      </c>
      <c r="GB29" s="1133"/>
      <c r="GC29" s="1133"/>
      <c r="GD29" s="1133"/>
      <c r="GE29" s="1167"/>
      <c r="GF29" s="1124"/>
      <c r="GG29" s="1125"/>
      <c r="GH29" s="1100">
        <v>81.67847222222223</v>
      </c>
      <c r="GI29" s="1101">
        <v>1.1882E11</v>
      </c>
      <c r="GJ29" s="1124"/>
      <c r="GK29" s="1125"/>
      <c r="GL29" s="1124"/>
      <c r="GM29" s="1125"/>
      <c r="GN29" s="1126"/>
      <c r="GO29" s="1125"/>
      <c r="GP29" s="1102">
        <v>81.84513888888888</v>
      </c>
      <c r="GQ29" s="1134">
        <v>1.22E12</v>
      </c>
      <c r="GR29" s="1124"/>
      <c r="GS29" s="1125"/>
      <c r="GT29" s="1124"/>
      <c r="GU29" s="1125"/>
      <c r="GV29" s="1126"/>
      <c r="GW29" s="1125"/>
      <c r="GX29" s="1168"/>
      <c r="GY29" s="1133"/>
      <c r="GZ29" s="1124"/>
      <c r="HA29" s="1125"/>
      <c r="HB29" s="1107">
        <v>76.28958333333334</v>
      </c>
      <c r="HC29" s="1108">
        <v>2.3763E11</v>
      </c>
      <c r="HD29" s="1124"/>
      <c r="HE29" s="1125"/>
      <c r="HF29" s="1124"/>
      <c r="HG29" s="1175"/>
      <c r="HH29" s="1124"/>
      <c r="HI29" s="1125"/>
      <c r="HJ29" s="1124"/>
      <c r="HK29" s="1125"/>
      <c r="HL29" s="1124"/>
      <c r="HM29" s="1125"/>
      <c r="HN29" s="1126"/>
      <c r="HO29" s="1125"/>
      <c r="HP29" s="1107">
        <v>389.85017361111113</v>
      </c>
      <c r="HQ29" s="1108">
        <v>6.991E10</v>
      </c>
      <c r="HR29" s="1124"/>
      <c r="HS29" s="1125"/>
      <c r="HT29" s="1124"/>
      <c r="HU29" s="1125"/>
      <c r="HV29" s="1124"/>
      <c r="HW29" s="1125"/>
      <c r="HX29" s="1124"/>
      <c r="HY29" s="1125"/>
      <c r="HZ29" s="1124"/>
      <c r="IA29" s="1125"/>
      <c r="IB29" s="1124"/>
      <c r="IC29" s="1125"/>
      <c r="ID29" s="1124"/>
      <c r="IE29" s="1125"/>
      <c r="IF29" s="1124"/>
      <c r="IG29" s="1125"/>
      <c r="IH29" s="1113">
        <v>111.91666666666667</v>
      </c>
      <c r="II29" s="1114">
        <v>1.73E12</v>
      </c>
      <c r="IJ29" s="1113">
        <v>111.91666666666667</v>
      </c>
      <c r="IK29" s="1114">
        <v>1.73E12</v>
      </c>
      <c r="IL29" s="1113">
        <v>111.91666666666667</v>
      </c>
      <c r="IM29" s="1114">
        <v>2.0E12</v>
      </c>
      <c r="IN29" s="1113">
        <v>111.91666666666667</v>
      </c>
      <c r="IO29" s="1114">
        <v>2.0E12</v>
      </c>
      <c r="IP29" s="1113">
        <v>112.37986111111111</v>
      </c>
      <c r="IQ29" s="1114">
        <v>2.81E12</v>
      </c>
      <c r="IR29" s="1113">
        <v>111.91666666666667</v>
      </c>
      <c r="IS29" s="1114">
        <v>2.0E12</v>
      </c>
      <c r="IT29" s="1113">
        <v>111.91666666666667</v>
      </c>
      <c r="IU29" s="1114">
        <v>2.0E12</v>
      </c>
      <c r="IV29" s="1113">
        <v>111.91666666666667</v>
      </c>
      <c r="IW29" s="1114">
        <v>2.0E12</v>
      </c>
      <c r="IX29" s="1113">
        <v>111.91666666666667</v>
      </c>
      <c r="IY29" s="1114">
        <v>2.0E12</v>
      </c>
      <c r="IZ29" s="1113">
        <v>111.91666666666667</v>
      </c>
      <c r="JA29" s="1114">
        <v>2.27E12</v>
      </c>
      <c r="JB29" s="1113">
        <v>111.91666666666667</v>
      </c>
      <c r="JC29" s="1114">
        <v>2.27E12</v>
      </c>
      <c r="JD29" s="1113">
        <v>111.91666666666667</v>
      </c>
      <c r="JE29" s="1114">
        <v>2.27E12</v>
      </c>
      <c r="JF29" s="1113">
        <v>111.91666666666667</v>
      </c>
      <c r="JG29" s="1114">
        <v>2.27E12</v>
      </c>
      <c r="JH29" s="1124"/>
      <c r="JI29" s="1125"/>
      <c r="JJ29" s="1113">
        <v>291.58680555555554</v>
      </c>
      <c r="JK29" s="1115">
        <v>6.75E18</v>
      </c>
      <c r="JL29" s="1113">
        <v>291.58680555555554</v>
      </c>
      <c r="JM29" s="1115">
        <v>6.75E18</v>
      </c>
      <c r="JN29" s="1113">
        <v>291.58680555555554</v>
      </c>
      <c r="JO29" s="1115">
        <v>6.75E18</v>
      </c>
      <c r="JP29" s="1113">
        <v>291.58680555555554</v>
      </c>
      <c r="JQ29" s="1115">
        <v>6.75E18</v>
      </c>
      <c r="JR29" s="1113">
        <v>291.58680555555554</v>
      </c>
      <c r="JS29" s="1115">
        <v>6.75E18</v>
      </c>
      <c r="JT29" s="1113">
        <v>291.58680555555554</v>
      </c>
      <c r="JU29" s="1115">
        <v>6.75E18</v>
      </c>
      <c r="JV29" s="1113">
        <v>72.89652777777778</v>
      </c>
      <c r="JW29" s="1115">
        <v>6.299831413E15</v>
      </c>
      <c r="JX29" s="1169"/>
      <c r="JY29" s="1133"/>
      <c r="JZ29" s="1173">
        <v>2.687060185</v>
      </c>
      <c r="KA29" s="1120">
        <v>1.323E10</v>
      </c>
      <c r="KB29" s="1173">
        <v>4.307800926</v>
      </c>
      <c r="KC29" s="1174">
        <v>5.273E10</v>
      </c>
      <c r="KD29" s="1173">
        <v>17.1440162</v>
      </c>
      <c r="KE29" s="1120">
        <v>3.38E12</v>
      </c>
      <c r="KF29" s="1173">
        <v>17.1440162</v>
      </c>
      <c r="KG29" s="1120">
        <v>3.38E12</v>
      </c>
      <c r="KH29" s="1133"/>
      <c r="KI29" s="1133"/>
      <c r="KJ29" s="1133"/>
      <c r="KK29" s="1133"/>
      <c r="KL29" s="1133"/>
      <c r="KM29" s="1133"/>
      <c r="KN29" s="1133"/>
      <c r="KO29" s="1133"/>
      <c r="KP29" s="1133"/>
      <c r="KQ29" s="1133"/>
      <c r="KR29" s="1133"/>
      <c r="KS29" s="1133"/>
      <c r="KT29" s="1133"/>
      <c r="KU29" s="1133"/>
      <c r="KV29" s="1131">
        <v>291.58680555555554</v>
      </c>
      <c r="KW29" s="1132">
        <v>6.75E18</v>
      </c>
      <c r="KX29" s="1131">
        <v>291.58680555555554</v>
      </c>
      <c r="KY29" s="1132">
        <v>6.75E18</v>
      </c>
      <c r="KZ29" s="1131">
        <v>291.58680555555554</v>
      </c>
      <c r="LA29" s="1132">
        <v>6.75E18</v>
      </c>
      <c r="LB29" s="1131">
        <v>291.58680555555554</v>
      </c>
      <c r="LC29" s="1132">
        <v>6.75E18</v>
      </c>
      <c r="LD29" s="1131">
        <v>291.58680555555554</v>
      </c>
      <c r="LE29" s="1132">
        <v>6.75E18</v>
      </c>
      <c r="LF29" s="1131">
        <v>291.58680555555554</v>
      </c>
      <c r="LG29" s="1132">
        <v>6.75E18</v>
      </c>
      <c r="LH29" s="1131">
        <v>291.58680555555554</v>
      </c>
      <c r="LI29" s="1132">
        <v>6.75E18</v>
      </c>
      <c r="LJ29" s="1131">
        <v>291.58680555555554</v>
      </c>
      <c r="LK29" s="1132">
        <v>6.75E18</v>
      </c>
      <c r="LL29" s="1133"/>
      <c r="LM29" s="1133"/>
      <c r="LN29" s="1133"/>
      <c r="LO29" s="1133"/>
      <c r="LP29" s="1133"/>
      <c r="LQ29" s="1133"/>
      <c r="LR29" s="1133"/>
      <c r="LS29" s="1133"/>
      <c r="LT29" s="1133"/>
      <c r="LU29" s="1133"/>
      <c r="LV29" s="1133"/>
      <c r="LW29" s="1133"/>
      <c r="LX29" s="1133"/>
      <c r="LY29" s="1133"/>
      <c r="LZ29" s="1133"/>
      <c r="MA29" s="1133"/>
      <c r="MB29" s="1133"/>
      <c r="MC29" s="1133"/>
      <c r="MD29" s="1133"/>
      <c r="ME29" s="1133"/>
      <c r="MF29" s="1133"/>
      <c r="MG29" s="1133"/>
      <c r="MH29" s="1133"/>
      <c r="MI29" s="1133"/>
      <c r="MJ29" s="1133"/>
      <c r="MK29" s="1133"/>
      <c r="ML29" s="1133"/>
      <c r="MM29" s="1133"/>
      <c r="MN29" s="1133"/>
      <c r="MO29" s="1133"/>
      <c r="MP29" s="1133"/>
      <c r="MQ29" s="1133"/>
      <c r="MR29" s="1133"/>
      <c r="MS29" s="1133"/>
      <c r="MT29" s="1133"/>
      <c r="MU29" s="1133"/>
      <c r="MV29" s="1133"/>
      <c r="MW29" s="1133"/>
      <c r="MX29" s="1133"/>
      <c r="MY29" s="1133"/>
    </row>
    <row r="30">
      <c r="A30" s="1071">
        <v>28.0</v>
      </c>
      <c r="B30" s="1124"/>
      <c r="C30" s="1126"/>
      <c r="D30" s="1072">
        <v>2.3006944444444444</v>
      </c>
      <c r="E30" s="1073">
        <v>121650.0</v>
      </c>
      <c r="F30" s="1072">
        <v>2.3006944444444444</v>
      </c>
      <c r="G30" s="1073">
        <v>121650.0</v>
      </c>
      <c r="H30" s="1072">
        <v>2.3006944444444444</v>
      </c>
      <c r="I30" s="1073">
        <v>121650.0</v>
      </c>
      <c r="J30" s="1072">
        <v>2.3006944444444444</v>
      </c>
      <c r="K30" s="1073">
        <v>121650.0</v>
      </c>
      <c r="L30" s="1072">
        <v>3.775</v>
      </c>
      <c r="M30" s="1075">
        <v>327730.0</v>
      </c>
      <c r="N30" s="1076">
        <v>2.451388888888889</v>
      </c>
      <c r="O30" s="1073">
        <v>356620.0</v>
      </c>
      <c r="P30" s="1124"/>
      <c r="Q30" s="1125"/>
      <c r="R30" s="1124"/>
      <c r="S30" s="1125"/>
      <c r="T30" s="1124"/>
      <c r="U30" s="1125"/>
      <c r="V30" s="1124"/>
      <c r="W30" s="1125"/>
      <c r="X30" s="1124"/>
      <c r="Y30" s="1125"/>
      <c r="Z30" s="1124"/>
      <c r="AA30" s="1125"/>
      <c r="AB30" s="1124"/>
      <c r="AC30" s="1125"/>
      <c r="AD30" s="1072">
        <v>30.238194444444446</v>
      </c>
      <c r="AE30" s="1080">
        <v>1.192533293E12</v>
      </c>
      <c r="AF30" s="1072">
        <v>30.238194444444446</v>
      </c>
      <c r="AG30" s="1080">
        <v>1.192533293E12</v>
      </c>
      <c r="AH30" s="1072">
        <v>30.238194444444446</v>
      </c>
      <c r="AI30" s="1080">
        <v>1.192533293E12</v>
      </c>
      <c r="AJ30" s="1081">
        <v>2.3006944444444444</v>
      </c>
      <c r="AK30" s="1082">
        <v>121650.0</v>
      </c>
      <c r="AL30" s="1081">
        <v>2.3006944444444444</v>
      </c>
      <c r="AM30" s="1082">
        <v>121650.0</v>
      </c>
      <c r="AN30" s="1081">
        <v>2.3006944444444444</v>
      </c>
      <c r="AO30" s="1082">
        <v>121650.0</v>
      </c>
      <c r="AP30" s="1081">
        <v>2.3006944444444444</v>
      </c>
      <c r="AQ30" s="1082">
        <v>121650.0</v>
      </c>
      <c r="AR30" s="1081">
        <v>2.3006944444444444</v>
      </c>
      <c r="AS30" s="1082">
        <v>121660.0</v>
      </c>
      <c r="AT30" s="1081">
        <v>849.1430555555555</v>
      </c>
      <c r="AU30" s="1082">
        <v>5.34E9</v>
      </c>
      <c r="AV30" s="1081">
        <v>447.34791666666666</v>
      </c>
      <c r="AW30" s="1082">
        <v>5.34E9</v>
      </c>
      <c r="AX30" s="1081">
        <v>20.238888888888887</v>
      </c>
      <c r="AY30" s="1082">
        <v>1.42E12</v>
      </c>
      <c r="AZ30" s="1124"/>
      <c r="BA30" s="1124"/>
      <c r="BB30" s="1083">
        <v>2.3006944444444444</v>
      </c>
      <c r="BC30" s="1084">
        <v>121650.0</v>
      </c>
      <c r="BD30" s="1083">
        <v>2.3006944444444444</v>
      </c>
      <c r="BE30" s="1084">
        <v>121650.0</v>
      </c>
      <c r="BF30" s="1083">
        <v>2.3006944444444444</v>
      </c>
      <c r="BG30" s="1084">
        <v>121650.0</v>
      </c>
      <c r="BH30" s="1083">
        <v>43.84236111111111</v>
      </c>
      <c r="BI30" s="1084">
        <v>5.3149E8</v>
      </c>
      <c r="BJ30" s="1124"/>
      <c r="BK30" s="1125"/>
      <c r="BL30" s="1124"/>
      <c r="BM30" s="1125"/>
      <c r="BN30" s="1083">
        <v>86.68125</v>
      </c>
      <c r="BO30" s="1084">
        <v>1.428E10</v>
      </c>
      <c r="BP30" s="1124"/>
      <c r="BQ30" s="1125"/>
      <c r="BR30" s="1126"/>
      <c r="BS30" s="1125"/>
      <c r="BT30" s="1085">
        <v>2.5006944444444446</v>
      </c>
      <c r="BU30" s="1086">
        <v>1.169E10</v>
      </c>
      <c r="BV30" s="1126"/>
      <c r="BW30" s="1126"/>
      <c r="BX30" s="1085">
        <v>211.32475694444443</v>
      </c>
      <c r="BY30" s="1086">
        <v>2.0271E11</v>
      </c>
      <c r="BZ30" s="1126"/>
      <c r="CA30" s="1126"/>
      <c r="CB30" s="1126"/>
      <c r="CC30" s="1125"/>
      <c r="CD30" s="1083">
        <v>11.06019675925926</v>
      </c>
      <c r="CE30" s="1087">
        <v>1.28E12</v>
      </c>
      <c r="CF30" s="1133"/>
      <c r="CG30" s="1167"/>
      <c r="CH30" s="1088">
        <v>2.3006944444444444</v>
      </c>
      <c r="CI30" s="1089">
        <v>121660.0</v>
      </c>
      <c r="CJ30" s="1088">
        <v>2.3006944444444444</v>
      </c>
      <c r="CK30" s="1089">
        <v>121660.0</v>
      </c>
      <c r="CL30" s="1088">
        <v>2.3006944444444444</v>
      </c>
      <c r="CM30" s="1089">
        <v>121660.0</v>
      </c>
      <c r="CN30" s="1088">
        <v>2.3006944444444444</v>
      </c>
      <c r="CO30" s="1089">
        <v>121660.0</v>
      </c>
      <c r="CP30" s="1088">
        <v>4.422916666666667</v>
      </c>
      <c r="CQ30" s="1089">
        <v>356630.0</v>
      </c>
      <c r="CR30" s="1124"/>
      <c r="CS30" s="1125"/>
      <c r="CT30" s="1126"/>
      <c r="CU30" s="1125"/>
      <c r="CV30" s="1126"/>
      <c r="CW30" s="1125"/>
      <c r="CX30" s="1126"/>
      <c r="CY30" s="1125"/>
      <c r="CZ30" s="1126"/>
      <c r="DA30" s="1126"/>
      <c r="DB30" s="1126"/>
      <c r="DC30" s="1126"/>
      <c r="DD30" s="1126"/>
      <c r="DE30" s="1125"/>
      <c r="DF30" s="1126"/>
      <c r="DG30" s="1125"/>
      <c r="DH30" s="1124"/>
      <c r="DI30" s="1125"/>
      <c r="DJ30" s="1124"/>
      <c r="DK30" s="1125"/>
      <c r="DL30" s="1092">
        <v>87.44513888888889</v>
      </c>
      <c r="DM30" s="1093">
        <v>1.429E10</v>
      </c>
      <c r="DN30" s="1124"/>
      <c r="DO30" s="1125"/>
      <c r="DP30" s="1092">
        <v>87.44513888888889</v>
      </c>
      <c r="DQ30" s="1093">
        <v>1.429E10</v>
      </c>
      <c r="DR30" s="1092">
        <v>87.44513888888889</v>
      </c>
      <c r="DS30" s="1093">
        <v>1.429E10</v>
      </c>
      <c r="DT30" s="1124"/>
      <c r="DU30" s="1125"/>
      <c r="DV30" s="1092">
        <v>87.44513888888889</v>
      </c>
      <c r="DW30" s="1093">
        <v>1.429E10</v>
      </c>
      <c r="DX30" s="1092">
        <v>87.44513888888889</v>
      </c>
      <c r="DY30" s="1093">
        <v>1.429E10</v>
      </c>
      <c r="DZ30" s="1124"/>
      <c r="EA30" s="1125"/>
      <c r="EB30" s="1124"/>
      <c r="EC30" s="1125"/>
      <c r="ED30" s="1124"/>
      <c r="EE30" s="1125"/>
      <c r="EF30" s="1092">
        <v>93.07013888888889</v>
      </c>
      <c r="EG30" s="1093">
        <v>4.528E10</v>
      </c>
      <c r="EH30" s="1124"/>
      <c r="EI30" s="1125"/>
      <c r="EJ30" s="1092">
        <v>15.91619212962963</v>
      </c>
      <c r="EK30" s="1093">
        <v>1.33E9</v>
      </c>
      <c r="EL30" s="1169"/>
      <c r="EM30" s="1167"/>
      <c r="EN30" s="1124"/>
      <c r="EO30" s="1125"/>
      <c r="EP30" s="1124"/>
      <c r="EQ30" s="1125"/>
      <c r="ER30" s="1124"/>
      <c r="ES30" s="1125"/>
      <c r="ET30" s="1124"/>
      <c r="EU30" s="1125"/>
      <c r="EV30" s="1124"/>
      <c r="EW30" s="1125"/>
      <c r="EX30" s="1124"/>
      <c r="EY30" s="1125"/>
      <c r="EZ30" s="1124"/>
      <c r="FA30" s="1125"/>
      <c r="FB30" s="1126"/>
      <c r="FC30" s="1125"/>
      <c r="FD30" s="1126"/>
      <c r="FE30" s="1125"/>
      <c r="FF30" s="1126"/>
      <c r="FG30" s="1125"/>
      <c r="FH30" s="1126"/>
      <c r="FI30" s="1126"/>
      <c r="FJ30" s="1126"/>
      <c r="FK30" s="1125"/>
      <c r="FL30" s="1124"/>
      <c r="FM30" s="1125"/>
      <c r="FN30" s="1139"/>
      <c r="FO30" s="1126"/>
      <c r="FP30" s="1092">
        <v>177.70733796296295</v>
      </c>
      <c r="FQ30" s="1094">
        <v>5.68E15</v>
      </c>
      <c r="FR30" s="1139"/>
      <c r="FS30" s="1126"/>
      <c r="FT30" s="1092">
        <v>177.70733796296295</v>
      </c>
      <c r="FU30" s="1094">
        <v>5.68E15</v>
      </c>
      <c r="FV30" s="1092">
        <v>177.70733796296295</v>
      </c>
      <c r="FW30" s="1094">
        <v>5.68E15</v>
      </c>
      <c r="FX30" s="1133"/>
      <c r="FY30" s="1133"/>
      <c r="FZ30" s="1097">
        <v>178.0406712962963</v>
      </c>
      <c r="GA30" s="1098">
        <v>5.68E15</v>
      </c>
      <c r="GB30" s="1133"/>
      <c r="GC30" s="1133"/>
      <c r="GD30" s="1133"/>
      <c r="GE30" s="1167"/>
      <c r="GF30" s="1124"/>
      <c r="GG30" s="1125"/>
      <c r="GH30" s="1100">
        <v>92.27847222222222</v>
      </c>
      <c r="GI30" s="1101">
        <v>1.435E11</v>
      </c>
      <c r="GJ30" s="1124"/>
      <c r="GK30" s="1125"/>
      <c r="GL30" s="1124"/>
      <c r="GM30" s="1125"/>
      <c r="GN30" s="1126"/>
      <c r="GO30" s="1125"/>
      <c r="GP30" s="1102">
        <v>92.44513888888889</v>
      </c>
      <c r="GQ30" s="1134">
        <v>1.4E12</v>
      </c>
      <c r="GR30" s="1124"/>
      <c r="GS30" s="1125"/>
      <c r="GT30" s="1124"/>
      <c r="GU30" s="1125"/>
      <c r="GV30" s="1126"/>
      <c r="GW30" s="1125"/>
      <c r="GX30" s="1168"/>
      <c r="GY30" s="1133"/>
      <c r="GZ30" s="1124"/>
      <c r="HA30" s="1125"/>
      <c r="HB30" s="1107">
        <v>86.68125</v>
      </c>
      <c r="HC30" s="1108">
        <v>2.8698E11</v>
      </c>
      <c r="HD30" s="1124"/>
      <c r="HE30" s="1125"/>
      <c r="HF30" s="1124"/>
      <c r="HG30" s="1175"/>
      <c r="HH30" s="1124"/>
      <c r="HI30" s="1125"/>
      <c r="HJ30" s="1124"/>
      <c r="HK30" s="1125"/>
      <c r="HL30" s="1124"/>
      <c r="HM30" s="1125"/>
      <c r="HN30" s="1126"/>
      <c r="HO30" s="1125"/>
      <c r="HP30" s="1107">
        <v>450.63050925925927</v>
      </c>
      <c r="HQ30" s="1108">
        <v>8.284E10</v>
      </c>
      <c r="HR30" s="1124"/>
      <c r="HS30" s="1125"/>
      <c r="HT30" s="1124"/>
      <c r="HU30" s="1125"/>
      <c r="HV30" s="1124"/>
      <c r="HW30" s="1125"/>
      <c r="HX30" s="1124"/>
      <c r="HY30" s="1125"/>
      <c r="HZ30" s="1124"/>
      <c r="IA30" s="1125"/>
      <c r="IB30" s="1124"/>
      <c r="IC30" s="1125"/>
      <c r="ID30" s="1124"/>
      <c r="IE30" s="1125"/>
      <c r="IF30" s="1124"/>
      <c r="IG30" s="1125"/>
      <c r="IH30" s="1113">
        <v>126.90069444444444</v>
      </c>
      <c r="II30" s="1114">
        <v>1.93E12</v>
      </c>
      <c r="IJ30" s="1113">
        <v>126.90069444444444</v>
      </c>
      <c r="IK30" s="1114">
        <v>1.93E12</v>
      </c>
      <c r="IL30" s="1113">
        <v>126.90069444444444</v>
      </c>
      <c r="IM30" s="1114">
        <v>2.21E12</v>
      </c>
      <c r="IN30" s="1113">
        <v>126.90069444444444</v>
      </c>
      <c r="IO30" s="1114">
        <v>2.21E12</v>
      </c>
      <c r="IP30" s="1113">
        <v>127.36319444444445</v>
      </c>
      <c r="IQ30" s="1114">
        <v>3.05E12</v>
      </c>
      <c r="IR30" s="1113">
        <v>126.90069444444444</v>
      </c>
      <c r="IS30" s="1114">
        <v>2.21E12</v>
      </c>
      <c r="IT30" s="1113">
        <v>126.90069444444444</v>
      </c>
      <c r="IU30" s="1114">
        <v>2.21E12</v>
      </c>
      <c r="IV30" s="1113">
        <v>126.90069444444444</v>
      </c>
      <c r="IW30" s="1114">
        <v>2.21E12</v>
      </c>
      <c r="IX30" s="1113">
        <v>126.90069444444444</v>
      </c>
      <c r="IY30" s="1114">
        <v>2.21E12</v>
      </c>
      <c r="IZ30" s="1113">
        <v>126.90069444444444</v>
      </c>
      <c r="JA30" s="1114">
        <v>2.49E12</v>
      </c>
      <c r="JB30" s="1113">
        <v>126.90069444444444</v>
      </c>
      <c r="JC30" s="1114">
        <v>2.49E12</v>
      </c>
      <c r="JD30" s="1113">
        <v>126.90069444444444</v>
      </c>
      <c r="JE30" s="1114">
        <v>2.49E12</v>
      </c>
      <c r="JF30" s="1113">
        <v>126.90069444444444</v>
      </c>
      <c r="JG30" s="1114">
        <v>2.49E12</v>
      </c>
      <c r="JH30" s="1124"/>
      <c r="JI30" s="1125"/>
      <c r="JJ30" s="1113">
        <v>302.3861111111111</v>
      </c>
      <c r="JK30" s="1115">
        <v>7.0E18</v>
      </c>
      <c r="JL30" s="1113">
        <v>302.3861111111111</v>
      </c>
      <c r="JM30" s="1115">
        <v>7.0E18</v>
      </c>
      <c r="JN30" s="1113">
        <v>302.3861111111111</v>
      </c>
      <c r="JO30" s="1115">
        <v>7.0E18</v>
      </c>
      <c r="JP30" s="1113">
        <v>302.3861111111111</v>
      </c>
      <c r="JQ30" s="1115">
        <v>7.0E18</v>
      </c>
      <c r="JR30" s="1113">
        <v>302.3861111111111</v>
      </c>
      <c r="JS30" s="1115">
        <v>7.0E18</v>
      </c>
      <c r="JT30" s="1113">
        <v>302.3861111111111</v>
      </c>
      <c r="JU30" s="1115">
        <v>7.0E18</v>
      </c>
      <c r="JV30" s="1113">
        <v>75.59652777777778</v>
      </c>
      <c r="JW30" s="1115">
        <v>8.819763978000001E15</v>
      </c>
      <c r="JX30" s="1169"/>
      <c r="JY30" s="1133"/>
      <c r="JZ30" s="1173">
        <v>2.751168981</v>
      </c>
      <c r="KA30" s="1120">
        <v>1.465E10</v>
      </c>
      <c r="KB30" s="1173">
        <v>4.533657407</v>
      </c>
      <c r="KC30" s="1174">
        <v>5.905E10</v>
      </c>
      <c r="KD30" s="1173">
        <v>18.14486111</v>
      </c>
      <c r="KE30" s="1120">
        <v>3.81E12</v>
      </c>
      <c r="KF30" s="1173">
        <v>18.14486111</v>
      </c>
      <c r="KG30" s="1120">
        <v>3.81E12</v>
      </c>
      <c r="KH30" s="1133"/>
      <c r="KI30" s="1133"/>
      <c r="KJ30" s="1133"/>
      <c r="KK30" s="1133"/>
      <c r="KL30" s="1133"/>
      <c r="KM30" s="1133"/>
      <c r="KN30" s="1133"/>
      <c r="KO30" s="1133"/>
      <c r="KP30" s="1133"/>
      <c r="KQ30" s="1133"/>
      <c r="KR30" s="1133"/>
      <c r="KS30" s="1133"/>
      <c r="KT30" s="1133"/>
      <c r="KU30" s="1133"/>
      <c r="KV30" s="1131">
        <v>302.3861111111111</v>
      </c>
      <c r="KW30" s="1132">
        <v>7.0E18</v>
      </c>
      <c r="KX30" s="1131">
        <v>302.3861111111111</v>
      </c>
      <c r="KY30" s="1132">
        <v>7.0E18</v>
      </c>
      <c r="KZ30" s="1131">
        <v>302.3861111111111</v>
      </c>
      <c r="LA30" s="1132">
        <v>7.0E18</v>
      </c>
      <c r="LB30" s="1131">
        <v>302.3861111111111</v>
      </c>
      <c r="LC30" s="1132">
        <v>7.0E18</v>
      </c>
      <c r="LD30" s="1131">
        <v>302.3861111111111</v>
      </c>
      <c r="LE30" s="1132">
        <v>7.0E18</v>
      </c>
      <c r="LF30" s="1131">
        <v>302.3861111111111</v>
      </c>
      <c r="LG30" s="1132">
        <v>7.0E18</v>
      </c>
      <c r="LH30" s="1131">
        <v>302.3861111111111</v>
      </c>
      <c r="LI30" s="1132">
        <v>7.0E18</v>
      </c>
      <c r="LJ30" s="1131">
        <v>302.3861111111111</v>
      </c>
      <c r="LK30" s="1132">
        <v>7.0E18</v>
      </c>
      <c r="LL30" s="1133"/>
      <c r="LM30" s="1133"/>
      <c r="LN30" s="1133"/>
      <c r="LO30" s="1133"/>
      <c r="LP30" s="1133"/>
      <c r="LQ30" s="1133"/>
      <c r="LR30" s="1133"/>
      <c r="LS30" s="1133"/>
      <c r="LT30" s="1133"/>
      <c r="LU30" s="1133"/>
      <c r="LV30" s="1133"/>
      <c r="LW30" s="1133"/>
      <c r="LX30" s="1133"/>
      <c r="LY30" s="1133"/>
      <c r="LZ30" s="1133"/>
      <c r="MA30" s="1133"/>
      <c r="MB30" s="1133"/>
      <c r="MC30" s="1133"/>
      <c r="MD30" s="1133"/>
      <c r="ME30" s="1133"/>
      <c r="MF30" s="1133"/>
      <c r="MG30" s="1133"/>
      <c r="MH30" s="1133"/>
      <c r="MI30" s="1133"/>
      <c r="MJ30" s="1133"/>
      <c r="MK30" s="1133"/>
      <c r="ML30" s="1133"/>
      <c r="MM30" s="1133"/>
      <c r="MN30" s="1133"/>
      <c r="MO30" s="1133"/>
      <c r="MP30" s="1133"/>
      <c r="MQ30" s="1133"/>
      <c r="MR30" s="1133"/>
      <c r="MS30" s="1133"/>
      <c r="MT30" s="1133"/>
      <c r="MU30" s="1133"/>
      <c r="MV30" s="1133"/>
      <c r="MW30" s="1133"/>
      <c r="MX30" s="1133"/>
      <c r="MY30" s="1133"/>
    </row>
    <row r="31">
      <c r="A31" s="1071">
        <v>29.0</v>
      </c>
      <c r="B31" s="1124"/>
      <c r="C31" s="1126"/>
      <c r="D31" s="1072">
        <v>2.5055555555555555</v>
      </c>
      <c r="E31" s="1073">
        <v>134390.0</v>
      </c>
      <c r="F31" s="1072">
        <v>2.5055555555555555</v>
      </c>
      <c r="G31" s="1073">
        <v>134390.0</v>
      </c>
      <c r="H31" s="1072">
        <v>2.5055555555555555</v>
      </c>
      <c r="I31" s="1073">
        <v>134390.0</v>
      </c>
      <c r="J31" s="1072">
        <v>2.5055555555555555</v>
      </c>
      <c r="K31" s="1073">
        <v>134390.0</v>
      </c>
      <c r="L31" s="1072">
        <v>4.132638888888889</v>
      </c>
      <c r="M31" s="1075">
        <v>365580.0</v>
      </c>
      <c r="N31" s="1076">
        <v>2.6486111111111112</v>
      </c>
      <c r="O31" s="1073">
        <v>399110.0</v>
      </c>
      <c r="P31" s="1124"/>
      <c r="Q31" s="1125"/>
      <c r="R31" s="1124"/>
      <c r="S31" s="1125"/>
      <c r="T31" s="1124"/>
      <c r="U31" s="1125"/>
      <c r="V31" s="1124"/>
      <c r="W31" s="1125"/>
      <c r="X31" s="1124"/>
      <c r="Y31" s="1125"/>
      <c r="Z31" s="1124"/>
      <c r="AA31" s="1125"/>
      <c r="AB31" s="1124"/>
      <c r="AC31" s="1125"/>
      <c r="AD31" s="1072">
        <v>31.318055555555556</v>
      </c>
      <c r="AE31" s="1080">
        <v>1.55029328E12</v>
      </c>
      <c r="AF31" s="1072">
        <v>31.318055555555556</v>
      </c>
      <c r="AG31" s="1080">
        <v>1.55029328E12</v>
      </c>
      <c r="AH31" s="1072">
        <v>31.318055555555556</v>
      </c>
      <c r="AI31" s="1080">
        <v>1.55029328E12</v>
      </c>
      <c r="AJ31" s="1081">
        <v>2.5055555555555555</v>
      </c>
      <c r="AK31" s="1082">
        <v>134390.0</v>
      </c>
      <c r="AL31" s="1081">
        <v>2.5055555555555555</v>
      </c>
      <c r="AM31" s="1082">
        <v>134390.0</v>
      </c>
      <c r="AN31" s="1081">
        <v>2.5055555555555555</v>
      </c>
      <c r="AO31" s="1082">
        <v>134390.0</v>
      </c>
      <c r="AP31" s="1081">
        <v>2.5055555555555555</v>
      </c>
      <c r="AQ31" s="1082">
        <v>134390.0</v>
      </c>
      <c r="AR31" s="1081">
        <v>2.5055555555555555</v>
      </c>
      <c r="AS31" s="1082">
        <v>134400.0</v>
      </c>
      <c r="AT31" s="1081">
        <v>987.0840277777778</v>
      </c>
      <c r="AU31" s="1082">
        <v>6.34E9</v>
      </c>
      <c r="AV31" s="1081">
        <v>515.3458333333334</v>
      </c>
      <c r="AW31" s="1082">
        <v>6.34E9</v>
      </c>
      <c r="AX31" s="1081">
        <v>20.9125</v>
      </c>
      <c r="AY31" s="1082">
        <v>1.48E12</v>
      </c>
      <c r="AZ31" s="1124"/>
      <c r="BA31" s="1124"/>
      <c r="BB31" s="1083">
        <v>2.5055555555555555</v>
      </c>
      <c r="BC31" s="1084">
        <v>134390.0</v>
      </c>
      <c r="BD31" s="1083">
        <v>2.5055555555555555</v>
      </c>
      <c r="BE31" s="1084">
        <v>134390.0</v>
      </c>
      <c r="BF31" s="1083">
        <v>2.5055555555555555</v>
      </c>
      <c r="BG31" s="1084">
        <v>134390.0</v>
      </c>
      <c r="BH31" s="1083">
        <v>49.34236111111111</v>
      </c>
      <c r="BI31" s="1084">
        <v>6.147E8</v>
      </c>
      <c r="BJ31" s="1124"/>
      <c r="BK31" s="1125"/>
      <c r="BL31" s="1124"/>
      <c r="BM31" s="1125"/>
      <c r="BN31" s="1083">
        <v>98.06805555555556</v>
      </c>
      <c r="BO31" s="1084">
        <v>1.67E10</v>
      </c>
      <c r="BP31" s="1124"/>
      <c r="BQ31" s="1125"/>
      <c r="BR31" s="1126"/>
      <c r="BS31" s="1125"/>
      <c r="BT31" s="1085">
        <v>2.704861111111111</v>
      </c>
      <c r="BU31" s="1086">
        <v>1.257E10</v>
      </c>
      <c r="BV31" s="1126"/>
      <c r="BW31" s="1126"/>
      <c r="BX31" s="1085">
        <v>243.0234837962963</v>
      </c>
      <c r="BY31" s="1086">
        <v>2.1026E11</v>
      </c>
      <c r="BZ31" s="1126"/>
      <c r="CA31" s="1126"/>
      <c r="CB31" s="1126"/>
      <c r="CC31" s="1125"/>
      <c r="CD31" s="1083">
        <v>11.776493055555555</v>
      </c>
      <c r="CE31" s="1087">
        <v>1.4E12</v>
      </c>
      <c r="CF31" s="1133"/>
      <c r="CG31" s="1167"/>
      <c r="CH31" s="1088">
        <v>2.5055555555555555</v>
      </c>
      <c r="CI31" s="1089">
        <v>134400.0</v>
      </c>
      <c r="CJ31" s="1088">
        <v>2.5055555555555555</v>
      </c>
      <c r="CK31" s="1089">
        <v>134400.0</v>
      </c>
      <c r="CL31" s="1088">
        <v>2.5055555555555555</v>
      </c>
      <c r="CM31" s="1089">
        <v>134400.0</v>
      </c>
      <c r="CN31" s="1088">
        <v>2.5055555555555555</v>
      </c>
      <c r="CO31" s="1089">
        <v>134400.0</v>
      </c>
      <c r="CP31" s="1088">
        <v>4.852083333333333</v>
      </c>
      <c r="CQ31" s="1089">
        <v>399120.0</v>
      </c>
      <c r="CR31" s="1124"/>
      <c r="CS31" s="1125"/>
      <c r="CT31" s="1126"/>
      <c r="CU31" s="1125"/>
      <c r="CV31" s="1126"/>
      <c r="CW31" s="1125"/>
      <c r="CX31" s="1126"/>
      <c r="CY31" s="1125"/>
      <c r="CZ31" s="1126"/>
      <c r="DA31" s="1126"/>
      <c r="DB31" s="1126"/>
      <c r="DC31" s="1126"/>
      <c r="DD31" s="1126"/>
      <c r="DE31" s="1125"/>
      <c r="DF31" s="1126"/>
      <c r="DG31" s="1125"/>
      <c r="DH31" s="1124"/>
      <c r="DI31" s="1125"/>
      <c r="DJ31" s="1124"/>
      <c r="DK31" s="1125"/>
      <c r="DL31" s="1092">
        <v>98.83194444444445</v>
      </c>
      <c r="DM31" s="1093">
        <v>1.67E10</v>
      </c>
      <c r="DN31" s="1124"/>
      <c r="DO31" s="1125"/>
      <c r="DP31" s="1092">
        <v>98.83194444444445</v>
      </c>
      <c r="DQ31" s="1093">
        <v>1.67E10</v>
      </c>
      <c r="DR31" s="1092">
        <v>98.83194444444445</v>
      </c>
      <c r="DS31" s="1093">
        <v>1.67E10</v>
      </c>
      <c r="DT31" s="1124"/>
      <c r="DU31" s="1125"/>
      <c r="DV31" s="1092">
        <v>98.83194444444445</v>
      </c>
      <c r="DW31" s="1093">
        <v>1.67E10</v>
      </c>
      <c r="DX31" s="1092">
        <v>98.83194444444445</v>
      </c>
      <c r="DY31" s="1093">
        <v>1.67E10</v>
      </c>
      <c r="DZ31" s="1124"/>
      <c r="EA31" s="1125"/>
      <c r="EB31" s="1124"/>
      <c r="EC31" s="1125"/>
      <c r="ED31" s="1124"/>
      <c r="EE31" s="1125"/>
      <c r="EF31" s="1092">
        <v>104.66527777777777</v>
      </c>
      <c r="EG31" s="1093">
        <v>5.362E10</v>
      </c>
      <c r="EH31" s="1124"/>
      <c r="EI31" s="1125"/>
      <c r="EJ31" s="1092">
        <v>16.555520833333333</v>
      </c>
      <c r="EK31" s="1093">
        <v>1.47E9</v>
      </c>
      <c r="EL31" s="1169"/>
      <c r="EM31" s="1167"/>
      <c r="EN31" s="1124"/>
      <c r="EO31" s="1125"/>
      <c r="EP31" s="1124"/>
      <c r="EQ31" s="1125"/>
      <c r="ER31" s="1124"/>
      <c r="ES31" s="1125"/>
      <c r="ET31" s="1124"/>
      <c r="EU31" s="1125"/>
      <c r="EV31" s="1124"/>
      <c r="EW31" s="1125"/>
      <c r="EX31" s="1124"/>
      <c r="EY31" s="1125"/>
      <c r="EZ31" s="1124"/>
      <c r="FA31" s="1125"/>
      <c r="FB31" s="1126"/>
      <c r="FC31" s="1125"/>
      <c r="FD31" s="1126"/>
      <c r="FE31" s="1125"/>
      <c r="FF31" s="1126"/>
      <c r="FG31" s="1125"/>
      <c r="FH31" s="1126"/>
      <c r="FI31" s="1126"/>
      <c r="FJ31" s="1126"/>
      <c r="FK31" s="1125"/>
      <c r="FL31" s="1124"/>
      <c r="FM31" s="1125"/>
      <c r="FN31" s="1139"/>
      <c r="FO31" s="1126"/>
      <c r="FP31" s="1092">
        <v>199.0322337962963</v>
      </c>
      <c r="FQ31" s="1094">
        <v>8.52E15</v>
      </c>
      <c r="FR31" s="1139"/>
      <c r="FS31" s="1126"/>
      <c r="FT31" s="1092">
        <v>199.0322337962963</v>
      </c>
      <c r="FU31" s="1094">
        <v>8.52E15</v>
      </c>
      <c r="FV31" s="1092">
        <v>199.0322337962963</v>
      </c>
      <c r="FW31" s="1094">
        <v>8.52E15</v>
      </c>
      <c r="FX31" s="1133"/>
      <c r="FY31" s="1133"/>
      <c r="FZ31" s="1097">
        <v>199.0322337962963</v>
      </c>
      <c r="GA31" s="1098">
        <v>8.52E15</v>
      </c>
      <c r="GB31" s="1133"/>
      <c r="GC31" s="1133"/>
      <c r="GD31" s="1133"/>
      <c r="GE31" s="1167"/>
      <c r="GF31" s="1124"/>
      <c r="GG31" s="1125"/>
      <c r="GH31" s="1100">
        <v>103.87361111111112</v>
      </c>
      <c r="GI31" s="1101">
        <v>1.7211E11</v>
      </c>
      <c r="GJ31" s="1124"/>
      <c r="GK31" s="1125"/>
      <c r="GL31" s="1124"/>
      <c r="GM31" s="1125"/>
      <c r="GN31" s="1126"/>
      <c r="GO31" s="1125"/>
      <c r="GP31" s="1102">
        <v>104.04027777777777</v>
      </c>
      <c r="GQ31" s="1134">
        <v>1.61E12</v>
      </c>
      <c r="GR31" s="1124"/>
      <c r="GS31" s="1125"/>
      <c r="GT31" s="1124"/>
      <c r="GU31" s="1125"/>
      <c r="GV31" s="1126"/>
      <c r="GW31" s="1125"/>
      <c r="GX31" s="1168"/>
      <c r="GY31" s="1133"/>
      <c r="GZ31" s="1124"/>
      <c r="HA31" s="1125"/>
      <c r="HB31" s="1107">
        <v>98.06805555555556</v>
      </c>
      <c r="HC31" s="1108">
        <v>3.4421E11</v>
      </c>
      <c r="HD31" s="1124"/>
      <c r="HE31" s="1125"/>
      <c r="HF31" s="1124"/>
      <c r="HG31" s="1175"/>
      <c r="HH31" s="1124"/>
      <c r="HI31" s="1125"/>
      <c r="HJ31" s="1124"/>
      <c r="HK31" s="1125"/>
      <c r="HL31" s="1124"/>
      <c r="HM31" s="1125"/>
      <c r="HN31" s="1126"/>
      <c r="HO31" s="1125"/>
      <c r="HP31" s="1107">
        <v>518.2756018518519</v>
      </c>
      <c r="HQ31" s="1108">
        <v>9.758E10</v>
      </c>
      <c r="HR31" s="1124"/>
      <c r="HS31" s="1125"/>
      <c r="HT31" s="1124"/>
      <c r="HU31" s="1125"/>
      <c r="HV31" s="1124"/>
      <c r="HW31" s="1125"/>
      <c r="HX31" s="1124"/>
      <c r="HY31" s="1125"/>
      <c r="HZ31" s="1124"/>
      <c r="IA31" s="1125"/>
      <c r="IB31" s="1124"/>
      <c r="IC31" s="1125"/>
      <c r="ID31" s="1124"/>
      <c r="IE31" s="1125"/>
      <c r="IF31" s="1124"/>
      <c r="IG31" s="1125"/>
      <c r="IH31" s="1113">
        <v>143.36319444444445</v>
      </c>
      <c r="II31" s="1114">
        <v>2.16E12</v>
      </c>
      <c r="IJ31" s="1113">
        <v>143.36319444444445</v>
      </c>
      <c r="IK31" s="1114">
        <v>2.16E12</v>
      </c>
      <c r="IL31" s="1113">
        <v>143.36319444444445</v>
      </c>
      <c r="IM31" s="1114">
        <v>2.45E12</v>
      </c>
      <c r="IN31" s="1113">
        <v>143.36319444444445</v>
      </c>
      <c r="IO31" s="1114">
        <v>2.45E12</v>
      </c>
      <c r="IP31" s="1113">
        <v>143.82638888888889</v>
      </c>
      <c r="IQ31" s="1114">
        <v>3.32E12</v>
      </c>
      <c r="IR31" s="1113">
        <v>143.36319444444445</v>
      </c>
      <c r="IS31" s="1114">
        <v>2.45E12</v>
      </c>
      <c r="IT31" s="1113">
        <v>143.36319444444445</v>
      </c>
      <c r="IU31" s="1114">
        <v>2.45E12</v>
      </c>
      <c r="IV31" s="1113">
        <v>143.36319444444445</v>
      </c>
      <c r="IW31" s="1114">
        <v>2.45E12</v>
      </c>
      <c r="IX31" s="1113">
        <v>143.36319444444445</v>
      </c>
      <c r="IY31" s="1114">
        <v>2.45E12</v>
      </c>
      <c r="IZ31" s="1113">
        <v>143.36319444444445</v>
      </c>
      <c r="JA31" s="1114">
        <v>2.74E12</v>
      </c>
      <c r="JB31" s="1113">
        <v>143.36319444444445</v>
      </c>
      <c r="JC31" s="1114">
        <v>2.74E12</v>
      </c>
      <c r="JD31" s="1113">
        <v>143.36319444444445</v>
      </c>
      <c r="JE31" s="1114">
        <v>2.74E12</v>
      </c>
      <c r="JF31" s="1113">
        <v>143.36319444444445</v>
      </c>
      <c r="JG31" s="1114">
        <v>2.74E12</v>
      </c>
      <c r="JH31" s="1124"/>
      <c r="JI31" s="1125"/>
      <c r="JJ31" s="1113">
        <v>313.18541666666664</v>
      </c>
      <c r="JK31" s="1115">
        <v>7.25E18</v>
      </c>
      <c r="JL31" s="1113">
        <v>313.18541666666664</v>
      </c>
      <c r="JM31" s="1115">
        <v>7.25E18</v>
      </c>
      <c r="JN31" s="1113">
        <v>313.18541666666664</v>
      </c>
      <c r="JO31" s="1115">
        <v>7.25E18</v>
      </c>
      <c r="JP31" s="1113">
        <v>313.18541666666664</v>
      </c>
      <c r="JQ31" s="1115">
        <v>7.25E18</v>
      </c>
      <c r="JR31" s="1113">
        <v>313.18541666666664</v>
      </c>
      <c r="JS31" s="1115">
        <v>7.25E18</v>
      </c>
      <c r="JT31" s="1113">
        <v>313.18541666666664</v>
      </c>
      <c r="JU31" s="1115">
        <v>7.25E18</v>
      </c>
      <c r="JV31" s="1113">
        <v>78.29583333333333</v>
      </c>
      <c r="JW31" s="1115">
        <v>1.234766957E16</v>
      </c>
      <c r="JX31" s="1169"/>
      <c r="JY31" s="1133"/>
      <c r="JZ31" s="1173">
        <v>2.816284722</v>
      </c>
      <c r="KA31" s="1120">
        <v>1.616E10</v>
      </c>
      <c r="KB31" s="1173">
        <v>4.769583333</v>
      </c>
      <c r="KC31" s="1174">
        <v>6.586E10</v>
      </c>
      <c r="KD31" s="1173">
        <v>19.20271991</v>
      </c>
      <c r="KE31" s="1120">
        <v>4.28E12</v>
      </c>
      <c r="KF31" s="1173">
        <v>19.20271991</v>
      </c>
      <c r="KG31" s="1120">
        <v>4.28E12</v>
      </c>
      <c r="KH31" s="1133"/>
      <c r="KI31" s="1133"/>
      <c r="KJ31" s="1133"/>
      <c r="KK31" s="1133"/>
      <c r="KL31" s="1133"/>
      <c r="KM31" s="1133"/>
      <c r="KN31" s="1133"/>
      <c r="KO31" s="1133"/>
      <c r="KP31" s="1133"/>
      <c r="KQ31" s="1133"/>
      <c r="KR31" s="1133"/>
      <c r="KS31" s="1133"/>
      <c r="KT31" s="1133"/>
      <c r="KU31" s="1133"/>
      <c r="KV31" s="1131">
        <v>313.18541666666664</v>
      </c>
      <c r="KW31" s="1132">
        <v>7.25E18</v>
      </c>
      <c r="KX31" s="1131">
        <v>313.18541666666664</v>
      </c>
      <c r="KY31" s="1132">
        <v>7.25E18</v>
      </c>
      <c r="KZ31" s="1131">
        <v>313.18541666666664</v>
      </c>
      <c r="LA31" s="1132">
        <v>7.25E18</v>
      </c>
      <c r="LB31" s="1131">
        <v>313.18541666666664</v>
      </c>
      <c r="LC31" s="1132">
        <v>7.25E18</v>
      </c>
      <c r="LD31" s="1131">
        <v>313.18541666666664</v>
      </c>
      <c r="LE31" s="1132">
        <v>7.25E18</v>
      </c>
      <c r="LF31" s="1131">
        <v>313.18541666666664</v>
      </c>
      <c r="LG31" s="1132">
        <v>7.25E18</v>
      </c>
      <c r="LH31" s="1131">
        <v>313.18541666666664</v>
      </c>
      <c r="LI31" s="1132">
        <v>7.25E18</v>
      </c>
      <c r="LJ31" s="1131">
        <v>313.18541666666664</v>
      </c>
      <c r="LK31" s="1132">
        <v>7.25E18</v>
      </c>
      <c r="LL31" s="1133"/>
      <c r="LM31" s="1133"/>
      <c r="LN31" s="1133"/>
      <c r="LO31" s="1133"/>
      <c r="LP31" s="1133"/>
      <c r="LQ31" s="1133"/>
      <c r="LR31" s="1133"/>
      <c r="LS31" s="1133"/>
      <c r="LT31" s="1133"/>
      <c r="LU31" s="1133"/>
      <c r="LV31" s="1133"/>
      <c r="LW31" s="1133"/>
      <c r="LX31" s="1133"/>
      <c r="LY31" s="1133"/>
      <c r="LZ31" s="1133"/>
      <c r="MA31" s="1133"/>
      <c r="MB31" s="1133"/>
      <c r="MC31" s="1133"/>
      <c r="MD31" s="1133"/>
      <c r="ME31" s="1133"/>
      <c r="MF31" s="1133"/>
      <c r="MG31" s="1133"/>
      <c r="MH31" s="1133"/>
      <c r="MI31" s="1133"/>
      <c r="MJ31" s="1133"/>
      <c r="MK31" s="1133"/>
      <c r="ML31" s="1133"/>
      <c r="MM31" s="1133"/>
      <c r="MN31" s="1133"/>
      <c r="MO31" s="1133"/>
      <c r="MP31" s="1133"/>
      <c r="MQ31" s="1133"/>
      <c r="MR31" s="1133"/>
      <c r="MS31" s="1133"/>
      <c r="MT31" s="1133"/>
      <c r="MU31" s="1133"/>
      <c r="MV31" s="1133"/>
      <c r="MW31" s="1133"/>
      <c r="MX31" s="1133"/>
      <c r="MY31" s="1133"/>
    </row>
    <row r="32">
      <c r="A32" s="1071">
        <v>30.0</v>
      </c>
      <c r="B32" s="1140"/>
      <c r="C32" s="1148"/>
      <c r="D32" s="1077">
        <v>2.720833333333333</v>
      </c>
      <c r="E32" s="1078">
        <v>147950.0</v>
      </c>
      <c r="F32" s="1077">
        <v>2.720833333333333</v>
      </c>
      <c r="G32" s="1078">
        <v>147950.0</v>
      </c>
      <c r="H32" s="1077">
        <v>2.720833333333333</v>
      </c>
      <c r="I32" s="1078">
        <v>147950.0</v>
      </c>
      <c r="J32" s="1077">
        <v>2.720833333333333</v>
      </c>
      <c r="K32" s="1078">
        <v>147950.0</v>
      </c>
      <c r="L32" s="1077">
        <v>4.509722222222222</v>
      </c>
      <c r="M32" s="1143">
        <v>406200.0</v>
      </c>
      <c r="N32" s="1144">
        <v>2.8541666666666665</v>
      </c>
      <c r="O32" s="1078">
        <v>444900.0</v>
      </c>
      <c r="P32" s="1140"/>
      <c r="Q32" s="1141"/>
      <c r="R32" s="1140"/>
      <c r="S32" s="1141"/>
      <c r="T32" s="1140"/>
      <c r="U32" s="1141"/>
      <c r="V32" s="1140"/>
      <c r="W32" s="1141"/>
      <c r="X32" s="1140"/>
      <c r="Y32" s="1141"/>
      <c r="Z32" s="1140"/>
      <c r="AA32" s="1141"/>
      <c r="AB32" s="1140"/>
      <c r="AC32" s="1141"/>
      <c r="AD32" s="1077">
        <v>32.39791666666667</v>
      </c>
      <c r="AE32" s="1145">
        <v>2.015381264E12</v>
      </c>
      <c r="AF32" s="1077">
        <v>32.39791666666667</v>
      </c>
      <c r="AG32" s="1145">
        <v>2.015381264E12</v>
      </c>
      <c r="AH32" s="1077">
        <v>32.39791666666667</v>
      </c>
      <c r="AI32" s="1145">
        <v>2.015381264E12</v>
      </c>
      <c r="AJ32" s="1146">
        <v>2.720833333333333</v>
      </c>
      <c r="AK32" s="1147">
        <v>147950.0</v>
      </c>
      <c r="AL32" s="1146">
        <v>2.720833333333333</v>
      </c>
      <c r="AM32" s="1147">
        <v>147950.0</v>
      </c>
      <c r="AN32" s="1146">
        <v>2.720833333333333</v>
      </c>
      <c r="AO32" s="1147">
        <v>147950.0</v>
      </c>
      <c r="AP32" s="1146">
        <v>2.720833333333333</v>
      </c>
      <c r="AQ32" s="1147">
        <v>147950.0</v>
      </c>
      <c r="AR32" s="1146">
        <v>2.720833333333333</v>
      </c>
      <c r="AS32" s="1147">
        <v>147960.0</v>
      </c>
      <c r="AT32" s="1081">
        <v>1141.6527777777778</v>
      </c>
      <c r="AU32" s="1082">
        <v>7.48E9</v>
      </c>
      <c r="AV32" s="1081">
        <v>590.9680555555556</v>
      </c>
      <c r="AW32" s="1082">
        <v>7.48E9</v>
      </c>
      <c r="AX32" s="1146">
        <v>21.590277777777775</v>
      </c>
      <c r="AY32" s="1147">
        <v>1.54E12</v>
      </c>
      <c r="AZ32" s="1140"/>
      <c r="BA32" s="1140"/>
      <c r="BB32" s="1085">
        <v>2.720833333333333</v>
      </c>
      <c r="BC32" s="1086">
        <v>147950.0</v>
      </c>
      <c r="BD32" s="1085">
        <v>2.720833333333333</v>
      </c>
      <c r="BE32" s="1086">
        <v>147950.0</v>
      </c>
      <c r="BF32" s="1085">
        <v>2.720833333333333</v>
      </c>
      <c r="BG32" s="1086">
        <v>147950.0</v>
      </c>
      <c r="BH32" s="1085">
        <v>55.31041666666667</v>
      </c>
      <c r="BI32" s="1086">
        <v>7.0733E8</v>
      </c>
      <c r="BJ32" s="1140"/>
      <c r="BK32" s="1141"/>
      <c r="BL32" s="1140"/>
      <c r="BM32" s="1141"/>
      <c r="BN32" s="1085">
        <v>110.50555555555556</v>
      </c>
      <c r="BO32" s="1086">
        <v>1.942E10</v>
      </c>
      <c r="BP32" s="1140"/>
      <c r="BQ32" s="1141"/>
      <c r="BR32" s="1148"/>
      <c r="BS32" s="1141"/>
      <c r="BT32" s="1085">
        <v>2.9187499999999997</v>
      </c>
      <c r="BU32" s="1086">
        <v>1.35E10</v>
      </c>
      <c r="BV32" s="1148"/>
      <c r="BW32" s="1148"/>
      <c r="BX32" s="1085">
        <v>279.4769791666667</v>
      </c>
      <c r="BY32" s="1086">
        <v>2.1789E11</v>
      </c>
      <c r="BZ32" s="1148"/>
      <c r="CA32" s="1148"/>
      <c r="CB32" s="1148"/>
      <c r="CC32" s="1141"/>
      <c r="CD32" s="1083">
        <v>12.531099537037036</v>
      </c>
      <c r="CE32" s="1087">
        <v>1.52E12</v>
      </c>
      <c r="CF32" s="1157"/>
      <c r="CG32" s="1171"/>
      <c r="CH32" s="1090">
        <v>2.720833333333333</v>
      </c>
      <c r="CI32" s="1091">
        <v>147960.0</v>
      </c>
      <c r="CJ32" s="1090">
        <v>2.720833333333333</v>
      </c>
      <c r="CK32" s="1091">
        <v>147960.0</v>
      </c>
      <c r="CL32" s="1090">
        <v>2.720833333333333</v>
      </c>
      <c r="CM32" s="1091">
        <v>147960.0</v>
      </c>
      <c r="CN32" s="1090">
        <v>2.720833333333333</v>
      </c>
      <c r="CO32" s="1091">
        <v>147960.0</v>
      </c>
      <c r="CP32" s="1090">
        <v>5.30625</v>
      </c>
      <c r="CQ32" s="1091">
        <v>444910.0</v>
      </c>
      <c r="CR32" s="1140"/>
      <c r="CS32" s="1141"/>
      <c r="CT32" s="1148"/>
      <c r="CU32" s="1141"/>
      <c r="CV32" s="1148"/>
      <c r="CW32" s="1141"/>
      <c r="CX32" s="1148"/>
      <c r="CY32" s="1141"/>
      <c r="CZ32" s="1148"/>
      <c r="DA32" s="1148"/>
      <c r="DB32" s="1148"/>
      <c r="DC32" s="1148"/>
      <c r="DD32" s="1148"/>
      <c r="DE32" s="1141"/>
      <c r="DF32" s="1148"/>
      <c r="DG32" s="1141"/>
      <c r="DH32" s="1140"/>
      <c r="DI32" s="1141"/>
      <c r="DJ32" s="1140"/>
      <c r="DK32" s="1141"/>
      <c r="DL32" s="1149">
        <v>111.26944444444445</v>
      </c>
      <c r="DM32" s="1150">
        <v>1.942E10</v>
      </c>
      <c r="DN32" s="1140"/>
      <c r="DO32" s="1141"/>
      <c r="DP32" s="1149">
        <v>111.26944444444445</v>
      </c>
      <c r="DQ32" s="1150">
        <v>1.942E10</v>
      </c>
      <c r="DR32" s="1149">
        <v>111.26944444444445</v>
      </c>
      <c r="DS32" s="1150">
        <v>1.942E10</v>
      </c>
      <c r="DT32" s="1140"/>
      <c r="DU32" s="1141"/>
      <c r="DV32" s="1149">
        <v>111.26944444444445</v>
      </c>
      <c r="DW32" s="1150">
        <v>1.942E10</v>
      </c>
      <c r="DX32" s="1149">
        <v>111.26944444444445</v>
      </c>
      <c r="DY32" s="1150">
        <v>1.942E10</v>
      </c>
      <c r="DZ32" s="1140"/>
      <c r="EA32" s="1141"/>
      <c r="EB32" s="1140"/>
      <c r="EC32" s="1141"/>
      <c r="ED32" s="1140"/>
      <c r="EE32" s="1141"/>
      <c r="EF32" s="1149">
        <v>117.31111111111112</v>
      </c>
      <c r="EG32" s="1150">
        <v>6.313E10</v>
      </c>
      <c r="EH32" s="1140"/>
      <c r="EI32" s="1141"/>
      <c r="EJ32" s="1092">
        <v>17.210925925925928</v>
      </c>
      <c r="EK32" s="1093">
        <v>1.62E9</v>
      </c>
      <c r="EL32" s="1172"/>
      <c r="EM32" s="1171"/>
      <c r="EN32" s="1140"/>
      <c r="EO32" s="1141"/>
      <c r="EP32" s="1140"/>
      <c r="EQ32" s="1141"/>
      <c r="ER32" s="1140"/>
      <c r="ES32" s="1141"/>
      <c r="ET32" s="1140"/>
      <c r="EU32" s="1141"/>
      <c r="EV32" s="1140"/>
      <c r="EW32" s="1141"/>
      <c r="EX32" s="1140"/>
      <c r="EY32" s="1141"/>
      <c r="EZ32" s="1140"/>
      <c r="FA32" s="1141"/>
      <c r="FB32" s="1148"/>
      <c r="FC32" s="1141"/>
      <c r="FD32" s="1148"/>
      <c r="FE32" s="1141"/>
      <c r="FF32" s="1148"/>
      <c r="FG32" s="1141"/>
      <c r="FH32" s="1148"/>
      <c r="FI32" s="1148"/>
      <c r="FJ32" s="1148"/>
      <c r="FK32" s="1141"/>
      <c r="FL32" s="1140"/>
      <c r="FM32" s="1141"/>
      <c r="FN32" s="1152"/>
      <c r="FO32" s="1148"/>
      <c r="FP32" s="1149">
        <v>222.91609953703704</v>
      </c>
      <c r="FQ32" s="1153">
        <v>1.278E16</v>
      </c>
      <c r="FR32" s="1152"/>
      <c r="FS32" s="1148"/>
      <c r="FT32" s="1149">
        <v>222.91609953703704</v>
      </c>
      <c r="FU32" s="1153">
        <v>1.278E16</v>
      </c>
      <c r="FV32" s="1149">
        <v>222.91609953703704</v>
      </c>
      <c r="FW32" s="1153">
        <v>1.278E16</v>
      </c>
      <c r="FX32" s="1157"/>
      <c r="FY32" s="1157"/>
      <c r="FZ32" s="1154">
        <v>222.91609953703704</v>
      </c>
      <c r="GA32" s="1155">
        <v>1.278E16</v>
      </c>
      <c r="GB32" s="1157"/>
      <c r="GC32" s="1157"/>
      <c r="GD32" s="1157"/>
      <c r="GE32" s="1171"/>
      <c r="GF32" s="1140"/>
      <c r="GG32" s="1141"/>
      <c r="GH32" s="1102">
        <v>116.51944444444445</v>
      </c>
      <c r="GI32" s="1103">
        <v>2.0512E11</v>
      </c>
      <c r="GJ32" s="1140"/>
      <c r="GK32" s="1141"/>
      <c r="GL32" s="1140"/>
      <c r="GM32" s="1141"/>
      <c r="GN32" s="1148"/>
      <c r="GO32" s="1141"/>
      <c r="GP32" s="1102">
        <v>116.68611111111112</v>
      </c>
      <c r="GQ32" s="1134">
        <v>1.83E12</v>
      </c>
      <c r="GR32" s="1140"/>
      <c r="GS32" s="1141"/>
      <c r="GT32" s="1140"/>
      <c r="GU32" s="1141"/>
      <c r="GV32" s="1148"/>
      <c r="GW32" s="1141"/>
      <c r="GX32" s="1156"/>
      <c r="GY32" s="1157"/>
      <c r="GZ32" s="1140"/>
      <c r="HA32" s="1141"/>
      <c r="HB32" s="1158">
        <v>110.50555555555556</v>
      </c>
      <c r="HC32" s="1159">
        <v>4.1023E11</v>
      </c>
      <c r="HD32" s="1140"/>
      <c r="HE32" s="1141"/>
      <c r="HF32" s="1140"/>
      <c r="HG32" s="1176"/>
      <c r="HH32" s="1140"/>
      <c r="HI32" s="1141"/>
      <c r="HJ32" s="1140"/>
      <c r="HK32" s="1141"/>
      <c r="HL32" s="1140"/>
      <c r="HM32" s="1141"/>
      <c r="HN32" s="1148"/>
      <c r="HO32" s="1141"/>
      <c r="HP32" s="1158">
        <v>593.2764699074074</v>
      </c>
      <c r="HQ32" s="1159">
        <v>1.1427E11</v>
      </c>
      <c r="HR32" s="1140"/>
      <c r="HS32" s="1141"/>
      <c r="HT32" s="1140"/>
      <c r="HU32" s="1141"/>
      <c r="HV32" s="1140"/>
      <c r="HW32" s="1141"/>
      <c r="HX32" s="1140"/>
      <c r="HY32" s="1141"/>
      <c r="HZ32" s="1140"/>
      <c r="IA32" s="1141"/>
      <c r="IB32" s="1140"/>
      <c r="IC32" s="1141"/>
      <c r="ID32" s="1140"/>
      <c r="IE32" s="1141"/>
      <c r="IF32" s="1140"/>
      <c r="IG32" s="1141"/>
      <c r="IH32" s="1113">
        <v>161.39444444444445</v>
      </c>
      <c r="II32" s="1114">
        <v>2.4E12</v>
      </c>
      <c r="IJ32" s="1113">
        <v>161.39444444444445</v>
      </c>
      <c r="IK32" s="1114">
        <v>2.4E12</v>
      </c>
      <c r="IL32" s="1113">
        <v>161.39444444444445</v>
      </c>
      <c r="IM32" s="1114">
        <v>2.7E12</v>
      </c>
      <c r="IN32" s="1113">
        <v>161.39444444444445</v>
      </c>
      <c r="IO32" s="1114">
        <v>2.7E12</v>
      </c>
      <c r="IP32" s="1113">
        <v>161.85763888888889</v>
      </c>
      <c r="IQ32" s="1114">
        <v>3.6E12</v>
      </c>
      <c r="IR32" s="1113">
        <v>161.39444444444445</v>
      </c>
      <c r="IS32" s="1114">
        <v>2.7E12</v>
      </c>
      <c r="IT32" s="1113">
        <v>161.39444444444445</v>
      </c>
      <c r="IU32" s="1114">
        <v>2.7E12</v>
      </c>
      <c r="IV32" s="1113">
        <v>161.39444444444445</v>
      </c>
      <c r="IW32" s="1114">
        <v>2.7E12</v>
      </c>
      <c r="IX32" s="1113">
        <v>161.39444444444445</v>
      </c>
      <c r="IY32" s="1114">
        <v>2.7E12</v>
      </c>
      <c r="IZ32" s="1113">
        <v>161.39444444444445</v>
      </c>
      <c r="JA32" s="1114">
        <v>3.0E12</v>
      </c>
      <c r="JB32" s="1113">
        <v>161.39444444444445</v>
      </c>
      <c r="JC32" s="1114">
        <v>3.0E12</v>
      </c>
      <c r="JD32" s="1113">
        <v>161.39444444444445</v>
      </c>
      <c r="JE32" s="1114">
        <v>3.0E12</v>
      </c>
      <c r="JF32" s="1113">
        <v>161.39444444444445</v>
      </c>
      <c r="JG32" s="1114">
        <v>3.0E12</v>
      </c>
      <c r="JH32" s="1140"/>
      <c r="JI32" s="1141"/>
      <c r="JJ32" s="1113">
        <v>323.98541666666665</v>
      </c>
      <c r="JK32" s="1115">
        <v>7.5E18</v>
      </c>
      <c r="JL32" s="1113">
        <v>323.98541666666665</v>
      </c>
      <c r="JM32" s="1115">
        <v>7.5E18</v>
      </c>
      <c r="JN32" s="1113">
        <v>323.98541666666665</v>
      </c>
      <c r="JO32" s="1115">
        <v>7.5E18</v>
      </c>
      <c r="JP32" s="1113">
        <v>323.98541666666665</v>
      </c>
      <c r="JQ32" s="1115">
        <v>7.5E18</v>
      </c>
      <c r="JR32" s="1113">
        <v>323.98541666666665</v>
      </c>
      <c r="JS32" s="1115">
        <v>7.5E18</v>
      </c>
      <c r="JT32" s="1113">
        <v>323.98541666666665</v>
      </c>
      <c r="JU32" s="1115">
        <v>7.5E18</v>
      </c>
      <c r="JV32" s="1113">
        <v>80.99583333333334</v>
      </c>
      <c r="JW32" s="1115">
        <v>1.7286737400000002E16</v>
      </c>
      <c r="JX32" s="1169"/>
      <c r="JY32" s="1133"/>
      <c r="JZ32" s="1173">
        <v>2.882395833</v>
      </c>
      <c r="KA32" s="1120">
        <v>1.776E10</v>
      </c>
      <c r="KB32" s="1173">
        <v>5.016053241</v>
      </c>
      <c r="KC32" s="1174">
        <v>7.317E10</v>
      </c>
      <c r="KD32" s="1173">
        <v>20.31929398</v>
      </c>
      <c r="KE32" s="1120">
        <v>4.79E12</v>
      </c>
      <c r="KF32" s="1173">
        <v>20.31929398</v>
      </c>
      <c r="KG32" s="1120">
        <v>4.79E12</v>
      </c>
      <c r="KH32" s="1133"/>
      <c r="KI32" s="1133"/>
      <c r="KJ32" s="1133"/>
      <c r="KK32" s="1133"/>
      <c r="KL32" s="1133"/>
      <c r="KM32" s="1133"/>
      <c r="KN32" s="1133"/>
      <c r="KO32" s="1133"/>
      <c r="KP32" s="1133"/>
      <c r="KQ32" s="1133"/>
      <c r="KR32" s="1133"/>
      <c r="KS32" s="1133"/>
      <c r="KT32" s="1133"/>
      <c r="KU32" s="1133"/>
      <c r="KV32" s="1164">
        <v>323.98541666666665</v>
      </c>
      <c r="KW32" s="1165">
        <v>7.5E18</v>
      </c>
      <c r="KX32" s="1164">
        <v>323.98541666666665</v>
      </c>
      <c r="KY32" s="1165">
        <v>7.5E18</v>
      </c>
      <c r="KZ32" s="1164">
        <v>323.98541666666665</v>
      </c>
      <c r="LA32" s="1165">
        <v>7.5E18</v>
      </c>
      <c r="LB32" s="1164">
        <v>323.98541666666665</v>
      </c>
      <c r="LC32" s="1165">
        <v>7.5E18</v>
      </c>
      <c r="LD32" s="1164">
        <v>323.98541666666665</v>
      </c>
      <c r="LE32" s="1165">
        <v>7.5E18</v>
      </c>
      <c r="LF32" s="1164">
        <v>323.98541666666665</v>
      </c>
      <c r="LG32" s="1165">
        <v>7.5E18</v>
      </c>
      <c r="LH32" s="1164">
        <v>323.98541666666665</v>
      </c>
      <c r="LI32" s="1165">
        <v>7.5E18</v>
      </c>
      <c r="LJ32" s="1164">
        <v>323.98541666666665</v>
      </c>
      <c r="LK32" s="1165">
        <v>7.5E18</v>
      </c>
      <c r="LL32" s="1157"/>
      <c r="LM32" s="1157"/>
      <c r="LN32" s="1133"/>
      <c r="LO32" s="1133"/>
      <c r="LP32" s="1133"/>
      <c r="LQ32" s="1133"/>
      <c r="LR32" s="1133"/>
      <c r="LS32" s="1133"/>
      <c r="LT32" s="1133"/>
      <c r="LU32" s="1133"/>
      <c r="LV32" s="1133"/>
      <c r="LW32" s="1133"/>
      <c r="LX32" s="1133"/>
      <c r="LY32" s="1133"/>
      <c r="LZ32" s="1133"/>
      <c r="MA32" s="1133"/>
      <c r="MB32" s="1133"/>
      <c r="MC32" s="1133"/>
      <c r="MD32" s="1133"/>
      <c r="ME32" s="1133"/>
      <c r="MF32" s="1133"/>
      <c r="MG32" s="1133"/>
      <c r="MH32" s="1133"/>
      <c r="MI32" s="1133"/>
      <c r="MJ32" s="1133"/>
      <c r="MK32" s="1133"/>
      <c r="ML32" s="1133"/>
      <c r="MM32" s="1133"/>
      <c r="MN32" s="1133"/>
      <c r="MO32" s="1133"/>
      <c r="MP32" s="1133"/>
      <c r="MQ32" s="1133"/>
      <c r="MR32" s="1133"/>
      <c r="MS32" s="1133"/>
      <c r="MT32" s="1133"/>
      <c r="MU32" s="1133"/>
      <c r="MV32" s="1133"/>
      <c r="MW32" s="1133"/>
      <c r="MX32" s="1133"/>
      <c r="MY32" s="1133"/>
    </row>
    <row r="33">
      <c r="A33" s="1071">
        <v>31.0</v>
      </c>
      <c r="B33" s="1124"/>
      <c r="C33" s="1126"/>
      <c r="D33" s="1072">
        <v>2.946527777777778</v>
      </c>
      <c r="E33" s="1073">
        <v>162350.0</v>
      </c>
      <c r="F33" s="1072">
        <v>2.946527777777778</v>
      </c>
      <c r="G33" s="1073">
        <v>162350.0</v>
      </c>
      <c r="H33" s="1072">
        <v>2.946527777777778</v>
      </c>
      <c r="I33" s="1073">
        <v>162350.0</v>
      </c>
      <c r="J33" s="1072">
        <v>2.946527777777778</v>
      </c>
      <c r="K33" s="1073">
        <v>162350.0</v>
      </c>
      <c r="L33" s="1072">
        <v>4.907638888888889</v>
      </c>
      <c r="M33" s="1075">
        <v>449660.0</v>
      </c>
      <c r="N33" s="1076">
        <v>3.067361111111111</v>
      </c>
      <c r="O33" s="1073">
        <v>494140.0</v>
      </c>
      <c r="P33" s="1124"/>
      <c r="Q33" s="1125"/>
      <c r="R33" s="1124"/>
      <c r="S33" s="1125"/>
      <c r="T33" s="1124"/>
      <c r="U33" s="1125"/>
      <c r="V33" s="1124"/>
      <c r="W33" s="1125"/>
      <c r="X33" s="1124"/>
      <c r="Y33" s="1125"/>
      <c r="Z33" s="1124"/>
      <c r="AA33" s="1125"/>
      <c r="AB33" s="1124"/>
      <c r="AC33" s="1125"/>
      <c r="AD33" s="1072">
        <v>33.47847222222222</v>
      </c>
      <c r="AE33" s="1080">
        <v>2.619995644E12</v>
      </c>
      <c r="AF33" s="1072">
        <v>33.47847222222222</v>
      </c>
      <c r="AG33" s="1080">
        <v>2.619995644E12</v>
      </c>
      <c r="AH33" s="1072">
        <v>33.47847222222222</v>
      </c>
      <c r="AI33" s="1080">
        <v>2.619995644E12</v>
      </c>
      <c r="AJ33" s="1081">
        <v>2.946527777777778</v>
      </c>
      <c r="AK33" s="1082">
        <v>162350.0</v>
      </c>
      <c r="AL33" s="1081">
        <v>2.946527777777778</v>
      </c>
      <c r="AM33" s="1082">
        <v>162350.0</v>
      </c>
      <c r="AN33" s="1081">
        <v>2.946527777777778</v>
      </c>
      <c r="AO33" s="1082">
        <v>162350.0</v>
      </c>
      <c r="AP33" s="1081">
        <v>2.946527777777778</v>
      </c>
      <c r="AQ33" s="1082">
        <v>162350.0</v>
      </c>
      <c r="AR33" s="1081">
        <v>2.946527777777778</v>
      </c>
      <c r="AS33" s="1082">
        <v>162360.0</v>
      </c>
      <c r="AT33" s="1081">
        <v>1314.1847222222223</v>
      </c>
      <c r="AU33" s="1082">
        <v>8.7E9</v>
      </c>
      <c r="AV33" s="1081">
        <v>674.7680555555555</v>
      </c>
      <c r="AW33" s="1082">
        <v>8.77E9</v>
      </c>
      <c r="AX33" s="1124"/>
      <c r="AY33" s="1175"/>
      <c r="AZ33" s="1124"/>
      <c r="BA33" s="1124"/>
      <c r="BB33" s="1083">
        <v>2.946527777777778</v>
      </c>
      <c r="BC33" s="1084">
        <v>162350.0</v>
      </c>
      <c r="BD33" s="1083">
        <v>2.946527777777778</v>
      </c>
      <c r="BE33" s="1084">
        <v>162350.0</v>
      </c>
      <c r="BF33" s="1083">
        <v>2.946527777777778</v>
      </c>
      <c r="BG33" s="1084">
        <v>162350.0</v>
      </c>
      <c r="BH33" s="1083">
        <v>61.76875</v>
      </c>
      <c r="BI33" s="1084">
        <v>8.1005E8</v>
      </c>
      <c r="BJ33" s="1124"/>
      <c r="BK33" s="1125"/>
      <c r="BL33" s="1124"/>
      <c r="BM33" s="1125"/>
      <c r="BN33" s="1083">
        <v>124.05</v>
      </c>
      <c r="BO33" s="1084">
        <v>2.247E10</v>
      </c>
      <c r="BP33" s="1124"/>
      <c r="BQ33" s="1125"/>
      <c r="BR33" s="1126"/>
      <c r="BS33" s="1125"/>
      <c r="BT33" s="1085">
        <v>3.1430555555555557</v>
      </c>
      <c r="BU33" s="1086">
        <v>1.449E10</v>
      </c>
      <c r="BV33" s="1126"/>
      <c r="BW33" s="1126"/>
      <c r="BX33" s="1126"/>
      <c r="BY33" s="1126"/>
      <c r="BZ33" s="1126"/>
      <c r="CA33" s="1126"/>
      <c r="CB33" s="1126"/>
      <c r="CC33" s="1125"/>
      <c r="CD33" s="1083">
        <v>13.324988425925927</v>
      </c>
      <c r="CE33" s="1087">
        <v>1.65E12</v>
      </c>
      <c r="CF33" s="1133"/>
      <c r="CG33" s="1167"/>
      <c r="CH33" s="1088">
        <v>2.946527777777778</v>
      </c>
      <c r="CI33" s="1089">
        <v>162360.0</v>
      </c>
      <c r="CJ33" s="1088">
        <v>2.946527777777778</v>
      </c>
      <c r="CK33" s="1089">
        <v>162360.0</v>
      </c>
      <c r="CL33" s="1088">
        <v>2.946527777777778</v>
      </c>
      <c r="CM33" s="1089">
        <v>162360.0</v>
      </c>
      <c r="CN33" s="1088">
        <v>2.946527777777778</v>
      </c>
      <c r="CO33" s="1089">
        <v>162360.0</v>
      </c>
      <c r="CP33" s="1088">
        <v>5.785416666666666</v>
      </c>
      <c r="CQ33" s="1089">
        <v>494150.0</v>
      </c>
      <c r="CR33" s="1124"/>
      <c r="CS33" s="1125"/>
      <c r="CT33" s="1126"/>
      <c r="CU33" s="1125"/>
      <c r="CV33" s="1126"/>
      <c r="CW33" s="1125"/>
      <c r="CX33" s="1126"/>
      <c r="CY33" s="1125"/>
      <c r="CZ33" s="1126"/>
      <c r="DA33" s="1126"/>
      <c r="DB33" s="1126"/>
      <c r="DC33" s="1126"/>
      <c r="DD33" s="1126"/>
      <c r="DE33" s="1125"/>
      <c r="DF33" s="1124"/>
      <c r="DG33" s="1125"/>
      <c r="DH33" s="1124"/>
      <c r="DI33" s="1125"/>
      <c r="DJ33" s="1124"/>
      <c r="DK33" s="1125"/>
      <c r="DL33" s="1177"/>
      <c r="DM33" s="1125"/>
      <c r="DN33" s="1124"/>
      <c r="DO33" s="1125"/>
      <c r="DP33" s="1124"/>
      <c r="DQ33" s="1125"/>
      <c r="DR33" s="1124"/>
      <c r="DS33" s="1125"/>
      <c r="DT33" s="1124"/>
      <c r="DU33" s="1125"/>
      <c r="DV33" s="1126"/>
      <c r="DW33" s="1125"/>
      <c r="DX33" s="1124"/>
      <c r="DY33" s="1125"/>
      <c r="DZ33" s="1124"/>
      <c r="EA33" s="1125"/>
      <c r="EB33" s="1124"/>
      <c r="EC33" s="1125"/>
      <c r="ED33" s="1124"/>
      <c r="EE33" s="1125"/>
      <c r="EF33" s="1124"/>
      <c r="EG33" s="1125"/>
      <c r="EH33" s="1124"/>
      <c r="EI33" s="1125"/>
      <c r="EJ33" s="1169"/>
      <c r="EK33" s="1167"/>
      <c r="EL33" s="1169"/>
      <c r="EM33" s="1167"/>
      <c r="EN33" s="1124"/>
      <c r="EO33" s="1125"/>
      <c r="EP33" s="1124"/>
      <c r="EQ33" s="1125"/>
      <c r="ER33" s="1124"/>
      <c r="ES33" s="1125"/>
      <c r="ET33" s="1124"/>
      <c r="EU33" s="1125"/>
      <c r="EV33" s="1124"/>
      <c r="EW33" s="1125"/>
      <c r="EX33" s="1124"/>
      <c r="EY33" s="1125"/>
      <c r="EZ33" s="1124"/>
      <c r="FA33" s="1125"/>
      <c r="FB33" s="1126"/>
      <c r="FC33" s="1125"/>
      <c r="FD33" s="1126"/>
      <c r="FE33" s="1125"/>
      <c r="FF33" s="1126"/>
      <c r="FG33" s="1125"/>
      <c r="FH33" s="1126"/>
      <c r="FI33" s="1126"/>
      <c r="FJ33" s="1126"/>
      <c r="FK33" s="1125"/>
      <c r="FL33" s="1124"/>
      <c r="FM33" s="1125"/>
      <c r="FN33" s="1178"/>
      <c r="FO33" s="1125"/>
      <c r="FP33" s="1178"/>
      <c r="FQ33" s="1125"/>
      <c r="FR33" s="1178"/>
      <c r="FS33" s="1125"/>
      <c r="FT33" s="1139"/>
      <c r="FU33" s="1125"/>
      <c r="FV33" s="1139"/>
      <c r="FW33" s="1125"/>
      <c r="FX33" s="1179"/>
      <c r="FY33" s="1167"/>
      <c r="FZ33" s="1179"/>
      <c r="GA33" s="1167"/>
      <c r="GB33" s="1179"/>
      <c r="GC33" s="1167"/>
      <c r="GD33" s="1133"/>
      <c r="GE33" s="1167"/>
      <c r="GF33" s="1124"/>
      <c r="GG33" s="1125"/>
      <c r="GH33" s="1124"/>
      <c r="GI33" s="1125"/>
      <c r="GJ33" s="1126"/>
      <c r="GK33" s="1125"/>
      <c r="GL33" s="1124"/>
      <c r="GM33" s="1125"/>
      <c r="GN33" s="1126"/>
      <c r="GO33" s="1125"/>
      <c r="GP33" s="1126"/>
      <c r="GQ33" s="1125"/>
      <c r="GR33" s="1124"/>
      <c r="GS33" s="1125"/>
      <c r="GT33" s="1124"/>
      <c r="GU33" s="1125"/>
      <c r="GV33" s="1126"/>
      <c r="GW33" s="1125"/>
      <c r="GX33" s="1168"/>
      <c r="GY33" s="1133"/>
      <c r="GZ33" s="1124"/>
      <c r="HA33" s="1125"/>
      <c r="HB33" s="1107">
        <v>124.05</v>
      </c>
      <c r="HC33" s="1108">
        <v>4.86E11</v>
      </c>
      <c r="HD33" s="1124"/>
      <c r="HE33" s="1125"/>
      <c r="HF33" s="1124"/>
      <c r="HG33" s="1125"/>
      <c r="HH33" s="1124"/>
      <c r="HI33" s="1125"/>
      <c r="HJ33" s="1124"/>
      <c r="HK33" s="1125"/>
      <c r="HL33" s="1124"/>
      <c r="HM33" s="1125"/>
      <c r="HN33" s="1126"/>
      <c r="HO33" s="1125"/>
      <c r="HP33" s="1107">
        <v>676.1401851851851</v>
      </c>
      <c r="HQ33" s="1108">
        <v>1.331E11</v>
      </c>
      <c r="HR33" s="1124"/>
      <c r="HS33" s="1125"/>
      <c r="HT33" s="1124"/>
      <c r="HU33" s="1125"/>
      <c r="HV33" s="1124"/>
      <c r="HW33" s="1125"/>
      <c r="HX33" s="1124"/>
      <c r="HY33" s="1125"/>
      <c r="HZ33" s="1124"/>
      <c r="IA33" s="1125"/>
      <c r="IB33" s="1124"/>
      <c r="IC33" s="1125"/>
      <c r="ID33" s="1124"/>
      <c r="IE33" s="1125"/>
      <c r="IF33" s="1124"/>
      <c r="IG33" s="1125"/>
      <c r="IH33" s="1124"/>
      <c r="II33" s="1125"/>
      <c r="IJ33" s="1124"/>
      <c r="IK33" s="1125"/>
      <c r="IL33" s="1124"/>
      <c r="IM33" s="1125"/>
      <c r="IN33" s="1124"/>
      <c r="IO33" s="1125"/>
      <c r="IP33" s="1124"/>
      <c r="IQ33" s="1125"/>
      <c r="IR33" s="1124"/>
      <c r="IS33" s="1125"/>
      <c r="IT33" s="1124"/>
      <c r="IU33" s="1125"/>
      <c r="IV33" s="1124"/>
      <c r="IW33" s="1125"/>
      <c r="IX33" s="1124"/>
      <c r="IY33" s="1125"/>
      <c r="IZ33" s="1124"/>
      <c r="JA33" s="1125"/>
      <c r="JB33" s="1124"/>
      <c r="JC33" s="1125"/>
      <c r="JD33" s="1124"/>
      <c r="JE33" s="1125"/>
      <c r="JF33" s="1124"/>
      <c r="JG33" s="1125"/>
      <c r="JH33" s="1124"/>
      <c r="JI33" s="1125"/>
      <c r="JJ33" s="1169"/>
      <c r="JK33" s="1167"/>
      <c r="JL33" s="1169"/>
      <c r="JM33" s="1167"/>
      <c r="JN33" s="1169"/>
      <c r="JO33" s="1167"/>
      <c r="JP33" s="1169"/>
      <c r="JQ33" s="1167"/>
      <c r="JR33" s="1169"/>
      <c r="JS33" s="1167"/>
      <c r="JT33" s="1169"/>
      <c r="JU33" s="1167"/>
      <c r="JV33" s="1169"/>
      <c r="JW33" s="1167"/>
      <c r="JX33" s="1169"/>
      <c r="JY33" s="1133"/>
      <c r="JZ33" s="1173">
        <v>2.949490741</v>
      </c>
      <c r="KA33" s="1120">
        <v>1.947E10</v>
      </c>
      <c r="KB33" s="1173">
        <v>5.272893519</v>
      </c>
      <c r="KC33" s="1174">
        <v>8.1E10</v>
      </c>
      <c r="KD33" s="1169"/>
      <c r="KE33" s="1133"/>
      <c r="KF33" s="1133"/>
      <c r="KG33" s="1133"/>
      <c r="KH33" s="1133"/>
      <c r="KI33" s="1133"/>
      <c r="KJ33" s="1133"/>
      <c r="KK33" s="1133"/>
      <c r="KL33" s="1133"/>
      <c r="KM33" s="1133"/>
      <c r="KN33" s="1133"/>
      <c r="KO33" s="1133"/>
      <c r="KP33" s="1133"/>
      <c r="KQ33" s="1133"/>
      <c r="KR33" s="1133"/>
      <c r="KS33" s="1133"/>
      <c r="KT33" s="1133"/>
      <c r="KU33" s="1133"/>
      <c r="KV33" s="1133"/>
      <c r="KW33" s="1133"/>
      <c r="KX33" s="1133"/>
      <c r="KY33" s="1133"/>
      <c r="KZ33" s="1133"/>
      <c r="LA33" s="1133"/>
      <c r="LB33" s="1133"/>
      <c r="LC33" s="1133"/>
      <c r="LD33" s="1133"/>
      <c r="LE33" s="1133"/>
      <c r="LF33" s="1133"/>
      <c r="LG33" s="1133"/>
      <c r="LH33" s="1133"/>
      <c r="LI33" s="1133"/>
      <c r="LJ33" s="1133"/>
      <c r="LK33" s="1133"/>
      <c r="LL33" s="1133"/>
      <c r="LM33" s="1133"/>
      <c r="LN33" s="1133"/>
      <c r="LO33" s="1133"/>
      <c r="LP33" s="1133"/>
      <c r="LQ33" s="1133"/>
      <c r="LR33" s="1133"/>
      <c r="LS33" s="1133"/>
      <c r="LT33" s="1133"/>
      <c r="LU33" s="1133"/>
      <c r="LV33" s="1133"/>
      <c r="LW33" s="1133"/>
      <c r="LX33" s="1133"/>
      <c r="LY33" s="1133"/>
      <c r="LZ33" s="1133"/>
      <c r="MA33" s="1133"/>
      <c r="MB33" s="1133"/>
      <c r="MC33" s="1133"/>
      <c r="MD33" s="1133"/>
      <c r="ME33" s="1133"/>
      <c r="MF33" s="1133"/>
      <c r="MG33" s="1133"/>
      <c r="MH33" s="1133"/>
      <c r="MI33" s="1133"/>
      <c r="MJ33" s="1133"/>
      <c r="MK33" s="1133"/>
      <c r="ML33" s="1133"/>
      <c r="MM33" s="1133"/>
      <c r="MN33" s="1133"/>
      <c r="MO33" s="1133"/>
      <c r="MP33" s="1133"/>
      <c r="MQ33" s="1133"/>
      <c r="MR33" s="1133"/>
      <c r="MS33" s="1133"/>
      <c r="MT33" s="1133"/>
      <c r="MU33" s="1133"/>
      <c r="MV33" s="1133"/>
      <c r="MW33" s="1133"/>
      <c r="MX33" s="1133"/>
      <c r="MY33" s="1133"/>
    </row>
    <row r="34">
      <c r="A34" s="1071">
        <v>32.0</v>
      </c>
      <c r="B34" s="1124"/>
      <c r="C34" s="1126"/>
      <c r="D34" s="1072">
        <v>3.182638888888889</v>
      </c>
      <c r="E34" s="1073">
        <v>177620.0</v>
      </c>
      <c r="F34" s="1072">
        <v>3.182638888888889</v>
      </c>
      <c r="G34" s="1073">
        <v>177620.0</v>
      </c>
      <c r="H34" s="1072">
        <v>3.182638888888889</v>
      </c>
      <c r="I34" s="1073">
        <v>177620.0</v>
      </c>
      <c r="J34" s="1072">
        <v>3.182638888888889</v>
      </c>
      <c r="K34" s="1073">
        <v>177620.0</v>
      </c>
      <c r="L34" s="1072">
        <v>5.326388888888889</v>
      </c>
      <c r="M34" s="1075">
        <v>496070.0</v>
      </c>
      <c r="N34" s="1076">
        <v>3.2875</v>
      </c>
      <c r="O34" s="1073">
        <v>546930.0</v>
      </c>
      <c r="P34" s="1124"/>
      <c r="Q34" s="1125"/>
      <c r="R34" s="1124"/>
      <c r="S34" s="1125"/>
      <c r="T34" s="1124"/>
      <c r="U34" s="1125"/>
      <c r="V34" s="1124"/>
      <c r="W34" s="1125"/>
      <c r="X34" s="1124"/>
      <c r="Y34" s="1125"/>
      <c r="Z34" s="1124"/>
      <c r="AA34" s="1125"/>
      <c r="AB34" s="1124"/>
      <c r="AC34" s="1125"/>
      <c r="AD34" s="1072">
        <v>34.55833333333333</v>
      </c>
      <c r="AE34" s="1080">
        <v>3.405994337E12</v>
      </c>
      <c r="AF34" s="1072">
        <v>34.55833333333333</v>
      </c>
      <c r="AG34" s="1080">
        <v>3.405994337E12</v>
      </c>
      <c r="AH34" s="1072">
        <v>34.55833333333333</v>
      </c>
      <c r="AI34" s="1080">
        <v>3.405994337E12</v>
      </c>
      <c r="AJ34" s="1081">
        <v>3.182638888888889</v>
      </c>
      <c r="AK34" s="1082">
        <v>177620.0</v>
      </c>
      <c r="AL34" s="1081">
        <v>3.182638888888889</v>
      </c>
      <c r="AM34" s="1082">
        <v>177620.0</v>
      </c>
      <c r="AN34" s="1081">
        <v>3.182638888888889</v>
      </c>
      <c r="AO34" s="1082">
        <v>177620.0</v>
      </c>
      <c r="AP34" s="1081">
        <v>3.182638888888889</v>
      </c>
      <c r="AQ34" s="1082">
        <v>177620.0</v>
      </c>
      <c r="AR34" s="1081">
        <v>3.182638888888889</v>
      </c>
      <c r="AS34" s="1082">
        <v>177630.0</v>
      </c>
      <c r="AT34" s="1081">
        <v>1506.070138888889</v>
      </c>
      <c r="AU34" s="1082">
        <v>1.023E10</v>
      </c>
      <c r="AV34" s="1081">
        <v>767.3201388888889</v>
      </c>
      <c r="AW34" s="1082">
        <v>1.023E10</v>
      </c>
      <c r="AX34" s="1124"/>
      <c r="AY34" s="1175"/>
      <c r="AZ34" s="1124"/>
      <c r="BA34" s="1124"/>
      <c r="BB34" s="1083">
        <v>3.182638888888889</v>
      </c>
      <c r="BC34" s="1084">
        <v>177620.0</v>
      </c>
      <c r="BD34" s="1083">
        <v>3.182638888888889</v>
      </c>
      <c r="BE34" s="1084">
        <v>177620.0</v>
      </c>
      <c r="BF34" s="1083">
        <v>3.182638888888889</v>
      </c>
      <c r="BG34" s="1084">
        <v>177620.0</v>
      </c>
      <c r="BH34" s="1083">
        <v>68.73819444444445</v>
      </c>
      <c r="BI34" s="1084">
        <v>9.2357E8</v>
      </c>
      <c r="BJ34" s="1124"/>
      <c r="BK34" s="1125"/>
      <c r="BL34" s="1124"/>
      <c r="BM34" s="1125"/>
      <c r="BN34" s="1083">
        <v>138.75972222222222</v>
      </c>
      <c r="BO34" s="1084">
        <v>2.587E10</v>
      </c>
      <c r="BP34" s="1124"/>
      <c r="BQ34" s="1125"/>
      <c r="BR34" s="1126"/>
      <c r="BS34" s="1125"/>
      <c r="BT34" s="1085">
        <v>3.3777777777777778</v>
      </c>
      <c r="BU34" s="1086">
        <v>1.555E10</v>
      </c>
      <c r="BV34" s="1126"/>
      <c r="BW34" s="1126"/>
      <c r="BX34" s="1126"/>
      <c r="BY34" s="1126"/>
      <c r="BZ34" s="1126"/>
      <c r="CA34" s="1126"/>
      <c r="CB34" s="1126"/>
      <c r="CC34" s="1125"/>
      <c r="CD34" s="1083">
        <v>14.159085648148148</v>
      </c>
      <c r="CE34" s="1087">
        <v>1.79E12</v>
      </c>
      <c r="CF34" s="1133"/>
      <c r="CG34" s="1167"/>
      <c r="CH34" s="1088">
        <v>3.182638888888889</v>
      </c>
      <c r="CI34" s="1089">
        <v>177630.0</v>
      </c>
      <c r="CJ34" s="1088">
        <v>3.182638888888889</v>
      </c>
      <c r="CK34" s="1089">
        <v>177630.0</v>
      </c>
      <c r="CL34" s="1088">
        <v>3.182638888888889</v>
      </c>
      <c r="CM34" s="1089">
        <v>177630.0</v>
      </c>
      <c r="CN34" s="1088">
        <v>3.182638888888889</v>
      </c>
      <c r="CO34" s="1089">
        <v>177630.0</v>
      </c>
      <c r="CP34" s="1088">
        <v>6.290277777777778</v>
      </c>
      <c r="CQ34" s="1089">
        <v>546940.0</v>
      </c>
      <c r="CR34" s="1124"/>
      <c r="CS34" s="1125"/>
      <c r="CT34" s="1126"/>
      <c r="CU34" s="1125"/>
      <c r="CV34" s="1126"/>
      <c r="CW34" s="1125"/>
      <c r="CX34" s="1126"/>
      <c r="CY34" s="1125"/>
      <c r="CZ34" s="1126"/>
      <c r="DA34" s="1126"/>
      <c r="DB34" s="1126"/>
      <c r="DC34" s="1126"/>
      <c r="DD34" s="1126"/>
      <c r="DE34" s="1125"/>
      <c r="DF34" s="1124"/>
      <c r="DG34" s="1125"/>
      <c r="DH34" s="1124"/>
      <c r="DI34" s="1125"/>
      <c r="DJ34" s="1124"/>
      <c r="DK34" s="1125"/>
      <c r="DL34" s="1124"/>
      <c r="DM34" s="1125"/>
      <c r="DN34" s="1124"/>
      <c r="DO34" s="1125"/>
      <c r="DP34" s="1124"/>
      <c r="DQ34" s="1125"/>
      <c r="DR34" s="1124"/>
      <c r="DS34" s="1125"/>
      <c r="DT34" s="1124"/>
      <c r="DU34" s="1125"/>
      <c r="DV34" s="1126"/>
      <c r="DW34" s="1125"/>
      <c r="DX34" s="1124"/>
      <c r="DY34" s="1125"/>
      <c r="DZ34" s="1124"/>
      <c r="EA34" s="1125"/>
      <c r="EB34" s="1124"/>
      <c r="EC34" s="1125"/>
      <c r="ED34" s="1124"/>
      <c r="EE34" s="1125"/>
      <c r="EF34" s="1124"/>
      <c r="EG34" s="1125"/>
      <c r="EH34" s="1124"/>
      <c r="EI34" s="1125"/>
      <c r="EJ34" s="1169"/>
      <c r="EK34" s="1167"/>
      <c r="EL34" s="1169"/>
      <c r="EM34" s="1167"/>
      <c r="EN34" s="1124"/>
      <c r="EO34" s="1125"/>
      <c r="EP34" s="1124"/>
      <c r="EQ34" s="1125"/>
      <c r="ER34" s="1124"/>
      <c r="ES34" s="1125"/>
      <c r="ET34" s="1124"/>
      <c r="EU34" s="1125"/>
      <c r="EV34" s="1124"/>
      <c r="EW34" s="1125"/>
      <c r="EX34" s="1124"/>
      <c r="EY34" s="1125"/>
      <c r="EZ34" s="1124"/>
      <c r="FA34" s="1125"/>
      <c r="FB34" s="1126"/>
      <c r="FC34" s="1125"/>
      <c r="FD34" s="1126"/>
      <c r="FE34" s="1125"/>
      <c r="FF34" s="1126"/>
      <c r="FG34" s="1125"/>
      <c r="FH34" s="1126"/>
      <c r="FI34" s="1126"/>
      <c r="FJ34" s="1126"/>
      <c r="FK34" s="1125"/>
      <c r="FL34" s="1124"/>
      <c r="FM34" s="1125"/>
      <c r="FN34" s="1178"/>
      <c r="FO34" s="1125"/>
      <c r="FP34" s="1178"/>
      <c r="FQ34" s="1125"/>
      <c r="FR34" s="1178"/>
      <c r="FS34" s="1125"/>
      <c r="FT34" s="1139"/>
      <c r="FU34" s="1125"/>
      <c r="FV34" s="1139"/>
      <c r="FW34" s="1125"/>
      <c r="FX34" s="1179"/>
      <c r="FY34" s="1167"/>
      <c r="FZ34" s="1179"/>
      <c r="GA34" s="1167"/>
      <c r="GB34" s="1179"/>
      <c r="GC34" s="1167"/>
      <c r="GD34" s="1133"/>
      <c r="GE34" s="1167"/>
      <c r="GF34" s="1124"/>
      <c r="GG34" s="1125"/>
      <c r="GH34" s="1124"/>
      <c r="GI34" s="1125"/>
      <c r="GJ34" s="1126"/>
      <c r="GK34" s="1125"/>
      <c r="GL34" s="1124"/>
      <c r="GM34" s="1125"/>
      <c r="GN34" s="1126"/>
      <c r="GO34" s="1125"/>
      <c r="GP34" s="1126"/>
      <c r="GQ34" s="1125"/>
      <c r="GR34" s="1124"/>
      <c r="GS34" s="1125"/>
      <c r="GT34" s="1124"/>
      <c r="GU34" s="1125"/>
      <c r="GV34" s="1126"/>
      <c r="GW34" s="1125"/>
      <c r="GX34" s="1168"/>
      <c r="GY34" s="1133"/>
      <c r="GZ34" s="1124"/>
      <c r="HA34" s="1125"/>
      <c r="HB34" s="1107">
        <v>138.75972222222222</v>
      </c>
      <c r="HC34" s="1108">
        <v>5.7259E11</v>
      </c>
      <c r="HD34" s="1124"/>
      <c r="HE34" s="1125"/>
      <c r="HF34" s="1124"/>
      <c r="HG34" s="1125"/>
      <c r="HH34" s="1124"/>
      <c r="HI34" s="1125"/>
      <c r="HJ34" s="1124"/>
      <c r="HK34" s="1125"/>
      <c r="HL34" s="1124"/>
      <c r="HM34" s="1125"/>
      <c r="HN34" s="1126"/>
      <c r="HO34" s="1125"/>
      <c r="HP34" s="1107">
        <v>767.3897569444445</v>
      </c>
      <c r="HQ34" s="1108">
        <v>1.5426E11</v>
      </c>
      <c r="HR34" s="1124"/>
      <c r="HS34" s="1125"/>
      <c r="HT34" s="1124"/>
      <c r="HU34" s="1125"/>
      <c r="HV34" s="1124"/>
      <c r="HW34" s="1125"/>
      <c r="HX34" s="1124"/>
      <c r="HY34" s="1125"/>
      <c r="HZ34" s="1124"/>
      <c r="IA34" s="1125"/>
      <c r="IB34" s="1124"/>
      <c r="IC34" s="1125"/>
      <c r="ID34" s="1124"/>
      <c r="IE34" s="1125"/>
      <c r="IF34" s="1124"/>
      <c r="IG34" s="1125"/>
      <c r="IH34" s="1124"/>
      <c r="II34" s="1125"/>
      <c r="IJ34" s="1124"/>
      <c r="IK34" s="1125"/>
      <c r="IL34" s="1124"/>
      <c r="IM34" s="1125"/>
      <c r="IN34" s="1124"/>
      <c r="IO34" s="1125"/>
      <c r="IP34" s="1124"/>
      <c r="IQ34" s="1125"/>
      <c r="IR34" s="1124"/>
      <c r="IS34" s="1125"/>
      <c r="IT34" s="1124"/>
      <c r="IU34" s="1125"/>
      <c r="IV34" s="1124"/>
      <c r="IW34" s="1125"/>
      <c r="IX34" s="1124"/>
      <c r="IY34" s="1125"/>
      <c r="IZ34" s="1124"/>
      <c r="JA34" s="1125"/>
      <c r="JB34" s="1124"/>
      <c r="JC34" s="1125"/>
      <c r="JD34" s="1124"/>
      <c r="JE34" s="1125"/>
      <c r="JF34" s="1124"/>
      <c r="JG34" s="1125"/>
      <c r="JH34" s="1124"/>
      <c r="JI34" s="1125"/>
      <c r="JJ34" s="1169"/>
      <c r="JK34" s="1167"/>
      <c r="JL34" s="1169"/>
      <c r="JM34" s="1167"/>
      <c r="JN34" s="1169"/>
      <c r="JO34" s="1167"/>
      <c r="JP34" s="1169"/>
      <c r="JQ34" s="1167"/>
      <c r="JR34" s="1169"/>
      <c r="JS34" s="1167"/>
      <c r="JT34" s="1169"/>
      <c r="JU34" s="1167"/>
      <c r="JV34" s="1169"/>
      <c r="JW34" s="1167"/>
      <c r="JX34" s="1169"/>
      <c r="JY34" s="1133"/>
      <c r="JZ34" s="1173">
        <v>3.017569444</v>
      </c>
      <c r="KA34" s="1120">
        <v>2.127E10</v>
      </c>
      <c r="KB34" s="1173">
        <v>5.540324074</v>
      </c>
      <c r="KC34" s="1174">
        <v>8.933E10</v>
      </c>
      <c r="KD34" s="1169"/>
      <c r="KE34" s="1133"/>
      <c r="KF34" s="1133"/>
      <c r="KG34" s="1133"/>
      <c r="KH34" s="1133"/>
      <c r="KI34" s="1133"/>
      <c r="KJ34" s="1133"/>
      <c r="KK34" s="1133"/>
      <c r="KL34" s="1133"/>
      <c r="KM34" s="1133"/>
      <c r="KN34" s="1133"/>
      <c r="KO34" s="1133"/>
      <c r="KP34" s="1133"/>
      <c r="KQ34" s="1133"/>
      <c r="KR34" s="1133"/>
      <c r="KS34" s="1133"/>
      <c r="KT34" s="1133"/>
      <c r="KU34" s="1133"/>
      <c r="KV34" s="1133"/>
      <c r="KW34" s="1133"/>
      <c r="KX34" s="1133"/>
      <c r="KY34" s="1133"/>
      <c r="KZ34" s="1133"/>
      <c r="LA34" s="1133"/>
      <c r="LB34" s="1133"/>
      <c r="LC34" s="1133"/>
      <c r="LD34" s="1133"/>
      <c r="LE34" s="1133"/>
      <c r="LF34" s="1133"/>
      <c r="LG34" s="1133"/>
      <c r="LH34" s="1133"/>
      <c r="LI34" s="1133"/>
      <c r="LJ34" s="1133"/>
      <c r="LK34" s="1133"/>
      <c r="LL34" s="1133"/>
      <c r="LM34" s="1133"/>
      <c r="LN34" s="1133"/>
      <c r="LO34" s="1133"/>
      <c r="LP34" s="1133"/>
      <c r="LQ34" s="1133"/>
      <c r="LR34" s="1133"/>
      <c r="LS34" s="1133"/>
      <c r="LT34" s="1133"/>
      <c r="LU34" s="1133"/>
      <c r="LV34" s="1133"/>
      <c r="LW34" s="1133"/>
      <c r="LX34" s="1133"/>
      <c r="LY34" s="1133"/>
      <c r="LZ34" s="1133"/>
      <c r="MA34" s="1133"/>
      <c r="MB34" s="1133"/>
      <c r="MC34" s="1133"/>
      <c r="MD34" s="1133"/>
      <c r="ME34" s="1133"/>
      <c r="MF34" s="1133"/>
      <c r="MG34" s="1133"/>
      <c r="MH34" s="1133"/>
      <c r="MI34" s="1133"/>
      <c r="MJ34" s="1133"/>
      <c r="MK34" s="1133"/>
      <c r="ML34" s="1133"/>
      <c r="MM34" s="1133"/>
      <c r="MN34" s="1133"/>
      <c r="MO34" s="1133"/>
      <c r="MP34" s="1133"/>
      <c r="MQ34" s="1133"/>
      <c r="MR34" s="1133"/>
      <c r="MS34" s="1133"/>
      <c r="MT34" s="1133"/>
      <c r="MU34" s="1133"/>
      <c r="MV34" s="1133"/>
      <c r="MW34" s="1133"/>
      <c r="MX34" s="1133"/>
      <c r="MY34" s="1133"/>
    </row>
    <row r="35">
      <c r="A35" s="1071">
        <v>33.0</v>
      </c>
      <c r="B35" s="1124"/>
      <c r="C35" s="1126"/>
      <c r="D35" s="1072">
        <v>3.4291666666666667</v>
      </c>
      <c r="E35" s="1073">
        <v>193780.0</v>
      </c>
      <c r="F35" s="1072">
        <v>3.4291666666666667</v>
      </c>
      <c r="G35" s="1073">
        <v>193780.0</v>
      </c>
      <c r="H35" s="1072">
        <v>3.4291666666666667</v>
      </c>
      <c r="I35" s="1073">
        <v>193780.0</v>
      </c>
      <c r="J35" s="1072">
        <v>3.4291666666666667</v>
      </c>
      <c r="K35" s="1073">
        <v>193780.0</v>
      </c>
      <c r="L35" s="1072">
        <v>5.7659722222222225</v>
      </c>
      <c r="M35" s="1075">
        <v>545500.0</v>
      </c>
      <c r="N35" s="1076">
        <v>3.515972222222222</v>
      </c>
      <c r="O35" s="1073">
        <v>603430.0</v>
      </c>
      <c r="P35" s="1124"/>
      <c r="Q35" s="1125"/>
      <c r="R35" s="1124"/>
      <c r="S35" s="1125"/>
      <c r="T35" s="1124"/>
      <c r="U35" s="1125"/>
      <c r="V35" s="1124"/>
      <c r="W35" s="1125"/>
      <c r="X35" s="1124"/>
      <c r="Y35" s="1125"/>
      <c r="Z35" s="1124"/>
      <c r="AA35" s="1125"/>
      <c r="AB35" s="1124"/>
      <c r="AC35" s="1125"/>
      <c r="AD35" s="1072">
        <v>35.638194444444444</v>
      </c>
      <c r="AE35" s="1080">
        <v>4.427792638E12</v>
      </c>
      <c r="AF35" s="1072">
        <v>35.638194444444444</v>
      </c>
      <c r="AG35" s="1080">
        <v>4.427792638E12</v>
      </c>
      <c r="AH35" s="1072">
        <v>35.638194444444444</v>
      </c>
      <c r="AI35" s="1080">
        <v>4.427792638E12</v>
      </c>
      <c r="AJ35" s="1081">
        <v>3.4291666666666667</v>
      </c>
      <c r="AK35" s="1082">
        <v>193780.0</v>
      </c>
      <c r="AL35" s="1081">
        <v>3.4291666666666667</v>
      </c>
      <c r="AM35" s="1082">
        <v>193780.0</v>
      </c>
      <c r="AN35" s="1081">
        <v>3.4291666666666667</v>
      </c>
      <c r="AO35" s="1082">
        <v>193780.0</v>
      </c>
      <c r="AP35" s="1081">
        <v>3.4291666666666667</v>
      </c>
      <c r="AQ35" s="1082">
        <v>193780.0</v>
      </c>
      <c r="AR35" s="1081">
        <v>3.4298611111111112</v>
      </c>
      <c r="AS35" s="1082">
        <v>193790.0</v>
      </c>
      <c r="AT35" s="1081">
        <v>1718.75625</v>
      </c>
      <c r="AU35" s="1082">
        <v>1.187E10</v>
      </c>
      <c r="AV35" s="1081">
        <v>869.2159722222223</v>
      </c>
      <c r="AW35" s="1082">
        <v>1.187E10</v>
      </c>
      <c r="AX35" s="1124"/>
      <c r="AY35" s="1175"/>
      <c r="AZ35" s="1124"/>
      <c r="BA35" s="1124"/>
      <c r="BB35" s="1083">
        <v>3.4291666666666667</v>
      </c>
      <c r="BC35" s="1084">
        <v>193780.0</v>
      </c>
      <c r="BD35" s="1083">
        <v>3.4291666666666667</v>
      </c>
      <c r="BE35" s="1084">
        <v>193780.0</v>
      </c>
      <c r="BF35" s="1083">
        <v>3.4291666666666667</v>
      </c>
      <c r="BG35" s="1084">
        <v>193780.0</v>
      </c>
      <c r="BH35" s="1083">
        <v>76.24166666666666</v>
      </c>
      <c r="BI35" s="1084">
        <v>1.05E9</v>
      </c>
      <c r="BJ35" s="1124"/>
      <c r="BK35" s="1125"/>
      <c r="BL35" s="1124"/>
      <c r="BM35" s="1125"/>
      <c r="BN35" s="1083">
        <v>154.6923611111111</v>
      </c>
      <c r="BO35" s="1084">
        <v>2.966E10</v>
      </c>
      <c r="BP35" s="1124"/>
      <c r="BQ35" s="1125"/>
      <c r="BR35" s="1126"/>
      <c r="BS35" s="1125"/>
      <c r="BT35" s="1085">
        <v>3.6236111111111113</v>
      </c>
      <c r="BU35" s="1086">
        <v>1.667E10</v>
      </c>
      <c r="BV35" s="1126"/>
      <c r="BW35" s="1126"/>
      <c r="BX35" s="1126"/>
      <c r="BY35" s="1126"/>
      <c r="BZ35" s="1126"/>
      <c r="CA35" s="1126"/>
      <c r="CB35" s="1126"/>
      <c r="CC35" s="1125"/>
      <c r="CD35" s="1083">
        <v>15.034328703703704</v>
      </c>
      <c r="CE35" s="1087">
        <v>1.94E12</v>
      </c>
      <c r="CF35" s="1133"/>
      <c r="CG35" s="1167"/>
      <c r="CH35" s="1088">
        <v>3.4298611111111112</v>
      </c>
      <c r="CI35" s="1089">
        <v>193790.0</v>
      </c>
      <c r="CJ35" s="1088">
        <v>3.4298611111111112</v>
      </c>
      <c r="CK35" s="1089">
        <v>193790.0</v>
      </c>
      <c r="CL35" s="1088">
        <v>3.4298611111111112</v>
      </c>
      <c r="CM35" s="1089">
        <v>193790.0</v>
      </c>
      <c r="CN35" s="1088">
        <v>3.4298611111111112</v>
      </c>
      <c r="CO35" s="1089">
        <v>193790.0</v>
      </c>
      <c r="CP35" s="1088">
        <v>6.822222222222223</v>
      </c>
      <c r="CQ35" s="1089">
        <v>603440.0</v>
      </c>
      <c r="CR35" s="1124"/>
      <c r="CS35" s="1125"/>
      <c r="CT35" s="1126"/>
      <c r="CU35" s="1125"/>
      <c r="CV35" s="1126"/>
      <c r="CW35" s="1125"/>
      <c r="CX35" s="1126"/>
      <c r="CY35" s="1125"/>
      <c r="CZ35" s="1126"/>
      <c r="DA35" s="1126"/>
      <c r="DB35" s="1126"/>
      <c r="DC35" s="1126"/>
      <c r="DD35" s="1126"/>
      <c r="DE35" s="1125"/>
      <c r="DF35" s="1124"/>
      <c r="DG35" s="1125"/>
      <c r="DH35" s="1124"/>
      <c r="DI35" s="1125"/>
      <c r="DJ35" s="1124"/>
      <c r="DK35" s="1125"/>
      <c r="DL35" s="1124"/>
      <c r="DM35" s="1125"/>
      <c r="DN35" s="1124"/>
      <c r="DO35" s="1125"/>
      <c r="DP35" s="1124"/>
      <c r="DQ35" s="1125"/>
      <c r="DR35" s="1124"/>
      <c r="DS35" s="1125"/>
      <c r="DT35" s="1124"/>
      <c r="DU35" s="1125"/>
      <c r="DV35" s="1126"/>
      <c r="DW35" s="1125"/>
      <c r="DX35" s="1124"/>
      <c r="DY35" s="1125"/>
      <c r="DZ35" s="1124"/>
      <c r="EA35" s="1125"/>
      <c r="EB35" s="1124"/>
      <c r="EC35" s="1125"/>
      <c r="ED35" s="1124"/>
      <c r="EE35" s="1125"/>
      <c r="EF35" s="1124"/>
      <c r="EG35" s="1125"/>
      <c r="EH35" s="1124"/>
      <c r="EI35" s="1125"/>
      <c r="EJ35" s="1169"/>
      <c r="EK35" s="1167"/>
      <c r="EL35" s="1169"/>
      <c r="EM35" s="1167"/>
      <c r="EN35" s="1124"/>
      <c r="EO35" s="1125"/>
      <c r="EP35" s="1124"/>
      <c r="EQ35" s="1125"/>
      <c r="ER35" s="1124"/>
      <c r="ES35" s="1125"/>
      <c r="ET35" s="1124"/>
      <c r="EU35" s="1125"/>
      <c r="EV35" s="1124"/>
      <c r="EW35" s="1125"/>
      <c r="EX35" s="1124"/>
      <c r="EY35" s="1125"/>
      <c r="EZ35" s="1124"/>
      <c r="FA35" s="1125"/>
      <c r="FB35" s="1126"/>
      <c r="FC35" s="1125"/>
      <c r="FD35" s="1126"/>
      <c r="FE35" s="1125"/>
      <c r="FF35" s="1126"/>
      <c r="FG35" s="1125"/>
      <c r="FH35" s="1126"/>
      <c r="FI35" s="1126"/>
      <c r="FJ35" s="1126"/>
      <c r="FK35" s="1125"/>
      <c r="FL35" s="1126"/>
      <c r="FM35" s="1125"/>
      <c r="FN35" s="1178"/>
      <c r="FO35" s="1125"/>
      <c r="FP35" s="1178"/>
      <c r="FQ35" s="1125"/>
      <c r="FR35" s="1178"/>
      <c r="FS35" s="1125"/>
      <c r="FT35" s="1139"/>
      <c r="FU35" s="1125"/>
      <c r="FV35" s="1139"/>
      <c r="FW35" s="1125"/>
      <c r="FX35" s="1179"/>
      <c r="FY35" s="1167"/>
      <c r="FZ35" s="1179"/>
      <c r="GA35" s="1167"/>
      <c r="GB35" s="1179"/>
      <c r="GC35" s="1167"/>
      <c r="GD35" s="1133"/>
      <c r="GE35" s="1167"/>
      <c r="GF35" s="1124"/>
      <c r="GG35" s="1125"/>
      <c r="GH35" s="1124"/>
      <c r="GI35" s="1125"/>
      <c r="GJ35" s="1126"/>
      <c r="GK35" s="1125"/>
      <c r="GL35" s="1124"/>
      <c r="GM35" s="1125"/>
      <c r="GN35" s="1126"/>
      <c r="GO35" s="1125"/>
      <c r="GP35" s="1126"/>
      <c r="GQ35" s="1125"/>
      <c r="GR35" s="1124"/>
      <c r="GS35" s="1125"/>
      <c r="GT35" s="1124"/>
      <c r="GU35" s="1125"/>
      <c r="GV35" s="1126"/>
      <c r="GW35" s="1125"/>
      <c r="GX35" s="1168"/>
      <c r="GY35" s="1133"/>
      <c r="GZ35" s="1126"/>
      <c r="HA35" s="1125"/>
      <c r="HB35" s="1107">
        <v>154.6923611111111</v>
      </c>
      <c r="HC35" s="1108">
        <v>6.7109E11</v>
      </c>
      <c r="HD35" s="1124"/>
      <c r="HE35" s="1125"/>
      <c r="HF35" s="1124"/>
      <c r="HG35" s="1125"/>
      <c r="HH35" s="1124"/>
      <c r="HI35" s="1125"/>
      <c r="HJ35" s="1124"/>
      <c r="HK35" s="1125"/>
      <c r="HL35" s="1124"/>
      <c r="HM35" s="1125"/>
      <c r="HN35" s="1126"/>
      <c r="HO35" s="1125"/>
      <c r="HP35" s="1124"/>
      <c r="HQ35" s="1125"/>
      <c r="HR35" s="1126"/>
      <c r="HS35" s="1125"/>
      <c r="HT35" s="1126"/>
      <c r="HU35" s="1125"/>
      <c r="HV35" s="1126"/>
      <c r="HW35" s="1125"/>
      <c r="HX35" s="1126"/>
      <c r="HY35" s="1125"/>
      <c r="HZ35" s="1124"/>
      <c r="IA35" s="1125"/>
      <c r="IB35" s="1126"/>
      <c r="IC35" s="1125"/>
      <c r="ID35" s="1126"/>
      <c r="IE35" s="1125"/>
      <c r="IF35" s="1126"/>
      <c r="IG35" s="1125"/>
      <c r="IH35" s="1126"/>
      <c r="II35" s="1125"/>
      <c r="IJ35" s="1126"/>
      <c r="IK35" s="1125"/>
      <c r="IL35" s="1126"/>
      <c r="IM35" s="1125"/>
      <c r="IN35" s="1126"/>
      <c r="IO35" s="1125"/>
      <c r="IP35" s="1126"/>
      <c r="IQ35" s="1125"/>
      <c r="IR35" s="1126"/>
      <c r="IS35" s="1125"/>
      <c r="IT35" s="1126"/>
      <c r="IU35" s="1125"/>
      <c r="IV35" s="1126"/>
      <c r="IW35" s="1125"/>
      <c r="IX35" s="1126"/>
      <c r="IY35" s="1125"/>
      <c r="IZ35" s="1126"/>
      <c r="JA35" s="1125"/>
      <c r="JB35" s="1126"/>
      <c r="JC35" s="1125"/>
      <c r="JD35" s="1126"/>
      <c r="JE35" s="1125"/>
      <c r="JF35" s="1126"/>
      <c r="JG35" s="1125"/>
      <c r="JH35" s="1126"/>
      <c r="JI35" s="1125"/>
      <c r="JJ35" s="1133"/>
      <c r="JK35" s="1167"/>
      <c r="JL35" s="1133"/>
      <c r="JM35" s="1167"/>
      <c r="JN35" s="1133"/>
      <c r="JO35" s="1167"/>
      <c r="JP35" s="1133"/>
      <c r="JQ35" s="1167"/>
      <c r="JR35" s="1133"/>
      <c r="JS35" s="1167"/>
      <c r="JT35" s="1133"/>
      <c r="JU35" s="1167"/>
      <c r="JV35" s="1133"/>
      <c r="JW35" s="1167"/>
      <c r="JX35" s="1169"/>
      <c r="JY35" s="1133"/>
      <c r="JZ35" s="1173">
        <v>3.086631944</v>
      </c>
      <c r="KA35" s="1120">
        <v>2.317E10</v>
      </c>
      <c r="KB35" s="1173">
        <v>5.818506944</v>
      </c>
      <c r="KC35" s="1174">
        <v>9.831E10</v>
      </c>
      <c r="KD35" s="1169"/>
      <c r="KE35" s="1133"/>
      <c r="KF35" s="1133"/>
      <c r="KG35" s="1133"/>
      <c r="KH35" s="1133"/>
      <c r="KI35" s="1133"/>
      <c r="KJ35" s="1133"/>
      <c r="KK35" s="1133"/>
      <c r="KL35" s="1133"/>
      <c r="KM35" s="1133"/>
      <c r="KN35" s="1133"/>
      <c r="KO35" s="1133"/>
      <c r="KP35" s="1133"/>
      <c r="KQ35" s="1133"/>
      <c r="KR35" s="1133"/>
      <c r="KS35" s="1133"/>
      <c r="KT35" s="1133"/>
      <c r="KU35" s="1133"/>
      <c r="KV35" s="1133"/>
      <c r="KW35" s="1133"/>
      <c r="KX35" s="1133"/>
      <c r="KY35" s="1133"/>
      <c r="KZ35" s="1133"/>
      <c r="LA35" s="1133"/>
      <c r="LB35" s="1133"/>
      <c r="LC35" s="1133"/>
      <c r="LD35" s="1133"/>
      <c r="LE35" s="1133"/>
      <c r="LF35" s="1133"/>
      <c r="LG35" s="1133"/>
      <c r="LH35" s="1133"/>
      <c r="LI35" s="1133"/>
      <c r="LJ35" s="1133"/>
      <c r="LK35" s="1133"/>
      <c r="LL35" s="1133"/>
      <c r="LM35" s="1133"/>
      <c r="LN35" s="1133"/>
      <c r="LO35" s="1133"/>
      <c r="LP35" s="1133"/>
      <c r="LQ35" s="1133"/>
      <c r="LR35" s="1133"/>
      <c r="LS35" s="1133"/>
      <c r="LT35" s="1133"/>
      <c r="LU35" s="1133"/>
      <c r="LV35" s="1133"/>
      <c r="LW35" s="1133"/>
      <c r="LX35" s="1133"/>
      <c r="LY35" s="1133"/>
      <c r="LZ35" s="1133"/>
      <c r="MA35" s="1133"/>
      <c r="MB35" s="1133"/>
      <c r="MC35" s="1133"/>
      <c r="MD35" s="1133"/>
      <c r="ME35" s="1133"/>
      <c r="MF35" s="1133"/>
      <c r="MG35" s="1133"/>
      <c r="MH35" s="1133"/>
      <c r="MI35" s="1133"/>
      <c r="MJ35" s="1133"/>
      <c r="MK35" s="1133"/>
      <c r="ML35" s="1133"/>
      <c r="MM35" s="1133"/>
      <c r="MN35" s="1133"/>
      <c r="MO35" s="1133"/>
      <c r="MP35" s="1133"/>
      <c r="MQ35" s="1133"/>
      <c r="MR35" s="1133"/>
      <c r="MS35" s="1133"/>
      <c r="MT35" s="1133"/>
      <c r="MU35" s="1133"/>
      <c r="MV35" s="1133"/>
      <c r="MW35" s="1133"/>
      <c r="MX35" s="1133"/>
      <c r="MY35" s="1133"/>
    </row>
    <row r="36">
      <c r="A36" s="1071">
        <v>34.0</v>
      </c>
      <c r="B36" s="1124"/>
      <c r="C36" s="1126"/>
      <c r="D36" s="1072">
        <v>3.6875</v>
      </c>
      <c r="E36" s="1073">
        <v>210830.0</v>
      </c>
      <c r="F36" s="1072">
        <v>3.6875</v>
      </c>
      <c r="G36" s="1073">
        <v>210830.0</v>
      </c>
      <c r="H36" s="1072">
        <v>3.6875</v>
      </c>
      <c r="I36" s="1073">
        <v>210830.0</v>
      </c>
      <c r="J36" s="1072">
        <v>3.6875</v>
      </c>
      <c r="K36" s="1073">
        <v>210830.0</v>
      </c>
      <c r="L36" s="1072">
        <v>6.227777777777778</v>
      </c>
      <c r="M36" s="1075">
        <v>598050.0</v>
      </c>
      <c r="N36" s="1076">
        <v>3.751388888888889</v>
      </c>
      <c r="O36" s="1073">
        <v>663760.0</v>
      </c>
      <c r="P36" s="1124"/>
      <c r="Q36" s="1125"/>
      <c r="R36" s="1124"/>
      <c r="S36" s="1125"/>
      <c r="T36" s="1124"/>
      <c r="U36" s="1125"/>
      <c r="V36" s="1124"/>
      <c r="W36" s="1125"/>
      <c r="X36" s="1124"/>
      <c r="Y36" s="1125"/>
      <c r="Z36" s="1124"/>
      <c r="AA36" s="1125"/>
      <c r="AB36" s="1124"/>
      <c r="AC36" s="1125"/>
      <c r="AD36" s="1072">
        <v>36.71805555555556</v>
      </c>
      <c r="AE36" s="1080">
        <v>5.756130429E12</v>
      </c>
      <c r="AF36" s="1072">
        <v>36.71805555555556</v>
      </c>
      <c r="AG36" s="1080">
        <v>5.756130429E12</v>
      </c>
      <c r="AH36" s="1072">
        <v>36.71805555555556</v>
      </c>
      <c r="AI36" s="1080">
        <v>5.756130429E12</v>
      </c>
      <c r="AJ36" s="1081">
        <v>3.6875</v>
      </c>
      <c r="AK36" s="1082">
        <v>210830.0</v>
      </c>
      <c r="AL36" s="1081">
        <v>3.6875</v>
      </c>
      <c r="AM36" s="1082">
        <v>210830.0</v>
      </c>
      <c r="AN36" s="1081">
        <v>3.6875</v>
      </c>
      <c r="AO36" s="1082">
        <v>210830.0</v>
      </c>
      <c r="AP36" s="1081">
        <v>3.6875</v>
      </c>
      <c r="AQ36" s="1082">
        <v>210830.0</v>
      </c>
      <c r="AR36" s="1081">
        <v>3.6875</v>
      </c>
      <c r="AS36" s="1082">
        <v>210840.0</v>
      </c>
      <c r="AT36" s="1081">
        <v>1953.747222222222</v>
      </c>
      <c r="AU36" s="1082">
        <v>1.372E10</v>
      </c>
      <c r="AV36" s="1081">
        <v>981.0701388888889</v>
      </c>
      <c r="AW36" s="1082">
        <v>1.372E10</v>
      </c>
      <c r="AX36" s="1124"/>
      <c r="AY36" s="1175"/>
      <c r="AZ36" s="1124"/>
      <c r="BA36" s="1124"/>
      <c r="BB36" s="1083">
        <v>3.6875</v>
      </c>
      <c r="BC36" s="1084">
        <v>210830.0</v>
      </c>
      <c r="BD36" s="1083">
        <v>3.6875</v>
      </c>
      <c r="BE36" s="1084">
        <v>210830.0</v>
      </c>
      <c r="BF36" s="1083">
        <v>3.6875</v>
      </c>
      <c r="BG36" s="1084">
        <v>210830.0</v>
      </c>
      <c r="BH36" s="1083">
        <v>84.30208333333333</v>
      </c>
      <c r="BI36" s="1084">
        <v>1.19E9</v>
      </c>
      <c r="BJ36" s="1124"/>
      <c r="BK36" s="1125"/>
      <c r="BL36" s="1124"/>
      <c r="BM36" s="1125"/>
      <c r="BN36" s="1083">
        <v>171.90902777777777</v>
      </c>
      <c r="BO36" s="1084">
        <v>3.385E10</v>
      </c>
      <c r="BP36" s="1124"/>
      <c r="BQ36" s="1125"/>
      <c r="BR36" s="1126"/>
      <c r="BS36" s="1125"/>
      <c r="BT36" s="1085">
        <v>3.8805555555555555</v>
      </c>
      <c r="BU36" s="1086">
        <v>1.786E10</v>
      </c>
      <c r="BV36" s="1126"/>
      <c r="BW36" s="1126"/>
      <c r="BX36" s="1126"/>
      <c r="BY36" s="1126"/>
      <c r="BZ36" s="1126"/>
      <c r="CA36" s="1126"/>
      <c r="CB36" s="1126"/>
      <c r="CC36" s="1125"/>
      <c r="CD36" s="1083">
        <v>15.951643518518518</v>
      </c>
      <c r="CE36" s="1087">
        <v>2.1E12</v>
      </c>
      <c r="CF36" s="1133"/>
      <c r="CG36" s="1167"/>
      <c r="CH36" s="1088">
        <v>3.6875</v>
      </c>
      <c r="CI36" s="1089">
        <v>210840.0</v>
      </c>
      <c r="CJ36" s="1088">
        <v>3.6875</v>
      </c>
      <c r="CK36" s="1089">
        <v>210840.0</v>
      </c>
      <c r="CL36" s="1088">
        <v>3.6875</v>
      </c>
      <c r="CM36" s="1089">
        <v>210840.0</v>
      </c>
      <c r="CN36" s="1088">
        <v>3.6875</v>
      </c>
      <c r="CO36" s="1089">
        <v>210840.0</v>
      </c>
      <c r="CP36" s="1088">
        <v>7.3805555555555555</v>
      </c>
      <c r="CQ36" s="1089">
        <v>663770.0</v>
      </c>
      <c r="CR36" s="1124"/>
      <c r="CS36" s="1125"/>
      <c r="CT36" s="1126"/>
      <c r="CU36" s="1125"/>
      <c r="CV36" s="1126"/>
      <c r="CW36" s="1125"/>
      <c r="CX36" s="1126"/>
      <c r="CY36" s="1125"/>
      <c r="CZ36" s="1126"/>
      <c r="DA36" s="1126"/>
      <c r="DB36" s="1126"/>
      <c r="DC36" s="1126"/>
      <c r="DD36" s="1126"/>
      <c r="DE36" s="1125"/>
      <c r="DF36" s="1124"/>
      <c r="DG36" s="1125"/>
      <c r="DH36" s="1124"/>
      <c r="DI36" s="1125"/>
      <c r="DJ36" s="1124"/>
      <c r="DK36" s="1125"/>
      <c r="DL36" s="1124"/>
      <c r="DM36" s="1125"/>
      <c r="DN36" s="1124"/>
      <c r="DO36" s="1125"/>
      <c r="DP36" s="1124"/>
      <c r="DQ36" s="1125"/>
      <c r="DR36" s="1124"/>
      <c r="DS36" s="1125"/>
      <c r="DT36" s="1124"/>
      <c r="DU36" s="1125"/>
      <c r="DV36" s="1126"/>
      <c r="DW36" s="1125"/>
      <c r="DX36" s="1124"/>
      <c r="DY36" s="1125"/>
      <c r="DZ36" s="1124"/>
      <c r="EA36" s="1125"/>
      <c r="EB36" s="1124"/>
      <c r="EC36" s="1125"/>
      <c r="ED36" s="1124"/>
      <c r="EE36" s="1125"/>
      <c r="EF36" s="1124"/>
      <c r="EG36" s="1125"/>
      <c r="EH36" s="1124"/>
      <c r="EI36" s="1125"/>
      <c r="EJ36" s="1169"/>
      <c r="EK36" s="1167"/>
      <c r="EL36" s="1169"/>
      <c r="EM36" s="1167"/>
      <c r="EN36" s="1124"/>
      <c r="EO36" s="1125"/>
      <c r="EP36" s="1124"/>
      <c r="EQ36" s="1125"/>
      <c r="ER36" s="1124"/>
      <c r="ES36" s="1125"/>
      <c r="ET36" s="1124"/>
      <c r="EU36" s="1125"/>
      <c r="EV36" s="1124"/>
      <c r="EW36" s="1125"/>
      <c r="EX36" s="1124"/>
      <c r="EY36" s="1125"/>
      <c r="EZ36" s="1124"/>
      <c r="FA36" s="1125"/>
      <c r="FB36" s="1126"/>
      <c r="FC36" s="1125"/>
      <c r="FD36" s="1126"/>
      <c r="FE36" s="1125"/>
      <c r="FF36" s="1126"/>
      <c r="FG36" s="1125"/>
      <c r="FH36" s="1126"/>
      <c r="FI36" s="1126"/>
      <c r="FJ36" s="1126"/>
      <c r="FK36" s="1125"/>
      <c r="FL36" s="1124"/>
      <c r="FM36" s="1125"/>
      <c r="FN36" s="1178"/>
      <c r="FO36" s="1125"/>
      <c r="FP36" s="1178"/>
      <c r="FQ36" s="1125"/>
      <c r="FR36" s="1178"/>
      <c r="FS36" s="1125"/>
      <c r="FT36" s="1139"/>
      <c r="FU36" s="1125"/>
      <c r="FV36" s="1139"/>
      <c r="FW36" s="1125"/>
      <c r="FX36" s="1179"/>
      <c r="FY36" s="1167"/>
      <c r="FZ36" s="1179"/>
      <c r="GA36" s="1167"/>
      <c r="GB36" s="1179"/>
      <c r="GC36" s="1167"/>
      <c r="GD36" s="1133"/>
      <c r="GE36" s="1167"/>
      <c r="GF36" s="1124"/>
      <c r="GG36" s="1125"/>
      <c r="GH36" s="1124"/>
      <c r="GI36" s="1125"/>
      <c r="GJ36" s="1126"/>
      <c r="GK36" s="1125"/>
      <c r="GL36" s="1124"/>
      <c r="GM36" s="1125"/>
      <c r="GN36" s="1126"/>
      <c r="GO36" s="1125"/>
      <c r="GP36" s="1126"/>
      <c r="GQ36" s="1125"/>
      <c r="GR36" s="1124"/>
      <c r="GS36" s="1125"/>
      <c r="GT36" s="1124"/>
      <c r="GU36" s="1125"/>
      <c r="GV36" s="1126"/>
      <c r="GW36" s="1125"/>
      <c r="GX36" s="1168"/>
      <c r="GY36" s="1133"/>
      <c r="GZ36" s="1124"/>
      <c r="HA36" s="1125"/>
      <c r="HB36" s="1107">
        <v>171.90902777777777</v>
      </c>
      <c r="HC36" s="1108">
        <v>7.8271E11</v>
      </c>
      <c r="HD36" s="1124"/>
      <c r="HE36" s="1125"/>
      <c r="HF36" s="1124"/>
      <c r="HG36" s="1125"/>
      <c r="HH36" s="1124"/>
      <c r="HI36" s="1125"/>
      <c r="HJ36" s="1124"/>
      <c r="HK36" s="1125"/>
      <c r="HL36" s="1124"/>
      <c r="HM36" s="1125"/>
      <c r="HN36" s="1126"/>
      <c r="HO36" s="1125"/>
      <c r="HP36" s="1124"/>
      <c r="HQ36" s="1125"/>
      <c r="HR36" s="1124"/>
      <c r="HS36" s="1125"/>
      <c r="HT36" s="1124"/>
      <c r="HU36" s="1125"/>
      <c r="HV36" s="1124"/>
      <c r="HW36" s="1125"/>
      <c r="HX36" s="1124"/>
      <c r="HY36" s="1125"/>
      <c r="HZ36" s="1124"/>
      <c r="IA36" s="1125"/>
      <c r="IB36" s="1124"/>
      <c r="IC36" s="1125"/>
      <c r="ID36" s="1124"/>
      <c r="IE36" s="1125"/>
      <c r="IF36" s="1124"/>
      <c r="IG36" s="1125"/>
      <c r="IH36" s="1124"/>
      <c r="II36" s="1125"/>
      <c r="IJ36" s="1124"/>
      <c r="IK36" s="1125"/>
      <c r="IL36" s="1124"/>
      <c r="IM36" s="1125"/>
      <c r="IN36" s="1124"/>
      <c r="IO36" s="1125"/>
      <c r="IP36" s="1124"/>
      <c r="IQ36" s="1125"/>
      <c r="IR36" s="1124"/>
      <c r="IS36" s="1125"/>
      <c r="IT36" s="1124"/>
      <c r="IU36" s="1125"/>
      <c r="IV36" s="1124"/>
      <c r="IW36" s="1125"/>
      <c r="IX36" s="1124"/>
      <c r="IY36" s="1125"/>
      <c r="IZ36" s="1124"/>
      <c r="JA36" s="1125"/>
      <c r="JB36" s="1124"/>
      <c r="JC36" s="1125"/>
      <c r="JD36" s="1124"/>
      <c r="JE36" s="1125"/>
      <c r="JF36" s="1124"/>
      <c r="JG36" s="1125"/>
      <c r="JH36" s="1124"/>
      <c r="JI36" s="1125"/>
      <c r="JJ36" s="1169"/>
      <c r="JK36" s="1167"/>
      <c r="JL36" s="1169"/>
      <c r="JM36" s="1167"/>
      <c r="JN36" s="1169"/>
      <c r="JO36" s="1167"/>
      <c r="JP36" s="1169"/>
      <c r="JQ36" s="1167"/>
      <c r="JR36" s="1169"/>
      <c r="JS36" s="1167"/>
      <c r="JT36" s="1169"/>
      <c r="JU36" s="1167"/>
      <c r="JV36" s="1169"/>
      <c r="JW36" s="1167"/>
      <c r="JX36" s="1169"/>
      <c r="JY36" s="1133"/>
      <c r="JZ36" s="1173">
        <v>3.156666667</v>
      </c>
      <c r="KA36" s="1120">
        <v>2.518E10</v>
      </c>
      <c r="KB36" s="1173">
        <v>6.107592593</v>
      </c>
      <c r="KC36" s="1174">
        <v>1.0781E11</v>
      </c>
      <c r="KD36" s="1169"/>
      <c r="KE36" s="1133"/>
      <c r="KF36" s="1133"/>
      <c r="KG36" s="1133"/>
      <c r="KH36" s="1133"/>
      <c r="KI36" s="1133"/>
      <c r="KJ36" s="1133"/>
      <c r="KK36" s="1133"/>
      <c r="KL36" s="1133"/>
      <c r="KM36" s="1133"/>
      <c r="KN36" s="1133"/>
      <c r="KO36" s="1133"/>
      <c r="KP36" s="1133"/>
      <c r="KQ36" s="1133"/>
      <c r="KR36" s="1133"/>
      <c r="KS36" s="1133"/>
      <c r="KT36" s="1133"/>
      <c r="KU36" s="1133"/>
      <c r="KV36" s="1133"/>
      <c r="KW36" s="1133"/>
      <c r="KX36" s="1133"/>
      <c r="KY36" s="1133"/>
      <c r="KZ36" s="1133"/>
      <c r="LA36" s="1133"/>
      <c r="LB36" s="1133"/>
      <c r="LC36" s="1133"/>
      <c r="LD36" s="1133"/>
      <c r="LE36" s="1133"/>
      <c r="LF36" s="1133"/>
      <c r="LG36" s="1133"/>
      <c r="LH36" s="1133"/>
      <c r="LI36" s="1133"/>
      <c r="LJ36" s="1133"/>
      <c r="LK36" s="1133"/>
      <c r="LL36" s="1133"/>
      <c r="LM36" s="1133"/>
      <c r="LN36" s="1133"/>
      <c r="LO36" s="1133"/>
      <c r="LP36" s="1133"/>
      <c r="LQ36" s="1133"/>
      <c r="LR36" s="1133"/>
      <c r="LS36" s="1133"/>
      <c r="LT36" s="1133"/>
      <c r="LU36" s="1133"/>
      <c r="LV36" s="1133"/>
      <c r="LW36" s="1133"/>
      <c r="LX36" s="1133"/>
      <c r="LY36" s="1133"/>
      <c r="LZ36" s="1133"/>
      <c r="MA36" s="1133"/>
      <c r="MB36" s="1133"/>
      <c r="MC36" s="1133"/>
      <c r="MD36" s="1133"/>
      <c r="ME36" s="1133"/>
      <c r="MF36" s="1133"/>
      <c r="MG36" s="1133"/>
      <c r="MH36" s="1133"/>
      <c r="MI36" s="1133"/>
      <c r="MJ36" s="1133"/>
      <c r="MK36" s="1133"/>
      <c r="ML36" s="1133"/>
      <c r="MM36" s="1133"/>
      <c r="MN36" s="1133"/>
      <c r="MO36" s="1133"/>
      <c r="MP36" s="1133"/>
      <c r="MQ36" s="1133"/>
      <c r="MR36" s="1133"/>
      <c r="MS36" s="1133"/>
      <c r="MT36" s="1133"/>
      <c r="MU36" s="1133"/>
      <c r="MV36" s="1133"/>
      <c r="MW36" s="1133"/>
      <c r="MX36" s="1133"/>
      <c r="MY36" s="1133"/>
    </row>
    <row r="37">
      <c r="A37" s="1071">
        <v>35.0</v>
      </c>
      <c r="B37" s="1124"/>
      <c r="C37" s="1126"/>
      <c r="D37" s="1072">
        <v>3.95625</v>
      </c>
      <c r="E37" s="1073">
        <v>228820.0</v>
      </c>
      <c r="F37" s="1072">
        <v>3.95625</v>
      </c>
      <c r="G37" s="1073">
        <v>228820.0</v>
      </c>
      <c r="H37" s="1072">
        <v>3.95625</v>
      </c>
      <c r="I37" s="1073">
        <v>228820.0</v>
      </c>
      <c r="J37" s="1072">
        <v>3.95625</v>
      </c>
      <c r="K37" s="1073">
        <v>228820.0</v>
      </c>
      <c r="L37" s="1072">
        <v>6.710416666666666</v>
      </c>
      <c r="M37" s="1075">
        <v>653790.0</v>
      </c>
      <c r="N37" s="1076">
        <v>3.9944444444444445</v>
      </c>
      <c r="O37" s="1073">
        <v>728050.0</v>
      </c>
      <c r="P37" s="1124"/>
      <c r="Q37" s="1125"/>
      <c r="R37" s="1124"/>
      <c r="S37" s="1125"/>
      <c r="T37" s="1124"/>
      <c r="U37" s="1125"/>
      <c r="V37" s="1124"/>
      <c r="W37" s="1125"/>
      <c r="X37" s="1124"/>
      <c r="Y37" s="1125"/>
      <c r="Z37" s="1124"/>
      <c r="AA37" s="1125"/>
      <c r="AB37" s="1124"/>
      <c r="AC37" s="1125"/>
      <c r="AD37" s="1072">
        <v>37.797916666666666</v>
      </c>
      <c r="AE37" s="1080">
        <v>7.482969558E12</v>
      </c>
      <c r="AF37" s="1072">
        <v>37.797916666666666</v>
      </c>
      <c r="AG37" s="1080">
        <v>7.482969558E12</v>
      </c>
      <c r="AH37" s="1072">
        <v>37.797916666666666</v>
      </c>
      <c r="AI37" s="1080">
        <v>7.482969558E12</v>
      </c>
      <c r="AJ37" s="1081">
        <v>3.95625</v>
      </c>
      <c r="AK37" s="1082">
        <v>228820.0</v>
      </c>
      <c r="AL37" s="1081">
        <v>3.95625</v>
      </c>
      <c r="AM37" s="1082">
        <v>228820.0</v>
      </c>
      <c r="AN37" s="1081">
        <v>3.95625</v>
      </c>
      <c r="AO37" s="1082">
        <v>228820.0</v>
      </c>
      <c r="AP37" s="1081">
        <v>3.95625</v>
      </c>
      <c r="AQ37" s="1082">
        <v>228820.0</v>
      </c>
      <c r="AR37" s="1081">
        <v>3.95625</v>
      </c>
      <c r="AS37" s="1082">
        <v>228830.0</v>
      </c>
      <c r="AT37" s="1081">
        <v>2212.605555555556</v>
      </c>
      <c r="AU37" s="1082">
        <v>1.578E10</v>
      </c>
      <c r="AV37" s="1081">
        <v>1103.5125</v>
      </c>
      <c r="AW37" s="1082">
        <v>1.578E10</v>
      </c>
      <c r="AX37" s="1124"/>
      <c r="AY37" s="1175"/>
      <c r="AZ37" s="1124"/>
      <c r="BA37" s="1124"/>
      <c r="BB37" s="1083">
        <v>3.95625</v>
      </c>
      <c r="BC37" s="1084">
        <v>228820.0</v>
      </c>
      <c r="BD37" s="1083">
        <v>3.95625</v>
      </c>
      <c r="BE37" s="1084">
        <v>228820.0</v>
      </c>
      <c r="BF37" s="1083">
        <v>3.95625</v>
      </c>
      <c r="BG37" s="1084">
        <v>228820.0</v>
      </c>
      <c r="BH37" s="1083">
        <v>92.94166666666666</v>
      </c>
      <c r="BI37" s="1084">
        <v>1.34E9</v>
      </c>
      <c r="BJ37" s="1124"/>
      <c r="BK37" s="1125"/>
      <c r="BL37" s="1124"/>
      <c r="BM37" s="1125"/>
      <c r="BN37" s="1083">
        <v>190.46944444444443</v>
      </c>
      <c r="BO37" s="1084">
        <v>3.849E10</v>
      </c>
      <c r="BP37" s="1124"/>
      <c r="BQ37" s="1125"/>
      <c r="BR37" s="1126"/>
      <c r="BS37" s="1125"/>
      <c r="BT37" s="1085">
        <v>4.147916666666666</v>
      </c>
      <c r="BU37" s="1086">
        <v>1.912E10</v>
      </c>
      <c r="BV37" s="1126"/>
      <c r="BW37" s="1126"/>
      <c r="BX37" s="1126"/>
      <c r="BY37" s="1126"/>
      <c r="BZ37" s="1126"/>
      <c r="CA37" s="1126"/>
      <c r="CB37" s="1126"/>
      <c r="CC37" s="1125"/>
      <c r="CD37" s="1083">
        <v>16.911944444444444</v>
      </c>
      <c r="CE37" s="1087">
        <v>2.27E12</v>
      </c>
      <c r="CF37" s="1133"/>
      <c r="CG37" s="1167"/>
      <c r="CH37" s="1088">
        <v>3.95625</v>
      </c>
      <c r="CI37" s="1089">
        <v>228830.0</v>
      </c>
      <c r="CJ37" s="1088">
        <v>3.95625</v>
      </c>
      <c r="CK37" s="1089">
        <v>228830.0</v>
      </c>
      <c r="CL37" s="1088">
        <v>3.95625</v>
      </c>
      <c r="CM37" s="1089">
        <v>228830.0</v>
      </c>
      <c r="CN37" s="1088">
        <v>3.95625</v>
      </c>
      <c r="CO37" s="1089">
        <v>228830.0</v>
      </c>
      <c r="CP37" s="1088">
        <v>7.966666666666667</v>
      </c>
      <c r="CQ37" s="1089">
        <v>728060.0</v>
      </c>
      <c r="CR37" s="1124"/>
      <c r="CS37" s="1125"/>
      <c r="CT37" s="1126"/>
      <c r="CU37" s="1125"/>
      <c r="CV37" s="1126"/>
      <c r="CW37" s="1125"/>
      <c r="CX37" s="1126"/>
      <c r="CY37" s="1125"/>
      <c r="CZ37" s="1126"/>
      <c r="DA37" s="1126"/>
      <c r="DB37" s="1126"/>
      <c r="DC37" s="1126"/>
      <c r="DD37" s="1126"/>
      <c r="DE37" s="1125"/>
      <c r="DF37" s="1124"/>
      <c r="DG37" s="1125"/>
      <c r="DH37" s="1124"/>
      <c r="DI37" s="1125"/>
      <c r="DJ37" s="1124"/>
      <c r="DK37" s="1125"/>
      <c r="DL37" s="1124"/>
      <c r="DM37" s="1125"/>
      <c r="DN37" s="1124"/>
      <c r="DO37" s="1125"/>
      <c r="DP37" s="1124"/>
      <c r="DQ37" s="1125"/>
      <c r="DR37" s="1124"/>
      <c r="DS37" s="1125"/>
      <c r="DT37" s="1124"/>
      <c r="DU37" s="1125"/>
      <c r="DV37" s="1126"/>
      <c r="DW37" s="1125"/>
      <c r="DX37" s="1124"/>
      <c r="DY37" s="1125"/>
      <c r="DZ37" s="1124"/>
      <c r="EA37" s="1125"/>
      <c r="EB37" s="1124"/>
      <c r="EC37" s="1125"/>
      <c r="ED37" s="1124"/>
      <c r="EE37" s="1125"/>
      <c r="EF37" s="1124"/>
      <c r="EG37" s="1125"/>
      <c r="EH37" s="1124"/>
      <c r="EI37" s="1125"/>
      <c r="EJ37" s="1169"/>
      <c r="EK37" s="1167"/>
      <c r="EL37" s="1169"/>
      <c r="EM37" s="1167"/>
      <c r="EN37" s="1124"/>
      <c r="EO37" s="1125"/>
      <c r="EP37" s="1124"/>
      <c r="EQ37" s="1125"/>
      <c r="ER37" s="1124"/>
      <c r="ES37" s="1125"/>
      <c r="ET37" s="1124"/>
      <c r="EU37" s="1125"/>
      <c r="EV37" s="1124"/>
      <c r="EW37" s="1125"/>
      <c r="EX37" s="1124"/>
      <c r="EY37" s="1125"/>
      <c r="EZ37" s="1124"/>
      <c r="FA37" s="1125"/>
      <c r="FB37" s="1126"/>
      <c r="FC37" s="1125"/>
      <c r="FD37" s="1126"/>
      <c r="FE37" s="1125"/>
      <c r="FF37" s="1126"/>
      <c r="FG37" s="1125"/>
      <c r="FH37" s="1126"/>
      <c r="FI37" s="1126"/>
      <c r="FJ37" s="1126"/>
      <c r="FK37" s="1125"/>
      <c r="FL37" s="1124"/>
      <c r="FM37" s="1125"/>
      <c r="FN37" s="1178"/>
      <c r="FO37" s="1125"/>
      <c r="FP37" s="1178"/>
      <c r="FQ37" s="1125"/>
      <c r="FR37" s="1178"/>
      <c r="FS37" s="1125"/>
      <c r="FT37" s="1139"/>
      <c r="FU37" s="1125"/>
      <c r="FV37" s="1139"/>
      <c r="FW37" s="1125"/>
      <c r="FX37" s="1179"/>
      <c r="FY37" s="1167"/>
      <c r="FZ37" s="1179"/>
      <c r="GA37" s="1167"/>
      <c r="GB37" s="1179"/>
      <c r="GC37" s="1167"/>
      <c r="GD37" s="1133"/>
      <c r="GE37" s="1167"/>
      <c r="GF37" s="1124"/>
      <c r="GG37" s="1125"/>
      <c r="GH37" s="1124"/>
      <c r="GI37" s="1125"/>
      <c r="GJ37" s="1126"/>
      <c r="GK37" s="1125"/>
      <c r="GL37" s="1124"/>
      <c r="GM37" s="1125"/>
      <c r="GN37" s="1126"/>
      <c r="GO37" s="1125"/>
      <c r="GP37" s="1126"/>
      <c r="GQ37" s="1125"/>
      <c r="GR37" s="1124"/>
      <c r="GS37" s="1125"/>
      <c r="GT37" s="1124"/>
      <c r="GU37" s="1125"/>
      <c r="GV37" s="1126"/>
      <c r="GW37" s="1125"/>
      <c r="GX37" s="1168"/>
      <c r="GY37" s="1133"/>
      <c r="GZ37" s="1124"/>
      <c r="HA37" s="1125"/>
      <c r="HB37" s="1107">
        <v>190.46944444444443</v>
      </c>
      <c r="HC37" s="1108">
        <v>9.0871E11</v>
      </c>
      <c r="HD37" s="1124"/>
      <c r="HE37" s="1125"/>
      <c r="HF37" s="1124"/>
      <c r="HG37" s="1125"/>
      <c r="HH37" s="1124"/>
      <c r="HI37" s="1125"/>
      <c r="HJ37" s="1124"/>
      <c r="HK37" s="1125"/>
      <c r="HL37" s="1124"/>
      <c r="HM37" s="1125"/>
      <c r="HN37" s="1126"/>
      <c r="HO37" s="1125"/>
      <c r="HP37" s="1124"/>
      <c r="HQ37" s="1125"/>
      <c r="HR37" s="1124"/>
      <c r="HS37" s="1125"/>
      <c r="HT37" s="1124"/>
      <c r="HU37" s="1125"/>
      <c r="HV37" s="1124"/>
      <c r="HW37" s="1125"/>
      <c r="HX37" s="1124"/>
      <c r="HY37" s="1125"/>
      <c r="HZ37" s="1124"/>
      <c r="IA37" s="1125"/>
      <c r="IB37" s="1124"/>
      <c r="IC37" s="1125"/>
      <c r="ID37" s="1124"/>
      <c r="IE37" s="1125"/>
      <c r="IF37" s="1124"/>
      <c r="IG37" s="1125"/>
      <c r="IH37" s="1124"/>
      <c r="II37" s="1125"/>
      <c r="IJ37" s="1124"/>
      <c r="IK37" s="1125"/>
      <c r="IL37" s="1124"/>
      <c r="IM37" s="1125"/>
      <c r="IN37" s="1124"/>
      <c r="IO37" s="1125"/>
      <c r="IP37" s="1124"/>
      <c r="IQ37" s="1125"/>
      <c r="IR37" s="1124"/>
      <c r="IS37" s="1125"/>
      <c r="IT37" s="1124"/>
      <c r="IU37" s="1125"/>
      <c r="IV37" s="1124"/>
      <c r="IW37" s="1125"/>
      <c r="IX37" s="1124"/>
      <c r="IY37" s="1125"/>
      <c r="IZ37" s="1124"/>
      <c r="JA37" s="1125"/>
      <c r="JB37" s="1124"/>
      <c r="JC37" s="1125"/>
      <c r="JD37" s="1124"/>
      <c r="JE37" s="1125"/>
      <c r="JF37" s="1124"/>
      <c r="JG37" s="1125"/>
      <c r="JH37" s="1124"/>
      <c r="JI37" s="1125"/>
      <c r="JJ37" s="1169"/>
      <c r="JK37" s="1167"/>
      <c r="JL37" s="1169"/>
      <c r="JM37" s="1167"/>
      <c r="JN37" s="1169"/>
      <c r="JO37" s="1167"/>
      <c r="JP37" s="1169"/>
      <c r="JQ37" s="1167"/>
      <c r="JR37" s="1169"/>
      <c r="JS37" s="1167"/>
      <c r="JT37" s="1169"/>
      <c r="JU37" s="1167"/>
      <c r="JV37" s="1169"/>
      <c r="JW37" s="1167"/>
      <c r="JX37" s="1169"/>
      <c r="JY37" s="1133"/>
      <c r="JZ37" s="1173">
        <v>3.227685185</v>
      </c>
      <c r="KA37" s="1120">
        <v>2.729E10</v>
      </c>
      <c r="KB37" s="1173">
        <v>6.407696759</v>
      </c>
      <c r="KC37" s="1174">
        <v>1.1791E11</v>
      </c>
      <c r="KD37" s="1169"/>
      <c r="KE37" s="1133"/>
      <c r="KF37" s="1133"/>
      <c r="KG37" s="1133"/>
      <c r="KH37" s="1133"/>
      <c r="KI37" s="1133"/>
      <c r="KJ37" s="1133"/>
      <c r="KK37" s="1133"/>
      <c r="KL37" s="1133"/>
      <c r="KM37" s="1133"/>
      <c r="KN37" s="1133"/>
      <c r="KO37" s="1133"/>
      <c r="KP37" s="1133"/>
      <c r="KQ37" s="1133"/>
      <c r="KR37" s="1133"/>
      <c r="KS37" s="1133"/>
      <c r="KT37" s="1133"/>
      <c r="KU37" s="1133"/>
      <c r="KV37" s="1133"/>
      <c r="KW37" s="1133"/>
      <c r="KX37" s="1133"/>
      <c r="KY37" s="1133"/>
      <c r="KZ37" s="1133"/>
      <c r="LA37" s="1133"/>
      <c r="LB37" s="1133"/>
      <c r="LC37" s="1133"/>
      <c r="LD37" s="1133"/>
      <c r="LE37" s="1133"/>
      <c r="LF37" s="1133"/>
      <c r="LG37" s="1133"/>
      <c r="LH37" s="1133"/>
      <c r="LI37" s="1133"/>
      <c r="LJ37" s="1133"/>
      <c r="LK37" s="1133"/>
      <c r="LL37" s="1133"/>
      <c r="LM37" s="1133"/>
      <c r="LN37" s="1133"/>
      <c r="LO37" s="1133"/>
      <c r="LP37" s="1133"/>
      <c r="LQ37" s="1133"/>
      <c r="LR37" s="1133"/>
      <c r="LS37" s="1133"/>
      <c r="LT37" s="1133"/>
      <c r="LU37" s="1133"/>
      <c r="LV37" s="1133"/>
      <c r="LW37" s="1133"/>
      <c r="LX37" s="1133"/>
      <c r="LY37" s="1133"/>
      <c r="LZ37" s="1133"/>
      <c r="MA37" s="1133"/>
      <c r="MB37" s="1133"/>
      <c r="MC37" s="1133"/>
      <c r="MD37" s="1133"/>
      <c r="ME37" s="1133"/>
      <c r="MF37" s="1133"/>
      <c r="MG37" s="1133"/>
      <c r="MH37" s="1133"/>
      <c r="MI37" s="1133"/>
      <c r="MJ37" s="1133"/>
      <c r="MK37" s="1133"/>
      <c r="ML37" s="1133"/>
      <c r="MM37" s="1133"/>
      <c r="MN37" s="1133"/>
      <c r="MO37" s="1133"/>
      <c r="MP37" s="1133"/>
      <c r="MQ37" s="1133"/>
      <c r="MR37" s="1133"/>
      <c r="MS37" s="1133"/>
      <c r="MT37" s="1133"/>
      <c r="MU37" s="1133"/>
      <c r="MV37" s="1133"/>
      <c r="MW37" s="1133"/>
      <c r="MX37" s="1133"/>
      <c r="MY37" s="1133"/>
    </row>
    <row r="38">
      <c r="A38" s="1071">
        <v>36.0</v>
      </c>
      <c r="B38" s="1124"/>
      <c r="C38" s="1126"/>
      <c r="D38" s="1072">
        <v>4.236111111111111</v>
      </c>
      <c r="E38" s="1073">
        <v>247760.0</v>
      </c>
      <c r="F38" s="1072">
        <v>4.236111111111111</v>
      </c>
      <c r="G38" s="1073">
        <v>247760.0</v>
      </c>
      <c r="H38" s="1072">
        <v>4.236111111111111</v>
      </c>
      <c r="I38" s="1073">
        <v>247760.0</v>
      </c>
      <c r="J38" s="1072">
        <v>4.236111111111111</v>
      </c>
      <c r="K38" s="1073">
        <v>247760.0</v>
      </c>
      <c r="L38" s="1072">
        <v>7.215972222222222</v>
      </c>
      <c r="M38" s="1075">
        <v>712810.0</v>
      </c>
      <c r="N38" s="1076">
        <v>4.2444444444444445</v>
      </c>
      <c r="O38" s="1073">
        <v>796430.0</v>
      </c>
      <c r="P38" s="1124"/>
      <c r="Q38" s="1125"/>
      <c r="R38" s="1124"/>
      <c r="S38" s="1125"/>
      <c r="T38" s="1124"/>
      <c r="U38" s="1125"/>
      <c r="V38" s="1124"/>
      <c r="W38" s="1125"/>
      <c r="X38" s="1124"/>
      <c r="Y38" s="1125"/>
      <c r="Z38" s="1124"/>
      <c r="AA38" s="1125"/>
      <c r="AB38" s="1124"/>
      <c r="AC38" s="1125"/>
      <c r="AD38" s="1072">
        <v>38.87777777777778</v>
      </c>
      <c r="AE38" s="1080">
        <v>9.727860425E12</v>
      </c>
      <c r="AF38" s="1072">
        <v>38.87777777777778</v>
      </c>
      <c r="AG38" s="1080">
        <v>9.727860425E12</v>
      </c>
      <c r="AH38" s="1072">
        <v>38.87777777777778</v>
      </c>
      <c r="AI38" s="1080">
        <v>9.727860425E12</v>
      </c>
      <c r="AJ38" s="1081">
        <v>4.236111111111111</v>
      </c>
      <c r="AK38" s="1082">
        <v>247760.0</v>
      </c>
      <c r="AL38" s="1081">
        <v>4.236111111111111</v>
      </c>
      <c r="AM38" s="1082">
        <v>247760.0</v>
      </c>
      <c r="AN38" s="1081">
        <v>4.236111111111111</v>
      </c>
      <c r="AO38" s="1082">
        <v>247760.0</v>
      </c>
      <c r="AP38" s="1081">
        <v>4.236111111111111</v>
      </c>
      <c r="AQ38" s="1082">
        <v>247760.0</v>
      </c>
      <c r="AR38" s="1081">
        <v>4.236111111111111</v>
      </c>
      <c r="AS38" s="1082">
        <v>247770.0</v>
      </c>
      <c r="AT38" s="1081">
        <v>2496.9506944444443</v>
      </c>
      <c r="AU38" s="1082">
        <v>1.808E10</v>
      </c>
      <c r="AV38" s="1081">
        <v>1237.1958333333334</v>
      </c>
      <c r="AW38" s="1082">
        <v>1.808E10</v>
      </c>
      <c r="AX38" s="1124"/>
      <c r="AY38" s="1175"/>
      <c r="AZ38" s="1124"/>
      <c r="BA38" s="1124"/>
      <c r="BB38" s="1083">
        <v>4.236111111111111</v>
      </c>
      <c r="BC38" s="1084">
        <v>247760.0</v>
      </c>
      <c r="BD38" s="1083">
        <v>4.236111111111111</v>
      </c>
      <c r="BE38" s="1084">
        <v>247760.0</v>
      </c>
      <c r="BF38" s="1083">
        <v>4.236111111111111</v>
      </c>
      <c r="BG38" s="1084">
        <v>247760.0</v>
      </c>
      <c r="BH38" s="1083">
        <v>102.18402777777777</v>
      </c>
      <c r="BI38" s="1084">
        <v>1.5E9</v>
      </c>
      <c r="BJ38" s="1124"/>
      <c r="BK38" s="1125"/>
      <c r="BL38" s="1124"/>
      <c r="BM38" s="1125"/>
      <c r="BN38" s="1124"/>
      <c r="BO38" s="1125"/>
      <c r="BP38" s="1124"/>
      <c r="BQ38" s="1125"/>
      <c r="BR38" s="1126"/>
      <c r="BS38" s="1125"/>
      <c r="BT38" s="1085">
        <v>4.427083333333334</v>
      </c>
      <c r="BU38" s="1086">
        <v>2.046E10</v>
      </c>
      <c r="BV38" s="1126"/>
      <c r="BW38" s="1126"/>
      <c r="BX38" s="1126"/>
      <c r="BY38" s="1126"/>
      <c r="BZ38" s="1126"/>
      <c r="CA38" s="1126"/>
      <c r="CB38" s="1126"/>
      <c r="CC38" s="1125"/>
      <c r="CD38" s="1083">
        <v>17.916145833333335</v>
      </c>
      <c r="CE38" s="1087">
        <v>2.44E12</v>
      </c>
      <c r="CF38" s="1133"/>
      <c r="CG38" s="1167"/>
      <c r="CH38" s="1088">
        <v>4.236111111111111</v>
      </c>
      <c r="CI38" s="1089">
        <v>247770.0</v>
      </c>
      <c r="CJ38" s="1088">
        <v>4.236111111111111</v>
      </c>
      <c r="CK38" s="1089">
        <v>247770.0</v>
      </c>
      <c r="CL38" s="1088">
        <v>4.236111111111111</v>
      </c>
      <c r="CM38" s="1089">
        <v>247770.0</v>
      </c>
      <c r="CN38" s="1088">
        <v>4.236111111111111</v>
      </c>
      <c r="CO38" s="1089">
        <v>247770.0</v>
      </c>
      <c r="CP38" s="1088">
        <v>8.580555555555556</v>
      </c>
      <c r="CQ38" s="1089">
        <v>796440.0</v>
      </c>
      <c r="CR38" s="1124"/>
      <c r="CS38" s="1125"/>
      <c r="CT38" s="1126"/>
      <c r="CU38" s="1125"/>
      <c r="CV38" s="1126"/>
      <c r="CW38" s="1125"/>
      <c r="CX38" s="1126"/>
      <c r="CY38" s="1125"/>
      <c r="CZ38" s="1126"/>
      <c r="DA38" s="1126"/>
      <c r="DB38" s="1126"/>
      <c r="DC38" s="1126"/>
      <c r="DD38" s="1126"/>
      <c r="DE38" s="1125"/>
      <c r="DF38" s="1124"/>
      <c r="DG38" s="1125"/>
      <c r="DH38" s="1124"/>
      <c r="DI38" s="1125"/>
      <c r="DJ38" s="1124"/>
      <c r="DK38" s="1125"/>
      <c r="DL38" s="1124"/>
      <c r="DM38" s="1125"/>
      <c r="DN38" s="1124"/>
      <c r="DO38" s="1125"/>
      <c r="DP38" s="1124"/>
      <c r="DQ38" s="1125"/>
      <c r="DR38" s="1124"/>
      <c r="DS38" s="1125"/>
      <c r="DT38" s="1124"/>
      <c r="DU38" s="1125"/>
      <c r="DV38" s="1126"/>
      <c r="DW38" s="1125"/>
      <c r="DX38" s="1124"/>
      <c r="DY38" s="1125"/>
      <c r="DZ38" s="1124"/>
      <c r="EA38" s="1125"/>
      <c r="EB38" s="1124"/>
      <c r="EC38" s="1125"/>
      <c r="ED38" s="1124"/>
      <c r="EE38" s="1125"/>
      <c r="EF38" s="1124"/>
      <c r="EG38" s="1125"/>
      <c r="EH38" s="1124"/>
      <c r="EI38" s="1125"/>
      <c r="EJ38" s="1169"/>
      <c r="EK38" s="1167"/>
      <c r="EL38" s="1169"/>
      <c r="EM38" s="1167"/>
      <c r="EN38" s="1124"/>
      <c r="EO38" s="1125"/>
      <c r="EP38" s="1124"/>
      <c r="EQ38" s="1125"/>
      <c r="ER38" s="1124"/>
      <c r="ES38" s="1125"/>
      <c r="ET38" s="1124"/>
      <c r="EU38" s="1125"/>
      <c r="EV38" s="1124"/>
      <c r="EW38" s="1125"/>
      <c r="EX38" s="1124"/>
      <c r="EY38" s="1125"/>
      <c r="EZ38" s="1124"/>
      <c r="FA38" s="1125"/>
      <c r="FB38" s="1126"/>
      <c r="FC38" s="1125"/>
      <c r="FD38" s="1126"/>
      <c r="FE38" s="1125"/>
      <c r="FF38" s="1126"/>
      <c r="FG38" s="1125"/>
      <c r="FH38" s="1126"/>
      <c r="FI38" s="1126"/>
      <c r="FJ38" s="1126"/>
      <c r="FK38" s="1125"/>
      <c r="FL38" s="1124"/>
      <c r="FM38" s="1125"/>
      <c r="FN38" s="1178"/>
      <c r="FO38" s="1125"/>
      <c r="FP38" s="1178"/>
      <c r="FQ38" s="1125"/>
      <c r="FR38" s="1178"/>
      <c r="FS38" s="1125"/>
      <c r="FT38" s="1139"/>
      <c r="FU38" s="1125"/>
      <c r="FV38" s="1139"/>
      <c r="FW38" s="1125"/>
      <c r="FX38" s="1179"/>
      <c r="FY38" s="1167"/>
      <c r="FZ38" s="1179"/>
      <c r="GA38" s="1167"/>
      <c r="GB38" s="1179"/>
      <c r="GC38" s="1167"/>
      <c r="GD38" s="1133"/>
      <c r="GE38" s="1167"/>
      <c r="GF38" s="1124"/>
      <c r="GG38" s="1125"/>
      <c r="GH38" s="1124"/>
      <c r="GI38" s="1125"/>
      <c r="GJ38" s="1126"/>
      <c r="GK38" s="1125"/>
      <c r="GL38" s="1124"/>
      <c r="GM38" s="1125"/>
      <c r="GN38" s="1126"/>
      <c r="GO38" s="1125"/>
      <c r="GP38" s="1126"/>
      <c r="GQ38" s="1125"/>
      <c r="GR38" s="1124"/>
      <c r="GS38" s="1125"/>
      <c r="GT38" s="1124"/>
      <c r="GU38" s="1125"/>
      <c r="GV38" s="1126"/>
      <c r="GW38" s="1125"/>
      <c r="GX38" s="1168"/>
      <c r="GY38" s="1133"/>
      <c r="GZ38" s="1124"/>
      <c r="HA38" s="1125"/>
      <c r="HB38" s="1107">
        <v>210.43541666666667</v>
      </c>
      <c r="HC38" s="1108">
        <v>1.05E12</v>
      </c>
      <c r="HD38" s="1124"/>
      <c r="HE38" s="1125"/>
      <c r="HF38" s="1124"/>
      <c r="HG38" s="1125"/>
      <c r="HH38" s="1124"/>
      <c r="HI38" s="1125"/>
      <c r="HJ38" s="1124"/>
      <c r="HK38" s="1125"/>
      <c r="HL38" s="1124"/>
      <c r="HM38" s="1125"/>
      <c r="HN38" s="1126"/>
      <c r="HO38" s="1125"/>
      <c r="HP38" s="1124"/>
      <c r="HQ38" s="1125"/>
      <c r="HR38" s="1124"/>
      <c r="HS38" s="1125"/>
      <c r="HT38" s="1124"/>
      <c r="HU38" s="1125"/>
      <c r="HV38" s="1124"/>
      <c r="HW38" s="1125"/>
      <c r="HX38" s="1124"/>
      <c r="HY38" s="1125"/>
      <c r="HZ38" s="1124"/>
      <c r="IA38" s="1125"/>
      <c r="IB38" s="1124"/>
      <c r="IC38" s="1125"/>
      <c r="ID38" s="1124"/>
      <c r="IE38" s="1125"/>
      <c r="IF38" s="1124"/>
      <c r="IG38" s="1125"/>
      <c r="IH38" s="1124"/>
      <c r="II38" s="1125"/>
      <c r="IJ38" s="1124"/>
      <c r="IK38" s="1125"/>
      <c r="IL38" s="1124"/>
      <c r="IM38" s="1125"/>
      <c r="IN38" s="1124"/>
      <c r="IO38" s="1125"/>
      <c r="IP38" s="1124"/>
      <c r="IQ38" s="1125"/>
      <c r="IR38" s="1124"/>
      <c r="IS38" s="1125"/>
      <c r="IT38" s="1124"/>
      <c r="IU38" s="1125"/>
      <c r="IV38" s="1124"/>
      <c r="IW38" s="1125"/>
      <c r="IX38" s="1124"/>
      <c r="IY38" s="1125"/>
      <c r="IZ38" s="1124"/>
      <c r="JA38" s="1125"/>
      <c r="JB38" s="1124"/>
      <c r="JC38" s="1125"/>
      <c r="JD38" s="1124"/>
      <c r="JE38" s="1125"/>
      <c r="JF38" s="1124"/>
      <c r="JG38" s="1125"/>
      <c r="JH38" s="1124"/>
      <c r="JI38" s="1125"/>
      <c r="JJ38" s="1169"/>
      <c r="JK38" s="1167"/>
      <c r="JL38" s="1169"/>
      <c r="JM38" s="1167"/>
      <c r="JN38" s="1169"/>
      <c r="JO38" s="1167"/>
      <c r="JP38" s="1169"/>
      <c r="JQ38" s="1167"/>
      <c r="JR38" s="1169"/>
      <c r="JS38" s="1167"/>
      <c r="JT38" s="1169"/>
      <c r="JU38" s="1167"/>
      <c r="JV38" s="1169"/>
      <c r="JW38" s="1167"/>
      <c r="JX38" s="1169"/>
      <c r="JY38" s="1133"/>
      <c r="JZ38" s="1173">
        <v>3.2996875</v>
      </c>
      <c r="KA38" s="1120">
        <v>2.951E10</v>
      </c>
      <c r="KB38" s="1173">
        <v>6.718946759</v>
      </c>
      <c r="KC38" s="1174">
        <v>1.2863E11</v>
      </c>
      <c r="KD38" s="1169"/>
      <c r="KE38" s="1133"/>
      <c r="KF38" s="1133"/>
      <c r="KG38" s="1133"/>
      <c r="KH38" s="1133"/>
      <c r="KI38" s="1133"/>
      <c r="KJ38" s="1133"/>
      <c r="KK38" s="1133"/>
      <c r="KL38" s="1133"/>
      <c r="KM38" s="1133"/>
      <c r="KN38" s="1133"/>
      <c r="KO38" s="1133"/>
      <c r="KP38" s="1133"/>
      <c r="KQ38" s="1133"/>
      <c r="KR38" s="1133"/>
      <c r="KS38" s="1133"/>
      <c r="KT38" s="1133"/>
      <c r="KU38" s="1133"/>
      <c r="KV38" s="1133"/>
      <c r="KW38" s="1133"/>
      <c r="KX38" s="1133"/>
      <c r="KY38" s="1133"/>
      <c r="KZ38" s="1133"/>
      <c r="LA38" s="1133"/>
      <c r="LB38" s="1133"/>
      <c r="LC38" s="1133"/>
      <c r="LD38" s="1133"/>
      <c r="LE38" s="1133"/>
      <c r="LF38" s="1133"/>
      <c r="LG38" s="1133"/>
      <c r="LH38" s="1133"/>
      <c r="LI38" s="1133"/>
      <c r="LJ38" s="1133"/>
      <c r="LK38" s="1133"/>
      <c r="LL38" s="1133"/>
      <c r="LM38" s="1133"/>
      <c r="LN38" s="1133"/>
      <c r="LO38" s="1133"/>
      <c r="LP38" s="1133"/>
      <c r="LQ38" s="1133"/>
      <c r="LR38" s="1133"/>
      <c r="LS38" s="1133"/>
      <c r="LT38" s="1133"/>
      <c r="LU38" s="1133"/>
      <c r="LV38" s="1133"/>
      <c r="LW38" s="1133"/>
      <c r="LX38" s="1133"/>
      <c r="LY38" s="1133"/>
      <c r="LZ38" s="1133"/>
      <c r="MA38" s="1133"/>
      <c r="MB38" s="1133"/>
      <c r="MC38" s="1133"/>
      <c r="MD38" s="1133"/>
      <c r="ME38" s="1133"/>
      <c r="MF38" s="1133"/>
      <c r="MG38" s="1133"/>
      <c r="MH38" s="1133"/>
      <c r="MI38" s="1133"/>
      <c r="MJ38" s="1133"/>
      <c r="MK38" s="1133"/>
      <c r="ML38" s="1133"/>
      <c r="MM38" s="1133"/>
      <c r="MN38" s="1133"/>
      <c r="MO38" s="1133"/>
      <c r="MP38" s="1133"/>
      <c r="MQ38" s="1133"/>
      <c r="MR38" s="1133"/>
      <c r="MS38" s="1133"/>
      <c r="MT38" s="1133"/>
      <c r="MU38" s="1133"/>
      <c r="MV38" s="1133"/>
      <c r="MW38" s="1133"/>
      <c r="MX38" s="1133"/>
      <c r="MY38" s="1133"/>
    </row>
    <row r="39">
      <c r="A39" s="1071">
        <v>37.0</v>
      </c>
      <c r="B39" s="1124"/>
      <c r="C39" s="1126"/>
      <c r="D39" s="1072">
        <v>4.527777777777778</v>
      </c>
      <c r="E39" s="1073">
        <v>267660.0</v>
      </c>
      <c r="F39" s="1072">
        <v>4.527777777777778</v>
      </c>
      <c r="G39" s="1073">
        <v>267660.0</v>
      </c>
      <c r="H39" s="1072">
        <v>4.527777777777778</v>
      </c>
      <c r="I39" s="1073">
        <v>267660.0</v>
      </c>
      <c r="J39" s="1072">
        <v>4.527777777777778</v>
      </c>
      <c r="K39" s="1073">
        <v>267660.0</v>
      </c>
      <c r="L39" s="1072">
        <v>7.7444444444444445</v>
      </c>
      <c r="M39" s="1075">
        <v>775190.0</v>
      </c>
      <c r="N39" s="1076">
        <v>4.502777777777778</v>
      </c>
      <c r="O39" s="1073">
        <v>869040.0</v>
      </c>
      <c r="P39" s="1124"/>
      <c r="Q39" s="1125"/>
      <c r="R39" s="1124"/>
      <c r="S39" s="1125"/>
      <c r="T39" s="1124"/>
      <c r="U39" s="1125"/>
      <c r="V39" s="1124"/>
      <c r="W39" s="1125"/>
      <c r="X39" s="1124"/>
      <c r="Y39" s="1125"/>
      <c r="Z39" s="1124"/>
      <c r="AA39" s="1125"/>
      <c r="AB39" s="1124"/>
      <c r="AC39" s="1125"/>
      <c r="AD39" s="1072">
        <v>39.95763888888889</v>
      </c>
      <c r="AE39" s="1080">
        <v>1.264621855E13</v>
      </c>
      <c r="AF39" s="1072">
        <v>39.95763888888889</v>
      </c>
      <c r="AG39" s="1080">
        <v>1.264621855E13</v>
      </c>
      <c r="AH39" s="1072">
        <v>39.95763888888889</v>
      </c>
      <c r="AI39" s="1080">
        <v>1.264621855E13</v>
      </c>
      <c r="AJ39" s="1081">
        <v>4.527777777777778</v>
      </c>
      <c r="AK39" s="1082">
        <v>267660.0</v>
      </c>
      <c r="AL39" s="1081">
        <v>4.527777777777778</v>
      </c>
      <c r="AM39" s="1082">
        <v>267660.0</v>
      </c>
      <c r="AN39" s="1081">
        <v>4.527777777777778</v>
      </c>
      <c r="AO39" s="1082">
        <v>267660.0</v>
      </c>
      <c r="AP39" s="1081">
        <v>4.527777777777778</v>
      </c>
      <c r="AQ39" s="1082">
        <v>267660.0</v>
      </c>
      <c r="AR39" s="1081">
        <v>4.527777777777778</v>
      </c>
      <c r="AS39" s="1082">
        <v>267670.0</v>
      </c>
      <c r="AT39" s="1081">
        <v>2808.461111111111</v>
      </c>
      <c r="AU39" s="1082">
        <v>2.064E10</v>
      </c>
      <c r="AV39" s="1081">
        <v>1382.7902777777779</v>
      </c>
      <c r="AW39" s="1082">
        <v>2.064E10</v>
      </c>
      <c r="AX39" s="1124"/>
      <c r="AY39" s="1175"/>
      <c r="AZ39" s="1124"/>
      <c r="BA39" s="1124"/>
      <c r="BB39" s="1083">
        <v>4.527777777777778</v>
      </c>
      <c r="BC39" s="1084">
        <v>267660.0</v>
      </c>
      <c r="BD39" s="1083">
        <v>4.527777777777778</v>
      </c>
      <c r="BE39" s="1084">
        <v>267660.0</v>
      </c>
      <c r="BF39" s="1083">
        <v>4.527777777777778</v>
      </c>
      <c r="BG39" s="1084">
        <v>267660.0</v>
      </c>
      <c r="BH39" s="1083">
        <v>112.0513888888889</v>
      </c>
      <c r="BI39" s="1084">
        <v>1.68E9</v>
      </c>
      <c r="BJ39" s="1124"/>
      <c r="BK39" s="1125"/>
      <c r="BL39" s="1124"/>
      <c r="BM39" s="1125"/>
      <c r="BN39" s="1124"/>
      <c r="BO39" s="1125"/>
      <c r="BP39" s="1124"/>
      <c r="BQ39" s="1125"/>
      <c r="BR39" s="1126"/>
      <c r="BS39" s="1125"/>
      <c r="BT39" s="1085">
        <v>4.717361111111111</v>
      </c>
      <c r="BU39" s="1086">
        <v>2.187E10</v>
      </c>
      <c r="BV39" s="1126"/>
      <c r="BW39" s="1126"/>
      <c r="BX39" s="1126"/>
      <c r="BY39" s="1126"/>
      <c r="BZ39" s="1126"/>
      <c r="CA39" s="1126"/>
      <c r="CB39" s="1126"/>
      <c r="CC39" s="1125"/>
      <c r="CD39" s="1083">
        <v>18.965150462962963</v>
      </c>
      <c r="CE39" s="1087">
        <v>2.63E12</v>
      </c>
      <c r="CF39" s="1133"/>
      <c r="CG39" s="1167"/>
      <c r="CH39" s="1088">
        <v>4.527777777777778</v>
      </c>
      <c r="CI39" s="1089">
        <v>267670.0</v>
      </c>
      <c r="CJ39" s="1088">
        <v>4.527777777777778</v>
      </c>
      <c r="CK39" s="1089">
        <v>267670.0</v>
      </c>
      <c r="CL39" s="1088">
        <v>4.527777777777778</v>
      </c>
      <c r="CM39" s="1089">
        <v>267670.0</v>
      </c>
      <c r="CN39" s="1088">
        <v>4.527777777777778</v>
      </c>
      <c r="CO39" s="1089">
        <v>267670.0</v>
      </c>
      <c r="CP39" s="1088">
        <v>9.223611111111111</v>
      </c>
      <c r="CQ39" s="1089">
        <v>869050.0</v>
      </c>
      <c r="CR39" s="1124"/>
      <c r="CS39" s="1125"/>
      <c r="CT39" s="1126"/>
      <c r="CU39" s="1125"/>
      <c r="CV39" s="1126"/>
      <c r="CW39" s="1125"/>
      <c r="CX39" s="1126"/>
      <c r="CY39" s="1125"/>
      <c r="CZ39" s="1126"/>
      <c r="DA39" s="1126"/>
      <c r="DB39" s="1126"/>
      <c r="DC39" s="1126"/>
      <c r="DD39" s="1126"/>
      <c r="DE39" s="1125"/>
      <c r="DF39" s="1124"/>
      <c r="DG39" s="1125"/>
      <c r="DH39" s="1124"/>
      <c r="DI39" s="1125"/>
      <c r="DJ39" s="1124"/>
      <c r="DK39" s="1125"/>
      <c r="DL39" s="1124"/>
      <c r="DM39" s="1125"/>
      <c r="DN39" s="1124"/>
      <c r="DO39" s="1125"/>
      <c r="DP39" s="1124"/>
      <c r="DQ39" s="1125"/>
      <c r="DR39" s="1124"/>
      <c r="DS39" s="1125"/>
      <c r="DT39" s="1124"/>
      <c r="DU39" s="1125"/>
      <c r="DV39" s="1126"/>
      <c r="DW39" s="1125"/>
      <c r="DX39" s="1124"/>
      <c r="DY39" s="1125"/>
      <c r="DZ39" s="1124"/>
      <c r="EA39" s="1125"/>
      <c r="EB39" s="1124"/>
      <c r="EC39" s="1125"/>
      <c r="ED39" s="1124"/>
      <c r="EE39" s="1125"/>
      <c r="EF39" s="1124"/>
      <c r="EG39" s="1125"/>
      <c r="EH39" s="1124"/>
      <c r="EI39" s="1125"/>
      <c r="EJ39" s="1169"/>
      <c r="EK39" s="1167"/>
      <c r="EL39" s="1169"/>
      <c r="EM39" s="1167"/>
      <c r="EN39" s="1124"/>
      <c r="EO39" s="1125"/>
      <c r="EP39" s="1124"/>
      <c r="EQ39" s="1125"/>
      <c r="ER39" s="1124"/>
      <c r="ES39" s="1125"/>
      <c r="ET39" s="1124"/>
      <c r="EU39" s="1125"/>
      <c r="EV39" s="1124"/>
      <c r="EW39" s="1125"/>
      <c r="EX39" s="1124"/>
      <c r="EY39" s="1125"/>
      <c r="EZ39" s="1124"/>
      <c r="FA39" s="1125"/>
      <c r="FB39" s="1126"/>
      <c r="FC39" s="1125"/>
      <c r="FD39" s="1126"/>
      <c r="FE39" s="1125"/>
      <c r="FF39" s="1126"/>
      <c r="FG39" s="1125"/>
      <c r="FH39" s="1126"/>
      <c r="FI39" s="1126"/>
      <c r="FJ39" s="1126"/>
      <c r="FK39" s="1125"/>
      <c r="FL39" s="1124"/>
      <c r="FM39" s="1125"/>
      <c r="FN39" s="1178"/>
      <c r="FO39" s="1125"/>
      <c r="FP39" s="1178"/>
      <c r="FQ39" s="1125"/>
      <c r="FR39" s="1178"/>
      <c r="FS39" s="1125"/>
      <c r="FT39" s="1139"/>
      <c r="FU39" s="1125"/>
      <c r="FV39" s="1139"/>
      <c r="FW39" s="1125"/>
      <c r="FX39" s="1179"/>
      <c r="FY39" s="1167"/>
      <c r="FZ39" s="1179"/>
      <c r="GA39" s="1167"/>
      <c r="GB39" s="1179"/>
      <c r="GC39" s="1167"/>
      <c r="GD39" s="1133"/>
      <c r="GE39" s="1167"/>
      <c r="GF39" s="1124"/>
      <c r="GG39" s="1125"/>
      <c r="GH39" s="1124"/>
      <c r="GI39" s="1125"/>
      <c r="GJ39" s="1126"/>
      <c r="GK39" s="1125"/>
      <c r="GL39" s="1124"/>
      <c r="GM39" s="1125"/>
      <c r="GN39" s="1126"/>
      <c r="GO39" s="1125"/>
      <c r="GP39" s="1126"/>
      <c r="GQ39" s="1125"/>
      <c r="GR39" s="1124"/>
      <c r="GS39" s="1125"/>
      <c r="GT39" s="1124"/>
      <c r="GU39" s="1125"/>
      <c r="GV39" s="1126"/>
      <c r="GW39" s="1125"/>
      <c r="GX39" s="1168"/>
      <c r="GY39" s="1133"/>
      <c r="GZ39" s="1124"/>
      <c r="HA39" s="1125"/>
      <c r="HB39" s="1107">
        <v>231.86875</v>
      </c>
      <c r="HC39" s="1108">
        <v>1.21E12</v>
      </c>
      <c r="HD39" s="1124"/>
      <c r="HE39" s="1125"/>
      <c r="HF39" s="1124"/>
      <c r="HG39" s="1125"/>
      <c r="HH39" s="1124"/>
      <c r="HI39" s="1125"/>
      <c r="HJ39" s="1124"/>
      <c r="HK39" s="1125"/>
      <c r="HL39" s="1124"/>
      <c r="HM39" s="1125"/>
      <c r="HN39" s="1126"/>
      <c r="HO39" s="1125"/>
      <c r="HP39" s="1124"/>
      <c r="HQ39" s="1125"/>
      <c r="HR39" s="1124"/>
      <c r="HS39" s="1125"/>
      <c r="HT39" s="1124"/>
      <c r="HU39" s="1125"/>
      <c r="HV39" s="1124"/>
      <c r="HW39" s="1125"/>
      <c r="HX39" s="1124"/>
      <c r="HY39" s="1125"/>
      <c r="HZ39" s="1124"/>
      <c r="IA39" s="1125"/>
      <c r="IB39" s="1124"/>
      <c r="IC39" s="1125"/>
      <c r="ID39" s="1124"/>
      <c r="IE39" s="1125"/>
      <c r="IF39" s="1124"/>
      <c r="IG39" s="1125"/>
      <c r="IH39" s="1124"/>
      <c r="II39" s="1125"/>
      <c r="IJ39" s="1124"/>
      <c r="IK39" s="1125"/>
      <c r="IL39" s="1124"/>
      <c r="IM39" s="1125"/>
      <c r="IN39" s="1124"/>
      <c r="IO39" s="1125"/>
      <c r="IP39" s="1124"/>
      <c r="IQ39" s="1125"/>
      <c r="IR39" s="1124"/>
      <c r="IS39" s="1125"/>
      <c r="IT39" s="1124"/>
      <c r="IU39" s="1125"/>
      <c r="IV39" s="1124"/>
      <c r="IW39" s="1125"/>
      <c r="IX39" s="1124"/>
      <c r="IY39" s="1125"/>
      <c r="IZ39" s="1124"/>
      <c r="JA39" s="1125"/>
      <c r="JB39" s="1124"/>
      <c r="JC39" s="1125"/>
      <c r="JD39" s="1124"/>
      <c r="JE39" s="1125"/>
      <c r="JF39" s="1124"/>
      <c r="JG39" s="1125"/>
      <c r="JH39" s="1124"/>
      <c r="JI39" s="1125"/>
      <c r="JJ39" s="1169"/>
      <c r="JK39" s="1167"/>
      <c r="JL39" s="1169"/>
      <c r="JM39" s="1167"/>
      <c r="JN39" s="1169"/>
      <c r="JO39" s="1167"/>
      <c r="JP39" s="1169"/>
      <c r="JQ39" s="1167"/>
      <c r="JR39" s="1169"/>
      <c r="JS39" s="1167"/>
      <c r="JT39" s="1169"/>
      <c r="JU39" s="1167"/>
      <c r="JV39" s="1169"/>
      <c r="JW39" s="1167"/>
      <c r="JX39" s="1169"/>
      <c r="JY39" s="1133"/>
      <c r="JZ39" s="1173">
        <v>3.372650463</v>
      </c>
      <c r="KA39" s="1120">
        <v>3.185E10</v>
      </c>
      <c r="KB39" s="1173">
        <v>7.04150463</v>
      </c>
      <c r="KC39" s="1174">
        <v>1.3997E11</v>
      </c>
      <c r="KD39" s="1169"/>
      <c r="KE39" s="1133"/>
      <c r="KF39" s="1133"/>
      <c r="KG39" s="1133"/>
      <c r="KH39" s="1133"/>
      <c r="KI39" s="1133"/>
      <c r="KJ39" s="1133"/>
      <c r="KK39" s="1133"/>
      <c r="KL39" s="1133"/>
      <c r="KM39" s="1133"/>
      <c r="KN39" s="1133"/>
      <c r="KO39" s="1133"/>
      <c r="KP39" s="1133"/>
      <c r="KQ39" s="1133"/>
      <c r="KR39" s="1133"/>
      <c r="KS39" s="1133"/>
      <c r="KT39" s="1133"/>
      <c r="KU39" s="1133"/>
      <c r="KV39" s="1133"/>
      <c r="KW39" s="1133"/>
      <c r="KX39" s="1133"/>
      <c r="KY39" s="1133"/>
      <c r="KZ39" s="1133"/>
      <c r="LA39" s="1133"/>
      <c r="LB39" s="1133"/>
      <c r="LC39" s="1133"/>
      <c r="LD39" s="1133"/>
      <c r="LE39" s="1133"/>
      <c r="LF39" s="1133"/>
      <c r="LG39" s="1133"/>
      <c r="LH39" s="1133"/>
      <c r="LI39" s="1133"/>
      <c r="LJ39" s="1133"/>
      <c r="LK39" s="1133"/>
      <c r="LL39" s="1133"/>
      <c r="LM39" s="1133"/>
      <c r="LN39" s="1133"/>
      <c r="LO39" s="1133"/>
      <c r="LP39" s="1133"/>
      <c r="LQ39" s="1133"/>
      <c r="LR39" s="1133"/>
      <c r="LS39" s="1133"/>
      <c r="LT39" s="1133"/>
      <c r="LU39" s="1133"/>
      <c r="LV39" s="1133"/>
      <c r="LW39" s="1133"/>
      <c r="LX39" s="1133"/>
      <c r="LY39" s="1133"/>
      <c r="LZ39" s="1133"/>
      <c r="MA39" s="1133"/>
      <c r="MB39" s="1133"/>
      <c r="MC39" s="1133"/>
      <c r="MD39" s="1133"/>
      <c r="ME39" s="1133"/>
      <c r="MF39" s="1133"/>
      <c r="MG39" s="1133"/>
      <c r="MH39" s="1133"/>
      <c r="MI39" s="1133"/>
      <c r="MJ39" s="1133"/>
      <c r="MK39" s="1133"/>
      <c r="ML39" s="1133"/>
      <c r="MM39" s="1133"/>
      <c r="MN39" s="1133"/>
      <c r="MO39" s="1133"/>
      <c r="MP39" s="1133"/>
      <c r="MQ39" s="1133"/>
      <c r="MR39" s="1133"/>
      <c r="MS39" s="1133"/>
      <c r="MT39" s="1133"/>
      <c r="MU39" s="1133"/>
      <c r="MV39" s="1133"/>
      <c r="MW39" s="1133"/>
      <c r="MX39" s="1133"/>
      <c r="MY39" s="1133"/>
    </row>
    <row r="40">
      <c r="A40" s="1071">
        <v>38.0</v>
      </c>
      <c r="B40" s="1124"/>
      <c r="C40" s="1126"/>
      <c r="D40" s="1072">
        <v>4.829861111111111</v>
      </c>
      <c r="E40" s="1073">
        <v>288560.0</v>
      </c>
      <c r="F40" s="1072">
        <v>4.829861111111111</v>
      </c>
      <c r="G40" s="1073">
        <v>288560.0</v>
      </c>
      <c r="H40" s="1072">
        <v>4.829861111111111</v>
      </c>
      <c r="I40" s="1073">
        <v>288560.0</v>
      </c>
      <c r="J40" s="1072">
        <v>4.829861111111111</v>
      </c>
      <c r="K40" s="1073">
        <v>288560.0</v>
      </c>
      <c r="L40" s="1072">
        <v>8.295833333333333</v>
      </c>
      <c r="M40" s="1075">
        <v>841010.0</v>
      </c>
      <c r="N40" s="1076">
        <v>4.767361111111111</v>
      </c>
      <c r="O40" s="1073">
        <v>946010.0</v>
      </c>
      <c r="P40" s="1124"/>
      <c r="Q40" s="1125"/>
      <c r="R40" s="1124"/>
      <c r="S40" s="1125"/>
      <c r="T40" s="1124"/>
      <c r="U40" s="1125"/>
      <c r="V40" s="1124"/>
      <c r="W40" s="1125"/>
      <c r="X40" s="1124"/>
      <c r="Y40" s="1125"/>
      <c r="Z40" s="1124"/>
      <c r="AA40" s="1125"/>
      <c r="AB40" s="1124"/>
      <c r="AC40" s="1125"/>
      <c r="AD40" s="1072">
        <v>41.0375</v>
      </c>
      <c r="AE40" s="1080">
        <v>1.644008412E13</v>
      </c>
      <c r="AF40" s="1072">
        <v>41.0375</v>
      </c>
      <c r="AG40" s="1080">
        <v>1.644008412E13</v>
      </c>
      <c r="AH40" s="1072">
        <v>41.0375</v>
      </c>
      <c r="AI40" s="1080">
        <v>1.644008412E13</v>
      </c>
      <c r="AJ40" s="1081">
        <v>4.829861111111111</v>
      </c>
      <c r="AK40" s="1082">
        <v>288560.0</v>
      </c>
      <c r="AL40" s="1081">
        <v>4.829861111111111</v>
      </c>
      <c r="AM40" s="1082">
        <v>288560.0</v>
      </c>
      <c r="AN40" s="1081">
        <v>4.829861111111111</v>
      </c>
      <c r="AO40" s="1082">
        <v>288560.0</v>
      </c>
      <c r="AP40" s="1081">
        <v>4.829861111111111</v>
      </c>
      <c r="AQ40" s="1082">
        <v>288560.0</v>
      </c>
      <c r="AR40" s="1081">
        <v>4.829861111111111</v>
      </c>
      <c r="AS40" s="1082">
        <v>288570.0</v>
      </c>
      <c r="AT40" s="1081">
        <v>3148.873611111111</v>
      </c>
      <c r="AU40" s="1082">
        <v>2.348E10</v>
      </c>
      <c r="AV40" s="1081">
        <v>1540.9868055555555</v>
      </c>
      <c r="AW40" s="1082">
        <v>2.348E10</v>
      </c>
      <c r="AX40" s="1124"/>
      <c r="AY40" s="1175"/>
      <c r="AZ40" s="1124"/>
      <c r="BA40" s="1124"/>
      <c r="BB40" s="1083">
        <v>4.829861111111111</v>
      </c>
      <c r="BC40" s="1084">
        <v>288560.0</v>
      </c>
      <c r="BD40" s="1083">
        <v>4.829861111111111</v>
      </c>
      <c r="BE40" s="1084">
        <v>288560.0</v>
      </c>
      <c r="BF40" s="1083">
        <v>4.829861111111111</v>
      </c>
      <c r="BG40" s="1084">
        <v>288560.0</v>
      </c>
      <c r="BH40" s="1083">
        <v>122.56736111111111</v>
      </c>
      <c r="BI40" s="1084">
        <v>1.87E9</v>
      </c>
      <c r="BJ40" s="1124"/>
      <c r="BK40" s="1125"/>
      <c r="BL40" s="1124"/>
      <c r="BM40" s="1125"/>
      <c r="BN40" s="1124"/>
      <c r="BO40" s="1125"/>
      <c r="BP40" s="1124"/>
      <c r="BQ40" s="1125"/>
      <c r="BR40" s="1126"/>
      <c r="BS40" s="1125"/>
      <c r="BT40" s="1085">
        <v>5.01875</v>
      </c>
      <c r="BU40" s="1086">
        <v>2.336E10</v>
      </c>
      <c r="BV40" s="1126"/>
      <c r="BW40" s="1126"/>
      <c r="BX40" s="1126"/>
      <c r="BY40" s="1126"/>
      <c r="BZ40" s="1126"/>
      <c r="CA40" s="1126"/>
      <c r="CB40" s="1126"/>
      <c r="CC40" s="1125"/>
      <c r="CD40" s="1083">
        <v>20.05982638888889</v>
      </c>
      <c r="CE40" s="1087">
        <v>2.83E12</v>
      </c>
      <c r="CF40" s="1133"/>
      <c r="CG40" s="1167"/>
      <c r="CH40" s="1088">
        <v>4.829861111111111</v>
      </c>
      <c r="CI40" s="1089">
        <v>288570.0</v>
      </c>
      <c r="CJ40" s="1088">
        <v>4.829861111111111</v>
      </c>
      <c r="CK40" s="1089">
        <v>288570.0</v>
      </c>
      <c r="CL40" s="1088">
        <v>4.829861111111111</v>
      </c>
      <c r="CM40" s="1089">
        <v>288570.0</v>
      </c>
      <c r="CN40" s="1088">
        <v>4.829861111111111</v>
      </c>
      <c r="CO40" s="1089">
        <v>288570.0</v>
      </c>
      <c r="CP40" s="1088">
        <v>9.895138888888889</v>
      </c>
      <c r="CQ40" s="1089">
        <v>946020.0</v>
      </c>
      <c r="CR40" s="1124"/>
      <c r="CS40" s="1125"/>
      <c r="CT40" s="1126"/>
      <c r="CU40" s="1125"/>
      <c r="CV40" s="1126"/>
      <c r="CW40" s="1125"/>
      <c r="CX40" s="1126"/>
      <c r="CY40" s="1125"/>
      <c r="CZ40" s="1126"/>
      <c r="DA40" s="1126"/>
      <c r="DB40" s="1126"/>
      <c r="DC40" s="1126"/>
      <c r="DD40" s="1126"/>
      <c r="DE40" s="1125"/>
      <c r="DF40" s="1124"/>
      <c r="DG40" s="1125"/>
      <c r="DH40" s="1124"/>
      <c r="DI40" s="1125"/>
      <c r="DJ40" s="1124"/>
      <c r="DK40" s="1125"/>
      <c r="DL40" s="1124"/>
      <c r="DM40" s="1125"/>
      <c r="DN40" s="1124"/>
      <c r="DO40" s="1125"/>
      <c r="DP40" s="1124"/>
      <c r="DQ40" s="1125"/>
      <c r="DR40" s="1124"/>
      <c r="DS40" s="1125"/>
      <c r="DT40" s="1124"/>
      <c r="DU40" s="1125"/>
      <c r="DV40" s="1126"/>
      <c r="DW40" s="1125"/>
      <c r="DX40" s="1124"/>
      <c r="DY40" s="1125"/>
      <c r="DZ40" s="1124"/>
      <c r="EA40" s="1125"/>
      <c r="EB40" s="1124"/>
      <c r="EC40" s="1125"/>
      <c r="ED40" s="1124"/>
      <c r="EE40" s="1125"/>
      <c r="EF40" s="1124"/>
      <c r="EG40" s="1125"/>
      <c r="EH40" s="1124"/>
      <c r="EI40" s="1125"/>
      <c r="EJ40" s="1169"/>
      <c r="EK40" s="1167"/>
      <c r="EL40" s="1169"/>
      <c r="EM40" s="1167"/>
      <c r="EN40" s="1124"/>
      <c r="EO40" s="1125"/>
      <c r="EP40" s="1124"/>
      <c r="EQ40" s="1125"/>
      <c r="ER40" s="1124"/>
      <c r="ES40" s="1125"/>
      <c r="ET40" s="1124"/>
      <c r="EU40" s="1125"/>
      <c r="EV40" s="1124"/>
      <c r="EW40" s="1125"/>
      <c r="EX40" s="1124"/>
      <c r="EY40" s="1125"/>
      <c r="EZ40" s="1124"/>
      <c r="FA40" s="1125"/>
      <c r="FB40" s="1126"/>
      <c r="FC40" s="1125"/>
      <c r="FD40" s="1126"/>
      <c r="FE40" s="1125"/>
      <c r="FF40" s="1126"/>
      <c r="FG40" s="1125"/>
      <c r="FH40" s="1126"/>
      <c r="FI40" s="1126"/>
      <c r="FJ40" s="1126"/>
      <c r="FK40" s="1125"/>
      <c r="FL40" s="1124"/>
      <c r="FM40" s="1125"/>
      <c r="FN40" s="1178"/>
      <c r="FO40" s="1125"/>
      <c r="FP40" s="1178"/>
      <c r="FQ40" s="1125"/>
      <c r="FR40" s="1178"/>
      <c r="FS40" s="1125"/>
      <c r="FT40" s="1139"/>
      <c r="FU40" s="1125"/>
      <c r="FV40" s="1139"/>
      <c r="FW40" s="1125"/>
      <c r="FX40" s="1179"/>
      <c r="FY40" s="1167"/>
      <c r="FZ40" s="1179"/>
      <c r="GA40" s="1167"/>
      <c r="GB40" s="1179"/>
      <c r="GC40" s="1167"/>
      <c r="GD40" s="1133"/>
      <c r="GE40" s="1167"/>
      <c r="GF40" s="1124"/>
      <c r="GG40" s="1125"/>
      <c r="GH40" s="1124"/>
      <c r="GI40" s="1125"/>
      <c r="GJ40" s="1126"/>
      <c r="GK40" s="1125"/>
      <c r="GL40" s="1124"/>
      <c r="GM40" s="1125"/>
      <c r="GN40" s="1126"/>
      <c r="GO40" s="1125"/>
      <c r="GP40" s="1126"/>
      <c r="GQ40" s="1125"/>
      <c r="GR40" s="1124"/>
      <c r="GS40" s="1125"/>
      <c r="GT40" s="1124"/>
      <c r="GU40" s="1125"/>
      <c r="GV40" s="1126"/>
      <c r="GW40" s="1125"/>
      <c r="GX40" s="1168"/>
      <c r="GY40" s="1133"/>
      <c r="GZ40" s="1124"/>
      <c r="HA40" s="1125"/>
      <c r="HB40" s="1107">
        <v>254.83402777777778</v>
      </c>
      <c r="HC40" s="1108">
        <v>1.39E12</v>
      </c>
      <c r="HD40" s="1124"/>
      <c r="HE40" s="1125"/>
      <c r="HF40" s="1124"/>
      <c r="HG40" s="1125"/>
      <c r="HH40" s="1124"/>
      <c r="HI40" s="1125"/>
      <c r="HJ40" s="1124"/>
      <c r="HK40" s="1125"/>
      <c r="HL40" s="1124"/>
      <c r="HM40" s="1125"/>
      <c r="HN40" s="1126"/>
      <c r="HO40" s="1125"/>
      <c r="HP40" s="1124"/>
      <c r="HQ40" s="1125"/>
      <c r="HR40" s="1124"/>
      <c r="HS40" s="1125"/>
      <c r="HT40" s="1124"/>
      <c r="HU40" s="1125"/>
      <c r="HV40" s="1124"/>
      <c r="HW40" s="1125"/>
      <c r="HX40" s="1124"/>
      <c r="HY40" s="1125"/>
      <c r="HZ40" s="1124"/>
      <c r="IA40" s="1125"/>
      <c r="IB40" s="1124"/>
      <c r="IC40" s="1125"/>
      <c r="ID40" s="1124"/>
      <c r="IE40" s="1125"/>
      <c r="IF40" s="1124"/>
      <c r="IG40" s="1125"/>
      <c r="IH40" s="1124"/>
      <c r="II40" s="1125"/>
      <c r="IJ40" s="1124"/>
      <c r="IK40" s="1125"/>
      <c r="IL40" s="1124"/>
      <c r="IM40" s="1125"/>
      <c r="IN40" s="1124"/>
      <c r="IO40" s="1125"/>
      <c r="IP40" s="1124"/>
      <c r="IQ40" s="1125"/>
      <c r="IR40" s="1124"/>
      <c r="IS40" s="1125"/>
      <c r="IT40" s="1124"/>
      <c r="IU40" s="1125"/>
      <c r="IV40" s="1124"/>
      <c r="IW40" s="1125"/>
      <c r="IX40" s="1124"/>
      <c r="IY40" s="1125"/>
      <c r="IZ40" s="1124"/>
      <c r="JA40" s="1125"/>
      <c r="JB40" s="1124"/>
      <c r="JC40" s="1125"/>
      <c r="JD40" s="1124"/>
      <c r="JE40" s="1125"/>
      <c r="JF40" s="1124"/>
      <c r="JG40" s="1125"/>
      <c r="JH40" s="1124"/>
      <c r="JI40" s="1125"/>
      <c r="JJ40" s="1169"/>
      <c r="JK40" s="1167"/>
      <c r="JL40" s="1169"/>
      <c r="JM40" s="1167"/>
      <c r="JN40" s="1169"/>
      <c r="JO40" s="1167"/>
      <c r="JP40" s="1169"/>
      <c r="JQ40" s="1167"/>
      <c r="JR40" s="1169"/>
      <c r="JS40" s="1167"/>
      <c r="JT40" s="1169"/>
      <c r="JU40" s="1167"/>
      <c r="JV40" s="1169"/>
      <c r="JW40" s="1167"/>
      <c r="JX40" s="1169"/>
      <c r="JY40" s="1133"/>
      <c r="JZ40" s="1173">
        <v>3.446585648</v>
      </c>
      <c r="KA40" s="1120">
        <v>3.429E10</v>
      </c>
      <c r="KB40" s="1173">
        <v>7.375451389</v>
      </c>
      <c r="KC40" s="1174">
        <v>1.5196E11</v>
      </c>
      <c r="KD40" s="1169"/>
      <c r="KE40" s="1133"/>
      <c r="KF40" s="1133"/>
      <c r="KG40" s="1133"/>
      <c r="KH40" s="1133"/>
      <c r="KI40" s="1133"/>
      <c r="KJ40" s="1133"/>
      <c r="KK40" s="1133"/>
      <c r="KL40" s="1133"/>
      <c r="KM40" s="1133"/>
      <c r="KN40" s="1133"/>
      <c r="KO40" s="1133"/>
      <c r="KP40" s="1133"/>
      <c r="KQ40" s="1133"/>
      <c r="KR40" s="1133"/>
      <c r="KS40" s="1133"/>
      <c r="KT40" s="1133"/>
      <c r="KU40" s="1133"/>
      <c r="KV40" s="1133"/>
      <c r="KW40" s="1133"/>
      <c r="KX40" s="1133"/>
      <c r="KY40" s="1133"/>
      <c r="KZ40" s="1133"/>
      <c r="LA40" s="1133"/>
      <c r="LB40" s="1133"/>
      <c r="LC40" s="1133"/>
      <c r="LD40" s="1133"/>
      <c r="LE40" s="1133"/>
      <c r="LF40" s="1133"/>
      <c r="LG40" s="1133"/>
      <c r="LH40" s="1133"/>
      <c r="LI40" s="1133"/>
      <c r="LJ40" s="1133"/>
      <c r="LK40" s="1133"/>
      <c r="LL40" s="1133"/>
      <c r="LM40" s="1133"/>
      <c r="LN40" s="1133"/>
      <c r="LO40" s="1133"/>
      <c r="LP40" s="1133"/>
      <c r="LQ40" s="1133"/>
      <c r="LR40" s="1133"/>
      <c r="LS40" s="1133"/>
      <c r="LT40" s="1133"/>
      <c r="LU40" s="1133"/>
      <c r="LV40" s="1133"/>
      <c r="LW40" s="1133"/>
      <c r="LX40" s="1133"/>
      <c r="LY40" s="1133"/>
      <c r="LZ40" s="1133"/>
      <c r="MA40" s="1133"/>
      <c r="MB40" s="1133"/>
      <c r="MC40" s="1133"/>
      <c r="MD40" s="1133"/>
      <c r="ME40" s="1133"/>
      <c r="MF40" s="1133"/>
      <c r="MG40" s="1133"/>
      <c r="MH40" s="1133"/>
      <c r="MI40" s="1133"/>
      <c r="MJ40" s="1133"/>
      <c r="MK40" s="1133"/>
      <c r="ML40" s="1133"/>
      <c r="MM40" s="1133"/>
      <c r="MN40" s="1133"/>
      <c r="MO40" s="1133"/>
      <c r="MP40" s="1133"/>
      <c r="MQ40" s="1133"/>
      <c r="MR40" s="1133"/>
      <c r="MS40" s="1133"/>
      <c r="MT40" s="1133"/>
      <c r="MU40" s="1133"/>
      <c r="MV40" s="1133"/>
      <c r="MW40" s="1133"/>
      <c r="MX40" s="1133"/>
      <c r="MY40" s="1133"/>
    </row>
    <row r="41">
      <c r="A41" s="1071">
        <v>39.0</v>
      </c>
      <c r="B41" s="1124"/>
      <c r="C41" s="1126"/>
      <c r="D41" s="1072">
        <v>5.144444444444445</v>
      </c>
      <c r="E41" s="1073">
        <v>310470.0</v>
      </c>
      <c r="F41" s="1072">
        <v>5.144444444444445</v>
      </c>
      <c r="G41" s="1073">
        <v>310470.0</v>
      </c>
      <c r="H41" s="1072">
        <v>5.144444444444445</v>
      </c>
      <c r="I41" s="1073">
        <v>310470.0</v>
      </c>
      <c r="J41" s="1072">
        <v>5.144444444444445</v>
      </c>
      <c r="K41" s="1073">
        <v>310470.0</v>
      </c>
      <c r="L41" s="1072">
        <v>8.870138888888889</v>
      </c>
      <c r="M41" s="1075">
        <v>910340.0</v>
      </c>
      <c r="N41" s="1076">
        <v>5.039583333333334</v>
      </c>
      <c r="O41" s="1073">
        <v>1030000.0</v>
      </c>
      <c r="P41" s="1124"/>
      <c r="Q41" s="1125"/>
      <c r="R41" s="1124"/>
      <c r="S41" s="1125"/>
      <c r="T41" s="1124"/>
      <c r="U41" s="1125"/>
      <c r="V41" s="1124"/>
      <c r="W41" s="1125"/>
      <c r="X41" s="1124"/>
      <c r="Y41" s="1125"/>
      <c r="Z41" s="1124"/>
      <c r="AA41" s="1125"/>
      <c r="AB41" s="1124"/>
      <c r="AC41" s="1125"/>
      <c r="AD41" s="1072">
        <v>42.11805555555556</v>
      </c>
      <c r="AE41" s="1080">
        <v>2.137210935E13</v>
      </c>
      <c r="AF41" s="1072">
        <v>42.11805555555556</v>
      </c>
      <c r="AG41" s="1080">
        <v>2.137210935E13</v>
      </c>
      <c r="AH41" s="1072">
        <v>42.11805555555556</v>
      </c>
      <c r="AI41" s="1080">
        <v>2.137210935E13</v>
      </c>
      <c r="AJ41" s="1081">
        <v>5.144444444444445</v>
      </c>
      <c r="AK41" s="1082">
        <v>310470.0</v>
      </c>
      <c r="AL41" s="1081">
        <v>5.144444444444445</v>
      </c>
      <c r="AM41" s="1082">
        <v>310470.0</v>
      </c>
      <c r="AN41" s="1081">
        <v>5.144444444444445</v>
      </c>
      <c r="AO41" s="1082">
        <v>310470.0</v>
      </c>
      <c r="AP41" s="1081">
        <v>5.144444444444445</v>
      </c>
      <c r="AQ41" s="1082">
        <v>310470.0</v>
      </c>
      <c r="AR41" s="1081">
        <v>5.144444444444445</v>
      </c>
      <c r="AS41" s="1082">
        <v>310480.0</v>
      </c>
      <c r="AT41" s="1081">
        <v>3519.9819444444447</v>
      </c>
      <c r="AU41" s="1082">
        <v>2.661E10</v>
      </c>
      <c r="AV41" s="1081">
        <v>1712.4937499999999</v>
      </c>
      <c r="AW41" s="1082">
        <v>2.661E10</v>
      </c>
      <c r="AX41" s="1124"/>
      <c r="AY41" s="1175"/>
      <c r="AZ41" s="1124"/>
      <c r="BA41" s="1124"/>
      <c r="BB41" s="1083">
        <v>5.144444444444445</v>
      </c>
      <c r="BC41" s="1084">
        <v>310470.0</v>
      </c>
      <c r="BD41" s="1083">
        <v>5.144444444444445</v>
      </c>
      <c r="BE41" s="1084">
        <v>310470.0</v>
      </c>
      <c r="BF41" s="1083">
        <v>5.144444444444445</v>
      </c>
      <c r="BG41" s="1084">
        <v>310470.0</v>
      </c>
      <c r="BH41" s="1083">
        <v>133.75555555555556</v>
      </c>
      <c r="BI41" s="1084">
        <v>2.09E9</v>
      </c>
      <c r="BJ41" s="1124"/>
      <c r="BK41" s="1125"/>
      <c r="BL41" s="1124"/>
      <c r="BM41" s="1125"/>
      <c r="BN41" s="1124"/>
      <c r="BO41" s="1125"/>
      <c r="BP41" s="1124"/>
      <c r="BQ41" s="1125"/>
      <c r="BR41" s="1126"/>
      <c r="BS41" s="1125"/>
      <c r="BT41" s="1085">
        <v>5.331944444444445</v>
      </c>
      <c r="BU41" s="1086">
        <v>2.494E10</v>
      </c>
      <c r="BV41" s="1126"/>
      <c r="BW41" s="1126"/>
      <c r="BX41" s="1126"/>
      <c r="BY41" s="1126"/>
      <c r="BZ41" s="1126"/>
      <c r="CA41" s="1126"/>
      <c r="CB41" s="1126"/>
      <c r="CC41" s="1125"/>
      <c r="CD41" s="1083">
        <v>21.201087962962962</v>
      </c>
      <c r="CE41" s="1087">
        <v>3.04E12</v>
      </c>
      <c r="CF41" s="1133"/>
      <c r="CG41" s="1167"/>
      <c r="CH41" s="1088">
        <v>5.144444444444445</v>
      </c>
      <c r="CI41" s="1089">
        <v>310480.0</v>
      </c>
      <c r="CJ41" s="1088">
        <v>5.144444444444445</v>
      </c>
      <c r="CK41" s="1089">
        <v>310480.0</v>
      </c>
      <c r="CL41" s="1088">
        <v>5.144444444444445</v>
      </c>
      <c r="CM41" s="1089">
        <v>310480.0</v>
      </c>
      <c r="CN41" s="1088">
        <v>5.144444444444445</v>
      </c>
      <c r="CO41" s="1089">
        <v>310480.0</v>
      </c>
      <c r="CP41" s="1088">
        <v>10.595833333333333</v>
      </c>
      <c r="CQ41" s="1089">
        <v>1030000.0</v>
      </c>
      <c r="CR41" s="1124"/>
      <c r="CS41" s="1125"/>
      <c r="CT41" s="1126"/>
      <c r="CU41" s="1125"/>
      <c r="CV41" s="1126"/>
      <c r="CW41" s="1125"/>
      <c r="CX41" s="1126"/>
      <c r="CY41" s="1125"/>
      <c r="CZ41" s="1126"/>
      <c r="DA41" s="1126"/>
      <c r="DB41" s="1126"/>
      <c r="DC41" s="1126"/>
      <c r="DD41" s="1126"/>
      <c r="DE41" s="1125"/>
      <c r="DF41" s="1124"/>
      <c r="DG41" s="1125"/>
      <c r="DH41" s="1124"/>
      <c r="DI41" s="1125"/>
      <c r="DJ41" s="1124"/>
      <c r="DK41" s="1125"/>
      <c r="DL41" s="1124"/>
      <c r="DM41" s="1125"/>
      <c r="DN41" s="1124"/>
      <c r="DO41" s="1125"/>
      <c r="DP41" s="1124"/>
      <c r="DQ41" s="1125"/>
      <c r="DR41" s="1124"/>
      <c r="DS41" s="1125"/>
      <c r="DT41" s="1124"/>
      <c r="DU41" s="1125"/>
      <c r="DV41" s="1126"/>
      <c r="DW41" s="1125"/>
      <c r="DX41" s="1124"/>
      <c r="DY41" s="1125"/>
      <c r="DZ41" s="1124"/>
      <c r="EA41" s="1125"/>
      <c r="EB41" s="1124"/>
      <c r="EC41" s="1125"/>
      <c r="ED41" s="1124"/>
      <c r="EE41" s="1125"/>
      <c r="EF41" s="1124"/>
      <c r="EG41" s="1125"/>
      <c r="EH41" s="1124"/>
      <c r="EI41" s="1125"/>
      <c r="EJ41" s="1169"/>
      <c r="EK41" s="1167"/>
      <c r="EL41" s="1169"/>
      <c r="EM41" s="1167"/>
      <c r="EN41" s="1124"/>
      <c r="EO41" s="1125"/>
      <c r="EP41" s="1124"/>
      <c r="EQ41" s="1125"/>
      <c r="ER41" s="1124"/>
      <c r="ES41" s="1125"/>
      <c r="ET41" s="1124"/>
      <c r="EU41" s="1125"/>
      <c r="EV41" s="1124"/>
      <c r="EW41" s="1125"/>
      <c r="EX41" s="1124"/>
      <c r="EY41" s="1125"/>
      <c r="EZ41" s="1124"/>
      <c r="FA41" s="1125"/>
      <c r="FB41" s="1126"/>
      <c r="FC41" s="1125"/>
      <c r="FD41" s="1126"/>
      <c r="FE41" s="1125"/>
      <c r="FF41" s="1126"/>
      <c r="FG41" s="1125"/>
      <c r="FH41" s="1126"/>
      <c r="FI41" s="1126"/>
      <c r="FJ41" s="1126"/>
      <c r="FK41" s="1125"/>
      <c r="FL41" s="1124"/>
      <c r="FM41" s="1125"/>
      <c r="FN41" s="1178"/>
      <c r="FO41" s="1125"/>
      <c r="FP41" s="1178"/>
      <c r="FQ41" s="1125"/>
      <c r="FR41" s="1178"/>
      <c r="FS41" s="1125"/>
      <c r="FT41" s="1139"/>
      <c r="FU41" s="1125"/>
      <c r="FV41" s="1139"/>
      <c r="FW41" s="1125"/>
      <c r="FX41" s="1179"/>
      <c r="FY41" s="1167"/>
      <c r="FZ41" s="1179"/>
      <c r="GA41" s="1167"/>
      <c r="GB41" s="1179"/>
      <c r="GC41" s="1167"/>
      <c r="GD41" s="1133"/>
      <c r="GE41" s="1167"/>
      <c r="GF41" s="1124"/>
      <c r="GG41" s="1125"/>
      <c r="GH41" s="1124"/>
      <c r="GI41" s="1125"/>
      <c r="GJ41" s="1126"/>
      <c r="GK41" s="1125"/>
      <c r="GL41" s="1124"/>
      <c r="GM41" s="1125"/>
      <c r="GN41" s="1126"/>
      <c r="GO41" s="1125"/>
      <c r="GP41" s="1126"/>
      <c r="GQ41" s="1125"/>
      <c r="GR41" s="1124"/>
      <c r="GS41" s="1125"/>
      <c r="GT41" s="1124"/>
      <c r="GU41" s="1125"/>
      <c r="GV41" s="1126"/>
      <c r="GW41" s="1125"/>
      <c r="GX41" s="1168"/>
      <c r="GY41" s="1133"/>
      <c r="GZ41" s="1124"/>
      <c r="HA41" s="1125"/>
      <c r="HB41" s="1107">
        <v>279.3951388888889</v>
      </c>
      <c r="HC41" s="1108">
        <v>1.58E12</v>
      </c>
      <c r="HD41" s="1124"/>
      <c r="HE41" s="1125"/>
      <c r="HF41" s="1124"/>
      <c r="HG41" s="1125"/>
      <c r="HH41" s="1124"/>
      <c r="HI41" s="1125"/>
      <c r="HJ41" s="1124"/>
      <c r="HK41" s="1125"/>
      <c r="HL41" s="1124"/>
      <c r="HM41" s="1125"/>
      <c r="HN41" s="1126"/>
      <c r="HO41" s="1125"/>
      <c r="HP41" s="1124"/>
      <c r="HQ41" s="1125"/>
      <c r="HR41" s="1124"/>
      <c r="HS41" s="1125"/>
      <c r="HT41" s="1124"/>
      <c r="HU41" s="1125"/>
      <c r="HV41" s="1124"/>
      <c r="HW41" s="1125"/>
      <c r="HX41" s="1124"/>
      <c r="HY41" s="1125"/>
      <c r="HZ41" s="1124"/>
      <c r="IA41" s="1125"/>
      <c r="IB41" s="1124"/>
      <c r="IC41" s="1125"/>
      <c r="ID41" s="1124"/>
      <c r="IE41" s="1125"/>
      <c r="IF41" s="1124"/>
      <c r="IG41" s="1125"/>
      <c r="IH41" s="1124"/>
      <c r="II41" s="1125"/>
      <c r="IJ41" s="1124"/>
      <c r="IK41" s="1125"/>
      <c r="IL41" s="1124"/>
      <c r="IM41" s="1125"/>
      <c r="IN41" s="1124"/>
      <c r="IO41" s="1125"/>
      <c r="IP41" s="1124"/>
      <c r="IQ41" s="1125"/>
      <c r="IR41" s="1124"/>
      <c r="IS41" s="1125"/>
      <c r="IT41" s="1124"/>
      <c r="IU41" s="1125"/>
      <c r="IV41" s="1124"/>
      <c r="IW41" s="1125"/>
      <c r="IX41" s="1124"/>
      <c r="IY41" s="1125"/>
      <c r="IZ41" s="1124"/>
      <c r="JA41" s="1125"/>
      <c r="JB41" s="1124"/>
      <c r="JC41" s="1125"/>
      <c r="JD41" s="1124"/>
      <c r="JE41" s="1125"/>
      <c r="JF41" s="1124"/>
      <c r="JG41" s="1125"/>
      <c r="JH41" s="1124"/>
      <c r="JI41" s="1125"/>
      <c r="JJ41" s="1169"/>
      <c r="JK41" s="1167"/>
      <c r="JL41" s="1169"/>
      <c r="JM41" s="1167"/>
      <c r="JN41" s="1169"/>
      <c r="JO41" s="1167"/>
      <c r="JP41" s="1169"/>
      <c r="JQ41" s="1167"/>
      <c r="JR41" s="1169"/>
      <c r="JS41" s="1167"/>
      <c r="JT41" s="1169"/>
      <c r="JU41" s="1167"/>
      <c r="JV41" s="1169"/>
      <c r="JW41" s="1167"/>
      <c r="JX41" s="1169"/>
      <c r="JY41" s="1133"/>
      <c r="JZ41" s="1173">
        <v>3.521481481</v>
      </c>
      <c r="KA41" s="1120">
        <v>3.685E10</v>
      </c>
      <c r="KB41" s="1173">
        <v>7.720949074</v>
      </c>
      <c r="KC41" s="1174">
        <v>1.6462E11</v>
      </c>
      <c r="KD41" s="1169"/>
      <c r="KE41" s="1133"/>
      <c r="KF41" s="1133"/>
      <c r="KG41" s="1133"/>
      <c r="KH41" s="1133"/>
      <c r="KI41" s="1133"/>
      <c r="KJ41" s="1133"/>
      <c r="KK41" s="1133"/>
      <c r="KL41" s="1133"/>
      <c r="KM41" s="1133"/>
      <c r="KN41" s="1133"/>
      <c r="KO41" s="1133"/>
      <c r="KP41" s="1133"/>
      <c r="KQ41" s="1133"/>
      <c r="KR41" s="1133"/>
      <c r="KS41" s="1133"/>
      <c r="KT41" s="1133"/>
      <c r="KU41" s="1133"/>
      <c r="KV41" s="1133"/>
      <c r="KW41" s="1133"/>
      <c r="KX41" s="1133"/>
      <c r="KY41" s="1133"/>
      <c r="KZ41" s="1133"/>
      <c r="LA41" s="1133"/>
      <c r="LB41" s="1133"/>
      <c r="LC41" s="1133"/>
      <c r="LD41" s="1133"/>
      <c r="LE41" s="1133"/>
      <c r="LF41" s="1133"/>
      <c r="LG41" s="1133"/>
      <c r="LH41" s="1133"/>
      <c r="LI41" s="1133"/>
      <c r="LJ41" s="1133"/>
      <c r="LK41" s="1133"/>
      <c r="LL41" s="1133"/>
      <c r="LM41" s="1133"/>
      <c r="LN41" s="1133"/>
      <c r="LO41" s="1133"/>
      <c r="LP41" s="1133"/>
      <c r="LQ41" s="1133"/>
      <c r="LR41" s="1133"/>
      <c r="LS41" s="1133"/>
      <c r="LT41" s="1133"/>
      <c r="LU41" s="1133"/>
      <c r="LV41" s="1133"/>
      <c r="LW41" s="1133"/>
      <c r="LX41" s="1133"/>
      <c r="LY41" s="1133"/>
      <c r="LZ41" s="1133"/>
      <c r="MA41" s="1133"/>
      <c r="MB41" s="1133"/>
      <c r="MC41" s="1133"/>
      <c r="MD41" s="1133"/>
      <c r="ME41" s="1133"/>
      <c r="MF41" s="1133"/>
      <c r="MG41" s="1133"/>
      <c r="MH41" s="1133"/>
      <c r="MI41" s="1133"/>
      <c r="MJ41" s="1133"/>
      <c r="MK41" s="1133"/>
      <c r="ML41" s="1133"/>
      <c r="MM41" s="1133"/>
      <c r="MN41" s="1133"/>
      <c r="MO41" s="1133"/>
      <c r="MP41" s="1133"/>
      <c r="MQ41" s="1133"/>
      <c r="MR41" s="1133"/>
      <c r="MS41" s="1133"/>
      <c r="MT41" s="1133"/>
      <c r="MU41" s="1133"/>
      <c r="MV41" s="1133"/>
      <c r="MW41" s="1133"/>
      <c r="MX41" s="1133"/>
      <c r="MY41" s="1133"/>
    </row>
    <row r="42">
      <c r="A42" s="1071">
        <v>40.0</v>
      </c>
      <c r="B42" s="1140"/>
      <c r="C42" s="1148"/>
      <c r="D42" s="1077">
        <v>5.470138888888889</v>
      </c>
      <c r="E42" s="1078">
        <v>333400.0</v>
      </c>
      <c r="F42" s="1077">
        <v>5.470138888888889</v>
      </c>
      <c r="G42" s="1078">
        <v>333400.0</v>
      </c>
      <c r="H42" s="1077">
        <v>5.470138888888889</v>
      </c>
      <c r="I42" s="1078">
        <v>333400.0</v>
      </c>
      <c r="J42" s="1077">
        <v>5.470138888888889</v>
      </c>
      <c r="K42" s="1078">
        <v>333400.0</v>
      </c>
      <c r="L42" s="1077">
        <v>9.468055555555555</v>
      </c>
      <c r="M42" s="1143">
        <v>983280.0</v>
      </c>
      <c r="N42" s="1144">
        <v>5.319444444444445</v>
      </c>
      <c r="O42" s="1078">
        <v>1110000.0</v>
      </c>
      <c r="P42" s="1140"/>
      <c r="Q42" s="1141"/>
      <c r="R42" s="1140"/>
      <c r="S42" s="1141"/>
      <c r="T42" s="1140"/>
      <c r="U42" s="1141"/>
      <c r="V42" s="1140"/>
      <c r="W42" s="1141"/>
      <c r="X42" s="1140"/>
      <c r="Y42" s="1141"/>
      <c r="Z42" s="1140"/>
      <c r="AA42" s="1141"/>
      <c r="AB42" s="1140"/>
      <c r="AC42" s="1141"/>
      <c r="AD42" s="1077">
        <v>43.197916666666664</v>
      </c>
      <c r="AE42" s="1145">
        <v>2.778374216E13</v>
      </c>
      <c r="AF42" s="1077">
        <v>43.197916666666664</v>
      </c>
      <c r="AG42" s="1145">
        <v>2.778374216E13</v>
      </c>
      <c r="AH42" s="1077">
        <v>43.197916666666664</v>
      </c>
      <c r="AI42" s="1145">
        <v>2.778374216E13</v>
      </c>
      <c r="AJ42" s="1146">
        <v>5.470138888888889</v>
      </c>
      <c r="AK42" s="1147">
        <v>333400.0</v>
      </c>
      <c r="AL42" s="1146">
        <v>5.470138888888889</v>
      </c>
      <c r="AM42" s="1147">
        <v>333400.0</v>
      </c>
      <c r="AN42" s="1146">
        <v>5.470138888888889</v>
      </c>
      <c r="AO42" s="1147">
        <v>333400.0</v>
      </c>
      <c r="AP42" s="1146">
        <v>5.470138888888889</v>
      </c>
      <c r="AQ42" s="1147">
        <v>333400.0</v>
      </c>
      <c r="AR42" s="1146">
        <v>5.470138888888889</v>
      </c>
      <c r="AS42" s="1147">
        <v>333410.0</v>
      </c>
      <c r="AT42" s="1081">
        <v>3923.6430555555557</v>
      </c>
      <c r="AU42" s="1082">
        <v>3.007E10</v>
      </c>
      <c r="AV42" s="1146">
        <v>1898.0423611111112</v>
      </c>
      <c r="AW42" s="1147">
        <v>3.007E10</v>
      </c>
      <c r="AX42" s="1140"/>
      <c r="AY42" s="1176"/>
      <c r="AZ42" s="1140"/>
      <c r="BA42" s="1140"/>
      <c r="BB42" s="1085">
        <v>5.470138888888889</v>
      </c>
      <c r="BC42" s="1086">
        <v>333400.0</v>
      </c>
      <c r="BD42" s="1085">
        <v>5.470138888888889</v>
      </c>
      <c r="BE42" s="1086">
        <v>333400.0</v>
      </c>
      <c r="BF42" s="1085">
        <v>5.470138888888889</v>
      </c>
      <c r="BG42" s="1086">
        <v>333400.0</v>
      </c>
      <c r="BH42" s="1085">
        <v>145.01458333333332</v>
      </c>
      <c r="BI42" s="1086">
        <v>2.31E9</v>
      </c>
      <c r="BJ42" s="1140"/>
      <c r="BK42" s="1141"/>
      <c r="BL42" s="1140"/>
      <c r="BM42" s="1141"/>
      <c r="BN42" s="1140"/>
      <c r="BO42" s="1141"/>
      <c r="BP42" s="1140"/>
      <c r="BQ42" s="1141"/>
      <c r="BR42" s="1148"/>
      <c r="BS42" s="1141"/>
      <c r="BT42" s="1085">
        <v>5.65625</v>
      </c>
      <c r="BU42" s="1086">
        <v>2.66E10</v>
      </c>
      <c r="BV42" s="1148"/>
      <c r="BW42" s="1148"/>
      <c r="BX42" s="1148"/>
      <c r="BY42" s="1148"/>
      <c r="BZ42" s="1148"/>
      <c r="CA42" s="1148"/>
      <c r="CB42" s="1148"/>
      <c r="CC42" s="1141"/>
      <c r="CD42" s="1083">
        <v>22.389791666666667</v>
      </c>
      <c r="CE42" s="1087">
        <v>3.27E12</v>
      </c>
      <c r="CF42" s="1157"/>
      <c r="CG42" s="1171"/>
      <c r="CH42" s="1090">
        <v>5.470138888888889</v>
      </c>
      <c r="CI42" s="1091">
        <v>333410.0</v>
      </c>
      <c r="CJ42" s="1090">
        <v>5.470138888888889</v>
      </c>
      <c r="CK42" s="1091">
        <v>333410.0</v>
      </c>
      <c r="CL42" s="1090">
        <v>5.470138888888889</v>
      </c>
      <c r="CM42" s="1091">
        <v>333410.0</v>
      </c>
      <c r="CN42" s="1090">
        <v>5.470138888888889</v>
      </c>
      <c r="CO42" s="1091">
        <v>333410.0</v>
      </c>
      <c r="CP42" s="1090">
        <v>11.326388888888888</v>
      </c>
      <c r="CQ42" s="1091">
        <v>1110000.0</v>
      </c>
      <c r="CR42" s="1140"/>
      <c r="CS42" s="1141"/>
      <c r="CT42" s="1148"/>
      <c r="CU42" s="1141"/>
      <c r="CV42" s="1148"/>
      <c r="CW42" s="1141"/>
      <c r="CX42" s="1148"/>
      <c r="CY42" s="1141"/>
      <c r="CZ42" s="1148"/>
      <c r="DA42" s="1148"/>
      <c r="DB42" s="1148"/>
      <c r="DC42" s="1148"/>
      <c r="DD42" s="1148"/>
      <c r="DE42" s="1141"/>
      <c r="DF42" s="1140"/>
      <c r="DG42" s="1141"/>
      <c r="DH42" s="1140"/>
      <c r="DI42" s="1141"/>
      <c r="DJ42" s="1140"/>
      <c r="DK42" s="1141"/>
      <c r="DL42" s="1140"/>
      <c r="DM42" s="1141"/>
      <c r="DN42" s="1140"/>
      <c r="DO42" s="1141"/>
      <c r="DP42" s="1140"/>
      <c r="DQ42" s="1141"/>
      <c r="DR42" s="1140"/>
      <c r="DS42" s="1141"/>
      <c r="DT42" s="1140"/>
      <c r="DU42" s="1141"/>
      <c r="DV42" s="1148"/>
      <c r="DW42" s="1141"/>
      <c r="DX42" s="1140"/>
      <c r="DY42" s="1141"/>
      <c r="DZ42" s="1140"/>
      <c r="EA42" s="1141"/>
      <c r="EB42" s="1140"/>
      <c r="EC42" s="1141"/>
      <c r="ED42" s="1140"/>
      <c r="EE42" s="1141"/>
      <c r="EF42" s="1140"/>
      <c r="EG42" s="1141"/>
      <c r="EH42" s="1140"/>
      <c r="EI42" s="1141"/>
      <c r="EJ42" s="1172"/>
      <c r="EK42" s="1171"/>
      <c r="EL42" s="1172"/>
      <c r="EM42" s="1171"/>
      <c r="EN42" s="1140"/>
      <c r="EO42" s="1141"/>
      <c r="EP42" s="1140"/>
      <c r="EQ42" s="1141"/>
      <c r="ER42" s="1140"/>
      <c r="ES42" s="1141"/>
      <c r="ET42" s="1140"/>
      <c r="EU42" s="1141"/>
      <c r="EV42" s="1140"/>
      <c r="EW42" s="1141"/>
      <c r="EX42" s="1140"/>
      <c r="EY42" s="1141"/>
      <c r="EZ42" s="1140"/>
      <c r="FA42" s="1141"/>
      <c r="FB42" s="1148"/>
      <c r="FC42" s="1141"/>
      <c r="FD42" s="1148"/>
      <c r="FE42" s="1141"/>
      <c r="FF42" s="1148"/>
      <c r="FG42" s="1141"/>
      <c r="FH42" s="1148"/>
      <c r="FI42" s="1148"/>
      <c r="FJ42" s="1148"/>
      <c r="FK42" s="1141"/>
      <c r="FL42" s="1140"/>
      <c r="FM42" s="1141"/>
      <c r="FN42" s="1180"/>
      <c r="FO42" s="1141"/>
      <c r="FP42" s="1180"/>
      <c r="FQ42" s="1141"/>
      <c r="FR42" s="1180"/>
      <c r="FS42" s="1141"/>
      <c r="FT42" s="1152"/>
      <c r="FU42" s="1141"/>
      <c r="FV42" s="1152"/>
      <c r="FW42" s="1141"/>
      <c r="FX42" s="1181"/>
      <c r="FY42" s="1171"/>
      <c r="FZ42" s="1181"/>
      <c r="GA42" s="1171"/>
      <c r="GB42" s="1181"/>
      <c r="GC42" s="1171"/>
      <c r="GD42" s="1157"/>
      <c r="GE42" s="1171"/>
      <c r="GF42" s="1140"/>
      <c r="GG42" s="1141"/>
      <c r="GH42" s="1140"/>
      <c r="GI42" s="1141"/>
      <c r="GJ42" s="1148"/>
      <c r="GK42" s="1141"/>
      <c r="GL42" s="1140"/>
      <c r="GM42" s="1141"/>
      <c r="GN42" s="1148"/>
      <c r="GO42" s="1141"/>
      <c r="GP42" s="1148"/>
      <c r="GQ42" s="1141"/>
      <c r="GR42" s="1140"/>
      <c r="GS42" s="1141"/>
      <c r="GT42" s="1140"/>
      <c r="GU42" s="1141"/>
      <c r="GV42" s="1148"/>
      <c r="GW42" s="1141"/>
      <c r="GX42" s="1156"/>
      <c r="GY42" s="1157"/>
      <c r="GZ42" s="1140"/>
      <c r="HA42" s="1141"/>
      <c r="HB42" s="1158">
        <v>305.6166666666667</v>
      </c>
      <c r="HC42" s="1159">
        <v>1.8E12</v>
      </c>
      <c r="HD42" s="1140"/>
      <c r="HE42" s="1141"/>
      <c r="HF42" s="1140"/>
      <c r="HG42" s="1141"/>
      <c r="HH42" s="1140"/>
      <c r="HI42" s="1141"/>
      <c r="HJ42" s="1140"/>
      <c r="HK42" s="1141"/>
      <c r="HL42" s="1140"/>
      <c r="HM42" s="1141"/>
      <c r="HN42" s="1148"/>
      <c r="HO42" s="1141"/>
      <c r="HP42" s="1140"/>
      <c r="HQ42" s="1141"/>
      <c r="HR42" s="1140"/>
      <c r="HS42" s="1141"/>
      <c r="HT42" s="1140"/>
      <c r="HU42" s="1141"/>
      <c r="HV42" s="1140"/>
      <c r="HW42" s="1141"/>
      <c r="HX42" s="1140"/>
      <c r="HY42" s="1141"/>
      <c r="HZ42" s="1140"/>
      <c r="IA42" s="1141"/>
      <c r="IB42" s="1140"/>
      <c r="IC42" s="1141"/>
      <c r="ID42" s="1140"/>
      <c r="IE42" s="1141"/>
      <c r="IF42" s="1140"/>
      <c r="IG42" s="1141"/>
      <c r="IH42" s="1140"/>
      <c r="II42" s="1141"/>
      <c r="IJ42" s="1140"/>
      <c r="IK42" s="1141"/>
      <c r="IL42" s="1140"/>
      <c r="IM42" s="1141"/>
      <c r="IN42" s="1140"/>
      <c r="IO42" s="1141"/>
      <c r="IP42" s="1140"/>
      <c r="IQ42" s="1141"/>
      <c r="IR42" s="1140"/>
      <c r="IS42" s="1141"/>
      <c r="IT42" s="1140"/>
      <c r="IU42" s="1141"/>
      <c r="IV42" s="1140"/>
      <c r="IW42" s="1141"/>
      <c r="IX42" s="1140"/>
      <c r="IY42" s="1141"/>
      <c r="IZ42" s="1140"/>
      <c r="JA42" s="1141"/>
      <c r="JB42" s="1140"/>
      <c r="JC42" s="1141"/>
      <c r="JD42" s="1140"/>
      <c r="JE42" s="1141"/>
      <c r="JF42" s="1140"/>
      <c r="JG42" s="1141"/>
      <c r="JH42" s="1140"/>
      <c r="JI42" s="1141"/>
      <c r="JJ42" s="1172"/>
      <c r="JK42" s="1171"/>
      <c r="JL42" s="1172"/>
      <c r="JM42" s="1171"/>
      <c r="JN42" s="1172"/>
      <c r="JO42" s="1171"/>
      <c r="JP42" s="1172"/>
      <c r="JQ42" s="1171"/>
      <c r="JR42" s="1172"/>
      <c r="JS42" s="1171"/>
      <c r="JT42" s="1172"/>
      <c r="JU42" s="1171"/>
      <c r="JV42" s="1172"/>
      <c r="JW42" s="1171"/>
      <c r="JX42" s="1169"/>
      <c r="JY42" s="1133"/>
      <c r="JZ42" s="1173">
        <v>3.597337963</v>
      </c>
      <c r="KA42" s="1120">
        <v>3.953E10</v>
      </c>
      <c r="KB42" s="1173">
        <v>8.078113426</v>
      </c>
      <c r="KC42" s="1174">
        <v>1.7796E11</v>
      </c>
      <c r="KD42" s="1169"/>
      <c r="KE42" s="1133"/>
      <c r="KF42" s="1133"/>
      <c r="KG42" s="1133"/>
      <c r="KH42" s="1133"/>
      <c r="KI42" s="1133"/>
      <c r="KJ42" s="1133"/>
      <c r="KK42" s="1133"/>
      <c r="KL42" s="1133"/>
      <c r="KM42" s="1133"/>
      <c r="KN42" s="1133"/>
      <c r="KO42" s="1133"/>
      <c r="KP42" s="1133"/>
      <c r="KQ42" s="1133"/>
      <c r="KR42" s="1133"/>
      <c r="KS42" s="1133"/>
      <c r="KT42" s="1133"/>
      <c r="KU42" s="1133"/>
      <c r="KV42" s="1133"/>
      <c r="KW42" s="1133"/>
      <c r="KX42" s="1133"/>
      <c r="KY42" s="1133"/>
      <c r="KZ42" s="1133"/>
      <c r="LA42" s="1133"/>
      <c r="LB42" s="1133"/>
      <c r="LC42" s="1133"/>
      <c r="LD42" s="1133"/>
      <c r="LE42" s="1133"/>
      <c r="LF42" s="1133"/>
      <c r="LG42" s="1133"/>
      <c r="LH42" s="1133"/>
      <c r="LI42" s="1133"/>
      <c r="LJ42" s="1133"/>
      <c r="LK42" s="1133"/>
      <c r="LL42" s="1157"/>
      <c r="LM42" s="1157"/>
      <c r="LN42" s="1133"/>
      <c r="LO42" s="1133"/>
      <c r="LP42" s="1133"/>
      <c r="LQ42" s="1133"/>
      <c r="LR42" s="1133"/>
      <c r="LS42" s="1133"/>
      <c r="LT42" s="1133"/>
      <c r="LU42" s="1133"/>
      <c r="LV42" s="1133"/>
      <c r="LW42" s="1133"/>
      <c r="LX42" s="1133"/>
      <c r="LY42" s="1133"/>
      <c r="LZ42" s="1133"/>
      <c r="MA42" s="1133"/>
      <c r="MB42" s="1133"/>
      <c r="MC42" s="1133"/>
      <c r="MD42" s="1133"/>
      <c r="ME42" s="1133"/>
      <c r="MF42" s="1133"/>
      <c r="MG42" s="1133"/>
      <c r="MH42" s="1133"/>
      <c r="MI42" s="1133"/>
      <c r="MJ42" s="1133"/>
      <c r="MK42" s="1133"/>
      <c r="ML42" s="1133"/>
      <c r="MM42" s="1133"/>
      <c r="MN42" s="1133"/>
      <c r="MO42" s="1133"/>
      <c r="MP42" s="1133"/>
      <c r="MQ42" s="1133"/>
      <c r="MR42" s="1133"/>
      <c r="MS42" s="1133"/>
      <c r="MT42" s="1133"/>
      <c r="MU42" s="1133"/>
      <c r="MV42" s="1133"/>
      <c r="MW42" s="1133"/>
      <c r="MX42" s="1133"/>
      <c r="MY42" s="1133"/>
    </row>
    <row r="43">
      <c r="A43" s="1071">
        <v>41.0</v>
      </c>
      <c r="B43" s="1124"/>
      <c r="C43" s="1126"/>
      <c r="D43" s="1072">
        <v>5.808333333333334</v>
      </c>
      <c r="E43" s="1073">
        <v>357390.0</v>
      </c>
      <c r="F43" s="1072">
        <v>5.808333333333334</v>
      </c>
      <c r="G43" s="1073">
        <v>357390.0</v>
      </c>
      <c r="H43" s="1072">
        <v>5.808333333333334</v>
      </c>
      <c r="I43" s="1073">
        <v>357390.0</v>
      </c>
      <c r="J43" s="1072">
        <v>5.808333333333334</v>
      </c>
      <c r="K43" s="1073">
        <v>357390.0</v>
      </c>
      <c r="L43" s="1072">
        <v>10.090277777777779</v>
      </c>
      <c r="M43" s="1075">
        <v>1060000.0</v>
      </c>
      <c r="N43" s="1076">
        <v>5.605555555555555</v>
      </c>
      <c r="O43" s="1073">
        <v>1200000.0</v>
      </c>
      <c r="P43" s="1124"/>
      <c r="Q43" s="1125"/>
      <c r="R43" s="1124"/>
      <c r="S43" s="1125"/>
      <c r="T43" s="1124"/>
      <c r="U43" s="1125"/>
      <c r="V43" s="1124"/>
      <c r="W43" s="1125"/>
      <c r="X43" s="1124"/>
      <c r="Y43" s="1125"/>
      <c r="Z43" s="1124"/>
      <c r="AA43" s="1125"/>
      <c r="AB43" s="1124"/>
      <c r="AC43" s="1125"/>
      <c r="AD43" s="1072">
        <v>44.27777777777778</v>
      </c>
      <c r="AE43" s="1080">
        <v>3.611886481E13</v>
      </c>
      <c r="AF43" s="1072">
        <v>44.27777777777778</v>
      </c>
      <c r="AG43" s="1080">
        <v>3.611886481E13</v>
      </c>
      <c r="AH43" s="1072">
        <v>44.27777777777778</v>
      </c>
      <c r="AI43" s="1080">
        <v>3.611886481E13</v>
      </c>
      <c r="AJ43" s="1081">
        <v>5.808333333333334</v>
      </c>
      <c r="AK43" s="1082">
        <v>357390.0</v>
      </c>
      <c r="AL43" s="1081">
        <v>5.808333333333334</v>
      </c>
      <c r="AM43" s="1082">
        <v>357390.0</v>
      </c>
      <c r="AN43" s="1081">
        <v>5.808333333333334</v>
      </c>
      <c r="AO43" s="1082">
        <v>357390.0</v>
      </c>
      <c r="AP43" s="1081">
        <v>5.808333333333334</v>
      </c>
      <c r="AQ43" s="1082">
        <v>357390.0</v>
      </c>
      <c r="AR43" s="1081">
        <v>5.808333333333334</v>
      </c>
      <c r="AS43" s="1082">
        <v>357400.0</v>
      </c>
      <c r="AT43" s="1081">
        <v>4361.770138888889</v>
      </c>
      <c r="AU43" s="1082">
        <v>3.387E10</v>
      </c>
      <c r="AV43" s="1126"/>
      <c r="AW43" s="1125"/>
      <c r="AX43" s="1124"/>
      <c r="AY43" s="1175"/>
      <c r="AZ43" s="1124"/>
      <c r="BA43" s="1124"/>
      <c r="BB43" s="1083">
        <v>5.808333333333334</v>
      </c>
      <c r="BC43" s="1084">
        <v>357390.0</v>
      </c>
      <c r="BD43" s="1083">
        <v>5.808333333333334</v>
      </c>
      <c r="BE43" s="1084">
        <v>357390.0</v>
      </c>
      <c r="BF43" s="1083">
        <v>5.808333333333334</v>
      </c>
      <c r="BG43" s="1084">
        <v>357390.0</v>
      </c>
      <c r="BH43" s="1083">
        <v>158.24305555555554</v>
      </c>
      <c r="BI43" s="1084">
        <v>2.56E9</v>
      </c>
      <c r="BJ43" s="1124"/>
      <c r="BK43" s="1125"/>
      <c r="BL43" s="1124"/>
      <c r="BM43" s="1125"/>
      <c r="BN43" s="1124"/>
      <c r="BO43" s="1125"/>
      <c r="BP43" s="1124"/>
      <c r="BQ43" s="1125"/>
      <c r="BR43" s="1126"/>
      <c r="BS43" s="1125"/>
      <c r="BT43" s="1085">
        <v>5.993055555555555</v>
      </c>
      <c r="BU43" s="1086">
        <v>2.836E10</v>
      </c>
      <c r="BV43" s="1126"/>
      <c r="BW43" s="1126"/>
      <c r="BX43" s="1126"/>
      <c r="BY43" s="1126"/>
      <c r="BZ43" s="1126"/>
      <c r="CA43" s="1126"/>
      <c r="CB43" s="1126"/>
      <c r="CC43" s="1125"/>
      <c r="CD43" s="1083">
        <v>23.626828703703705</v>
      </c>
      <c r="CE43" s="1087">
        <v>3.5E12</v>
      </c>
      <c r="CF43" s="1133"/>
      <c r="CG43" s="1167"/>
      <c r="CH43" s="1088">
        <v>5.808333333333334</v>
      </c>
      <c r="CI43" s="1089">
        <v>357400.0</v>
      </c>
      <c r="CJ43" s="1088">
        <v>5.808333333333334</v>
      </c>
      <c r="CK43" s="1089">
        <v>357400.0</v>
      </c>
      <c r="CL43" s="1088">
        <v>5.808333333333334</v>
      </c>
      <c r="CM43" s="1089">
        <v>357400.0</v>
      </c>
      <c r="CN43" s="1088">
        <v>5.808333333333334</v>
      </c>
      <c r="CO43" s="1089">
        <v>357400.0</v>
      </c>
      <c r="CP43" s="1088">
        <v>12.0875</v>
      </c>
      <c r="CQ43" s="1089">
        <v>1200000.0</v>
      </c>
      <c r="CR43" s="1124"/>
      <c r="CS43" s="1125"/>
      <c r="CT43" s="1126"/>
      <c r="CU43" s="1125"/>
      <c r="CV43" s="1126"/>
      <c r="CW43" s="1125"/>
      <c r="CX43" s="1126"/>
      <c r="CY43" s="1125"/>
      <c r="CZ43" s="1126"/>
      <c r="DA43" s="1126"/>
      <c r="DB43" s="1126"/>
      <c r="DC43" s="1126"/>
      <c r="DD43" s="1126"/>
      <c r="DE43" s="1125"/>
      <c r="DF43" s="1124"/>
      <c r="DG43" s="1125"/>
      <c r="DH43" s="1124"/>
      <c r="DI43" s="1125"/>
      <c r="DJ43" s="1124"/>
      <c r="DK43" s="1125"/>
      <c r="DL43" s="1124"/>
      <c r="DM43" s="1125"/>
      <c r="DN43" s="1124"/>
      <c r="DO43" s="1125"/>
      <c r="DP43" s="1124"/>
      <c r="DQ43" s="1125"/>
      <c r="DR43" s="1124"/>
      <c r="DS43" s="1125"/>
      <c r="DT43" s="1124"/>
      <c r="DU43" s="1125"/>
      <c r="DV43" s="1126"/>
      <c r="DW43" s="1125"/>
      <c r="DX43" s="1124"/>
      <c r="DY43" s="1125"/>
      <c r="DZ43" s="1124"/>
      <c r="EA43" s="1125"/>
      <c r="EB43" s="1124"/>
      <c r="EC43" s="1125"/>
      <c r="ED43" s="1124"/>
      <c r="EE43" s="1125"/>
      <c r="EF43" s="1124"/>
      <c r="EG43" s="1125"/>
      <c r="EH43" s="1124"/>
      <c r="EI43" s="1125"/>
      <c r="EJ43" s="1169"/>
      <c r="EK43" s="1167"/>
      <c r="EL43" s="1169"/>
      <c r="EM43" s="1167"/>
      <c r="EN43" s="1124"/>
      <c r="EO43" s="1125"/>
      <c r="EP43" s="1124"/>
      <c r="EQ43" s="1125"/>
      <c r="ER43" s="1124"/>
      <c r="ES43" s="1125"/>
      <c r="ET43" s="1124"/>
      <c r="EU43" s="1125"/>
      <c r="EV43" s="1124"/>
      <c r="EW43" s="1125"/>
      <c r="EX43" s="1124"/>
      <c r="EY43" s="1125"/>
      <c r="EZ43" s="1124"/>
      <c r="FA43" s="1125"/>
      <c r="FB43" s="1126"/>
      <c r="FC43" s="1125"/>
      <c r="FD43" s="1126"/>
      <c r="FE43" s="1125"/>
      <c r="FF43" s="1126"/>
      <c r="FG43" s="1125"/>
      <c r="FH43" s="1126"/>
      <c r="FI43" s="1126"/>
      <c r="FJ43" s="1126"/>
      <c r="FK43" s="1125"/>
      <c r="FL43" s="1124"/>
      <c r="FM43" s="1125"/>
      <c r="FN43" s="1178"/>
      <c r="FO43" s="1125"/>
      <c r="FP43" s="1178"/>
      <c r="FQ43" s="1125"/>
      <c r="FR43" s="1178"/>
      <c r="FS43" s="1125"/>
      <c r="FT43" s="1139"/>
      <c r="FU43" s="1125"/>
      <c r="FV43" s="1139"/>
      <c r="FW43" s="1125"/>
      <c r="FX43" s="1179"/>
      <c r="FY43" s="1167"/>
      <c r="FZ43" s="1179"/>
      <c r="GA43" s="1167"/>
      <c r="GB43" s="1179"/>
      <c r="GC43" s="1167"/>
      <c r="GD43" s="1133"/>
      <c r="GE43" s="1167"/>
      <c r="GF43" s="1124"/>
      <c r="GG43" s="1125"/>
      <c r="GH43" s="1124"/>
      <c r="GI43" s="1125"/>
      <c r="GJ43" s="1126"/>
      <c r="GK43" s="1125"/>
      <c r="GL43" s="1124"/>
      <c r="GM43" s="1125"/>
      <c r="GN43" s="1126"/>
      <c r="GO43" s="1125"/>
      <c r="GP43" s="1126"/>
      <c r="GQ43" s="1125"/>
      <c r="GR43" s="1124"/>
      <c r="GS43" s="1125"/>
      <c r="GT43" s="1124"/>
      <c r="GU43" s="1125"/>
      <c r="GV43" s="1126"/>
      <c r="GW43" s="1125"/>
      <c r="GX43" s="1168"/>
      <c r="GY43" s="1133"/>
      <c r="GZ43" s="1124"/>
      <c r="HA43" s="1125"/>
      <c r="HB43" s="1107">
        <v>333.56458333333336</v>
      </c>
      <c r="HC43" s="1108">
        <v>2.05E12</v>
      </c>
      <c r="HD43" s="1124"/>
      <c r="HE43" s="1125"/>
      <c r="HF43" s="1124"/>
      <c r="HG43" s="1125"/>
      <c r="HH43" s="1124"/>
      <c r="HI43" s="1125"/>
      <c r="HJ43" s="1124"/>
      <c r="HK43" s="1125"/>
      <c r="HL43" s="1124"/>
      <c r="HM43" s="1125"/>
      <c r="HN43" s="1126"/>
      <c r="HO43" s="1125"/>
      <c r="HP43" s="1124"/>
      <c r="HQ43" s="1125"/>
      <c r="HR43" s="1124"/>
      <c r="HS43" s="1125"/>
      <c r="HT43" s="1124"/>
      <c r="HU43" s="1125"/>
      <c r="HV43" s="1124"/>
      <c r="HW43" s="1125"/>
      <c r="HX43" s="1124"/>
      <c r="HY43" s="1125"/>
      <c r="HZ43" s="1124"/>
      <c r="IA43" s="1125"/>
      <c r="IB43" s="1124"/>
      <c r="IC43" s="1125"/>
      <c r="ID43" s="1124"/>
      <c r="IE43" s="1125"/>
      <c r="IF43" s="1124"/>
      <c r="IG43" s="1125"/>
      <c r="IH43" s="1124"/>
      <c r="II43" s="1125"/>
      <c r="IJ43" s="1124"/>
      <c r="IK43" s="1125"/>
      <c r="IL43" s="1124"/>
      <c r="IM43" s="1125"/>
      <c r="IN43" s="1124"/>
      <c r="IO43" s="1125"/>
      <c r="IP43" s="1124"/>
      <c r="IQ43" s="1125"/>
      <c r="IR43" s="1124"/>
      <c r="IS43" s="1125"/>
      <c r="IT43" s="1124"/>
      <c r="IU43" s="1125"/>
      <c r="IV43" s="1124"/>
      <c r="IW43" s="1125"/>
      <c r="IX43" s="1124"/>
      <c r="IY43" s="1125"/>
      <c r="IZ43" s="1124"/>
      <c r="JA43" s="1125"/>
      <c r="JB43" s="1124"/>
      <c r="JC43" s="1125"/>
      <c r="JD43" s="1124"/>
      <c r="JE43" s="1125"/>
      <c r="JF43" s="1124"/>
      <c r="JG43" s="1125"/>
      <c r="JH43" s="1124"/>
      <c r="JI43" s="1125"/>
      <c r="JJ43" s="1169"/>
      <c r="JK43" s="1167"/>
      <c r="JL43" s="1169"/>
      <c r="JM43" s="1167"/>
      <c r="JN43" s="1169"/>
      <c r="JO43" s="1167"/>
      <c r="JP43" s="1169"/>
      <c r="JQ43" s="1167"/>
      <c r="JR43" s="1169"/>
      <c r="JS43" s="1167"/>
      <c r="JT43" s="1169"/>
      <c r="JU43" s="1167"/>
      <c r="JV43" s="1169"/>
      <c r="JW43" s="1167"/>
      <c r="JX43" s="1169"/>
      <c r="JY43" s="1133"/>
      <c r="JZ43" s="1173">
        <v>3.674166667</v>
      </c>
      <c r="KA43" s="1120">
        <v>4.233E10</v>
      </c>
      <c r="KB43" s="1173">
        <v>8.447060185</v>
      </c>
      <c r="KC43" s="1174">
        <v>1.92E11</v>
      </c>
      <c r="KD43" s="1169"/>
      <c r="KE43" s="1133"/>
      <c r="KF43" s="1133"/>
      <c r="KG43" s="1133"/>
      <c r="KH43" s="1133"/>
      <c r="KI43" s="1133"/>
      <c r="KJ43" s="1133"/>
      <c r="KK43" s="1133"/>
      <c r="KL43" s="1133"/>
      <c r="KM43" s="1133"/>
      <c r="KN43" s="1133"/>
      <c r="KO43" s="1133"/>
      <c r="KP43" s="1133"/>
      <c r="KQ43" s="1133"/>
      <c r="KR43" s="1133"/>
      <c r="KS43" s="1133"/>
      <c r="KT43" s="1133"/>
      <c r="KU43" s="1133"/>
      <c r="KV43" s="1133"/>
      <c r="KW43" s="1133"/>
      <c r="KX43" s="1133"/>
      <c r="KY43" s="1133"/>
      <c r="KZ43" s="1133"/>
      <c r="LA43" s="1133"/>
      <c r="LB43" s="1133"/>
      <c r="LC43" s="1133"/>
      <c r="LD43" s="1133"/>
      <c r="LE43" s="1133"/>
      <c r="LF43" s="1133"/>
      <c r="LG43" s="1133"/>
      <c r="LH43" s="1133"/>
      <c r="LI43" s="1133"/>
      <c r="LJ43" s="1133"/>
      <c r="LK43" s="1133"/>
      <c r="LL43" s="1133"/>
      <c r="LM43" s="1133"/>
      <c r="LN43" s="1133"/>
      <c r="LO43" s="1133"/>
      <c r="LP43" s="1133"/>
      <c r="LQ43" s="1133"/>
      <c r="LR43" s="1133"/>
      <c r="LS43" s="1133"/>
      <c r="LT43" s="1133"/>
      <c r="LU43" s="1133"/>
      <c r="LV43" s="1133"/>
      <c r="LW43" s="1133"/>
      <c r="LX43" s="1133"/>
      <c r="LY43" s="1133"/>
      <c r="LZ43" s="1133"/>
      <c r="MA43" s="1133"/>
      <c r="MB43" s="1133"/>
      <c r="MC43" s="1133"/>
      <c r="MD43" s="1133"/>
      <c r="ME43" s="1133"/>
      <c r="MF43" s="1133"/>
      <c r="MG43" s="1133"/>
      <c r="MH43" s="1133"/>
      <c r="MI43" s="1133"/>
      <c r="MJ43" s="1133"/>
      <c r="MK43" s="1133"/>
      <c r="ML43" s="1133"/>
      <c r="MM43" s="1133"/>
      <c r="MN43" s="1133"/>
      <c r="MO43" s="1133"/>
      <c r="MP43" s="1133"/>
      <c r="MQ43" s="1133"/>
      <c r="MR43" s="1133"/>
      <c r="MS43" s="1133"/>
      <c r="MT43" s="1133"/>
      <c r="MU43" s="1133"/>
      <c r="MV43" s="1133"/>
      <c r="MW43" s="1133"/>
      <c r="MX43" s="1133"/>
      <c r="MY43" s="1133"/>
    </row>
    <row r="44">
      <c r="A44" s="1071">
        <v>42.0</v>
      </c>
      <c r="B44" s="1124"/>
      <c r="C44" s="1126"/>
      <c r="D44" s="1072">
        <v>6.157638888888889</v>
      </c>
      <c r="E44" s="1073">
        <v>382450.0</v>
      </c>
      <c r="F44" s="1072">
        <v>6.157638888888889</v>
      </c>
      <c r="G44" s="1073">
        <v>382450.0</v>
      </c>
      <c r="H44" s="1072">
        <v>6.157638888888889</v>
      </c>
      <c r="I44" s="1073">
        <v>382450.0</v>
      </c>
      <c r="J44" s="1072">
        <v>6.157638888888889</v>
      </c>
      <c r="K44" s="1073">
        <v>382450.0</v>
      </c>
      <c r="L44" s="1072">
        <v>10.736805555555556</v>
      </c>
      <c r="M44" s="1075">
        <v>1140000.0</v>
      </c>
      <c r="N44" s="1076">
        <v>5.899305555555555</v>
      </c>
      <c r="O44" s="1073">
        <v>1300000.0</v>
      </c>
      <c r="P44" s="1124"/>
      <c r="Q44" s="1125"/>
      <c r="R44" s="1124"/>
      <c r="S44" s="1125"/>
      <c r="T44" s="1124"/>
      <c r="U44" s="1125"/>
      <c r="V44" s="1124"/>
      <c r="W44" s="1125"/>
      <c r="X44" s="1124"/>
      <c r="Y44" s="1125"/>
      <c r="Z44" s="1124"/>
      <c r="AA44" s="1125"/>
      <c r="AB44" s="1124"/>
      <c r="AC44" s="1125"/>
      <c r="AD44" s="1072">
        <v>45.357638888888886</v>
      </c>
      <c r="AE44" s="1080">
        <v>4.695452425E13</v>
      </c>
      <c r="AF44" s="1072">
        <v>45.357638888888886</v>
      </c>
      <c r="AG44" s="1080">
        <v>4.695452425E13</v>
      </c>
      <c r="AH44" s="1072">
        <v>45.357638888888886</v>
      </c>
      <c r="AI44" s="1080">
        <v>4.695452425E13</v>
      </c>
      <c r="AJ44" s="1081">
        <v>6.157638888888889</v>
      </c>
      <c r="AK44" s="1082">
        <v>382450.0</v>
      </c>
      <c r="AL44" s="1081">
        <v>6.157638888888889</v>
      </c>
      <c r="AM44" s="1082">
        <v>382450.0</v>
      </c>
      <c r="AN44" s="1081">
        <v>6.157638888888889</v>
      </c>
      <c r="AO44" s="1082">
        <v>382450.0</v>
      </c>
      <c r="AP44" s="1081">
        <v>6.157638888888889</v>
      </c>
      <c r="AQ44" s="1082">
        <v>382450.0</v>
      </c>
      <c r="AR44" s="1081">
        <v>6.157638888888889</v>
      </c>
      <c r="AS44" s="1082">
        <v>382460.0</v>
      </c>
      <c r="AT44" s="1081">
        <v>4836.336111111111</v>
      </c>
      <c r="AU44" s="1082">
        <v>3.803E10</v>
      </c>
      <c r="AV44" s="1126"/>
      <c r="AW44" s="1125"/>
      <c r="AX44" s="1124"/>
      <c r="AY44" s="1175"/>
      <c r="AZ44" s="1124"/>
      <c r="BA44" s="1124"/>
      <c r="BB44" s="1083">
        <v>6.157638888888889</v>
      </c>
      <c r="BC44" s="1084">
        <v>382450.0</v>
      </c>
      <c r="BD44" s="1083">
        <v>6.157638888888889</v>
      </c>
      <c r="BE44" s="1084">
        <v>382450.0</v>
      </c>
      <c r="BF44" s="1083">
        <v>6.157638888888889</v>
      </c>
      <c r="BG44" s="1084">
        <v>382450.0</v>
      </c>
      <c r="BH44" s="1083">
        <v>171.59097222222223</v>
      </c>
      <c r="BI44" s="1084">
        <v>2.83E9</v>
      </c>
      <c r="BJ44" s="1124"/>
      <c r="BK44" s="1125"/>
      <c r="BL44" s="1124"/>
      <c r="BM44" s="1125"/>
      <c r="BN44" s="1124"/>
      <c r="BO44" s="1125"/>
      <c r="BP44" s="1124"/>
      <c r="BQ44" s="1125"/>
      <c r="BR44" s="1126"/>
      <c r="BS44" s="1125"/>
      <c r="BT44" s="1085">
        <v>6.341666666666667</v>
      </c>
      <c r="BU44" s="1086">
        <v>3.02E10</v>
      </c>
      <c r="BV44" s="1126"/>
      <c r="BW44" s="1126"/>
      <c r="BX44" s="1126"/>
      <c r="BY44" s="1126"/>
      <c r="BZ44" s="1126"/>
      <c r="CA44" s="1126"/>
      <c r="CB44" s="1126"/>
      <c r="CC44" s="1125"/>
      <c r="CD44" s="1083">
        <v>24.913032407407407</v>
      </c>
      <c r="CE44" s="1087">
        <v>3.75E12</v>
      </c>
      <c r="CF44" s="1133"/>
      <c r="CG44" s="1167"/>
      <c r="CH44" s="1088">
        <v>6.157638888888889</v>
      </c>
      <c r="CI44" s="1089">
        <v>382460.0</v>
      </c>
      <c r="CJ44" s="1088">
        <v>6.157638888888889</v>
      </c>
      <c r="CK44" s="1089">
        <v>382460.0</v>
      </c>
      <c r="CL44" s="1088">
        <v>6.157638888888889</v>
      </c>
      <c r="CM44" s="1089">
        <v>382460.0</v>
      </c>
      <c r="CN44" s="1088">
        <v>6.157638888888889</v>
      </c>
      <c r="CO44" s="1089">
        <v>382460.0</v>
      </c>
      <c r="CP44" s="1088">
        <v>12.879166666666666</v>
      </c>
      <c r="CQ44" s="1089">
        <v>1300000.0</v>
      </c>
      <c r="CR44" s="1124"/>
      <c r="CS44" s="1125"/>
      <c r="CT44" s="1126"/>
      <c r="CU44" s="1125"/>
      <c r="CV44" s="1126"/>
      <c r="CW44" s="1125"/>
      <c r="CX44" s="1126"/>
      <c r="CY44" s="1125"/>
      <c r="CZ44" s="1126"/>
      <c r="DA44" s="1126"/>
      <c r="DB44" s="1126"/>
      <c r="DC44" s="1126"/>
      <c r="DD44" s="1126"/>
      <c r="DE44" s="1125"/>
      <c r="DF44" s="1124"/>
      <c r="DG44" s="1125"/>
      <c r="DH44" s="1124"/>
      <c r="DI44" s="1125"/>
      <c r="DJ44" s="1124"/>
      <c r="DK44" s="1125"/>
      <c r="DL44" s="1124"/>
      <c r="DM44" s="1125"/>
      <c r="DN44" s="1124"/>
      <c r="DO44" s="1125"/>
      <c r="DP44" s="1124"/>
      <c r="DQ44" s="1125"/>
      <c r="DR44" s="1124"/>
      <c r="DS44" s="1125"/>
      <c r="DT44" s="1124"/>
      <c r="DU44" s="1125"/>
      <c r="DV44" s="1126"/>
      <c r="DW44" s="1125"/>
      <c r="DX44" s="1124"/>
      <c r="DY44" s="1125"/>
      <c r="DZ44" s="1124"/>
      <c r="EA44" s="1125"/>
      <c r="EB44" s="1124"/>
      <c r="EC44" s="1125"/>
      <c r="ED44" s="1124"/>
      <c r="EE44" s="1125"/>
      <c r="EF44" s="1124"/>
      <c r="EG44" s="1125"/>
      <c r="EH44" s="1124"/>
      <c r="EI44" s="1125"/>
      <c r="EJ44" s="1169"/>
      <c r="EK44" s="1167"/>
      <c r="EL44" s="1169"/>
      <c r="EM44" s="1167"/>
      <c r="EN44" s="1124"/>
      <c r="EO44" s="1125"/>
      <c r="EP44" s="1124"/>
      <c r="EQ44" s="1125"/>
      <c r="ER44" s="1124"/>
      <c r="ES44" s="1125"/>
      <c r="ET44" s="1124"/>
      <c r="EU44" s="1125"/>
      <c r="EV44" s="1124"/>
      <c r="EW44" s="1125"/>
      <c r="EX44" s="1124"/>
      <c r="EY44" s="1125"/>
      <c r="EZ44" s="1124"/>
      <c r="FA44" s="1125"/>
      <c r="FB44" s="1126"/>
      <c r="FC44" s="1125"/>
      <c r="FD44" s="1126"/>
      <c r="FE44" s="1125"/>
      <c r="FF44" s="1126"/>
      <c r="FG44" s="1125"/>
      <c r="FH44" s="1126"/>
      <c r="FI44" s="1126"/>
      <c r="FJ44" s="1126"/>
      <c r="FK44" s="1125"/>
      <c r="FL44" s="1124"/>
      <c r="FM44" s="1125"/>
      <c r="FN44" s="1178"/>
      <c r="FO44" s="1125"/>
      <c r="FP44" s="1178"/>
      <c r="FQ44" s="1125"/>
      <c r="FR44" s="1178"/>
      <c r="FS44" s="1125"/>
      <c r="FT44" s="1139"/>
      <c r="FU44" s="1125"/>
      <c r="FV44" s="1139"/>
      <c r="FW44" s="1125"/>
      <c r="FX44" s="1179"/>
      <c r="FY44" s="1167"/>
      <c r="FZ44" s="1179"/>
      <c r="GA44" s="1167"/>
      <c r="GB44" s="1179"/>
      <c r="GC44" s="1167"/>
      <c r="GD44" s="1133"/>
      <c r="GE44" s="1167"/>
      <c r="GF44" s="1124"/>
      <c r="GG44" s="1125"/>
      <c r="GH44" s="1124"/>
      <c r="GI44" s="1125"/>
      <c r="GJ44" s="1126"/>
      <c r="GK44" s="1125"/>
      <c r="GL44" s="1124"/>
      <c r="GM44" s="1125"/>
      <c r="GN44" s="1126"/>
      <c r="GO44" s="1125"/>
      <c r="GP44" s="1126"/>
      <c r="GQ44" s="1125"/>
      <c r="GR44" s="1124"/>
      <c r="GS44" s="1125"/>
      <c r="GT44" s="1124"/>
      <c r="GU44" s="1125"/>
      <c r="GV44" s="1126"/>
      <c r="GW44" s="1125"/>
      <c r="GX44" s="1168"/>
      <c r="GY44" s="1133"/>
      <c r="GZ44" s="1124"/>
      <c r="HA44" s="1125"/>
      <c r="HB44" s="1107">
        <v>363.30625</v>
      </c>
      <c r="HC44" s="1108">
        <v>2.32E12</v>
      </c>
      <c r="HD44" s="1124"/>
      <c r="HE44" s="1125"/>
      <c r="HF44" s="1124"/>
      <c r="HG44" s="1125"/>
      <c r="HH44" s="1124"/>
      <c r="HI44" s="1125"/>
      <c r="HJ44" s="1124"/>
      <c r="HK44" s="1125"/>
      <c r="HL44" s="1124"/>
      <c r="HM44" s="1125"/>
      <c r="HN44" s="1126"/>
      <c r="HO44" s="1125"/>
      <c r="HP44" s="1124"/>
      <c r="HQ44" s="1125"/>
      <c r="HR44" s="1124"/>
      <c r="HS44" s="1125"/>
      <c r="HT44" s="1124"/>
      <c r="HU44" s="1125"/>
      <c r="HV44" s="1124"/>
      <c r="HW44" s="1125"/>
      <c r="HX44" s="1124"/>
      <c r="HY44" s="1125"/>
      <c r="HZ44" s="1124"/>
      <c r="IA44" s="1125"/>
      <c r="IB44" s="1124"/>
      <c r="IC44" s="1125"/>
      <c r="ID44" s="1124"/>
      <c r="IE44" s="1125"/>
      <c r="IF44" s="1124"/>
      <c r="IG44" s="1125"/>
      <c r="IH44" s="1124"/>
      <c r="II44" s="1125"/>
      <c r="IJ44" s="1124"/>
      <c r="IK44" s="1125"/>
      <c r="IL44" s="1124"/>
      <c r="IM44" s="1125"/>
      <c r="IN44" s="1124"/>
      <c r="IO44" s="1125"/>
      <c r="IP44" s="1124"/>
      <c r="IQ44" s="1125"/>
      <c r="IR44" s="1124"/>
      <c r="IS44" s="1125"/>
      <c r="IT44" s="1124"/>
      <c r="IU44" s="1125"/>
      <c r="IV44" s="1124"/>
      <c r="IW44" s="1125"/>
      <c r="IX44" s="1124"/>
      <c r="IY44" s="1125"/>
      <c r="IZ44" s="1124"/>
      <c r="JA44" s="1125"/>
      <c r="JB44" s="1124"/>
      <c r="JC44" s="1125"/>
      <c r="JD44" s="1124"/>
      <c r="JE44" s="1125"/>
      <c r="JF44" s="1124"/>
      <c r="JG44" s="1125"/>
      <c r="JH44" s="1124"/>
      <c r="JI44" s="1125"/>
      <c r="JJ44" s="1169"/>
      <c r="JK44" s="1167"/>
      <c r="JL44" s="1169"/>
      <c r="JM44" s="1167"/>
      <c r="JN44" s="1169"/>
      <c r="JO44" s="1167"/>
      <c r="JP44" s="1169"/>
      <c r="JQ44" s="1167"/>
      <c r="JR44" s="1169"/>
      <c r="JS44" s="1167"/>
      <c r="JT44" s="1169"/>
      <c r="JU44" s="1167"/>
      <c r="JV44" s="1169"/>
      <c r="JW44" s="1167"/>
      <c r="JX44" s="1169"/>
      <c r="JY44" s="1133"/>
      <c r="JZ44" s="1173">
        <v>3.751944444</v>
      </c>
      <c r="KA44" s="1120">
        <v>4.524E10</v>
      </c>
      <c r="KB44" s="1173">
        <v>8.827916667</v>
      </c>
      <c r="KC44" s="1174">
        <v>2.0677E11</v>
      </c>
      <c r="KD44" s="1169"/>
      <c r="KE44" s="1133"/>
      <c r="KF44" s="1133"/>
      <c r="KG44" s="1133"/>
      <c r="KH44" s="1133"/>
      <c r="KI44" s="1133"/>
      <c r="KJ44" s="1133"/>
      <c r="KK44" s="1133"/>
      <c r="KL44" s="1133"/>
      <c r="KM44" s="1133"/>
      <c r="KN44" s="1133"/>
      <c r="KO44" s="1133"/>
      <c r="KP44" s="1133"/>
      <c r="KQ44" s="1133"/>
      <c r="KR44" s="1133"/>
      <c r="KS44" s="1133"/>
      <c r="KT44" s="1133"/>
      <c r="KU44" s="1133"/>
      <c r="KV44" s="1133"/>
      <c r="KW44" s="1133"/>
      <c r="KX44" s="1133"/>
      <c r="KY44" s="1133"/>
      <c r="KZ44" s="1133"/>
      <c r="LA44" s="1133"/>
      <c r="LB44" s="1133"/>
      <c r="LC44" s="1133"/>
      <c r="LD44" s="1133"/>
      <c r="LE44" s="1133"/>
      <c r="LF44" s="1133"/>
      <c r="LG44" s="1133"/>
      <c r="LH44" s="1133"/>
      <c r="LI44" s="1133"/>
      <c r="LJ44" s="1133"/>
      <c r="LK44" s="1133"/>
      <c r="LL44" s="1133"/>
      <c r="LM44" s="1133"/>
      <c r="LN44" s="1133"/>
      <c r="LO44" s="1133"/>
      <c r="LP44" s="1133"/>
      <c r="LQ44" s="1133"/>
      <c r="LR44" s="1133"/>
      <c r="LS44" s="1133"/>
      <c r="LT44" s="1133"/>
      <c r="LU44" s="1133"/>
      <c r="LV44" s="1133"/>
      <c r="LW44" s="1133"/>
      <c r="LX44" s="1133"/>
      <c r="LY44" s="1133"/>
      <c r="LZ44" s="1133"/>
      <c r="MA44" s="1133"/>
      <c r="MB44" s="1133"/>
      <c r="MC44" s="1133"/>
      <c r="MD44" s="1133"/>
      <c r="ME44" s="1133"/>
      <c r="MF44" s="1133"/>
      <c r="MG44" s="1133"/>
      <c r="MH44" s="1133"/>
      <c r="MI44" s="1133"/>
      <c r="MJ44" s="1133"/>
      <c r="MK44" s="1133"/>
      <c r="ML44" s="1133"/>
      <c r="MM44" s="1133"/>
      <c r="MN44" s="1133"/>
      <c r="MO44" s="1133"/>
      <c r="MP44" s="1133"/>
      <c r="MQ44" s="1133"/>
      <c r="MR44" s="1133"/>
      <c r="MS44" s="1133"/>
      <c r="MT44" s="1133"/>
      <c r="MU44" s="1133"/>
      <c r="MV44" s="1133"/>
      <c r="MW44" s="1133"/>
      <c r="MX44" s="1133"/>
      <c r="MY44" s="1133"/>
    </row>
    <row r="45">
      <c r="A45" s="1071">
        <v>43.0</v>
      </c>
      <c r="B45" s="1124"/>
      <c r="C45" s="1126"/>
      <c r="D45" s="1072">
        <v>6.519444444444445</v>
      </c>
      <c r="E45" s="1073">
        <v>408600.0</v>
      </c>
      <c r="F45" s="1072">
        <v>6.519444444444445</v>
      </c>
      <c r="G45" s="1073">
        <v>408600.0</v>
      </c>
      <c r="H45" s="1072">
        <v>6.519444444444445</v>
      </c>
      <c r="I45" s="1073">
        <v>408600.0</v>
      </c>
      <c r="J45" s="1072">
        <v>6.519444444444445</v>
      </c>
      <c r="K45" s="1073">
        <v>408600.0</v>
      </c>
      <c r="L45" s="1072">
        <v>11.408333333333333</v>
      </c>
      <c r="M45" s="1075">
        <v>1220000.0</v>
      </c>
      <c r="N45" s="1076">
        <v>6.2</v>
      </c>
      <c r="O45" s="1073">
        <v>1400000.0</v>
      </c>
      <c r="P45" s="1124"/>
      <c r="Q45" s="1125"/>
      <c r="R45" s="1124"/>
      <c r="S45" s="1125"/>
      <c r="T45" s="1124"/>
      <c r="U45" s="1125"/>
      <c r="V45" s="1124"/>
      <c r="W45" s="1125"/>
      <c r="X45" s="1124"/>
      <c r="Y45" s="1125"/>
      <c r="Z45" s="1124"/>
      <c r="AA45" s="1125"/>
      <c r="AB45" s="1124"/>
      <c r="AC45" s="1125"/>
      <c r="AD45" s="1072">
        <v>46.4375</v>
      </c>
      <c r="AE45" s="1080">
        <v>6.104088153E13</v>
      </c>
      <c r="AF45" s="1072">
        <v>46.4375</v>
      </c>
      <c r="AG45" s="1080">
        <v>6.104088153E13</v>
      </c>
      <c r="AH45" s="1072">
        <v>46.4375</v>
      </c>
      <c r="AI45" s="1080">
        <v>6.104088153E13</v>
      </c>
      <c r="AJ45" s="1081">
        <v>6.519444444444445</v>
      </c>
      <c r="AK45" s="1082">
        <v>408600.0</v>
      </c>
      <c r="AL45" s="1081">
        <v>6.519444444444445</v>
      </c>
      <c r="AM45" s="1082">
        <v>408600.0</v>
      </c>
      <c r="AN45" s="1081">
        <v>6.519444444444445</v>
      </c>
      <c r="AO45" s="1082">
        <v>408600.0</v>
      </c>
      <c r="AP45" s="1081">
        <v>6.519444444444445</v>
      </c>
      <c r="AQ45" s="1082">
        <v>408600.0</v>
      </c>
      <c r="AR45" s="1081">
        <v>6.519444444444445</v>
      </c>
      <c r="AS45" s="1082">
        <v>408610.0</v>
      </c>
      <c r="AT45" s="1081">
        <v>5349.376388888889</v>
      </c>
      <c r="AU45" s="1082">
        <v>4.26E10</v>
      </c>
      <c r="AV45" s="1126"/>
      <c r="AW45" s="1125"/>
      <c r="AX45" s="1124"/>
      <c r="AY45" s="1175"/>
      <c r="AZ45" s="1124"/>
      <c r="BA45" s="1124"/>
      <c r="BB45" s="1083">
        <v>6.519444444444445</v>
      </c>
      <c r="BC45" s="1084">
        <v>408600.0</v>
      </c>
      <c r="BD45" s="1083">
        <v>6.519444444444445</v>
      </c>
      <c r="BE45" s="1084">
        <v>408600.0</v>
      </c>
      <c r="BF45" s="1083">
        <v>6.519444444444445</v>
      </c>
      <c r="BG45" s="1084">
        <v>408600.0</v>
      </c>
      <c r="BH45" s="1083">
        <v>185.70694444444445</v>
      </c>
      <c r="BI45" s="1084">
        <v>3.11E9</v>
      </c>
      <c r="BJ45" s="1124"/>
      <c r="BK45" s="1125"/>
      <c r="BL45" s="1124"/>
      <c r="BM45" s="1125"/>
      <c r="BN45" s="1124"/>
      <c r="BO45" s="1125"/>
      <c r="BP45" s="1124"/>
      <c r="BQ45" s="1125"/>
      <c r="BR45" s="1126"/>
      <c r="BS45" s="1125"/>
      <c r="BT45" s="1085">
        <v>6.702083333333333</v>
      </c>
      <c r="BU45" s="1086">
        <v>3.214E10</v>
      </c>
      <c r="BV45" s="1126"/>
      <c r="BW45" s="1126"/>
      <c r="BX45" s="1126"/>
      <c r="BY45" s="1126"/>
      <c r="BZ45" s="1126"/>
      <c r="CA45" s="1126"/>
      <c r="CB45" s="1126"/>
      <c r="CC45" s="1125"/>
      <c r="CD45" s="1083">
        <v>26.249293981481483</v>
      </c>
      <c r="CE45" s="1087">
        <v>4.01E12</v>
      </c>
      <c r="CF45" s="1133"/>
      <c r="CG45" s="1167"/>
      <c r="CH45" s="1088">
        <v>6.519444444444445</v>
      </c>
      <c r="CI45" s="1089">
        <v>408610.0</v>
      </c>
      <c r="CJ45" s="1088">
        <v>6.519444444444445</v>
      </c>
      <c r="CK45" s="1089">
        <v>408610.0</v>
      </c>
      <c r="CL45" s="1088">
        <v>6.519444444444445</v>
      </c>
      <c r="CM45" s="1089">
        <v>408610.0</v>
      </c>
      <c r="CN45" s="1088">
        <v>6.519444444444445</v>
      </c>
      <c r="CO45" s="1089">
        <v>408610.0</v>
      </c>
      <c r="CP45" s="1088">
        <v>13.702777777777778</v>
      </c>
      <c r="CQ45" s="1089">
        <v>1400000.0</v>
      </c>
      <c r="CR45" s="1124"/>
      <c r="CS45" s="1125"/>
      <c r="CT45" s="1126"/>
      <c r="CU45" s="1125"/>
      <c r="CV45" s="1126"/>
      <c r="CW45" s="1125"/>
      <c r="CX45" s="1126"/>
      <c r="CY45" s="1125"/>
      <c r="CZ45" s="1126"/>
      <c r="DA45" s="1126"/>
      <c r="DB45" s="1126"/>
      <c r="DC45" s="1126"/>
      <c r="DD45" s="1126"/>
      <c r="DE45" s="1125"/>
      <c r="DF45" s="1124"/>
      <c r="DG45" s="1125"/>
      <c r="DH45" s="1124"/>
      <c r="DI45" s="1125"/>
      <c r="DJ45" s="1124"/>
      <c r="DK45" s="1125"/>
      <c r="DL45" s="1124"/>
      <c r="DM45" s="1125"/>
      <c r="DN45" s="1124"/>
      <c r="DO45" s="1125"/>
      <c r="DP45" s="1124"/>
      <c r="DQ45" s="1125"/>
      <c r="DR45" s="1124"/>
      <c r="DS45" s="1125"/>
      <c r="DT45" s="1124"/>
      <c r="DU45" s="1125"/>
      <c r="DV45" s="1126"/>
      <c r="DW45" s="1125"/>
      <c r="DX45" s="1124"/>
      <c r="DY45" s="1125"/>
      <c r="DZ45" s="1124"/>
      <c r="EA45" s="1125"/>
      <c r="EB45" s="1124"/>
      <c r="EC45" s="1125"/>
      <c r="ED45" s="1124"/>
      <c r="EE45" s="1125"/>
      <c r="EF45" s="1124"/>
      <c r="EG45" s="1125"/>
      <c r="EH45" s="1124"/>
      <c r="EI45" s="1125"/>
      <c r="EJ45" s="1169"/>
      <c r="EK45" s="1167"/>
      <c r="EL45" s="1169"/>
      <c r="EM45" s="1167"/>
      <c r="EN45" s="1124"/>
      <c r="EO45" s="1125"/>
      <c r="EP45" s="1124"/>
      <c r="EQ45" s="1125"/>
      <c r="ER45" s="1124"/>
      <c r="ES45" s="1125"/>
      <c r="ET45" s="1124"/>
      <c r="EU45" s="1125"/>
      <c r="EV45" s="1124"/>
      <c r="EW45" s="1125"/>
      <c r="EX45" s="1124"/>
      <c r="EY45" s="1125"/>
      <c r="EZ45" s="1124"/>
      <c r="FA45" s="1125"/>
      <c r="FB45" s="1126"/>
      <c r="FC45" s="1125"/>
      <c r="FD45" s="1126"/>
      <c r="FE45" s="1125"/>
      <c r="FF45" s="1126"/>
      <c r="FG45" s="1125"/>
      <c r="FH45" s="1126"/>
      <c r="FI45" s="1126"/>
      <c r="FJ45" s="1126"/>
      <c r="FK45" s="1125"/>
      <c r="FL45" s="1124"/>
      <c r="FM45" s="1125"/>
      <c r="FN45" s="1178"/>
      <c r="FO45" s="1125"/>
      <c r="FP45" s="1178"/>
      <c r="FQ45" s="1125"/>
      <c r="FR45" s="1178"/>
      <c r="FS45" s="1125"/>
      <c r="FT45" s="1139"/>
      <c r="FU45" s="1125"/>
      <c r="FV45" s="1139"/>
      <c r="FW45" s="1125"/>
      <c r="FX45" s="1179"/>
      <c r="FY45" s="1167"/>
      <c r="FZ45" s="1179"/>
      <c r="GA45" s="1167"/>
      <c r="GB45" s="1179"/>
      <c r="GC45" s="1167"/>
      <c r="GD45" s="1133"/>
      <c r="GE45" s="1167"/>
      <c r="GF45" s="1124"/>
      <c r="GG45" s="1125"/>
      <c r="GH45" s="1124"/>
      <c r="GI45" s="1125"/>
      <c r="GJ45" s="1126"/>
      <c r="GK45" s="1125"/>
      <c r="GL45" s="1124"/>
      <c r="GM45" s="1125"/>
      <c r="GN45" s="1126"/>
      <c r="GO45" s="1125"/>
      <c r="GP45" s="1126"/>
      <c r="GQ45" s="1125"/>
      <c r="GR45" s="1124"/>
      <c r="GS45" s="1125"/>
      <c r="GT45" s="1124"/>
      <c r="GU45" s="1125"/>
      <c r="GV45" s="1126"/>
      <c r="GW45" s="1125"/>
      <c r="GX45" s="1168"/>
      <c r="GY45" s="1133"/>
      <c r="GZ45" s="1124"/>
      <c r="HA45" s="1125"/>
      <c r="HB45" s="1107">
        <v>394.9090277777778</v>
      </c>
      <c r="HC45" s="1108">
        <v>2.61E12</v>
      </c>
      <c r="HD45" s="1124"/>
      <c r="HE45" s="1125"/>
      <c r="HF45" s="1124"/>
      <c r="HG45" s="1125"/>
      <c r="HH45" s="1124"/>
      <c r="HI45" s="1125"/>
      <c r="HJ45" s="1124"/>
      <c r="HK45" s="1125"/>
      <c r="HL45" s="1124"/>
      <c r="HM45" s="1125"/>
      <c r="HN45" s="1126"/>
      <c r="HO45" s="1125"/>
      <c r="HP45" s="1124"/>
      <c r="HQ45" s="1125"/>
      <c r="HR45" s="1124"/>
      <c r="HS45" s="1125"/>
      <c r="HT45" s="1124"/>
      <c r="HU45" s="1125"/>
      <c r="HV45" s="1124"/>
      <c r="HW45" s="1125"/>
      <c r="HX45" s="1124"/>
      <c r="HY45" s="1125"/>
      <c r="HZ45" s="1124"/>
      <c r="IA45" s="1125"/>
      <c r="IB45" s="1124"/>
      <c r="IC45" s="1125"/>
      <c r="ID45" s="1124"/>
      <c r="IE45" s="1125"/>
      <c r="IF45" s="1124"/>
      <c r="IG45" s="1125"/>
      <c r="IH45" s="1124"/>
      <c r="II45" s="1125"/>
      <c r="IJ45" s="1124"/>
      <c r="IK45" s="1125"/>
      <c r="IL45" s="1124"/>
      <c r="IM45" s="1125"/>
      <c r="IN45" s="1124"/>
      <c r="IO45" s="1125"/>
      <c r="IP45" s="1124"/>
      <c r="IQ45" s="1125"/>
      <c r="IR45" s="1124"/>
      <c r="IS45" s="1125"/>
      <c r="IT45" s="1124"/>
      <c r="IU45" s="1125"/>
      <c r="IV45" s="1124"/>
      <c r="IW45" s="1125"/>
      <c r="IX45" s="1124"/>
      <c r="IY45" s="1125"/>
      <c r="IZ45" s="1124"/>
      <c r="JA45" s="1125"/>
      <c r="JB45" s="1124"/>
      <c r="JC45" s="1125"/>
      <c r="JD45" s="1124"/>
      <c r="JE45" s="1125"/>
      <c r="JF45" s="1124"/>
      <c r="JG45" s="1125"/>
      <c r="JH45" s="1124"/>
      <c r="JI45" s="1125"/>
      <c r="JJ45" s="1169"/>
      <c r="JK45" s="1167"/>
      <c r="JL45" s="1169"/>
      <c r="JM45" s="1167"/>
      <c r="JN45" s="1169"/>
      <c r="JO45" s="1167"/>
      <c r="JP45" s="1169"/>
      <c r="JQ45" s="1167"/>
      <c r="JR45" s="1169"/>
      <c r="JS45" s="1167"/>
      <c r="JT45" s="1169"/>
      <c r="JU45" s="1167"/>
      <c r="JV45" s="1169"/>
      <c r="JW45" s="1167"/>
      <c r="JX45" s="1169"/>
      <c r="JY45" s="1133"/>
      <c r="JZ45" s="1173">
        <v>3.83068287</v>
      </c>
      <c r="KA45" s="1120">
        <v>4.829E10</v>
      </c>
      <c r="KB45" s="1173">
        <v>9.220787037</v>
      </c>
      <c r="KC45" s="1174">
        <v>2.2227E11</v>
      </c>
      <c r="KD45" s="1169"/>
      <c r="KE45" s="1133"/>
      <c r="KF45" s="1133"/>
      <c r="KG45" s="1133"/>
      <c r="KH45" s="1133"/>
      <c r="KI45" s="1133"/>
      <c r="KJ45" s="1133"/>
      <c r="KK45" s="1133"/>
      <c r="KL45" s="1133"/>
      <c r="KM45" s="1133"/>
      <c r="KN45" s="1133"/>
      <c r="KO45" s="1133"/>
      <c r="KP45" s="1133"/>
      <c r="KQ45" s="1133"/>
      <c r="KR45" s="1133"/>
      <c r="KS45" s="1133"/>
      <c r="KT45" s="1133"/>
      <c r="KU45" s="1133"/>
      <c r="KV45" s="1133"/>
      <c r="KW45" s="1133"/>
      <c r="KX45" s="1133"/>
      <c r="KY45" s="1133"/>
      <c r="KZ45" s="1133"/>
      <c r="LA45" s="1133"/>
      <c r="LB45" s="1133"/>
      <c r="LC45" s="1133"/>
      <c r="LD45" s="1133"/>
      <c r="LE45" s="1133"/>
      <c r="LF45" s="1133"/>
      <c r="LG45" s="1133"/>
      <c r="LH45" s="1133"/>
      <c r="LI45" s="1133"/>
      <c r="LJ45" s="1133"/>
      <c r="LK45" s="1133"/>
      <c r="LL45" s="1133"/>
      <c r="LM45" s="1133"/>
      <c r="LN45" s="1133"/>
      <c r="LO45" s="1133"/>
      <c r="LP45" s="1133"/>
      <c r="LQ45" s="1133"/>
      <c r="LR45" s="1133"/>
      <c r="LS45" s="1133"/>
      <c r="LT45" s="1133"/>
      <c r="LU45" s="1133"/>
      <c r="LV45" s="1133"/>
      <c r="LW45" s="1133"/>
      <c r="LX45" s="1133"/>
      <c r="LY45" s="1133"/>
      <c r="LZ45" s="1133"/>
      <c r="MA45" s="1133"/>
      <c r="MB45" s="1133"/>
      <c r="MC45" s="1133"/>
      <c r="MD45" s="1133"/>
      <c r="ME45" s="1133"/>
      <c r="MF45" s="1133"/>
      <c r="MG45" s="1133"/>
      <c r="MH45" s="1133"/>
      <c r="MI45" s="1133"/>
      <c r="MJ45" s="1133"/>
      <c r="MK45" s="1133"/>
      <c r="ML45" s="1133"/>
      <c r="MM45" s="1133"/>
      <c r="MN45" s="1133"/>
      <c r="MO45" s="1133"/>
      <c r="MP45" s="1133"/>
      <c r="MQ45" s="1133"/>
      <c r="MR45" s="1133"/>
      <c r="MS45" s="1133"/>
      <c r="MT45" s="1133"/>
      <c r="MU45" s="1133"/>
      <c r="MV45" s="1133"/>
      <c r="MW45" s="1133"/>
      <c r="MX45" s="1133"/>
      <c r="MY45" s="1133"/>
    </row>
    <row r="46">
      <c r="A46" s="1071">
        <v>44.0</v>
      </c>
      <c r="B46" s="1124"/>
      <c r="C46" s="1126"/>
      <c r="D46" s="1072">
        <v>6.893055555555556</v>
      </c>
      <c r="E46" s="1073">
        <v>435870.0</v>
      </c>
      <c r="F46" s="1072">
        <v>6.893055555555556</v>
      </c>
      <c r="G46" s="1073">
        <v>435870.0</v>
      </c>
      <c r="H46" s="1072">
        <v>6.893055555555556</v>
      </c>
      <c r="I46" s="1073">
        <v>435870.0</v>
      </c>
      <c r="J46" s="1072">
        <v>6.893055555555556</v>
      </c>
      <c r="K46" s="1073">
        <v>435870.0</v>
      </c>
      <c r="L46" s="1072">
        <v>12.104166666666666</v>
      </c>
      <c r="M46" s="1075">
        <v>1310000.0</v>
      </c>
      <c r="N46" s="1076">
        <v>6.507638888888889</v>
      </c>
      <c r="O46" s="1073">
        <v>1510000.0</v>
      </c>
      <c r="P46" s="1124"/>
      <c r="Q46" s="1125"/>
      <c r="R46" s="1124"/>
      <c r="S46" s="1125"/>
      <c r="T46" s="1124"/>
      <c r="U46" s="1125"/>
      <c r="V46" s="1124"/>
      <c r="W46" s="1125"/>
      <c r="X46" s="1124"/>
      <c r="Y46" s="1125"/>
      <c r="Z46" s="1124"/>
      <c r="AA46" s="1125"/>
      <c r="AB46" s="1124"/>
      <c r="AC46" s="1125"/>
      <c r="AD46" s="1072">
        <v>47.517361111111114</v>
      </c>
      <c r="AE46" s="1080">
        <v>7.935314598E13</v>
      </c>
      <c r="AF46" s="1072">
        <v>47.517361111111114</v>
      </c>
      <c r="AG46" s="1080">
        <v>7.935314598E13</v>
      </c>
      <c r="AH46" s="1072">
        <v>47.517361111111114</v>
      </c>
      <c r="AI46" s="1080">
        <v>7.935314598E13</v>
      </c>
      <c r="AJ46" s="1081">
        <v>6.893055555555556</v>
      </c>
      <c r="AK46" s="1082">
        <v>435870.0</v>
      </c>
      <c r="AL46" s="1081">
        <v>6.893055555555556</v>
      </c>
      <c r="AM46" s="1082">
        <v>435870.0</v>
      </c>
      <c r="AN46" s="1081">
        <v>6.893055555555556</v>
      </c>
      <c r="AO46" s="1082">
        <v>435870.0</v>
      </c>
      <c r="AP46" s="1081">
        <v>6.893055555555556</v>
      </c>
      <c r="AQ46" s="1082">
        <v>435870.0</v>
      </c>
      <c r="AR46" s="1081">
        <v>6.893055555555556</v>
      </c>
      <c r="AS46" s="1082">
        <v>435880.0</v>
      </c>
      <c r="AT46" s="1081">
        <v>5902.9847222222215</v>
      </c>
      <c r="AU46" s="1082">
        <v>4.758E10</v>
      </c>
      <c r="AV46" s="1126"/>
      <c r="AW46" s="1125"/>
      <c r="AX46" s="1124"/>
      <c r="AY46" s="1175"/>
      <c r="AZ46" s="1124"/>
      <c r="BA46" s="1124"/>
      <c r="BB46" s="1083">
        <v>6.893055555555556</v>
      </c>
      <c r="BC46" s="1084">
        <v>435870.0</v>
      </c>
      <c r="BD46" s="1083">
        <v>6.893055555555556</v>
      </c>
      <c r="BE46" s="1084">
        <v>435870.0</v>
      </c>
      <c r="BF46" s="1083">
        <v>6.893055555555556</v>
      </c>
      <c r="BG46" s="1084">
        <v>435870.0</v>
      </c>
      <c r="BH46" s="1083">
        <v>200.61527777777778</v>
      </c>
      <c r="BI46" s="1084">
        <v>3.42E9</v>
      </c>
      <c r="BJ46" s="1124"/>
      <c r="BK46" s="1125"/>
      <c r="BL46" s="1124"/>
      <c r="BM46" s="1125"/>
      <c r="BN46" s="1124"/>
      <c r="BO46" s="1125"/>
      <c r="BP46" s="1124"/>
      <c r="BQ46" s="1125"/>
      <c r="BR46" s="1126"/>
      <c r="BS46" s="1125"/>
      <c r="BT46" s="1085">
        <v>7.074305555555556</v>
      </c>
      <c r="BU46" s="1086">
        <v>3.417E10</v>
      </c>
      <c r="BV46" s="1126"/>
      <c r="BW46" s="1126"/>
      <c r="BX46" s="1126"/>
      <c r="BY46" s="1126"/>
      <c r="BZ46" s="1126"/>
      <c r="CA46" s="1126"/>
      <c r="CB46" s="1126"/>
      <c r="CC46" s="1125"/>
      <c r="CD46" s="1083">
        <v>27.636446759259258</v>
      </c>
      <c r="CE46" s="1087">
        <v>4.2800000000000005E12</v>
      </c>
      <c r="CF46" s="1133"/>
      <c r="CG46" s="1167"/>
      <c r="CH46" s="1088">
        <v>6.893055555555556</v>
      </c>
      <c r="CI46" s="1089">
        <v>435880.0</v>
      </c>
      <c r="CJ46" s="1088">
        <v>6.893055555555556</v>
      </c>
      <c r="CK46" s="1089">
        <v>435880.0</v>
      </c>
      <c r="CL46" s="1088">
        <v>6.893055555555556</v>
      </c>
      <c r="CM46" s="1089">
        <v>435880.0</v>
      </c>
      <c r="CN46" s="1088">
        <v>6.893055555555556</v>
      </c>
      <c r="CO46" s="1089">
        <v>435880.0</v>
      </c>
      <c r="CP46" s="1088">
        <v>14.557638888888889</v>
      </c>
      <c r="CQ46" s="1089">
        <v>1510000.0</v>
      </c>
      <c r="CR46" s="1124"/>
      <c r="CS46" s="1125"/>
      <c r="CT46" s="1126"/>
      <c r="CU46" s="1125"/>
      <c r="CV46" s="1126"/>
      <c r="CW46" s="1125"/>
      <c r="CX46" s="1126"/>
      <c r="CY46" s="1125"/>
      <c r="CZ46" s="1126"/>
      <c r="DA46" s="1126"/>
      <c r="DB46" s="1126"/>
      <c r="DC46" s="1126"/>
      <c r="DD46" s="1126"/>
      <c r="DE46" s="1125"/>
      <c r="DF46" s="1124"/>
      <c r="DG46" s="1125"/>
      <c r="DH46" s="1124"/>
      <c r="DI46" s="1125"/>
      <c r="DJ46" s="1124"/>
      <c r="DK46" s="1125"/>
      <c r="DL46" s="1124"/>
      <c r="DM46" s="1125"/>
      <c r="DN46" s="1124"/>
      <c r="DO46" s="1125"/>
      <c r="DP46" s="1124"/>
      <c r="DQ46" s="1125"/>
      <c r="DR46" s="1124"/>
      <c r="DS46" s="1125"/>
      <c r="DT46" s="1124"/>
      <c r="DU46" s="1125"/>
      <c r="DV46" s="1126"/>
      <c r="DW46" s="1125"/>
      <c r="DX46" s="1124"/>
      <c r="DY46" s="1125"/>
      <c r="DZ46" s="1124"/>
      <c r="EA46" s="1125"/>
      <c r="EB46" s="1124"/>
      <c r="EC46" s="1125"/>
      <c r="ED46" s="1124"/>
      <c r="EE46" s="1125"/>
      <c r="EF46" s="1124"/>
      <c r="EG46" s="1125"/>
      <c r="EH46" s="1124"/>
      <c r="EI46" s="1125"/>
      <c r="EJ46" s="1169"/>
      <c r="EK46" s="1167"/>
      <c r="EL46" s="1169"/>
      <c r="EM46" s="1167"/>
      <c r="EN46" s="1124"/>
      <c r="EO46" s="1125"/>
      <c r="EP46" s="1124"/>
      <c r="EQ46" s="1125"/>
      <c r="ER46" s="1124"/>
      <c r="ES46" s="1125"/>
      <c r="ET46" s="1124"/>
      <c r="EU46" s="1125"/>
      <c r="EV46" s="1124"/>
      <c r="EW46" s="1125"/>
      <c r="EX46" s="1124"/>
      <c r="EY46" s="1125"/>
      <c r="EZ46" s="1124"/>
      <c r="FA46" s="1125"/>
      <c r="FB46" s="1126"/>
      <c r="FC46" s="1125"/>
      <c r="FD46" s="1126"/>
      <c r="FE46" s="1125"/>
      <c r="FF46" s="1126"/>
      <c r="FG46" s="1125"/>
      <c r="FH46" s="1126"/>
      <c r="FI46" s="1126"/>
      <c r="FJ46" s="1126"/>
      <c r="FK46" s="1125"/>
      <c r="FL46" s="1124"/>
      <c r="FM46" s="1125"/>
      <c r="FN46" s="1178"/>
      <c r="FO46" s="1125"/>
      <c r="FP46" s="1178"/>
      <c r="FQ46" s="1125"/>
      <c r="FR46" s="1178"/>
      <c r="FS46" s="1125"/>
      <c r="FT46" s="1139"/>
      <c r="FU46" s="1125"/>
      <c r="FV46" s="1139"/>
      <c r="FW46" s="1125"/>
      <c r="FX46" s="1179"/>
      <c r="FY46" s="1167"/>
      <c r="FZ46" s="1179"/>
      <c r="GA46" s="1167"/>
      <c r="GB46" s="1179"/>
      <c r="GC46" s="1167"/>
      <c r="GD46" s="1133"/>
      <c r="GE46" s="1167"/>
      <c r="GF46" s="1124"/>
      <c r="GG46" s="1125"/>
      <c r="GH46" s="1124"/>
      <c r="GI46" s="1125"/>
      <c r="GJ46" s="1126"/>
      <c r="GK46" s="1125"/>
      <c r="GL46" s="1124"/>
      <c r="GM46" s="1125"/>
      <c r="GN46" s="1126"/>
      <c r="GO46" s="1125"/>
      <c r="GP46" s="1126"/>
      <c r="GQ46" s="1125"/>
      <c r="GR46" s="1124"/>
      <c r="GS46" s="1125"/>
      <c r="GT46" s="1124"/>
      <c r="GU46" s="1125"/>
      <c r="GV46" s="1126"/>
      <c r="GW46" s="1125"/>
      <c r="GX46" s="1168"/>
      <c r="GY46" s="1133"/>
      <c r="GZ46" s="1124"/>
      <c r="HA46" s="1125"/>
      <c r="HB46" s="1107">
        <v>428.44097222222223</v>
      </c>
      <c r="HC46" s="1108">
        <v>2.94E12</v>
      </c>
      <c r="HD46" s="1124"/>
      <c r="HE46" s="1125"/>
      <c r="HF46" s="1124"/>
      <c r="HG46" s="1125"/>
      <c r="HH46" s="1124"/>
      <c r="HI46" s="1125"/>
      <c r="HJ46" s="1124"/>
      <c r="HK46" s="1125"/>
      <c r="HL46" s="1124"/>
      <c r="HM46" s="1125"/>
      <c r="HN46" s="1126"/>
      <c r="HO46" s="1125"/>
      <c r="HP46" s="1124"/>
      <c r="HQ46" s="1125"/>
      <c r="HR46" s="1124"/>
      <c r="HS46" s="1125"/>
      <c r="HT46" s="1124"/>
      <c r="HU46" s="1125"/>
      <c r="HV46" s="1124"/>
      <c r="HW46" s="1125"/>
      <c r="HX46" s="1124"/>
      <c r="HY46" s="1125"/>
      <c r="HZ46" s="1124"/>
      <c r="IA46" s="1125"/>
      <c r="IB46" s="1124"/>
      <c r="IC46" s="1125"/>
      <c r="ID46" s="1124"/>
      <c r="IE46" s="1125"/>
      <c r="IF46" s="1124"/>
      <c r="IG46" s="1125"/>
      <c r="IH46" s="1124"/>
      <c r="II46" s="1125"/>
      <c r="IJ46" s="1124"/>
      <c r="IK46" s="1125"/>
      <c r="IL46" s="1124"/>
      <c r="IM46" s="1125"/>
      <c r="IN46" s="1124"/>
      <c r="IO46" s="1125"/>
      <c r="IP46" s="1124"/>
      <c r="IQ46" s="1125"/>
      <c r="IR46" s="1124"/>
      <c r="IS46" s="1125"/>
      <c r="IT46" s="1124"/>
      <c r="IU46" s="1125"/>
      <c r="IV46" s="1124"/>
      <c r="IW46" s="1125"/>
      <c r="IX46" s="1124"/>
      <c r="IY46" s="1125"/>
      <c r="IZ46" s="1124"/>
      <c r="JA46" s="1125"/>
      <c r="JB46" s="1124"/>
      <c r="JC46" s="1125"/>
      <c r="JD46" s="1124"/>
      <c r="JE46" s="1125"/>
      <c r="JF46" s="1124"/>
      <c r="JG46" s="1125"/>
      <c r="JH46" s="1124"/>
      <c r="JI46" s="1125"/>
      <c r="JJ46" s="1169"/>
      <c r="JK46" s="1167"/>
      <c r="JL46" s="1169"/>
      <c r="JM46" s="1167"/>
      <c r="JN46" s="1169"/>
      <c r="JO46" s="1167"/>
      <c r="JP46" s="1169"/>
      <c r="JQ46" s="1167"/>
      <c r="JR46" s="1169"/>
      <c r="JS46" s="1167"/>
      <c r="JT46" s="1169"/>
      <c r="JU46" s="1167"/>
      <c r="JV46" s="1169"/>
      <c r="JW46" s="1167"/>
      <c r="JX46" s="1169"/>
      <c r="JY46" s="1133"/>
      <c r="JZ46" s="1173">
        <v>3.910358796</v>
      </c>
      <c r="KA46" s="1120">
        <v>5.145E10</v>
      </c>
      <c r="KB46" s="1173">
        <v>9.625798611</v>
      </c>
      <c r="KC46" s="1174">
        <v>2.3852E11</v>
      </c>
      <c r="KD46" s="1169"/>
      <c r="KE46" s="1133"/>
      <c r="KF46" s="1133"/>
      <c r="KG46" s="1133"/>
      <c r="KH46" s="1133"/>
      <c r="KI46" s="1133"/>
      <c r="KJ46" s="1133"/>
      <c r="KK46" s="1133"/>
      <c r="KL46" s="1133"/>
      <c r="KM46" s="1133"/>
      <c r="KN46" s="1133"/>
      <c r="KO46" s="1133"/>
      <c r="KP46" s="1133"/>
      <c r="KQ46" s="1133"/>
      <c r="KR46" s="1133"/>
      <c r="KS46" s="1133"/>
      <c r="KT46" s="1133"/>
      <c r="KU46" s="1133"/>
      <c r="KV46" s="1133"/>
      <c r="KW46" s="1133"/>
      <c r="KX46" s="1133"/>
      <c r="KY46" s="1133"/>
      <c r="KZ46" s="1133"/>
      <c r="LA46" s="1133"/>
      <c r="LB46" s="1133"/>
      <c r="LC46" s="1133"/>
      <c r="LD46" s="1133"/>
      <c r="LE46" s="1133"/>
      <c r="LF46" s="1133"/>
      <c r="LG46" s="1133"/>
      <c r="LH46" s="1133"/>
      <c r="LI46" s="1133"/>
      <c r="LJ46" s="1133"/>
      <c r="LK46" s="1133"/>
      <c r="LL46" s="1133"/>
      <c r="LM46" s="1133"/>
      <c r="LN46" s="1133"/>
      <c r="LO46" s="1133"/>
      <c r="LP46" s="1133"/>
      <c r="LQ46" s="1133"/>
      <c r="LR46" s="1133"/>
      <c r="LS46" s="1133"/>
      <c r="LT46" s="1133"/>
      <c r="LU46" s="1133"/>
      <c r="LV46" s="1133"/>
      <c r="LW46" s="1133"/>
      <c r="LX46" s="1133"/>
      <c r="LY46" s="1133"/>
      <c r="LZ46" s="1133"/>
      <c r="MA46" s="1133"/>
      <c r="MB46" s="1133"/>
      <c r="MC46" s="1133"/>
      <c r="MD46" s="1133"/>
      <c r="ME46" s="1133"/>
      <c r="MF46" s="1133"/>
      <c r="MG46" s="1133"/>
      <c r="MH46" s="1133"/>
      <c r="MI46" s="1133"/>
      <c r="MJ46" s="1133"/>
      <c r="MK46" s="1133"/>
      <c r="ML46" s="1133"/>
      <c r="MM46" s="1133"/>
      <c r="MN46" s="1133"/>
      <c r="MO46" s="1133"/>
      <c r="MP46" s="1133"/>
      <c r="MQ46" s="1133"/>
      <c r="MR46" s="1133"/>
      <c r="MS46" s="1133"/>
      <c r="MT46" s="1133"/>
      <c r="MU46" s="1133"/>
      <c r="MV46" s="1133"/>
      <c r="MW46" s="1133"/>
      <c r="MX46" s="1133"/>
      <c r="MY46" s="1133"/>
    </row>
    <row r="47">
      <c r="A47" s="1071">
        <v>45.0</v>
      </c>
      <c r="B47" s="1124"/>
      <c r="C47" s="1126"/>
      <c r="D47" s="1072">
        <v>7.279166666666667</v>
      </c>
      <c r="E47" s="1073">
        <v>464260.0</v>
      </c>
      <c r="F47" s="1072">
        <v>7.279166666666667</v>
      </c>
      <c r="G47" s="1073">
        <v>464260.0</v>
      </c>
      <c r="H47" s="1072">
        <v>7.279166666666667</v>
      </c>
      <c r="I47" s="1073">
        <v>464260.0</v>
      </c>
      <c r="J47" s="1072">
        <v>7.279166666666667</v>
      </c>
      <c r="K47" s="1073">
        <v>464260.0</v>
      </c>
      <c r="L47" s="1072">
        <v>12.82638888888889</v>
      </c>
      <c r="M47" s="1075">
        <v>1400000.0</v>
      </c>
      <c r="N47" s="1076">
        <v>6.822222222222222</v>
      </c>
      <c r="O47" s="1073">
        <v>1620000.0</v>
      </c>
      <c r="P47" s="1124"/>
      <c r="Q47" s="1125"/>
      <c r="R47" s="1124"/>
      <c r="S47" s="1125"/>
      <c r="T47" s="1124"/>
      <c r="U47" s="1125"/>
      <c r="V47" s="1124"/>
      <c r="W47" s="1125"/>
      <c r="X47" s="1124"/>
      <c r="Y47" s="1125"/>
      <c r="Z47" s="1124"/>
      <c r="AA47" s="1125"/>
      <c r="AB47" s="1124"/>
      <c r="AC47" s="1125"/>
      <c r="AD47" s="1072">
        <v>48.59722222222222</v>
      </c>
      <c r="AE47" s="1080">
        <v>1.031590898E14</v>
      </c>
      <c r="AF47" s="1072">
        <v>48.59722222222222</v>
      </c>
      <c r="AG47" s="1080">
        <v>1.031590898E14</v>
      </c>
      <c r="AH47" s="1072">
        <v>48.59722222222222</v>
      </c>
      <c r="AI47" s="1080">
        <v>1.031590898E14</v>
      </c>
      <c r="AJ47" s="1081">
        <v>7.279166666666667</v>
      </c>
      <c r="AK47" s="1082">
        <v>464260.0</v>
      </c>
      <c r="AL47" s="1081">
        <v>7.279166666666667</v>
      </c>
      <c r="AM47" s="1082">
        <v>464260.0</v>
      </c>
      <c r="AN47" s="1081">
        <v>7.279166666666667</v>
      </c>
      <c r="AO47" s="1082">
        <v>464260.0</v>
      </c>
      <c r="AP47" s="1081">
        <v>7.279166666666667</v>
      </c>
      <c r="AQ47" s="1082">
        <v>464260.0</v>
      </c>
      <c r="AR47" s="1081">
        <v>7.279166666666667</v>
      </c>
      <c r="AS47" s="1082">
        <v>464270.0</v>
      </c>
      <c r="AT47" s="1081">
        <v>6499.316666666667</v>
      </c>
      <c r="AU47" s="1082">
        <v>5.3E10</v>
      </c>
      <c r="AV47" s="1126"/>
      <c r="AW47" s="1125"/>
      <c r="AX47" s="1124"/>
      <c r="AY47" s="1175"/>
      <c r="AZ47" s="1124"/>
      <c r="BA47" s="1124"/>
      <c r="BB47" s="1083">
        <v>7.279166666666667</v>
      </c>
      <c r="BC47" s="1084">
        <v>464260.0</v>
      </c>
      <c r="BD47" s="1083">
        <v>7.279166666666667</v>
      </c>
      <c r="BE47" s="1084">
        <v>464260.0</v>
      </c>
      <c r="BF47" s="1083">
        <v>7.279166666666667</v>
      </c>
      <c r="BG47" s="1084">
        <v>464260.0</v>
      </c>
      <c r="BH47" s="1083">
        <v>216.34097222222223</v>
      </c>
      <c r="BI47" s="1084">
        <v>3.75E9</v>
      </c>
      <c r="BJ47" s="1124"/>
      <c r="BK47" s="1125"/>
      <c r="BL47" s="1124"/>
      <c r="BM47" s="1125"/>
      <c r="BN47" s="1124"/>
      <c r="BO47" s="1125"/>
      <c r="BP47" s="1124"/>
      <c r="BQ47" s="1125"/>
      <c r="BR47" s="1126"/>
      <c r="BS47" s="1125"/>
      <c r="BT47" s="1085">
        <v>7.459722222222222</v>
      </c>
      <c r="BU47" s="1086">
        <v>3.631E10</v>
      </c>
      <c r="BV47" s="1126"/>
      <c r="BW47" s="1126"/>
      <c r="BX47" s="1126"/>
      <c r="BY47" s="1126"/>
      <c r="BZ47" s="1126"/>
      <c r="CA47" s="1126"/>
      <c r="CB47" s="1126"/>
      <c r="CC47" s="1125"/>
      <c r="CD47" s="1083">
        <v>29.075335648148148</v>
      </c>
      <c r="CE47" s="1087">
        <v>4.56E12</v>
      </c>
      <c r="CF47" s="1133"/>
      <c r="CG47" s="1167"/>
      <c r="CH47" s="1088">
        <v>7.279166666666667</v>
      </c>
      <c r="CI47" s="1089">
        <v>464270.0</v>
      </c>
      <c r="CJ47" s="1088">
        <v>7.279166666666667</v>
      </c>
      <c r="CK47" s="1089">
        <v>464270.0</v>
      </c>
      <c r="CL47" s="1088">
        <v>7.279166666666667</v>
      </c>
      <c r="CM47" s="1089">
        <v>464270.0</v>
      </c>
      <c r="CN47" s="1088">
        <v>7.279166666666667</v>
      </c>
      <c r="CO47" s="1089">
        <v>464270.0</v>
      </c>
      <c r="CP47" s="1088">
        <v>15.444444444444445</v>
      </c>
      <c r="CQ47" s="1089">
        <v>1620000.0</v>
      </c>
      <c r="CR47" s="1124"/>
      <c r="CS47" s="1125"/>
      <c r="CT47" s="1126"/>
      <c r="CU47" s="1125"/>
      <c r="CV47" s="1126"/>
      <c r="CW47" s="1125"/>
      <c r="CX47" s="1126"/>
      <c r="CY47" s="1125"/>
      <c r="CZ47" s="1126"/>
      <c r="DA47" s="1126"/>
      <c r="DB47" s="1126"/>
      <c r="DC47" s="1126"/>
      <c r="DD47" s="1126"/>
      <c r="DE47" s="1125"/>
      <c r="DF47" s="1124"/>
      <c r="DG47" s="1125"/>
      <c r="DH47" s="1124"/>
      <c r="DI47" s="1125"/>
      <c r="DJ47" s="1124"/>
      <c r="DK47" s="1125"/>
      <c r="DL47" s="1124"/>
      <c r="DM47" s="1125"/>
      <c r="DN47" s="1124"/>
      <c r="DO47" s="1125"/>
      <c r="DP47" s="1124"/>
      <c r="DQ47" s="1125"/>
      <c r="DR47" s="1124"/>
      <c r="DS47" s="1125"/>
      <c r="DT47" s="1124"/>
      <c r="DU47" s="1125"/>
      <c r="DV47" s="1126"/>
      <c r="DW47" s="1125"/>
      <c r="DX47" s="1124"/>
      <c r="DY47" s="1125"/>
      <c r="DZ47" s="1124"/>
      <c r="EA47" s="1125"/>
      <c r="EB47" s="1124"/>
      <c r="EC47" s="1125"/>
      <c r="ED47" s="1124"/>
      <c r="EE47" s="1125"/>
      <c r="EF47" s="1124"/>
      <c r="EG47" s="1125"/>
      <c r="EH47" s="1124"/>
      <c r="EI47" s="1125"/>
      <c r="EJ47" s="1169"/>
      <c r="EK47" s="1167"/>
      <c r="EL47" s="1169"/>
      <c r="EM47" s="1167"/>
      <c r="EN47" s="1124"/>
      <c r="EO47" s="1125"/>
      <c r="EP47" s="1124"/>
      <c r="EQ47" s="1125"/>
      <c r="ER47" s="1124"/>
      <c r="ES47" s="1125"/>
      <c r="ET47" s="1124"/>
      <c r="EU47" s="1125"/>
      <c r="EV47" s="1124"/>
      <c r="EW47" s="1125"/>
      <c r="EX47" s="1124"/>
      <c r="EY47" s="1125"/>
      <c r="EZ47" s="1124"/>
      <c r="FA47" s="1125"/>
      <c r="FB47" s="1126"/>
      <c r="FC47" s="1125"/>
      <c r="FD47" s="1126"/>
      <c r="FE47" s="1125"/>
      <c r="FF47" s="1126"/>
      <c r="FG47" s="1125"/>
      <c r="FH47" s="1126"/>
      <c r="FI47" s="1126"/>
      <c r="FJ47" s="1126"/>
      <c r="FK47" s="1125"/>
      <c r="FL47" s="1124"/>
      <c r="FM47" s="1125"/>
      <c r="FN47" s="1178"/>
      <c r="FO47" s="1125"/>
      <c r="FP47" s="1178"/>
      <c r="FQ47" s="1125"/>
      <c r="FR47" s="1178"/>
      <c r="FS47" s="1125"/>
      <c r="FT47" s="1139"/>
      <c r="FU47" s="1125"/>
      <c r="FV47" s="1139"/>
      <c r="FW47" s="1125"/>
      <c r="FX47" s="1179"/>
      <c r="FY47" s="1167"/>
      <c r="FZ47" s="1179"/>
      <c r="GA47" s="1167"/>
      <c r="GB47" s="1179"/>
      <c r="GC47" s="1167"/>
      <c r="GD47" s="1133"/>
      <c r="GE47" s="1167"/>
      <c r="GF47" s="1124"/>
      <c r="GG47" s="1125"/>
      <c r="GH47" s="1124"/>
      <c r="GI47" s="1125"/>
      <c r="GJ47" s="1126"/>
      <c r="GK47" s="1125"/>
      <c r="GL47" s="1124"/>
      <c r="GM47" s="1125"/>
      <c r="GN47" s="1126"/>
      <c r="GO47" s="1125"/>
      <c r="GP47" s="1126"/>
      <c r="GQ47" s="1125"/>
      <c r="GR47" s="1124"/>
      <c r="GS47" s="1125"/>
      <c r="GT47" s="1124"/>
      <c r="GU47" s="1125"/>
      <c r="GV47" s="1126"/>
      <c r="GW47" s="1125"/>
      <c r="GX47" s="1168"/>
      <c r="GY47" s="1133"/>
      <c r="GZ47" s="1124"/>
      <c r="HA47" s="1125"/>
      <c r="HB47" s="1107">
        <v>463.97291666666666</v>
      </c>
      <c r="HC47" s="1108">
        <v>3.3E12</v>
      </c>
      <c r="HD47" s="1124"/>
      <c r="HE47" s="1125"/>
      <c r="HF47" s="1124"/>
      <c r="HG47" s="1125"/>
      <c r="HH47" s="1124"/>
      <c r="HI47" s="1125"/>
      <c r="HJ47" s="1124"/>
      <c r="HK47" s="1125"/>
      <c r="HL47" s="1124"/>
      <c r="HM47" s="1125"/>
      <c r="HN47" s="1126"/>
      <c r="HO47" s="1125"/>
      <c r="HP47" s="1124"/>
      <c r="HQ47" s="1125"/>
      <c r="HR47" s="1124"/>
      <c r="HS47" s="1125"/>
      <c r="HT47" s="1124"/>
      <c r="HU47" s="1125"/>
      <c r="HV47" s="1124"/>
      <c r="HW47" s="1125"/>
      <c r="HX47" s="1124"/>
      <c r="HY47" s="1125"/>
      <c r="HZ47" s="1124"/>
      <c r="IA47" s="1125"/>
      <c r="IB47" s="1124"/>
      <c r="IC47" s="1125"/>
      <c r="ID47" s="1124"/>
      <c r="IE47" s="1125"/>
      <c r="IF47" s="1124"/>
      <c r="IG47" s="1125"/>
      <c r="IH47" s="1124"/>
      <c r="II47" s="1125"/>
      <c r="IJ47" s="1124"/>
      <c r="IK47" s="1125"/>
      <c r="IL47" s="1124"/>
      <c r="IM47" s="1125"/>
      <c r="IN47" s="1124"/>
      <c r="IO47" s="1125"/>
      <c r="IP47" s="1124"/>
      <c r="IQ47" s="1125"/>
      <c r="IR47" s="1124"/>
      <c r="IS47" s="1125"/>
      <c r="IT47" s="1124"/>
      <c r="IU47" s="1125"/>
      <c r="IV47" s="1124"/>
      <c r="IW47" s="1125"/>
      <c r="IX47" s="1124"/>
      <c r="IY47" s="1125"/>
      <c r="IZ47" s="1124"/>
      <c r="JA47" s="1125"/>
      <c r="JB47" s="1124"/>
      <c r="JC47" s="1125"/>
      <c r="JD47" s="1124"/>
      <c r="JE47" s="1125"/>
      <c r="JF47" s="1124"/>
      <c r="JG47" s="1125"/>
      <c r="JH47" s="1124"/>
      <c r="JI47" s="1125"/>
      <c r="JJ47" s="1169"/>
      <c r="JK47" s="1167"/>
      <c r="JL47" s="1169"/>
      <c r="JM47" s="1167"/>
      <c r="JN47" s="1169"/>
      <c r="JO47" s="1167"/>
      <c r="JP47" s="1169"/>
      <c r="JQ47" s="1167"/>
      <c r="JR47" s="1169"/>
      <c r="JS47" s="1167"/>
      <c r="JT47" s="1169"/>
      <c r="JU47" s="1167"/>
      <c r="JV47" s="1169"/>
      <c r="JW47" s="1167"/>
      <c r="JX47" s="1169"/>
      <c r="JY47" s="1133"/>
      <c r="JZ47" s="1173">
        <v>3.991006944</v>
      </c>
      <c r="KA47" s="1120">
        <v>5.475E10</v>
      </c>
      <c r="KB47" s="1173">
        <v>10.0430787</v>
      </c>
      <c r="KC47" s="1174">
        <v>2.5555E11</v>
      </c>
      <c r="KD47" s="1169"/>
      <c r="KE47" s="1133"/>
      <c r="KF47" s="1133"/>
      <c r="KG47" s="1133"/>
      <c r="KH47" s="1133"/>
      <c r="KI47" s="1133"/>
      <c r="KJ47" s="1133"/>
      <c r="KK47" s="1133"/>
      <c r="KL47" s="1133"/>
      <c r="KM47" s="1133"/>
      <c r="KN47" s="1133"/>
      <c r="KO47" s="1133"/>
      <c r="KP47" s="1133"/>
      <c r="KQ47" s="1133"/>
      <c r="KR47" s="1133"/>
      <c r="KS47" s="1133"/>
      <c r="KT47" s="1133"/>
      <c r="KU47" s="1133"/>
      <c r="KV47" s="1133"/>
      <c r="KW47" s="1133"/>
      <c r="KX47" s="1133"/>
      <c r="KY47" s="1133"/>
      <c r="KZ47" s="1133"/>
      <c r="LA47" s="1133"/>
      <c r="LB47" s="1133"/>
      <c r="LC47" s="1133"/>
      <c r="LD47" s="1133"/>
      <c r="LE47" s="1133"/>
      <c r="LF47" s="1133"/>
      <c r="LG47" s="1133"/>
      <c r="LH47" s="1133"/>
      <c r="LI47" s="1133"/>
      <c r="LJ47" s="1133"/>
      <c r="LK47" s="1133"/>
      <c r="LL47" s="1133"/>
      <c r="LM47" s="1133"/>
      <c r="LN47" s="1133"/>
      <c r="LO47" s="1133"/>
      <c r="LP47" s="1133"/>
      <c r="LQ47" s="1133"/>
      <c r="LR47" s="1133"/>
      <c r="LS47" s="1133"/>
      <c r="LT47" s="1133"/>
      <c r="LU47" s="1133"/>
      <c r="LV47" s="1133"/>
      <c r="LW47" s="1133"/>
      <c r="LX47" s="1133"/>
      <c r="LY47" s="1133"/>
      <c r="LZ47" s="1133"/>
      <c r="MA47" s="1133"/>
      <c r="MB47" s="1133"/>
      <c r="MC47" s="1133"/>
      <c r="MD47" s="1133"/>
      <c r="ME47" s="1133"/>
      <c r="MF47" s="1133"/>
      <c r="MG47" s="1133"/>
      <c r="MH47" s="1133"/>
      <c r="MI47" s="1133"/>
      <c r="MJ47" s="1133"/>
      <c r="MK47" s="1133"/>
      <c r="ML47" s="1133"/>
      <c r="MM47" s="1133"/>
      <c r="MN47" s="1133"/>
      <c r="MO47" s="1133"/>
      <c r="MP47" s="1133"/>
      <c r="MQ47" s="1133"/>
      <c r="MR47" s="1133"/>
      <c r="MS47" s="1133"/>
      <c r="MT47" s="1133"/>
      <c r="MU47" s="1133"/>
      <c r="MV47" s="1133"/>
      <c r="MW47" s="1133"/>
      <c r="MX47" s="1133"/>
      <c r="MY47" s="1133"/>
    </row>
    <row r="48">
      <c r="A48" s="1071">
        <v>46.0</v>
      </c>
      <c r="B48" s="1124"/>
      <c r="C48" s="1126"/>
      <c r="D48" s="1072">
        <v>7.677083333333333</v>
      </c>
      <c r="E48" s="1073">
        <v>493810.0</v>
      </c>
      <c r="F48" s="1072">
        <v>7.677083333333333</v>
      </c>
      <c r="G48" s="1073">
        <v>493810.0</v>
      </c>
      <c r="H48" s="1072">
        <v>7.677083333333333</v>
      </c>
      <c r="I48" s="1073">
        <v>493810.0</v>
      </c>
      <c r="J48" s="1072">
        <v>7.677083333333333</v>
      </c>
      <c r="K48" s="1073">
        <v>493810.0</v>
      </c>
      <c r="L48" s="1072">
        <v>13.573611111111111</v>
      </c>
      <c r="M48" s="1075">
        <v>1500000.0</v>
      </c>
      <c r="N48" s="1076">
        <v>7.14375</v>
      </c>
      <c r="O48" s="1073">
        <v>1730000.0</v>
      </c>
      <c r="P48" s="1124"/>
      <c r="Q48" s="1125"/>
      <c r="R48" s="1124"/>
      <c r="S48" s="1125"/>
      <c r="T48" s="1124"/>
      <c r="U48" s="1125"/>
      <c r="V48" s="1124"/>
      <c r="W48" s="1125"/>
      <c r="X48" s="1124"/>
      <c r="Y48" s="1125"/>
      <c r="Z48" s="1124"/>
      <c r="AA48" s="1125"/>
      <c r="AB48" s="1124"/>
      <c r="AC48" s="1125"/>
      <c r="AD48" s="1072">
        <v>49.67777777777778</v>
      </c>
      <c r="AE48" s="1080">
        <v>1.341068167E14</v>
      </c>
      <c r="AF48" s="1072">
        <v>49.67777777777778</v>
      </c>
      <c r="AG48" s="1080">
        <v>1.341068167E14</v>
      </c>
      <c r="AH48" s="1072">
        <v>49.67777777777778</v>
      </c>
      <c r="AI48" s="1080">
        <v>1.341068167E14</v>
      </c>
      <c r="AJ48" s="1081">
        <v>7.677083333333333</v>
      </c>
      <c r="AK48" s="1082">
        <v>493810.0</v>
      </c>
      <c r="AL48" s="1081">
        <v>7.677083333333333</v>
      </c>
      <c r="AM48" s="1082">
        <v>493810.0</v>
      </c>
      <c r="AN48" s="1081">
        <v>7.677083333333333</v>
      </c>
      <c r="AO48" s="1082">
        <v>493810.0</v>
      </c>
      <c r="AP48" s="1081">
        <v>7.677083333333333</v>
      </c>
      <c r="AQ48" s="1082">
        <v>493810.0</v>
      </c>
      <c r="AR48" s="1081">
        <v>7.677777777777778</v>
      </c>
      <c r="AS48" s="1082">
        <v>493820.0</v>
      </c>
      <c r="AT48" s="1081">
        <v>7140.5875</v>
      </c>
      <c r="AU48" s="1082">
        <v>5.891E10</v>
      </c>
      <c r="AV48" s="1126"/>
      <c r="AW48" s="1125"/>
      <c r="AX48" s="1124"/>
      <c r="AY48" s="1175"/>
      <c r="AZ48" s="1124"/>
      <c r="BA48" s="1124"/>
      <c r="BB48" s="1083">
        <v>7.677083333333333</v>
      </c>
      <c r="BC48" s="1084">
        <v>493810.0</v>
      </c>
      <c r="BD48" s="1083">
        <v>7.677083333333333</v>
      </c>
      <c r="BE48" s="1084">
        <v>493810.0</v>
      </c>
      <c r="BF48" s="1083">
        <v>7.677083333333333</v>
      </c>
      <c r="BG48" s="1084">
        <v>493810.0</v>
      </c>
      <c r="BH48" s="1083">
        <v>232.4923611111111</v>
      </c>
      <c r="BI48" s="1084">
        <v>4.1E9</v>
      </c>
      <c r="BJ48" s="1124"/>
      <c r="BK48" s="1125"/>
      <c r="BL48" s="1124"/>
      <c r="BM48" s="1125"/>
      <c r="BN48" s="1124"/>
      <c r="BO48" s="1125"/>
      <c r="BP48" s="1124"/>
      <c r="BQ48" s="1125"/>
      <c r="BR48" s="1126"/>
      <c r="BS48" s="1125"/>
      <c r="BT48" s="1085">
        <v>7.856944444444444</v>
      </c>
      <c r="BU48" s="1086">
        <v>3.855E10</v>
      </c>
      <c r="BV48" s="1126"/>
      <c r="BW48" s="1126"/>
      <c r="BX48" s="1126"/>
      <c r="BY48" s="1126"/>
      <c r="BZ48" s="1126"/>
      <c r="CA48" s="1126"/>
      <c r="CB48" s="1126"/>
      <c r="CC48" s="1125"/>
      <c r="CD48" s="1083">
        <v>30.566805555555554</v>
      </c>
      <c r="CE48" s="1087">
        <v>4.86E12</v>
      </c>
      <c r="CF48" s="1133"/>
      <c r="CG48" s="1167"/>
      <c r="CH48" s="1088">
        <v>7.677777777777778</v>
      </c>
      <c r="CI48" s="1089">
        <v>493820.0</v>
      </c>
      <c r="CJ48" s="1088">
        <v>7.677777777777778</v>
      </c>
      <c r="CK48" s="1089">
        <v>493820.0</v>
      </c>
      <c r="CL48" s="1088">
        <v>7.677777777777778</v>
      </c>
      <c r="CM48" s="1089">
        <v>493820.0</v>
      </c>
      <c r="CN48" s="1088">
        <v>7.677777777777778</v>
      </c>
      <c r="CO48" s="1089">
        <v>493820.0</v>
      </c>
      <c r="CP48" s="1088">
        <v>16.364583333333332</v>
      </c>
      <c r="CQ48" s="1089">
        <v>1730000.0</v>
      </c>
      <c r="CR48" s="1124"/>
      <c r="CS48" s="1125"/>
      <c r="CT48" s="1126"/>
      <c r="CU48" s="1125"/>
      <c r="CV48" s="1126"/>
      <c r="CW48" s="1125"/>
      <c r="CX48" s="1126"/>
      <c r="CY48" s="1125"/>
      <c r="CZ48" s="1126"/>
      <c r="DA48" s="1126"/>
      <c r="DB48" s="1126"/>
      <c r="DC48" s="1126"/>
      <c r="DD48" s="1126"/>
      <c r="DE48" s="1125"/>
      <c r="DF48" s="1124"/>
      <c r="DG48" s="1125"/>
      <c r="DH48" s="1124"/>
      <c r="DI48" s="1125"/>
      <c r="DJ48" s="1124"/>
      <c r="DK48" s="1125"/>
      <c r="DL48" s="1124"/>
      <c r="DM48" s="1125"/>
      <c r="DN48" s="1124"/>
      <c r="DO48" s="1125"/>
      <c r="DP48" s="1124"/>
      <c r="DQ48" s="1125"/>
      <c r="DR48" s="1124"/>
      <c r="DS48" s="1125"/>
      <c r="DT48" s="1124"/>
      <c r="DU48" s="1125"/>
      <c r="DV48" s="1126"/>
      <c r="DW48" s="1125"/>
      <c r="DX48" s="1124"/>
      <c r="DY48" s="1125"/>
      <c r="DZ48" s="1124"/>
      <c r="EA48" s="1125"/>
      <c r="EB48" s="1124"/>
      <c r="EC48" s="1125"/>
      <c r="ED48" s="1124"/>
      <c r="EE48" s="1125"/>
      <c r="EF48" s="1124"/>
      <c r="EG48" s="1125"/>
      <c r="EH48" s="1124"/>
      <c r="EI48" s="1125"/>
      <c r="EJ48" s="1169"/>
      <c r="EK48" s="1167"/>
      <c r="EL48" s="1169"/>
      <c r="EM48" s="1167"/>
      <c r="EN48" s="1124"/>
      <c r="EO48" s="1125"/>
      <c r="EP48" s="1124"/>
      <c r="EQ48" s="1125"/>
      <c r="ER48" s="1124"/>
      <c r="ES48" s="1125"/>
      <c r="ET48" s="1124"/>
      <c r="EU48" s="1125"/>
      <c r="EV48" s="1124"/>
      <c r="EW48" s="1125"/>
      <c r="EX48" s="1124"/>
      <c r="EY48" s="1125"/>
      <c r="EZ48" s="1124"/>
      <c r="FA48" s="1125"/>
      <c r="FB48" s="1126"/>
      <c r="FC48" s="1125"/>
      <c r="FD48" s="1126"/>
      <c r="FE48" s="1125"/>
      <c r="FF48" s="1126"/>
      <c r="FG48" s="1125"/>
      <c r="FH48" s="1126"/>
      <c r="FI48" s="1126"/>
      <c r="FJ48" s="1126"/>
      <c r="FK48" s="1125"/>
      <c r="FL48" s="1124"/>
      <c r="FM48" s="1125"/>
      <c r="FN48" s="1178"/>
      <c r="FO48" s="1125"/>
      <c r="FP48" s="1178"/>
      <c r="FQ48" s="1125"/>
      <c r="FR48" s="1178"/>
      <c r="FS48" s="1125"/>
      <c r="FT48" s="1139"/>
      <c r="FU48" s="1125"/>
      <c r="FV48" s="1139"/>
      <c r="FW48" s="1125"/>
      <c r="FX48" s="1179"/>
      <c r="FY48" s="1167"/>
      <c r="FZ48" s="1179"/>
      <c r="GA48" s="1167"/>
      <c r="GB48" s="1179"/>
      <c r="GC48" s="1167"/>
      <c r="GD48" s="1133"/>
      <c r="GE48" s="1167"/>
      <c r="GF48" s="1124"/>
      <c r="GG48" s="1125"/>
      <c r="GH48" s="1124"/>
      <c r="GI48" s="1125"/>
      <c r="GJ48" s="1126"/>
      <c r="GK48" s="1125"/>
      <c r="GL48" s="1124"/>
      <c r="GM48" s="1125"/>
      <c r="GN48" s="1126"/>
      <c r="GO48" s="1125"/>
      <c r="GP48" s="1126"/>
      <c r="GQ48" s="1125"/>
      <c r="GR48" s="1124"/>
      <c r="GS48" s="1125"/>
      <c r="GT48" s="1124"/>
      <c r="GU48" s="1125"/>
      <c r="GV48" s="1126"/>
      <c r="GW48" s="1125"/>
      <c r="GX48" s="1168"/>
      <c r="GY48" s="1133"/>
      <c r="GZ48" s="1124"/>
      <c r="HA48" s="1125"/>
      <c r="HB48" s="1107">
        <v>501.5729166666667</v>
      </c>
      <c r="HC48" s="1108">
        <v>3.69E12</v>
      </c>
      <c r="HD48" s="1124"/>
      <c r="HE48" s="1125"/>
      <c r="HF48" s="1124"/>
      <c r="HG48" s="1125"/>
      <c r="HH48" s="1124"/>
      <c r="HI48" s="1125"/>
      <c r="HJ48" s="1124"/>
      <c r="HK48" s="1125"/>
      <c r="HL48" s="1124"/>
      <c r="HM48" s="1125"/>
      <c r="HN48" s="1126"/>
      <c r="HO48" s="1125"/>
      <c r="HP48" s="1124"/>
      <c r="HQ48" s="1125"/>
      <c r="HR48" s="1124"/>
      <c r="HS48" s="1125"/>
      <c r="HT48" s="1124"/>
      <c r="HU48" s="1125"/>
      <c r="HV48" s="1124"/>
      <c r="HW48" s="1125"/>
      <c r="HX48" s="1124"/>
      <c r="HY48" s="1125"/>
      <c r="HZ48" s="1124"/>
      <c r="IA48" s="1125"/>
      <c r="IB48" s="1124"/>
      <c r="IC48" s="1125"/>
      <c r="ID48" s="1124"/>
      <c r="IE48" s="1125"/>
      <c r="IF48" s="1124"/>
      <c r="IG48" s="1125"/>
      <c r="IH48" s="1124"/>
      <c r="II48" s="1125"/>
      <c r="IJ48" s="1124"/>
      <c r="IK48" s="1125"/>
      <c r="IL48" s="1124"/>
      <c r="IM48" s="1125"/>
      <c r="IN48" s="1124"/>
      <c r="IO48" s="1125"/>
      <c r="IP48" s="1124"/>
      <c r="IQ48" s="1125"/>
      <c r="IR48" s="1124"/>
      <c r="IS48" s="1125"/>
      <c r="IT48" s="1124"/>
      <c r="IU48" s="1125"/>
      <c r="IV48" s="1124"/>
      <c r="IW48" s="1125"/>
      <c r="IX48" s="1124"/>
      <c r="IY48" s="1125"/>
      <c r="IZ48" s="1124"/>
      <c r="JA48" s="1125"/>
      <c r="JB48" s="1124"/>
      <c r="JC48" s="1125"/>
      <c r="JD48" s="1124"/>
      <c r="JE48" s="1125"/>
      <c r="JF48" s="1124"/>
      <c r="JG48" s="1125"/>
      <c r="JH48" s="1124"/>
      <c r="JI48" s="1125"/>
      <c r="JJ48" s="1169"/>
      <c r="JK48" s="1167"/>
      <c r="JL48" s="1169"/>
      <c r="JM48" s="1167"/>
      <c r="JN48" s="1169"/>
      <c r="JO48" s="1167"/>
      <c r="JP48" s="1169"/>
      <c r="JQ48" s="1167"/>
      <c r="JR48" s="1169"/>
      <c r="JS48" s="1167"/>
      <c r="JT48" s="1169"/>
      <c r="JU48" s="1167"/>
      <c r="JV48" s="1169"/>
      <c r="JW48" s="1167"/>
      <c r="JX48" s="1169"/>
      <c r="JY48" s="1133"/>
      <c r="JZ48" s="1173">
        <v>4.072592593</v>
      </c>
      <c r="KA48" s="1120">
        <v>5.817E10</v>
      </c>
      <c r="KB48" s="1173">
        <v>10.47270833</v>
      </c>
      <c r="KC48" s="1174">
        <v>2.7338E11</v>
      </c>
      <c r="KD48" s="1169"/>
      <c r="KE48" s="1133"/>
      <c r="KF48" s="1133"/>
      <c r="KG48" s="1133"/>
      <c r="KH48" s="1133"/>
      <c r="KI48" s="1133"/>
      <c r="KJ48" s="1133"/>
      <c r="KK48" s="1133"/>
      <c r="KL48" s="1133"/>
      <c r="KM48" s="1133"/>
      <c r="KN48" s="1133"/>
      <c r="KO48" s="1133"/>
      <c r="KP48" s="1133"/>
      <c r="KQ48" s="1133"/>
      <c r="KR48" s="1133"/>
      <c r="KS48" s="1133"/>
      <c r="KT48" s="1133"/>
      <c r="KU48" s="1133"/>
      <c r="KV48" s="1133"/>
      <c r="KW48" s="1133"/>
      <c r="KX48" s="1133"/>
      <c r="KY48" s="1133"/>
      <c r="KZ48" s="1133"/>
      <c r="LA48" s="1133"/>
      <c r="LB48" s="1133"/>
      <c r="LC48" s="1133"/>
      <c r="LD48" s="1133"/>
      <c r="LE48" s="1133"/>
      <c r="LF48" s="1133"/>
      <c r="LG48" s="1133"/>
      <c r="LH48" s="1133"/>
      <c r="LI48" s="1133"/>
      <c r="LJ48" s="1133"/>
      <c r="LK48" s="1133"/>
      <c r="LL48" s="1133"/>
      <c r="LM48" s="1133"/>
      <c r="LN48" s="1133"/>
      <c r="LO48" s="1133"/>
      <c r="LP48" s="1133"/>
      <c r="LQ48" s="1133"/>
      <c r="LR48" s="1133"/>
      <c r="LS48" s="1133"/>
      <c r="LT48" s="1133"/>
      <c r="LU48" s="1133"/>
      <c r="LV48" s="1133"/>
      <c r="LW48" s="1133"/>
      <c r="LX48" s="1133"/>
      <c r="LY48" s="1133"/>
      <c r="LZ48" s="1133"/>
      <c r="MA48" s="1133"/>
      <c r="MB48" s="1133"/>
      <c r="MC48" s="1133"/>
      <c r="MD48" s="1133"/>
      <c r="ME48" s="1133"/>
      <c r="MF48" s="1133"/>
      <c r="MG48" s="1133"/>
      <c r="MH48" s="1133"/>
      <c r="MI48" s="1133"/>
      <c r="MJ48" s="1133"/>
      <c r="MK48" s="1133"/>
      <c r="ML48" s="1133"/>
      <c r="MM48" s="1133"/>
      <c r="MN48" s="1133"/>
      <c r="MO48" s="1133"/>
      <c r="MP48" s="1133"/>
      <c r="MQ48" s="1133"/>
      <c r="MR48" s="1133"/>
      <c r="MS48" s="1133"/>
      <c r="MT48" s="1133"/>
      <c r="MU48" s="1133"/>
      <c r="MV48" s="1133"/>
      <c r="MW48" s="1133"/>
      <c r="MX48" s="1133"/>
      <c r="MY48" s="1133"/>
    </row>
    <row r="49">
      <c r="A49" s="1071">
        <v>47.0</v>
      </c>
      <c r="B49" s="1124"/>
      <c r="C49" s="1126"/>
      <c r="D49" s="1072">
        <v>8.088194444444444</v>
      </c>
      <c r="E49" s="1073">
        <v>524530.0</v>
      </c>
      <c r="F49" s="1072">
        <v>8.088194444444444</v>
      </c>
      <c r="G49" s="1073">
        <v>524530.0</v>
      </c>
      <c r="H49" s="1072">
        <v>8.088194444444444</v>
      </c>
      <c r="I49" s="1073">
        <v>524530.0</v>
      </c>
      <c r="J49" s="1072">
        <v>8.088194444444444</v>
      </c>
      <c r="K49" s="1073">
        <v>524530.0</v>
      </c>
      <c r="L49" s="1072">
        <v>14.346527777777778</v>
      </c>
      <c r="M49" s="1075">
        <v>1600000.0</v>
      </c>
      <c r="N49" s="1076">
        <v>7.472222222222222</v>
      </c>
      <c r="O49" s="1073">
        <v>1860000.0</v>
      </c>
      <c r="P49" s="1124"/>
      <c r="Q49" s="1125"/>
      <c r="R49" s="1124"/>
      <c r="S49" s="1125"/>
      <c r="T49" s="1124"/>
      <c r="U49" s="1125"/>
      <c r="V49" s="1124"/>
      <c r="W49" s="1125"/>
      <c r="X49" s="1124"/>
      <c r="Y49" s="1125"/>
      <c r="Z49" s="1124"/>
      <c r="AA49" s="1125"/>
      <c r="AB49" s="1124"/>
      <c r="AC49" s="1125"/>
      <c r="AD49" s="1072">
        <v>50.75763888888889</v>
      </c>
      <c r="AE49" s="1080">
        <v>1.743388617E14</v>
      </c>
      <c r="AF49" s="1072">
        <v>50.75763888888889</v>
      </c>
      <c r="AG49" s="1080">
        <v>1.743388617E14</v>
      </c>
      <c r="AH49" s="1072">
        <v>50.75763888888889</v>
      </c>
      <c r="AI49" s="1080">
        <v>1.743388617E14</v>
      </c>
      <c r="AJ49" s="1081">
        <v>8.088194444444444</v>
      </c>
      <c r="AK49" s="1082">
        <v>524530.0</v>
      </c>
      <c r="AL49" s="1081">
        <v>8.088194444444444</v>
      </c>
      <c r="AM49" s="1082">
        <v>524530.0</v>
      </c>
      <c r="AN49" s="1081">
        <v>8.088194444444444</v>
      </c>
      <c r="AO49" s="1082">
        <v>524530.0</v>
      </c>
      <c r="AP49" s="1081">
        <v>8.088194444444444</v>
      </c>
      <c r="AQ49" s="1082">
        <v>524530.0</v>
      </c>
      <c r="AR49" s="1081">
        <v>8.088194444444444</v>
      </c>
      <c r="AS49" s="1082">
        <v>524540.0</v>
      </c>
      <c r="AT49" s="1081">
        <v>7829.075000000001</v>
      </c>
      <c r="AU49" s="1082">
        <v>6.532E10</v>
      </c>
      <c r="AV49" s="1126"/>
      <c r="AW49" s="1125"/>
      <c r="AX49" s="1124"/>
      <c r="AY49" s="1175"/>
      <c r="AZ49" s="1124"/>
      <c r="BA49" s="1124"/>
      <c r="BB49" s="1083">
        <v>8.088194444444444</v>
      </c>
      <c r="BC49" s="1084">
        <v>524530.0</v>
      </c>
      <c r="BD49" s="1083">
        <v>8.088194444444444</v>
      </c>
      <c r="BE49" s="1084">
        <v>524530.0</v>
      </c>
      <c r="BF49" s="1083">
        <v>8.088194444444444</v>
      </c>
      <c r="BG49" s="1084">
        <v>524530.0</v>
      </c>
      <c r="BH49" s="1083">
        <v>250.34375</v>
      </c>
      <c r="BI49" s="1084">
        <v>4.48E9</v>
      </c>
      <c r="BJ49" s="1124"/>
      <c r="BK49" s="1125"/>
      <c r="BL49" s="1124"/>
      <c r="BM49" s="1125"/>
      <c r="BN49" s="1124"/>
      <c r="BO49" s="1125"/>
      <c r="BP49" s="1124"/>
      <c r="BQ49" s="1125"/>
      <c r="BR49" s="1126"/>
      <c r="BS49" s="1125"/>
      <c r="BT49" s="1085">
        <v>8.266666666666667</v>
      </c>
      <c r="BU49" s="1086">
        <v>4.09E10</v>
      </c>
      <c r="BV49" s="1126"/>
      <c r="BW49" s="1126"/>
      <c r="BX49" s="1126"/>
      <c r="BY49" s="1126"/>
      <c r="BZ49" s="1126"/>
      <c r="CA49" s="1126"/>
      <c r="CB49" s="1126"/>
      <c r="CC49" s="1125"/>
      <c r="CD49" s="1083">
        <v>32.11168981481482</v>
      </c>
      <c r="CE49" s="1087">
        <v>5.17E12</v>
      </c>
      <c r="CF49" s="1133"/>
      <c r="CG49" s="1167"/>
      <c r="CH49" s="1088">
        <v>8.088194444444444</v>
      </c>
      <c r="CI49" s="1089">
        <v>524540.0</v>
      </c>
      <c r="CJ49" s="1088">
        <v>8.088194444444444</v>
      </c>
      <c r="CK49" s="1089">
        <v>524540.0</v>
      </c>
      <c r="CL49" s="1088">
        <v>8.088194444444444</v>
      </c>
      <c r="CM49" s="1089">
        <v>524540.0</v>
      </c>
      <c r="CN49" s="1088">
        <v>8.088194444444444</v>
      </c>
      <c r="CO49" s="1089">
        <v>524540.0</v>
      </c>
      <c r="CP49" s="1088">
        <v>17.31736111111111</v>
      </c>
      <c r="CQ49" s="1089">
        <v>1860000.0</v>
      </c>
      <c r="CR49" s="1124"/>
      <c r="CS49" s="1125"/>
      <c r="CT49" s="1126"/>
      <c r="CU49" s="1125"/>
      <c r="CV49" s="1126"/>
      <c r="CW49" s="1125"/>
      <c r="CX49" s="1126"/>
      <c r="CY49" s="1125"/>
      <c r="CZ49" s="1126"/>
      <c r="DA49" s="1126"/>
      <c r="DB49" s="1126"/>
      <c r="DC49" s="1126"/>
      <c r="DD49" s="1126"/>
      <c r="DE49" s="1125"/>
      <c r="DF49" s="1124"/>
      <c r="DG49" s="1125"/>
      <c r="DH49" s="1124"/>
      <c r="DI49" s="1125"/>
      <c r="DJ49" s="1124"/>
      <c r="DK49" s="1125"/>
      <c r="DL49" s="1124"/>
      <c r="DM49" s="1125"/>
      <c r="DN49" s="1124"/>
      <c r="DO49" s="1125"/>
      <c r="DP49" s="1124"/>
      <c r="DQ49" s="1125"/>
      <c r="DR49" s="1124"/>
      <c r="DS49" s="1125"/>
      <c r="DT49" s="1124"/>
      <c r="DU49" s="1125"/>
      <c r="DV49" s="1126"/>
      <c r="DW49" s="1125"/>
      <c r="DX49" s="1124"/>
      <c r="DY49" s="1125"/>
      <c r="DZ49" s="1124"/>
      <c r="EA49" s="1125"/>
      <c r="EB49" s="1124"/>
      <c r="EC49" s="1125"/>
      <c r="ED49" s="1124"/>
      <c r="EE49" s="1125"/>
      <c r="EF49" s="1124"/>
      <c r="EG49" s="1125"/>
      <c r="EH49" s="1124"/>
      <c r="EI49" s="1125"/>
      <c r="EJ49" s="1169"/>
      <c r="EK49" s="1167"/>
      <c r="EL49" s="1169"/>
      <c r="EM49" s="1167"/>
      <c r="EN49" s="1124"/>
      <c r="EO49" s="1125"/>
      <c r="EP49" s="1124"/>
      <c r="EQ49" s="1125"/>
      <c r="ER49" s="1124"/>
      <c r="ES49" s="1125"/>
      <c r="ET49" s="1124"/>
      <c r="EU49" s="1125"/>
      <c r="EV49" s="1124"/>
      <c r="EW49" s="1125"/>
      <c r="EX49" s="1124"/>
      <c r="EY49" s="1125"/>
      <c r="EZ49" s="1124"/>
      <c r="FA49" s="1125"/>
      <c r="FB49" s="1126"/>
      <c r="FC49" s="1125"/>
      <c r="FD49" s="1126"/>
      <c r="FE49" s="1125"/>
      <c r="FF49" s="1126"/>
      <c r="FG49" s="1125"/>
      <c r="FH49" s="1126"/>
      <c r="FI49" s="1126"/>
      <c r="FJ49" s="1126"/>
      <c r="FK49" s="1125"/>
      <c r="FL49" s="1124"/>
      <c r="FM49" s="1125"/>
      <c r="FN49" s="1178"/>
      <c r="FO49" s="1125"/>
      <c r="FP49" s="1178"/>
      <c r="FQ49" s="1125"/>
      <c r="FR49" s="1178"/>
      <c r="FS49" s="1125"/>
      <c r="FT49" s="1139"/>
      <c r="FU49" s="1125"/>
      <c r="FV49" s="1139"/>
      <c r="FW49" s="1125"/>
      <c r="FX49" s="1179"/>
      <c r="FY49" s="1167"/>
      <c r="FZ49" s="1179"/>
      <c r="GA49" s="1167"/>
      <c r="GB49" s="1179"/>
      <c r="GC49" s="1167"/>
      <c r="GD49" s="1133"/>
      <c r="GE49" s="1167"/>
      <c r="GF49" s="1124"/>
      <c r="GG49" s="1125"/>
      <c r="GH49" s="1124"/>
      <c r="GI49" s="1125"/>
      <c r="GJ49" s="1126"/>
      <c r="GK49" s="1125"/>
      <c r="GL49" s="1124"/>
      <c r="GM49" s="1125"/>
      <c r="GN49" s="1126"/>
      <c r="GO49" s="1125"/>
      <c r="GP49" s="1126"/>
      <c r="GQ49" s="1125"/>
      <c r="GR49" s="1124"/>
      <c r="GS49" s="1125"/>
      <c r="GT49" s="1124"/>
      <c r="GU49" s="1125"/>
      <c r="GV49" s="1126"/>
      <c r="GW49" s="1125"/>
      <c r="GX49" s="1168"/>
      <c r="GY49" s="1133"/>
      <c r="GZ49" s="1124"/>
      <c r="HA49" s="1125"/>
      <c r="HB49" s="1107">
        <v>541.3138888888889</v>
      </c>
      <c r="HC49" s="1108">
        <v>4.12E12</v>
      </c>
      <c r="HD49" s="1124"/>
      <c r="HE49" s="1125"/>
      <c r="HF49" s="1124"/>
      <c r="HG49" s="1125"/>
      <c r="HH49" s="1124"/>
      <c r="HI49" s="1125"/>
      <c r="HJ49" s="1124"/>
      <c r="HK49" s="1125"/>
      <c r="HL49" s="1124"/>
      <c r="HM49" s="1125"/>
      <c r="HN49" s="1126"/>
      <c r="HO49" s="1125"/>
      <c r="HP49" s="1124"/>
      <c r="HQ49" s="1125"/>
      <c r="HR49" s="1124"/>
      <c r="HS49" s="1125"/>
      <c r="HT49" s="1124"/>
      <c r="HU49" s="1125"/>
      <c r="HV49" s="1124"/>
      <c r="HW49" s="1125"/>
      <c r="HX49" s="1124"/>
      <c r="HY49" s="1125"/>
      <c r="HZ49" s="1124"/>
      <c r="IA49" s="1125"/>
      <c r="IB49" s="1124"/>
      <c r="IC49" s="1125"/>
      <c r="ID49" s="1124"/>
      <c r="IE49" s="1125"/>
      <c r="IF49" s="1124"/>
      <c r="IG49" s="1125"/>
      <c r="IH49" s="1124"/>
      <c r="II49" s="1125"/>
      <c r="IJ49" s="1124"/>
      <c r="IK49" s="1125"/>
      <c r="IL49" s="1124"/>
      <c r="IM49" s="1125"/>
      <c r="IN49" s="1124"/>
      <c r="IO49" s="1125"/>
      <c r="IP49" s="1124"/>
      <c r="IQ49" s="1125"/>
      <c r="IR49" s="1124"/>
      <c r="IS49" s="1125"/>
      <c r="IT49" s="1124"/>
      <c r="IU49" s="1125"/>
      <c r="IV49" s="1124"/>
      <c r="IW49" s="1125"/>
      <c r="IX49" s="1124"/>
      <c r="IY49" s="1125"/>
      <c r="IZ49" s="1124"/>
      <c r="JA49" s="1125"/>
      <c r="JB49" s="1124"/>
      <c r="JC49" s="1125"/>
      <c r="JD49" s="1124"/>
      <c r="JE49" s="1125"/>
      <c r="JF49" s="1124"/>
      <c r="JG49" s="1125"/>
      <c r="JH49" s="1124"/>
      <c r="JI49" s="1125"/>
      <c r="JJ49" s="1169"/>
      <c r="JK49" s="1167"/>
      <c r="JL49" s="1169"/>
      <c r="JM49" s="1167"/>
      <c r="JN49" s="1169"/>
      <c r="JO49" s="1167"/>
      <c r="JP49" s="1169"/>
      <c r="JQ49" s="1167"/>
      <c r="JR49" s="1169"/>
      <c r="JS49" s="1167"/>
      <c r="JT49" s="1169"/>
      <c r="JU49" s="1167"/>
      <c r="JV49" s="1169"/>
      <c r="JW49" s="1167"/>
      <c r="JX49" s="1169"/>
      <c r="JY49" s="1133"/>
      <c r="JZ49" s="1173">
        <v>4.155127315</v>
      </c>
      <c r="KA49" s="1120">
        <v>6.173E10</v>
      </c>
      <c r="KB49" s="1173">
        <v>10.91482639</v>
      </c>
      <c r="KC49" s="1174">
        <v>2.9201E11</v>
      </c>
      <c r="KD49" s="1169"/>
      <c r="KE49" s="1133"/>
      <c r="KF49" s="1133"/>
      <c r="KG49" s="1133"/>
      <c r="KH49" s="1133"/>
      <c r="KI49" s="1133"/>
      <c r="KJ49" s="1133"/>
      <c r="KK49" s="1133"/>
      <c r="KL49" s="1133"/>
      <c r="KM49" s="1133"/>
      <c r="KN49" s="1133"/>
      <c r="KO49" s="1133"/>
      <c r="KP49" s="1133"/>
      <c r="KQ49" s="1133"/>
      <c r="KR49" s="1133"/>
      <c r="KS49" s="1133"/>
      <c r="KT49" s="1133"/>
      <c r="KU49" s="1133"/>
      <c r="KV49" s="1133"/>
      <c r="KW49" s="1133"/>
      <c r="KX49" s="1133"/>
      <c r="KY49" s="1133"/>
      <c r="KZ49" s="1133"/>
      <c r="LA49" s="1133"/>
      <c r="LB49" s="1133"/>
      <c r="LC49" s="1133"/>
      <c r="LD49" s="1133"/>
      <c r="LE49" s="1133"/>
      <c r="LF49" s="1133"/>
      <c r="LG49" s="1133"/>
      <c r="LH49" s="1133"/>
      <c r="LI49" s="1133"/>
      <c r="LJ49" s="1133"/>
      <c r="LK49" s="1133"/>
      <c r="LL49" s="1133"/>
      <c r="LM49" s="1133"/>
      <c r="LN49" s="1133"/>
      <c r="LO49" s="1133"/>
      <c r="LP49" s="1133"/>
      <c r="LQ49" s="1133"/>
      <c r="LR49" s="1133"/>
      <c r="LS49" s="1133"/>
      <c r="LT49" s="1133"/>
      <c r="LU49" s="1133"/>
      <c r="LV49" s="1133"/>
      <c r="LW49" s="1133"/>
      <c r="LX49" s="1133"/>
      <c r="LY49" s="1133"/>
      <c r="LZ49" s="1133"/>
      <c r="MA49" s="1133"/>
      <c r="MB49" s="1133"/>
      <c r="MC49" s="1133"/>
      <c r="MD49" s="1133"/>
      <c r="ME49" s="1133"/>
      <c r="MF49" s="1133"/>
      <c r="MG49" s="1133"/>
      <c r="MH49" s="1133"/>
      <c r="MI49" s="1133"/>
      <c r="MJ49" s="1133"/>
      <c r="MK49" s="1133"/>
      <c r="ML49" s="1133"/>
      <c r="MM49" s="1133"/>
      <c r="MN49" s="1133"/>
      <c r="MO49" s="1133"/>
      <c r="MP49" s="1133"/>
      <c r="MQ49" s="1133"/>
      <c r="MR49" s="1133"/>
      <c r="MS49" s="1133"/>
      <c r="MT49" s="1133"/>
      <c r="MU49" s="1133"/>
      <c r="MV49" s="1133"/>
      <c r="MW49" s="1133"/>
      <c r="MX49" s="1133"/>
      <c r="MY49" s="1133"/>
    </row>
    <row r="50">
      <c r="A50" s="1071">
        <v>48.0</v>
      </c>
      <c r="B50" s="1124"/>
      <c r="C50" s="1126"/>
      <c r="D50" s="1072">
        <v>8.511805555555556</v>
      </c>
      <c r="E50" s="1073">
        <v>556430.0</v>
      </c>
      <c r="F50" s="1072">
        <v>8.511805555555556</v>
      </c>
      <c r="G50" s="1073">
        <v>556430.0</v>
      </c>
      <c r="H50" s="1072">
        <v>8.511805555555556</v>
      </c>
      <c r="I50" s="1073">
        <v>556430.0</v>
      </c>
      <c r="J50" s="1072">
        <v>8.511805555555556</v>
      </c>
      <c r="K50" s="1073">
        <v>556430.0</v>
      </c>
      <c r="L50" s="1072">
        <v>15.145833333333334</v>
      </c>
      <c r="M50" s="1075">
        <v>1710000.0</v>
      </c>
      <c r="N50" s="1076">
        <v>7.8069444444444445</v>
      </c>
      <c r="O50" s="1073">
        <v>1990000.0</v>
      </c>
      <c r="P50" s="1124"/>
      <c r="Q50" s="1125"/>
      <c r="R50" s="1124"/>
      <c r="S50" s="1125"/>
      <c r="T50" s="1124"/>
      <c r="U50" s="1125"/>
      <c r="V50" s="1124"/>
      <c r="W50" s="1125"/>
      <c r="X50" s="1124"/>
      <c r="Y50" s="1125"/>
      <c r="Z50" s="1124"/>
      <c r="AA50" s="1125"/>
      <c r="AB50" s="1124"/>
      <c r="AC50" s="1125"/>
      <c r="AD50" s="1072">
        <v>51.8375</v>
      </c>
      <c r="AE50" s="1080">
        <v>2.266405202E14</v>
      </c>
      <c r="AF50" s="1072">
        <v>51.8375</v>
      </c>
      <c r="AG50" s="1080">
        <v>2.266405202E14</v>
      </c>
      <c r="AH50" s="1072">
        <v>51.8375</v>
      </c>
      <c r="AI50" s="1080">
        <v>2.266405202E14</v>
      </c>
      <c r="AJ50" s="1081">
        <v>8.511805555555556</v>
      </c>
      <c r="AK50" s="1082">
        <v>556430.0</v>
      </c>
      <c r="AL50" s="1081">
        <v>8.511805555555556</v>
      </c>
      <c r="AM50" s="1082">
        <v>556430.0</v>
      </c>
      <c r="AN50" s="1081">
        <v>8.511805555555556</v>
      </c>
      <c r="AO50" s="1082">
        <v>556430.0</v>
      </c>
      <c r="AP50" s="1081">
        <v>8.511805555555556</v>
      </c>
      <c r="AQ50" s="1082">
        <v>556430.0</v>
      </c>
      <c r="AR50" s="1081">
        <v>8.511805555555556</v>
      </c>
      <c r="AS50" s="1082">
        <v>556440.0</v>
      </c>
      <c r="AT50" s="1081">
        <v>8567.119444444445</v>
      </c>
      <c r="AU50" s="1082">
        <v>7.226E10</v>
      </c>
      <c r="AV50" s="1126"/>
      <c r="AW50" s="1125"/>
      <c r="AX50" s="1124"/>
      <c r="AY50" s="1175"/>
      <c r="AZ50" s="1124"/>
      <c r="BA50" s="1124"/>
      <c r="BB50" s="1083">
        <v>8.511805555555556</v>
      </c>
      <c r="BC50" s="1084">
        <v>556430.0</v>
      </c>
      <c r="BD50" s="1083">
        <v>8.511805555555556</v>
      </c>
      <c r="BE50" s="1084">
        <v>556430.0</v>
      </c>
      <c r="BF50" s="1083">
        <v>8.511805555555556</v>
      </c>
      <c r="BG50" s="1084">
        <v>556430.0</v>
      </c>
      <c r="BH50" s="1083">
        <v>268.67083333333335</v>
      </c>
      <c r="BI50" s="1084">
        <v>4.88E9</v>
      </c>
      <c r="BJ50" s="1124"/>
      <c r="BK50" s="1125"/>
      <c r="BL50" s="1124"/>
      <c r="BM50" s="1125"/>
      <c r="BN50" s="1124"/>
      <c r="BO50" s="1125"/>
      <c r="BP50" s="1124"/>
      <c r="BQ50" s="1125"/>
      <c r="BR50" s="1126"/>
      <c r="BS50" s="1125"/>
      <c r="BT50" s="1085">
        <v>8.688888888888888</v>
      </c>
      <c r="BU50" s="1086">
        <v>4.336E10</v>
      </c>
      <c r="BV50" s="1126"/>
      <c r="BW50" s="1126"/>
      <c r="BX50" s="1126"/>
      <c r="BY50" s="1126"/>
      <c r="BZ50" s="1126"/>
      <c r="CA50" s="1126"/>
      <c r="CB50" s="1126"/>
      <c r="CC50" s="1125"/>
      <c r="CD50" s="1083">
        <v>33.71081018518519</v>
      </c>
      <c r="CE50" s="1087">
        <v>5.49E12</v>
      </c>
      <c r="CF50" s="1133"/>
      <c r="CG50" s="1167"/>
      <c r="CH50" s="1088">
        <v>8.511805555555556</v>
      </c>
      <c r="CI50" s="1089">
        <v>556440.0</v>
      </c>
      <c r="CJ50" s="1088">
        <v>8.511805555555556</v>
      </c>
      <c r="CK50" s="1089">
        <v>556440.0</v>
      </c>
      <c r="CL50" s="1088">
        <v>8.511805555555556</v>
      </c>
      <c r="CM50" s="1089">
        <v>556440.0</v>
      </c>
      <c r="CN50" s="1088">
        <v>8.511805555555556</v>
      </c>
      <c r="CO50" s="1089">
        <v>556440.0</v>
      </c>
      <c r="CP50" s="1088">
        <v>18.303472222222222</v>
      </c>
      <c r="CQ50" s="1089">
        <v>1990000.0</v>
      </c>
      <c r="CR50" s="1124"/>
      <c r="CS50" s="1125"/>
      <c r="CT50" s="1126"/>
      <c r="CU50" s="1125"/>
      <c r="CV50" s="1126"/>
      <c r="CW50" s="1125"/>
      <c r="CX50" s="1126"/>
      <c r="CY50" s="1125"/>
      <c r="CZ50" s="1126"/>
      <c r="DA50" s="1126"/>
      <c r="DB50" s="1126"/>
      <c r="DC50" s="1126"/>
      <c r="DD50" s="1126"/>
      <c r="DE50" s="1125"/>
      <c r="DF50" s="1124"/>
      <c r="DG50" s="1125"/>
      <c r="DH50" s="1124"/>
      <c r="DI50" s="1125"/>
      <c r="DJ50" s="1124"/>
      <c r="DK50" s="1125"/>
      <c r="DL50" s="1124"/>
      <c r="DM50" s="1125"/>
      <c r="DN50" s="1124"/>
      <c r="DO50" s="1125"/>
      <c r="DP50" s="1124"/>
      <c r="DQ50" s="1125"/>
      <c r="DR50" s="1124"/>
      <c r="DS50" s="1125"/>
      <c r="DT50" s="1124"/>
      <c r="DU50" s="1125"/>
      <c r="DV50" s="1126"/>
      <c r="DW50" s="1125"/>
      <c r="DX50" s="1124"/>
      <c r="DY50" s="1125"/>
      <c r="DZ50" s="1124"/>
      <c r="EA50" s="1125"/>
      <c r="EB50" s="1124"/>
      <c r="EC50" s="1125"/>
      <c r="ED50" s="1124"/>
      <c r="EE50" s="1125"/>
      <c r="EF50" s="1124"/>
      <c r="EG50" s="1125"/>
      <c r="EH50" s="1124"/>
      <c r="EI50" s="1125"/>
      <c r="EJ50" s="1169"/>
      <c r="EK50" s="1167"/>
      <c r="EL50" s="1169"/>
      <c r="EM50" s="1167"/>
      <c r="EN50" s="1124"/>
      <c r="EO50" s="1125"/>
      <c r="EP50" s="1124"/>
      <c r="EQ50" s="1125"/>
      <c r="ER50" s="1124"/>
      <c r="ES50" s="1125"/>
      <c r="ET50" s="1124"/>
      <c r="EU50" s="1125"/>
      <c r="EV50" s="1124"/>
      <c r="EW50" s="1125"/>
      <c r="EX50" s="1124"/>
      <c r="EY50" s="1125"/>
      <c r="EZ50" s="1124"/>
      <c r="FA50" s="1125"/>
      <c r="FB50" s="1126"/>
      <c r="FC50" s="1125"/>
      <c r="FD50" s="1126"/>
      <c r="FE50" s="1125"/>
      <c r="FF50" s="1126"/>
      <c r="FG50" s="1125"/>
      <c r="FH50" s="1126"/>
      <c r="FI50" s="1126"/>
      <c r="FJ50" s="1126"/>
      <c r="FK50" s="1125"/>
      <c r="FL50" s="1124"/>
      <c r="FM50" s="1125"/>
      <c r="FN50" s="1178"/>
      <c r="FO50" s="1125"/>
      <c r="FP50" s="1178"/>
      <c r="FQ50" s="1125"/>
      <c r="FR50" s="1178"/>
      <c r="FS50" s="1125"/>
      <c r="FT50" s="1139"/>
      <c r="FU50" s="1125"/>
      <c r="FV50" s="1139"/>
      <c r="FW50" s="1125"/>
      <c r="FX50" s="1179"/>
      <c r="FY50" s="1167"/>
      <c r="FZ50" s="1179"/>
      <c r="GA50" s="1167"/>
      <c r="GB50" s="1179"/>
      <c r="GC50" s="1167"/>
      <c r="GD50" s="1133"/>
      <c r="GE50" s="1167"/>
      <c r="GF50" s="1124"/>
      <c r="GG50" s="1125"/>
      <c r="GH50" s="1124"/>
      <c r="GI50" s="1125"/>
      <c r="GJ50" s="1126"/>
      <c r="GK50" s="1125"/>
      <c r="GL50" s="1124"/>
      <c r="GM50" s="1125"/>
      <c r="GN50" s="1126"/>
      <c r="GO50" s="1125"/>
      <c r="GP50" s="1126"/>
      <c r="GQ50" s="1125"/>
      <c r="GR50" s="1124"/>
      <c r="GS50" s="1125"/>
      <c r="GT50" s="1124"/>
      <c r="GU50" s="1125"/>
      <c r="GV50" s="1126"/>
      <c r="GW50" s="1125"/>
      <c r="GX50" s="1168"/>
      <c r="GY50" s="1133"/>
      <c r="GZ50" s="1124"/>
      <c r="HA50" s="1125"/>
      <c r="HB50" s="1107">
        <v>583.2659722222222</v>
      </c>
      <c r="HC50" s="1108">
        <v>4.59E12</v>
      </c>
      <c r="HD50" s="1124"/>
      <c r="HE50" s="1125"/>
      <c r="HF50" s="1124"/>
      <c r="HG50" s="1125"/>
      <c r="HH50" s="1124"/>
      <c r="HI50" s="1125"/>
      <c r="HJ50" s="1124"/>
      <c r="HK50" s="1125"/>
      <c r="HL50" s="1124"/>
      <c r="HM50" s="1125"/>
      <c r="HN50" s="1126"/>
      <c r="HO50" s="1125"/>
      <c r="HP50" s="1124"/>
      <c r="HQ50" s="1125"/>
      <c r="HR50" s="1124"/>
      <c r="HS50" s="1125"/>
      <c r="HT50" s="1124"/>
      <c r="HU50" s="1125"/>
      <c r="HV50" s="1124"/>
      <c r="HW50" s="1125"/>
      <c r="HX50" s="1124"/>
      <c r="HY50" s="1125"/>
      <c r="HZ50" s="1124"/>
      <c r="IA50" s="1125"/>
      <c r="IB50" s="1124"/>
      <c r="IC50" s="1125"/>
      <c r="ID50" s="1124"/>
      <c r="IE50" s="1125"/>
      <c r="IF50" s="1124"/>
      <c r="IG50" s="1125"/>
      <c r="IH50" s="1124"/>
      <c r="II50" s="1125"/>
      <c r="IJ50" s="1124"/>
      <c r="IK50" s="1125"/>
      <c r="IL50" s="1124"/>
      <c r="IM50" s="1125"/>
      <c r="IN50" s="1124"/>
      <c r="IO50" s="1125"/>
      <c r="IP50" s="1124"/>
      <c r="IQ50" s="1125"/>
      <c r="IR50" s="1124"/>
      <c r="IS50" s="1125"/>
      <c r="IT50" s="1124"/>
      <c r="IU50" s="1125"/>
      <c r="IV50" s="1124"/>
      <c r="IW50" s="1125"/>
      <c r="IX50" s="1124"/>
      <c r="IY50" s="1125"/>
      <c r="IZ50" s="1124"/>
      <c r="JA50" s="1125"/>
      <c r="JB50" s="1124"/>
      <c r="JC50" s="1125"/>
      <c r="JD50" s="1124"/>
      <c r="JE50" s="1125"/>
      <c r="JF50" s="1124"/>
      <c r="JG50" s="1125"/>
      <c r="JH50" s="1124"/>
      <c r="JI50" s="1125"/>
      <c r="JJ50" s="1169"/>
      <c r="JK50" s="1167"/>
      <c r="JL50" s="1169"/>
      <c r="JM50" s="1167"/>
      <c r="JN50" s="1169"/>
      <c r="JO50" s="1167"/>
      <c r="JP50" s="1169"/>
      <c r="JQ50" s="1167"/>
      <c r="JR50" s="1169"/>
      <c r="JS50" s="1167"/>
      <c r="JT50" s="1169"/>
      <c r="JU50" s="1167"/>
      <c r="JV50" s="1169"/>
      <c r="JW50" s="1167"/>
      <c r="JX50" s="1169"/>
      <c r="JY50" s="1133"/>
      <c r="JZ50" s="1173">
        <v>4.238611111</v>
      </c>
      <c r="KA50" s="1120">
        <v>6.542E10</v>
      </c>
      <c r="KB50" s="1173">
        <v>11.36953704</v>
      </c>
      <c r="KC50" s="1174">
        <v>3.1147E11</v>
      </c>
      <c r="KD50" s="1169"/>
      <c r="KE50" s="1133"/>
      <c r="KF50" s="1133"/>
      <c r="KG50" s="1133"/>
      <c r="KH50" s="1133"/>
      <c r="KI50" s="1133"/>
      <c r="KJ50" s="1133"/>
      <c r="KK50" s="1133"/>
      <c r="KL50" s="1133"/>
      <c r="KM50" s="1133"/>
      <c r="KN50" s="1133"/>
      <c r="KO50" s="1133"/>
      <c r="KP50" s="1133"/>
      <c r="KQ50" s="1133"/>
      <c r="KR50" s="1133"/>
      <c r="KS50" s="1133"/>
      <c r="KT50" s="1133"/>
      <c r="KU50" s="1133"/>
      <c r="KV50" s="1133"/>
      <c r="KW50" s="1133"/>
      <c r="KX50" s="1133"/>
      <c r="KY50" s="1133"/>
      <c r="KZ50" s="1133"/>
      <c r="LA50" s="1133"/>
      <c r="LB50" s="1133"/>
      <c r="LC50" s="1133"/>
      <c r="LD50" s="1133"/>
      <c r="LE50" s="1133"/>
      <c r="LF50" s="1133"/>
      <c r="LG50" s="1133"/>
      <c r="LH50" s="1133"/>
      <c r="LI50" s="1133"/>
      <c r="LJ50" s="1133"/>
      <c r="LK50" s="1133"/>
      <c r="LL50" s="1133"/>
      <c r="LM50" s="1133"/>
      <c r="LN50" s="1133"/>
      <c r="LO50" s="1133"/>
      <c r="LP50" s="1133"/>
      <c r="LQ50" s="1133"/>
      <c r="LR50" s="1133"/>
      <c r="LS50" s="1133"/>
      <c r="LT50" s="1133"/>
      <c r="LU50" s="1133"/>
      <c r="LV50" s="1133"/>
      <c r="LW50" s="1133"/>
      <c r="LX50" s="1133"/>
      <c r="LY50" s="1133"/>
      <c r="LZ50" s="1133"/>
      <c r="MA50" s="1133"/>
      <c r="MB50" s="1133"/>
      <c r="MC50" s="1133"/>
      <c r="MD50" s="1133"/>
      <c r="ME50" s="1133"/>
      <c r="MF50" s="1133"/>
      <c r="MG50" s="1133"/>
      <c r="MH50" s="1133"/>
      <c r="MI50" s="1133"/>
      <c r="MJ50" s="1133"/>
      <c r="MK50" s="1133"/>
      <c r="ML50" s="1133"/>
      <c r="MM50" s="1133"/>
      <c r="MN50" s="1133"/>
      <c r="MO50" s="1133"/>
      <c r="MP50" s="1133"/>
      <c r="MQ50" s="1133"/>
      <c r="MR50" s="1133"/>
      <c r="MS50" s="1133"/>
      <c r="MT50" s="1133"/>
      <c r="MU50" s="1133"/>
      <c r="MV50" s="1133"/>
      <c r="MW50" s="1133"/>
      <c r="MX50" s="1133"/>
      <c r="MY50" s="1133"/>
    </row>
    <row r="51">
      <c r="A51" s="1071">
        <v>49.0</v>
      </c>
      <c r="B51" s="1124"/>
      <c r="C51" s="1126"/>
      <c r="D51" s="1072">
        <v>8.947916666666666</v>
      </c>
      <c r="E51" s="1073">
        <v>589550.0</v>
      </c>
      <c r="F51" s="1072">
        <v>8.947916666666666</v>
      </c>
      <c r="G51" s="1073">
        <v>589550.0</v>
      </c>
      <c r="H51" s="1072">
        <v>8.947916666666666</v>
      </c>
      <c r="I51" s="1073">
        <v>589550.0</v>
      </c>
      <c r="J51" s="1072">
        <v>8.947916666666666</v>
      </c>
      <c r="K51" s="1073">
        <v>589550.0</v>
      </c>
      <c r="L51" s="1072">
        <v>15.972222222222221</v>
      </c>
      <c r="M51" s="1075">
        <v>1810000.0</v>
      </c>
      <c r="N51" s="1076">
        <v>8.14861111111111</v>
      </c>
      <c r="O51" s="1073">
        <v>2120000.0</v>
      </c>
      <c r="P51" s="1124"/>
      <c r="Q51" s="1125"/>
      <c r="R51" s="1124"/>
      <c r="S51" s="1125"/>
      <c r="T51" s="1124"/>
      <c r="U51" s="1125"/>
      <c r="V51" s="1124"/>
      <c r="W51" s="1125"/>
      <c r="X51" s="1124"/>
      <c r="Y51" s="1125"/>
      <c r="Z51" s="1124"/>
      <c r="AA51" s="1125"/>
      <c r="AB51" s="1124"/>
      <c r="AC51" s="1125"/>
      <c r="AD51" s="1072">
        <v>52.91736111111111</v>
      </c>
      <c r="AE51" s="1080">
        <v>2.946326763E14</v>
      </c>
      <c r="AF51" s="1072">
        <v>52.91736111111111</v>
      </c>
      <c r="AG51" s="1080">
        <v>2.946326763E14</v>
      </c>
      <c r="AH51" s="1072">
        <v>52.91736111111111</v>
      </c>
      <c r="AI51" s="1080">
        <v>2.946326763E14</v>
      </c>
      <c r="AJ51" s="1081">
        <v>8.947916666666666</v>
      </c>
      <c r="AK51" s="1082">
        <v>589550.0</v>
      </c>
      <c r="AL51" s="1081">
        <v>8.947916666666666</v>
      </c>
      <c r="AM51" s="1082">
        <v>589550.0</v>
      </c>
      <c r="AN51" s="1081">
        <v>8.947916666666666</v>
      </c>
      <c r="AO51" s="1082">
        <v>589550.0</v>
      </c>
      <c r="AP51" s="1081">
        <v>8.947916666666666</v>
      </c>
      <c r="AQ51" s="1082">
        <v>589550.0</v>
      </c>
      <c r="AR51" s="1081">
        <v>8.947916666666666</v>
      </c>
      <c r="AS51" s="1082">
        <v>589560.0</v>
      </c>
      <c r="AT51" s="1081">
        <v>9357.119444444445</v>
      </c>
      <c r="AU51" s="1082">
        <v>7.978E10</v>
      </c>
      <c r="AV51" s="1126"/>
      <c r="AW51" s="1125"/>
      <c r="AX51" s="1124"/>
      <c r="AY51" s="1175"/>
      <c r="AZ51" s="1124"/>
      <c r="BA51" s="1124"/>
      <c r="BB51" s="1083">
        <v>8.947916666666666</v>
      </c>
      <c r="BC51" s="1084">
        <v>589550.0</v>
      </c>
      <c r="BD51" s="1083">
        <v>8.947916666666666</v>
      </c>
      <c r="BE51" s="1084">
        <v>589550.0</v>
      </c>
      <c r="BF51" s="1083">
        <v>8.947916666666666</v>
      </c>
      <c r="BG51" s="1084">
        <v>589550.0</v>
      </c>
      <c r="BH51" s="1083">
        <v>287.91527777777776</v>
      </c>
      <c r="BI51" s="1084">
        <v>5.31E9</v>
      </c>
      <c r="BJ51" s="1124"/>
      <c r="BK51" s="1125"/>
      <c r="BL51" s="1124"/>
      <c r="BM51" s="1125"/>
      <c r="BN51" s="1124"/>
      <c r="BO51" s="1125"/>
      <c r="BP51" s="1124"/>
      <c r="BQ51" s="1125"/>
      <c r="BR51" s="1126"/>
      <c r="BS51" s="1125"/>
      <c r="BT51" s="1085">
        <v>9.123611111111112</v>
      </c>
      <c r="BU51" s="1086">
        <v>4.593E10</v>
      </c>
      <c r="BV51" s="1126"/>
      <c r="BW51" s="1126"/>
      <c r="BX51" s="1126"/>
      <c r="BY51" s="1126"/>
      <c r="BZ51" s="1126"/>
      <c r="CA51" s="1126"/>
      <c r="CB51" s="1126"/>
      <c r="CC51" s="1125"/>
      <c r="CD51" s="1083">
        <v>35.36498842592592</v>
      </c>
      <c r="CE51" s="1087">
        <v>5.83E12</v>
      </c>
      <c r="CF51" s="1133"/>
      <c r="CG51" s="1167"/>
      <c r="CH51" s="1088">
        <v>8.947916666666666</v>
      </c>
      <c r="CI51" s="1089">
        <v>589560.0</v>
      </c>
      <c r="CJ51" s="1088">
        <v>8.947916666666666</v>
      </c>
      <c r="CK51" s="1089">
        <v>589560.0</v>
      </c>
      <c r="CL51" s="1088">
        <v>8.947916666666666</v>
      </c>
      <c r="CM51" s="1089">
        <v>589560.0</v>
      </c>
      <c r="CN51" s="1088">
        <v>8.947916666666666</v>
      </c>
      <c r="CO51" s="1089">
        <v>589560.0</v>
      </c>
      <c r="CP51" s="1088">
        <v>19.324305555555558</v>
      </c>
      <c r="CQ51" s="1089">
        <v>2120000.0</v>
      </c>
      <c r="CR51" s="1124"/>
      <c r="CS51" s="1125"/>
      <c r="CT51" s="1126"/>
      <c r="CU51" s="1125"/>
      <c r="CV51" s="1126"/>
      <c r="CW51" s="1125"/>
      <c r="CX51" s="1126"/>
      <c r="CY51" s="1125"/>
      <c r="CZ51" s="1126"/>
      <c r="DA51" s="1126"/>
      <c r="DB51" s="1126"/>
      <c r="DC51" s="1126"/>
      <c r="DD51" s="1126"/>
      <c r="DE51" s="1125"/>
      <c r="DF51" s="1124"/>
      <c r="DG51" s="1125"/>
      <c r="DH51" s="1124"/>
      <c r="DI51" s="1125"/>
      <c r="DJ51" s="1124"/>
      <c r="DK51" s="1125"/>
      <c r="DL51" s="1124"/>
      <c r="DM51" s="1125"/>
      <c r="DN51" s="1124"/>
      <c r="DO51" s="1125"/>
      <c r="DP51" s="1124"/>
      <c r="DQ51" s="1125"/>
      <c r="DR51" s="1124"/>
      <c r="DS51" s="1125"/>
      <c r="DT51" s="1124"/>
      <c r="DU51" s="1125"/>
      <c r="DV51" s="1126"/>
      <c r="DW51" s="1125"/>
      <c r="DX51" s="1124"/>
      <c r="DY51" s="1125"/>
      <c r="DZ51" s="1124"/>
      <c r="EA51" s="1125"/>
      <c r="EB51" s="1124"/>
      <c r="EC51" s="1125"/>
      <c r="ED51" s="1124"/>
      <c r="EE51" s="1125"/>
      <c r="EF51" s="1124"/>
      <c r="EG51" s="1125"/>
      <c r="EH51" s="1124"/>
      <c r="EI51" s="1125"/>
      <c r="EJ51" s="1169"/>
      <c r="EK51" s="1167"/>
      <c r="EL51" s="1169"/>
      <c r="EM51" s="1167"/>
      <c r="EN51" s="1124"/>
      <c r="EO51" s="1125"/>
      <c r="EP51" s="1124"/>
      <c r="EQ51" s="1125"/>
      <c r="ER51" s="1124"/>
      <c r="ES51" s="1125"/>
      <c r="ET51" s="1124"/>
      <c r="EU51" s="1125"/>
      <c r="EV51" s="1124"/>
      <c r="EW51" s="1125"/>
      <c r="EX51" s="1124"/>
      <c r="EY51" s="1125"/>
      <c r="EZ51" s="1124"/>
      <c r="FA51" s="1125"/>
      <c r="FB51" s="1126"/>
      <c r="FC51" s="1125"/>
      <c r="FD51" s="1126"/>
      <c r="FE51" s="1125"/>
      <c r="FF51" s="1126"/>
      <c r="FG51" s="1125"/>
      <c r="FH51" s="1126"/>
      <c r="FI51" s="1126"/>
      <c r="FJ51" s="1126"/>
      <c r="FK51" s="1125"/>
      <c r="FL51" s="1124"/>
      <c r="FM51" s="1125"/>
      <c r="FN51" s="1178"/>
      <c r="FO51" s="1125"/>
      <c r="FP51" s="1178"/>
      <c r="FQ51" s="1125"/>
      <c r="FR51" s="1178"/>
      <c r="FS51" s="1125"/>
      <c r="FT51" s="1139"/>
      <c r="FU51" s="1125"/>
      <c r="FV51" s="1139"/>
      <c r="FW51" s="1125"/>
      <c r="FX51" s="1179"/>
      <c r="FY51" s="1167"/>
      <c r="FZ51" s="1179"/>
      <c r="GA51" s="1167"/>
      <c r="GB51" s="1179"/>
      <c r="GC51" s="1167"/>
      <c r="GD51" s="1133"/>
      <c r="GE51" s="1167"/>
      <c r="GF51" s="1124"/>
      <c r="GG51" s="1125"/>
      <c r="GH51" s="1124"/>
      <c r="GI51" s="1125"/>
      <c r="GJ51" s="1126"/>
      <c r="GK51" s="1125"/>
      <c r="GL51" s="1124"/>
      <c r="GM51" s="1125"/>
      <c r="GN51" s="1126"/>
      <c r="GO51" s="1125"/>
      <c r="GP51" s="1126"/>
      <c r="GQ51" s="1125"/>
      <c r="GR51" s="1124"/>
      <c r="GS51" s="1125"/>
      <c r="GT51" s="1124"/>
      <c r="GU51" s="1125"/>
      <c r="GV51" s="1126"/>
      <c r="GW51" s="1125"/>
      <c r="GX51" s="1168"/>
      <c r="GY51" s="1133"/>
      <c r="GZ51" s="1124"/>
      <c r="HA51" s="1125"/>
      <c r="HB51" s="1107">
        <v>627.5027777777777</v>
      </c>
      <c r="HC51" s="1108">
        <v>5.1E12</v>
      </c>
      <c r="HD51" s="1124"/>
      <c r="HE51" s="1125"/>
      <c r="HF51" s="1124"/>
      <c r="HG51" s="1125"/>
      <c r="HH51" s="1124"/>
      <c r="HI51" s="1125"/>
      <c r="HJ51" s="1124"/>
      <c r="HK51" s="1125"/>
      <c r="HL51" s="1124"/>
      <c r="HM51" s="1125"/>
      <c r="HN51" s="1126"/>
      <c r="HO51" s="1125"/>
      <c r="HP51" s="1124"/>
      <c r="HQ51" s="1125"/>
      <c r="HR51" s="1124"/>
      <c r="HS51" s="1125"/>
      <c r="HT51" s="1124"/>
      <c r="HU51" s="1125"/>
      <c r="HV51" s="1124"/>
      <c r="HW51" s="1125"/>
      <c r="HX51" s="1124"/>
      <c r="HY51" s="1125"/>
      <c r="HZ51" s="1124"/>
      <c r="IA51" s="1125"/>
      <c r="IB51" s="1124"/>
      <c r="IC51" s="1125"/>
      <c r="ID51" s="1124"/>
      <c r="IE51" s="1125"/>
      <c r="IF51" s="1124"/>
      <c r="IG51" s="1125"/>
      <c r="IH51" s="1124"/>
      <c r="II51" s="1125"/>
      <c r="IJ51" s="1124"/>
      <c r="IK51" s="1125"/>
      <c r="IL51" s="1124"/>
      <c r="IM51" s="1125"/>
      <c r="IN51" s="1124"/>
      <c r="IO51" s="1125"/>
      <c r="IP51" s="1124"/>
      <c r="IQ51" s="1125"/>
      <c r="IR51" s="1124"/>
      <c r="IS51" s="1125"/>
      <c r="IT51" s="1124"/>
      <c r="IU51" s="1125"/>
      <c r="IV51" s="1124"/>
      <c r="IW51" s="1125"/>
      <c r="IX51" s="1124"/>
      <c r="IY51" s="1125"/>
      <c r="IZ51" s="1124"/>
      <c r="JA51" s="1125"/>
      <c r="JB51" s="1124"/>
      <c r="JC51" s="1125"/>
      <c r="JD51" s="1124"/>
      <c r="JE51" s="1125"/>
      <c r="JF51" s="1124"/>
      <c r="JG51" s="1125"/>
      <c r="JH51" s="1124"/>
      <c r="JI51" s="1125"/>
      <c r="JJ51" s="1169"/>
      <c r="JK51" s="1167"/>
      <c r="JL51" s="1169"/>
      <c r="JM51" s="1167"/>
      <c r="JN51" s="1169"/>
      <c r="JO51" s="1167"/>
      <c r="JP51" s="1169"/>
      <c r="JQ51" s="1167"/>
      <c r="JR51" s="1169"/>
      <c r="JS51" s="1167"/>
      <c r="JT51" s="1169"/>
      <c r="JU51" s="1167"/>
      <c r="JV51" s="1169"/>
      <c r="JW51" s="1167"/>
      <c r="JX51" s="1169"/>
      <c r="JY51" s="1133"/>
      <c r="JZ51" s="1173">
        <v>4.323032407</v>
      </c>
      <c r="KA51" s="1120">
        <v>6.925E10</v>
      </c>
      <c r="KB51" s="1173">
        <v>11.83694444</v>
      </c>
      <c r="KC51" s="1174">
        <v>3.3178E11</v>
      </c>
      <c r="KD51" s="1169"/>
      <c r="KE51" s="1133"/>
      <c r="KF51" s="1133"/>
      <c r="KG51" s="1133"/>
      <c r="KH51" s="1133"/>
      <c r="KI51" s="1133"/>
      <c r="KJ51" s="1133"/>
      <c r="KK51" s="1133"/>
      <c r="KL51" s="1133"/>
      <c r="KM51" s="1133"/>
      <c r="KN51" s="1133"/>
      <c r="KO51" s="1133"/>
      <c r="KP51" s="1133"/>
      <c r="KQ51" s="1133"/>
      <c r="KR51" s="1133"/>
      <c r="KS51" s="1133"/>
      <c r="KT51" s="1133"/>
      <c r="KU51" s="1133"/>
      <c r="KV51" s="1133"/>
      <c r="KW51" s="1133"/>
      <c r="KX51" s="1133"/>
      <c r="KY51" s="1133"/>
      <c r="KZ51" s="1133"/>
      <c r="LA51" s="1133"/>
      <c r="LB51" s="1133"/>
      <c r="LC51" s="1133"/>
      <c r="LD51" s="1133"/>
      <c r="LE51" s="1133"/>
      <c r="LF51" s="1133"/>
      <c r="LG51" s="1133"/>
      <c r="LH51" s="1133"/>
      <c r="LI51" s="1133"/>
      <c r="LJ51" s="1133"/>
      <c r="LK51" s="1133"/>
      <c r="LL51" s="1133"/>
      <c r="LM51" s="1133"/>
      <c r="LN51" s="1133"/>
      <c r="LO51" s="1133"/>
      <c r="LP51" s="1133"/>
      <c r="LQ51" s="1133"/>
      <c r="LR51" s="1133"/>
      <c r="LS51" s="1133"/>
      <c r="LT51" s="1133"/>
      <c r="LU51" s="1133"/>
      <c r="LV51" s="1133"/>
      <c r="LW51" s="1133"/>
      <c r="LX51" s="1133"/>
      <c r="LY51" s="1133"/>
      <c r="LZ51" s="1133"/>
      <c r="MA51" s="1133"/>
      <c r="MB51" s="1133"/>
      <c r="MC51" s="1133"/>
      <c r="MD51" s="1133"/>
      <c r="ME51" s="1133"/>
      <c r="MF51" s="1133"/>
      <c r="MG51" s="1133"/>
      <c r="MH51" s="1133"/>
      <c r="MI51" s="1133"/>
      <c r="MJ51" s="1133"/>
      <c r="MK51" s="1133"/>
      <c r="ML51" s="1133"/>
      <c r="MM51" s="1133"/>
      <c r="MN51" s="1133"/>
      <c r="MO51" s="1133"/>
      <c r="MP51" s="1133"/>
      <c r="MQ51" s="1133"/>
      <c r="MR51" s="1133"/>
      <c r="MS51" s="1133"/>
      <c r="MT51" s="1133"/>
      <c r="MU51" s="1133"/>
      <c r="MV51" s="1133"/>
      <c r="MW51" s="1133"/>
      <c r="MX51" s="1133"/>
      <c r="MY51" s="1133"/>
    </row>
    <row r="52">
      <c r="A52" s="1071">
        <v>50.0</v>
      </c>
      <c r="B52" s="1140"/>
      <c r="C52" s="1148"/>
      <c r="D52" s="1077">
        <v>9.396527777777777</v>
      </c>
      <c r="E52" s="1078">
        <v>623890.0</v>
      </c>
      <c r="F52" s="1077">
        <v>9.396527777777777</v>
      </c>
      <c r="G52" s="1078">
        <v>623890.0</v>
      </c>
      <c r="H52" s="1077">
        <v>9.396527777777777</v>
      </c>
      <c r="I52" s="1078">
        <v>623890.0</v>
      </c>
      <c r="J52" s="1077">
        <v>9.396527777777777</v>
      </c>
      <c r="K52" s="1078">
        <v>623890.0</v>
      </c>
      <c r="L52" s="1077">
        <v>16.825</v>
      </c>
      <c r="M52" s="1143">
        <v>1930000.0</v>
      </c>
      <c r="N52" s="1144">
        <v>8.497222222222222</v>
      </c>
      <c r="O52" s="1078">
        <v>2260000.0</v>
      </c>
      <c r="P52" s="1140"/>
      <c r="Q52" s="1141"/>
      <c r="R52" s="1140"/>
      <c r="S52" s="1141"/>
      <c r="T52" s="1140"/>
      <c r="U52" s="1141"/>
      <c r="V52" s="1140"/>
      <c r="W52" s="1141"/>
      <c r="X52" s="1140"/>
      <c r="Y52" s="1141"/>
      <c r="Z52" s="1140"/>
      <c r="AA52" s="1141"/>
      <c r="AB52" s="1140"/>
      <c r="AC52" s="1141"/>
      <c r="AD52" s="1077">
        <v>53.99722222222222</v>
      </c>
      <c r="AE52" s="1145">
        <v>3.830224792E14</v>
      </c>
      <c r="AF52" s="1077">
        <v>53.99722222222222</v>
      </c>
      <c r="AG52" s="1145">
        <v>3.830224792E14</v>
      </c>
      <c r="AH52" s="1077">
        <v>53.99722222222222</v>
      </c>
      <c r="AI52" s="1145">
        <v>3.830224792E14</v>
      </c>
      <c r="AJ52" s="1146">
        <v>9.396527777777777</v>
      </c>
      <c r="AK52" s="1147">
        <v>623890.0</v>
      </c>
      <c r="AL52" s="1146">
        <v>9.396527777777777</v>
      </c>
      <c r="AM52" s="1147">
        <v>623890.0</v>
      </c>
      <c r="AN52" s="1146">
        <v>9.396527777777777</v>
      </c>
      <c r="AO52" s="1147">
        <v>623890.0</v>
      </c>
      <c r="AP52" s="1146">
        <v>9.396527777777777</v>
      </c>
      <c r="AQ52" s="1147">
        <v>623890.0</v>
      </c>
      <c r="AR52" s="1146">
        <v>9.397222222222222</v>
      </c>
      <c r="AS52" s="1147">
        <v>623890.0</v>
      </c>
      <c r="AT52" s="1146">
        <v>10201.540277777778</v>
      </c>
      <c r="AU52" s="1147">
        <v>8.79E10</v>
      </c>
      <c r="AV52" s="1148"/>
      <c r="AW52" s="1141"/>
      <c r="AX52" s="1140"/>
      <c r="AY52" s="1176"/>
      <c r="AZ52" s="1140"/>
      <c r="BA52" s="1140"/>
      <c r="BB52" s="1085">
        <v>9.396527777777777</v>
      </c>
      <c r="BC52" s="1086">
        <v>623890.0</v>
      </c>
      <c r="BD52" s="1085">
        <v>9.396527777777777</v>
      </c>
      <c r="BE52" s="1086">
        <v>623890.0</v>
      </c>
      <c r="BF52" s="1085">
        <v>9.396527777777777</v>
      </c>
      <c r="BG52" s="1086">
        <v>623890.0</v>
      </c>
      <c r="BH52" s="1085">
        <v>308.1020833333333</v>
      </c>
      <c r="BI52" s="1086">
        <v>5.76E9</v>
      </c>
      <c r="BJ52" s="1140"/>
      <c r="BK52" s="1141"/>
      <c r="BL52" s="1140"/>
      <c r="BM52" s="1141"/>
      <c r="BN52" s="1140"/>
      <c r="BO52" s="1141"/>
      <c r="BP52" s="1140"/>
      <c r="BQ52" s="1141"/>
      <c r="BR52" s="1148"/>
      <c r="BS52" s="1141"/>
      <c r="BT52" s="1085">
        <v>9.571527777777778</v>
      </c>
      <c r="BU52" s="1086">
        <v>4.861E10</v>
      </c>
      <c r="BV52" s="1148"/>
      <c r="BW52" s="1148"/>
      <c r="BX52" s="1148"/>
      <c r="BY52" s="1148"/>
      <c r="BZ52" s="1148"/>
      <c r="CA52" s="1148"/>
      <c r="CB52" s="1148"/>
      <c r="CC52" s="1141"/>
      <c r="CD52" s="1083">
        <v>37.07505787037037</v>
      </c>
      <c r="CE52" s="1087">
        <v>6.18E12</v>
      </c>
      <c r="CF52" s="1157"/>
      <c r="CG52" s="1171"/>
      <c r="CH52" s="1090">
        <v>9.397222222222222</v>
      </c>
      <c r="CI52" s="1091">
        <v>623890.0</v>
      </c>
      <c r="CJ52" s="1090">
        <v>9.397222222222222</v>
      </c>
      <c r="CK52" s="1091">
        <v>623890.0</v>
      </c>
      <c r="CL52" s="1090">
        <v>9.397222222222222</v>
      </c>
      <c r="CM52" s="1091">
        <v>623890.0</v>
      </c>
      <c r="CN52" s="1090">
        <v>9.397222222222222</v>
      </c>
      <c r="CO52" s="1091">
        <v>623890.0</v>
      </c>
      <c r="CP52" s="1090">
        <v>20.37847222222222</v>
      </c>
      <c r="CQ52" s="1091">
        <v>2260000.0</v>
      </c>
      <c r="CR52" s="1140"/>
      <c r="CS52" s="1141"/>
      <c r="CT52" s="1148"/>
      <c r="CU52" s="1141"/>
      <c r="CV52" s="1148"/>
      <c r="CW52" s="1141"/>
      <c r="CX52" s="1148"/>
      <c r="CY52" s="1141"/>
      <c r="CZ52" s="1148"/>
      <c r="DA52" s="1148"/>
      <c r="DB52" s="1148"/>
      <c r="DC52" s="1148"/>
      <c r="DD52" s="1148"/>
      <c r="DE52" s="1141"/>
      <c r="DF52" s="1140"/>
      <c r="DG52" s="1141"/>
      <c r="DH52" s="1140"/>
      <c r="DI52" s="1141"/>
      <c r="DJ52" s="1140"/>
      <c r="DK52" s="1141"/>
      <c r="DL52" s="1140"/>
      <c r="DM52" s="1141"/>
      <c r="DN52" s="1140"/>
      <c r="DO52" s="1141"/>
      <c r="DP52" s="1140"/>
      <c r="DQ52" s="1141"/>
      <c r="DR52" s="1140"/>
      <c r="DS52" s="1141"/>
      <c r="DT52" s="1140"/>
      <c r="DU52" s="1141"/>
      <c r="DV52" s="1148"/>
      <c r="DW52" s="1141"/>
      <c r="DX52" s="1140"/>
      <c r="DY52" s="1141"/>
      <c r="DZ52" s="1140"/>
      <c r="EA52" s="1141"/>
      <c r="EB52" s="1140"/>
      <c r="EC52" s="1141"/>
      <c r="ED52" s="1140"/>
      <c r="EE52" s="1141"/>
      <c r="EF52" s="1140"/>
      <c r="EG52" s="1141"/>
      <c r="EH52" s="1140"/>
      <c r="EI52" s="1141"/>
      <c r="EJ52" s="1172"/>
      <c r="EK52" s="1171"/>
      <c r="EL52" s="1172"/>
      <c r="EM52" s="1171"/>
      <c r="EN52" s="1140"/>
      <c r="EO52" s="1141"/>
      <c r="EP52" s="1140"/>
      <c r="EQ52" s="1141"/>
      <c r="ER52" s="1140"/>
      <c r="ES52" s="1141"/>
      <c r="ET52" s="1140"/>
      <c r="EU52" s="1141"/>
      <c r="EV52" s="1140"/>
      <c r="EW52" s="1141"/>
      <c r="EX52" s="1140"/>
      <c r="EY52" s="1141"/>
      <c r="EZ52" s="1140"/>
      <c r="FA52" s="1141"/>
      <c r="FB52" s="1148"/>
      <c r="FC52" s="1141"/>
      <c r="FD52" s="1148"/>
      <c r="FE52" s="1141"/>
      <c r="FF52" s="1148"/>
      <c r="FG52" s="1141"/>
      <c r="FH52" s="1148"/>
      <c r="FI52" s="1148"/>
      <c r="FJ52" s="1148"/>
      <c r="FK52" s="1141"/>
      <c r="FL52" s="1140"/>
      <c r="FM52" s="1141"/>
      <c r="FN52" s="1180"/>
      <c r="FO52" s="1141"/>
      <c r="FP52" s="1180"/>
      <c r="FQ52" s="1141"/>
      <c r="FR52" s="1180"/>
      <c r="FS52" s="1141"/>
      <c r="FT52" s="1152"/>
      <c r="FU52" s="1141"/>
      <c r="FV52" s="1152"/>
      <c r="FW52" s="1141"/>
      <c r="FX52" s="1181"/>
      <c r="FY52" s="1171"/>
      <c r="FZ52" s="1181"/>
      <c r="GA52" s="1171"/>
      <c r="GB52" s="1181"/>
      <c r="GC52" s="1171"/>
      <c r="GD52" s="1157"/>
      <c r="GE52" s="1171"/>
      <c r="GF52" s="1140"/>
      <c r="GG52" s="1141"/>
      <c r="GH52" s="1140"/>
      <c r="GI52" s="1141"/>
      <c r="GJ52" s="1148"/>
      <c r="GK52" s="1141"/>
      <c r="GL52" s="1140"/>
      <c r="GM52" s="1141"/>
      <c r="GN52" s="1148"/>
      <c r="GO52" s="1141"/>
      <c r="GP52" s="1148"/>
      <c r="GQ52" s="1141"/>
      <c r="GR52" s="1140"/>
      <c r="GS52" s="1141"/>
      <c r="GT52" s="1140"/>
      <c r="GU52" s="1141"/>
      <c r="GV52" s="1148"/>
      <c r="GW52" s="1141"/>
      <c r="GX52" s="1156"/>
      <c r="GY52" s="1157"/>
      <c r="GZ52" s="1140"/>
      <c r="HA52" s="1141"/>
      <c r="HB52" s="1158">
        <v>674.0972222222222</v>
      </c>
      <c r="HC52" s="1159">
        <v>5.65E12</v>
      </c>
      <c r="HD52" s="1140"/>
      <c r="HE52" s="1141"/>
      <c r="HF52" s="1140"/>
      <c r="HG52" s="1141"/>
      <c r="HH52" s="1140"/>
      <c r="HI52" s="1141"/>
      <c r="HJ52" s="1140"/>
      <c r="HK52" s="1141"/>
      <c r="HL52" s="1140"/>
      <c r="HM52" s="1141"/>
      <c r="HN52" s="1148"/>
      <c r="HO52" s="1141"/>
      <c r="HP52" s="1140"/>
      <c r="HQ52" s="1141"/>
      <c r="HR52" s="1140"/>
      <c r="HS52" s="1141"/>
      <c r="HT52" s="1140"/>
      <c r="HU52" s="1141"/>
      <c r="HV52" s="1140"/>
      <c r="HW52" s="1141"/>
      <c r="HX52" s="1140"/>
      <c r="HY52" s="1141"/>
      <c r="HZ52" s="1140"/>
      <c r="IA52" s="1141"/>
      <c r="IB52" s="1140"/>
      <c r="IC52" s="1141"/>
      <c r="ID52" s="1140"/>
      <c r="IE52" s="1141"/>
      <c r="IF52" s="1140"/>
      <c r="IG52" s="1141"/>
      <c r="IH52" s="1140"/>
      <c r="II52" s="1141"/>
      <c r="IJ52" s="1140"/>
      <c r="IK52" s="1141"/>
      <c r="IL52" s="1140"/>
      <c r="IM52" s="1141"/>
      <c r="IN52" s="1140"/>
      <c r="IO52" s="1141"/>
      <c r="IP52" s="1140"/>
      <c r="IQ52" s="1141"/>
      <c r="IR52" s="1140"/>
      <c r="IS52" s="1141"/>
      <c r="IT52" s="1140"/>
      <c r="IU52" s="1141"/>
      <c r="IV52" s="1140"/>
      <c r="IW52" s="1141"/>
      <c r="IX52" s="1140"/>
      <c r="IY52" s="1141"/>
      <c r="IZ52" s="1140"/>
      <c r="JA52" s="1141"/>
      <c r="JB52" s="1140"/>
      <c r="JC52" s="1141"/>
      <c r="JD52" s="1140"/>
      <c r="JE52" s="1141"/>
      <c r="JF52" s="1140"/>
      <c r="JG52" s="1141"/>
      <c r="JH52" s="1140"/>
      <c r="JI52" s="1141"/>
      <c r="JJ52" s="1172"/>
      <c r="JK52" s="1171"/>
      <c r="JL52" s="1172"/>
      <c r="JM52" s="1171"/>
      <c r="JN52" s="1172"/>
      <c r="JO52" s="1171"/>
      <c r="JP52" s="1172"/>
      <c r="JQ52" s="1171"/>
      <c r="JR52" s="1172"/>
      <c r="JS52" s="1171"/>
      <c r="JT52" s="1172"/>
      <c r="JU52" s="1171"/>
      <c r="JV52" s="1172"/>
      <c r="JW52" s="1171"/>
      <c r="JX52" s="1169"/>
      <c r="JY52" s="1133"/>
      <c r="JZ52" s="1173">
        <v>4.408391204</v>
      </c>
      <c r="KA52" s="1120">
        <v>7.321E10</v>
      </c>
      <c r="KB52" s="1173">
        <v>12.31715278</v>
      </c>
      <c r="KC52" s="1174">
        <v>3.5295E11</v>
      </c>
      <c r="KD52" s="1169"/>
      <c r="KE52" s="1133"/>
      <c r="KF52" s="1133"/>
      <c r="KG52" s="1133"/>
      <c r="KH52" s="1133"/>
      <c r="KI52" s="1133"/>
      <c r="KJ52" s="1133"/>
      <c r="KK52" s="1133"/>
      <c r="KL52" s="1133"/>
      <c r="KM52" s="1133"/>
      <c r="KN52" s="1133"/>
      <c r="KO52" s="1133"/>
      <c r="KP52" s="1133"/>
      <c r="KQ52" s="1133"/>
      <c r="KR52" s="1133"/>
      <c r="KS52" s="1133"/>
      <c r="KT52" s="1133"/>
      <c r="KU52" s="1133"/>
      <c r="KV52" s="1133"/>
      <c r="KW52" s="1133"/>
      <c r="KX52" s="1133"/>
      <c r="KY52" s="1133"/>
      <c r="KZ52" s="1133"/>
      <c r="LA52" s="1133"/>
      <c r="LB52" s="1133"/>
      <c r="LC52" s="1133"/>
      <c r="LD52" s="1133"/>
      <c r="LE52" s="1133"/>
      <c r="LF52" s="1133"/>
      <c r="LG52" s="1133"/>
      <c r="LH52" s="1133"/>
      <c r="LI52" s="1133"/>
      <c r="LJ52" s="1133"/>
      <c r="LK52" s="1133"/>
      <c r="LL52" s="1157"/>
      <c r="LM52" s="1157"/>
      <c r="LN52" s="1133"/>
      <c r="LO52" s="1133"/>
      <c r="LP52" s="1133"/>
      <c r="LQ52" s="1133"/>
      <c r="LR52" s="1133"/>
      <c r="LS52" s="1133"/>
      <c r="LT52" s="1133"/>
      <c r="LU52" s="1133"/>
      <c r="LV52" s="1133"/>
      <c r="LW52" s="1133"/>
      <c r="LX52" s="1133"/>
      <c r="LY52" s="1133"/>
      <c r="LZ52" s="1133"/>
      <c r="MA52" s="1133"/>
      <c r="MB52" s="1133"/>
      <c r="MC52" s="1133"/>
      <c r="MD52" s="1133"/>
      <c r="ME52" s="1133"/>
      <c r="MF52" s="1133"/>
      <c r="MG52" s="1133"/>
      <c r="MH52" s="1133"/>
      <c r="MI52" s="1133"/>
      <c r="MJ52" s="1133"/>
      <c r="MK52" s="1133"/>
      <c r="ML52" s="1133"/>
      <c r="MM52" s="1133"/>
      <c r="MN52" s="1133"/>
      <c r="MO52" s="1133"/>
      <c r="MP52" s="1133"/>
      <c r="MQ52" s="1133"/>
      <c r="MR52" s="1133"/>
      <c r="MS52" s="1133"/>
      <c r="MT52" s="1133"/>
      <c r="MU52" s="1133"/>
      <c r="MV52" s="1133"/>
      <c r="MW52" s="1133"/>
      <c r="MX52" s="1133"/>
      <c r="MY52" s="1133"/>
    </row>
    <row r="53">
      <c r="A53" s="1071">
        <v>51.0</v>
      </c>
      <c r="B53" s="1124"/>
      <c r="C53" s="1126"/>
      <c r="D53" s="1072">
        <v>9.859027777777778</v>
      </c>
      <c r="E53" s="1073">
        <v>659490.0</v>
      </c>
      <c r="F53" s="1072">
        <v>9.859027777777778</v>
      </c>
      <c r="G53" s="1073">
        <v>659490.0</v>
      </c>
      <c r="H53" s="1072">
        <v>9.859027777777778</v>
      </c>
      <c r="I53" s="1073">
        <v>659490.0</v>
      </c>
      <c r="J53" s="1072">
        <v>9.859027777777778</v>
      </c>
      <c r="K53" s="1073">
        <v>659490.0</v>
      </c>
      <c r="L53" s="1072">
        <v>17.707638888888887</v>
      </c>
      <c r="M53" s="1075">
        <v>2040000.0</v>
      </c>
      <c r="N53" s="1076">
        <v>8.852777777777778</v>
      </c>
      <c r="O53" s="1073">
        <v>2400000.0</v>
      </c>
      <c r="P53" s="1124"/>
      <c r="Q53" s="1125"/>
      <c r="R53" s="1124"/>
      <c r="S53" s="1125"/>
      <c r="T53" s="1124"/>
      <c r="U53" s="1125"/>
      <c r="V53" s="1124"/>
      <c r="W53" s="1125"/>
      <c r="X53" s="1124"/>
      <c r="Y53" s="1125"/>
      <c r="Z53" s="1124"/>
      <c r="AA53" s="1125"/>
      <c r="AB53" s="1124"/>
      <c r="AC53" s="1125"/>
      <c r="AD53" s="1072">
        <v>55.077083333333334</v>
      </c>
      <c r="AE53" s="1080">
        <v>4.97929223E14</v>
      </c>
      <c r="AF53" s="1072">
        <v>55.077083333333334</v>
      </c>
      <c r="AG53" s="1080">
        <v>4.97929223E14</v>
      </c>
      <c r="AH53" s="1072">
        <v>55.077083333333334</v>
      </c>
      <c r="AI53" s="1080">
        <v>4.97929223E14</v>
      </c>
      <c r="AJ53" s="1081">
        <v>9.859027777777778</v>
      </c>
      <c r="AK53" s="1082">
        <v>659490.0</v>
      </c>
      <c r="AL53" s="1081">
        <v>9.859027777777778</v>
      </c>
      <c r="AM53" s="1082">
        <v>659490.0</v>
      </c>
      <c r="AN53" s="1081">
        <v>9.859027777777778</v>
      </c>
      <c r="AO53" s="1082">
        <v>659490.0</v>
      </c>
      <c r="AP53" s="1081">
        <v>9.859027777777778</v>
      </c>
      <c r="AQ53" s="1082">
        <v>659490.0</v>
      </c>
      <c r="AR53" s="1081">
        <v>9.859027777777778</v>
      </c>
      <c r="AS53" s="1082">
        <v>659500.0</v>
      </c>
      <c r="AT53" s="1126"/>
      <c r="AU53" s="1125"/>
      <c r="AV53" s="1126"/>
      <c r="AW53" s="1125"/>
      <c r="AX53" s="1124"/>
      <c r="AY53" s="1175"/>
      <c r="AZ53" s="1124"/>
      <c r="BA53" s="1124"/>
      <c r="BB53" s="1083">
        <v>9.859027777777778</v>
      </c>
      <c r="BC53" s="1084">
        <v>659490.0</v>
      </c>
      <c r="BD53" s="1083">
        <v>9.859027777777778</v>
      </c>
      <c r="BE53" s="1084">
        <v>659490.0</v>
      </c>
      <c r="BF53" s="1083">
        <v>9.859027777777778</v>
      </c>
      <c r="BG53" s="1084">
        <v>659490.0</v>
      </c>
      <c r="BH53" s="1124"/>
      <c r="BI53" s="1125"/>
      <c r="BJ53" s="1124"/>
      <c r="BK53" s="1125"/>
      <c r="BL53" s="1124"/>
      <c r="BM53" s="1125"/>
      <c r="BN53" s="1124"/>
      <c r="BO53" s="1125"/>
      <c r="BP53" s="1124"/>
      <c r="BQ53" s="1125"/>
      <c r="BR53" s="1126"/>
      <c r="BS53" s="1125"/>
      <c r="BT53" s="1126"/>
      <c r="BU53" s="1126"/>
      <c r="BV53" s="1126"/>
      <c r="BW53" s="1126"/>
      <c r="BX53" s="1126"/>
      <c r="BY53" s="1126"/>
      <c r="BZ53" s="1126"/>
      <c r="CA53" s="1126"/>
      <c r="CB53" s="1126"/>
      <c r="CC53" s="1125"/>
      <c r="CD53" s="1083">
        <v>38.84181712962963</v>
      </c>
      <c r="CE53" s="1087">
        <v>6.55E12</v>
      </c>
      <c r="CF53" s="1133"/>
      <c r="CG53" s="1167"/>
      <c r="CH53" s="1088">
        <v>9.859027777777778</v>
      </c>
      <c r="CI53" s="1089">
        <v>659500.0</v>
      </c>
      <c r="CJ53" s="1088">
        <v>9.859027777777778</v>
      </c>
      <c r="CK53" s="1089">
        <v>659500.0</v>
      </c>
      <c r="CL53" s="1088">
        <v>9.859027777777778</v>
      </c>
      <c r="CM53" s="1089">
        <v>659500.0</v>
      </c>
      <c r="CN53" s="1088">
        <v>9.859027777777778</v>
      </c>
      <c r="CO53" s="1089">
        <v>659500.0</v>
      </c>
      <c r="CP53" s="1088">
        <v>21.468055555555555</v>
      </c>
      <c r="CQ53" s="1089">
        <v>2400000.0</v>
      </c>
      <c r="CR53" s="1124"/>
      <c r="CS53" s="1125"/>
      <c r="CT53" s="1126"/>
      <c r="CU53" s="1125"/>
      <c r="CV53" s="1126"/>
      <c r="CW53" s="1125"/>
      <c r="CX53" s="1126"/>
      <c r="CY53" s="1125"/>
      <c r="CZ53" s="1126"/>
      <c r="DA53" s="1126"/>
      <c r="DB53" s="1126"/>
      <c r="DC53" s="1126"/>
      <c r="DD53" s="1126"/>
      <c r="DE53" s="1125"/>
      <c r="DF53" s="1124"/>
      <c r="DG53" s="1125"/>
      <c r="DH53" s="1124"/>
      <c r="DI53" s="1125"/>
      <c r="DJ53" s="1124"/>
      <c r="DK53" s="1125"/>
      <c r="DL53" s="1124"/>
      <c r="DM53" s="1125"/>
      <c r="DN53" s="1124"/>
      <c r="DO53" s="1125"/>
      <c r="DP53" s="1124"/>
      <c r="DQ53" s="1125"/>
      <c r="DR53" s="1124"/>
      <c r="DS53" s="1125"/>
      <c r="DT53" s="1124"/>
      <c r="DU53" s="1125"/>
      <c r="DV53" s="1126"/>
      <c r="DW53" s="1125"/>
      <c r="DX53" s="1124"/>
      <c r="DY53" s="1125"/>
      <c r="DZ53" s="1124"/>
      <c r="EA53" s="1125"/>
      <c r="EB53" s="1124"/>
      <c r="EC53" s="1125"/>
      <c r="ED53" s="1124"/>
      <c r="EE53" s="1125"/>
      <c r="EF53" s="1124"/>
      <c r="EG53" s="1125"/>
      <c r="EH53" s="1124"/>
      <c r="EI53" s="1125"/>
      <c r="EJ53" s="1169"/>
      <c r="EK53" s="1167"/>
      <c r="EL53" s="1169"/>
      <c r="EM53" s="1167"/>
      <c r="EN53" s="1124"/>
      <c r="EO53" s="1125"/>
      <c r="EP53" s="1124"/>
      <c r="EQ53" s="1125"/>
      <c r="ER53" s="1124"/>
      <c r="ES53" s="1125"/>
      <c r="ET53" s="1124"/>
      <c r="EU53" s="1125"/>
      <c r="EV53" s="1124"/>
      <c r="EW53" s="1125"/>
      <c r="EX53" s="1124"/>
      <c r="EY53" s="1125"/>
      <c r="EZ53" s="1124"/>
      <c r="FA53" s="1125"/>
      <c r="FB53" s="1126"/>
      <c r="FC53" s="1125"/>
      <c r="FD53" s="1126"/>
      <c r="FE53" s="1125"/>
      <c r="FF53" s="1126"/>
      <c r="FG53" s="1125"/>
      <c r="FH53" s="1126"/>
      <c r="FI53" s="1126"/>
      <c r="FJ53" s="1126"/>
      <c r="FK53" s="1125"/>
      <c r="FL53" s="1124"/>
      <c r="FM53" s="1125"/>
      <c r="FN53" s="1139"/>
      <c r="FO53" s="1126"/>
      <c r="FP53" s="1139"/>
      <c r="FQ53" s="1126"/>
      <c r="FR53" s="1139"/>
      <c r="FS53" s="1126"/>
      <c r="FT53" s="1139"/>
      <c r="FU53" s="1125"/>
      <c r="FV53" s="1139"/>
      <c r="FW53" s="1125"/>
      <c r="FX53" s="1179"/>
      <c r="FY53" s="1167"/>
      <c r="FZ53" s="1179"/>
      <c r="GA53" s="1167"/>
      <c r="GB53" s="1179"/>
      <c r="GC53" s="1167"/>
      <c r="GD53" s="1133"/>
      <c r="GE53" s="1167"/>
      <c r="GF53" s="1124"/>
      <c r="GG53" s="1125"/>
      <c r="GH53" s="1124"/>
      <c r="GI53" s="1125"/>
      <c r="GJ53" s="1124"/>
      <c r="GK53" s="1125"/>
      <c r="GL53" s="1124"/>
      <c r="GM53" s="1125"/>
      <c r="GN53" s="1126"/>
      <c r="GO53" s="1125"/>
      <c r="GP53" s="1126"/>
      <c r="GQ53" s="1125"/>
      <c r="GR53" s="1124"/>
      <c r="GS53" s="1125"/>
      <c r="GT53" s="1124"/>
      <c r="GU53" s="1125"/>
      <c r="GV53" s="1126"/>
      <c r="GW53" s="1125"/>
      <c r="GX53" s="1168"/>
      <c r="GY53" s="1133"/>
      <c r="GZ53" s="1124"/>
      <c r="HA53" s="1125"/>
      <c r="HB53" s="1107">
        <v>723.1229166666667</v>
      </c>
      <c r="HC53" s="1108">
        <v>6.25E12</v>
      </c>
      <c r="HD53" s="1124"/>
      <c r="HE53" s="1125"/>
      <c r="HF53" s="1124"/>
      <c r="HG53" s="1125"/>
      <c r="HH53" s="1124"/>
      <c r="HI53" s="1125"/>
      <c r="HJ53" s="1124"/>
      <c r="HK53" s="1125"/>
      <c r="HL53" s="1124"/>
      <c r="HM53" s="1125"/>
      <c r="HN53" s="1126"/>
      <c r="HO53" s="1125"/>
      <c r="HP53" s="1124"/>
      <c r="HQ53" s="1125"/>
      <c r="HR53" s="1124"/>
      <c r="HS53" s="1125"/>
      <c r="HT53" s="1124"/>
      <c r="HU53" s="1125"/>
      <c r="HV53" s="1124"/>
      <c r="HW53" s="1125"/>
      <c r="HX53" s="1124"/>
      <c r="HY53" s="1125"/>
      <c r="HZ53" s="1124"/>
      <c r="IA53" s="1125"/>
      <c r="IB53" s="1124"/>
      <c r="IC53" s="1125"/>
      <c r="ID53" s="1124"/>
      <c r="IE53" s="1125"/>
      <c r="IF53" s="1124"/>
      <c r="IG53" s="1125"/>
      <c r="IH53" s="1124"/>
      <c r="II53" s="1125"/>
      <c r="IJ53" s="1124"/>
      <c r="IK53" s="1125"/>
      <c r="IL53" s="1124"/>
      <c r="IM53" s="1125"/>
      <c r="IN53" s="1124"/>
      <c r="IO53" s="1125"/>
      <c r="IP53" s="1124"/>
      <c r="IQ53" s="1125"/>
      <c r="IR53" s="1124"/>
      <c r="IS53" s="1125"/>
      <c r="IT53" s="1124"/>
      <c r="IU53" s="1125"/>
      <c r="IV53" s="1124"/>
      <c r="IW53" s="1125"/>
      <c r="IX53" s="1124"/>
      <c r="IY53" s="1125"/>
      <c r="IZ53" s="1124"/>
      <c r="JA53" s="1125"/>
      <c r="JB53" s="1124"/>
      <c r="JC53" s="1125"/>
      <c r="JD53" s="1124"/>
      <c r="JE53" s="1125"/>
      <c r="JF53" s="1124"/>
      <c r="JG53" s="1125"/>
      <c r="JH53" s="1124"/>
      <c r="JI53" s="1125"/>
      <c r="JJ53" s="1169"/>
      <c r="JK53" s="1167"/>
      <c r="JL53" s="1169"/>
      <c r="JM53" s="1167"/>
      <c r="JN53" s="1169"/>
      <c r="JO53" s="1167"/>
      <c r="JP53" s="1169"/>
      <c r="JQ53" s="1167"/>
      <c r="JR53" s="1169"/>
      <c r="JS53" s="1167"/>
      <c r="JT53" s="1169"/>
      <c r="JU53" s="1167"/>
      <c r="JV53" s="1169"/>
      <c r="JW53" s="1167"/>
      <c r="JX53" s="1169"/>
      <c r="JY53" s="1133"/>
      <c r="JZ53" s="1173">
        <v>4.494699074</v>
      </c>
      <c r="KA53" s="1120">
        <v>7.731E10</v>
      </c>
      <c r="KB53" s="1169"/>
      <c r="KC53" s="1133"/>
      <c r="KD53" s="1169"/>
      <c r="KE53" s="1133"/>
      <c r="KF53" s="1133"/>
      <c r="KG53" s="1133"/>
      <c r="KH53" s="1133"/>
      <c r="KI53" s="1133"/>
      <c r="KJ53" s="1133"/>
      <c r="KK53" s="1133"/>
      <c r="KL53" s="1133"/>
      <c r="KM53" s="1133"/>
      <c r="KN53" s="1133"/>
      <c r="KO53" s="1133"/>
      <c r="KP53" s="1133"/>
      <c r="KQ53" s="1133"/>
      <c r="KR53" s="1133"/>
      <c r="KS53" s="1133"/>
      <c r="KT53" s="1133"/>
      <c r="KU53" s="1133"/>
      <c r="KV53" s="1133"/>
      <c r="KW53" s="1133"/>
      <c r="KX53" s="1133"/>
      <c r="KY53" s="1133"/>
      <c r="KZ53" s="1133"/>
      <c r="LA53" s="1133"/>
      <c r="LB53" s="1133"/>
      <c r="LC53" s="1133"/>
      <c r="LD53" s="1133"/>
      <c r="LE53" s="1133"/>
      <c r="LF53" s="1133"/>
      <c r="LG53" s="1133"/>
      <c r="LH53" s="1133"/>
      <c r="LI53" s="1133"/>
      <c r="LJ53" s="1133"/>
      <c r="LK53" s="1133"/>
      <c r="LL53" s="1133"/>
      <c r="LM53" s="1133"/>
      <c r="LN53" s="1133"/>
      <c r="LO53" s="1133"/>
      <c r="LP53" s="1133"/>
      <c r="LQ53" s="1133"/>
      <c r="LR53" s="1133"/>
      <c r="LS53" s="1133"/>
      <c r="LT53" s="1133"/>
      <c r="LU53" s="1133"/>
      <c r="LV53" s="1133"/>
      <c r="LW53" s="1133"/>
      <c r="LX53" s="1133"/>
      <c r="LY53" s="1133"/>
      <c r="LZ53" s="1133"/>
      <c r="MA53" s="1133"/>
      <c r="MB53" s="1133"/>
      <c r="MC53" s="1133"/>
      <c r="MD53" s="1133"/>
      <c r="ME53" s="1133"/>
      <c r="MF53" s="1133"/>
      <c r="MG53" s="1133"/>
      <c r="MH53" s="1133"/>
      <c r="MI53" s="1133"/>
      <c r="MJ53" s="1133"/>
      <c r="MK53" s="1133"/>
      <c r="ML53" s="1133"/>
      <c r="MM53" s="1133"/>
      <c r="MN53" s="1133"/>
      <c r="MO53" s="1133"/>
      <c r="MP53" s="1133"/>
      <c r="MQ53" s="1133"/>
      <c r="MR53" s="1133"/>
      <c r="MS53" s="1133"/>
      <c r="MT53" s="1133"/>
      <c r="MU53" s="1133"/>
      <c r="MV53" s="1133"/>
      <c r="MW53" s="1133"/>
      <c r="MX53" s="1133"/>
      <c r="MY53" s="1133"/>
    </row>
    <row r="54">
      <c r="A54" s="1071">
        <v>52.0</v>
      </c>
      <c r="B54" s="1124"/>
      <c r="C54" s="1126"/>
      <c r="D54" s="1072">
        <v>10.333333333333334</v>
      </c>
      <c r="E54" s="1073">
        <v>696340.0</v>
      </c>
      <c r="F54" s="1072">
        <v>10.333333333333334</v>
      </c>
      <c r="G54" s="1073">
        <v>696340.0</v>
      </c>
      <c r="H54" s="1072">
        <v>10.333333333333334</v>
      </c>
      <c r="I54" s="1073">
        <v>696340.0</v>
      </c>
      <c r="J54" s="1072">
        <v>10.333333333333334</v>
      </c>
      <c r="K54" s="1073">
        <v>696340.0</v>
      </c>
      <c r="L54" s="1072">
        <v>18.613194444444446</v>
      </c>
      <c r="M54" s="1075">
        <v>2170000.0</v>
      </c>
      <c r="N54" s="1076">
        <v>9.214583333333334</v>
      </c>
      <c r="O54" s="1073">
        <v>2560000.0</v>
      </c>
      <c r="P54" s="1124"/>
      <c r="Q54" s="1125"/>
      <c r="R54" s="1124"/>
      <c r="S54" s="1125"/>
      <c r="T54" s="1124"/>
      <c r="U54" s="1125"/>
      <c r="V54" s="1124"/>
      <c r="W54" s="1125"/>
      <c r="X54" s="1124"/>
      <c r="Y54" s="1125"/>
      <c r="Z54" s="1124"/>
      <c r="AA54" s="1125"/>
      <c r="AB54" s="1124"/>
      <c r="AC54" s="1125"/>
      <c r="AD54" s="1072">
        <v>56.15694444444444</v>
      </c>
      <c r="AE54" s="1080">
        <v>6.473079899E14</v>
      </c>
      <c r="AF54" s="1072">
        <v>56.15694444444444</v>
      </c>
      <c r="AG54" s="1080">
        <v>6.473079899E14</v>
      </c>
      <c r="AH54" s="1072">
        <v>56.15694444444444</v>
      </c>
      <c r="AI54" s="1080">
        <v>6.473079899E14</v>
      </c>
      <c r="AJ54" s="1081">
        <v>10.333333333333334</v>
      </c>
      <c r="AK54" s="1082">
        <v>696340.0</v>
      </c>
      <c r="AL54" s="1081">
        <v>10.333333333333334</v>
      </c>
      <c r="AM54" s="1082">
        <v>696340.0</v>
      </c>
      <c r="AN54" s="1081">
        <v>10.333333333333334</v>
      </c>
      <c r="AO54" s="1082">
        <v>696340.0</v>
      </c>
      <c r="AP54" s="1081">
        <v>10.333333333333334</v>
      </c>
      <c r="AQ54" s="1082">
        <v>696340.0</v>
      </c>
      <c r="AR54" s="1081">
        <v>10.333333333333334</v>
      </c>
      <c r="AS54" s="1082">
        <v>696350.0</v>
      </c>
      <c r="AT54" s="1126"/>
      <c r="AU54" s="1125"/>
      <c r="AV54" s="1126"/>
      <c r="AW54" s="1125"/>
      <c r="AX54" s="1124"/>
      <c r="AY54" s="1175"/>
      <c r="AZ54" s="1124"/>
      <c r="BA54" s="1124"/>
      <c r="BB54" s="1083">
        <v>10.333333333333334</v>
      </c>
      <c r="BC54" s="1084">
        <v>696340.0</v>
      </c>
      <c r="BD54" s="1083">
        <v>10.333333333333334</v>
      </c>
      <c r="BE54" s="1084">
        <v>696340.0</v>
      </c>
      <c r="BF54" s="1083">
        <v>10.333333333333334</v>
      </c>
      <c r="BG54" s="1084">
        <v>696340.0</v>
      </c>
      <c r="BH54" s="1124"/>
      <c r="BI54" s="1125"/>
      <c r="BJ54" s="1124"/>
      <c r="BK54" s="1125"/>
      <c r="BL54" s="1124"/>
      <c r="BM54" s="1125"/>
      <c r="BN54" s="1124"/>
      <c r="BO54" s="1125"/>
      <c r="BP54" s="1124"/>
      <c r="BQ54" s="1125"/>
      <c r="BR54" s="1126"/>
      <c r="BS54" s="1125"/>
      <c r="BT54" s="1126"/>
      <c r="BU54" s="1126"/>
      <c r="BV54" s="1126"/>
      <c r="BW54" s="1126"/>
      <c r="BX54" s="1126"/>
      <c r="BY54" s="1126"/>
      <c r="BZ54" s="1126"/>
      <c r="CA54" s="1126"/>
      <c r="CB54" s="1126"/>
      <c r="CC54" s="1125"/>
      <c r="CD54" s="1083">
        <v>40.66607638888889</v>
      </c>
      <c r="CE54" s="1087">
        <v>6.93E12</v>
      </c>
      <c r="CF54" s="1133"/>
      <c r="CG54" s="1167"/>
      <c r="CH54" s="1088">
        <v>10.333333333333334</v>
      </c>
      <c r="CI54" s="1089">
        <v>696350.0</v>
      </c>
      <c r="CJ54" s="1088">
        <v>10.333333333333334</v>
      </c>
      <c r="CK54" s="1089">
        <v>696350.0</v>
      </c>
      <c r="CL54" s="1088">
        <v>10.333333333333334</v>
      </c>
      <c r="CM54" s="1089">
        <v>696350.0</v>
      </c>
      <c r="CN54" s="1088">
        <v>10.333333333333334</v>
      </c>
      <c r="CO54" s="1089">
        <v>696350.0</v>
      </c>
      <c r="CP54" s="1088">
        <v>22.593055555555555</v>
      </c>
      <c r="CQ54" s="1089">
        <v>2560000.0</v>
      </c>
      <c r="CR54" s="1124"/>
      <c r="CS54" s="1125"/>
      <c r="CT54" s="1126"/>
      <c r="CU54" s="1125"/>
      <c r="CV54" s="1126"/>
      <c r="CW54" s="1125"/>
      <c r="CX54" s="1126"/>
      <c r="CY54" s="1125"/>
      <c r="CZ54" s="1126"/>
      <c r="DA54" s="1126"/>
      <c r="DB54" s="1126"/>
      <c r="DC54" s="1126"/>
      <c r="DD54" s="1126"/>
      <c r="DE54" s="1125"/>
      <c r="DF54" s="1124"/>
      <c r="DG54" s="1125"/>
      <c r="DH54" s="1124"/>
      <c r="DI54" s="1125"/>
      <c r="DJ54" s="1124"/>
      <c r="DK54" s="1125"/>
      <c r="DL54" s="1124"/>
      <c r="DM54" s="1125"/>
      <c r="DN54" s="1124"/>
      <c r="DO54" s="1125"/>
      <c r="DP54" s="1124"/>
      <c r="DQ54" s="1125"/>
      <c r="DR54" s="1124"/>
      <c r="DS54" s="1125"/>
      <c r="DT54" s="1124"/>
      <c r="DU54" s="1125"/>
      <c r="DV54" s="1126"/>
      <c r="DW54" s="1125"/>
      <c r="DX54" s="1124"/>
      <c r="DY54" s="1125"/>
      <c r="DZ54" s="1124"/>
      <c r="EA54" s="1125"/>
      <c r="EB54" s="1124"/>
      <c r="EC54" s="1125"/>
      <c r="ED54" s="1124"/>
      <c r="EE54" s="1125"/>
      <c r="EF54" s="1124"/>
      <c r="EG54" s="1125"/>
      <c r="EH54" s="1124"/>
      <c r="EI54" s="1125"/>
      <c r="EJ54" s="1169"/>
      <c r="EK54" s="1167"/>
      <c r="EL54" s="1169"/>
      <c r="EM54" s="1167"/>
      <c r="EN54" s="1124"/>
      <c r="EO54" s="1125"/>
      <c r="EP54" s="1124"/>
      <c r="EQ54" s="1125"/>
      <c r="ER54" s="1124"/>
      <c r="ES54" s="1125"/>
      <c r="ET54" s="1124"/>
      <c r="EU54" s="1125"/>
      <c r="EV54" s="1124"/>
      <c r="EW54" s="1125"/>
      <c r="EX54" s="1124"/>
      <c r="EY54" s="1125"/>
      <c r="EZ54" s="1124"/>
      <c r="FA54" s="1125"/>
      <c r="FB54" s="1126"/>
      <c r="FC54" s="1125"/>
      <c r="FD54" s="1126"/>
      <c r="FE54" s="1125"/>
      <c r="FF54" s="1126"/>
      <c r="FG54" s="1125"/>
      <c r="FH54" s="1126"/>
      <c r="FI54" s="1126"/>
      <c r="FJ54" s="1126"/>
      <c r="FK54" s="1125"/>
      <c r="FL54" s="1124"/>
      <c r="FM54" s="1125"/>
      <c r="FN54" s="1139"/>
      <c r="FO54" s="1126"/>
      <c r="FP54" s="1139"/>
      <c r="FQ54" s="1126"/>
      <c r="FR54" s="1139"/>
      <c r="FS54" s="1126"/>
      <c r="FT54" s="1139"/>
      <c r="FU54" s="1125"/>
      <c r="FV54" s="1139"/>
      <c r="FW54" s="1125"/>
      <c r="FX54" s="1179"/>
      <c r="FY54" s="1167"/>
      <c r="FZ54" s="1179"/>
      <c r="GA54" s="1167"/>
      <c r="GB54" s="1179"/>
      <c r="GC54" s="1167"/>
      <c r="GD54" s="1133"/>
      <c r="GE54" s="1167"/>
      <c r="GF54" s="1124"/>
      <c r="GG54" s="1125"/>
      <c r="GH54" s="1124"/>
      <c r="GI54" s="1125"/>
      <c r="GJ54" s="1124"/>
      <c r="GK54" s="1125"/>
      <c r="GL54" s="1124"/>
      <c r="GM54" s="1125"/>
      <c r="GN54" s="1126"/>
      <c r="GO54" s="1125"/>
      <c r="GP54" s="1126"/>
      <c r="GQ54" s="1125"/>
      <c r="GR54" s="1124"/>
      <c r="GS54" s="1125"/>
      <c r="GT54" s="1124"/>
      <c r="GU54" s="1125"/>
      <c r="GV54" s="1126"/>
      <c r="GW54" s="1125"/>
      <c r="GX54" s="1168"/>
      <c r="GY54" s="1133"/>
      <c r="GZ54" s="1124"/>
      <c r="HA54" s="1125"/>
      <c r="HB54" s="1107">
        <v>774.6548611111111</v>
      </c>
      <c r="HC54" s="1108">
        <v>6.9E12</v>
      </c>
      <c r="HD54" s="1124"/>
      <c r="HE54" s="1125"/>
      <c r="HF54" s="1124"/>
      <c r="HG54" s="1125"/>
      <c r="HH54" s="1124"/>
      <c r="HI54" s="1125"/>
      <c r="HJ54" s="1124"/>
      <c r="HK54" s="1125"/>
      <c r="HL54" s="1124"/>
      <c r="HM54" s="1125"/>
      <c r="HN54" s="1126"/>
      <c r="HO54" s="1125"/>
      <c r="HP54" s="1124"/>
      <c r="HQ54" s="1125"/>
      <c r="HR54" s="1124"/>
      <c r="HS54" s="1125"/>
      <c r="HT54" s="1124"/>
      <c r="HU54" s="1125"/>
      <c r="HV54" s="1124"/>
      <c r="HW54" s="1125"/>
      <c r="HX54" s="1124"/>
      <c r="HY54" s="1125"/>
      <c r="HZ54" s="1124"/>
      <c r="IA54" s="1125"/>
      <c r="IB54" s="1124"/>
      <c r="IC54" s="1125"/>
      <c r="ID54" s="1124"/>
      <c r="IE54" s="1125"/>
      <c r="IF54" s="1124"/>
      <c r="IG54" s="1125"/>
      <c r="IH54" s="1124"/>
      <c r="II54" s="1125"/>
      <c r="IJ54" s="1124"/>
      <c r="IK54" s="1125"/>
      <c r="IL54" s="1124"/>
      <c r="IM54" s="1125"/>
      <c r="IN54" s="1124"/>
      <c r="IO54" s="1125"/>
      <c r="IP54" s="1124"/>
      <c r="IQ54" s="1125"/>
      <c r="IR54" s="1124"/>
      <c r="IS54" s="1125"/>
      <c r="IT54" s="1124"/>
      <c r="IU54" s="1125"/>
      <c r="IV54" s="1124"/>
      <c r="IW54" s="1125"/>
      <c r="IX54" s="1124"/>
      <c r="IY54" s="1125"/>
      <c r="IZ54" s="1124"/>
      <c r="JA54" s="1125"/>
      <c r="JB54" s="1124"/>
      <c r="JC54" s="1125"/>
      <c r="JD54" s="1124"/>
      <c r="JE54" s="1125"/>
      <c r="JF54" s="1124"/>
      <c r="JG54" s="1125"/>
      <c r="JH54" s="1124"/>
      <c r="JI54" s="1125"/>
      <c r="JJ54" s="1169"/>
      <c r="JK54" s="1167"/>
      <c r="JL54" s="1169"/>
      <c r="JM54" s="1167"/>
      <c r="JN54" s="1169"/>
      <c r="JO54" s="1167"/>
      <c r="JP54" s="1169"/>
      <c r="JQ54" s="1167"/>
      <c r="JR54" s="1169"/>
      <c r="JS54" s="1167"/>
      <c r="JT54" s="1169"/>
      <c r="JU54" s="1167"/>
      <c r="JV54" s="1169"/>
      <c r="JW54" s="1167"/>
      <c r="JX54" s="1169"/>
      <c r="JY54" s="1133"/>
      <c r="JZ54" s="1173">
        <v>4.582627315</v>
      </c>
      <c r="KA54" s="1120">
        <v>8.156E10</v>
      </c>
      <c r="KB54" s="1169"/>
      <c r="KC54" s="1133"/>
      <c r="KD54" s="1169"/>
      <c r="KE54" s="1133"/>
      <c r="KF54" s="1133"/>
      <c r="KG54" s="1133"/>
      <c r="KH54" s="1133"/>
      <c r="KI54" s="1133"/>
      <c r="KJ54" s="1133"/>
      <c r="KK54" s="1133"/>
      <c r="KL54" s="1133"/>
      <c r="KM54" s="1133"/>
      <c r="KN54" s="1133"/>
      <c r="KO54" s="1133"/>
      <c r="KP54" s="1133"/>
      <c r="KQ54" s="1133"/>
      <c r="KR54" s="1133"/>
      <c r="KS54" s="1133"/>
      <c r="KT54" s="1133"/>
      <c r="KU54" s="1133"/>
      <c r="KV54" s="1133"/>
      <c r="KW54" s="1133"/>
      <c r="KX54" s="1133"/>
      <c r="KY54" s="1133"/>
      <c r="KZ54" s="1133"/>
      <c r="LA54" s="1133"/>
      <c r="LB54" s="1133"/>
      <c r="LC54" s="1133"/>
      <c r="LD54" s="1133"/>
      <c r="LE54" s="1133"/>
      <c r="LF54" s="1133"/>
      <c r="LG54" s="1133"/>
      <c r="LH54" s="1133"/>
      <c r="LI54" s="1133"/>
      <c r="LJ54" s="1133"/>
      <c r="LK54" s="1133"/>
      <c r="LL54" s="1133"/>
      <c r="LM54" s="1133"/>
      <c r="LN54" s="1133"/>
      <c r="LO54" s="1133"/>
      <c r="LP54" s="1133"/>
      <c r="LQ54" s="1133"/>
      <c r="LR54" s="1133"/>
      <c r="LS54" s="1133"/>
      <c r="LT54" s="1133"/>
      <c r="LU54" s="1133"/>
      <c r="LV54" s="1133"/>
      <c r="LW54" s="1133"/>
      <c r="LX54" s="1133"/>
      <c r="LY54" s="1133"/>
      <c r="LZ54" s="1133"/>
      <c r="MA54" s="1133"/>
      <c r="MB54" s="1133"/>
      <c r="MC54" s="1133"/>
      <c r="MD54" s="1133"/>
      <c r="ME54" s="1133"/>
      <c r="MF54" s="1133"/>
      <c r="MG54" s="1133"/>
      <c r="MH54" s="1133"/>
      <c r="MI54" s="1133"/>
      <c r="MJ54" s="1133"/>
      <c r="MK54" s="1133"/>
      <c r="ML54" s="1133"/>
      <c r="MM54" s="1133"/>
      <c r="MN54" s="1133"/>
      <c r="MO54" s="1133"/>
      <c r="MP54" s="1133"/>
      <c r="MQ54" s="1133"/>
      <c r="MR54" s="1133"/>
      <c r="MS54" s="1133"/>
      <c r="MT54" s="1133"/>
      <c r="MU54" s="1133"/>
      <c r="MV54" s="1133"/>
      <c r="MW54" s="1133"/>
      <c r="MX54" s="1133"/>
      <c r="MY54" s="1133"/>
    </row>
    <row r="55">
      <c r="A55" s="1071">
        <v>53.0</v>
      </c>
      <c r="B55" s="1124"/>
      <c r="C55" s="1126"/>
      <c r="D55" s="1072">
        <v>10.821527777777778</v>
      </c>
      <c r="E55" s="1073">
        <v>734490.0</v>
      </c>
      <c r="F55" s="1072">
        <v>10.821527777777778</v>
      </c>
      <c r="G55" s="1073">
        <v>734490.0</v>
      </c>
      <c r="H55" s="1072">
        <v>10.821527777777778</v>
      </c>
      <c r="I55" s="1073">
        <v>734490.0</v>
      </c>
      <c r="J55" s="1072">
        <v>10.821527777777778</v>
      </c>
      <c r="K55" s="1073">
        <v>734490.0</v>
      </c>
      <c r="L55" s="1072">
        <v>19.549305555555556</v>
      </c>
      <c r="M55" s="1075">
        <v>2290000.0</v>
      </c>
      <c r="N55" s="1076">
        <v>9.582638888888889</v>
      </c>
      <c r="O55" s="1073">
        <v>2720000.0</v>
      </c>
      <c r="P55" s="1124"/>
      <c r="Q55" s="1125"/>
      <c r="R55" s="1124"/>
      <c r="S55" s="1125"/>
      <c r="T55" s="1124"/>
      <c r="U55" s="1125"/>
      <c r="V55" s="1124"/>
      <c r="W55" s="1125"/>
      <c r="X55" s="1124"/>
      <c r="Y55" s="1125"/>
      <c r="Z55" s="1124"/>
      <c r="AA55" s="1125"/>
      <c r="AB55" s="1124"/>
      <c r="AC55" s="1125"/>
      <c r="AD55" s="1072">
        <v>57.236805555555556</v>
      </c>
      <c r="AE55" s="1080">
        <v>8.415003868E14</v>
      </c>
      <c r="AF55" s="1072">
        <v>57.236805555555556</v>
      </c>
      <c r="AG55" s="1080">
        <v>8.415003868E14</v>
      </c>
      <c r="AH55" s="1072">
        <v>57.236805555555556</v>
      </c>
      <c r="AI55" s="1080">
        <v>8.415003868E14</v>
      </c>
      <c r="AJ55" s="1081">
        <v>10.821527777777778</v>
      </c>
      <c r="AK55" s="1082">
        <v>734490.0</v>
      </c>
      <c r="AL55" s="1081">
        <v>10.821527777777778</v>
      </c>
      <c r="AM55" s="1082">
        <v>734490.0</v>
      </c>
      <c r="AN55" s="1081">
        <v>10.821527777777778</v>
      </c>
      <c r="AO55" s="1082">
        <v>734490.0</v>
      </c>
      <c r="AP55" s="1081">
        <v>10.821527777777778</v>
      </c>
      <c r="AQ55" s="1082">
        <v>734490.0</v>
      </c>
      <c r="AR55" s="1081">
        <v>10.821527777777778</v>
      </c>
      <c r="AS55" s="1082">
        <v>734500.0</v>
      </c>
      <c r="AT55" s="1126"/>
      <c r="AU55" s="1125"/>
      <c r="AV55" s="1126"/>
      <c r="AW55" s="1125"/>
      <c r="AX55" s="1124"/>
      <c r="AY55" s="1175"/>
      <c r="AZ55" s="1124"/>
      <c r="BA55" s="1124"/>
      <c r="BB55" s="1083">
        <v>10.821527777777778</v>
      </c>
      <c r="BC55" s="1084">
        <v>734490.0</v>
      </c>
      <c r="BD55" s="1083">
        <v>10.821527777777778</v>
      </c>
      <c r="BE55" s="1084">
        <v>734490.0</v>
      </c>
      <c r="BF55" s="1083">
        <v>10.821527777777778</v>
      </c>
      <c r="BG55" s="1084">
        <v>734490.0</v>
      </c>
      <c r="BH55" s="1124"/>
      <c r="BI55" s="1125"/>
      <c r="BJ55" s="1124"/>
      <c r="BK55" s="1125"/>
      <c r="BL55" s="1124"/>
      <c r="BM55" s="1125"/>
      <c r="BN55" s="1124"/>
      <c r="BO55" s="1125"/>
      <c r="BP55" s="1124"/>
      <c r="BQ55" s="1125"/>
      <c r="BR55" s="1126"/>
      <c r="BS55" s="1125"/>
      <c r="BT55" s="1126"/>
      <c r="BU55" s="1126"/>
      <c r="BV55" s="1126"/>
      <c r="BW55" s="1126"/>
      <c r="BX55" s="1126"/>
      <c r="BY55" s="1126"/>
      <c r="BZ55" s="1126"/>
      <c r="CA55" s="1126"/>
      <c r="CB55" s="1126"/>
      <c r="CC55" s="1125"/>
      <c r="CD55" s="1083">
        <v>42.54863425925926</v>
      </c>
      <c r="CE55" s="1087">
        <v>7.33E12</v>
      </c>
      <c r="CF55" s="1133"/>
      <c r="CG55" s="1167"/>
      <c r="CH55" s="1088">
        <v>10.821527777777778</v>
      </c>
      <c r="CI55" s="1089">
        <v>734500.0</v>
      </c>
      <c r="CJ55" s="1088">
        <v>10.821527777777778</v>
      </c>
      <c r="CK55" s="1089">
        <v>734500.0</v>
      </c>
      <c r="CL55" s="1088">
        <v>10.821527777777778</v>
      </c>
      <c r="CM55" s="1089">
        <v>734500.0</v>
      </c>
      <c r="CN55" s="1088">
        <v>10.821527777777778</v>
      </c>
      <c r="CO55" s="1089">
        <v>734500.0</v>
      </c>
      <c r="CP55" s="1088">
        <v>23.75347222222222</v>
      </c>
      <c r="CQ55" s="1089">
        <v>2720000.0</v>
      </c>
      <c r="CR55" s="1124"/>
      <c r="CS55" s="1125"/>
      <c r="CT55" s="1126"/>
      <c r="CU55" s="1125"/>
      <c r="CV55" s="1126"/>
      <c r="CW55" s="1125"/>
      <c r="CX55" s="1126"/>
      <c r="CY55" s="1125"/>
      <c r="CZ55" s="1126"/>
      <c r="DA55" s="1126"/>
      <c r="DB55" s="1126"/>
      <c r="DC55" s="1126"/>
      <c r="DD55" s="1126"/>
      <c r="DE55" s="1125"/>
      <c r="DF55" s="1124"/>
      <c r="DG55" s="1125"/>
      <c r="DH55" s="1124"/>
      <c r="DI55" s="1125"/>
      <c r="DJ55" s="1124"/>
      <c r="DK55" s="1125"/>
      <c r="DL55" s="1124"/>
      <c r="DM55" s="1125"/>
      <c r="DN55" s="1124"/>
      <c r="DO55" s="1125"/>
      <c r="DP55" s="1124"/>
      <c r="DQ55" s="1125"/>
      <c r="DR55" s="1124"/>
      <c r="DS55" s="1125"/>
      <c r="DT55" s="1124"/>
      <c r="DU55" s="1125"/>
      <c r="DV55" s="1126"/>
      <c r="DW55" s="1125"/>
      <c r="DX55" s="1124"/>
      <c r="DY55" s="1125"/>
      <c r="DZ55" s="1124"/>
      <c r="EA55" s="1125"/>
      <c r="EB55" s="1124"/>
      <c r="EC55" s="1125"/>
      <c r="ED55" s="1124"/>
      <c r="EE55" s="1125"/>
      <c r="EF55" s="1124"/>
      <c r="EG55" s="1125"/>
      <c r="EH55" s="1124"/>
      <c r="EI55" s="1125"/>
      <c r="EJ55" s="1169"/>
      <c r="EK55" s="1167"/>
      <c r="EL55" s="1169"/>
      <c r="EM55" s="1167"/>
      <c r="EN55" s="1124"/>
      <c r="EO55" s="1125"/>
      <c r="EP55" s="1124"/>
      <c r="EQ55" s="1125"/>
      <c r="ER55" s="1124"/>
      <c r="ES55" s="1125"/>
      <c r="ET55" s="1124"/>
      <c r="EU55" s="1125"/>
      <c r="EV55" s="1124"/>
      <c r="EW55" s="1125"/>
      <c r="EX55" s="1124"/>
      <c r="EY55" s="1125"/>
      <c r="EZ55" s="1124"/>
      <c r="FA55" s="1125"/>
      <c r="FB55" s="1126"/>
      <c r="FC55" s="1125"/>
      <c r="FD55" s="1126"/>
      <c r="FE55" s="1125"/>
      <c r="FF55" s="1126"/>
      <c r="FG55" s="1125"/>
      <c r="FH55" s="1126"/>
      <c r="FI55" s="1126"/>
      <c r="FJ55" s="1126"/>
      <c r="FK55" s="1125"/>
      <c r="FL55" s="1124"/>
      <c r="FM55" s="1125"/>
      <c r="FN55" s="1139"/>
      <c r="FO55" s="1126"/>
      <c r="FP55" s="1139"/>
      <c r="FQ55" s="1126"/>
      <c r="FR55" s="1139"/>
      <c r="FS55" s="1126"/>
      <c r="FT55" s="1139"/>
      <c r="FU55" s="1125"/>
      <c r="FV55" s="1139"/>
      <c r="FW55" s="1125"/>
      <c r="FX55" s="1179"/>
      <c r="FY55" s="1167"/>
      <c r="FZ55" s="1179"/>
      <c r="GA55" s="1167"/>
      <c r="GB55" s="1179"/>
      <c r="GC55" s="1167"/>
      <c r="GD55" s="1133"/>
      <c r="GE55" s="1167"/>
      <c r="GF55" s="1124"/>
      <c r="GG55" s="1125"/>
      <c r="GH55" s="1124"/>
      <c r="GI55" s="1125"/>
      <c r="GJ55" s="1124"/>
      <c r="GK55" s="1125"/>
      <c r="GL55" s="1124"/>
      <c r="GM55" s="1125"/>
      <c r="GN55" s="1126"/>
      <c r="GO55" s="1125"/>
      <c r="GP55" s="1126"/>
      <c r="GQ55" s="1125"/>
      <c r="GR55" s="1124"/>
      <c r="GS55" s="1125"/>
      <c r="GT55" s="1124"/>
      <c r="GU55" s="1125"/>
      <c r="GV55" s="1126"/>
      <c r="GW55" s="1125"/>
      <c r="GX55" s="1168"/>
      <c r="GY55" s="1133"/>
      <c r="GZ55" s="1124"/>
      <c r="HA55" s="1125"/>
      <c r="HB55" s="1107">
        <v>828.7694444444444</v>
      </c>
      <c r="HC55" s="1108">
        <v>7.6E12</v>
      </c>
      <c r="HD55" s="1124"/>
      <c r="HE55" s="1125"/>
      <c r="HF55" s="1124"/>
      <c r="HG55" s="1125"/>
      <c r="HH55" s="1124"/>
      <c r="HI55" s="1125"/>
      <c r="HJ55" s="1124"/>
      <c r="HK55" s="1125"/>
      <c r="HL55" s="1124"/>
      <c r="HM55" s="1125"/>
      <c r="HN55" s="1126"/>
      <c r="HO55" s="1125"/>
      <c r="HP55" s="1124"/>
      <c r="HQ55" s="1125"/>
      <c r="HR55" s="1124"/>
      <c r="HS55" s="1125"/>
      <c r="HT55" s="1124"/>
      <c r="HU55" s="1125"/>
      <c r="HV55" s="1124"/>
      <c r="HW55" s="1125"/>
      <c r="HX55" s="1124"/>
      <c r="HY55" s="1125"/>
      <c r="HZ55" s="1124"/>
      <c r="IA55" s="1125"/>
      <c r="IB55" s="1124"/>
      <c r="IC55" s="1125"/>
      <c r="ID55" s="1124"/>
      <c r="IE55" s="1125"/>
      <c r="IF55" s="1124"/>
      <c r="IG55" s="1125"/>
      <c r="IH55" s="1124"/>
      <c r="II55" s="1125"/>
      <c r="IJ55" s="1124"/>
      <c r="IK55" s="1125"/>
      <c r="IL55" s="1124"/>
      <c r="IM55" s="1125"/>
      <c r="IN55" s="1124"/>
      <c r="IO55" s="1125"/>
      <c r="IP55" s="1124"/>
      <c r="IQ55" s="1125"/>
      <c r="IR55" s="1124"/>
      <c r="IS55" s="1125"/>
      <c r="IT55" s="1124"/>
      <c r="IU55" s="1125"/>
      <c r="IV55" s="1124"/>
      <c r="IW55" s="1125"/>
      <c r="IX55" s="1124"/>
      <c r="IY55" s="1125"/>
      <c r="IZ55" s="1124"/>
      <c r="JA55" s="1125"/>
      <c r="JB55" s="1124"/>
      <c r="JC55" s="1125"/>
      <c r="JD55" s="1124"/>
      <c r="JE55" s="1125"/>
      <c r="JF55" s="1124"/>
      <c r="JG55" s="1125"/>
      <c r="JH55" s="1124"/>
      <c r="JI55" s="1125"/>
      <c r="JJ55" s="1169"/>
      <c r="JK55" s="1167"/>
      <c r="JL55" s="1169"/>
      <c r="JM55" s="1167"/>
      <c r="JN55" s="1169"/>
      <c r="JO55" s="1167"/>
      <c r="JP55" s="1169"/>
      <c r="JQ55" s="1167"/>
      <c r="JR55" s="1169"/>
      <c r="JS55" s="1167"/>
      <c r="JT55" s="1169"/>
      <c r="JU55" s="1167"/>
      <c r="JV55" s="1169"/>
      <c r="JW55" s="1167"/>
      <c r="JX55" s="1169"/>
      <c r="JY55" s="1133"/>
      <c r="JZ55" s="1173">
        <v>4.670115741</v>
      </c>
      <c r="KA55" s="1120">
        <v>8.595E10</v>
      </c>
      <c r="KB55" s="1169"/>
      <c r="KC55" s="1133"/>
      <c r="KD55" s="1169"/>
      <c r="KE55" s="1133"/>
      <c r="KF55" s="1133"/>
      <c r="KG55" s="1133"/>
      <c r="KH55" s="1133"/>
      <c r="KI55" s="1133"/>
      <c r="KJ55" s="1133"/>
      <c r="KK55" s="1133"/>
      <c r="KL55" s="1133"/>
      <c r="KM55" s="1133"/>
      <c r="KN55" s="1133"/>
      <c r="KO55" s="1133"/>
      <c r="KP55" s="1133"/>
      <c r="KQ55" s="1133"/>
      <c r="KR55" s="1133"/>
      <c r="KS55" s="1133"/>
      <c r="KT55" s="1133"/>
      <c r="KU55" s="1133"/>
      <c r="KV55" s="1133"/>
      <c r="KW55" s="1133"/>
      <c r="KX55" s="1133"/>
      <c r="KY55" s="1133"/>
      <c r="KZ55" s="1133"/>
      <c r="LA55" s="1133"/>
      <c r="LB55" s="1133"/>
      <c r="LC55" s="1133"/>
      <c r="LD55" s="1133"/>
      <c r="LE55" s="1133"/>
      <c r="LF55" s="1133"/>
      <c r="LG55" s="1133"/>
      <c r="LH55" s="1133"/>
      <c r="LI55" s="1133"/>
      <c r="LJ55" s="1133"/>
      <c r="LK55" s="1133"/>
      <c r="LL55" s="1133"/>
      <c r="LM55" s="1133"/>
      <c r="LN55" s="1133"/>
      <c r="LO55" s="1133"/>
      <c r="LP55" s="1133"/>
      <c r="LQ55" s="1133"/>
      <c r="LR55" s="1133"/>
      <c r="LS55" s="1133"/>
      <c r="LT55" s="1133"/>
      <c r="LU55" s="1133"/>
      <c r="LV55" s="1133"/>
      <c r="LW55" s="1133"/>
      <c r="LX55" s="1133"/>
      <c r="LY55" s="1133"/>
      <c r="LZ55" s="1133"/>
      <c r="MA55" s="1133"/>
      <c r="MB55" s="1133"/>
      <c r="MC55" s="1133"/>
      <c r="MD55" s="1133"/>
      <c r="ME55" s="1133"/>
      <c r="MF55" s="1133"/>
      <c r="MG55" s="1133"/>
      <c r="MH55" s="1133"/>
      <c r="MI55" s="1133"/>
      <c r="MJ55" s="1133"/>
      <c r="MK55" s="1133"/>
      <c r="ML55" s="1133"/>
      <c r="MM55" s="1133"/>
      <c r="MN55" s="1133"/>
      <c r="MO55" s="1133"/>
      <c r="MP55" s="1133"/>
      <c r="MQ55" s="1133"/>
      <c r="MR55" s="1133"/>
      <c r="MS55" s="1133"/>
      <c r="MT55" s="1133"/>
      <c r="MU55" s="1133"/>
      <c r="MV55" s="1133"/>
      <c r="MW55" s="1133"/>
      <c r="MX55" s="1133"/>
      <c r="MY55" s="1133"/>
    </row>
    <row r="56">
      <c r="A56" s="1071">
        <v>54.0</v>
      </c>
      <c r="B56" s="1124"/>
      <c r="C56" s="1126"/>
      <c r="D56" s="1072">
        <v>11.322916666666666</v>
      </c>
      <c r="E56" s="1073">
        <v>773940.0</v>
      </c>
      <c r="F56" s="1072">
        <v>11.322916666666666</v>
      </c>
      <c r="G56" s="1073">
        <v>773940.0</v>
      </c>
      <c r="H56" s="1072">
        <v>11.322916666666666</v>
      </c>
      <c r="I56" s="1073">
        <v>773940.0</v>
      </c>
      <c r="J56" s="1072">
        <v>11.322916666666666</v>
      </c>
      <c r="K56" s="1073">
        <v>773940.0</v>
      </c>
      <c r="L56" s="1072">
        <v>20.513194444444444</v>
      </c>
      <c r="M56" s="1075">
        <v>2420000.0</v>
      </c>
      <c r="N56" s="1076">
        <v>9.957638888888889</v>
      </c>
      <c r="O56" s="1073">
        <v>2880000.0</v>
      </c>
      <c r="P56" s="1124"/>
      <c r="Q56" s="1125"/>
      <c r="R56" s="1124"/>
      <c r="S56" s="1125"/>
      <c r="T56" s="1124"/>
      <c r="U56" s="1125"/>
      <c r="V56" s="1124"/>
      <c r="W56" s="1125"/>
      <c r="X56" s="1124"/>
      <c r="Y56" s="1125"/>
      <c r="Z56" s="1124"/>
      <c r="AA56" s="1125"/>
      <c r="AB56" s="1124"/>
      <c r="AC56" s="1125"/>
      <c r="AD56" s="1072">
        <v>58.31736111111111</v>
      </c>
      <c r="AE56" s="1080">
        <v>1.093950503E15</v>
      </c>
      <c r="AF56" s="1072">
        <v>58.31736111111111</v>
      </c>
      <c r="AG56" s="1080">
        <v>1.093950503E15</v>
      </c>
      <c r="AH56" s="1072">
        <v>58.31736111111111</v>
      </c>
      <c r="AI56" s="1080">
        <v>1.093950503E15</v>
      </c>
      <c r="AJ56" s="1081">
        <v>11.322916666666666</v>
      </c>
      <c r="AK56" s="1082">
        <v>773940.0</v>
      </c>
      <c r="AL56" s="1081">
        <v>11.322916666666666</v>
      </c>
      <c r="AM56" s="1082">
        <v>773940.0</v>
      </c>
      <c r="AN56" s="1081">
        <v>11.322916666666666</v>
      </c>
      <c r="AO56" s="1082">
        <v>773940.0</v>
      </c>
      <c r="AP56" s="1081">
        <v>11.322916666666666</v>
      </c>
      <c r="AQ56" s="1082">
        <v>773940.0</v>
      </c>
      <c r="AR56" s="1081">
        <v>11.322916666666666</v>
      </c>
      <c r="AS56" s="1082">
        <v>773950.0</v>
      </c>
      <c r="AT56" s="1126"/>
      <c r="AU56" s="1125"/>
      <c r="AV56" s="1126"/>
      <c r="AW56" s="1125"/>
      <c r="AX56" s="1124"/>
      <c r="AY56" s="1175"/>
      <c r="AZ56" s="1124"/>
      <c r="BA56" s="1124"/>
      <c r="BB56" s="1083">
        <v>11.322916666666666</v>
      </c>
      <c r="BC56" s="1084">
        <v>773940.0</v>
      </c>
      <c r="BD56" s="1083">
        <v>11.322916666666666</v>
      </c>
      <c r="BE56" s="1084">
        <v>773940.0</v>
      </c>
      <c r="BF56" s="1083">
        <v>11.322916666666666</v>
      </c>
      <c r="BG56" s="1084">
        <v>773940.0</v>
      </c>
      <c r="BH56" s="1124"/>
      <c r="BI56" s="1125"/>
      <c r="BJ56" s="1124"/>
      <c r="BK56" s="1125"/>
      <c r="BL56" s="1124"/>
      <c r="BM56" s="1125"/>
      <c r="BN56" s="1124"/>
      <c r="BO56" s="1125"/>
      <c r="BP56" s="1124"/>
      <c r="BQ56" s="1125"/>
      <c r="BR56" s="1126"/>
      <c r="BS56" s="1125"/>
      <c r="BT56" s="1126"/>
      <c r="BU56" s="1126"/>
      <c r="BV56" s="1126"/>
      <c r="BW56" s="1126"/>
      <c r="BX56" s="1126"/>
      <c r="BY56" s="1126"/>
      <c r="BZ56" s="1126"/>
      <c r="CA56" s="1126"/>
      <c r="CB56" s="1126"/>
      <c r="CC56" s="1125"/>
      <c r="CD56" s="1083">
        <v>44.49030092592593</v>
      </c>
      <c r="CE56" s="1087">
        <v>7.74E12</v>
      </c>
      <c r="CF56" s="1133"/>
      <c r="CG56" s="1167"/>
      <c r="CH56" s="1088">
        <v>11.322916666666666</v>
      </c>
      <c r="CI56" s="1089">
        <v>773950.0</v>
      </c>
      <c r="CJ56" s="1088">
        <v>11.322916666666666</v>
      </c>
      <c r="CK56" s="1089">
        <v>773950.0</v>
      </c>
      <c r="CL56" s="1088">
        <v>11.322916666666666</v>
      </c>
      <c r="CM56" s="1089">
        <v>773950.0</v>
      </c>
      <c r="CN56" s="1088">
        <v>11.322916666666666</v>
      </c>
      <c r="CO56" s="1089">
        <v>773950.0</v>
      </c>
      <c r="CP56" s="1088">
        <v>24.950000000000003</v>
      </c>
      <c r="CQ56" s="1089">
        <v>2880000.0</v>
      </c>
      <c r="CR56" s="1124"/>
      <c r="CS56" s="1125"/>
      <c r="CT56" s="1126"/>
      <c r="CU56" s="1125"/>
      <c r="CV56" s="1126"/>
      <c r="CW56" s="1125"/>
      <c r="CX56" s="1126"/>
      <c r="CY56" s="1125"/>
      <c r="CZ56" s="1126"/>
      <c r="DA56" s="1126"/>
      <c r="DB56" s="1126"/>
      <c r="DC56" s="1126"/>
      <c r="DD56" s="1126"/>
      <c r="DE56" s="1125"/>
      <c r="DF56" s="1124"/>
      <c r="DG56" s="1125"/>
      <c r="DH56" s="1124"/>
      <c r="DI56" s="1125"/>
      <c r="DJ56" s="1124"/>
      <c r="DK56" s="1125"/>
      <c r="DL56" s="1124"/>
      <c r="DM56" s="1125"/>
      <c r="DN56" s="1124"/>
      <c r="DO56" s="1125"/>
      <c r="DP56" s="1124"/>
      <c r="DQ56" s="1125"/>
      <c r="DR56" s="1124"/>
      <c r="DS56" s="1125"/>
      <c r="DT56" s="1124"/>
      <c r="DU56" s="1125"/>
      <c r="DV56" s="1126"/>
      <c r="DW56" s="1125"/>
      <c r="DX56" s="1124"/>
      <c r="DY56" s="1125"/>
      <c r="DZ56" s="1124"/>
      <c r="EA56" s="1125"/>
      <c r="EB56" s="1124"/>
      <c r="EC56" s="1125"/>
      <c r="ED56" s="1124"/>
      <c r="EE56" s="1125"/>
      <c r="EF56" s="1124"/>
      <c r="EG56" s="1125"/>
      <c r="EH56" s="1124"/>
      <c r="EI56" s="1125"/>
      <c r="EJ56" s="1169"/>
      <c r="EK56" s="1167"/>
      <c r="EL56" s="1169"/>
      <c r="EM56" s="1167"/>
      <c r="EN56" s="1124"/>
      <c r="EO56" s="1125"/>
      <c r="EP56" s="1124"/>
      <c r="EQ56" s="1125"/>
      <c r="ER56" s="1124"/>
      <c r="ES56" s="1125"/>
      <c r="ET56" s="1124"/>
      <c r="EU56" s="1125"/>
      <c r="EV56" s="1124"/>
      <c r="EW56" s="1125"/>
      <c r="EX56" s="1124"/>
      <c r="EY56" s="1125"/>
      <c r="EZ56" s="1124"/>
      <c r="FA56" s="1125"/>
      <c r="FB56" s="1126"/>
      <c r="FC56" s="1125"/>
      <c r="FD56" s="1126"/>
      <c r="FE56" s="1125"/>
      <c r="FF56" s="1126"/>
      <c r="FG56" s="1125"/>
      <c r="FH56" s="1126"/>
      <c r="FI56" s="1126"/>
      <c r="FJ56" s="1126"/>
      <c r="FK56" s="1125"/>
      <c r="FL56" s="1124"/>
      <c r="FM56" s="1125"/>
      <c r="FN56" s="1139"/>
      <c r="FO56" s="1126"/>
      <c r="FP56" s="1139"/>
      <c r="FQ56" s="1126"/>
      <c r="FR56" s="1139"/>
      <c r="FS56" s="1126"/>
      <c r="FT56" s="1139"/>
      <c r="FU56" s="1125"/>
      <c r="FV56" s="1139"/>
      <c r="FW56" s="1125"/>
      <c r="FX56" s="1179"/>
      <c r="FY56" s="1167"/>
      <c r="FZ56" s="1179"/>
      <c r="GA56" s="1167"/>
      <c r="GB56" s="1179"/>
      <c r="GC56" s="1167"/>
      <c r="GD56" s="1133"/>
      <c r="GE56" s="1167"/>
      <c r="GF56" s="1124"/>
      <c r="GG56" s="1125"/>
      <c r="GH56" s="1124"/>
      <c r="GI56" s="1125"/>
      <c r="GJ56" s="1124"/>
      <c r="GK56" s="1125"/>
      <c r="GL56" s="1124"/>
      <c r="GM56" s="1125"/>
      <c r="GN56" s="1126"/>
      <c r="GO56" s="1125"/>
      <c r="GP56" s="1126"/>
      <c r="GQ56" s="1125"/>
      <c r="GR56" s="1124"/>
      <c r="GS56" s="1125"/>
      <c r="GT56" s="1124"/>
      <c r="GU56" s="1125"/>
      <c r="GV56" s="1126"/>
      <c r="GW56" s="1125"/>
      <c r="GX56" s="1168"/>
      <c r="GY56" s="1133"/>
      <c r="GZ56" s="1124"/>
      <c r="HA56" s="1125"/>
      <c r="HB56" s="1107">
        <v>885.5423611111111</v>
      </c>
      <c r="HC56" s="1108">
        <v>8.36E12</v>
      </c>
      <c r="HD56" s="1124"/>
      <c r="HE56" s="1125"/>
      <c r="HF56" s="1124"/>
      <c r="HG56" s="1125"/>
      <c r="HH56" s="1124"/>
      <c r="HI56" s="1125"/>
      <c r="HJ56" s="1124"/>
      <c r="HK56" s="1125"/>
      <c r="HL56" s="1124"/>
      <c r="HM56" s="1125"/>
      <c r="HN56" s="1126"/>
      <c r="HO56" s="1125"/>
      <c r="HP56" s="1124"/>
      <c r="HQ56" s="1125"/>
      <c r="HR56" s="1124"/>
      <c r="HS56" s="1125"/>
      <c r="HT56" s="1124"/>
      <c r="HU56" s="1125"/>
      <c r="HV56" s="1124"/>
      <c r="HW56" s="1125"/>
      <c r="HX56" s="1124"/>
      <c r="HY56" s="1125"/>
      <c r="HZ56" s="1124"/>
      <c r="IA56" s="1125"/>
      <c r="IB56" s="1124"/>
      <c r="IC56" s="1125"/>
      <c r="ID56" s="1124"/>
      <c r="IE56" s="1125"/>
      <c r="IF56" s="1124"/>
      <c r="IG56" s="1125"/>
      <c r="IH56" s="1124"/>
      <c r="II56" s="1125"/>
      <c r="IJ56" s="1124"/>
      <c r="IK56" s="1125"/>
      <c r="IL56" s="1124"/>
      <c r="IM56" s="1125"/>
      <c r="IN56" s="1124"/>
      <c r="IO56" s="1125"/>
      <c r="IP56" s="1124"/>
      <c r="IQ56" s="1125"/>
      <c r="IR56" s="1124"/>
      <c r="IS56" s="1125"/>
      <c r="IT56" s="1124"/>
      <c r="IU56" s="1125"/>
      <c r="IV56" s="1124"/>
      <c r="IW56" s="1125"/>
      <c r="IX56" s="1124"/>
      <c r="IY56" s="1125"/>
      <c r="IZ56" s="1124"/>
      <c r="JA56" s="1125"/>
      <c r="JB56" s="1124"/>
      <c r="JC56" s="1125"/>
      <c r="JD56" s="1124"/>
      <c r="JE56" s="1125"/>
      <c r="JF56" s="1124"/>
      <c r="JG56" s="1125"/>
      <c r="JH56" s="1124"/>
      <c r="JI56" s="1125"/>
      <c r="JJ56" s="1169"/>
      <c r="JK56" s="1167"/>
      <c r="JL56" s="1169"/>
      <c r="JM56" s="1167"/>
      <c r="JN56" s="1169"/>
      <c r="JO56" s="1167"/>
      <c r="JP56" s="1169"/>
      <c r="JQ56" s="1167"/>
      <c r="JR56" s="1169"/>
      <c r="JS56" s="1167"/>
      <c r="JT56" s="1169"/>
      <c r="JU56" s="1167"/>
      <c r="JV56" s="1169"/>
      <c r="JW56" s="1167"/>
      <c r="JX56" s="1169"/>
      <c r="JY56" s="1133"/>
      <c r="JZ56" s="1173">
        <v>4.759224537</v>
      </c>
      <c r="KA56" s="1120">
        <v>9.049E10</v>
      </c>
      <c r="KB56" s="1169"/>
      <c r="KC56" s="1133"/>
      <c r="KD56" s="1169"/>
      <c r="KE56" s="1133"/>
      <c r="KF56" s="1133"/>
      <c r="KG56" s="1133"/>
      <c r="KH56" s="1133"/>
      <c r="KI56" s="1133"/>
      <c r="KJ56" s="1133"/>
      <c r="KK56" s="1133"/>
      <c r="KL56" s="1133"/>
      <c r="KM56" s="1133"/>
      <c r="KN56" s="1133"/>
      <c r="KO56" s="1133"/>
      <c r="KP56" s="1133"/>
      <c r="KQ56" s="1133"/>
      <c r="KR56" s="1133"/>
      <c r="KS56" s="1133"/>
      <c r="KT56" s="1133"/>
      <c r="KU56" s="1133"/>
      <c r="KV56" s="1133"/>
      <c r="KW56" s="1133"/>
      <c r="KX56" s="1133"/>
      <c r="KY56" s="1133"/>
      <c r="KZ56" s="1133"/>
      <c r="LA56" s="1133"/>
      <c r="LB56" s="1133"/>
      <c r="LC56" s="1133"/>
      <c r="LD56" s="1133"/>
      <c r="LE56" s="1133"/>
      <c r="LF56" s="1133"/>
      <c r="LG56" s="1133"/>
      <c r="LH56" s="1133"/>
      <c r="LI56" s="1133"/>
      <c r="LJ56" s="1133"/>
      <c r="LK56" s="1133"/>
      <c r="LL56" s="1133"/>
      <c r="LM56" s="1133"/>
      <c r="LN56" s="1133"/>
      <c r="LO56" s="1133"/>
      <c r="LP56" s="1133"/>
      <c r="LQ56" s="1133"/>
      <c r="LR56" s="1133"/>
      <c r="LS56" s="1133"/>
      <c r="LT56" s="1133"/>
      <c r="LU56" s="1133"/>
      <c r="LV56" s="1133"/>
      <c r="LW56" s="1133"/>
      <c r="LX56" s="1133"/>
      <c r="LY56" s="1133"/>
      <c r="LZ56" s="1133"/>
      <c r="MA56" s="1133"/>
      <c r="MB56" s="1133"/>
      <c r="MC56" s="1133"/>
      <c r="MD56" s="1133"/>
      <c r="ME56" s="1133"/>
      <c r="MF56" s="1133"/>
      <c r="MG56" s="1133"/>
      <c r="MH56" s="1133"/>
      <c r="MI56" s="1133"/>
      <c r="MJ56" s="1133"/>
      <c r="MK56" s="1133"/>
      <c r="ML56" s="1133"/>
      <c r="MM56" s="1133"/>
      <c r="MN56" s="1133"/>
      <c r="MO56" s="1133"/>
      <c r="MP56" s="1133"/>
      <c r="MQ56" s="1133"/>
      <c r="MR56" s="1133"/>
      <c r="MS56" s="1133"/>
      <c r="MT56" s="1133"/>
      <c r="MU56" s="1133"/>
      <c r="MV56" s="1133"/>
      <c r="MW56" s="1133"/>
      <c r="MX56" s="1133"/>
      <c r="MY56" s="1133"/>
    </row>
    <row r="57">
      <c r="A57" s="1071">
        <v>55.0</v>
      </c>
      <c r="B57" s="1124"/>
      <c r="C57" s="1126"/>
      <c r="D57" s="1072">
        <v>11.8375</v>
      </c>
      <c r="E57" s="1073">
        <v>814710.0</v>
      </c>
      <c r="F57" s="1072">
        <v>11.8375</v>
      </c>
      <c r="G57" s="1073">
        <v>814710.0</v>
      </c>
      <c r="H57" s="1072">
        <v>11.8375</v>
      </c>
      <c r="I57" s="1073">
        <v>814710.0</v>
      </c>
      <c r="J57" s="1072">
        <v>11.8375</v>
      </c>
      <c r="K57" s="1073">
        <v>814710.0</v>
      </c>
      <c r="L57" s="1072">
        <v>21.50486111111111</v>
      </c>
      <c r="M57" s="1075">
        <v>2560000.0</v>
      </c>
      <c r="N57" s="1076">
        <v>10.338888888888889</v>
      </c>
      <c r="O57" s="1073">
        <v>3050000.0</v>
      </c>
      <c r="P57" s="1124"/>
      <c r="Q57" s="1125"/>
      <c r="R57" s="1124"/>
      <c r="S57" s="1125"/>
      <c r="T57" s="1124"/>
      <c r="U57" s="1125"/>
      <c r="V57" s="1124"/>
      <c r="W57" s="1125"/>
      <c r="X57" s="1124"/>
      <c r="Y57" s="1125"/>
      <c r="Z57" s="1124"/>
      <c r="AA57" s="1125"/>
      <c r="AB57" s="1124"/>
      <c r="AC57" s="1125"/>
      <c r="AD57" s="1072">
        <v>59.397222222222226</v>
      </c>
      <c r="AE57" s="1080">
        <v>1.422135654E15</v>
      </c>
      <c r="AF57" s="1072">
        <v>59.397222222222226</v>
      </c>
      <c r="AG57" s="1080">
        <v>1.422135654E15</v>
      </c>
      <c r="AH57" s="1072">
        <v>59.397222222222226</v>
      </c>
      <c r="AI57" s="1080">
        <v>1.422135654E15</v>
      </c>
      <c r="AJ57" s="1081">
        <v>11.8375</v>
      </c>
      <c r="AK57" s="1082">
        <v>814710.0</v>
      </c>
      <c r="AL57" s="1081">
        <v>11.8375</v>
      </c>
      <c r="AM57" s="1082">
        <v>814710.0</v>
      </c>
      <c r="AN57" s="1081">
        <v>11.8375</v>
      </c>
      <c r="AO57" s="1082">
        <v>814710.0</v>
      </c>
      <c r="AP57" s="1081">
        <v>11.8375</v>
      </c>
      <c r="AQ57" s="1082">
        <v>814710.0</v>
      </c>
      <c r="AR57" s="1081">
        <v>11.8375</v>
      </c>
      <c r="AS57" s="1082">
        <v>814720.0</v>
      </c>
      <c r="AT57" s="1126"/>
      <c r="AU57" s="1125"/>
      <c r="AV57" s="1126"/>
      <c r="AW57" s="1125"/>
      <c r="AX57" s="1124"/>
      <c r="AY57" s="1175"/>
      <c r="AZ57" s="1124"/>
      <c r="BA57" s="1124"/>
      <c r="BB57" s="1083">
        <v>11.8375</v>
      </c>
      <c r="BC57" s="1084">
        <v>814710.0</v>
      </c>
      <c r="BD57" s="1083">
        <v>11.8375</v>
      </c>
      <c r="BE57" s="1084">
        <v>814710.0</v>
      </c>
      <c r="BF57" s="1083">
        <v>11.8375</v>
      </c>
      <c r="BG57" s="1084">
        <v>814710.0</v>
      </c>
      <c r="BH57" s="1124"/>
      <c r="BI57" s="1125"/>
      <c r="BJ57" s="1124"/>
      <c r="BK57" s="1125"/>
      <c r="BL57" s="1124"/>
      <c r="BM57" s="1125"/>
      <c r="BN57" s="1124"/>
      <c r="BO57" s="1125"/>
      <c r="BP57" s="1124"/>
      <c r="BQ57" s="1125"/>
      <c r="BR57" s="1126"/>
      <c r="BS57" s="1125"/>
      <c r="BT57" s="1126"/>
      <c r="BU57" s="1126"/>
      <c r="BV57" s="1126"/>
      <c r="BW57" s="1126"/>
      <c r="BX57" s="1126"/>
      <c r="BY57" s="1126"/>
      <c r="BZ57" s="1126"/>
      <c r="CA57" s="1126"/>
      <c r="CB57" s="1126"/>
      <c r="CC57" s="1125"/>
      <c r="CD57" s="1083">
        <v>46.49186342592593</v>
      </c>
      <c r="CE57" s="1087">
        <v>8.17E12</v>
      </c>
      <c r="CF57" s="1133"/>
      <c r="CG57" s="1167"/>
      <c r="CH57" s="1088">
        <v>11.8375</v>
      </c>
      <c r="CI57" s="1089">
        <v>814720.0</v>
      </c>
      <c r="CJ57" s="1088">
        <v>11.8375</v>
      </c>
      <c r="CK57" s="1089">
        <v>814720.0</v>
      </c>
      <c r="CL57" s="1088">
        <v>11.8375</v>
      </c>
      <c r="CM57" s="1089">
        <v>814720.0</v>
      </c>
      <c r="CN57" s="1088">
        <v>11.8375</v>
      </c>
      <c r="CO57" s="1089">
        <v>814720.0</v>
      </c>
      <c r="CP57" s="1088">
        <v>26.183333333333334</v>
      </c>
      <c r="CQ57" s="1089">
        <v>3050000.0</v>
      </c>
      <c r="CR57" s="1124"/>
      <c r="CS57" s="1125"/>
      <c r="CT57" s="1126"/>
      <c r="CU57" s="1125"/>
      <c r="CV57" s="1126"/>
      <c r="CW57" s="1125"/>
      <c r="CX57" s="1126"/>
      <c r="CY57" s="1125"/>
      <c r="CZ57" s="1126"/>
      <c r="DA57" s="1126"/>
      <c r="DB57" s="1126"/>
      <c r="DC57" s="1126"/>
      <c r="DD57" s="1126"/>
      <c r="DE57" s="1125"/>
      <c r="DF57" s="1124"/>
      <c r="DG57" s="1125"/>
      <c r="DH57" s="1124"/>
      <c r="DI57" s="1125"/>
      <c r="DJ57" s="1124"/>
      <c r="DK57" s="1125"/>
      <c r="DL57" s="1124"/>
      <c r="DM57" s="1125"/>
      <c r="DN57" s="1124"/>
      <c r="DO57" s="1125"/>
      <c r="DP57" s="1124"/>
      <c r="DQ57" s="1125"/>
      <c r="DR57" s="1124"/>
      <c r="DS57" s="1125"/>
      <c r="DT57" s="1124"/>
      <c r="DU57" s="1125"/>
      <c r="DV57" s="1126"/>
      <c r="DW57" s="1125"/>
      <c r="DX57" s="1124"/>
      <c r="DY57" s="1125"/>
      <c r="DZ57" s="1124"/>
      <c r="EA57" s="1125"/>
      <c r="EB57" s="1124"/>
      <c r="EC57" s="1125"/>
      <c r="ED57" s="1124"/>
      <c r="EE57" s="1125"/>
      <c r="EF57" s="1124"/>
      <c r="EG57" s="1125"/>
      <c r="EH57" s="1124"/>
      <c r="EI57" s="1125"/>
      <c r="EJ57" s="1169"/>
      <c r="EK57" s="1167"/>
      <c r="EL57" s="1169"/>
      <c r="EM57" s="1167"/>
      <c r="EN57" s="1124"/>
      <c r="EO57" s="1125"/>
      <c r="EP57" s="1124"/>
      <c r="EQ57" s="1125"/>
      <c r="ER57" s="1124"/>
      <c r="ES57" s="1125"/>
      <c r="ET57" s="1124"/>
      <c r="EU57" s="1125"/>
      <c r="EV57" s="1124"/>
      <c r="EW57" s="1125"/>
      <c r="EX57" s="1124"/>
      <c r="EY57" s="1125"/>
      <c r="EZ57" s="1124"/>
      <c r="FA57" s="1125"/>
      <c r="FB57" s="1126"/>
      <c r="FC57" s="1125"/>
      <c r="FD57" s="1126"/>
      <c r="FE57" s="1125"/>
      <c r="FF57" s="1126"/>
      <c r="FG57" s="1125"/>
      <c r="FH57" s="1126"/>
      <c r="FI57" s="1126"/>
      <c r="FJ57" s="1126"/>
      <c r="FK57" s="1125"/>
      <c r="FL57" s="1124"/>
      <c r="FM57" s="1125"/>
      <c r="FN57" s="1139"/>
      <c r="FO57" s="1126"/>
      <c r="FP57" s="1139"/>
      <c r="FQ57" s="1126"/>
      <c r="FR57" s="1139"/>
      <c r="FS57" s="1126"/>
      <c r="FT57" s="1139"/>
      <c r="FU57" s="1125"/>
      <c r="FV57" s="1139"/>
      <c r="FW57" s="1125"/>
      <c r="FX57" s="1179"/>
      <c r="FY57" s="1167"/>
      <c r="FZ57" s="1179"/>
      <c r="GA57" s="1167"/>
      <c r="GB57" s="1179"/>
      <c r="GC57" s="1167"/>
      <c r="GD57" s="1133"/>
      <c r="GE57" s="1167"/>
      <c r="GF57" s="1124"/>
      <c r="GG57" s="1125"/>
      <c r="GH57" s="1124"/>
      <c r="GI57" s="1125"/>
      <c r="GJ57" s="1124"/>
      <c r="GK57" s="1125"/>
      <c r="GL57" s="1124"/>
      <c r="GM57" s="1125"/>
      <c r="GN57" s="1126"/>
      <c r="GO57" s="1125"/>
      <c r="GP57" s="1126"/>
      <c r="GQ57" s="1125"/>
      <c r="GR57" s="1124"/>
      <c r="GS57" s="1125"/>
      <c r="GT57" s="1124"/>
      <c r="GU57" s="1125"/>
      <c r="GV57" s="1126"/>
      <c r="GW57" s="1125"/>
      <c r="GX57" s="1168"/>
      <c r="GY57" s="1133"/>
      <c r="GZ57" s="1124"/>
      <c r="HA57" s="1125"/>
      <c r="HB57" s="1107">
        <v>945.05</v>
      </c>
      <c r="HC57" s="1108">
        <v>9.18E12</v>
      </c>
      <c r="HD57" s="1124"/>
      <c r="HE57" s="1125"/>
      <c r="HF57" s="1124"/>
      <c r="HG57" s="1125"/>
      <c r="HH57" s="1124"/>
      <c r="HI57" s="1125"/>
      <c r="HJ57" s="1124"/>
      <c r="HK57" s="1125"/>
      <c r="HL57" s="1124"/>
      <c r="HM57" s="1125"/>
      <c r="HN57" s="1126"/>
      <c r="HO57" s="1125"/>
      <c r="HP57" s="1124"/>
      <c r="HQ57" s="1125"/>
      <c r="HR57" s="1124"/>
      <c r="HS57" s="1125"/>
      <c r="HT57" s="1124"/>
      <c r="HU57" s="1125"/>
      <c r="HV57" s="1124"/>
      <c r="HW57" s="1125"/>
      <c r="HX57" s="1124"/>
      <c r="HY57" s="1125"/>
      <c r="HZ57" s="1124"/>
      <c r="IA57" s="1125"/>
      <c r="IB57" s="1124"/>
      <c r="IC57" s="1125"/>
      <c r="ID57" s="1124"/>
      <c r="IE57" s="1125"/>
      <c r="IF57" s="1124"/>
      <c r="IG57" s="1125"/>
      <c r="IH57" s="1124"/>
      <c r="II57" s="1125"/>
      <c r="IJ57" s="1124"/>
      <c r="IK57" s="1125"/>
      <c r="IL57" s="1124"/>
      <c r="IM57" s="1125"/>
      <c r="IN57" s="1124"/>
      <c r="IO57" s="1125"/>
      <c r="IP57" s="1124"/>
      <c r="IQ57" s="1125"/>
      <c r="IR57" s="1124"/>
      <c r="IS57" s="1125"/>
      <c r="IT57" s="1124"/>
      <c r="IU57" s="1125"/>
      <c r="IV57" s="1124"/>
      <c r="IW57" s="1125"/>
      <c r="IX57" s="1124"/>
      <c r="IY57" s="1125"/>
      <c r="IZ57" s="1124"/>
      <c r="JA57" s="1125"/>
      <c r="JB57" s="1124"/>
      <c r="JC57" s="1125"/>
      <c r="JD57" s="1124"/>
      <c r="JE57" s="1125"/>
      <c r="JF57" s="1124"/>
      <c r="JG57" s="1125"/>
      <c r="JH57" s="1124"/>
      <c r="JI57" s="1125"/>
      <c r="JJ57" s="1169"/>
      <c r="JK57" s="1167"/>
      <c r="JL57" s="1169"/>
      <c r="JM57" s="1167"/>
      <c r="JN57" s="1169"/>
      <c r="JO57" s="1167"/>
      <c r="JP57" s="1169"/>
      <c r="JQ57" s="1167"/>
      <c r="JR57" s="1169"/>
      <c r="JS57" s="1167"/>
      <c r="JT57" s="1169"/>
      <c r="JU57" s="1167"/>
      <c r="JV57" s="1169"/>
      <c r="JW57" s="1167"/>
      <c r="JX57" s="1169"/>
      <c r="JY57" s="1133"/>
      <c r="JZ57" s="1173">
        <v>4.849259259</v>
      </c>
      <c r="KA57" s="1120">
        <v>9.517E10</v>
      </c>
      <c r="KB57" s="1169"/>
      <c r="KC57" s="1133"/>
      <c r="KD57" s="1169"/>
      <c r="KE57" s="1133"/>
      <c r="KF57" s="1133"/>
      <c r="KG57" s="1133"/>
      <c r="KH57" s="1133"/>
      <c r="KI57" s="1133"/>
      <c r="KJ57" s="1133"/>
      <c r="KK57" s="1133"/>
      <c r="KL57" s="1133"/>
      <c r="KM57" s="1133"/>
      <c r="KN57" s="1133"/>
      <c r="KO57" s="1133"/>
      <c r="KP57" s="1133"/>
      <c r="KQ57" s="1133"/>
      <c r="KR57" s="1133"/>
      <c r="KS57" s="1133"/>
      <c r="KT57" s="1133"/>
      <c r="KU57" s="1133"/>
      <c r="KV57" s="1133"/>
      <c r="KW57" s="1133"/>
      <c r="KX57" s="1133"/>
      <c r="KY57" s="1133"/>
      <c r="KZ57" s="1133"/>
      <c r="LA57" s="1133"/>
      <c r="LB57" s="1133"/>
      <c r="LC57" s="1133"/>
      <c r="LD57" s="1133"/>
      <c r="LE57" s="1133"/>
      <c r="LF57" s="1133"/>
      <c r="LG57" s="1133"/>
      <c r="LH57" s="1133"/>
      <c r="LI57" s="1133"/>
      <c r="LJ57" s="1133"/>
      <c r="LK57" s="1133"/>
      <c r="LL57" s="1133"/>
      <c r="LM57" s="1133"/>
      <c r="LN57" s="1133"/>
      <c r="LO57" s="1133"/>
      <c r="LP57" s="1133"/>
      <c r="LQ57" s="1133"/>
      <c r="LR57" s="1133"/>
      <c r="LS57" s="1133"/>
      <c r="LT57" s="1133"/>
      <c r="LU57" s="1133"/>
      <c r="LV57" s="1133"/>
      <c r="LW57" s="1133"/>
      <c r="LX57" s="1133"/>
      <c r="LY57" s="1133"/>
      <c r="LZ57" s="1133"/>
      <c r="MA57" s="1133"/>
      <c r="MB57" s="1133"/>
      <c r="MC57" s="1133"/>
      <c r="MD57" s="1133"/>
      <c r="ME57" s="1133"/>
      <c r="MF57" s="1133"/>
      <c r="MG57" s="1133"/>
      <c r="MH57" s="1133"/>
      <c r="MI57" s="1133"/>
      <c r="MJ57" s="1133"/>
      <c r="MK57" s="1133"/>
      <c r="ML57" s="1133"/>
      <c r="MM57" s="1133"/>
      <c r="MN57" s="1133"/>
      <c r="MO57" s="1133"/>
      <c r="MP57" s="1133"/>
      <c r="MQ57" s="1133"/>
      <c r="MR57" s="1133"/>
      <c r="MS57" s="1133"/>
      <c r="MT57" s="1133"/>
      <c r="MU57" s="1133"/>
      <c r="MV57" s="1133"/>
      <c r="MW57" s="1133"/>
      <c r="MX57" s="1133"/>
      <c r="MY57" s="1133"/>
    </row>
    <row r="58">
      <c r="A58" s="1071">
        <v>56.0</v>
      </c>
      <c r="B58" s="1124"/>
      <c r="C58" s="1126"/>
      <c r="D58" s="1072">
        <v>12.365277777777777</v>
      </c>
      <c r="E58" s="1073">
        <v>856830.0</v>
      </c>
      <c r="F58" s="1072">
        <v>12.365277777777777</v>
      </c>
      <c r="G58" s="1073">
        <v>856830.0</v>
      </c>
      <c r="H58" s="1072">
        <v>12.365277777777777</v>
      </c>
      <c r="I58" s="1073">
        <v>856830.0</v>
      </c>
      <c r="J58" s="1072">
        <v>12.365277777777777</v>
      </c>
      <c r="K58" s="1073">
        <v>856830.0</v>
      </c>
      <c r="L58" s="1072">
        <v>22.52638888888889</v>
      </c>
      <c r="M58" s="1075">
        <v>2700000.0</v>
      </c>
      <c r="N58" s="1076">
        <v>10.72638888888889</v>
      </c>
      <c r="O58" s="1073">
        <v>3230000.0</v>
      </c>
      <c r="P58" s="1124"/>
      <c r="Q58" s="1125"/>
      <c r="R58" s="1124"/>
      <c r="S58" s="1125"/>
      <c r="T58" s="1124"/>
      <c r="U58" s="1125"/>
      <c r="V58" s="1124"/>
      <c r="W58" s="1125"/>
      <c r="X58" s="1124"/>
      <c r="Y58" s="1125"/>
      <c r="Z58" s="1124"/>
      <c r="AA58" s="1125"/>
      <c r="AB58" s="1124"/>
      <c r="AC58" s="1125"/>
      <c r="AD58" s="1072">
        <v>60.47708333333333</v>
      </c>
      <c r="AE58" s="1080">
        <v>1.84877635E15</v>
      </c>
      <c r="AF58" s="1072">
        <v>60.47708333333333</v>
      </c>
      <c r="AG58" s="1080">
        <v>1.84877635E15</v>
      </c>
      <c r="AH58" s="1072">
        <v>60.47708333333333</v>
      </c>
      <c r="AI58" s="1080">
        <v>1.84877635E15</v>
      </c>
      <c r="AJ58" s="1081">
        <v>12.365277777777777</v>
      </c>
      <c r="AK58" s="1082">
        <v>856830.0</v>
      </c>
      <c r="AL58" s="1081">
        <v>12.365277777777777</v>
      </c>
      <c r="AM58" s="1082">
        <v>856830.0</v>
      </c>
      <c r="AN58" s="1081">
        <v>12.365277777777777</v>
      </c>
      <c r="AO58" s="1082">
        <v>856830.0</v>
      </c>
      <c r="AP58" s="1081">
        <v>12.365277777777777</v>
      </c>
      <c r="AQ58" s="1082">
        <v>856830.0</v>
      </c>
      <c r="AR58" s="1081">
        <v>12.365277777777777</v>
      </c>
      <c r="AS58" s="1082">
        <v>856840.0</v>
      </c>
      <c r="AT58" s="1126"/>
      <c r="AU58" s="1125"/>
      <c r="AV58" s="1126"/>
      <c r="AW58" s="1125"/>
      <c r="AX58" s="1124"/>
      <c r="AY58" s="1175"/>
      <c r="AZ58" s="1124"/>
      <c r="BA58" s="1124"/>
      <c r="BB58" s="1083">
        <v>12.365277777777777</v>
      </c>
      <c r="BC58" s="1084">
        <v>856830.0</v>
      </c>
      <c r="BD58" s="1083">
        <v>12.365277777777777</v>
      </c>
      <c r="BE58" s="1084">
        <v>856830.0</v>
      </c>
      <c r="BF58" s="1083">
        <v>12.365277777777777</v>
      </c>
      <c r="BG58" s="1084">
        <v>856830.0</v>
      </c>
      <c r="BH58" s="1124"/>
      <c r="BI58" s="1125"/>
      <c r="BJ58" s="1124"/>
      <c r="BK58" s="1125"/>
      <c r="BL58" s="1124"/>
      <c r="BM58" s="1125"/>
      <c r="BN58" s="1124"/>
      <c r="BO58" s="1125"/>
      <c r="BP58" s="1124"/>
      <c r="BQ58" s="1125"/>
      <c r="BR58" s="1126"/>
      <c r="BS58" s="1125"/>
      <c r="BT58" s="1126"/>
      <c r="BU58" s="1126"/>
      <c r="BV58" s="1126"/>
      <c r="BW58" s="1126"/>
      <c r="BX58" s="1126"/>
      <c r="BY58" s="1126"/>
      <c r="BZ58" s="1126"/>
      <c r="CA58" s="1126"/>
      <c r="CB58" s="1126"/>
      <c r="CC58" s="1125"/>
      <c r="CD58" s="1083">
        <v>48.554097222222225</v>
      </c>
      <c r="CE58" s="1087">
        <v>8.619999999999999E12</v>
      </c>
      <c r="CF58" s="1133"/>
      <c r="CG58" s="1167"/>
      <c r="CH58" s="1088">
        <v>12.365277777777777</v>
      </c>
      <c r="CI58" s="1089">
        <v>856840.0</v>
      </c>
      <c r="CJ58" s="1088">
        <v>12.365277777777777</v>
      </c>
      <c r="CK58" s="1089">
        <v>856840.0</v>
      </c>
      <c r="CL58" s="1088">
        <v>12.365277777777777</v>
      </c>
      <c r="CM58" s="1089">
        <v>856840.0</v>
      </c>
      <c r="CN58" s="1088">
        <v>12.365277777777777</v>
      </c>
      <c r="CO58" s="1089">
        <v>856840.0</v>
      </c>
      <c r="CP58" s="1088">
        <v>27.45277777777778</v>
      </c>
      <c r="CQ58" s="1089">
        <v>3230000.0</v>
      </c>
      <c r="CR58" s="1124"/>
      <c r="CS58" s="1125"/>
      <c r="CT58" s="1126"/>
      <c r="CU58" s="1125"/>
      <c r="CV58" s="1126"/>
      <c r="CW58" s="1125"/>
      <c r="CX58" s="1126"/>
      <c r="CY58" s="1125"/>
      <c r="CZ58" s="1126"/>
      <c r="DA58" s="1126"/>
      <c r="DB58" s="1126"/>
      <c r="DC58" s="1126"/>
      <c r="DD58" s="1126"/>
      <c r="DE58" s="1125"/>
      <c r="DF58" s="1124"/>
      <c r="DG58" s="1125"/>
      <c r="DH58" s="1124"/>
      <c r="DI58" s="1125"/>
      <c r="DJ58" s="1124"/>
      <c r="DK58" s="1125"/>
      <c r="DL58" s="1124"/>
      <c r="DM58" s="1125"/>
      <c r="DN58" s="1124"/>
      <c r="DO58" s="1125"/>
      <c r="DP58" s="1124"/>
      <c r="DQ58" s="1125"/>
      <c r="DR58" s="1124"/>
      <c r="DS58" s="1125"/>
      <c r="DT58" s="1124"/>
      <c r="DU58" s="1125"/>
      <c r="DV58" s="1126"/>
      <c r="DW58" s="1125"/>
      <c r="DX58" s="1124"/>
      <c r="DY58" s="1125"/>
      <c r="DZ58" s="1124"/>
      <c r="EA58" s="1125"/>
      <c r="EB58" s="1124"/>
      <c r="EC58" s="1125"/>
      <c r="ED58" s="1124"/>
      <c r="EE58" s="1125"/>
      <c r="EF58" s="1124"/>
      <c r="EG58" s="1125"/>
      <c r="EH58" s="1124"/>
      <c r="EI58" s="1125"/>
      <c r="EJ58" s="1169"/>
      <c r="EK58" s="1167"/>
      <c r="EL58" s="1169"/>
      <c r="EM58" s="1167"/>
      <c r="EN58" s="1124"/>
      <c r="EO58" s="1125"/>
      <c r="EP58" s="1124"/>
      <c r="EQ58" s="1125"/>
      <c r="ER58" s="1124"/>
      <c r="ES58" s="1125"/>
      <c r="ET58" s="1124"/>
      <c r="EU58" s="1125"/>
      <c r="EV58" s="1124"/>
      <c r="EW58" s="1125"/>
      <c r="EX58" s="1124"/>
      <c r="EY58" s="1125"/>
      <c r="EZ58" s="1124"/>
      <c r="FA58" s="1125"/>
      <c r="FB58" s="1126"/>
      <c r="FC58" s="1125"/>
      <c r="FD58" s="1126"/>
      <c r="FE58" s="1125"/>
      <c r="FF58" s="1126"/>
      <c r="FG58" s="1125"/>
      <c r="FH58" s="1126"/>
      <c r="FI58" s="1126"/>
      <c r="FJ58" s="1126"/>
      <c r="FK58" s="1125"/>
      <c r="FL58" s="1124"/>
      <c r="FM58" s="1125"/>
      <c r="FN58" s="1139"/>
      <c r="FO58" s="1126"/>
      <c r="FP58" s="1139"/>
      <c r="FQ58" s="1126"/>
      <c r="FR58" s="1139"/>
      <c r="FS58" s="1126"/>
      <c r="FT58" s="1139"/>
      <c r="FU58" s="1125"/>
      <c r="FV58" s="1139"/>
      <c r="FW58" s="1125"/>
      <c r="FX58" s="1179"/>
      <c r="FY58" s="1167"/>
      <c r="FZ58" s="1179"/>
      <c r="GA58" s="1167"/>
      <c r="GB58" s="1179"/>
      <c r="GC58" s="1167"/>
      <c r="GD58" s="1133"/>
      <c r="GE58" s="1167"/>
      <c r="GF58" s="1124"/>
      <c r="GG58" s="1125"/>
      <c r="GH58" s="1124"/>
      <c r="GI58" s="1125"/>
      <c r="GJ58" s="1124"/>
      <c r="GK58" s="1125"/>
      <c r="GL58" s="1124"/>
      <c r="GM58" s="1125"/>
      <c r="GN58" s="1126"/>
      <c r="GO58" s="1125"/>
      <c r="GP58" s="1126"/>
      <c r="GQ58" s="1125"/>
      <c r="GR58" s="1124"/>
      <c r="GS58" s="1125"/>
      <c r="GT58" s="1124"/>
      <c r="GU58" s="1125"/>
      <c r="GV58" s="1126"/>
      <c r="GW58" s="1125"/>
      <c r="GX58" s="1168"/>
      <c r="GY58" s="1133"/>
      <c r="GZ58" s="1124"/>
      <c r="HA58" s="1125"/>
      <c r="HB58" s="1107">
        <v>1007.3708333333333</v>
      </c>
      <c r="HC58" s="1108">
        <v>1.007E13</v>
      </c>
      <c r="HD58" s="1124"/>
      <c r="HE58" s="1125"/>
      <c r="HF58" s="1124"/>
      <c r="HG58" s="1125"/>
      <c r="HH58" s="1124"/>
      <c r="HI58" s="1125"/>
      <c r="HJ58" s="1124"/>
      <c r="HK58" s="1125"/>
      <c r="HL58" s="1124"/>
      <c r="HM58" s="1125"/>
      <c r="HN58" s="1126"/>
      <c r="HO58" s="1125"/>
      <c r="HP58" s="1124"/>
      <c r="HQ58" s="1125"/>
      <c r="HR58" s="1124"/>
      <c r="HS58" s="1125"/>
      <c r="HT58" s="1124"/>
      <c r="HU58" s="1125"/>
      <c r="HV58" s="1124"/>
      <c r="HW58" s="1125"/>
      <c r="HX58" s="1124"/>
      <c r="HY58" s="1125"/>
      <c r="HZ58" s="1124"/>
      <c r="IA58" s="1125"/>
      <c r="IB58" s="1124"/>
      <c r="IC58" s="1125"/>
      <c r="ID58" s="1124"/>
      <c r="IE58" s="1125"/>
      <c r="IF58" s="1124"/>
      <c r="IG58" s="1125"/>
      <c r="IH58" s="1124"/>
      <c r="II58" s="1125"/>
      <c r="IJ58" s="1124"/>
      <c r="IK58" s="1125"/>
      <c r="IL58" s="1124"/>
      <c r="IM58" s="1125"/>
      <c r="IN58" s="1124"/>
      <c r="IO58" s="1125"/>
      <c r="IP58" s="1124"/>
      <c r="IQ58" s="1125"/>
      <c r="IR58" s="1124"/>
      <c r="IS58" s="1125"/>
      <c r="IT58" s="1124"/>
      <c r="IU58" s="1125"/>
      <c r="IV58" s="1124"/>
      <c r="IW58" s="1125"/>
      <c r="IX58" s="1124"/>
      <c r="IY58" s="1125"/>
      <c r="IZ58" s="1124"/>
      <c r="JA58" s="1125"/>
      <c r="JB58" s="1124"/>
      <c r="JC58" s="1125"/>
      <c r="JD58" s="1124"/>
      <c r="JE58" s="1125"/>
      <c r="JF58" s="1124"/>
      <c r="JG58" s="1125"/>
      <c r="JH58" s="1124"/>
      <c r="JI58" s="1125"/>
      <c r="JJ58" s="1169"/>
      <c r="JK58" s="1167"/>
      <c r="JL58" s="1169"/>
      <c r="JM58" s="1167"/>
      <c r="JN58" s="1169"/>
      <c r="JO58" s="1167"/>
      <c r="JP58" s="1169"/>
      <c r="JQ58" s="1167"/>
      <c r="JR58" s="1169"/>
      <c r="JS58" s="1167"/>
      <c r="JT58" s="1169"/>
      <c r="JU58" s="1167"/>
      <c r="JV58" s="1169"/>
      <c r="JW58" s="1167"/>
      <c r="JX58" s="1169"/>
      <c r="JY58" s="1133"/>
      <c r="JZ58" s="1173">
        <v>4.940231481</v>
      </c>
      <c r="KA58" s="1120">
        <v>1.0E11</v>
      </c>
      <c r="KB58" s="1169"/>
      <c r="KC58" s="1133"/>
      <c r="KD58" s="1169"/>
      <c r="KE58" s="1133"/>
      <c r="KF58" s="1133"/>
      <c r="KG58" s="1133"/>
      <c r="KH58" s="1133"/>
      <c r="KI58" s="1133"/>
      <c r="KJ58" s="1133"/>
      <c r="KK58" s="1133"/>
      <c r="KL58" s="1133"/>
      <c r="KM58" s="1133"/>
      <c r="KN58" s="1133"/>
      <c r="KO58" s="1133"/>
      <c r="KP58" s="1133"/>
      <c r="KQ58" s="1133"/>
      <c r="KR58" s="1133"/>
      <c r="KS58" s="1133"/>
      <c r="KT58" s="1133"/>
      <c r="KU58" s="1133"/>
      <c r="KV58" s="1133"/>
      <c r="KW58" s="1133"/>
      <c r="KX58" s="1133"/>
      <c r="KY58" s="1133"/>
      <c r="KZ58" s="1133"/>
      <c r="LA58" s="1133"/>
      <c r="LB58" s="1133"/>
      <c r="LC58" s="1133"/>
      <c r="LD58" s="1133"/>
      <c r="LE58" s="1133"/>
      <c r="LF58" s="1133"/>
      <c r="LG58" s="1133"/>
      <c r="LH58" s="1133"/>
      <c r="LI58" s="1133"/>
      <c r="LJ58" s="1133"/>
      <c r="LK58" s="1133"/>
      <c r="LL58" s="1133"/>
      <c r="LM58" s="1133"/>
      <c r="LN58" s="1133"/>
      <c r="LO58" s="1133"/>
      <c r="LP58" s="1133"/>
      <c r="LQ58" s="1133"/>
      <c r="LR58" s="1133"/>
      <c r="LS58" s="1133"/>
      <c r="LT58" s="1133"/>
      <c r="LU58" s="1133"/>
      <c r="LV58" s="1133"/>
      <c r="LW58" s="1133"/>
      <c r="LX58" s="1133"/>
      <c r="LY58" s="1133"/>
      <c r="LZ58" s="1133"/>
      <c r="MA58" s="1133"/>
      <c r="MB58" s="1133"/>
      <c r="MC58" s="1133"/>
      <c r="MD58" s="1133"/>
      <c r="ME58" s="1133"/>
      <c r="MF58" s="1133"/>
      <c r="MG58" s="1133"/>
      <c r="MH58" s="1133"/>
      <c r="MI58" s="1133"/>
      <c r="MJ58" s="1133"/>
      <c r="MK58" s="1133"/>
      <c r="ML58" s="1133"/>
      <c r="MM58" s="1133"/>
      <c r="MN58" s="1133"/>
      <c r="MO58" s="1133"/>
      <c r="MP58" s="1133"/>
      <c r="MQ58" s="1133"/>
      <c r="MR58" s="1133"/>
      <c r="MS58" s="1133"/>
      <c r="MT58" s="1133"/>
      <c r="MU58" s="1133"/>
      <c r="MV58" s="1133"/>
      <c r="MW58" s="1133"/>
      <c r="MX58" s="1133"/>
      <c r="MY58" s="1133"/>
    </row>
    <row r="59">
      <c r="A59" s="1071">
        <v>57.0</v>
      </c>
      <c r="B59" s="1124"/>
      <c r="C59" s="1126"/>
      <c r="D59" s="1072">
        <v>12.906944444444445</v>
      </c>
      <c r="E59" s="1073">
        <v>900300.0</v>
      </c>
      <c r="F59" s="1072">
        <v>12.906944444444445</v>
      </c>
      <c r="G59" s="1073">
        <v>900300.0</v>
      </c>
      <c r="H59" s="1072">
        <v>12.906944444444445</v>
      </c>
      <c r="I59" s="1073">
        <v>900300.0</v>
      </c>
      <c r="J59" s="1072">
        <v>12.906944444444445</v>
      </c>
      <c r="K59" s="1073">
        <v>900300.0</v>
      </c>
      <c r="L59" s="1072">
        <v>23.57638888888889</v>
      </c>
      <c r="M59" s="1075">
        <v>2840000.0</v>
      </c>
      <c r="N59" s="1076">
        <v>11.120833333333334</v>
      </c>
      <c r="O59" s="1073">
        <v>3420000.0</v>
      </c>
      <c r="P59" s="1124"/>
      <c r="Q59" s="1125"/>
      <c r="R59" s="1124"/>
      <c r="S59" s="1125"/>
      <c r="T59" s="1124"/>
      <c r="U59" s="1125"/>
      <c r="V59" s="1124"/>
      <c r="W59" s="1125"/>
      <c r="X59" s="1124"/>
      <c r="Y59" s="1125"/>
      <c r="Z59" s="1124"/>
      <c r="AA59" s="1125"/>
      <c r="AB59" s="1124"/>
      <c r="AC59" s="1125"/>
      <c r="AD59" s="1072">
        <v>61.55694444444445</v>
      </c>
      <c r="AE59" s="1080">
        <v>2.403409255E15</v>
      </c>
      <c r="AF59" s="1072">
        <v>61.55694444444445</v>
      </c>
      <c r="AG59" s="1080">
        <v>2.403409255E15</v>
      </c>
      <c r="AH59" s="1072">
        <v>61.55694444444445</v>
      </c>
      <c r="AI59" s="1080">
        <v>2.403409255E15</v>
      </c>
      <c r="AJ59" s="1081">
        <v>12.906944444444445</v>
      </c>
      <c r="AK59" s="1082">
        <v>900300.0</v>
      </c>
      <c r="AL59" s="1081">
        <v>12.906944444444445</v>
      </c>
      <c r="AM59" s="1082">
        <v>900300.0</v>
      </c>
      <c r="AN59" s="1081">
        <v>12.906944444444445</v>
      </c>
      <c r="AO59" s="1082">
        <v>900300.0</v>
      </c>
      <c r="AP59" s="1081">
        <v>12.906944444444445</v>
      </c>
      <c r="AQ59" s="1082">
        <v>900300.0</v>
      </c>
      <c r="AR59" s="1081">
        <v>12.906944444444445</v>
      </c>
      <c r="AS59" s="1082">
        <v>900310.0</v>
      </c>
      <c r="AT59" s="1126"/>
      <c r="AU59" s="1125"/>
      <c r="AV59" s="1126"/>
      <c r="AW59" s="1125"/>
      <c r="AX59" s="1124"/>
      <c r="AY59" s="1175"/>
      <c r="AZ59" s="1124"/>
      <c r="BA59" s="1124"/>
      <c r="BB59" s="1083">
        <v>12.906944444444445</v>
      </c>
      <c r="BC59" s="1084">
        <v>900300.0</v>
      </c>
      <c r="BD59" s="1083">
        <v>12.906944444444445</v>
      </c>
      <c r="BE59" s="1084">
        <v>900300.0</v>
      </c>
      <c r="BF59" s="1083">
        <v>12.906944444444445</v>
      </c>
      <c r="BG59" s="1084">
        <v>900300.0</v>
      </c>
      <c r="BH59" s="1124"/>
      <c r="BI59" s="1125"/>
      <c r="BJ59" s="1124"/>
      <c r="BK59" s="1125"/>
      <c r="BL59" s="1124"/>
      <c r="BM59" s="1125"/>
      <c r="BN59" s="1124"/>
      <c r="BO59" s="1125"/>
      <c r="BP59" s="1124"/>
      <c r="BQ59" s="1125"/>
      <c r="BR59" s="1126"/>
      <c r="BS59" s="1125"/>
      <c r="BT59" s="1126"/>
      <c r="BU59" s="1126"/>
      <c r="BV59" s="1126"/>
      <c r="BW59" s="1126"/>
      <c r="BX59" s="1126"/>
      <c r="BY59" s="1126"/>
      <c r="BZ59" s="1126"/>
      <c r="CA59" s="1126"/>
      <c r="CB59" s="1126"/>
      <c r="CC59" s="1125"/>
      <c r="CD59" s="1083">
        <v>50.6778125</v>
      </c>
      <c r="CE59" s="1087">
        <v>9.08E12</v>
      </c>
      <c r="CF59" s="1133"/>
      <c r="CG59" s="1167"/>
      <c r="CH59" s="1088">
        <v>12.906944444444445</v>
      </c>
      <c r="CI59" s="1089">
        <v>900310.0</v>
      </c>
      <c r="CJ59" s="1088">
        <v>12.906944444444445</v>
      </c>
      <c r="CK59" s="1089">
        <v>900310.0</v>
      </c>
      <c r="CL59" s="1088">
        <v>12.906944444444445</v>
      </c>
      <c r="CM59" s="1089">
        <v>900310.0</v>
      </c>
      <c r="CN59" s="1088">
        <v>12.906944444444445</v>
      </c>
      <c r="CO59" s="1089">
        <v>900310.0</v>
      </c>
      <c r="CP59" s="1088">
        <v>28.760416666666668</v>
      </c>
      <c r="CQ59" s="1089">
        <v>3420000.0</v>
      </c>
      <c r="CR59" s="1124"/>
      <c r="CS59" s="1125"/>
      <c r="CT59" s="1126"/>
      <c r="CU59" s="1125"/>
      <c r="CV59" s="1126"/>
      <c r="CW59" s="1125"/>
      <c r="CX59" s="1126"/>
      <c r="CY59" s="1125"/>
      <c r="CZ59" s="1126"/>
      <c r="DA59" s="1126"/>
      <c r="DB59" s="1126"/>
      <c r="DC59" s="1126"/>
      <c r="DD59" s="1126"/>
      <c r="DE59" s="1125"/>
      <c r="DF59" s="1124"/>
      <c r="DG59" s="1125"/>
      <c r="DH59" s="1124"/>
      <c r="DI59" s="1125"/>
      <c r="DJ59" s="1124"/>
      <c r="DK59" s="1125"/>
      <c r="DL59" s="1124"/>
      <c r="DM59" s="1125"/>
      <c r="DN59" s="1124"/>
      <c r="DO59" s="1125"/>
      <c r="DP59" s="1124"/>
      <c r="DQ59" s="1125"/>
      <c r="DR59" s="1124"/>
      <c r="DS59" s="1125"/>
      <c r="DT59" s="1124"/>
      <c r="DU59" s="1125"/>
      <c r="DV59" s="1126"/>
      <c r="DW59" s="1125"/>
      <c r="DX59" s="1124"/>
      <c r="DY59" s="1125"/>
      <c r="DZ59" s="1124"/>
      <c r="EA59" s="1125"/>
      <c r="EB59" s="1124"/>
      <c r="EC59" s="1125"/>
      <c r="ED59" s="1124"/>
      <c r="EE59" s="1125"/>
      <c r="EF59" s="1124"/>
      <c r="EG59" s="1125"/>
      <c r="EH59" s="1124"/>
      <c r="EI59" s="1125"/>
      <c r="EJ59" s="1169"/>
      <c r="EK59" s="1167"/>
      <c r="EL59" s="1169"/>
      <c r="EM59" s="1167"/>
      <c r="EN59" s="1124"/>
      <c r="EO59" s="1125"/>
      <c r="EP59" s="1124"/>
      <c r="EQ59" s="1125"/>
      <c r="ER59" s="1124"/>
      <c r="ES59" s="1125"/>
      <c r="ET59" s="1124"/>
      <c r="EU59" s="1125"/>
      <c r="EV59" s="1124"/>
      <c r="EW59" s="1125"/>
      <c r="EX59" s="1124"/>
      <c r="EY59" s="1125"/>
      <c r="EZ59" s="1124"/>
      <c r="FA59" s="1125"/>
      <c r="FB59" s="1126"/>
      <c r="FC59" s="1125"/>
      <c r="FD59" s="1126"/>
      <c r="FE59" s="1125"/>
      <c r="FF59" s="1126"/>
      <c r="FG59" s="1125"/>
      <c r="FH59" s="1126"/>
      <c r="FI59" s="1126"/>
      <c r="FJ59" s="1126"/>
      <c r="FK59" s="1125"/>
      <c r="FL59" s="1124"/>
      <c r="FM59" s="1125"/>
      <c r="FN59" s="1139"/>
      <c r="FO59" s="1126"/>
      <c r="FP59" s="1139"/>
      <c r="FQ59" s="1126"/>
      <c r="FR59" s="1139"/>
      <c r="FS59" s="1126"/>
      <c r="FT59" s="1139"/>
      <c r="FU59" s="1125"/>
      <c r="FV59" s="1139"/>
      <c r="FW59" s="1125"/>
      <c r="FX59" s="1179"/>
      <c r="FY59" s="1167"/>
      <c r="FZ59" s="1179"/>
      <c r="GA59" s="1167"/>
      <c r="GB59" s="1179"/>
      <c r="GC59" s="1167"/>
      <c r="GD59" s="1133"/>
      <c r="GE59" s="1167"/>
      <c r="GF59" s="1124"/>
      <c r="GG59" s="1125"/>
      <c r="GH59" s="1124"/>
      <c r="GI59" s="1125"/>
      <c r="GJ59" s="1124"/>
      <c r="GK59" s="1125"/>
      <c r="GL59" s="1124"/>
      <c r="GM59" s="1125"/>
      <c r="GN59" s="1126"/>
      <c r="GO59" s="1125"/>
      <c r="GP59" s="1126"/>
      <c r="GQ59" s="1125"/>
      <c r="GR59" s="1124"/>
      <c r="GS59" s="1125"/>
      <c r="GT59" s="1124"/>
      <c r="GU59" s="1125"/>
      <c r="GV59" s="1126"/>
      <c r="GW59" s="1125"/>
      <c r="GX59" s="1168"/>
      <c r="GY59" s="1133"/>
      <c r="GZ59" s="1124"/>
      <c r="HA59" s="1125"/>
      <c r="HB59" s="1107">
        <v>1072.5840277777777</v>
      </c>
      <c r="HC59" s="1108">
        <v>1.101E13</v>
      </c>
      <c r="HD59" s="1124"/>
      <c r="HE59" s="1125"/>
      <c r="HF59" s="1124"/>
      <c r="HG59" s="1125"/>
      <c r="HH59" s="1124"/>
      <c r="HI59" s="1125"/>
      <c r="HJ59" s="1124"/>
      <c r="HK59" s="1125"/>
      <c r="HL59" s="1124"/>
      <c r="HM59" s="1125"/>
      <c r="HN59" s="1126"/>
      <c r="HO59" s="1125"/>
      <c r="HP59" s="1124"/>
      <c r="HQ59" s="1125"/>
      <c r="HR59" s="1124"/>
      <c r="HS59" s="1125"/>
      <c r="HT59" s="1124"/>
      <c r="HU59" s="1125"/>
      <c r="HV59" s="1124"/>
      <c r="HW59" s="1125"/>
      <c r="HX59" s="1124"/>
      <c r="HY59" s="1125"/>
      <c r="HZ59" s="1124"/>
      <c r="IA59" s="1125"/>
      <c r="IB59" s="1124"/>
      <c r="IC59" s="1125"/>
      <c r="ID59" s="1124"/>
      <c r="IE59" s="1125"/>
      <c r="IF59" s="1124"/>
      <c r="IG59" s="1125"/>
      <c r="IH59" s="1124"/>
      <c r="II59" s="1125"/>
      <c r="IJ59" s="1124"/>
      <c r="IK59" s="1125"/>
      <c r="IL59" s="1124"/>
      <c r="IM59" s="1125"/>
      <c r="IN59" s="1124"/>
      <c r="IO59" s="1125"/>
      <c r="IP59" s="1124"/>
      <c r="IQ59" s="1125"/>
      <c r="IR59" s="1124"/>
      <c r="IS59" s="1125"/>
      <c r="IT59" s="1124"/>
      <c r="IU59" s="1125"/>
      <c r="IV59" s="1124"/>
      <c r="IW59" s="1125"/>
      <c r="IX59" s="1124"/>
      <c r="IY59" s="1125"/>
      <c r="IZ59" s="1124"/>
      <c r="JA59" s="1125"/>
      <c r="JB59" s="1124"/>
      <c r="JC59" s="1125"/>
      <c r="JD59" s="1124"/>
      <c r="JE59" s="1125"/>
      <c r="JF59" s="1124"/>
      <c r="JG59" s="1125"/>
      <c r="JH59" s="1124"/>
      <c r="JI59" s="1125"/>
      <c r="JJ59" s="1169"/>
      <c r="JK59" s="1167"/>
      <c r="JL59" s="1169"/>
      <c r="JM59" s="1167"/>
      <c r="JN59" s="1169"/>
      <c r="JO59" s="1167"/>
      <c r="JP59" s="1169"/>
      <c r="JQ59" s="1167"/>
      <c r="JR59" s="1169"/>
      <c r="JS59" s="1167"/>
      <c r="JT59" s="1169"/>
      <c r="JU59" s="1167"/>
      <c r="JV59" s="1169"/>
      <c r="JW59" s="1167"/>
      <c r="JX59" s="1169"/>
      <c r="JY59" s="1133"/>
      <c r="JZ59" s="1173">
        <v>5.032118056</v>
      </c>
      <c r="KA59" s="1120">
        <v>1.0499E11</v>
      </c>
      <c r="KB59" s="1169"/>
      <c r="KC59" s="1133"/>
      <c r="KD59" s="1169"/>
      <c r="KE59" s="1133"/>
      <c r="KF59" s="1133"/>
      <c r="KG59" s="1133"/>
      <c r="KH59" s="1133"/>
      <c r="KI59" s="1133"/>
      <c r="KJ59" s="1133"/>
      <c r="KK59" s="1133"/>
      <c r="KL59" s="1133"/>
      <c r="KM59" s="1133"/>
      <c r="KN59" s="1133"/>
      <c r="KO59" s="1133"/>
      <c r="KP59" s="1133"/>
      <c r="KQ59" s="1133"/>
      <c r="KR59" s="1133"/>
      <c r="KS59" s="1133"/>
      <c r="KT59" s="1133"/>
      <c r="KU59" s="1133"/>
      <c r="KV59" s="1133"/>
      <c r="KW59" s="1133"/>
      <c r="KX59" s="1133"/>
      <c r="KY59" s="1133"/>
      <c r="KZ59" s="1133"/>
      <c r="LA59" s="1133"/>
      <c r="LB59" s="1133"/>
      <c r="LC59" s="1133"/>
      <c r="LD59" s="1133"/>
      <c r="LE59" s="1133"/>
      <c r="LF59" s="1133"/>
      <c r="LG59" s="1133"/>
      <c r="LH59" s="1133"/>
      <c r="LI59" s="1133"/>
      <c r="LJ59" s="1133"/>
      <c r="LK59" s="1133"/>
      <c r="LL59" s="1133"/>
      <c r="LM59" s="1133"/>
      <c r="LN59" s="1133"/>
      <c r="LO59" s="1133"/>
      <c r="LP59" s="1133"/>
      <c r="LQ59" s="1133"/>
      <c r="LR59" s="1133"/>
      <c r="LS59" s="1133"/>
      <c r="LT59" s="1133"/>
      <c r="LU59" s="1133"/>
      <c r="LV59" s="1133"/>
      <c r="LW59" s="1133"/>
      <c r="LX59" s="1133"/>
      <c r="LY59" s="1133"/>
      <c r="LZ59" s="1133"/>
      <c r="MA59" s="1133"/>
      <c r="MB59" s="1133"/>
      <c r="MC59" s="1133"/>
      <c r="MD59" s="1133"/>
      <c r="ME59" s="1133"/>
      <c r="MF59" s="1133"/>
      <c r="MG59" s="1133"/>
      <c r="MH59" s="1133"/>
      <c r="MI59" s="1133"/>
      <c r="MJ59" s="1133"/>
      <c r="MK59" s="1133"/>
      <c r="ML59" s="1133"/>
      <c r="MM59" s="1133"/>
      <c r="MN59" s="1133"/>
      <c r="MO59" s="1133"/>
      <c r="MP59" s="1133"/>
      <c r="MQ59" s="1133"/>
      <c r="MR59" s="1133"/>
      <c r="MS59" s="1133"/>
      <c r="MT59" s="1133"/>
      <c r="MU59" s="1133"/>
      <c r="MV59" s="1133"/>
      <c r="MW59" s="1133"/>
      <c r="MX59" s="1133"/>
      <c r="MY59" s="1133"/>
    </row>
    <row r="60">
      <c r="A60" s="1071">
        <v>58.0</v>
      </c>
      <c r="B60" s="1124"/>
      <c r="C60" s="1126"/>
      <c r="D60" s="1072">
        <v>13.461805555555555</v>
      </c>
      <c r="E60" s="1073">
        <v>945160.0</v>
      </c>
      <c r="F60" s="1072">
        <v>13.461805555555555</v>
      </c>
      <c r="G60" s="1073">
        <v>945160.0</v>
      </c>
      <c r="H60" s="1072">
        <v>13.461805555555555</v>
      </c>
      <c r="I60" s="1073">
        <v>945160.0</v>
      </c>
      <c r="J60" s="1072">
        <v>13.461805555555555</v>
      </c>
      <c r="K60" s="1073">
        <v>945160.0</v>
      </c>
      <c r="L60" s="1072">
        <v>24.655555555555555</v>
      </c>
      <c r="M60" s="1075">
        <v>2990000.0</v>
      </c>
      <c r="N60" s="1076">
        <v>11.520833333333334</v>
      </c>
      <c r="O60" s="1073">
        <v>3610000.0</v>
      </c>
      <c r="P60" s="1124"/>
      <c r="Q60" s="1125"/>
      <c r="R60" s="1124"/>
      <c r="S60" s="1125"/>
      <c r="T60" s="1124"/>
      <c r="U60" s="1125"/>
      <c r="V60" s="1124"/>
      <c r="W60" s="1125"/>
      <c r="X60" s="1124"/>
      <c r="Y60" s="1125"/>
      <c r="Z60" s="1124"/>
      <c r="AA60" s="1125"/>
      <c r="AB60" s="1124"/>
      <c r="AC60" s="1125"/>
      <c r="AD60" s="1072">
        <v>62.636805555555554</v>
      </c>
      <c r="AE60" s="1080">
        <v>3.124432031E15</v>
      </c>
      <c r="AF60" s="1072">
        <v>62.636805555555554</v>
      </c>
      <c r="AG60" s="1080">
        <v>3.124432031E15</v>
      </c>
      <c r="AH60" s="1072">
        <v>62.636805555555554</v>
      </c>
      <c r="AI60" s="1080">
        <v>3.124432031E15</v>
      </c>
      <c r="AJ60" s="1081">
        <v>13.461805555555555</v>
      </c>
      <c r="AK60" s="1082">
        <v>945160.0</v>
      </c>
      <c r="AL60" s="1081">
        <v>13.461805555555555</v>
      </c>
      <c r="AM60" s="1082">
        <v>945160.0</v>
      </c>
      <c r="AN60" s="1081">
        <v>13.461805555555555</v>
      </c>
      <c r="AO60" s="1082">
        <v>945160.0</v>
      </c>
      <c r="AP60" s="1081">
        <v>13.461805555555555</v>
      </c>
      <c r="AQ60" s="1082">
        <v>945160.0</v>
      </c>
      <c r="AR60" s="1081">
        <v>13.461805555555555</v>
      </c>
      <c r="AS60" s="1082">
        <v>945160.0</v>
      </c>
      <c r="AT60" s="1126"/>
      <c r="AU60" s="1125"/>
      <c r="AV60" s="1126"/>
      <c r="AW60" s="1125"/>
      <c r="AX60" s="1124"/>
      <c r="AY60" s="1175"/>
      <c r="AZ60" s="1124"/>
      <c r="BA60" s="1124"/>
      <c r="BB60" s="1083">
        <v>13.461805555555555</v>
      </c>
      <c r="BC60" s="1084">
        <v>945160.0</v>
      </c>
      <c r="BD60" s="1083">
        <v>13.461805555555555</v>
      </c>
      <c r="BE60" s="1084">
        <v>945160.0</v>
      </c>
      <c r="BF60" s="1083">
        <v>13.461805555555555</v>
      </c>
      <c r="BG60" s="1084">
        <v>945160.0</v>
      </c>
      <c r="BH60" s="1124"/>
      <c r="BI60" s="1125"/>
      <c r="BJ60" s="1124"/>
      <c r="BK60" s="1125"/>
      <c r="BL60" s="1124"/>
      <c r="BM60" s="1125"/>
      <c r="BN60" s="1124"/>
      <c r="BO60" s="1125"/>
      <c r="BP60" s="1124"/>
      <c r="BQ60" s="1125"/>
      <c r="BR60" s="1126"/>
      <c r="BS60" s="1125"/>
      <c r="BT60" s="1126"/>
      <c r="BU60" s="1126"/>
      <c r="BV60" s="1126"/>
      <c r="BW60" s="1126"/>
      <c r="BX60" s="1126"/>
      <c r="BY60" s="1126"/>
      <c r="BZ60" s="1126"/>
      <c r="CA60" s="1126"/>
      <c r="CB60" s="1126"/>
      <c r="CC60" s="1125"/>
      <c r="CD60" s="1083">
        <v>52.86377314814815</v>
      </c>
      <c r="CE60" s="1087">
        <v>9.56E12</v>
      </c>
      <c r="CF60" s="1133"/>
      <c r="CG60" s="1167"/>
      <c r="CH60" s="1088">
        <v>13.461805555555555</v>
      </c>
      <c r="CI60" s="1089">
        <v>945160.0</v>
      </c>
      <c r="CJ60" s="1088">
        <v>13.461805555555555</v>
      </c>
      <c r="CK60" s="1089">
        <v>945160.0</v>
      </c>
      <c r="CL60" s="1088">
        <v>13.461805555555555</v>
      </c>
      <c r="CM60" s="1089">
        <v>945160.0</v>
      </c>
      <c r="CN60" s="1088">
        <v>13.461805555555555</v>
      </c>
      <c r="CO60" s="1089">
        <v>945160.0</v>
      </c>
      <c r="CP60" s="1088">
        <v>30.105555555555554</v>
      </c>
      <c r="CQ60" s="1089">
        <v>3610000.0</v>
      </c>
      <c r="CR60" s="1124"/>
      <c r="CS60" s="1125"/>
      <c r="CT60" s="1126"/>
      <c r="CU60" s="1125"/>
      <c r="CV60" s="1126"/>
      <c r="CW60" s="1125"/>
      <c r="CX60" s="1126"/>
      <c r="CY60" s="1125"/>
      <c r="CZ60" s="1126"/>
      <c r="DA60" s="1126"/>
      <c r="DB60" s="1126"/>
      <c r="DC60" s="1126"/>
      <c r="DD60" s="1126"/>
      <c r="DE60" s="1125"/>
      <c r="DF60" s="1124"/>
      <c r="DG60" s="1125"/>
      <c r="DH60" s="1124"/>
      <c r="DI60" s="1125"/>
      <c r="DJ60" s="1124"/>
      <c r="DK60" s="1125"/>
      <c r="DL60" s="1124"/>
      <c r="DM60" s="1125"/>
      <c r="DN60" s="1124"/>
      <c r="DO60" s="1125"/>
      <c r="DP60" s="1124"/>
      <c r="DQ60" s="1125"/>
      <c r="DR60" s="1124"/>
      <c r="DS60" s="1125"/>
      <c r="DT60" s="1124"/>
      <c r="DU60" s="1125"/>
      <c r="DV60" s="1126"/>
      <c r="DW60" s="1125"/>
      <c r="DX60" s="1124"/>
      <c r="DY60" s="1125"/>
      <c r="DZ60" s="1124"/>
      <c r="EA60" s="1125"/>
      <c r="EB60" s="1124"/>
      <c r="EC60" s="1125"/>
      <c r="ED60" s="1124"/>
      <c r="EE60" s="1125"/>
      <c r="EF60" s="1124"/>
      <c r="EG60" s="1125"/>
      <c r="EH60" s="1124"/>
      <c r="EI60" s="1125"/>
      <c r="EJ60" s="1169"/>
      <c r="EK60" s="1167"/>
      <c r="EL60" s="1169"/>
      <c r="EM60" s="1167"/>
      <c r="EN60" s="1124"/>
      <c r="EO60" s="1125"/>
      <c r="EP60" s="1124"/>
      <c r="EQ60" s="1125"/>
      <c r="ER60" s="1124"/>
      <c r="ES60" s="1125"/>
      <c r="ET60" s="1124"/>
      <c r="EU60" s="1125"/>
      <c r="EV60" s="1124"/>
      <c r="EW60" s="1125"/>
      <c r="EX60" s="1124"/>
      <c r="EY60" s="1125"/>
      <c r="EZ60" s="1124"/>
      <c r="FA60" s="1125"/>
      <c r="FB60" s="1126"/>
      <c r="FC60" s="1125"/>
      <c r="FD60" s="1126"/>
      <c r="FE60" s="1125"/>
      <c r="FF60" s="1126"/>
      <c r="FG60" s="1125"/>
      <c r="FH60" s="1126"/>
      <c r="FI60" s="1126"/>
      <c r="FJ60" s="1126"/>
      <c r="FK60" s="1125"/>
      <c r="FL60" s="1124"/>
      <c r="FM60" s="1125"/>
      <c r="FN60" s="1139"/>
      <c r="FO60" s="1126"/>
      <c r="FP60" s="1139"/>
      <c r="FQ60" s="1126"/>
      <c r="FR60" s="1139"/>
      <c r="FS60" s="1126"/>
      <c r="FT60" s="1139"/>
      <c r="FU60" s="1125"/>
      <c r="FV60" s="1139"/>
      <c r="FW60" s="1125"/>
      <c r="FX60" s="1179"/>
      <c r="FY60" s="1167"/>
      <c r="FZ60" s="1179"/>
      <c r="GA60" s="1167"/>
      <c r="GB60" s="1179"/>
      <c r="GC60" s="1167"/>
      <c r="GD60" s="1133"/>
      <c r="GE60" s="1167"/>
      <c r="GF60" s="1124"/>
      <c r="GG60" s="1125"/>
      <c r="GH60" s="1124"/>
      <c r="GI60" s="1125"/>
      <c r="GJ60" s="1124"/>
      <c r="GK60" s="1125"/>
      <c r="GL60" s="1124"/>
      <c r="GM60" s="1125"/>
      <c r="GN60" s="1126"/>
      <c r="GO60" s="1125"/>
      <c r="GP60" s="1126"/>
      <c r="GQ60" s="1125"/>
      <c r="GR60" s="1124"/>
      <c r="GS60" s="1125"/>
      <c r="GT60" s="1124"/>
      <c r="GU60" s="1125"/>
      <c r="GV60" s="1126"/>
      <c r="GW60" s="1125"/>
      <c r="GX60" s="1168"/>
      <c r="GY60" s="1133"/>
      <c r="GZ60" s="1124"/>
      <c r="HA60" s="1125"/>
      <c r="HB60" s="1107">
        <v>1140.767361111111</v>
      </c>
      <c r="HC60" s="1108">
        <v>1.203E13</v>
      </c>
      <c r="HD60" s="1124"/>
      <c r="HE60" s="1125"/>
      <c r="HF60" s="1124"/>
      <c r="HG60" s="1125"/>
      <c r="HH60" s="1124"/>
      <c r="HI60" s="1125"/>
      <c r="HJ60" s="1124"/>
      <c r="HK60" s="1125"/>
      <c r="HL60" s="1124"/>
      <c r="HM60" s="1125"/>
      <c r="HN60" s="1126"/>
      <c r="HO60" s="1125"/>
      <c r="HP60" s="1124"/>
      <c r="HQ60" s="1125"/>
      <c r="HR60" s="1124"/>
      <c r="HS60" s="1125"/>
      <c r="HT60" s="1124"/>
      <c r="HU60" s="1125"/>
      <c r="HV60" s="1124"/>
      <c r="HW60" s="1125"/>
      <c r="HX60" s="1124"/>
      <c r="HY60" s="1125"/>
      <c r="HZ60" s="1124"/>
      <c r="IA60" s="1125"/>
      <c r="IB60" s="1124"/>
      <c r="IC60" s="1125"/>
      <c r="ID60" s="1124"/>
      <c r="IE60" s="1125"/>
      <c r="IF60" s="1124"/>
      <c r="IG60" s="1125"/>
      <c r="IH60" s="1124"/>
      <c r="II60" s="1125"/>
      <c r="IJ60" s="1124"/>
      <c r="IK60" s="1125"/>
      <c r="IL60" s="1124"/>
      <c r="IM60" s="1125"/>
      <c r="IN60" s="1124"/>
      <c r="IO60" s="1125"/>
      <c r="IP60" s="1124"/>
      <c r="IQ60" s="1125"/>
      <c r="IR60" s="1124"/>
      <c r="IS60" s="1125"/>
      <c r="IT60" s="1124"/>
      <c r="IU60" s="1125"/>
      <c r="IV60" s="1124"/>
      <c r="IW60" s="1125"/>
      <c r="IX60" s="1124"/>
      <c r="IY60" s="1125"/>
      <c r="IZ60" s="1124"/>
      <c r="JA60" s="1125"/>
      <c r="JB60" s="1124"/>
      <c r="JC60" s="1125"/>
      <c r="JD60" s="1124"/>
      <c r="JE60" s="1125"/>
      <c r="JF60" s="1124"/>
      <c r="JG60" s="1125"/>
      <c r="JH60" s="1124"/>
      <c r="JI60" s="1125"/>
      <c r="JJ60" s="1169"/>
      <c r="JK60" s="1167"/>
      <c r="JL60" s="1169"/>
      <c r="JM60" s="1167"/>
      <c r="JN60" s="1169"/>
      <c r="JO60" s="1167"/>
      <c r="JP60" s="1169"/>
      <c r="JQ60" s="1167"/>
      <c r="JR60" s="1169"/>
      <c r="JS60" s="1167"/>
      <c r="JT60" s="1169"/>
      <c r="JU60" s="1167"/>
      <c r="JV60" s="1169"/>
      <c r="JW60" s="1167"/>
      <c r="JX60" s="1169"/>
      <c r="JY60" s="1133"/>
      <c r="JZ60" s="1173">
        <v>5.12494213</v>
      </c>
      <c r="KA60" s="1120">
        <v>1.1013E11</v>
      </c>
      <c r="KB60" s="1169"/>
      <c r="KC60" s="1133"/>
      <c r="KD60" s="1169"/>
      <c r="KE60" s="1133"/>
      <c r="KF60" s="1133"/>
      <c r="KG60" s="1133"/>
      <c r="KH60" s="1133"/>
      <c r="KI60" s="1133"/>
      <c r="KJ60" s="1133"/>
      <c r="KK60" s="1133"/>
      <c r="KL60" s="1133"/>
      <c r="KM60" s="1133"/>
      <c r="KN60" s="1133"/>
      <c r="KO60" s="1133"/>
      <c r="KP60" s="1133"/>
      <c r="KQ60" s="1133"/>
      <c r="KR60" s="1133"/>
      <c r="KS60" s="1133"/>
      <c r="KT60" s="1133"/>
      <c r="KU60" s="1133"/>
      <c r="KV60" s="1133"/>
      <c r="KW60" s="1133"/>
      <c r="KX60" s="1133"/>
      <c r="KY60" s="1133"/>
      <c r="KZ60" s="1133"/>
      <c r="LA60" s="1133"/>
      <c r="LB60" s="1133"/>
      <c r="LC60" s="1133"/>
      <c r="LD60" s="1133"/>
      <c r="LE60" s="1133"/>
      <c r="LF60" s="1133"/>
      <c r="LG60" s="1133"/>
      <c r="LH60" s="1133"/>
      <c r="LI60" s="1133"/>
      <c r="LJ60" s="1133"/>
      <c r="LK60" s="1133"/>
      <c r="LL60" s="1133"/>
      <c r="LM60" s="1133"/>
      <c r="LN60" s="1133"/>
      <c r="LO60" s="1133"/>
      <c r="LP60" s="1133"/>
      <c r="LQ60" s="1133"/>
      <c r="LR60" s="1133"/>
      <c r="LS60" s="1133"/>
      <c r="LT60" s="1133"/>
      <c r="LU60" s="1133"/>
      <c r="LV60" s="1133"/>
      <c r="LW60" s="1133"/>
      <c r="LX60" s="1133"/>
      <c r="LY60" s="1133"/>
      <c r="LZ60" s="1133"/>
      <c r="MA60" s="1133"/>
      <c r="MB60" s="1133"/>
      <c r="MC60" s="1133"/>
      <c r="MD60" s="1133"/>
      <c r="ME60" s="1133"/>
      <c r="MF60" s="1133"/>
      <c r="MG60" s="1133"/>
      <c r="MH60" s="1133"/>
      <c r="MI60" s="1133"/>
      <c r="MJ60" s="1133"/>
      <c r="MK60" s="1133"/>
      <c r="ML60" s="1133"/>
      <c r="MM60" s="1133"/>
      <c r="MN60" s="1133"/>
      <c r="MO60" s="1133"/>
      <c r="MP60" s="1133"/>
      <c r="MQ60" s="1133"/>
      <c r="MR60" s="1133"/>
      <c r="MS60" s="1133"/>
      <c r="MT60" s="1133"/>
      <c r="MU60" s="1133"/>
      <c r="MV60" s="1133"/>
      <c r="MW60" s="1133"/>
      <c r="MX60" s="1133"/>
      <c r="MY60" s="1133"/>
    </row>
    <row r="61">
      <c r="A61" s="1071">
        <v>59.0</v>
      </c>
      <c r="B61" s="1124"/>
      <c r="C61" s="1126"/>
      <c r="D61" s="1072">
        <v>14.030555555555555</v>
      </c>
      <c r="E61" s="1073">
        <v>991410.0</v>
      </c>
      <c r="F61" s="1072">
        <v>14.030555555555555</v>
      </c>
      <c r="G61" s="1073">
        <v>991410.0</v>
      </c>
      <c r="H61" s="1072">
        <v>14.030555555555555</v>
      </c>
      <c r="I61" s="1073">
        <v>991410.0</v>
      </c>
      <c r="J61" s="1072">
        <v>14.030555555555555</v>
      </c>
      <c r="K61" s="1073">
        <v>991410.0</v>
      </c>
      <c r="L61" s="1072">
        <v>25.764583333333334</v>
      </c>
      <c r="M61" s="1075">
        <v>3150000.0</v>
      </c>
      <c r="N61" s="1076">
        <v>11.927777777777777</v>
      </c>
      <c r="O61" s="1073">
        <v>3810000.0</v>
      </c>
      <c r="P61" s="1124"/>
      <c r="Q61" s="1125"/>
      <c r="R61" s="1124"/>
      <c r="S61" s="1125"/>
      <c r="T61" s="1124"/>
      <c r="U61" s="1125"/>
      <c r="V61" s="1124"/>
      <c r="W61" s="1125"/>
      <c r="X61" s="1124"/>
      <c r="Y61" s="1125"/>
      <c r="Z61" s="1124"/>
      <c r="AA61" s="1125"/>
      <c r="AB61" s="1124"/>
      <c r="AC61" s="1125"/>
      <c r="AD61" s="1072">
        <v>63.71666666666667</v>
      </c>
      <c r="AE61" s="1080">
        <v>4.061761641E15</v>
      </c>
      <c r="AF61" s="1072">
        <v>63.71666666666667</v>
      </c>
      <c r="AG61" s="1080">
        <v>4.061761641E15</v>
      </c>
      <c r="AH61" s="1072">
        <v>63.71666666666667</v>
      </c>
      <c r="AI61" s="1080">
        <v>4.061761641E15</v>
      </c>
      <c r="AJ61" s="1081">
        <v>14.030555555555555</v>
      </c>
      <c r="AK61" s="1082">
        <v>991410.0</v>
      </c>
      <c r="AL61" s="1081">
        <v>14.030555555555555</v>
      </c>
      <c r="AM61" s="1082">
        <v>991410.0</v>
      </c>
      <c r="AN61" s="1081">
        <v>14.030555555555555</v>
      </c>
      <c r="AO61" s="1082">
        <v>991410.0</v>
      </c>
      <c r="AP61" s="1081">
        <v>14.030555555555555</v>
      </c>
      <c r="AQ61" s="1082">
        <v>991410.0</v>
      </c>
      <c r="AR61" s="1081">
        <v>14.03125</v>
      </c>
      <c r="AS61" s="1082">
        <v>991420.0</v>
      </c>
      <c r="AT61" s="1126"/>
      <c r="AU61" s="1125"/>
      <c r="AV61" s="1126"/>
      <c r="AW61" s="1125"/>
      <c r="AX61" s="1124"/>
      <c r="AY61" s="1175"/>
      <c r="AZ61" s="1124"/>
      <c r="BA61" s="1124"/>
      <c r="BB61" s="1083">
        <v>14.030555555555555</v>
      </c>
      <c r="BC61" s="1084">
        <v>991410.0</v>
      </c>
      <c r="BD61" s="1083">
        <v>14.030555555555555</v>
      </c>
      <c r="BE61" s="1084">
        <v>991410.0</v>
      </c>
      <c r="BF61" s="1083">
        <v>14.030555555555555</v>
      </c>
      <c r="BG61" s="1084">
        <v>991410.0</v>
      </c>
      <c r="BH61" s="1124"/>
      <c r="BI61" s="1125"/>
      <c r="BJ61" s="1124"/>
      <c r="BK61" s="1125"/>
      <c r="BL61" s="1124"/>
      <c r="BM61" s="1125"/>
      <c r="BN61" s="1124"/>
      <c r="BO61" s="1125"/>
      <c r="BP61" s="1124"/>
      <c r="BQ61" s="1125"/>
      <c r="BR61" s="1126"/>
      <c r="BS61" s="1125"/>
      <c r="BT61" s="1126"/>
      <c r="BU61" s="1126"/>
      <c r="BV61" s="1126"/>
      <c r="BW61" s="1126"/>
      <c r="BX61" s="1126"/>
      <c r="BY61" s="1126"/>
      <c r="BZ61" s="1126"/>
      <c r="CA61" s="1126"/>
      <c r="CB61" s="1126"/>
      <c r="CC61" s="1125"/>
      <c r="CD61" s="1083">
        <v>55.11275462962963</v>
      </c>
      <c r="CE61" s="1087">
        <v>1.006E13</v>
      </c>
      <c r="CF61" s="1133"/>
      <c r="CG61" s="1167"/>
      <c r="CH61" s="1088">
        <v>14.03125</v>
      </c>
      <c r="CI61" s="1089">
        <v>991420.0</v>
      </c>
      <c r="CJ61" s="1088">
        <v>14.03125</v>
      </c>
      <c r="CK61" s="1089">
        <v>991420.0</v>
      </c>
      <c r="CL61" s="1088">
        <v>14.03125</v>
      </c>
      <c r="CM61" s="1089">
        <v>991420.0</v>
      </c>
      <c r="CN61" s="1088">
        <v>14.03125</v>
      </c>
      <c r="CO61" s="1089">
        <v>991420.0</v>
      </c>
      <c r="CP61" s="1088">
        <v>31.488194444444442</v>
      </c>
      <c r="CQ61" s="1089">
        <v>3810000.0</v>
      </c>
      <c r="CR61" s="1124"/>
      <c r="CS61" s="1125"/>
      <c r="CT61" s="1126"/>
      <c r="CU61" s="1125"/>
      <c r="CV61" s="1126"/>
      <c r="CW61" s="1125"/>
      <c r="CX61" s="1126"/>
      <c r="CY61" s="1125"/>
      <c r="CZ61" s="1126"/>
      <c r="DA61" s="1126"/>
      <c r="DB61" s="1126"/>
      <c r="DC61" s="1126"/>
      <c r="DD61" s="1126"/>
      <c r="DE61" s="1125"/>
      <c r="DF61" s="1124"/>
      <c r="DG61" s="1125"/>
      <c r="DH61" s="1124"/>
      <c r="DI61" s="1125"/>
      <c r="DJ61" s="1124"/>
      <c r="DK61" s="1125"/>
      <c r="DL61" s="1124"/>
      <c r="DM61" s="1125"/>
      <c r="DN61" s="1124"/>
      <c r="DO61" s="1125"/>
      <c r="DP61" s="1124"/>
      <c r="DQ61" s="1125"/>
      <c r="DR61" s="1124"/>
      <c r="DS61" s="1125"/>
      <c r="DT61" s="1124"/>
      <c r="DU61" s="1125"/>
      <c r="DV61" s="1126"/>
      <c r="DW61" s="1125"/>
      <c r="DX61" s="1124"/>
      <c r="DY61" s="1125"/>
      <c r="DZ61" s="1124"/>
      <c r="EA61" s="1125"/>
      <c r="EB61" s="1124"/>
      <c r="EC61" s="1125"/>
      <c r="ED61" s="1124"/>
      <c r="EE61" s="1125"/>
      <c r="EF61" s="1124"/>
      <c r="EG61" s="1125"/>
      <c r="EH61" s="1124"/>
      <c r="EI61" s="1125"/>
      <c r="EJ61" s="1169"/>
      <c r="EK61" s="1167"/>
      <c r="EL61" s="1169"/>
      <c r="EM61" s="1167"/>
      <c r="EN61" s="1124"/>
      <c r="EO61" s="1125"/>
      <c r="EP61" s="1124"/>
      <c r="EQ61" s="1125"/>
      <c r="ER61" s="1124"/>
      <c r="ES61" s="1125"/>
      <c r="ET61" s="1124"/>
      <c r="EU61" s="1125"/>
      <c r="EV61" s="1124"/>
      <c r="EW61" s="1125"/>
      <c r="EX61" s="1124"/>
      <c r="EY61" s="1125"/>
      <c r="EZ61" s="1124"/>
      <c r="FA61" s="1125"/>
      <c r="FB61" s="1126"/>
      <c r="FC61" s="1125"/>
      <c r="FD61" s="1126"/>
      <c r="FE61" s="1125"/>
      <c r="FF61" s="1126"/>
      <c r="FG61" s="1125"/>
      <c r="FH61" s="1126"/>
      <c r="FI61" s="1126"/>
      <c r="FJ61" s="1126"/>
      <c r="FK61" s="1125"/>
      <c r="FL61" s="1124"/>
      <c r="FM61" s="1125"/>
      <c r="FN61" s="1139"/>
      <c r="FO61" s="1126"/>
      <c r="FP61" s="1139"/>
      <c r="FQ61" s="1126"/>
      <c r="FR61" s="1139"/>
      <c r="FS61" s="1126"/>
      <c r="FT61" s="1139"/>
      <c r="FU61" s="1125"/>
      <c r="FV61" s="1139"/>
      <c r="FW61" s="1125"/>
      <c r="FX61" s="1179"/>
      <c r="FY61" s="1167"/>
      <c r="FZ61" s="1179"/>
      <c r="GA61" s="1167"/>
      <c r="GB61" s="1179"/>
      <c r="GC61" s="1167"/>
      <c r="GD61" s="1133"/>
      <c r="GE61" s="1167"/>
      <c r="GF61" s="1124"/>
      <c r="GG61" s="1125"/>
      <c r="GH61" s="1124"/>
      <c r="GI61" s="1125"/>
      <c r="GJ61" s="1124"/>
      <c r="GK61" s="1125"/>
      <c r="GL61" s="1124"/>
      <c r="GM61" s="1125"/>
      <c r="GN61" s="1126"/>
      <c r="GO61" s="1125"/>
      <c r="GP61" s="1126"/>
      <c r="GQ61" s="1125"/>
      <c r="GR61" s="1124"/>
      <c r="GS61" s="1125"/>
      <c r="GT61" s="1124"/>
      <c r="GU61" s="1125"/>
      <c r="GV61" s="1126"/>
      <c r="GW61" s="1125"/>
      <c r="GX61" s="1168"/>
      <c r="GY61" s="1133"/>
      <c r="GZ61" s="1124"/>
      <c r="HA61" s="1125"/>
      <c r="HB61" s="1107">
        <v>1212.0020833333333</v>
      </c>
      <c r="HC61" s="1108">
        <v>1.313E13</v>
      </c>
      <c r="HD61" s="1124"/>
      <c r="HE61" s="1125"/>
      <c r="HF61" s="1124"/>
      <c r="HG61" s="1125"/>
      <c r="HH61" s="1124"/>
      <c r="HI61" s="1125"/>
      <c r="HJ61" s="1124"/>
      <c r="HK61" s="1125"/>
      <c r="HL61" s="1124"/>
      <c r="HM61" s="1125"/>
      <c r="HN61" s="1126"/>
      <c r="HO61" s="1125"/>
      <c r="HP61" s="1124"/>
      <c r="HQ61" s="1125"/>
      <c r="HR61" s="1124"/>
      <c r="HS61" s="1125"/>
      <c r="HT61" s="1124"/>
      <c r="HU61" s="1125"/>
      <c r="HV61" s="1124"/>
      <c r="HW61" s="1125"/>
      <c r="HX61" s="1124"/>
      <c r="HY61" s="1125"/>
      <c r="HZ61" s="1124"/>
      <c r="IA61" s="1125"/>
      <c r="IB61" s="1124"/>
      <c r="IC61" s="1125"/>
      <c r="ID61" s="1124"/>
      <c r="IE61" s="1125"/>
      <c r="IF61" s="1124"/>
      <c r="IG61" s="1125"/>
      <c r="IH61" s="1124"/>
      <c r="II61" s="1125"/>
      <c r="IJ61" s="1124"/>
      <c r="IK61" s="1125"/>
      <c r="IL61" s="1124"/>
      <c r="IM61" s="1125"/>
      <c r="IN61" s="1124"/>
      <c r="IO61" s="1125"/>
      <c r="IP61" s="1124"/>
      <c r="IQ61" s="1125"/>
      <c r="IR61" s="1124"/>
      <c r="IS61" s="1125"/>
      <c r="IT61" s="1124"/>
      <c r="IU61" s="1125"/>
      <c r="IV61" s="1124"/>
      <c r="IW61" s="1125"/>
      <c r="IX61" s="1124"/>
      <c r="IY61" s="1125"/>
      <c r="IZ61" s="1124"/>
      <c r="JA61" s="1125"/>
      <c r="JB61" s="1124"/>
      <c r="JC61" s="1125"/>
      <c r="JD61" s="1124"/>
      <c r="JE61" s="1125"/>
      <c r="JF61" s="1124"/>
      <c r="JG61" s="1125"/>
      <c r="JH61" s="1124"/>
      <c r="JI61" s="1125"/>
      <c r="JJ61" s="1169"/>
      <c r="JK61" s="1167"/>
      <c r="JL61" s="1169"/>
      <c r="JM61" s="1167"/>
      <c r="JN61" s="1169"/>
      <c r="JO61" s="1167"/>
      <c r="JP61" s="1169"/>
      <c r="JQ61" s="1167"/>
      <c r="JR61" s="1169"/>
      <c r="JS61" s="1167"/>
      <c r="JT61" s="1169"/>
      <c r="JU61" s="1167"/>
      <c r="JV61" s="1169"/>
      <c r="JW61" s="1167"/>
      <c r="JX61" s="1169"/>
      <c r="JY61" s="1133"/>
      <c r="JZ61" s="1173">
        <v>5.21869213</v>
      </c>
      <c r="KA61" s="1120">
        <v>1.1542E11</v>
      </c>
      <c r="KB61" s="1169"/>
      <c r="KC61" s="1133"/>
      <c r="KD61" s="1169"/>
      <c r="KE61" s="1133"/>
      <c r="KF61" s="1133"/>
      <c r="KG61" s="1133"/>
      <c r="KH61" s="1133"/>
      <c r="KI61" s="1133"/>
      <c r="KJ61" s="1133"/>
      <c r="KK61" s="1133"/>
      <c r="KL61" s="1133"/>
      <c r="KM61" s="1133"/>
      <c r="KN61" s="1133"/>
      <c r="KO61" s="1133"/>
      <c r="KP61" s="1133"/>
      <c r="KQ61" s="1133"/>
      <c r="KR61" s="1133"/>
      <c r="KS61" s="1133"/>
      <c r="KT61" s="1133"/>
      <c r="KU61" s="1133"/>
      <c r="KV61" s="1133"/>
      <c r="KW61" s="1133"/>
      <c r="KX61" s="1133"/>
      <c r="KY61" s="1133"/>
      <c r="KZ61" s="1133"/>
      <c r="LA61" s="1133"/>
      <c r="LB61" s="1133"/>
      <c r="LC61" s="1133"/>
      <c r="LD61" s="1133"/>
      <c r="LE61" s="1133"/>
      <c r="LF61" s="1133"/>
      <c r="LG61" s="1133"/>
      <c r="LH61" s="1133"/>
      <c r="LI61" s="1133"/>
      <c r="LJ61" s="1133"/>
      <c r="LK61" s="1133"/>
      <c r="LL61" s="1133"/>
      <c r="LM61" s="1133"/>
      <c r="LN61" s="1133"/>
      <c r="LO61" s="1133"/>
      <c r="LP61" s="1133"/>
      <c r="LQ61" s="1133"/>
      <c r="LR61" s="1133"/>
      <c r="LS61" s="1133"/>
      <c r="LT61" s="1133"/>
      <c r="LU61" s="1133"/>
      <c r="LV61" s="1133"/>
      <c r="LW61" s="1133"/>
      <c r="LX61" s="1133"/>
      <c r="LY61" s="1133"/>
      <c r="LZ61" s="1133"/>
      <c r="MA61" s="1133"/>
      <c r="MB61" s="1133"/>
      <c r="MC61" s="1133"/>
      <c r="MD61" s="1133"/>
      <c r="ME61" s="1133"/>
      <c r="MF61" s="1133"/>
      <c r="MG61" s="1133"/>
      <c r="MH61" s="1133"/>
      <c r="MI61" s="1133"/>
      <c r="MJ61" s="1133"/>
      <c r="MK61" s="1133"/>
      <c r="ML61" s="1133"/>
      <c r="MM61" s="1133"/>
      <c r="MN61" s="1133"/>
      <c r="MO61" s="1133"/>
      <c r="MP61" s="1133"/>
      <c r="MQ61" s="1133"/>
      <c r="MR61" s="1133"/>
      <c r="MS61" s="1133"/>
      <c r="MT61" s="1133"/>
      <c r="MU61" s="1133"/>
      <c r="MV61" s="1133"/>
      <c r="MW61" s="1133"/>
      <c r="MX61" s="1133"/>
      <c r="MY61" s="1133"/>
    </row>
    <row r="62">
      <c r="A62" s="1071">
        <v>60.0</v>
      </c>
      <c r="B62" s="1140"/>
      <c r="C62" s="1148"/>
      <c r="D62" s="1077">
        <v>14.613194444444444</v>
      </c>
      <c r="E62" s="1078">
        <v>1040000.0</v>
      </c>
      <c r="F62" s="1077">
        <v>14.613194444444444</v>
      </c>
      <c r="G62" s="1078">
        <v>1040000.0</v>
      </c>
      <c r="H62" s="1077">
        <v>14.613194444444444</v>
      </c>
      <c r="I62" s="1078">
        <v>1040000.0</v>
      </c>
      <c r="J62" s="1077">
        <v>14.613194444444444</v>
      </c>
      <c r="K62" s="1078">
        <v>1040000.0</v>
      </c>
      <c r="L62" s="1077">
        <v>26.90277777777778</v>
      </c>
      <c r="M62" s="1143">
        <v>3310000.0</v>
      </c>
      <c r="N62" s="1144">
        <v>12.340972222222222</v>
      </c>
      <c r="O62" s="1078">
        <v>4020000.0</v>
      </c>
      <c r="P62" s="1140"/>
      <c r="Q62" s="1141"/>
      <c r="R62" s="1140"/>
      <c r="S62" s="1141"/>
      <c r="T62" s="1140"/>
      <c r="U62" s="1141"/>
      <c r="V62" s="1140"/>
      <c r="W62" s="1141"/>
      <c r="X62" s="1140"/>
      <c r="Y62" s="1141"/>
      <c r="Z62" s="1140"/>
      <c r="AA62" s="1141"/>
      <c r="AB62" s="1140"/>
      <c r="AC62" s="1141"/>
      <c r="AD62" s="1077">
        <v>64.79652777777778</v>
      </c>
      <c r="AE62" s="1145">
        <v>5.280290133E15</v>
      </c>
      <c r="AF62" s="1077">
        <v>64.79652777777778</v>
      </c>
      <c r="AG62" s="1145">
        <v>5.280290133E15</v>
      </c>
      <c r="AH62" s="1077">
        <v>64.79652777777778</v>
      </c>
      <c r="AI62" s="1145">
        <v>5.280290133E15</v>
      </c>
      <c r="AJ62" s="1146">
        <v>14.613194444444444</v>
      </c>
      <c r="AK62" s="1147">
        <v>1040000.0</v>
      </c>
      <c r="AL62" s="1146">
        <v>14.613194444444444</v>
      </c>
      <c r="AM62" s="1147">
        <v>1040000.0</v>
      </c>
      <c r="AN62" s="1146">
        <v>14.613194444444444</v>
      </c>
      <c r="AO62" s="1147">
        <v>1040000.0</v>
      </c>
      <c r="AP62" s="1146">
        <v>14.613194444444444</v>
      </c>
      <c r="AQ62" s="1147">
        <v>1040000.0</v>
      </c>
      <c r="AR62" s="1146">
        <v>14.613888888888889</v>
      </c>
      <c r="AS62" s="1147">
        <v>1040000.0</v>
      </c>
      <c r="AT62" s="1148"/>
      <c r="AU62" s="1141"/>
      <c r="AV62" s="1148"/>
      <c r="AW62" s="1141"/>
      <c r="AX62" s="1140"/>
      <c r="AY62" s="1176"/>
      <c r="AZ62" s="1140"/>
      <c r="BA62" s="1140"/>
      <c r="BB62" s="1085">
        <v>14.613194444444444</v>
      </c>
      <c r="BC62" s="1086">
        <v>1040000.0</v>
      </c>
      <c r="BD62" s="1085">
        <v>14.613194444444444</v>
      </c>
      <c r="BE62" s="1086">
        <v>1040000.0</v>
      </c>
      <c r="BF62" s="1085">
        <v>14.613194444444444</v>
      </c>
      <c r="BG62" s="1086">
        <v>1040000.0</v>
      </c>
      <c r="BH62" s="1140"/>
      <c r="BI62" s="1141"/>
      <c r="BJ62" s="1140"/>
      <c r="BK62" s="1141"/>
      <c r="BL62" s="1140"/>
      <c r="BM62" s="1141"/>
      <c r="BN62" s="1140"/>
      <c r="BO62" s="1141"/>
      <c r="BP62" s="1140"/>
      <c r="BQ62" s="1141"/>
      <c r="BR62" s="1148"/>
      <c r="BS62" s="1141"/>
      <c r="BT62" s="1148"/>
      <c r="BU62" s="1148"/>
      <c r="BV62" s="1148"/>
      <c r="BW62" s="1148"/>
      <c r="BX62" s="1148"/>
      <c r="BY62" s="1148"/>
      <c r="BZ62" s="1148"/>
      <c r="CA62" s="1148"/>
      <c r="CB62" s="1148"/>
      <c r="CC62" s="1141"/>
      <c r="CD62" s="1083">
        <v>57.42553240740741</v>
      </c>
      <c r="CE62" s="1087">
        <v>1.057E13</v>
      </c>
      <c r="CF62" s="1157"/>
      <c r="CG62" s="1171"/>
      <c r="CH62" s="1090">
        <v>14.613888888888889</v>
      </c>
      <c r="CI62" s="1091">
        <v>1040000.0</v>
      </c>
      <c r="CJ62" s="1090">
        <v>14.613888888888889</v>
      </c>
      <c r="CK62" s="1091">
        <v>1040000.0</v>
      </c>
      <c r="CL62" s="1090">
        <v>14.613888888888889</v>
      </c>
      <c r="CM62" s="1091">
        <v>1040000.0</v>
      </c>
      <c r="CN62" s="1090">
        <v>14.613888888888889</v>
      </c>
      <c r="CO62" s="1091">
        <v>1040000.0</v>
      </c>
      <c r="CP62" s="1090">
        <v>32.90972222222222</v>
      </c>
      <c r="CQ62" s="1091">
        <v>4020000.0</v>
      </c>
      <c r="CR62" s="1140"/>
      <c r="CS62" s="1141"/>
      <c r="CT62" s="1148"/>
      <c r="CU62" s="1141"/>
      <c r="CV62" s="1148"/>
      <c r="CW62" s="1141"/>
      <c r="CX62" s="1148"/>
      <c r="CY62" s="1141"/>
      <c r="CZ62" s="1148"/>
      <c r="DA62" s="1148"/>
      <c r="DB62" s="1148"/>
      <c r="DC62" s="1148"/>
      <c r="DD62" s="1148"/>
      <c r="DE62" s="1141"/>
      <c r="DF62" s="1140"/>
      <c r="DG62" s="1141"/>
      <c r="DH62" s="1140"/>
      <c r="DI62" s="1141"/>
      <c r="DJ62" s="1140"/>
      <c r="DK62" s="1141"/>
      <c r="DL62" s="1140"/>
      <c r="DM62" s="1141"/>
      <c r="DN62" s="1140"/>
      <c r="DO62" s="1141"/>
      <c r="DP62" s="1140"/>
      <c r="DQ62" s="1141"/>
      <c r="DR62" s="1140"/>
      <c r="DS62" s="1141"/>
      <c r="DT62" s="1140"/>
      <c r="DU62" s="1141"/>
      <c r="DV62" s="1148"/>
      <c r="DW62" s="1141"/>
      <c r="DX62" s="1140"/>
      <c r="DY62" s="1141"/>
      <c r="DZ62" s="1140"/>
      <c r="EA62" s="1141"/>
      <c r="EB62" s="1140"/>
      <c r="EC62" s="1141"/>
      <c r="ED62" s="1140"/>
      <c r="EE62" s="1141"/>
      <c r="EF62" s="1140"/>
      <c r="EG62" s="1141"/>
      <c r="EH62" s="1140"/>
      <c r="EI62" s="1141"/>
      <c r="EJ62" s="1172"/>
      <c r="EK62" s="1171"/>
      <c r="EL62" s="1172"/>
      <c r="EM62" s="1171"/>
      <c r="EN62" s="1140"/>
      <c r="EO62" s="1141"/>
      <c r="EP62" s="1140"/>
      <c r="EQ62" s="1141"/>
      <c r="ER62" s="1140"/>
      <c r="ES62" s="1141"/>
      <c r="ET62" s="1140"/>
      <c r="EU62" s="1141"/>
      <c r="EV62" s="1140"/>
      <c r="EW62" s="1141"/>
      <c r="EX62" s="1140"/>
      <c r="EY62" s="1141"/>
      <c r="EZ62" s="1140"/>
      <c r="FA62" s="1141"/>
      <c r="FB62" s="1148"/>
      <c r="FC62" s="1141"/>
      <c r="FD62" s="1148"/>
      <c r="FE62" s="1141"/>
      <c r="FF62" s="1148"/>
      <c r="FG62" s="1141"/>
      <c r="FH62" s="1148"/>
      <c r="FI62" s="1148"/>
      <c r="FJ62" s="1148"/>
      <c r="FK62" s="1141"/>
      <c r="FL62" s="1140"/>
      <c r="FM62" s="1141"/>
      <c r="FN62" s="1152"/>
      <c r="FO62" s="1148"/>
      <c r="FP62" s="1152"/>
      <c r="FQ62" s="1148"/>
      <c r="FR62" s="1152"/>
      <c r="FS62" s="1148"/>
      <c r="FT62" s="1152"/>
      <c r="FU62" s="1141"/>
      <c r="FV62" s="1152"/>
      <c r="FW62" s="1141"/>
      <c r="FX62" s="1181"/>
      <c r="FY62" s="1171"/>
      <c r="FZ62" s="1181"/>
      <c r="GA62" s="1171"/>
      <c r="GB62" s="1181"/>
      <c r="GC62" s="1171"/>
      <c r="GD62" s="1157"/>
      <c r="GE62" s="1171"/>
      <c r="GF62" s="1140"/>
      <c r="GG62" s="1141"/>
      <c r="GH62" s="1140"/>
      <c r="GI62" s="1141"/>
      <c r="GJ62" s="1140"/>
      <c r="GK62" s="1141"/>
      <c r="GL62" s="1140"/>
      <c r="GM62" s="1141"/>
      <c r="GN62" s="1148"/>
      <c r="GO62" s="1141"/>
      <c r="GP62" s="1148"/>
      <c r="GQ62" s="1141"/>
      <c r="GR62" s="1140"/>
      <c r="GS62" s="1141"/>
      <c r="GT62" s="1140"/>
      <c r="GU62" s="1141"/>
      <c r="GV62" s="1148"/>
      <c r="GW62" s="1141"/>
      <c r="GX62" s="1156"/>
      <c r="GY62" s="1157"/>
      <c r="GZ62" s="1140"/>
      <c r="HA62" s="1141"/>
      <c r="HB62" s="1158">
        <v>1286.3680555555557</v>
      </c>
      <c r="HC62" s="1159">
        <v>1.43E13</v>
      </c>
      <c r="HD62" s="1140"/>
      <c r="HE62" s="1141"/>
      <c r="HF62" s="1140"/>
      <c r="HG62" s="1141"/>
      <c r="HH62" s="1140"/>
      <c r="HI62" s="1141"/>
      <c r="HJ62" s="1140"/>
      <c r="HK62" s="1141"/>
      <c r="HL62" s="1140"/>
      <c r="HM62" s="1141"/>
      <c r="HN62" s="1148"/>
      <c r="HO62" s="1141"/>
      <c r="HP62" s="1140"/>
      <c r="HQ62" s="1141"/>
      <c r="HR62" s="1140"/>
      <c r="HS62" s="1141"/>
      <c r="HT62" s="1140"/>
      <c r="HU62" s="1141"/>
      <c r="HV62" s="1140"/>
      <c r="HW62" s="1141"/>
      <c r="HX62" s="1140"/>
      <c r="HY62" s="1141"/>
      <c r="HZ62" s="1140"/>
      <c r="IA62" s="1141"/>
      <c r="IB62" s="1140"/>
      <c r="IC62" s="1141"/>
      <c r="ID62" s="1140"/>
      <c r="IE62" s="1141"/>
      <c r="IF62" s="1140"/>
      <c r="IG62" s="1141"/>
      <c r="IH62" s="1140"/>
      <c r="II62" s="1141"/>
      <c r="IJ62" s="1140"/>
      <c r="IK62" s="1141"/>
      <c r="IL62" s="1140"/>
      <c r="IM62" s="1141"/>
      <c r="IN62" s="1140"/>
      <c r="IO62" s="1141"/>
      <c r="IP62" s="1140"/>
      <c r="IQ62" s="1141"/>
      <c r="IR62" s="1140"/>
      <c r="IS62" s="1141"/>
      <c r="IT62" s="1140"/>
      <c r="IU62" s="1141"/>
      <c r="IV62" s="1140"/>
      <c r="IW62" s="1141"/>
      <c r="IX62" s="1140"/>
      <c r="IY62" s="1141"/>
      <c r="IZ62" s="1140"/>
      <c r="JA62" s="1141"/>
      <c r="JB62" s="1140"/>
      <c r="JC62" s="1141"/>
      <c r="JD62" s="1140"/>
      <c r="JE62" s="1141"/>
      <c r="JF62" s="1140"/>
      <c r="JG62" s="1141"/>
      <c r="JH62" s="1140"/>
      <c r="JI62" s="1141"/>
      <c r="JJ62" s="1172"/>
      <c r="JK62" s="1171"/>
      <c r="JL62" s="1172"/>
      <c r="JM62" s="1171"/>
      <c r="JN62" s="1172"/>
      <c r="JO62" s="1171"/>
      <c r="JP62" s="1172"/>
      <c r="JQ62" s="1171"/>
      <c r="JR62" s="1172"/>
      <c r="JS62" s="1171"/>
      <c r="JT62" s="1172"/>
      <c r="JU62" s="1171"/>
      <c r="JV62" s="1172"/>
      <c r="JW62" s="1171"/>
      <c r="JX62" s="1169"/>
      <c r="JY62" s="1133"/>
      <c r="JZ62" s="1173">
        <v>5.313368056</v>
      </c>
      <c r="KA62" s="1120">
        <v>1.2088E11</v>
      </c>
      <c r="KB62" s="1169"/>
      <c r="KC62" s="1133"/>
      <c r="KD62" s="1169"/>
      <c r="KE62" s="1133"/>
      <c r="KF62" s="1133"/>
      <c r="KG62" s="1133"/>
      <c r="KH62" s="1133"/>
      <c r="KI62" s="1133"/>
      <c r="KJ62" s="1133"/>
      <c r="KK62" s="1133"/>
      <c r="KL62" s="1133"/>
      <c r="KM62" s="1133"/>
      <c r="KN62" s="1133"/>
      <c r="KO62" s="1133"/>
      <c r="KP62" s="1133"/>
      <c r="KQ62" s="1133"/>
      <c r="KR62" s="1133"/>
      <c r="KS62" s="1133"/>
      <c r="KT62" s="1133"/>
      <c r="KU62" s="1133"/>
      <c r="KV62" s="1133"/>
      <c r="KW62" s="1133"/>
      <c r="KX62" s="1133"/>
      <c r="KY62" s="1133"/>
      <c r="KZ62" s="1133"/>
      <c r="LA62" s="1133"/>
      <c r="LB62" s="1133"/>
      <c r="LC62" s="1133"/>
      <c r="LD62" s="1133"/>
      <c r="LE62" s="1133"/>
      <c r="LF62" s="1133"/>
      <c r="LG62" s="1133"/>
      <c r="LH62" s="1133"/>
      <c r="LI62" s="1133"/>
      <c r="LJ62" s="1133"/>
      <c r="LK62" s="1133"/>
      <c r="LL62" s="1157"/>
      <c r="LM62" s="1157"/>
      <c r="LN62" s="1133"/>
      <c r="LO62" s="1133"/>
      <c r="LP62" s="1133"/>
      <c r="LQ62" s="1133"/>
      <c r="LR62" s="1133"/>
      <c r="LS62" s="1133"/>
      <c r="LT62" s="1133"/>
      <c r="LU62" s="1133"/>
      <c r="LV62" s="1133"/>
      <c r="LW62" s="1133"/>
      <c r="LX62" s="1133"/>
      <c r="LY62" s="1133"/>
      <c r="LZ62" s="1133"/>
      <c r="MA62" s="1133"/>
      <c r="MB62" s="1133"/>
      <c r="MC62" s="1133"/>
      <c r="MD62" s="1133"/>
      <c r="ME62" s="1133"/>
      <c r="MF62" s="1133"/>
      <c r="MG62" s="1133"/>
      <c r="MH62" s="1133"/>
      <c r="MI62" s="1133"/>
      <c r="MJ62" s="1133"/>
      <c r="MK62" s="1133"/>
      <c r="ML62" s="1133"/>
      <c r="MM62" s="1133"/>
      <c r="MN62" s="1133"/>
      <c r="MO62" s="1133"/>
      <c r="MP62" s="1133"/>
      <c r="MQ62" s="1133"/>
      <c r="MR62" s="1133"/>
      <c r="MS62" s="1133"/>
      <c r="MT62" s="1133"/>
      <c r="MU62" s="1133"/>
      <c r="MV62" s="1133"/>
      <c r="MW62" s="1133"/>
      <c r="MX62" s="1133"/>
      <c r="MY62" s="1133"/>
    </row>
    <row r="63">
      <c r="A63" s="1071">
        <v>61.0</v>
      </c>
      <c r="B63" s="1124"/>
      <c r="C63" s="1126"/>
      <c r="D63" s="1072">
        <v>15.210416666666667</v>
      </c>
      <c r="E63" s="1073">
        <v>1090000.0</v>
      </c>
      <c r="F63" s="1072">
        <v>15.210416666666667</v>
      </c>
      <c r="G63" s="1073">
        <v>1090000.0</v>
      </c>
      <c r="H63" s="1072">
        <v>15.210416666666667</v>
      </c>
      <c r="I63" s="1073">
        <v>1090000.0</v>
      </c>
      <c r="J63" s="1072">
        <v>15.210416666666667</v>
      </c>
      <c r="K63" s="1073">
        <v>1090000.0</v>
      </c>
      <c r="L63" s="1072">
        <v>28.072222222222223</v>
      </c>
      <c r="M63" s="1075">
        <v>3470000.0</v>
      </c>
      <c r="N63" s="1076">
        <v>12.759722222222223</v>
      </c>
      <c r="O63" s="1073">
        <v>4230000.0</v>
      </c>
      <c r="P63" s="1124"/>
      <c r="Q63" s="1125"/>
      <c r="R63" s="1124"/>
      <c r="S63" s="1125"/>
      <c r="T63" s="1124"/>
      <c r="U63" s="1125"/>
      <c r="V63" s="1124"/>
      <c r="W63" s="1125"/>
      <c r="X63" s="1124"/>
      <c r="Y63" s="1125"/>
      <c r="Z63" s="1124"/>
      <c r="AA63" s="1125"/>
      <c r="AB63" s="1124"/>
      <c r="AC63" s="1125"/>
      <c r="AD63" s="1072">
        <v>65.87638888888888</v>
      </c>
      <c r="AE63" s="1080">
        <v>6.864377173E15</v>
      </c>
      <c r="AF63" s="1072">
        <v>65.87638888888888</v>
      </c>
      <c r="AG63" s="1080">
        <v>6.864377173E15</v>
      </c>
      <c r="AH63" s="1072">
        <v>65.87638888888888</v>
      </c>
      <c r="AI63" s="1080">
        <v>6.864377173E15</v>
      </c>
      <c r="AJ63" s="1081">
        <v>15.210416666666667</v>
      </c>
      <c r="AK63" s="1082">
        <v>1090000.0</v>
      </c>
      <c r="AL63" s="1081">
        <v>15.210416666666667</v>
      </c>
      <c r="AM63" s="1082">
        <v>1090000.0</v>
      </c>
      <c r="AN63" s="1081">
        <v>15.210416666666667</v>
      </c>
      <c r="AO63" s="1082">
        <v>1090000.0</v>
      </c>
      <c r="AP63" s="1081">
        <v>15.210416666666667</v>
      </c>
      <c r="AQ63" s="1082">
        <v>1090000.0</v>
      </c>
      <c r="AR63" s="1081">
        <v>15.210416666666667</v>
      </c>
      <c r="AS63" s="1082">
        <v>1090000.0</v>
      </c>
      <c r="AT63" s="1126"/>
      <c r="AU63" s="1125"/>
      <c r="AV63" s="1126"/>
      <c r="AW63" s="1125"/>
      <c r="AX63" s="1124"/>
      <c r="AY63" s="1175"/>
      <c r="AZ63" s="1124"/>
      <c r="BA63" s="1124"/>
      <c r="BB63" s="1083">
        <v>15.210416666666667</v>
      </c>
      <c r="BC63" s="1084">
        <v>1090000.0</v>
      </c>
      <c r="BD63" s="1083">
        <v>15.210416666666667</v>
      </c>
      <c r="BE63" s="1084">
        <v>1090000.0</v>
      </c>
      <c r="BF63" s="1083">
        <v>15.210416666666667</v>
      </c>
      <c r="BG63" s="1084">
        <v>1090000.0</v>
      </c>
      <c r="BH63" s="1124"/>
      <c r="BI63" s="1125"/>
      <c r="BJ63" s="1124"/>
      <c r="BK63" s="1125"/>
      <c r="BL63" s="1124"/>
      <c r="BM63" s="1125"/>
      <c r="BN63" s="1124"/>
      <c r="BO63" s="1125"/>
      <c r="BP63" s="1124"/>
      <c r="BQ63" s="1125"/>
      <c r="BR63" s="1126"/>
      <c r="BS63" s="1125"/>
      <c r="BT63" s="1126"/>
      <c r="BU63" s="1126"/>
      <c r="BV63" s="1126"/>
      <c r="BW63" s="1126"/>
      <c r="BX63" s="1126"/>
      <c r="BY63" s="1126"/>
      <c r="BZ63" s="1126"/>
      <c r="CA63" s="1126"/>
      <c r="CB63" s="1126"/>
      <c r="CC63" s="1125"/>
      <c r="CD63" s="1126"/>
      <c r="CE63" s="1126"/>
      <c r="CF63" s="1133"/>
      <c r="CG63" s="1167"/>
      <c r="CH63" s="1088">
        <v>15.210416666666667</v>
      </c>
      <c r="CI63" s="1089">
        <v>1090000.0</v>
      </c>
      <c r="CJ63" s="1088">
        <v>15.210416666666667</v>
      </c>
      <c r="CK63" s="1089">
        <v>1090000.0</v>
      </c>
      <c r="CL63" s="1088">
        <v>15.210416666666667</v>
      </c>
      <c r="CM63" s="1089">
        <v>1090000.0</v>
      </c>
      <c r="CN63" s="1088">
        <v>15.210416666666667</v>
      </c>
      <c r="CO63" s="1089">
        <v>1090000.0</v>
      </c>
      <c r="CP63" s="1088">
        <v>34.37083333333334</v>
      </c>
      <c r="CQ63" s="1089">
        <v>4230000.0</v>
      </c>
      <c r="CR63" s="1124"/>
      <c r="CS63" s="1125"/>
      <c r="CT63" s="1126"/>
      <c r="CU63" s="1125"/>
      <c r="CV63" s="1126"/>
      <c r="CW63" s="1125"/>
      <c r="CX63" s="1126"/>
      <c r="CY63" s="1125"/>
      <c r="CZ63" s="1126"/>
      <c r="DA63" s="1126"/>
      <c r="DB63" s="1126"/>
      <c r="DC63" s="1126"/>
      <c r="DD63" s="1126"/>
      <c r="DE63" s="1125"/>
      <c r="DF63" s="1124"/>
      <c r="DG63" s="1125"/>
      <c r="DH63" s="1124"/>
      <c r="DI63" s="1125"/>
      <c r="DJ63" s="1124"/>
      <c r="DK63" s="1125"/>
      <c r="DL63" s="1124"/>
      <c r="DM63" s="1125"/>
      <c r="DN63" s="1124"/>
      <c r="DO63" s="1125"/>
      <c r="DP63" s="1124"/>
      <c r="DQ63" s="1125"/>
      <c r="DR63" s="1124"/>
      <c r="DS63" s="1125"/>
      <c r="DT63" s="1124"/>
      <c r="DU63" s="1125"/>
      <c r="DV63" s="1126"/>
      <c r="DW63" s="1125"/>
      <c r="DX63" s="1124"/>
      <c r="DY63" s="1125"/>
      <c r="DZ63" s="1124"/>
      <c r="EA63" s="1125"/>
      <c r="EB63" s="1124"/>
      <c r="EC63" s="1125"/>
      <c r="ED63" s="1124"/>
      <c r="EE63" s="1125"/>
      <c r="EF63" s="1124"/>
      <c r="EG63" s="1125"/>
      <c r="EH63" s="1124"/>
      <c r="EI63" s="1125"/>
      <c r="EJ63" s="1169"/>
      <c r="EK63" s="1167"/>
      <c r="EL63" s="1169"/>
      <c r="EM63" s="1167"/>
      <c r="EN63" s="1124"/>
      <c r="EO63" s="1125"/>
      <c r="EP63" s="1124"/>
      <c r="EQ63" s="1125"/>
      <c r="ER63" s="1124"/>
      <c r="ES63" s="1125"/>
      <c r="ET63" s="1124"/>
      <c r="EU63" s="1125"/>
      <c r="EV63" s="1124"/>
      <c r="EW63" s="1125"/>
      <c r="EX63" s="1124"/>
      <c r="EY63" s="1125"/>
      <c r="EZ63" s="1124"/>
      <c r="FA63" s="1125"/>
      <c r="FB63" s="1126"/>
      <c r="FC63" s="1125"/>
      <c r="FD63" s="1126"/>
      <c r="FE63" s="1125"/>
      <c r="FF63" s="1126"/>
      <c r="FG63" s="1125"/>
      <c r="FH63" s="1126"/>
      <c r="FI63" s="1126"/>
      <c r="FJ63" s="1126"/>
      <c r="FK63" s="1125"/>
      <c r="FL63" s="1124"/>
      <c r="FM63" s="1125"/>
      <c r="FN63" s="1139"/>
      <c r="FO63" s="1126"/>
      <c r="FP63" s="1139"/>
      <c r="FQ63" s="1126"/>
      <c r="FR63" s="1139"/>
      <c r="FS63" s="1126"/>
      <c r="FT63" s="1139"/>
      <c r="FU63" s="1125"/>
      <c r="FV63" s="1139"/>
      <c r="FW63" s="1125"/>
      <c r="FX63" s="1179"/>
      <c r="FY63" s="1167"/>
      <c r="FZ63" s="1179"/>
      <c r="GA63" s="1167"/>
      <c r="GB63" s="1179"/>
      <c r="GC63" s="1167"/>
      <c r="GD63" s="1133"/>
      <c r="GE63" s="1167"/>
      <c r="GF63" s="1124"/>
      <c r="GG63" s="1125"/>
      <c r="GH63" s="1124"/>
      <c r="GI63" s="1125"/>
      <c r="GJ63" s="1124"/>
      <c r="GK63" s="1125"/>
      <c r="GL63" s="1124"/>
      <c r="GM63" s="1125"/>
      <c r="GN63" s="1126"/>
      <c r="GO63" s="1125"/>
      <c r="GP63" s="1126"/>
      <c r="GQ63" s="1125"/>
      <c r="GR63" s="1124"/>
      <c r="GS63" s="1125"/>
      <c r="GT63" s="1124"/>
      <c r="GU63" s="1125"/>
      <c r="GV63" s="1126"/>
      <c r="GW63" s="1125"/>
      <c r="GX63" s="1168"/>
      <c r="GY63" s="1133"/>
      <c r="GZ63" s="1124"/>
      <c r="HA63" s="1125"/>
      <c r="HB63" s="1107">
        <v>1363.9465277777779</v>
      </c>
      <c r="HC63" s="1108">
        <v>1.555E13</v>
      </c>
      <c r="HD63" s="1124"/>
      <c r="HE63" s="1125"/>
      <c r="HF63" s="1124"/>
      <c r="HG63" s="1125"/>
      <c r="HH63" s="1124"/>
      <c r="HI63" s="1125"/>
      <c r="HJ63" s="1124"/>
      <c r="HK63" s="1125"/>
      <c r="HL63" s="1124"/>
      <c r="HM63" s="1125"/>
      <c r="HN63" s="1126"/>
      <c r="HO63" s="1125"/>
      <c r="HP63" s="1124"/>
      <c r="HQ63" s="1125"/>
      <c r="HR63" s="1124"/>
      <c r="HS63" s="1125"/>
      <c r="HT63" s="1124"/>
      <c r="HU63" s="1125"/>
      <c r="HV63" s="1124"/>
      <c r="HW63" s="1125"/>
      <c r="HX63" s="1124"/>
      <c r="HY63" s="1125"/>
      <c r="HZ63" s="1124"/>
      <c r="IA63" s="1125"/>
      <c r="IB63" s="1124"/>
      <c r="IC63" s="1125"/>
      <c r="ID63" s="1124"/>
      <c r="IE63" s="1125"/>
      <c r="IF63" s="1124"/>
      <c r="IG63" s="1125"/>
      <c r="IH63" s="1124"/>
      <c r="II63" s="1125"/>
      <c r="IJ63" s="1124"/>
      <c r="IK63" s="1125"/>
      <c r="IL63" s="1124"/>
      <c r="IM63" s="1125"/>
      <c r="IN63" s="1124"/>
      <c r="IO63" s="1125"/>
      <c r="IP63" s="1124"/>
      <c r="IQ63" s="1125"/>
      <c r="IR63" s="1124"/>
      <c r="IS63" s="1125"/>
      <c r="IT63" s="1124"/>
      <c r="IU63" s="1125"/>
      <c r="IV63" s="1124"/>
      <c r="IW63" s="1125"/>
      <c r="IX63" s="1124"/>
      <c r="IY63" s="1125"/>
      <c r="IZ63" s="1124"/>
      <c r="JA63" s="1125"/>
      <c r="JB63" s="1124"/>
      <c r="JC63" s="1125"/>
      <c r="JD63" s="1124"/>
      <c r="JE63" s="1125"/>
      <c r="JF63" s="1124"/>
      <c r="JG63" s="1125"/>
      <c r="JH63" s="1124"/>
      <c r="JI63" s="1125"/>
      <c r="JJ63" s="1169"/>
      <c r="JK63" s="1167"/>
      <c r="JL63" s="1169"/>
      <c r="JM63" s="1167"/>
      <c r="JN63" s="1169"/>
      <c r="JO63" s="1167"/>
      <c r="JP63" s="1169"/>
      <c r="JQ63" s="1167"/>
      <c r="JR63" s="1169"/>
      <c r="JS63" s="1167"/>
      <c r="JT63" s="1169"/>
      <c r="JU63" s="1167"/>
      <c r="JV63" s="1169"/>
      <c r="JW63" s="1167"/>
      <c r="JX63" s="1169"/>
      <c r="JY63" s="1133"/>
      <c r="JZ63" s="1173">
        <v>5.408958333</v>
      </c>
      <c r="KA63" s="1120">
        <v>1.2649E11</v>
      </c>
      <c r="KB63" s="1169"/>
      <c r="KC63" s="1133"/>
      <c r="KD63" s="1169"/>
      <c r="KE63" s="1133"/>
      <c r="KF63" s="1133"/>
      <c r="KG63" s="1133"/>
      <c r="KH63" s="1133"/>
      <c r="KI63" s="1133"/>
      <c r="KJ63" s="1133"/>
      <c r="KK63" s="1133"/>
      <c r="KL63" s="1133"/>
      <c r="KM63" s="1133"/>
      <c r="KN63" s="1133"/>
      <c r="KO63" s="1133"/>
      <c r="KP63" s="1133"/>
      <c r="KQ63" s="1133"/>
      <c r="KR63" s="1133"/>
      <c r="KS63" s="1133"/>
      <c r="KT63" s="1133"/>
      <c r="KU63" s="1133"/>
      <c r="KV63" s="1133"/>
      <c r="KW63" s="1133"/>
      <c r="KX63" s="1133"/>
      <c r="KY63" s="1133"/>
      <c r="KZ63" s="1133"/>
      <c r="LA63" s="1133"/>
      <c r="LB63" s="1133"/>
      <c r="LC63" s="1133"/>
      <c r="LD63" s="1133"/>
      <c r="LE63" s="1133"/>
      <c r="LF63" s="1133"/>
      <c r="LG63" s="1133"/>
      <c r="LH63" s="1133"/>
      <c r="LI63" s="1133"/>
      <c r="LJ63" s="1133"/>
      <c r="LK63" s="1133"/>
      <c r="LL63" s="1133"/>
      <c r="LM63" s="1133"/>
      <c r="LN63" s="1133"/>
      <c r="LO63" s="1133"/>
      <c r="LP63" s="1133"/>
      <c r="LQ63" s="1133"/>
      <c r="LR63" s="1133"/>
      <c r="LS63" s="1133"/>
      <c r="LT63" s="1133"/>
      <c r="LU63" s="1133"/>
      <c r="LV63" s="1133"/>
      <c r="LW63" s="1133"/>
      <c r="LX63" s="1133"/>
      <c r="LY63" s="1133"/>
      <c r="LZ63" s="1133"/>
      <c r="MA63" s="1133"/>
      <c r="MB63" s="1133"/>
      <c r="MC63" s="1133"/>
      <c r="MD63" s="1133"/>
      <c r="ME63" s="1133"/>
      <c r="MF63" s="1133"/>
      <c r="MG63" s="1133"/>
      <c r="MH63" s="1133"/>
      <c r="MI63" s="1133"/>
      <c r="MJ63" s="1133"/>
      <c r="MK63" s="1133"/>
      <c r="ML63" s="1133"/>
      <c r="MM63" s="1133"/>
      <c r="MN63" s="1133"/>
      <c r="MO63" s="1133"/>
      <c r="MP63" s="1133"/>
      <c r="MQ63" s="1133"/>
      <c r="MR63" s="1133"/>
      <c r="MS63" s="1133"/>
      <c r="MT63" s="1133"/>
      <c r="MU63" s="1133"/>
      <c r="MV63" s="1133"/>
      <c r="MW63" s="1133"/>
      <c r="MX63" s="1133"/>
      <c r="MY63" s="1133"/>
    </row>
    <row r="64">
      <c r="A64" s="1071">
        <v>62.0</v>
      </c>
      <c r="B64" s="1124"/>
      <c r="C64" s="1126"/>
      <c r="D64" s="1072">
        <v>15.820833333333333</v>
      </c>
      <c r="E64" s="1073">
        <v>1140000.0</v>
      </c>
      <c r="F64" s="1072">
        <v>15.820833333333333</v>
      </c>
      <c r="G64" s="1073">
        <v>1140000.0</v>
      </c>
      <c r="H64" s="1072">
        <v>15.820833333333333</v>
      </c>
      <c r="I64" s="1073">
        <v>1140000.0</v>
      </c>
      <c r="J64" s="1072">
        <v>15.820833333333333</v>
      </c>
      <c r="K64" s="1073">
        <v>1140000.0</v>
      </c>
      <c r="L64" s="1072">
        <v>29.271527777777777</v>
      </c>
      <c r="M64" s="1075">
        <v>3640000.0</v>
      </c>
      <c r="N64" s="1076">
        <v>13.185416666666667</v>
      </c>
      <c r="O64" s="1073">
        <v>4450000.0</v>
      </c>
      <c r="P64" s="1124"/>
      <c r="Q64" s="1125"/>
      <c r="R64" s="1124"/>
      <c r="S64" s="1125"/>
      <c r="T64" s="1124"/>
      <c r="U64" s="1125"/>
      <c r="V64" s="1124"/>
      <c r="W64" s="1125"/>
      <c r="X64" s="1124"/>
      <c r="Y64" s="1125"/>
      <c r="Z64" s="1124"/>
      <c r="AA64" s="1125"/>
      <c r="AB64" s="1124"/>
      <c r="AC64" s="1125"/>
      <c r="AD64" s="1072">
        <v>66.95694444444445</v>
      </c>
      <c r="AE64" s="1080">
        <v>8.923690324999999E15</v>
      </c>
      <c r="AF64" s="1072">
        <v>66.95694444444445</v>
      </c>
      <c r="AG64" s="1080">
        <v>8.923690324999999E15</v>
      </c>
      <c r="AH64" s="1072">
        <v>66.95694444444445</v>
      </c>
      <c r="AI64" s="1080">
        <v>8.923690324999999E15</v>
      </c>
      <c r="AJ64" s="1081">
        <v>15.820833333333333</v>
      </c>
      <c r="AK64" s="1082">
        <v>1140000.0</v>
      </c>
      <c r="AL64" s="1081">
        <v>15.820833333333333</v>
      </c>
      <c r="AM64" s="1082">
        <v>1140000.0</v>
      </c>
      <c r="AN64" s="1081">
        <v>15.820833333333333</v>
      </c>
      <c r="AO64" s="1082">
        <v>1140000.0</v>
      </c>
      <c r="AP64" s="1081">
        <v>15.820833333333333</v>
      </c>
      <c r="AQ64" s="1082">
        <v>1140000.0</v>
      </c>
      <c r="AR64" s="1081">
        <v>15.820833333333333</v>
      </c>
      <c r="AS64" s="1082">
        <v>1140000.0</v>
      </c>
      <c r="AT64" s="1126"/>
      <c r="AU64" s="1125"/>
      <c r="AV64" s="1126"/>
      <c r="AW64" s="1125"/>
      <c r="AX64" s="1124"/>
      <c r="AY64" s="1175"/>
      <c r="AZ64" s="1124"/>
      <c r="BA64" s="1124"/>
      <c r="BB64" s="1083">
        <v>15.820833333333333</v>
      </c>
      <c r="BC64" s="1084">
        <v>1140000.0</v>
      </c>
      <c r="BD64" s="1083">
        <v>15.820833333333333</v>
      </c>
      <c r="BE64" s="1084">
        <v>1140000.0</v>
      </c>
      <c r="BF64" s="1083">
        <v>15.820833333333333</v>
      </c>
      <c r="BG64" s="1084">
        <v>1140000.0</v>
      </c>
      <c r="BH64" s="1124"/>
      <c r="BI64" s="1125"/>
      <c r="BJ64" s="1124"/>
      <c r="BK64" s="1125"/>
      <c r="BL64" s="1124"/>
      <c r="BM64" s="1125"/>
      <c r="BN64" s="1124"/>
      <c r="BO64" s="1125"/>
      <c r="BP64" s="1124"/>
      <c r="BQ64" s="1125"/>
      <c r="BR64" s="1126"/>
      <c r="BS64" s="1125"/>
      <c r="BT64" s="1126"/>
      <c r="BU64" s="1126"/>
      <c r="BV64" s="1126"/>
      <c r="BW64" s="1126"/>
      <c r="BX64" s="1126"/>
      <c r="BY64" s="1126"/>
      <c r="BZ64" s="1126"/>
      <c r="CA64" s="1126"/>
      <c r="CB64" s="1126"/>
      <c r="CC64" s="1125"/>
      <c r="CD64" s="1126"/>
      <c r="CE64" s="1126"/>
      <c r="CF64" s="1133"/>
      <c r="CG64" s="1167"/>
      <c r="CH64" s="1088">
        <v>15.820833333333333</v>
      </c>
      <c r="CI64" s="1089">
        <v>1140000.0</v>
      </c>
      <c r="CJ64" s="1088">
        <v>15.820833333333333</v>
      </c>
      <c r="CK64" s="1089">
        <v>1140000.0</v>
      </c>
      <c r="CL64" s="1088">
        <v>15.820833333333333</v>
      </c>
      <c r="CM64" s="1089">
        <v>1140000.0</v>
      </c>
      <c r="CN64" s="1088">
        <v>15.820833333333333</v>
      </c>
      <c r="CO64" s="1089">
        <v>1140000.0</v>
      </c>
      <c r="CP64" s="1088">
        <v>35.87013888888889</v>
      </c>
      <c r="CQ64" s="1089">
        <v>4450000.0</v>
      </c>
      <c r="CR64" s="1124"/>
      <c r="CS64" s="1125"/>
      <c r="CT64" s="1126"/>
      <c r="CU64" s="1125"/>
      <c r="CV64" s="1126"/>
      <c r="CW64" s="1125"/>
      <c r="CX64" s="1126"/>
      <c r="CY64" s="1125"/>
      <c r="CZ64" s="1126"/>
      <c r="DA64" s="1126"/>
      <c r="DB64" s="1126"/>
      <c r="DC64" s="1126"/>
      <c r="DD64" s="1126"/>
      <c r="DE64" s="1125"/>
      <c r="DF64" s="1124"/>
      <c r="DG64" s="1125"/>
      <c r="DH64" s="1124"/>
      <c r="DI64" s="1125"/>
      <c r="DJ64" s="1124"/>
      <c r="DK64" s="1125"/>
      <c r="DL64" s="1124"/>
      <c r="DM64" s="1125"/>
      <c r="DN64" s="1124"/>
      <c r="DO64" s="1125"/>
      <c r="DP64" s="1124"/>
      <c r="DQ64" s="1125"/>
      <c r="DR64" s="1124"/>
      <c r="DS64" s="1125"/>
      <c r="DT64" s="1124"/>
      <c r="DU64" s="1125"/>
      <c r="DV64" s="1126"/>
      <c r="DW64" s="1125"/>
      <c r="DX64" s="1124"/>
      <c r="DY64" s="1125"/>
      <c r="DZ64" s="1124"/>
      <c r="EA64" s="1125"/>
      <c r="EB64" s="1124"/>
      <c r="EC64" s="1125"/>
      <c r="ED64" s="1124"/>
      <c r="EE64" s="1125"/>
      <c r="EF64" s="1124"/>
      <c r="EG64" s="1125"/>
      <c r="EH64" s="1124"/>
      <c r="EI64" s="1125"/>
      <c r="EJ64" s="1169"/>
      <c r="EK64" s="1167"/>
      <c r="EL64" s="1169"/>
      <c r="EM64" s="1167"/>
      <c r="EN64" s="1124"/>
      <c r="EO64" s="1125"/>
      <c r="EP64" s="1124"/>
      <c r="EQ64" s="1125"/>
      <c r="ER64" s="1124"/>
      <c r="ES64" s="1125"/>
      <c r="ET64" s="1124"/>
      <c r="EU64" s="1125"/>
      <c r="EV64" s="1124"/>
      <c r="EW64" s="1125"/>
      <c r="EX64" s="1124"/>
      <c r="EY64" s="1125"/>
      <c r="EZ64" s="1124"/>
      <c r="FA64" s="1125"/>
      <c r="FB64" s="1126"/>
      <c r="FC64" s="1125"/>
      <c r="FD64" s="1126"/>
      <c r="FE64" s="1125"/>
      <c r="FF64" s="1126"/>
      <c r="FG64" s="1125"/>
      <c r="FH64" s="1126"/>
      <c r="FI64" s="1126"/>
      <c r="FJ64" s="1126"/>
      <c r="FK64" s="1125"/>
      <c r="FL64" s="1124"/>
      <c r="FM64" s="1125"/>
      <c r="FN64" s="1139"/>
      <c r="FO64" s="1126"/>
      <c r="FP64" s="1139"/>
      <c r="FQ64" s="1126"/>
      <c r="FR64" s="1139"/>
      <c r="FS64" s="1126"/>
      <c r="FT64" s="1139"/>
      <c r="FU64" s="1125"/>
      <c r="FV64" s="1139"/>
      <c r="FW64" s="1125"/>
      <c r="FX64" s="1179"/>
      <c r="FY64" s="1167"/>
      <c r="FZ64" s="1179"/>
      <c r="GA64" s="1167"/>
      <c r="GB64" s="1179"/>
      <c r="GC64" s="1167"/>
      <c r="GD64" s="1133"/>
      <c r="GE64" s="1167"/>
      <c r="GF64" s="1124"/>
      <c r="GG64" s="1125"/>
      <c r="GH64" s="1124"/>
      <c r="GI64" s="1125"/>
      <c r="GJ64" s="1124"/>
      <c r="GK64" s="1125"/>
      <c r="GL64" s="1124"/>
      <c r="GM64" s="1125"/>
      <c r="GN64" s="1126"/>
      <c r="GO64" s="1125"/>
      <c r="GP64" s="1126"/>
      <c r="GQ64" s="1125"/>
      <c r="GR64" s="1124"/>
      <c r="GS64" s="1125"/>
      <c r="GT64" s="1124"/>
      <c r="GU64" s="1125"/>
      <c r="GV64" s="1126"/>
      <c r="GW64" s="1125"/>
      <c r="GX64" s="1168"/>
      <c r="GY64" s="1133"/>
      <c r="GZ64" s="1124"/>
      <c r="HA64" s="1125"/>
      <c r="HB64" s="1107">
        <v>1444.8201388888888</v>
      </c>
      <c r="HC64" s="1108">
        <v>1.689E13</v>
      </c>
      <c r="HD64" s="1124"/>
      <c r="HE64" s="1125"/>
      <c r="HF64" s="1124"/>
      <c r="HG64" s="1125"/>
      <c r="HH64" s="1124"/>
      <c r="HI64" s="1125"/>
      <c r="HJ64" s="1124"/>
      <c r="HK64" s="1125"/>
      <c r="HL64" s="1124"/>
      <c r="HM64" s="1125"/>
      <c r="HN64" s="1126"/>
      <c r="HO64" s="1125"/>
      <c r="HP64" s="1124"/>
      <c r="HQ64" s="1125"/>
      <c r="HR64" s="1124"/>
      <c r="HS64" s="1125"/>
      <c r="HT64" s="1124"/>
      <c r="HU64" s="1125"/>
      <c r="HV64" s="1124"/>
      <c r="HW64" s="1125"/>
      <c r="HX64" s="1124"/>
      <c r="HY64" s="1125"/>
      <c r="HZ64" s="1124"/>
      <c r="IA64" s="1125"/>
      <c r="IB64" s="1124"/>
      <c r="IC64" s="1125"/>
      <c r="ID64" s="1124"/>
      <c r="IE64" s="1125"/>
      <c r="IF64" s="1124"/>
      <c r="IG64" s="1125"/>
      <c r="IH64" s="1124"/>
      <c r="II64" s="1125"/>
      <c r="IJ64" s="1124"/>
      <c r="IK64" s="1125"/>
      <c r="IL64" s="1124"/>
      <c r="IM64" s="1125"/>
      <c r="IN64" s="1124"/>
      <c r="IO64" s="1125"/>
      <c r="IP64" s="1124"/>
      <c r="IQ64" s="1125"/>
      <c r="IR64" s="1124"/>
      <c r="IS64" s="1125"/>
      <c r="IT64" s="1124"/>
      <c r="IU64" s="1125"/>
      <c r="IV64" s="1124"/>
      <c r="IW64" s="1125"/>
      <c r="IX64" s="1124"/>
      <c r="IY64" s="1125"/>
      <c r="IZ64" s="1124"/>
      <c r="JA64" s="1125"/>
      <c r="JB64" s="1124"/>
      <c r="JC64" s="1125"/>
      <c r="JD64" s="1124"/>
      <c r="JE64" s="1125"/>
      <c r="JF64" s="1124"/>
      <c r="JG64" s="1125"/>
      <c r="JH64" s="1124"/>
      <c r="JI64" s="1125"/>
      <c r="JJ64" s="1169"/>
      <c r="JK64" s="1167"/>
      <c r="JL64" s="1169"/>
      <c r="JM64" s="1167"/>
      <c r="JN64" s="1169"/>
      <c r="JO64" s="1167"/>
      <c r="JP64" s="1169"/>
      <c r="JQ64" s="1167"/>
      <c r="JR64" s="1169"/>
      <c r="JS64" s="1167"/>
      <c r="JT64" s="1169"/>
      <c r="JU64" s="1167"/>
      <c r="JV64" s="1169"/>
      <c r="JW64" s="1167"/>
      <c r="JX64" s="1169"/>
      <c r="JY64" s="1133"/>
      <c r="JZ64" s="1173">
        <v>5.505462963</v>
      </c>
      <c r="KA64" s="1120">
        <v>1.3226E11</v>
      </c>
      <c r="KB64" s="1169"/>
      <c r="KC64" s="1133"/>
      <c r="KD64" s="1169"/>
      <c r="KE64" s="1133"/>
      <c r="KF64" s="1133"/>
      <c r="KG64" s="1133"/>
      <c r="KH64" s="1133"/>
      <c r="KI64" s="1133"/>
      <c r="KJ64" s="1133"/>
      <c r="KK64" s="1133"/>
      <c r="KL64" s="1133"/>
      <c r="KM64" s="1133"/>
      <c r="KN64" s="1133"/>
      <c r="KO64" s="1133"/>
      <c r="KP64" s="1133"/>
      <c r="KQ64" s="1133"/>
      <c r="KR64" s="1133"/>
      <c r="KS64" s="1133"/>
      <c r="KT64" s="1133"/>
      <c r="KU64" s="1133"/>
      <c r="KV64" s="1133"/>
      <c r="KW64" s="1133"/>
      <c r="KX64" s="1133"/>
      <c r="KY64" s="1133"/>
      <c r="KZ64" s="1133"/>
      <c r="LA64" s="1133"/>
      <c r="LB64" s="1133"/>
      <c r="LC64" s="1133"/>
      <c r="LD64" s="1133"/>
      <c r="LE64" s="1133"/>
      <c r="LF64" s="1133"/>
      <c r="LG64" s="1133"/>
      <c r="LH64" s="1133"/>
      <c r="LI64" s="1133"/>
      <c r="LJ64" s="1133"/>
      <c r="LK64" s="1133"/>
      <c r="LL64" s="1133"/>
      <c r="LM64" s="1133"/>
      <c r="LN64" s="1133"/>
      <c r="LO64" s="1133"/>
      <c r="LP64" s="1133"/>
      <c r="LQ64" s="1133"/>
      <c r="LR64" s="1133"/>
      <c r="LS64" s="1133"/>
      <c r="LT64" s="1133"/>
      <c r="LU64" s="1133"/>
      <c r="LV64" s="1133"/>
      <c r="LW64" s="1133"/>
      <c r="LX64" s="1133"/>
      <c r="LY64" s="1133"/>
      <c r="LZ64" s="1133"/>
      <c r="MA64" s="1133"/>
      <c r="MB64" s="1133"/>
      <c r="MC64" s="1133"/>
      <c r="MD64" s="1133"/>
      <c r="ME64" s="1133"/>
      <c r="MF64" s="1133"/>
      <c r="MG64" s="1133"/>
      <c r="MH64" s="1133"/>
      <c r="MI64" s="1133"/>
      <c r="MJ64" s="1133"/>
      <c r="MK64" s="1133"/>
      <c r="ML64" s="1133"/>
      <c r="MM64" s="1133"/>
      <c r="MN64" s="1133"/>
      <c r="MO64" s="1133"/>
      <c r="MP64" s="1133"/>
      <c r="MQ64" s="1133"/>
      <c r="MR64" s="1133"/>
      <c r="MS64" s="1133"/>
      <c r="MT64" s="1133"/>
      <c r="MU64" s="1133"/>
      <c r="MV64" s="1133"/>
      <c r="MW64" s="1133"/>
      <c r="MX64" s="1133"/>
      <c r="MY64" s="1133"/>
    </row>
    <row r="65">
      <c r="A65" s="1071">
        <v>63.0</v>
      </c>
      <c r="B65" s="1124"/>
      <c r="C65" s="1126"/>
      <c r="D65" s="1072">
        <v>16.445138888888888</v>
      </c>
      <c r="E65" s="1073">
        <v>1190000.0</v>
      </c>
      <c r="F65" s="1072">
        <v>16.445138888888888</v>
      </c>
      <c r="G65" s="1073">
        <v>1190000.0</v>
      </c>
      <c r="H65" s="1072">
        <v>16.445138888888888</v>
      </c>
      <c r="I65" s="1073">
        <v>1190000.0</v>
      </c>
      <c r="J65" s="1072">
        <v>16.445138888888888</v>
      </c>
      <c r="K65" s="1073">
        <v>1190000.0</v>
      </c>
      <c r="L65" s="1072">
        <v>30.50138888888889</v>
      </c>
      <c r="M65" s="1075">
        <v>3810000.0</v>
      </c>
      <c r="N65" s="1076">
        <v>13.616666666666667</v>
      </c>
      <c r="O65" s="1073">
        <v>4680000.0</v>
      </c>
      <c r="P65" s="1124"/>
      <c r="Q65" s="1125"/>
      <c r="R65" s="1124"/>
      <c r="S65" s="1125"/>
      <c r="T65" s="1124"/>
      <c r="U65" s="1125"/>
      <c r="V65" s="1124"/>
      <c r="W65" s="1125"/>
      <c r="X65" s="1124"/>
      <c r="Y65" s="1125"/>
      <c r="Z65" s="1124"/>
      <c r="AA65" s="1125"/>
      <c r="AB65" s="1124"/>
      <c r="AC65" s="1125"/>
      <c r="AD65" s="1072">
        <v>68.03680555555556</v>
      </c>
      <c r="AE65" s="1080">
        <v>1.160079742E16</v>
      </c>
      <c r="AF65" s="1072">
        <v>68.03680555555556</v>
      </c>
      <c r="AG65" s="1080">
        <v>1.160079742E16</v>
      </c>
      <c r="AH65" s="1072">
        <v>68.03680555555556</v>
      </c>
      <c r="AI65" s="1080">
        <v>1.160079742E16</v>
      </c>
      <c r="AJ65" s="1081">
        <v>16.445138888888888</v>
      </c>
      <c r="AK65" s="1082">
        <v>1190000.0</v>
      </c>
      <c r="AL65" s="1081">
        <v>16.445138888888888</v>
      </c>
      <c r="AM65" s="1082">
        <v>1190000.0</v>
      </c>
      <c r="AN65" s="1081">
        <v>16.445138888888888</v>
      </c>
      <c r="AO65" s="1082">
        <v>1190000.0</v>
      </c>
      <c r="AP65" s="1081">
        <v>16.445138888888888</v>
      </c>
      <c r="AQ65" s="1082">
        <v>1190000.0</v>
      </c>
      <c r="AR65" s="1081">
        <v>16.445138888888888</v>
      </c>
      <c r="AS65" s="1082">
        <v>1190000.0</v>
      </c>
      <c r="AT65" s="1126"/>
      <c r="AU65" s="1125"/>
      <c r="AV65" s="1126"/>
      <c r="AW65" s="1125"/>
      <c r="AX65" s="1124"/>
      <c r="AY65" s="1175"/>
      <c r="AZ65" s="1124"/>
      <c r="BA65" s="1124"/>
      <c r="BB65" s="1083">
        <v>16.445138888888888</v>
      </c>
      <c r="BC65" s="1084">
        <v>1190000.0</v>
      </c>
      <c r="BD65" s="1083">
        <v>16.445138888888888</v>
      </c>
      <c r="BE65" s="1084">
        <v>1190000.0</v>
      </c>
      <c r="BF65" s="1083">
        <v>16.445138888888888</v>
      </c>
      <c r="BG65" s="1084">
        <v>1190000.0</v>
      </c>
      <c r="BH65" s="1124"/>
      <c r="BI65" s="1125"/>
      <c r="BJ65" s="1124"/>
      <c r="BK65" s="1125"/>
      <c r="BL65" s="1124"/>
      <c r="BM65" s="1125"/>
      <c r="BN65" s="1124"/>
      <c r="BO65" s="1125"/>
      <c r="BP65" s="1124"/>
      <c r="BQ65" s="1125"/>
      <c r="BR65" s="1126"/>
      <c r="BS65" s="1125"/>
      <c r="BT65" s="1126"/>
      <c r="BU65" s="1126"/>
      <c r="BV65" s="1126"/>
      <c r="BW65" s="1126"/>
      <c r="BX65" s="1126"/>
      <c r="BY65" s="1126"/>
      <c r="BZ65" s="1126"/>
      <c r="CA65" s="1126"/>
      <c r="CB65" s="1126"/>
      <c r="CC65" s="1125"/>
      <c r="CD65" s="1126"/>
      <c r="CE65" s="1126"/>
      <c r="CF65" s="1133"/>
      <c r="CG65" s="1167"/>
      <c r="CH65" s="1088">
        <v>16.445138888888888</v>
      </c>
      <c r="CI65" s="1089">
        <v>1190000.0</v>
      </c>
      <c r="CJ65" s="1088">
        <v>16.445138888888888</v>
      </c>
      <c r="CK65" s="1089">
        <v>1190000.0</v>
      </c>
      <c r="CL65" s="1088">
        <v>16.445138888888888</v>
      </c>
      <c r="CM65" s="1089">
        <v>1190000.0</v>
      </c>
      <c r="CN65" s="1088">
        <v>16.445138888888888</v>
      </c>
      <c r="CO65" s="1089">
        <v>1190000.0</v>
      </c>
      <c r="CP65" s="1088">
        <v>37.40972222222222</v>
      </c>
      <c r="CQ65" s="1089">
        <v>4680000.0</v>
      </c>
      <c r="CR65" s="1124"/>
      <c r="CS65" s="1125"/>
      <c r="CT65" s="1126"/>
      <c r="CU65" s="1125"/>
      <c r="CV65" s="1126"/>
      <c r="CW65" s="1125"/>
      <c r="CX65" s="1126"/>
      <c r="CY65" s="1125"/>
      <c r="CZ65" s="1126"/>
      <c r="DA65" s="1126"/>
      <c r="DB65" s="1126"/>
      <c r="DC65" s="1126"/>
      <c r="DD65" s="1126"/>
      <c r="DE65" s="1125"/>
      <c r="DF65" s="1124"/>
      <c r="DG65" s="1125"/>
      <c r="DH65" s="1124"/>
      <c r="DI65" s="1125"/>
      <c r="DJ65" s="1124"/>
      <c r="DK65" s="1125"/>
      <c r="DL65" s="1124"/>
      <c r="DM65" s="1125"/>
      <c r="DN65" s="1124"/>
      <c r="DO65" s="1125"/>
      <c r="DP65" s="1124"/>
      <c r="DQ65" s="1125"/>
      <c r="DR65" s="1124"/>
      <c r="DS65" s="1125"/>
      <c r="DT65" s="1124"/>
      <c r="DU65" s="1125"/>
      <c r="DV65" s="1126"/>
      <c r="DW65" s="1125"/>
      <c r="DX65" s="1124"/>
      <c r="DY65" s="1125"/>
      <c r="DZ65" s="1124"/>
      <c r="EA65" s="1125"/>
      <c r="EB65" s="1124"/>
      <c r="EC65" s="1125"/>
      <c r="ED65" s="1124"/>
      <c r="EE65" s="1125"/>
      <c r="EF65" s="1124"/>
      <c r="EG65" s="1125"/>
      <c r="EH65" s="1124"/>
      <c r="EI65" s="1125"/>
      <c r="EJ65" s="1169"/>
      <c r="EK65" s="1167"/>
      <c r="EL65" s="1169"/>
      <c r="EM65" s="1167"/>
      <c r="EN65" s="1124"/>
      <c r="EO65" s="1125"/>
      <c r="EP65" s="1124"/>
      <c r="EQ65" s="1125"/>
      <c r="ER65" s="1124"/>
      <c r="ES65" s="1125"/>
      <c r="ET65" s="1124"/>
      <c r="EU65" s="1125"/>
      <c r="EV65" s="1124"/>
      <c r="EW65" s="1125"/>
      <c r="EX65" s="1124"/>
      <c r="EY65" s="1125"/>
      <c r="EZ65" s="1124"/>
      <c r="FA65" s="1125"/>
      <c r="FB65" s="1126"/>
      <c r="FC65" s="1125"/>
      <c r="FD65" s="1126"/>
      <c r="FE65" s="1125"/>
      <c r="FF65" s="1126"/>
      <c r="FG65" s="1125"/>
      <c r="FH65" s="1126"/>
      <c r="FI65" s="1126"/>
      <c r="FJ65" s="1126"/>
      <c r="FK65" s="1125"/>
      <c r="FL65" s="1124"/>
      <c r="FM65" s="1125"/>
      <c r="FN65" s="1139"/>
      <c r="FO65" s="1126"/>
      <c r="FP65" s="1139"/>
      <c r="FQ65" s="1126"/>
      <c r="FR65" s="1139"/>
      <c r="FS65" s="1126"/>
      <c r="FT65" s="1139"/>
      <c r="FU65" s="1125"/>
      <c r="FV65" s="1139"/>
      <c r="FW65" s="1125"/>
      <c r="FX65" s="1179"/>
      <c r="FY65" s="1167"/>
      <c r="FZ65" s="1179"/>
      <c r="GA65" s="1167"/>
      <c r="GB65" s="1179"/>
      <c r="GC65" s="1167"/>
      <c r="GD65" s="1133"/>
      <c r="GE65" s="1167"/>
      <c r="GF65" s="1124"/>
      <c r="GG65" s="1125"/>
      <c r="GH65" s="1124"/>
      <c r="GI65" s="1125"/>
      <c r="GJ65" s="1124"/>
      <c r="GK65" s="1125"/>
      <c r="GL65" s="1124"/>
      <c r="GM65" s="1125"/>
      <c r="GN65" s="1126"/>
      <c r="GO65" s="1125"/>
      <c r="GP65" s="1126"/>
      <c r="GQ65" s="1125"/>
      <c r="GR65" s="1124"/>
      <c r="GS65" s="1125"/>
      <c r="GT65" s="1124"/>
      <c r="GU65" s="1125"/>
      <c r="GV65" s="1126"/>
      <c r="GW65" s="1125"/>
      <c r="GX65" s="1168"/>
      <c r="GY65" s="1133"/>
      <c r="GZ65" s="1124"/>
      <c r="HA65" s="1125"/>
      <c r="HB65" s="1107">
        <v>1529.0708333333334</v>
      </c>
      <c r="HC65" s="1108">
        <v>1.832E13</v>
      </c>
      <c r="HD65" s="1124"/>
      <c r="HE65" s="1125"/>
      <c r="HF65" s="1124"/>
      <c r="HG65" s="1125"/>
      <c r="HH65" s="1124"/>
      <c r="HI65" s="1125"/>
      <c r="HJ65" s="1124"/>
      <c r="HK65" s="1125"/>
      <c r="HL65" s="1124"/>
      <c r="HM65" s="1125"/>
      <c r="HN65" s="1126"/>
      <c r="HO65" s="1125"/>
      <c r="HP65" s="1124"/>
      <c r="HQ65" s="1125"/>
      <c r="HR65" s="1124"/>
      <c r="HS65" s="1125"/>
      <c r="HT65" s="1124"/>
      <c r="HU65" s="1125"/>
      <c r="HV65" s="1124"/>
      <c r="HW65" s="1125"/>
      <c r="HX65" s="1124"/>
      <c r="HY65" s="1125"/>
      <c r="HZ65" s="1124"/>
      <c r="IA65" s="1125"/>
      <c r="IB65" s="1124"/>
      <c r="IC65" s="1125"/>
      <c r="ID65" s="1124"/>
      <c r="IE65" s="1125"/>
      <c r="IF65" s="1124"/>
      <c r="IG65" s="1125"/>
      <c r="IH65" s="1124"/>
      <c r="II65" s="1125"/>
      <c r="IJ65" s="1124"/>
      <c r="IK65" s="1125"/>
      <c r="IL65" s="1124"/>
      <c r="IM65" s="1125"/>
      <c r="IN65" s="1124"/>
      <c r="IO65" s="1125"/>
      <c r="IP65" s="1124"/>
      <c r="IQ65" s="1125"/>
      <c r="IR65" s="1124"/>
      <c r="IS65" s="1125"/>
      <c r="IT65" s="1124"/>
      <c r="IU65" s="1125"/>
      <c r="IV65" s="1124"/>
      <c r="IW65" s="1125"/>
      <c r="IX65" s="1124"/>
      <c r="IY65" s="1125"/>
      <c r="IZ65" s="1124"/>
      <c r="JA65" s="1125"/>
      <c r="JB65" s="1124"/>
      <c r="JC65" s="1125"/>
      <c r="JD65" s="1124"/>
      <c r="JE65" s="1125"/>
      <c r="JF65" s="1124"/>
      <c r="JG65" s="1125"/>
      <c r="JH65" s="1124"/>
      <c r="JI65" s="1125"/>
      <c r="JJ65" s="1169"/>
      <c r="JK65" s="1167"/>
      <c r="JL65" s="1169"/>
      <c r="JM65" s="1167"/>
      <c r="JN65" s="1169"/>
      <c r="JO65" s="1167"/>
      <c r="JP65" s="1169"/>
      <c r="JQ65" s="1167"/>
      <c r="JR65" s="1169"/>
      <c r="JS65" s="1167"/>
      <c r="JT65" s="1169"/>
      <c r="JU65" s="1167"/>
      <c r="JV65" s="1169"/>
      <c r="JW65" s="1167"/>
      <c r="JX65" s="1169"/>
      <c r="JY65" s="1133"/>
      <c r="JZ65" s="1173">
        <v>5.602893519</v>
      </c>
      <c r="KA65" s="1120">
        <v>1.382E11</v>
      </c>
      <c r="KB65" s="1169"/>
      <c r="KC65" s="1133"/>
      <c r="KD65" s="1169"/>
      <c r="KE65" s="1133"/>
      <c r="KF65" s="1133"/>
      <c r="KG65" s="1133"/>
      <c r="KH65" s="1133"/>
      <c r="KI65" s="1133"/>
      <c r="KJ65" s="1133"/>
      <c r="KK65" s="1133"/>
      <c r="KL65" s="1133"/>
      <c r="KM65" s="1133"/>
      <c r="KN65" s="1133"/>
      <c r="KO65" s="1133"/>
      <c r="KP65" s="1133"/>
      <c r="KQ65" s="1133"/>
      <c r="KR65" s="1133"/>
      <c r="KS65" s="1133"/>
      <c r="KT65" s="1133"/>
      <c r="KU65" s="1133"/>
      <c r="KV65" s="1133"/>
      <c r="KW65" s="1133"/>
      <c r="KX65" s="1133"/>
      <c r="KY65" s="1133"/>
      <c r="KZ65" s="1133"/>
      <c r="LA65" s="1133"/>
      <c r="LB65" s="1133"/>
      <c r="LC65" s="1133"/>
      <c r="LD65" s="1133"/>
      <c r="LE65" s="1133"/>
      <c r="LF65" s="1133"/>
      <c r="LG65" s="1133"/>
      <c r="LH65" s="1133"/>
      <c r="LI65" s="1133"/>
      <c r="LJ65" s="1133"/>
      <c r="LK65" s="1133"/>
      <c r="LL65" s="1133"/>
      <c r="LM65" s="1133"/>
      <c r="LN65" s="1133"/>
      <c r="LO65" s="1133"/>
      <c r="LP65" s="1133"/>
      <c r="LQ65" s="1133"/>
      <c r="LR65" s="1133"/>
      <c r="LS65" s="1133"/>
      <c r="LT65" s="1133"/>
      <c r="LU65" s="1133"/>
      <c r="LV65" s="1133"/>
      <c r="LW65" s="1133"/>
      <c r="LX65" s="1133"/>
      <c r="LY65" s="1133"/>
      <c r="LZ65" s="1133"/>
      <c r="MA65" s="1133"/>
      <c r="MB65" s="1133"/>
      <c r="MC65" s="1133"/>
      <c r="MD65" s="1133"/>
      <c r="ME65" s="1133"/>
      <c r="MF65" s="1133"/>
      <c r="MG65" s="1133"/>
      <c r="MH65" s="1133"/>
      <c r="MI65" s="1133"/>
      <c r="MJ65" s="1133"/>
      <c r="MK65" s="1133"/>
      <c r="ML65" s="1133"/>
      <c r="MM65" s="1133"/>
      <c r="MN65" s="1133"/>
      <c r="MO65" s="1133"/>
      <c r="MP65" s="1133"/>
      <c r="MQ65" s="1133"/>
      <c r="MR65" s="1133"/>
      <c r="MS65" s="1133"/>
      <c r="MT65" s="1133"/>
      <c r="MU65" s="1133"/>
      <c r="MV65" s="1133"/>
      <c r="MW65" s="1133"/>
      <c r="MX65" s="1133"/>
      <c r="MY65" s="1133"/>
    </row>
    <row r="66">
      <c r="A66" s="1071">
        <v>64.0</v>
      </c>
      <c r="B66" s="1124"/>
      <c r="C66" s="1126"/>
      <c r="D66" s="1072">
        <v>17.084027777777777</v>
      </c>
      <c r="E66" s="1073">
        <v>1240000.0</v>
      </c>
      <c r="F66" s="1072">
        <v>17.084027777777777</v>
      </c>
      <c r="G66" s="1073">
        <v>1240000.0</v>
      </c>
      <c r="H66" s="1072">
        <v>17.084027777777777</v>
      </c>
      <c r="I66" s="1073">
        <v>1240000.0</v>
      </c>
      <c r="J66" s="1072">
        <v>17.084027777777777</v>
      </c>
      <c r="K66" s="1073">
        <v>1240000.0</v>
      </c>
      <c r="L66" s="1072">
        <v>31.7625</v>
      </c>
      <c r="M66" s="1075">
        <v>3990000.0</v>
      </c>
      <c r="N66" s="1076">
        <v>14.054166666666667</v>
      </c>
      <c r="O66" s="1073">
        <v>4920000.0</v>
      </c>
      <c r="P66" s="1124"/>
      <c r="Q66" s="1125"/>
      <c r="R66" s="1124"/>
      <c r="S66" s="1125"/>
      <c r="T66" s="1124"/>
      <c r="U66" s="1125"/>
      <c r="V66" s="1124"/>
      <c r="W66" s="1125"/>
      <c r="X66" s="1124"/>
      <c r="Y66" s="1125"/>
      <c r="Z66" s="1124"/>
      <c r="AA66" s="1125"/>
      <c r="AB66" s="1124"/>
      <c r="AC66" s="1125"/>
      <c r="AD66" s="1072">
        <v>69.11666666666666</v>
      </c>
      <c r="AE66" s="1080">
        <v>1.508103665E16</v>
      </c>
      <c r="AF66" s="1072">
        <v>69.11666666666666</v>
      </c>
      <c r="AG66" s="1080">
        <v>1.508103665E16</v>
      </c>
      <c r="AH66" s="1072">
        <v>69.11666666666666</v>
      </c>
      <c r="AI66" s="1080">
        <v>1.508103665E16</v>
      </c>
      <c r="AJ66" s="1081">
        <v>17.084027777777777</v>
      </c>
      <c r="AK66" s="1082">
        <v>1240000.0</v>
      </c>
      <c r="AL66" s="1081">
        <v>17.084027777777777</v>
      </c>
      <c r="AM66" s="1082">
        <v>1240000.0</v>
      </c>
      <c r="AN66" s="1081">
        <v>17.084027777777777</v>
      </c>
      <c r="AO66" s="1082">
        <v>1240000.0</v>
      </c>
      <c r="AP66" s="1081">
        <v>17.084027777777777</v>
      </c>
      <c r="AQ66" s="1082">
        <v>1240000.0</v>
      </c>
      <c r="AR66" s="1081">
        <v>17.084027777777777</v>
      </c>
      <c r="AS66" s="1082">
        <v>1240000.0</v>
      </c>
      <c r="AT66" s="1126"/>
      <c r="AU66" s="1125"/>
      <c r="AV66" s="1126"/>
      <c r="AW66" s="1125"/>
      <c r="AX66" s="1124"/>
      <c r="AY66" s="1175"/>
      <c r="AZ66" s="1124"/>
      <c r="BA66" s="1124"/>
      <c r="BB66" s="1083">
        <v>17.084027777777777</v>
      </c>
      <c r="BC66" s="1084">
        <v>1240000.0</v>
      </c>
      <c r="BD66" s="1083">
        <v>17.084027777777777</v>
      </c>
      <c r="BE66" s="1084">
        <v>1240000.0</v>
      </c>
      <c r="BF66" s="1083">
        <v>17.084027777777777</v>
      </c>
      <c r="BG66" s="1084">
        <v>1240000.0</v>
      </c>
      <c r="BH66" s="1124"/>
      <c r="BI66" s="1125"/>
      <c r="BJ66" s="1124"/>
      <c r="BK66" s="1125"/>
      <c r="BL66" s="1124"/>
      <c r="BM66" s="1125"/>
      <c r="BN66" s="1124"/>
      <c r="BO66" s="1125"/>
      <c r="BP66" s="1124"/>
      <c r="BQ66" s="1125"/>
      <c r="BR66" s="1126"/>
      <c r="BS66" s="1125"/>
      <c r="BT66" s="1126"/>
      <c r="BU66" s="1126"/>
      <c r="BV66" s="1126"/>
      <c r="BW66" s="1126"/>
      <c r="BX66" s="1126"/>
      <c r="BY66" s="1126"/>
      <c r="BZ66" s="1126"/>
      <c r="CA66" s="1126"/>
      <c r="CB66" s="1126"/>
      <c r="CC66" s="1125"/>
      <c r="CD66" s="1126"/>
      <c r="CE66" s="1126"/>
      <c r="CF66" s="1133"/>
      <c r="CG66" s="1167"/>
      <c r="CH66" s="1088">
        <v>17.084027777777777</v>
      </c>
      <c r="CI66" s="1089">
        <v>1240000.0</v>
      </c>
      <c r="CJ66" s="1088">
        <v>17.084027777777777</v>
      </c>
      <c r="CK66" s="1089">
        <v>1240000.0</v>
      </c>
      <c r="CL66" s="1088">
        <v>17.084027777777777</v>
      </c>
      <c r="CM66" s="1089">
        <v>1240000.0</v>
      </c>
      <c r="CN66" s="1088">
        <v>17.084027777777777</v>
      </c>
      <c r="CO66" s="1089">
        <v>1240000.0</v>
      </c>
      <c r="CP66" s="1088">
        <v>38.989583333333336</v>
      </c>
      <c r="CQ66" s="1089">
        <v>4920000.0</v>
      </c>
      <c r="CR66" s="1124"/>
      <c r="CS66" s="1125"/>
      <c r="CT66" s="1126"/>
      <c r="CU66" s="1125"/>
      <c r="CV66" s="1126"/>
      <c r="CW66" s="1125"/>
      <c r="CX66" s="1126"/>
      <c r="CY66" s="1125"/>
      <c r="CZ66" s="1126"/>
      <c r="DA66" s="1126"/>
      <c r="DB66" s="1126"/>
      <c r="DC66" s="1126"/>
      <c r="DD66" s="1126"/>
      <c r="DE66" s="1125"/>
      <c r="DF66" s="1124"/>
      <c r="DG66" s="1125"/>
      <c r="DH66" s="1124"/>
      <c r="DI66" s="1125"/>
      <c r="DJ66" s="1124"/>
      <c r="DK66" s="1125"/>
      <c r="DL66" s="1124"/>
      <c r="DM66" s="1125"/>
      <c r="DN66" s="1124"/>
      <c r="DO66" s="1125"/>
      <c r="DP66" s="1124"/>
      <c r="DQ66" s="1125"/>
      <c r="DR66" s="1124"/>
      <c r="DS66" s="1125"/>
      <c r="DT66" s="1124"/>
      <c r="DU66" s="1125"/>
      <c r="DV66" s="1126"/>
      <c r="DW66" s="1125"/>
      <c r="DX66" s="1124"/>
      <c r="DY66" s="1125"/>
      <c r="DZ66" s="1124"/>
      <c r="EA66" s="1125"/>
      <c r="EB66" s="1124"/>
      <c r="EC66" s="1125"/>
      <c r="ED66" s="1124"/>
      <c r="EE66" s="1125"/>
      <c r="EF66" s="1124"/>
      <c r="EG66" s="1125"/>
      <c r="EH66" s="1124"/>
      <c r="EI66" s="1125"/>
      <c r="EJ66" s="1169"/>
      <c r="EK66" s="1167"/>
      <c r="EL66" s="1169"/>
      <c r="EM66" s="1167"/>
      <c r="EN66" s="1124"/>
      <c r="EO66" s="1125"/>
      <c r="EP66" s="1124"/>
      <c r="EQ66" s="1125"/>
      <c r="ER66" s="1124"/>
      <c r="ES66" s="1125"/>
      <c r="ET66" s="1124"/>
      <c r="EU66" s="1125"/>
      <c r="EV66" s="1124"/>
      <c r="EW66" s="1125"/>
      <c r="EX66" s="1124"/>
      <c r="EY66" s="1125"/>
      <c r="EZ66" s="1124"/>
      <c r="FA66" s="1125"/>
      <c r="FB66" s="1126"/>
      <c r="FC66" s="1125"/>
      <c r="FD66" s="1126"/>
      <c r="FE66" s="1125"/>
      <c r="FF66" s="1126"/>
      <c r="FG66" s="1125"/>
      <c r="FH66" s="1126"/>
      <c r="FI66" s="1126"/>
      <c r="FJ66" s="1126"/>
      <c r="FK66" s="1125"/>
      <c r="FL66" s="1124"/>
      <c r="FM66" s="1125"/>
      <c r="FN66" s="1139"/>
      <c r="FO66" s="1126"/>
      <c r="FP66" s="1139"/>
      <c r="FQ66" s="1126"/>
      <c r="FR66" s="1139"/>
      <c r="FS66" s="1126"/>
      <c r="FT66" s="1139"/>
      <c r="FU66" s="1125"/>
      <c r="FV66" s="1139"/>
      <c r="FW66" s="1125"/>
      <c r="FX66" s="1179"/>
      <c r="FY66" s="1167"/>
      <c r="FZ66" s="1179"/>
      <c r="GA66" s="1167"/>
      <c r="GB66" s="1179"/>
      <c r="GC66" s="1167"/>
      <c r="GD66" s="1133"/>
      <c r="GE66" s="1167"/>
      <c r="GF66" s="1124"/>
      <c r="GG66" s="1125"/>
      <c r="GH66" s="1124"/>
      <c r="GI66" s="1125"/>
      <c r="GJ66" s="1124"/>
      <c r="GK66" s="1125"/>
      <c r="GL66" s="1124"/>
      <c r="GM66" s="1125"/>
      <c r="GN66" s="1126"/>
      <c r="GO66" s="1125"/>
      <c r="GP66" s="1126"/>
      <c r="GQ66" s="1125"/>
      <c r="GR66" s="1124"/>
      <c r="GS66" s="1125"/>
      <c r="GT66" s="1124"/>
      <c r="GU66" s="1125"/>
      <c r="GV66" s="1126"/>
      <c r="GW66" s="1125"/>
      <c r="GX66" s="1168"/>
      <c r="GY66" s="1133"/>
      <c r="GZ66" s="1124"/>
      <c r="HA66" s="1125"/>
      <c r="HB66" s="1107">
        <v>1616.7826388888889</v>
      </c>
      <c r="HC66" s="1108">
        <v>1.985E13</v>
      </c>
      <c r="HD66" s="1124"/>
      <c r="HE66" s="1125"/>
      <c r="HF66" s="1124"/>
      <c r="HG66" s="1125"/>
      <c r="HH66" s="1124"/>
      <c r="HI66" s="1125"/>
      <c r="HJ66" s="1124"/>
      <c r="HK66" s="1125"/>
      <c r="HL66" s="1124"/>
      <c r="HM66" s="1125"/>
      <c r="HN66" s="1126"/>
      <c r="HO66" s="1125"/>
      <c r="HP66" s="1124"/>
      <c r="HQ66" s="1125"/>
      <c r="HR66" s="1124"/>
      <c r="HS66" s="1125"/>
      <c r="HT66" s="1124"/>
      <c r="HU66" s="1125"/>
      <c r="HV66" s="1124"/>
      <c r="HW66" s="1125"/>
      <c r="HX66" s="1124"/>
      <c r="HY66" s="1125"/>
      <c r="HZ66" s="1124"/>
      <c r="IA66" s="1125"/>
      <c r="IB66" s="1124"/>
      <c r="IC66" s="1125"/>
      <c r="ID66" s="1124"/>
      <c r="IE66" s="1125"/>
      <c r="IF66" s="1124"/>
      <c r="IG66" s="1125"/>
      <c r="IH66" s="1124"/>
      <c r="II66" s="1125"/>
      <c r="IJ66" s="1124"/>
      <c r="IK66" s="1125"/>
      <c r="IL66" s="1124"/>
      <c r="IM66" s="1125"/>
      <c r="IN66" s="1124"/>
      <c r="IO66" s="1125"/>
      <c r="IP66" s="1124"/>
      <c r="IQ66" s="1125"/>
      <c r="IR66" s="1124"/>
      <c r="IS66" s="1125"/>
      <c r="IT66" s="1124"/>
      <c r="IU66" s="1125"/>
      <c r="IV66" s="1124"/>
      <c r="IW66" s="1125"/>
      <c r="IX66" s="1124"/>
      <c r="IY66" s="1125"/>
      <c r="IZ66" s="1124"/>
      <c r="JA66" s="1125"/>
      <c r="JB66" s="1124"/>
      <c r="JC66" s="1125"/>
      <c r="JD66" s="1124"/>
      <c r="JE66" s="1125"/>
      <c r="JF66" s="1124"/>
      <c r="JG66" s="1125"/>
      <c r="JH66" s="1124"/>
      <c r="JI66" s="1125"/>
      <c r="JJ66" s="1169"/>
      <c r="JK66" s="1167"/>
      <c r="JL66" s="1169"/>
      <c r="JM66" s="1167"/>
      <c r="JN66" s="1169"/>
      <c r="JO66" s="1167"/>
      <c r="JP66" s="1169"/>
      <c r="JQ66" s="1167"/>
      <c r="JR66" s="1169"/>
      <c r="JS66" s="1167"/>
      <c r="JT66" s="1169"/>
      <c r="JU66" s="1167"/>
      <c r="JV66" s="1169"/>
      <c r="JW66" s="1167"/>
      <c r="JX66" s="1169"/>
      <c r="JY66" s="1133"/>
      <c r="JZ66" s="1173">
        <v>5.70125</v>
      </c>
      <c r="KA66" s="1120">
        <v>1.443E11</v>
      </c>
      <c r="KB66" s="1169"/>
      <c r="KC66" s="1133"/>
      <c r="KD66" s="1169"/>
      <c r="KE66" s="1133"/>
      <c r="KF66" s="1133"/>
      <c r="KG66" s="1133"/>
      <c r="KH66" s="1133"/>
      <c r="KI66" s="1133"/>
      <c r="KJ66" s="1133"/>
      <c r="KK66" s="1133"/>
      <c r="KL66" s="1133"/>
      <c r="KM66" s="1133"/>
      <c r="KN66" s="1133"/>
      <c r="KO66" s="1133"/>
      <c r="KP66" s="1133"/>
      <c r="KQ66" s="1133"/>
      <c r="KR66" s="1133"/>
      <c r="KS66" s="1133"/>
      <c r="KT66" s="1133"/>
      <c r="KU66" s="1133"/>
      <c r="KV66" s="1133"/>
      <c r="KW66" s="1133"/>
      <c r="KX66" s="1133"/>
      <c r="KY66" s="1133"/>
      <c r="KZ66" s="1133"/>
      <c r="LA66" s="1133"/>
      <c r="LB66" s="1133"/>
      <c r="LC66" s="1133"/>
      <c r="LD66" s="1133"/>
      <c r="LE66" s="1133"/>
      <c r="LF66" s="1133"/>
      <c r="LG66" s="1133"/>
      <c r="LH66" s="1133"/>
      <c r="LI66" s="1133"/>
      <c r="LJ66" s="1133"/>
      <c r="LK66" s="1133"/>
      <c r="LL66" s="1133"/>
      <c r="LM66" s="1133"/>
      <c r="LN66" s="1133"/>
      <c r="LO66" s="1133"/>
      <c r="LP66" s="1133"/>
      <c r="LQ66" s="1133"/>
      <c r="LR66" s="1133"/>
      <c r="LS66" s="1133"/>
      <c r="LT66" s="1133"/>
      <c r="LU66" s="1133"/>
      <c r="LV66" s="1133"/>
      <c r="LW66" s="1133"/>
      <c r="LX66" s="1133"/>
      <c r="LY66" s="1133"/>
      <c r="LZ66" s="1133"/>
      <c r="MA66" s="1133"/>
      <c r="MB66" s="1133"/>
      <c r="MC66" s="1133"/>
      <c r="MD66" s="1133"/>
      <c r="ME66" s="1133"/>
      <c r="MF66" s="1133"/>
      <c r="MG66" s="1133"/>
      <c r="MH66" s="1133"/>
      <c r="MI66" s="1133"/>
      <c r="MJ66" s="1133"/>
      <c r="MK66" s="1133"/>
      <c r="ML66" s="1133"/>
      <c r="MM66" s="1133"/>
      <c r="MN66" s="1133"/>
      <c r="MO66" s="1133"/>
      <c r="MP66" s="1133"/>
      <c r="MQ66" s="1133"/>
      <c r="MR66" s="1133"/>
      <c r="MS66" s="1133"/>
      <c r="MT66" s="1133"/>
      <c r="MU66" s="1133"/>
      <c r="MV66" s="1133"/>
      <c r="MW66" s="1133"/>
      <c r="MX66" s="1133"/>
      <c r="MY66" s="1133"/>
    </row>
    <row r="67">
      <c r="A67" s="1071">
        <v>65.0</v>
      </c>
      <c r="B67" s="1124"/>
      <c r="C67" s="1126"/>
      <c r="D67" s="1072">
        <v>17.7375</v>
      </c>
      <c r="E67" s="1073">
        <v>1300000.0</v>
      </c>
      <c r="F67" s="1072">
        <v>17.7375</v>
      </c>
      <c r="G67" s="1073">
        <v>1300000.0</v>
      </c>
      <c r="H67" s="1072">
        <v>17.7375</v>
      </c>
      <c r="I67" s="1073">
        <v>1300000.0</v>
      </c>
      <c r="J67" s="1072">
        <v>17.7375</v>
      </c>
      <c r="K67" s="1073">
        <v>1300000.0</v>
      </c>
      <c r="L67" s="1072">
        <v>33.05486111111111</v>
      </c>
      <c r="M67" s="1075">
        <v>4180000.0</v>
      </c>
      <c r="N67" s="1076">
        <v>14.497916666666667</v>
      </c>
      <c r="O67" s="1073">
        <v>5170000.0</v>
      </c>
      <c r="P67" s="1124"/>
      <c r="Q67" s="1125"/>
      <c r="R67" s="1124"/>
      <c r="S67" s="1125"/>
      <c r="T67" s="1124"/>
      <c r="U67" s="1125"/>
      <c r="V67" s="1124"/>
      <c r="W67" s="1125"/>
      <c r="X67" s="1124"/>
      <c r="Y67" s="1125"/>
      <c r="Z67" s="1124"/>
      <c r="AA67" s="1125"/>
      <c r="AB67" s="1124"/>
      <c r="AC67" s="1125"/>
      <c r="AD67" s="1072">
        <v>70.19652777777777</v>
      </c>
      <c r="AE67" s="1080">
        <v>1.960534764E16</v>
      </c>
      <c r="AF67" s="1072">
        <v>70.19652777777777</v>
      </c>
      <c r="AG67" s="1080">
        <v>1.960534764E16</v>
      </c>
      <c r="AH67" s="1072">
        <v>70.19652777777777</v>
      </c>
      <c r="AI67" s="1080">
        <v>1.960534764E16</v>
      </c>
      <c r="AJ67" s="1081">
        <v>17.7375</v>
      </c>
      <c r="AK67" s="1082">
        <v>1300000.0</v>
      </c>
      <c r="AL67" s="1081">
        <v>17.7375</v>
      </c>
      <c r="AM67" s="1082">
        <v>1300000.0</v>
      </c>
      <c r="AN67" s="1081">
        <v>17.7375</v>
      </c>
      <c r="AO67" s="1082">
        <v>1300000.0</v>
      </c>
      <c r="AP67" s="1081">
        <v>17.7375</v>
      </c>
      <c r="AQ67" s="1082">
        <v>1300000.0</v>
      </c>
      <c r="AR67" s="1081">
        <v>17.7375</v>
      </c>
      <c r="AS67" s="1082">
        <v>1300000.0</v>
      </c>
      <c r="AT67" s="1126"/>
      <c r="AU67" s="1125"/>
      <c r="AV67" s="1126"/>
      <c r="AW67" s="1125"/>
      <c r="AX67" s="1124"/>
      <c r="AY67" s="1175"/>
      <c r="AZ67" s="1124"/>
      <c r="BA67" s="1124"/>
      <c r="BB67" s="1083">
        <v>17.7375</v>
      </c>
      <c r="BC67" s="1084">
        <v>1300000.0</v>
      </c>
      <c r="BD67" s="1083">
        <v>17.7375</v>
      </c>
      <c r="BE67" s="1084">
        <v>1300000.0</v>
      </c>
      <c r="BF67" s="1083">
        <v>17.7375</v>
      </c>
      <c r="BG67" s="1084">
        <v>1300000.0</v>
      </c>
      <c r="BH67" s="1124"/>
      <c r="BI67" s="1125"/>
      <c r="BJ67" s="1124"/>
      <c r="BK67" s="1125"/>
      <c r="BL67" s="1124"/>
      <c r="BM67" s="1125"/>
      <c r="BN67" s="1124"/>
      <c r="BO67" s="1125"/>
      <c r="BP67" s="1124"/>
      <c r="BQ67" s="1125"/>
      <c r="BR67" s="1126"/>
      <c r="BS67" s="1125"/>
      <c r="BT67" s="1126"/>
      <c r="BU67" s="1126"/>
      <c r="BV67" s="1126"/>
      <c r="BW67" s="1126"/>
      <c r="BX67" s="1126"/>
      <c r="BY67" s="1126"/>
      <c r="BZ67" s="1126"/>
      <c r="CA67" s="1126"/>
      <c r="CB67" s="1126"/>
      <c r="CC67" s="1125"/>
      <c r="CD67" s="1126"/>
      <c r="CE67" s="1126"/>
      <c r="CF67" s="1133"/>
      <c r="CG67" s="1167"/>
      <c r="CH67" s="1088">
        <v>17.7375</v>
      </c>
      <c r="CI67" s="1089">
        <v>1300000.0</v>
      </c>
      <c r="CJ67" s="1088">
        <v>17.7375</v>
      </c>
      <c r="CK67" s="1089">
        <v>1300000.0</v>
      </c>
      <c r="CL67" s="1088">
        <v>17.7375</v>
      </c>
      <c r="CM67" s="1089">
        <v>1300000.0</v>
      </c>
      <c r="CN67" s="1088">
        <v>17.7375</v>
      </c>
      <c r="CO67" s="1089">
        <v>1300000.0</v>
      </c>
      <c r="CP67" s="1088">
        <v>40.609722222222224</v>
      </c>
      <c r="CQ67" s="1089">
        <v>5170000.0</v>
      </c>
      <c r="CR67" s="1124"/>
      <c r="CS67" s="1125"/>
      <c r="CT67" s="1126"/>
      <c r="CU67" s="1125"/>
      <c r="CV67" s="1126"/>
      <c r="CW67" s="1125"/>
      <c r="CX67" s="1126"/>
      <c r="CY67" s="1125"/>
      <c r="CZ67" s="1126"/>
      <c r="DA67" s="1126"/>
      <c r="DB67" s="1126"/>
      <c r="DC67" s="1126"/>
      <c r="DD67" s="1126"/>
      <c r="DE67" s="1125"/>
      <c r="DF67" s="1124"/>
      <c r="DG67" s="1125"/>
      <c r="DH67" s="1124"/>
      <c r="DI67" s="1125"/>
      <c r="DJ67" s="1124"/>
      <c r="DK67" s="1125"/>
      <c r="DL67" s="1124"/>
      <c r="DM67" s="1125"/>
      <c r="DN67" s="1124"/>
      <c r="DO67" s="1125"/>
      <c r="DP67" s="1124"/>
      <c r="DQ67" s="1125"/>
      <c r="DR67" s="1124"/>
      <c r="DS67" s="1125"/>
      <c r="DT67" s="1124"/>
      <c r="DU67" s="1125"/>
      <c r="DV67" s="1126"/>
      <c r="DW67" s="1125"/>
      <c r="DX67" s="1124"/>
      <c r="DY67" s="1125"/>
      <c r="DZ67" s="1124"/>
      <c r="EA67" s="1125"/>
      <c r="EB67" s="1124"/>
      <c r="EC67" s="1125"/>
      <c r="ED67" s="1124"/>
      <c r="EE67" s="1125"/>
      <c r="EF67" s="1124"/>
      <c r="EG67" s="1125"/>
      <c r="EH67" s="1124"/>
      <c r="EI67" s="1125"/>
      <c r="EJ67" s="1169"/>
      <c r="EK67" s="1167"/>
      <c r="EL67" s="1169"/>
      <c r="EM67" s="1167"/>
      <c r="EN67" s="1124"/>
      <c r="EO67" s="1125"/>
      <c r="EP67" s="1124"/>
      <c r="EQ67" s="1125"/>
      <c r="ER67" s="1124"/>
      <c r="ES67" s="1125"/>
      <c r="ET67" s="1124"/>
      <c r="EU67" s="1125"/>
      <c r="EV67" s="1124"/>
      <c r="EW67" s="1125"/>
      <c r="EX67" s="1124"/>
      <c r="EY67" s="1125"/>
      <c r="EZ67" s="1124"/>
      <c r="FA67" s="1125"/>
      <c r="FB67" s="1126"/>
      <c r="FC67" s="1125"/>
      <c r="FD67" s="1126"/>
      <c r="FE67" s="1125"/>
      <c r="FF67" s="1126"/>
      <c r="FG67" s="1125"/>
      <c r="FH67" s="1126"/>
      <c r="FI67" s="1126"/>
      <c r="FJ67" s="1126"/>
      <c r="FK67" s="1125"/>
      <c r="FL67" s="1124"/>
      <c r="FM67" s="1125"/>
      <c r="FN67" s="1139"/>
      <c r="FO67" s="1126"/>
      <c r="FP67" s="1139"/>
      <c r="FQ67" s="1126"/>
      <c r="FR67" s="1139"/>
      <c r="FS67" s="1126"/>
      <c r="FT67" s="1139"/>
      <c r="FU67" s="1125"/>
      <c r="FV67" s="1139"/>
      <c r="FW67" s="1125"/>
      <c r="FX67" s="1179"/>
      <c r="FY67" s="1167"/>
      <c r="FZ67" s="1179"/>
      <c r="GA67" s="1167"/>
      <c r="GB67" s="1179"/>
      <c r="GC67" s="1167"/>
      <c r="GD67" s="1133"/>
      <c r="GE67" s="1167"/>
      <c r="GF67" s="1124"/>
      <c r="GG67" s="1125"/>
      <c r="GH67" s="1124"/>
      <c r="GI67" s="1125"/>
      <c r="GJ67" s="1124"/>
      <c r="GK67" s="1125"/>
      <c r="GL67" s="1124"/>
      <c r="GM67" s="1125"/>
      <c r="GN67" s="1126"/>
      <c r="GO67" s="1125"/>
      <c r="GP67" s="1126"/>
      <c r="GQ67" s="1125"/>
      <c r="GR67" s="1124"/>
      <c r="GS67" s="1125"/>
      <c r="GT67" s="1124"/>
      <c r="GU67" s="1125"/>
      <c r="GV67" s="1126"/>
      <c r="GW67" s="1125"/>
      <c r="GX67" s="1168"/>
      <c r="GY67" s="1133"/>
      <c r="GZ67" s="1124"/>
      <c r="HA67" s="1125"/>
      <c r="HB67" s="1107">
        <v>1708.0395833333334</v>
      </c>
      <c r="HC67" s="1108">
        <v>2.147E13</v>
      </c>
      <c r="HD67" s="1124"/>
      <c r="HE67" s="1125"/>
      <c r="HF67" s="1124"/>
      <c r="HG67" s="1125"/>
      <c r="HH67" s="1124"/>
      <c r="HI67" s="1125"/>
      <c r="HJ67" s="1124"/>
      <c r="HK67" s="1125"/>
      <c r="HL67" s="1124"/>
      <c r="HM67" s="1125"/>
      <c r="HN67" s="1126"/>
      <c r="HO67" s="1125"/>
      <c r="HP67" s="1124"/>
      <c r="HQ67" s="1125"/>
      <c r="HR67" s="1124"/>
      <c r="HS67" s="1125"/>
      <c r="HT67" s="1124"/>
      <c r="HU67" s="1125"/>
      <c r="HV67" s="1124"/>
      <c r="HW67" s="1125"/>
      <c r="HX67" s="1124"/>
      <c r="HY67" s="1125"/>
      <c r="HZ67" s="1124"/>
      <c r="IA67" s="1125"/>
      <c r="IB67" s="1124"/>
      <c r="IC67" s="1125"/>
      <c r="ID67" s="1124"/>
      <c r="IE67" s="1125"/>
      <c r="IF67" s="1124"/>
      <c r="IG67" s="1125"/>
      <c r="IH67" s="1124"/>
      <c r="II67" s="1125"/>
      <c r="IJ67" s="1124"/>
      <c r="IK67" s="1125"/>
      <c r="IL67" s="1124"/>
      <c r="IM67" s="1125"/>
      <c r="IN67" s="1124"/>
      <c r="IO67" s="1125"/>
      <c r="IP67" s="1124"/>
      <c r="IQ67" s="1125"/>
      <c r="IR67" s="1124"/>
      <c r="IS67" s="1125"/>
      <c r="IT67" s="1124"/>
      <c r="IU67" s="1125"/>
      <c r="IV67" s="1124"/>
      <c r="IW67" s="1125"/>
      <c r="IX67" s="1124"/>
      <c r="IY67" s="1125"/>
      <c r="IZ67" s="1124"/>
      <c r="JA67" s="1125"/>
      <c r="JB67" s="1124"/>
      <c r="JC67" s="1125"/>
      <c r="JD67" s="1124"/>
      <c r="JE67" s="1125"/>
      <c r="JF67" s="1124"/>
      <c r="JG67" s="1125"/>
      <c r="JH67" s="1124"/>
      <c r="JI67" s="1125"/>
      <c r="JJ67" s="1169"/>
      <c r="JK67" s="1167"/>
      <c r="JL67" s="1169"/>
      <c r="JM67" s="1167"/>
      <c r="JN67" s="1169"/>
      <c r="JO67" s="1167"/>
      <c r="JP67" s="1169"/>
      <c r="JQ67" s="1167"/>
      <c r="JR67" s="1169"/>
      <c r="JS67" s="1167"/>
      <c r="JT67" s="1169"/>
      <c r="JU67" s="1167"/>
      <c r="JV67" s="1169"/>
      <c r="JW67" s="1167"/>
      <c r="JX67" s="1169"/>
      <c r="JY67" s="1133"/>
      <c r="JZ67" s="1173">
        <v>5.800520833</v>
      </c>
      <c r="KA67" s="1120">
        <v>1.5056E11</v>
      </c>
      <c r="KB67" s="1169"/>
      <c r="KC67" s="1133"/>
      <c r="KD67" s="1169"/>
      <c r="KE67" s="1133"/>
      <c r="KF67" s="1133"/>
      <c r="KG67" s="1133"/>
      <c r="KH67" s="1133"/>
      <c r="KI67" s="1133"/>
      <c r="KJ67" s="1133"/>
      <c r="KK67" s="1133"/>
      <c r="KL67" s="1133"/>
      <c r="KM67" s="1133"/>
      <c r="KN67" s="1133"/>
      <c r="KO67" s="1133"/>
      <c r="KP67" s="1133"/>
      <c r="KQ67" s="1133"/>
      <c r="KR67" s="1133"/>
      <c r="KS67" s="1133"/>
      <c r="KT67" s="1133"/>
      <c r="KU67" s="1133"/>
      <c r="KV67" s="1133"/>
      <c r="KW67" s="1133"/>
      <c r="KX67" s="1133"/>
      <c r="KY67" s="1133"/>
      <c r="KZ67" s="1133"/>
      <c r="LA67" s="1133"/>
      <c r="LB67" s="1133"/>
      <c r="LC67" s="1133"/>
      <c r="LD67" s="1133"/>
      <c r="LE67" s="1133"/>
      <c r="LF67" s="1133"/>
      <c r="LG67" s="1133"/>
      <c r="LH67" s="1133"/>
      <c r="LI67" s="1133"/>
      <c r="LJ67" s="1133"/>
      <c r="LK67" s="1133"/>
      <c r="LL67" s="1133"/>
      <c r="LM67" s="1133"/>
      <c r="LN67" s="1133"/>
      <c r="LO67" s="1133"/>
      <c r="LP67" s="1133"/>
      <c r="LQ67" s="1133"/>
      <c r="LR67" s="1133"/>
      <c r="LS67" s="1133"/>
      <c r="LT67" s="1133"/>
      <c r="LU67" s="1133"/>
      <c r="LV67" s="1133"/>
      <c r="LW67" s="1133"/>
      <c r="LX67" s="1133"/>
      <c r="LY67" s="1133"/>
      <c r="LZ67" s="1133"/>
      <c r="MA67" s="1133"/>
      <c r="MB67" s="1133"/>
      <c r="MC67" s="1133"/>
      <c r="MD67" s="1133"/>
      <c r="ME67" s="1133"/>
      <c r="MF67" s="1133"/>
      <c r="MG67" s="1133"/>
      <c r="MH67" s="1133"/>
      <c r="MI67" s="1133"/>
      <c r="MJ67" s="1133"/>
      <c r="MK67" s="1133"/>
      <c r="ML67" s="1133"/>
      <c r="MM67" s="1133"/>
      <c r="MN67" s="1133"/>
      <c r="MO67" s="1133"/>
      <c r="MP67" s="1133"/>
      <c r="MQ67" s="1133"/>
      <c r="MR67" s="1133"/>
      <c r="MS67" s="1133"/>
      <c r="MT67" s="1133"/>
      <c r="MU67" s="1133"/>
      <c r="MV67" s="1133"/>
      <c r="MW67" s="1133"/>
      <c r="MX67" s="1133"/>
      <c r="MY67" s="1133"/>
    </row>
    <row r="68">
      <c r="A68" s="1071">
        <v>66.0</v>
      </c>
      <c r="B68" s="1124"/>
      <c r="C68" s="1126"/>
      <c r="D68" s="1072">
        <v>18.40486111111111</v>
      </c>
      <c r="E68" s="1073">
        <v>1360000.0</v>
      </c>
      <c r="F68" s="1072">
        <v>18.40486111111111</v>
      </c>
      <c r="G68" s="1073">
        <v>1360000.0</v>
      </c>
      <c r="H68" s="1072">
        <v>18.40486111111111</v>
      </c>
      <c r="I68" s="1073">
        <v>1360000.0</v>
      </c>
      <c r="J68" s="1072">
        <v>18.40486111111111</v>
      </c>
      <c r="K68" s="1073">
        <v>1360000.0</v>
      </c>
      <c r="L68" s="1072">
        <v>34.37847222222222</v>
      </c>
      <c r="M68" s="1075">
        <v>4360000.0</v>
      </c>
      <c r="N68" s="1076">
        <v>14.947222222222223</v>
      </c>
      <c r="O68" s="1073">
        <v>5420000.0</v>
      </c>
      <c r="P68" s="1124"/>
      <c r="Q68" s="1125"/>
      <c r="R68" s="1124"/>
      <c r="S68" s="1125"/>
      <c r="T68" s="1124"/>
      <c r="U68" s="1125"/>
      <c r="V68" s="1124"/>
      <c r="W68" s="1125"/>
      <c r="X68" s="1124"/>
      <c r="Y68" s="1125"/>
      <c r="Z68" s="1124"/>
      <c r="AA68" s="1125"/>
      <c r="AB68" s="1124"/>
      <c r="AC68" s="1125"/>
      <c r="AD68" s="1072">
        <v>71.27638888888889</v>
      </c>
      <c r="AE68" s="1080">
        <v>2.548695194E16</v>
      </c>
      <c r="AF68" s="1072">
        <v>71.27638888888889</v>
      </c>
      <c r="AG68" s="1080">
        <v>2.548695194E16</v>
      </c>
      <c r="AH68" s="1072">
        <v>71.27638888888889</v>
      </c>
      <c r="AI68" s="1080">
        <v>2.548695194E16</v>
      </c>
      <c r="AJ68" s="1081">
        <v>18.40486111111111</v>
      </c>
      <c r="AK68" s="1082">
        <v>1360000.0</v>
      </c>
      <c r="AL68" s="1081">
        <v>18.40486111111111</v>
      </c>
      <c r="AM68" s="1082">
        <v>1360000.0</v>
      </c>
      <c r="AN68" s="1081">
        <v>18.40486111111111</v>
      </c>
      <c r="AO68" s="1082">
        <v>1360000.0</v>
      </c>
      <c r="AP68" s="1081">
        <v>18.40486111111111</v>
      </c>
      <c r="AQ68" s="1082">
        <v>1360000.0</v>
      </c>
      <c r="AR68" s="1081">
        <v>18.40486111111111</v>
      </c>
      <c r="AS68" s="1082">
        <v>1360000.0</v>
      </c>
      <c r="AT68" s="1126"/>
      <c r="AU68" s="1125"/>
      <c r="AV68" s="1126"/>
      <c r="AW68" s="1125"/>
      <c r="AX68" s="1124"/>
      <c r="AY68" s="1175"/>
      <c r="AZ68" s="1124"/>
      <c r="BA68" s="1124"/>
      <c r="BB68" s="1083">
        <v>18.40486111111111</v>
      </c>
      <c r="BC68" s="1084">
        <v>1360000.0</v>
      </c>
      <c r="BD68" s="1083">
        <v>18.40486111111111</v>
      </c>
      <c r="BE68" s="1084">
        <v>1360000.0</v>
      </c>
      <c r="BF68" s="1083">
        <v>18.40486111111111</v>
      </c>
      <c r="BG68" s="1084">
        <v>1360000.0</v>
      </c>
      <c r="BH68" s="1124"/>
      <c r="BI68" s="1125"/>
      <c r="BJ68" s="1124"/>
      <c r="BK68" s="1125"/>
      <c r="BL68" s="1124"/>
      <c r="BM68" s="1125"/>
      <c r="BN68" s="1124"/>
      <c r="BO68" s="1125"/>
      <c r="BP68" s="1124"/>
      <c r="BQ68" s="1125"/>
      <c r="BR68" s="1126"/>
      <c r="BS68" s="1125"/>
      <c r="BT68" s="1126"/>
      <c r="BU68" s="1126"/>
      <c r="BV68" s="1126"/>
      <c r="BW68" s="1126"/>
      <c r="BX68" s="1126"/>
      <c r="BY68" s="1126"/>
      <c r="BZ68" s="1126"/>
      <c r="CA68" s="1126"/>
      <c r="CB68" s="1126"/>
      <c r="CC68" s="1125"/>
      <c r="CD68" s="1126"/>
      <c r="CE68" s="1126"/>
      <c r="CF68" s="1133"/>
      <c r="CG68" s="1167"/>
      <c r="CH68" s="1088">
        <v>18.40486111111111</v>
      </c>
      <c r="CI68" s="1089">
        <v>1360000.0</v>
      </c>
      <c r="CJ68" s="1088">
        <v>18.40486111111111</v>
      </c>
      <c r="CK68" s="1089">
        <v>1360000.0</v>
      </c>
      <c r="CL68" s="1088">
        <v>18.40486111111111</v>
      </c>
      <c r="CM68" s="1089">
        <v>1360000.0</v>
      </c>
      <c r="CN68" s="1088">
        <v>18.40486111111111</v>
      </c>
      <c r="CO68" s="1089">
        <v>1360000.0</v>
      </c>
      <c r="CP68" s="1088">
        <v>42.270833333333336</v>
      </c>
      <c r="CQ68" s="1089">
        <v>5420000.0</v>
      </c>
      <c r="CR68" s="1124"/>
      <c r="CS68" s="1125"/>
      <c r="CT68" s="1126"/>
      <c r="CU68" s="1125"/>
      <c r="CV68" s="1126"/>
      <c r="CW68" s="1125"/>
      <c r="CX68" s="1126"/>
      <c r="CY68" s="1125"/>
      <c r="CZ68" s="1126"/>
      <c r="DA68" s="1126"/>
      <c r="DB68" s="1126"/>
      <c r="DC68" s="1126"/>
      <c r="DD68" s="1126"/>
      <c r="DE68" s="1125"/>
      <c r="DF68" s="1124"/>
      <c r="DG68" s="1125"/>
      <c r="DH68" s="1124"/>
      <c r="DI68" s="1125"/>
      <c r="DJ68" s="1124"/>
      <c r="DK68" s="1125"/>
      <c r="DL68" s="1124"/>
      <c r="DM68" s="1125"/>
      <c r="DN68" s="1124"/>
      <c r="DO68" s="1125"/>
      <c r="DP68" s="1124"/>
      <c r="DQ68" s="1125"/>
      <c r="DR68" s="1124"/>
      <c r="DS68" s="1125"/>
      <c r="DT68" s="1124"/>
      <c r="DU68" s="1125"/>
      <c r="DV68" s="1126"/>
      <c r="DW68" s="1125"/>
      <c r="DX68" s="1124"/>
      <c r="DY68" s="1125"/>
      <c r="DZ68" s="1124"/>
      <c r="EA68" s="1125"/>
      <c r="EB68" s="1124"/>
      <c r="EC68" s="1125"/>
      <c r="ED68" s="1124"/>
      <c r="EE68" s="1125"/>
      <c r="EF68" s="1124"/>
      <c r="EG68" s="1125"/>
      <c r="EH68" s="1124"/>
      <c r="EI68" s="1125"/>
      <c r="EJ68" s="1169"/>
      <c r="EK68" s="1167"/>
      <c r="EL68" s="1169"/>
      <c r="EM68" s="1167"/>
      <c r="EN68" s="1124"/>
      <c r="EO68" s="1125"/>
      <c r="EP68" s="1124"/>
      <c r="EQ68" s="1125"/>
      <c r="ER68" s="1124"/>
      <c r="ES68" s="1125"/>
      <c r="ET68" s="1124"/>
      <c r="EU68" s="1125"/>
      <c r="EV68" s="1124"/>
      <c r="EW68" s="1125"/>
      <c r="EX68" s="1124"/>
      <c r="EY68" s="1125"/>
      <c r="EZ68" s="1124"/>
      <c r="FA68" s="1125"/>
      <c r="FB68" s="1126"/>
      <c r="FC68" s="1125"/>
      <c r="FD68" s="1126"/>
      <c r="FE68" s="1125"/>
      <c r="FF68" s="1126"/>
      <c r="FG68" s="1125"/>
      <c r="FH68" s="1126"/>
      <c r="FI68" s="1126"/>
      <c r="FJ68" s="1126"/>
      <c r="FK68" s="1125"/>
      <c r="FL68" s="1124"/>
      <c r="FM68" s="1125"/>
      <c r="FN68" s="1139"/>
      <c r="FO68" s="1126"/>
      <c r="FP68" s="1139"/>
      <c r="FQ68" s="1126"/>
      <c r="FR68" s="1139"/>
      <c r="FS68" s="1126"/>
      <c r="FT68" s="1139"/>
      <c r="FU68" s="1125"/>
      <c r="FV68" s="1139"/>
      <c r="FW68" s="1125"/>
      <c r="FX68" s="1179"/>
      <c r="FY68" s="1167"/>
      <c r="FZ68" s="1179"/>
      <c r="GA68" s="1167"/>
      <c r="GB68" s="1179"/>
      <c r="GC68" s="1167"/>
      <c r="GD68" s="1133"/>
      <c r="GE68" s="1167"/>
      <c r="GF68" s="1124"/>
      <c r="GG68" s="1125"/>
      <c r="GH68" s="1124"/>
      <c r="GI68" s="1125"/>
      <c r="GJ68" s="1124"/>
      <c r="GK68" s="1125"/>
      <c r="GL68" s="1124"/>
      <c r="GM68" s="1125"/>
      <c r="GN68" s="1126"/>
      <c r="GO68" s="1125"/>
      <c r="GP68" s="1126"/>
      <c r="GQ68" s="1125"/>
      <c r="GR68" s="1124"/>
      <c r="GS68" s="1125"/>
      <c r="GT68" s="1124"/>
      <c r="GU68" s="1125"/>
      <c r="GV68" s="1126"/>
      <c r="GW68" s="1125"/>
      <c r="GX68" s="1168"/>
      <c r="GY68" s="1133"/>
      <c r="GZ68" s="1124"/>
      <c r="HA68" s="1125"/>
      <c r="HB68" s="1107">
        <v>1802.9256944444444</v>
      </c>
      <c r="HC68" s="1108">
        <v>2.321E13</v>
      </c>
      <c r="HD68" s="1124"/>
      <c r="HE68" s="1125"/>
      <c r="HF68" s="1124"/>
      <c r="HG68" s="1125"/>
      <c r="HH68" s="1124"/>
      <c r="HI68" s="1125"/>
      <c r="HJ68" s="1124"/>
      <c r="HK68" s="1125"/>
      <c r="HL68" s="1124"/>
      <c r="HM68" s="1125"/>
      <c r="HN68" s="1126"/>
      <c r="HO68" s="1125"/>
      <c r="HP68" s="1124"/>
      <c r="HQ68" s="1125"/>
      <c r="HR68" s="1124"/>
      <c r="HS68" s="1125"/>
      <c r="HT68" s="1124"/>
      <c r="HU68" s="1125"/>
      <c r="HV68" s="1124"/>
      <c r="HW68" s="1125"/>
      <c r="HX68" s="1124"/>
      <c r="HY68" s="1125"/>
      <c r="HZ68" s="1124"/>
      <c r="IA68" s="1125"/>
      <c r="IB68" s="1124"/>
      <c r="IC68" s="1125"/>
      <c r="ID68" s="1124"/>
      <c r="IE68" s="1125"/>
      <c r="IF68" s="1124"/>
      <c r="IG68" s="1125"/>
      <c r="IH68" s="1124"/>
      <c r="II68" s="1125"/>
      <c r="IJ68" s="1124"/>
      <c r="IK68" s="1125"/>
      <c r="IL68" s="1124"/>
      <c r="IM68" s="1125"/>
      <c r="IN68" s="1124"/>
      <c r="IO68" s="1125"/>
      <c r="IP68" s="1124"/>
      <c r="IQ68" s="1125"/>
      <c r="IR68" s="1124"/>
      <c r="IS68" s="1125"/>
      <c r="IT68" s="1124"/>
      <c r="IU68" s="1125"/>
      <c r="IV68" s="1124"/>
      <c r="IW68" s="1125"/>
      <c r="IX68" s="1124"/>
      <c r="IY68" s="1125"/>
      <c r="IZ68" s="1124"/>
      <c r="JA68" s="1125"/>
      <c r="JB68" s="1124"/>
      <c r="JC68" s="1125"/>
      <c r="JD68" s="1124"/>
      <c r="JE68" s="1125"/>
      <c r="JF68" s="1124"/>
      <c r="JG68" s="1125"/>
      <c r="JH68" s="1124"/>
      <c r="JI68" s="1125"/>
      <c r="JJ68" s="1169"/>
      <c r="JK68" s="1167"/>
      <c r="JL68" s="1169"/>
      <c r="JM68" s="1167"/>
      <c r="JN68" s="1169"/>
      <c r="JO68" s="1167"/>
      <c r="JP68" s="1169"/>
      <c r="JQ68" s="1167"/>
      <c r="JR68" s="1169"/>
      <c r="JS68" s="1167"/>
      <c r="JT68" s="1169"/>
      <c r="JU68" s="1167"/>
      <c r="JV68" s="1169"/>
      <c r="JW68" s="1167"/>
      <c r="JX68" s="1169"/>
      <c r="JY68" s="1133"/>
      <c r="JZ68" s="1173">
        <v>5.90068287</v>
      </c>
      <c r="KA68" s="1120">
        <v>1.57E11</v>
      </c>
      <c r="KB68" s="1169"/>
      <c r="KC68" s="1133"/>
      <c r="KD68" s="1169"/>
      <c r="KE68" s="1133"/>
      <c r="KF68" s="1133"/>
      <c r="KG68" s="1133"/>
      <c r="KH68" s="1133"/>
      <c r="KI68" s="1133"/>
      <c r="KJ68" s="1133"/>
      <c r="KK68" s="1133"/>
      <c r="KL68" s="1133"/>
      <c r="KM68" s="1133"/>
      <c r="KN68" s="1133"/>
      <c r="KO68" s="1133"/>
      <c r="KP68" s="1133"/>
      <c r="KQ68" s="1133"/>
      <c r="KR68" s="1133"/>
      <c r="KS68" s="1133"/>
      <c r="KT68" s="1133"/>
      <c r="KU68" s="1133"/>
      <c r="KV68" s="1133"/>
      <c r="KW68" s="1133"/>
      <c r="KX68" s="1133"/>
      <c r="KY68" s="1133"/>
      <c r="KZ68" s="1133"/>
      <c r="LA68" s="1133"/>
      <c r="LB68" s="1133"/>
      <c r="LC68" s="1133"/>
      <c r="LD68" s="1133"/>
      <c r="LE68" s="1133"/>
      <c r="LF68" s="1133"/>
      <c r="LG68" s="1133"/>
      <c r="LH68" s="1133"/>
      <c r="LI68" s="1133"/>
      <c r="LJ68" s="1133"/>
      <c r="LK68" s="1133"/>
      <c r="LL68" s="1133"/>
      <c r="LM68" s="1133"/>
      <c r="LN68" s="1133"/>
      <c r="LO68" s="1133"/>
      <c r="LP68" s="1133"/>
      <c r="LQ68" s="1133"/>
      <c r="LR68" s="1133"/>
      <c r="LS68" s="1133"/>
      <c r="LT68" s="1133"/>
      <c r="LU68" s="1133"/>
      <c r="LV68" s="1133"/>
      <c r="LW68" s="1133"/>
      <c r="LX68" s="1133"/>
      <c r="LY68" s="1133"/>
      <c r="LZ68" s="1133"/>
      <c r="MA68" s="1133"/>
      <c r="MB68" s="1133"/>
      <c r="MC68" s="1133"/>
      <c r="MD68" s="1133"/>
      <c r="ME68" s="1133"/>
      <c r="MF68" s="1133"/>
      <c r="MG68" s="1133"/>
      <c r="MH68" s="1133"/>
      <c r="MI68" s="1133"/>
      <c r="MJ68" s="1133"/>
      <c r="MK68" s="1133"/>
      <c r="ML68" s="1133"/>
      <c r="MM68" s="1133"/>
      <c r="MN68" s="1133"/>
      <c r="MO68" s="1133"/>
      <c r="MP68" s="1133"/>
      <c r="MQ68" s="1133"/>
      <c r="MR68" s="1133"/>
      <c r="MS68" s="1133"/>
      <c r="MT68" s="1133"/>
      <c r="MU68" s="1133"/>
      <c r="MV68" s="1133"/>
      <c r="MW68" s="1133"/>
      <c r="MX68" s="1133"/>
      <c r="MY68" s="1133"/>
    </row>
    <row r="69">
      <c r="A69" s="1071">
        <v>67.0</v>
      </c>
      <c r="B69" s="1124"/>
      <c r="C69" s="1126"/>
      <c r="D69" s="1072">
        <v>19.086805555555557</v>
      </c>
      <c r="E69" s="1073">
        <v>1410000.0</v>
      </c>
      <c r="F69" s="1072">
        <v>19.086805555555557</v>
      </c>
      <c r="G69" s="1073">
        <v>1410000.0</v>
      </c>
      <c r="H69" s="1072">
        <v>19.086805555555557</v>
      </c>
      <c r="I69" s="1073">
        <v>1410000.0</v>
      </c>
      <c r="J69" s="1072">
        <v>19.086805555555557</v>
      </c>
      <c r="K69" s="1073">
        <v>1410000.0</v>
      </c>
      <c r="L69" s="1072">
        <v>35.734722222222224</v>
      </c>
      <c r="M69" s="1075">
        <v>4560000.0</v>
      </c>
      <c r="N69" s="1076">
        <v>15.402777777777779</v>
      </c>
      <c r="O69" s="1073">
        <v>5680000.0</v>
      </c>
      <c r="P69" s="1124"/>
      <c r="Q69" s="1125"/>
      <c r="R69" s="1124"/>
      <c r="S69" s="1125"/>
      <c r="T69" s="1124"/>
      <c r="U69" s="1125"/>
      <c r="V69" s="1124"/>
      <c r="W69" s="1125"/>
      <c r="X69" s="1124"/>
      <c r="Y69" s="1125"/>
      <c r="Z69" s="1124"/>
      <c r="AA69" s="1125"/>
      <c r="AB69" s="1124"/>
      <c r="AC69" s="1125"/>
      <c r="AD69" s="1072">
        <v>72.35625</v>
      </c>
      <c r="AE69" s="1080">
        <v>3.313303752E16</v>
      </c>
      <c r="AF69" s="1072">
        <v>72.35625</v>
      </c>
      <c r="AG69" s="1080">
        <v>3.313303752E16</v>
      </c>
      <c r="AH69" s="1072">
        <v>72.35625</v>
      </c>
      <c r="AI69" s="1080">
        <v>3.313303752E16</v>
      </c>
      <c r="AJ69" s="1081">
        <v>19.086805555555557</v>
      </c>
      <c r="AK69" s="1082">
        <v>1410000.0</v>
      </c>
      <c r="AL69" s="1081">
        <v>19.086805555555557</v>
      </c>
      <c r="AM69" s="1082">
        <v>1410000.0</v>
      </c>
      <c r="AN69" s="1081">
        <v>19.086805555555557</v>
      </c>
      <c r="AO69" s="1082">
        <v>1410000.0</v>
      </c>
      <c r="AP69" s="1081">
        <v>19.086805555555557</v>
      </c>
      <c r="AQ69" s="1082">
        <v>1410000.0</v>
      </c>
      <c r="AR69" s="1081">
        <v>19.086805555555557</v>
      </c>
      <c r="AS69" s="1082">
        <v>1410000.0</v>
      </c>
      <c r="AT69" s="1126"/>
      <c r="AU69" s="1125"/>
      <c r="AV69" s="1126"/>
      <c r="AW69" s="1125"/>
      <c r="AX69" s="1124"/>
      <c r="AY69" s="1175"/>
      <c r="AZ69" s="1124"/>
      <c r="BA69" s="1124"/>
      <c r="BB69" s="1083">
        <v>19.086805555555557</v>
      </c>
      <c r="BC69" s="1084">
        <v>1410000.0</v>
      </c>
      <c r="BD69" s="1083">
        <v>19.086805555555557</v>
      </c>
      <c r="BE69" s="1084">
        <v>1410000.0</v>
      </c>
      <c r="BF69" s="1083">
        <v>19.086805555555557</v>
      </c>
      <c r="BG69" s="1084">
        <v>1410000.0</v>
      </c>
      <c r="BH69" s="1124"/>
      <c r="BI69" s="1125"/>
      <c r="BJ69" s="1124"/>
      <c r="BK69" s="1125"/>
      <c r="BL69" s="1124"/>
      <c r="BM69" s="1125"/>
      <c r="BN69" s="1124"/>
      <c r="BO69" s="1125"/>
      <c r="BP69" s="1124"/>
      <c r="BQ69" s="1125"/>
      <c r="BR69" s="1126"/>
      <c r="BS69" s="1125"/>
      <c r="BT69" s="1126"/>
      <c r="BU69" s="1126"/>
      <c r="BV69" s="1126"/>
      <c r="BW69" s="1126"/>
      <c r="BX69" s="1126"/>
      <c r="BY69" s="1126"/>
      <c r="BZ69" s="1126"/>
      <c r="CA69" s="1126"/>
      <c r="CB69" s="1126"/>
      <c r="CC69" s="1125"/>
      <c r="CD69" s="1126"/>
      <c r="CE69" s="1126"/>
      <c r="CF69" s="1133"/>
      <c r="CG69" s="1167"/>
      <c r="CH69" s="1088">
        <v>19.086805555555557</v>
      </c>
      <c r="CI69" s="1089">
        <v>1410000.0</v>
      </c>
      <c r="CJ69" s="1088">
        <v>19.086805555555557</v>
      </c>
      <c r="CK69" s="1089">
        <v>1410000.0</v>
      </c>
      <c r="CL69" s="1088">
        <v>19.086805555555557</v>
      </c>
      <c r="CM69" s="1089">
        <v>1410000.0</v>
      </c>
      <c r="CN69" s="1088">
        <v>19.086805555555557</v>
      </c>
      <c r="CO69" s="1089">
        <v>1410000.0</v>
      </c>
      <c r="CP69" s="1088">
        <v>43.97291666666667</v>
      </c>
      <c r="CQ69" s="1089">
        <v>5680000.0</v>
      </c>
      <c r="CR69" s="1124"/>
      <c r="CS69" s="1125"/>
      <c r="CT69" s="1126"/>
      <c r="CU69" s="1125"/>
      <c r="CV69" s="1126"/>
      <c r="CW69" s="1125"/>
      <c r="CX69" s="1126"/>
      <c r="CY69" s="1125"/>
      <c r="CZ69" s="1126"/>
      <c r="DA69" s="1126"/>
      <c r="DB69" s="1126"/>
      <c r="DC69" s="1126"/>
      <c r="DD69" s="1126"/>
      <c r="DE69" s="1125"/>
      <c r="DF69" s="1124"/>
      <c r="DG69" s="1125"/>
      <c r="DH69" s="1124"/>
      <c r="DI69" s="1125"/>
      <c r="DJ69" s="1124"/>
      <c r="DK69" s="1125"/>
      <c r="DL69" s="1124"/>
      <c r="DM69" s="1125"/>
      <c r="DN69" s="1124"/>
      <c r="DO69" s="1125"/>
      <c r="DP69" s="1124"/>
      <c r="DQ69" s="1125"/>
      <c r="DR69" s="1124"/>
      <c r="DS69" s="1125"/>
      <c r="DT69" s="1124"/>
      <c r="DU69" s="1125"/>
      <c r="DV69" s="1126"/>
      <c r="DW69" s="1125"/>
      <c r="DX69" s="1124"/>
      <c r="DY69" s="1125"/>
      <c r="DZ69" s="1124"/>
      <c r="EA69" s="1125"/>
      <c r="EB69" s="1124"/>
      <c r="EC69" s="1125"/>
      <c r="ED69" s="1124"/>
      <c r="EE69" s="1125"/>
      <c r="EF69" s="1124"/>
      <c r="EG69" s="1125"/>
      <c r="EH69" s="1124"/>
      <c r="EI69" s="1125"/>
      <c r="EJ69" s="1169"/>
      <c r="EK69" s="1167"/>
      <c r="EL69" s="1169"/>
      <c r="EM69" s="1167"/>
      <c r="EN69" s="1124"/>
      <c r="EO69" s="1125"/>
      <c r="EP69" s="1124"/>
      <c r="EQ69" s="1125"/>
      <c r="ER69" s="1124"/>
      <c r="ES69" s="1125"/>
      <c r="ET69" s="1124"/>
      <c r="EU69" s="1125"/>
      <c r="EV69" s="1124"/>
      <c r="EW69" s="1125"/>
      <c r="EX69" s="1124"/>
      <c r="EY69" s="1125"/>
      <c r="EZ69" s="1124"/>
      <c r="FA69" s="1125"/>
      <c r="FB69" s="1126"/>
      <c r="FC69" s="1125"/>
      <c r="FD69" s="1126"/>
      <c r="FE69" s="1125"/>
      <c r="FF69" s="1126"/>
      <c r="FG69" s="1125"/>
      <c r="FH69" s="1126"/>
      <c r="FI69" s="1126"/>
      <c r="FJ69" s="1126"/>
      <c r="FK69" s="1125"/>
      <c r="FL69" s="1124"/>
      <c r="FM69" s="1125"/>
      <c r="FN69" s="1139"/>
      <c r="FO69" s="1126"/>
      <c r="FP69" s="1139"/>
      <c r="FQ69" s="1126"/>
      <c r="FR69" s="1139"/>
      <c r="FS69" s="1126"/>
      <c r="FT69" s="1139"/>
      <c r="FU69" s="1125"/>
      <c r="FV69" s="1139"/>
      <c r="FW69" s="1125"/>
      <c r="FX69" s="1179"/>
      <c r="FY69" s="1167"/>
      <c r="FZ69" s="1179"/>
      <c r="GA69" s="1167"/>
      <c r="GB69" s="1179"/>
      <c r="GC69" s="1167"/>
      <c r="GD69" s="1133"/>
      <c r="GE69" s="1167"/>
      <c r="GF69" s="1124"/>
      <c r="GG69" s="1125"/>
      <c r="GH69" s="1124"/>
      <c r="GI69" s="1125"/>
      <c r="GJ69" s="1124"/>
      <c r="GK69" s="1125"/>
      <c r="GL69" s="1124"/>
      <c r="GM69" s="1125"/>
      <c r="GN69" s="1126"/>
      <c r="GO69" s="1125"/>
      <c r="GP69" s="1126"/>
      <c r="GQ69" s="1125"/>
      <c r="GR69" s="1124"/>
      <c r="GS69" s="1125"/>
      <c r="GT69" s="1124"/>
      <c r="GU69" s="1125"/>
      <c r="GV69" s="1126"/>
      <c r="GW69" s="1125"/>
      <c r="GX69" s="1168"/>
      <c r="GY69" s="1133"/>
      <c r="GZ69" s="1124"/>
      <c r="HA69" s="1125"/>
      <c r="HB69" s="1107">
        <v>1901.5270833333334</v>
      </c>
      <c r="HC69" s="1108">
        <v>2.505E13</v>
      </c>
      <c r="HD69" s="1124"/>
      <c r="HE69" s="1125"/>
      <c r="HF69" s="1124"/>
      <c r="HG69" s="1125"/>
      <c r="HH69" s="1124"/>
      <c r="HI69" s="1125"/>
      <c r="HJ69" s="1124"/>
      <c r="HK69" s="1125"/>
      <c r="HL69" s="1124"/>
      <c r="HM69" s="1125"/>
      <c r="HN69" s="1126"/>
      <c r="HO69" s="1125"/>
      <c r="HP69" s="1124"/>
      <c r="HQ69" s="1125"/>
      <c r="HR69" s="1124"/>
      <c r="HS69" s="1125"/>
      <c r="HT69" s="1124"/>
      <c r="HU69" s="1125"/>
      <c r="HV69" s="1124"/>
      <c r="HW69" s="1125"/>
      <c r="HX69" s="1124"/>
      <c r="HY69" s="1125"/>
      <c r="HZ69" s="1124"/>
      <c r="IA69" s="1125"/>
      <c r="IB69" s="1124"/>
      <c r="IC69" s="1125"/>
      <c r="ID69" s="1124"/>
      <c r="IE69" s="1125"/>
      <c r="IF69" s="1124"/>
      <c r="IG69" s="1125"/>
      <c r="IH69" s="1124"/>
      <c r="II69" s="1125"/>
      <c r="IJ69" s="1124"/>
      <c r="IK69" s="1125"/>
      <c r="IL69" s="1124"/>
      <c r="IM69" s="1125"/>
      <c r="IN69" s="1124"/>
      <c r="IO69" s="1125"/>
      <c r="IP69" s="1124"/>
      <c r="IQ69" s="1125"/>
      <c r="IR69" s="1124"/>
      <c r="IS69" s="1125"/>
      <c r="IT69" s="1124"/>
      <c r="IU69" s="1125"/>
      <c r="IV69" s="1124"/>
      <c r="IW69" s="1125"/>
      <c r="IX69" s="1124"/>
      <c r="IY69" s="1125"/>
      <c r="IZ69" s="1124"/>
      <c r="JA69" s="1125"/>
      <c r="JB69" s="1124"/>
      <c r="JC69" s="1125"/>
      <c r="JD69" s="1124"/>
      <c r="JE69" s="1125"/>
      <c r="JF69" s="1124"/>
      <c r="JG69" s="1125"/>
      <c r="JH69" s="1124"/>
      <c r="JI69" s="1125"/>
      <c r="JJ69" s="1169"/>
      <c r="JK69" s="1167"/>
      <c r="JL69" s="1169"/>
      <c r="JM69" s="1167"/>
      <c r="JN69" s="1169"/>
      <c r="JO69" s="1167"/>
      <c r="JP69" s="1169"/>
      <c r="JQ69" s="1167"/>
      <c r="JR69" s="1169"/>
      <c r="JS69" s="1167"/>
      <c r="JT69" s="1169"/>
      <c r="JU69" s="1167"/>
      <c r="JV69" s="1169"/>
      <c r="JW69" s="1167"/>
      <c r="JX69" s="1169"/>
      <c r="JY69" s="1133"/>
      <c r="JZ69" s="1173">
        <v>6.001770833</v>
      </c>
      <c r="KA69" s="1120">
        <v>1.6361E11</v>
      </c>
      <c r="KB69" s="1169"/>
      <c r="KC69" s="1133"/>
      <c r="KD69" s="1169"/>
      <c r="KE69" s="1133"/>
      <c r="KF69" s="1133"/>
      <c r="KG69" s="1133"/>
      <c r="KH69" s="1133"/>
      <c r="KI69" s="1133"/>
      <c r="KJ69" s="1133"/>
      <c r="KK69" s="1133"/>
      <c r="KL69" s="1133"/>
      <c r="KM69" s="1133"/>
      <c r="KN69" s="1133"/>
      <c r="KO69" s="1133"/>
      <c r="KP69" s="1133"/>
      <c r="KQ69" s="1133"/>
      <c r="KR69" s="1133"/>
      <c r="KS69" s="1133"/>
      <c r="KT69" s="1133"/>
      <c r="KU69" s="1133"/>
      <c r="KV69" s="1133"/>
      <c r="KW69" s="1133"/>
      <c r="KX69" s="1133"/>
      <c r="KY69" s="1133"/>
      <c r="KZ69" s="1133"/>
      <c r="LA69" s="1133"/>
      <c r="LB69" s="1133"/>
      <c r="LC69" s="1133"/>
      <c r="LD69" s="1133"/>
      <c r="LE69" s="1133"/>
      <c r="LF69" s="1133"/>
      <c r="LG69" s="1133"/>
      <c r="LH69" s="1133"/>
      <c r="LI69" s="1133"/>
      <c r="LJ69" s="1133"/>
      <c r="LK69" s="1133"/>
      <c r="LL69" s="1133"/>
      <c r="LM69" s="1133"/>
      <c r="LN69" s="1133"/>
      <c r="LO69" s="1133"/>
      <c r="LP69" s="1133"/>
      <c r="LQ69" s="1133"/>
      <c r="LR69" s="1133"/>
      <c r="LS69" s="1133"/>
      <c r="LT69" s="1133"/>
      <c r="LU69" s="1133"/>
      <c r="LV69" s="1133"/>
      <c r="LW69" s="1133"/>
      <c r="LX69" s="1133"/>
      <c r="LY69" s="1133"/>
      <c r="LZ69" s="1133"/>
      <c r="MA69" s="1133"/>
      <c r="MB69" s="1133"/>
      <c r="MC69" s="1133"/>
      <c r="MD69" s="1133"/>
      <c r="ME69" s="1133"/>
      <c r="MF69" s="1133"/>
      <c r="MG69" s="1133"/>
      <c r="MH69" s="1133"/>
      <c r="MI69" s="1133"/>
      <c r="MJ69" s="1133"/>
      <c r="MK69" s="1133"/>
      <c r="ML69" s="1133"/>
      <c r="MM69" s="1133"/>
      <c r="MN69" s="1133"/>
      <c r="MO69" s="1133"/>
      <c r="MP69" s="1133"/>
      <c r="MQ69" s="1133"/>
      <c r="MR69" s="1133"/>
      <c r="MS69" s="1133"/>
      <c r="MT69" s="1133"/>
      <c r="MU69" s="1133"/>
      <c r="MV69" s="1133"/>
      <c r="MW69" s="1133"/>
      <c r="MX69" s="1133"/>
      <c r="MY69" s="1133"/>
    </row>
    <row r="70">
      <c r="A70" s="1071">
        <v>68.0</v>
      </c>
      <c r="B70" s="1124"/>
      <c r="C70" s="1126"/>
      <c r="D70" s="1072">
        <v>19.783333333333335</v>
      </c>
      <c r="E70" s="1073">
        <v>1470000.0</v>
      </c>
      <c r="F70" s="1072">
        <v>19.783333333333335</v>
      </c>
      <c r="G70" s="1073">
        <v>1470000.0</v>
      </c>
      <c r="H70" s="1072">
        <v>19.783333333333335</v>
      </c>
      <c r="I70" s="1073">
        <v>1470000.0</v>
      </c>
      <c r="J70" s="1072">
        <v>19.783333333333335</v>
      </c>
      <c r="K70" s="1073">
        <v>1470000.0</v>
      </c>
      <c r="L70" s="1072">
        <v>37.12222222222222</v>
      </c>
      <c r="M70" s="1075">
        <v>4760000.0</v>
      </c>
      <c r="N70" s="1076">
        <v>15.863888888888889</v>
      </c>
      <c r="O70" s="1073">
        <v>5960000.0</v>
      </c>
      <c r="P70" s="1124"/>
      <c r="Q70" s="1125"/>
      <c r="R70" s="1124"/>
      <c r="S70" s="1125"/>
      <c r="T70" s="1124"/>
      <c r="U70" s="1125"/>
      <c r="V70" s="1124"/>
      <c r="W70" s="1125"/>
      <c r="X70" s="1124"/>
      <c r="Y70" s="1125"/>
      <c r="Z70" s="1124"/>
      <c r="AA70" s="1125"/>
      <c r="AB70" s="1124"/>
      <c r="AC70" s="1125"/>
      <c r="AD70" s="1072">
        <v>73.43611111111112</v>
      </c>
      <c r="AE70" s="1080">
        <v>4.307294877E16</v>
      </c>
      <c r="AF70" s="1072">
        <v>73.43611111111112</v>
      </c>
      <c r="AG70" s="1080">
        <v>4.307294877E16</v>
      </c>
      <c r="AH70" s="1072">
        <v>73.43611111111112</v>
      </c>
      <c r="AI70" s="1080">
        <v>4.307294877E16</v>
      </c>
      <c r="AJ70" s="1081">
        <v>19.783333333333335</v>
      </c>
      <c r="AK70" s="1082">
        <v>1470000.0</v>
      </c>
      <c r="AL70" s="1081">
        <v>19.783333333333335</v>
      </c>
      <c r="AM70" s="1082">
        <v>1470000.0</v>
      </c>
      <c r="AN70" s="1081">
        <v>19.783333333333335</v>
      </c>
      <c r="AO70" s="1082">
        <v>1470000.0</v>
      </c>
      <c r="AP70" s="1081">
        <v>19.783333333333335</v>
      </c>
      <c r="AQ70" s="1082">
        <v>1470000.0</v>
      </c>
      <c r="AR70" s="1081">
        <v>19.783333333333335</v>
      </c>
      <c r="AS70" s="1082">
        <v>1470000.0</v>
      </c>
      <c r="AT70" s="1126"/>
      <c r="AU70" s="1125"/>
      <c r="AV70" s="1126"/>
      <c r="AW70" s="1125"/>
      <c r="AX70" s="1124"/>
      <c r="AY70" s="1175"/>
      <c r="AZ70" s="1124"/>
      <c r="BA70" s="1124"/>
      <c r="BB70" s="1083">
        <v>19.783333333333335</v>
      </c>
      <c r="BC70" s="1084">
        <v>1470000.0</v>
      </c>
      <c r="BD70" s="1083">
        <v>19.783333333333335</v>
      </c>
      <c r="BE70" s="1084">
        <v>1470000.0</v>
      </c>
      <c r="BF70" s="1083">
        <v>19.783333333333335</v>
      </c>
      <c r="BG70" s="1084">
        <v>1470000.0</v>
      </c>
      <c r="BH70" s="1124"/>
      <c r="BI70" s="1125"/>
      <c r="BJ70" s="1124"/>
      <c r="BK70" s="1125"/>
      <c r="BL70" s="1124"/>
      <c r="BM70" s="1125"/>
      <c r="BN70" s="1124"/>
      <c r="BO70" s="1125"/>
      <c r="BP70" s="1124"/>
      <c r="BQ70" s="1125"/>
      <c r="BR70" s="1126"/>
      <c r="BS70" s="1125"/>
      <c r="BT70" s="1126"/>
      <c r="BU70" s="1126"/>
      <c r="BV70" s="1126"/>
      <c r="BW70" s="1126"/>
      <c r="BX70" s="1126"/>
      <c r="BY70" s="1126"/>
      <c r="BZ70" s="1126"/>
      <c r="CA70" s="1126"/>
      <c r="CB70" s="1126"/>
      <c r="CC70" s="1125"/>
      <c r="CD70" s="1126"/>
      <c r="CE70" s="1126"/>
      <c r="CF70" s="1133"/>
      <c r="CG70" s="1167"/>
      <c r="CH70" s="1088">
        <v>19.783333333333335</v>
      </c>
      <c r="CI70" s="1089">
        <v>1470000.0</v>
      </c>
      <c r="CJ70" s="1088">
        <v>19.783333333333335</v>
      </c>
      <c r="CK70" s="1089">
        <v>1470000.0</v>
      </c>
      <c r="CL70" s="1088">
        <v>19.783333333333335</v>
      </c>
      <c r="CM70" s="1089">
        <v>1470000.0</v>
      </c>
      <c r="CN70" s="1088">
        <v>19.783333333333335</v>
      </c>
      <c r="CO70" s="1089">
        <v>1470000.0</v>
      </c>
      <c r="CP70" s="1088">
        <v>45.71666666666667</v>
      </c>
      <c r="CQ70" s="1089">
        <v>5960000.0</v>
      </c>
      <c r="CR70" s="1124"/>
      <c r="CS70" s="1125"/>
      <c r="CT70" s="1126"/>
      <c r="CU70" s="1125"/>
      <c r="CV70" s="1126"/>
      <c r="CW70" s="1125"/>
      <c r="CX70" s="1126"/>
      <c r="CY70" s="1125"/>
      <c r="CZ70" s="1126"/>
      <c r="DA70" s="1126"/>
      <c r="DB70" s="1126"/>
      <c r="DC70" s="1126"/>
      <c r="DD70" s="1126"/>
      <c r="DE70" s="1125"/>
      <c r="DF70" s="1124"/>
      <c r="DG70" s="1125"/>
      <c r="DH70" s="1124"/>
      <c r="DI70" s="1125"/>
      <c r="DJ70" s="1124"/>
      <c r="DK70" s="1125"/>
      <c r="DL70" s="1124"/>
      <c r="DM70" s="1125"/>
      <c r="DN70" s="1124"/>
      <c r="DO70" s="1125"/>
      <c r="DP70" s="1124"/>
      <c r="DQ70" s="1125"/>
      <c r="DR70" s="1124"/>
      <c r="DS70" s="1125"/>
      <c r="DT70" s="1124"/>
      <c r="DU70" s="1125"/>
      <c r="DV70" s="1126"/>
      <c r="DW70" s="1125"/>
      <c r="DX70" s="1124"/>
      <c r="DY70" s="1125"/>
      <c r="DZ70" s="1124"/>
      <c r="EA70" s="1125"/>
      <c r="EB70" s="1124"/>
      <c r="EC70" s="1125"/>
      <c r="ED70" s="1124"/>
      <c r="EE70" s="1125"/>
      <c r="EF70" s="1124"/>
      <c r="EG70" s="1125"/>
      <c r="EH70" s="1124"/>
      <c r="EI70" s="1125"/>
      <c r="EJ70" s="1169"/>
      <c r="EK70" s="1167"/>
      <c r="EL70" s="1169"/>
      <c r="EM70" s="1167"/>
      <c r="EN70" s="1124"/>
      <c r="EO70" s="1125"/>
      <c r="EP70" s="1124"/>
      <c r="EQ70" s="1125"/>
      <c r="ER70" s="1124"/>
      <c r="ES70" s="1125"/>
      <c r="ET70" s="1124"/>
      <c r="EU70" s="1125"/>
      <c r="EV70" s="1124"/>
      <c r="EW70" s="1125"/>
      <c r="EX70" s="1124"/>
      <c r="EY70" s="1125"/>
      <c r="EZ70" s="1124"/>
      <c r="FA70" s="1125"/>
      <c r="FB70" s="1126"/>
      <c r="FC70" s="1125"/>
      <c r="FD70" s="1126"/>
      <c r="FE70" s="1125"/>
      <c r="FF70" s="1126"/>
      <c r="FG70" s="1125"/>
      <c r="FH70" s="1126"/>
      <c r="FI70" s="1126"/>
      <c r="FJ70" s="1126"/>
      <c r="FK70" s="1125"/>
      <c r="FL70" s="1124"/>
      <c r="FM70" s="1125"/>
      <c r="FN70" s="1139"/>
      <c r="FO70" s="1126"/>
      <c r="FP70" s="1139"/>
      <c r="FQ70" s="1126"/>
      <c r="FR70" s="1139"/>
      <c r="FS70" s="1126"/>
      <c r="FT70" s="1139"/>
      <c r="FU70" s="1125"/>
      <c r="FV70" s="1139"/>
      <c r="FW70" s="1125"/>
      <c r="FX70" s="1179"/>
      <c r="FY70" s="1167"/>
      <c r="FZ70" s="1179"/>
      <c r="GA70" s="1167"/>
      <c r="GB70" s="1179"/>
      <c r="GC70" s="1167"/>
      <c r="GD70" s="1133"/>
      <c r="GE70" s="1167"/>
      <c r="GF70" s="1124"/>
      <c r="GG70" s="1125"/>
      <c r="GH70" s="1124"/>
      <c r="GI70" s="1125"/>
      <c r="GJ70" s="1124"/>
      <c r="GK70" s="1125"/>
      <c r="GL70" s="1124"/>
      <c r="GM70" s="1125"/>
      <c r="GN70" s="1126"/>
      <c r="GO70" s="1125"/>
      <c r="GP70" s="1126"/>
      <c r="GQ70" s="1125"/>
      <c r="GR70" s="1124"/>
      <c r="GS70" s="1125"/>
      <c r="GT70" s="1124"/>
      <c r="GU70" s="1125"/>
      <c r="GV70" s="1126"/>
      <c r="GW70" s="1125"/>
      <c r="GX70" s="1168"/>
      <c r="GY70" s="1133"/>
      <c r="GZ70" s="1124"/>
      <c r="HA70" s="1125"/>
      <c r="HB70" s="1107">
        <v>2003.9166666666667</v>
      </c>
      <c r="HC70" s="1108">
        <v>2.7E13</v>
      </c>
      <c r="HD70" s="1124"/>
      <c r="HE70" s="1125"/>
      <c r="HF70" s="1124"/>
      <c r="HG70" s="1125"/>
      <c r="HH70" s="1124"/>
      <c r="HI70" s="1125"/>
      <c r="HJ70" s="1124"/>
      <c r="HK70" s="1125"/>
      <c r="HL70" s="1124"/>
      <c r="HM70" s="1125"/>
      <c r="HN70" s="1126"/>
      <c r="HO70" s="1125"/>
      <c r="HP70" s="1124"/>
      <c r="HQ70" s="1125"/>
      <c r="HR70" s="1124"/>
      <c r="HS70" s="1125"/>
      <c r="HT70" s="1124"/>
      <c r="HU70" s="1125"/>
      <c r="HV70" s="1124"/>
      <c r="HW70" s="1125"/>
      <c r="HX70" s="1124"/>
      <c r="HY70" s="1125"/>
      <c r="HZ70" s="1124"/>
      <c r="IA70" s="1125"/>
      <c r="IB70" s="1124"/>
      <c r="IC70" s="1125"/>
      <c r="ID70" s="1124"/>
      <c r="IE70" s="1125"/>
      <c r="IF70" s="1124"/>
      <c r="IG70" s="1125"/>
      <c r="IH70" s="1124"/>
      <c r="II70" s="1125"/>
      <c r="IJ70" s="1124"/>
      <c r="IK70" s="1125"/>
      <c r="IL70" s="1124"/>
      <c r="IM70" s="1125"/>
      <c r="IN70" s="1124"/>
      <c r="IO70" s="1125"/>
      <c r="IP70" s="1124"/>
      <c r="IQ70" s="1125"/>
      <c r="IR70" s="1124"/>
      <c r="IS70" s="1125"/>
      <c r="IT70" s="1124"/>
      <c r="IU70" s="1125"/>
      <c r="IV70" s="1124"/>
      <c r="IW70" s="1125"/>
      <c r="IX70" s="1124"/>
      <c r="IY70" s="1125"/>
      <c r="IZ70" s="1124"/>
      <c r="JA70" s="1125"/>
      <c r="JB70" s="1124"/>
      <c r="JC70" s="1125"/>
      <c r="JD70" s="1124"/>
      <c r="JE70" s="1125"/>
      <c r="JF70" s="1124"/>
      <c r="JG70" s="1125"/>
      <c r="JH70" s="1124"/>
      <c r="JI70" s="1125"/>
      <c r="JJ70" s="1169"/>
      <c r="JK70" s="1167"/>
      <c r="JL70" s="1169"/>
      <c r="JM70" s="1167"/>
      <c r="JN70" s="1169"/>
      <c r="JO70" s="1167"/>
      <c r="JP70" s="1169"/>
      <c r="JQ70" s="1167"/>
      <c r="JR70" s="1169"/>
      <c r="JS70" s="1167"/>
      <c r="JT70" s="1169"/>
      <c r="JU70" s="1167"/>
      <c r="JV70" s="1169"/>
      <c r="JW70" s="1167"/>
      <c r="JX70" s="1169"/>
      <c r="JY70" s="1133"/>
      <c r="JZ70" s="1173">
        <v>6.103773148</v>
      </c>
      <c r="KA70" s="1120">
        <v>1.7039E11</v>
      </c>
      <c r="KB70" s="1169"/>
      <c r="KC70" s="1133"/>
      <c r="KD70" s="1169"/>
      <c r="KE70" s="1133"/>
      <c r="KF70" s="1133"/>
      <c r="KG70" s="1133"/>
      <c r="KH70" s="1133"/>
      <c r="KI70" s="1133"/>
      <c r="KJ70" s="1133"/>
      <c r="KK70" s="1133"/>
      <c r="KL70" s="1133"/>
      <c r="KM70" s="1133"/>
      <c r="KN70" s="1133"/>
      <c r="KO70" s="1133"/>
      <c r="KP70" s="1133"/>
      <c r="KQ70" s="1133"/>
      <c r="KR70" s="1133"/>
      <c r="KS70" s="1133"/>
      <c r="KT70" s="1133"/>
      <c r="KU70" s="1133"/>
      <c r="KV70" s="1133"/>
      <c r="KW70" s="1133"/>
      <c r="KX70" s="1133"/>
      <c r="KY70" s="1133"/>
      <c r="KZ70" s="1133"/>
      <c r="LA70" s="1133"/>
      <c r="LB70" s="1133"/>
      <c r="LC70" s="1133"/>
      <c r="LD70" s="1133"/>
      <c r="LE70" s="1133"/>
      <c r="LF70" s="1133"/>
      <c r="LG70" s="1133"/>
      <c r="LH70" s="1133"/>
      <c r="LI70" s="1133"/>
      <c r="LJ70" s="1133"/>
      <c r="LK70" s="1133"/>
      <c r="LL70" s="1133"/>
      <c r="LM70" s="1133"/>
      <c r="LN70" s="1133"/>
      <c r="LO70" s="1133"/>
      <c r="LP70" s="1133"/>
      <c r="LQ70" s="1133"/>
      <c r="LR70" s="1133"/>
      <c r="LS70" s="1133"/>
      <c r="LT70" s="1133"/>
      <c r="LU70" s="1133"/>
      <c r="LV70" s="1133"/>
      <c r="LW70" s="1133"/>
      <c r="LX70" s="1133"/>
      <c r="LY70" s="1133"/>
      <c r="LZ70" s="1133"/>
      <c r="MA70" s="1133"/>
      <c r="MB70" s="1133"/>
      <c r="MC70" s="1133"/>
      <c r="MD70" s="1133"/>
      <c r="ME70" s="1133"/>
      <c r="MF70" s="1133"/>
      <c r="MG70" s="1133"/>
      <c r="MH70" s="1133"/>
      <c r="MI70" s="1133"/>
      <c r="MJ70" s="1133"/>
      <c r="MK70" s="1133"/>
      <c r="ML70" s="1133"/>
      <c r="MM70" s="1133"/>
      <c r="MN70" s="1133"/>
      <c r="MO70" s="1133"/>
      <c r="MP70" s="1133"/>
      <c r="MQ70" s="1133"/>
      <c r="MR70" s="1133"/>
      <c r="MS70" s="1133"/>
      <c r="MT70" s="1133"/>
      <c r="MU70" s="1133"/>
      <c r="MV70" s="1133"/>
      <c r="MW70" s="1133"/>
      <c r="MX70" s="1133"/>
      <c r="MY70" s="1133"/>
    </row>
    <row r="71">
      <c r="A71" s="1071">
        <v>69.0</v>
      </c>
      <c r="B71" s="1124"/>
      <c r="C71" s="1126"/>
      <c r="D71" s="1072">
        <v>20.494444444444444</v>
      </c>
      <c r="E71" s="1073">
        <v>1530000.0</v>
      </c>
      <c r="F71" s="1072">
        <v>20.494444444444444</v>
      </c>
      <c r="G71" s="1073">
        <v>1530000.0</v>
      </c>
      <c r="H71" s="1072">
        <v>20.494444444444444</v>
      </c>
      <c r="I71" s="1073">
        <v>1530000.0</v>
      </c>
      <c r="J71" s="1072">
        <v>20.494444444444444</v>
      </c>
      <c r="K71" s="1073">
        <v>1530000.0</v>
      </c>
      <c r="L71" s="1072">
        <v>38.54236111111111</v>
      </c>
      <c r="M71" s="1075">
        <v>4960000.0</v>
      </c>
      <c r="N71" s="1076">
        <v>16.33125</v>
      </c>
      <c r="O71" s="1073">
        <v>6240000.0</v>
      </c>
      <c r="P71" s="1124"/>
      <c r="Q71" s="1125"/>
      <c r="R71" s="1124"/>
      <c r="S71" s="1125"/>
      <c r="T71" s="1124"/>
      <c r="U71" s="1125"/>
      <c r="V71" s="1124"/>
      <c r="W71" s="1125"/>
      <c r="X71" s="1124"/>
      <c r="Y71" s="1125"/>
      <c r="Z71" s="1124"/>
      <c r="AA71" s="1125"/>
      <c r="AB71" s="1124"/>
      <c r="AC71" s="1125"/>
      <c r="AD71" s="1072">
        <v>74.51666666666667</v>
      </c>
      <c r="AE71" s="1080">
        <v>5.59948334E16</v>
      </c>
      <c r="AF71" s="1072">
        <v>74.51666666666667</v>
      </c>
      <c r="AG71" s="1080">
        <v>5.59948334E16</v>
      </c>
      <c r="AH71" s="1072">
        <v>74.51666666666667</v>
      </c>
      <c r="AI71" s="1080">
        <v>5.59948334E16</v>
      </c>
      <c r="AJ71" s="1081">
        <v>20.494444444444444</v>
      </c>
      <c r="AK71" s="1082">
        <v>1530000.0</v>
      </c>
      <c r="AL71" s="1081">
        <v>20.494444444444444</v>
      </c>
      <c r="AM71" s="1082">
        <v>1530000.0</v>
      </c>
      <c r="AN71" s="1081">
        <v>20.494444444444444</v>
      </c>
      <c r="AO71" s="1082">
        <v>1530000.0</v>
      </c>
      <c r="AP71" s="1081">
        <v>20.494444444444444</v>
      </c>
      <c r="AQ71" s="1082">
        <v>1530000.0</v>
      </c>
      <c r="AR71" s="1081">
        <v>20.494444444444444</v>
      </c>
      <c r="AS71" s="1082">
        <v>1530000.0</v>
      </c>
      <c r="AT71" s="1126"/>
      <c r="AU71" s="1125"/>
      <c r="AV71" s="1126"/>
      <c r="AW71" s="1125"/>
      <c r="AX71" s="1124"/>
      <c r="AY71" s="1175"/>
      <c r="AZ71" s="1124"/>
      <c r="BA71" s="1124"/>
      <c r="BB71" s="1083">
        <v>20.494444444444444</v>
      </c>
      <c r="BC71" s="1084">
        <v>1530000.0</v>
      </c>
      <c r="BD71" s="1083">
        <v>20.494444444444444</v>
      </c>
      <c r="BE71" s="1084">
        <v>1530000.0</v>
      </c>
      <c r="BF71" s="1083">
        <v>20.494444444444444</v>
      </c>
      <c r="BG71" s="1084">
        <v>1530000.0</v>
      </c>
      <c r="BH71" s="1124"/>
      <c r="BI71" s="1125"/>
      <c r="BJ71" s="1124"/>
      <c r="BK71" s="1125"/>
      <c r="BL71" s="1124"/>
      <c r="BM71" s="1125"/>
      <c r="BN71" s="1124"/>
      <c r="BO71" s="1125"/>
      <c r="BP71" s="1124"/>
      <c r="BQ71" s="1125"/>
      <c r="BR71" s="1126"/>
      <c r="BS71" s="1125"/>
      <c r="BT71" s="1126"/>
      <c r="BU71" s="1126"/>
      <c r="BV71" s="1126"/>
      <c r="BW71" s="1126"/>
      <c r="BX71" s="1126"/>
      <c r="BY71" s="1126"/>
      <c r="BZ71" s="1126"/>
      <c r="CA71" s="1126"/>
      <c r="CB71" s="1126"/>
      <c r="CC71" s="1125"/>
      <c r="CD71" s="1126"/>
      <c r="CE71" s="1126"/>
      <c r="CF71" s="1133"/>
      <c r="CG71" s="1167"/>
      <c r="CH71" s="1088">
        <v>20.494444444444444</v>
      </c>
      <c r="CI71" s="1089">
        <v>1530000.0</v>
      </c>
      <c r="CJ71" s="1088">
        <v>20.494444444444444</v>
      </c>
      <c r="CK71" s="1089">
        <v>1530000.0</v>
      </c>
      <c r="CL71" s="1088">
        <v>20.494444444444444</v>
      </c>
      <c r="CM71" s="1089">
        <v>1530000.0</v>
      </c>
      <c r="CN71" s="1088">
        <v>20.494444444444444</v>
      </c>
      <c r="CO71" s="1089">
        <v>1530000.0</v>
      </c>
      <c r="CP71" s="1088">
        <v>47.50277777777778</v>
      </c>
      <c r="CQ71" s="1089">
        <v>6240000.0</v>
      </c>
      <c r="CR71" s="1124"/>
      <c r="CS71" s="1125"/>
      <c r="CT71" s="1126"/>
      <c r="CU71" s="1125"/>
      <c r="CV71" s="1126"/>
      <c r="CW71" s="1125"/>
      <c r="CX71" s="1126"/>
      <c r="CY71" s="1125"/>
      <c r="CZ71" s="1126"/>
      <c r="DA71" s="1126"/>
      <c r="DB71" s="1126"/>
      <c r="DC71" s="1126"/>
      <c r="DD71" s="1126"/>
      <c r="DE71" s="1125"/>
      <c r="DF71" s="1124"/>
      <c r="DG71" s="1125"/>
      <c r="DH71" s="1124"/>
      <c r="DI71" s="1125"/>
      <c r="DJ71" s="1124"/>
      <c r="DK71" s="1125"/>
      <c r="DL71" s="1124"/>
      <c r="DM71" s="1125"/>
      <c r="DN71" s="1124"/>
      <c r="DO71" s="1125"/>
      <c r="DP71" s="1124"/>
      <c r="DQ71" s="1125"/>
      <c r="DR71" s="1124"/>
      <c r="DS71" s="1125"/>
      <c r="DT71" s="1124"/>
      <c r="DU71" s="1125"/>
      <c r="DV71" s="1126"/>
      <c r="DW71" s="1125"/>
      <c r="DX71" s="1124"/>
      <c r="DY71" s="1125"/>
      <c r="DZ71" s="1124"/>
      <c r="EA71" s="1125"/>
      <c r="EB71" s="1124"/>
      <c r="EC71" s="1125"/>
      <c r="ED71" s="1124"/>
      <c r="EE71" s="1125"/>
      <c r="EF71" s="1124"/>
      <c r="EG71" s="1125"/>
      <c r="EH71" s="1124"/>
      <c r="EI71" s="1125"/>
      <c r="EJ71" s="1169"/>
      <c r="EK71" s="1167"/>
      <c r="EL71" s="1169"/>
      <c r="EM71" s="1167"/>
      <c r="EN71" s="1124"/>
      <c r="EO71" s="1125"/>
      <c r="EP71" s="1124"/>
      <c r="EQ71" s="1125"/>
      <c r="ER71" s="1124"/>
      <c r="ES71" s="1125"/>
      <c r="ET71" s="1124"/>
      <c r="EU71" s="1125"/>
      <c r="EV71" s="1124"/>
      <c r="EW71" s="1125"/>
      <c r="EX71" s="1124"/>
      <c r="EY71" s="1125"/>
      <c r="EZ71" s="1124"/>
      <c r="FA71" s="1125"/>
      <c r="FB71" s="1126"/>
      <c r="FC71" s="1125"/>
      <c r="FD71" s="1126"/>
      <c r="FE71" s="1125"/>
      <c r="FF71" s="1126"/>
      <c r="FG71" s="1125"/>
      <c r="FH71" s="1126"/>
      <c r="FI71" s="1126"/>
      <c r="FJ71" s="1126"/>
      <c r="FK71" s="1125"/>
      <c r="FL71" s="1124"/>
      <c r="FM71" s="1125"/>
      <c r="FN71" s="1139"/>
      <c r="FO71" s="1126"/>
      <c r="FP71" s="1139"/>
      <c r="FQ71" s="1126"/>
      <c r="FR71" s="1139"/>
      <c r="FS71" s="1126"/>
      <c r="FT71" s="1139"/>
      <c r="FU71" s="1125"/>
      <c r="FV71" s="1139"/>
      <c r="FW71" s="1125"/>
      <c r="FX71" s="1179"/>
      <c r="FY71" s="1167"/>
      <c r="FZ71" s="1179"/>
      <c r="GA71" s="1167"/>
      <c r="GB71" s="1179"/>
      <c r="GC71" s="1167"/>
      <c r="GD71" s="1133"/>
      <c r="GE71" s="1167"/>
      <c r="GF71" s="1124"/>
      <c r="GG71" s="1125"/>
      <c r="GH71" s="1124"/>
      <c r="GI71" s="1125"/>
      <c r="GJ71" s="1124"/>
      <c r="GK71" s="1125"/>
      <c r="GL71" s="1124"/>
      <c r="GM71" s="1125"/>
      <c r="GN71" s="1126"/>
      <c r="GO71" s="1125"/>
      <c r="GP71" s="1126"/>
      <c r="GQ71" s="1125"/>
      <c r="GR71" s="1124"/>
      <c r="GS71" s="1125"/>
      <c r="GT71" s="1124"/>
      <c r="GU71" s="1125"/>
      <c r="GV71" s="1126"/>
      <c r="GW71" s="1125"/>
      <c r="GX71" s="1168"/>
      <c r="GY71" s="1133"/>
      <c r="GZ71" s="1124"/>
      <c r="HA71" s="1125"/>
      <c r="HB71" s="1107">
        <v>2110.2208333333333</v>
      </c>
      <c r="HC71" s="1108">
        <v>2.908E13</v>
      </c>
      <c r="HD71" s="1124"/>
      <c r="HE71" s="1125"/>
      <c r="HF71" s="1124"/>
      <c r="HG71" s="1125"/>
      <c r="HH71" s="1124"/>
      <c r="HI71" s="1125"/>
      <c r="HJ71" s="1124"/>
      <c r="HK71" s="1125"/>
      <c r="HL71" s="1124"/>
      <c r="HM71" s="1125"/>
      <c r="HN71" s="1126"/>
      <c r="HO71" s="1125"/>
      <c r="HP71" s="1124"/>
      <c r="HQ71" s="1125"/>
      <c r="HR71" s="1124"/>
      <c r="HS71" s="1125"/>
      <c r="HT71" s="1124"/>
      <c r="HU71" s="1125"/>
      <c r="HV71" s="1124"/>
      <c r="HW71" s="1125"/>
      <c r="HX71" s="1124"/>
      <c r="HY71" s="1125"/>
      <c r="HZ71" s="1124"/>
      <c r="IA71" s="1125"/>
      <c r="IB71" s="1124"/>
      <c r="IC71" s="1125"/>
      <c r="ID71" s="1124"/>
      <c r="IE71" s="1125"/>
      <c r="IF71" s="1124"/>
      <c r="IG71" s="1125"/>
      <c r="IH71" s="1124"/>
      <c r="II71" s="1125"/>
      <c r="IJ71" s="1124"/>
      <c r="IK71" s="1125"/>
      <c r="IL71" s="1124"/>
      <c r="IM71" s="1125"/>
      <c r="IN71" s="1124"/>
      <c r="IO71" s="1125"/>
      <c r="IP71" s="1124"/>
      <c r="IQ71" s="1125"/>
      <c r="IR71" s="1124"/>
      <c r="IS71" s="1125"/>
      <c r="IT71" s="1124"/>
      <c r="IU71" s="1125"/>
      <c r="IV71" s="1124"/>
      <c r="IW71" s="1125"/>
      <c r="IX71" s="1124"/>
      <c r="IY71" s="1125"/>
      <c r="IZ71" s="1124"/>
      <c r="JA71" s="1125"/>
      <c r="JB71" s="1124"/>
      <c r="JC71" s="1125"/>
      <c r="JD71" s="1124"/>
      <c r="JE71" s="1125"/>
      <c r="JF71" s="1124"/>
      <c r="JG71" s="1125"/>
      <c r="JH71" s="1124"/>
      <c r="JI71" s="1125"/>
      <c r="JJ71" s="1169"/>
      <c r="JK71" s="1167"/>
      <c r="JL71" s="1169"/>
      <c r="JM71" s="1167"/>
      <c r="JN71" s="1169"/>
      <c r="JO71" s="1167"/>
      <c r="JP71" s="1169"/>
      <c r="JQ71" s="1167"/>
      <c r="JR71" s="1169"/>
      <c r="JS71" s="1167"/>
      <c r="JT71" s="1169"/>
      <c r="JU71" s="1167"/>
      <c r="JV71" s="1169"/>
      <c r="JW71" s="1167"/>
      <c r="JX71" s="1169"/>
      <c r="JY71" s="1133"/>
      <c r="JZ71" s="1173">
        <v>6.206689815</v>
      </c>
      <c r="KA71" s="1120">
        <v>1.7734E11</v>
      </c>
      <c r="KB71" s="1169"/>
      <c r="KC71" s="1133"/>
      <c r="KD71" s="1169"/>
      <c r="KE71" s="1133"/>
      <c r="KF71" s="1133"/>
      <c r="KG71" s="1133"/>
      <c r="KH71" s="1133"/>
      <c r="KI71" s="1133"/>
      <c r="KJ71" s="1133"/>
      <c r="KK71" s="1133"/>
      <c r="KL71" s="1133"/>
      <c r="KM71" s="1133"/>
      <c r="KN71" s="1133"/>
      <c r="KO71" s="1133"/>
      <c r="KP71" s="1133"/>
      <c r="KQ71" s="1133"/>
      <c r="KR71" s="1133"/>
      <c r="KS71" s="1133"/>
      <c r="KT71" s="1133"/>
      <c r="KU71" s="1133"/>
      <c r="KV71" s="1133"/>
      <c r="KW71" s="1133"/>
      <c r="KX71" s="1133"/>
      <c r="KY71" s="1133"/>
      <c r="KZ71" s="1133"/>
      <c r="LA71" s="1133"/>
      <c r="LB71" s="1133"/>
      <c r="LC71" s="1133"/>
      <c r="LD71" s="1133"/>
      <c r="LE71" s="1133"/>
      <c r="LF71" s="1133"/>
      <c r="LG71" s="1133"/>
      <c r="LH71" s="1133"/>
      <c r="LI71" s="1133"/>
      <c r="LJ71" s="1133"/>
      <c r="LK71" s="1133"/>
      <c r="LL71" s="1133"/>
      <c r="LM71" s="1133"/>
      <c r="LN71" s="1133"/>
      <c r="LO71" s="1133"/>
      <c r="LP71" s="1133"/>
      <c r="LQ71" s="1133"/>
      <c r="LR71" s="1133"/>
      <c r="LS71" s="1133"/>
      <c r="LT71" s="1133"/>
      <c r="LU71" s="1133"/>
      <c r="LV71" s="1133"/>
      <c r="LW71" s="1133"/>
      <c r="LX71" s="1133"/>
      <c r="LY71" s="1133"/>
      <c r="LZ71" s="1133"/>
      <c r="MA71" s="1133"/>
      <c r="MB71" s="1133"/>
      <c r="MC71" s="1133"/>
      <c r="MD71" s="1133"/>
      <c r="ME71" s="1133"/>
      <c r="MF71" s="1133"/>
      <c r="MG71" s="1133"/>
      <c r="MH71" s="1133"/>
      <c r="MI71" s="1133"/>
      <c r="MJ71" s="1133"/>
      <c r="MK71" s="1133"/>
      <c r="ML71" s="1133"/>
      <c r="MM71" s="1133"/>
      <c r="MN71" s="1133"/>
      <c r="MO71" s="1133"/>
      <c r="MP71" s="1133"/>
      <c r="MQ71" s="1133"/>
      <c r="MR71" s="1133"/>
      <c r="MS71" s="1133"/>
      <c r="MT71" s="1133"/>
      <c r="MU71" s="1133"/>
      <c r="MV71" s="1133"/>
      <c r="MW71" s="1133"/>
      <c r="MX71" s="1133"/>
      <c r="MY71" s="1133"/>
    </row>
    <row r="72">
      <c r="A72" s="1071">
        <v>70.0</v>
      </c>
      <c r="B72" s="1140"/>
      <c r="C72" s="1148"/>
      <c r="D72" s="1077">
        <v>21.22013888888889</v>
      </c>
      <c r="E72" s="1078">
        <v>1600000.0</v>
      </c>
      <c r="F72" s="1077">
        <v>21.22013888888889</v>
      </c>
      <c r="G72" s="1078">
        <v>1600000.0</v>
      </c>
      <c r="H72" s="1077">
        <v>21.22013888888889</v>
      </c>
      <c r="I72" s="1078">
        <v>1600000.0</v>
      </c>
      <c r="J72" s="1077">
        <v>21.22013888888889</v>
      </c>
      <c r="K72" s="1078">
        <v>1600000.0</v>
      </c>
      <c r="L72" s="1077">
        <v>39.99513888888889</v>
      </c>
      <c r="M72" s="1143">
        <v>5170000.0</v>
      </c>
      <c r="N72" s="1144">
        <v>16.804166666666667</v>
      </c>
      <c r="O72" s="1078">
        <v>6520000.0</v>
      </c>
      <c r="P72" s="1140"/>
      <c r="Q72" s="1141"/>
      <c r="R72" s="1140"/>
      <c r="S72" s="1141"/>
      <c r="T72" s="1140"/>
      <c r="U72" s="1141"/>
      <c r="V72" s="1140"/>
      <c r="W72" s="1141"/>
      <c r="X72" s="1140"/>
      <c r="Y72" s="1141"/>
      <c r="Z72" s="1140"/>
      <c r="AA72" s="1141"/>
      <c r="AB72" s="1140"/>
      <c r="AC72" s="1141"/>
      <c r="AD72" s="1077">
        <v>75.59652777777778</v>
      </c>
      <c r="AE72" s="1145">
        <v>7.279328342E16</v>
      </c>
      <c r="AF72" s="1077">
        <v>75.59652777777778</v>
      </c>
      <c r="AG72" s="1145">
        <v>7.279328342E16</v>
      </c>
      <c r="AH72" s="1077">
        <v>75.59652777777778</v>
      </c>
      <c r="AI72" s="1145">
        <v>7.279328342E16</v>
      </c>
      <c r="AJ72" s="1146">
        <v>21.22013888888889</v>
      </c>
      <c r="AK72" s="1147">
        <v>1600000.0</v>
      </c>
      <c r="AL72" s="1146">
        <v>21.22013888888889</v>
      </c>
      <c r="AM72" s="1147">
        <v>1600000.0</v>
      </c>
      <c r="AN72" s="1146">
        <v>21.22013888888889</v>
      </c>
      <c r="AO72" s="1147">
        <v>1600000.0</v>
      </c>
      <c r="AP72" s="1146">
        <v>21.22013888888889</v>
      </c>
      <c r="AQ72" s="1147">
        <v>1600000.0</v>
      </c>
      <c r="AR72" s="1146">
        <v>21.22013888888889</v>
      </c>
      <c r="AS72" s="1147">
        <v>1600000.0</v>
      </c>
      <c r="AT72" s="1148"/>
      <c r="AU72" s="1141"/>
      <c r="AV72" s="1148"/>
      <c r="AW72" s="1141"/>
      <c r="AX72" s="1140"/>
      <c r="AY72" s="1176"/>
      <c r="AZ72" s="1140"/>
      <c r="BA72" s="1140"/>
      <c r="BB72" s="1085">
        <v>21.22013888888889</v>
      </c>
      <c r="BC72" s="1086">
        <v>1600000.0</v>
      </c>
      <c r="BD72" s="1085">
        <v>21.22013888888889</v>
      </c>
      <c r="BE72" s="1086">
        <v>1600000.0</v>
      </c>
      <c r="BF72" s="1085">
        <v>21.22013888888889</v>
      </c>
      <c r="BG72" s="1086">
        <v>1600000.0</v>
      </c>
      <c r="BH72" s="1140"/>
      <c r="BI72" s="1141"/>
      <c r="BJ72" s="1140"/>
      <c r="BK72" s="1141"/>
      <c r="BL72" s="1140"/>
      <c r="BM72" s="1141"/>
      <c r="BN72" s="1140"/>
      <c r="BO72" s="1141"/>
      <c r="BP72" s="1140"/>
      <c r="BQ72" s="1141"/>
      <c r="BR72" s="1148"/>
      <c r="BS72" s="1141"/>
      <c r="BT72" s="1148"/>
      <c r="BU72" s="1148"/>
      <c r="BV72" s="1148"/>
      <c r="BW72" s="1148"/>
      <c r="BX72" s="1148"/>
      <c r="BY72" s="1148"/>
      <c r="BZ72" s="1148"/>
      <c r="CA72" s="1148"/>
      <c r="CB72" s="1148"/>
      <c r="CC72" s="1141"/>
      <c r="CD72" s="1148"/>
      <c r="CE72" s="1148"/>
      <c r="CF72" s="1157"/>
      <c r="CG72" s="1171"/>
      <c r="CH72" s="1090">
        <v>21.22013888888889</v>
      </c>
      <c r="CI72" s="1091">
        <v>1600000.0</v>
      </c>
      <c r="CJ72" s="1090">
        <v>21.22013888888889</v>
      </c>
      <c r="CK72" s="1091">
        <v>1600000.0</v>
      </c>
      <c r="CL72" s="1090">
        <v>21.22013888888889</v>
      </c>
      <c r="CM72" s="1091">
        <v>1600000.0</v>
      </c>
      <c r="CN72" s="1090">
        <v>21.22013888888889</v>
      </c>
      <c r="CO72" s="1091">
        <v>1600000.0</v>
      </c>
      <c r="CP72" s="1090">
        <v>49.33125</v>
      </c>
      <c r="CQ72" s="1091">
        <v>6520000.0</v>
      </c>
      <c r="CR72" s="1140"/>
      <c r="CS72" s="1141"/>
      <c r="CT72" s="1148"/>
      <c r="CU72" s="1141"/>
      <c r="CV72" s="1148"/>
      <c r="CW72" s="1141"/>
      <c r="CX72" s="1148"/>
      <c r="CY72" s="1141"/>
      <c r="CZ72" s="1148"/>
      <c r="DA72" s="1148"/>
      <c r="DB72" s="1148"/>
      <c r="DC72" s="1148"/>
      <c r="DD72" s="1148"/>
      <c r="DE72" s="1141"/>
      <c r="DF72" s="1140"/>
      <c r="DG72" s="1141"/>
      <c r="DH72" s="1140"/>
      <c r="DI72" s="1141"/>
      <c r="DJ72" s="1140"/>
      <c r="DK72" s="1141"/>
      <c r="DL72" s="1140"/>
      <c r="DM72" s="1141"/>
      <c r="DN72" s="1140"/>
      <c r="DO72" s="1141"/>
      <c r="DP72" s="1140"/>
      <c r="DQ72" s="1141"/>
      <c r="DR72" s="1140"/>
      <c r="DS72" s="1141"/>
      <c r="DT72" s="1140"/>
      <c r="DU72" s="1141"/>
      <c r="DV72" s="1148"/>
      <c r="DW72" s="1141"/>
      <c r="DX72" s="1140"/>
      <c r="DY72" s="1141"/>
      <c r="DZ72" s="1140"/>
      <c r="EA72" s="1141"/>
      <c r="EB72" s="1140"/>
      <c r="EC72" s="1141"/>
      <c r="ED72" s="1140"/>
      <c r="EE72" s="1141"/>
      <c r="EF72" s="1140"/>
      <c r="EG72" s="1141"/>
      <c r="EH72" s="1140"/>
      <c r="EI72" s="1141"/>
      <c r="EJ72" s="1172"/>
      <c r="EK72" s="1171"/>
      <c r="EL72" s="1172"/>
      <c r="EM72" s="1171"/>
      <c r="EN72" s="1140"/>
      <c r="EO72" s="1141"/>
      <c r="EP72" s="1140"/>
      <c r="EQ72" s="1141"/>
      <c r="ER72" s="1140"/>
      <c r="ES72" s="1141"/>
      <c r="ET72" s="1140"/>
      <c r="EU72" s="1141"/>
      <c r="EV72" s="1140"/>
      <c r="EW72" s="1141"/>
      <c r="EX72" s="1140"/>
      <c r="EY72" s="1141"/>
      <c r="EZ72" s="1140"/>
      <c r="FA72" s="1141"/>
      <c r="FB72" s="1148"/>
      <c r="FC72" s="1141"/>
      <c r="FD72" s="1148"/>
      <c r="FE72" s="1141"/>
      <c r="FF72" s="1148"/>
      <c r="FG72" s="1141"/>
      <c r="FH72" s="1148"/>
      <c r="FI72" s="1148"/>
      <c r="FJ72" s="1148"/>
      <c r="FK72" s="1141"/>
      <c r="FL72" s="1140"/>
      <c r="FM72" s="1141"/>
      <c r="FN72" s="1152"/>
      <c r="FO72" s="1148"/>
      <c r="FP72" s="1152"/>
      <c r="FQ72" s="1148"/>
      <c r="FR72" s="1152"/>
      <c r="FS72" s="1148"/>
      <c r="FT72" s="1152"/>
      <c r="FU72" s="1141"/>
      <c r="FV72" s="1152"/>
      <c r="FW72" s="1141"/>
      <c r="FX72" s="1181"/>
      <c r="FY72" s="1171"/>
      <c r="FZ72" s="1181"/>
      <c r="GA72" s="1171"/>
      <c r="GB72" s="1181"/>
      <c r="GC72" s="1171"/>
      <c r="GD72" s="1157"/>
      <c r="GE72" s="1171"/>
      <c r="GF72" s="1140"/>
      <c r="GG72" s="1141"/>
      <c r="GH72" s="1140"/>
      <c r="GI72" s="1141"/>
      <c r="GJ72" s="1140"/>
      <c r="GK72" s="1141"/>
      <c r="GL72" s="1140"/>
      <c r="GM72" s="1141"/>
      <c r="GN72" s="1148"/>
      <c r="GO72" s="1141"/>
      <c r="GP72" s="1148"/>
      <c r="GQ72" s="1141"/>
      <c r="GR72" s="1140"/>
      <c r="GS72" s="1141"/>
      <c r="GT72" s="1140"/>
      <c r="GU72" s="1141"/>
      <c r="GV72" s="1148"/>
      <c r="GW72" s="1141"/>
      <c r="GX72" s="1156"/>
      <c r="GY72" s="1157"/>
      <c r="GZ72" s="1140"/>
      <c r="HA72" s="1141"/>
      <c r="HB72" s="1158">
        <v>2220.4861111111113</v>
      </c>
      <c r="HC72" s="1159">
        <v>3.128E13</v>
      </c>
      <c r="HD72" s="1140"/>
      <c r="HE72" s="1141"/>
      <c r="HF72" s="1140"/>
      <c r="HG72" s="1141"/>
      <c r="HH72" s="1140"/>
      <c r="HI72" s="1141"/>
      <c r="HJ72" s="1140"/>
      <c r="HK72" s="1141"/>
      <c r="HL72" s="1140"/>
      <c r="HM72" s="1141"/>
      <c r="HN72" s="1148"/>
      <c r="HO72" s="1141"/>
      <c r="HP72" s="1140"/>
      <c r="HQ72" s="1141"/>
      <c r="HR72" s="1140"/>
      <c r="HS72" s="1141"/>
      <c r="HT72" s="1140"/>
      <c r="HU72" s="1141"/>
      <c r="HV72" s="1140"/>
      <c r="HW72" s="1141"/>
      <c r="HX72" s="1140"/>
      <c r="HY72" s="1141"/>
      <c r="HZ72" s="1140"/>
      <c r="IA72" s="1141"/>
      <c r="IB72" s="1140"/>
      <c r="IC72" s="1141"/>
      <c r="ID72" s="1140"/>
      <c r="IE72" s="1141"/>
      <c r="IF72" s="1140"/>
      <c r="IG72" s="1141"/>
      <c r="IH72" s="1140"/>
      <c r="II72" s="1141"/>
      <c r="IJ72" s="1140"/>
      <c r="IK72" s="1141"/>
      <c r="IL72" s="1140"/>
      <c r="IM72" s="1141"/>
      <c r="IN72" s="1140"/>
      <c r="IO72" s="1141"/>
      <c r="IP72" s="1140"/>
      <c r="IQ72" s="1141"/>
      <c r="IR72" s="1140"/>
      <c r="IS72" s="1141"/>
      <c r="IT72" s="1140"/>
      <c r="IU72" s="1141"/>
      <c r="IV72" s="1140"/>
      <c r="IW72" s="1141"/>
      <c r="IX72" s="1140"/>
      <c r="IY72" s="1141"/>
      <c r="IZ72" s="1140"/>
      <c r="JA72" s="1141"/>
      <c r="JB72" s="1140"/>
      <c r="JC72" s="1141"/>
      <c r="JD72" s="1140"/>
      <c r="JE72" s="1141"/>
      <c r="JF72" s="1140"/>
      <c r="JG72" s="1141"/>
      <c r="JH72" s="1140"/>
      <c r="JI72" s="1141"/>
      <c r="JJ72" s="1172"/>
      <c r="JK72" s="1171"/>
      <c r="JL72" s="1172"/>
      <c r="JM72" s="1171"/>
      <c r="JN72" s="1172"/>
      <c r="JO72" s="1171"/>
      <c r="JP72" s="1172"/>
      <c r="JQ72" s="1171"/>
      <c r="JR72" s="1172"/>
      <c r="JS72" s="1171"/>
      <c r="JT72" s="1172"/>
      <c r="JU72" s="1171"/>
      <c r="JV72" s="1172"/>
      <c r="JW72" s="1171"/>
      <c r="JX72" s="1169"/>
      <c r="JY72" s="1133"/>
      <c r="JZ72" s="1173">
        <v>6.310509259</v>
      </c>
      <c r="KA72" s="1120">
        <v>1.8447E11</v>
      </c>
      <c r="KB72" s="1169"/>
      <c r="KC72" s="1133"/>
      <c r="KD72" s="1169"/>
      <c r="KE72" s="1133"/>
      <c r="KF72" s="1133"/>
      <c r="KG72" s="1133"/>
      <c r="KH72" s="1133"/>
      <c r="KI72" s="1133"/>
      <c r="KJ72" s="1133"/>
      <c r="KK72" s="1133"/>
      <c r="KL72" s="1133"/>
      <c r="KM72" s="1133"/>
      <c r="KN72" s="1133"/>
      <c r="KO72" s="1133"/>
      <c r="KP72" s="1133"/>
      <c r="KQ72" s="1133"/>
      <c r="KR72" s="1133"/>
      <c r="KS72" s="1133"/>
      <c r="KT72" s="1133"/>
      <c r="KU72" s="1133"/>
      <c r="KV72" s="1133"/>
      <c r="KW72" s="1133"/>
      <c r="KX72" s="1133"/>
      <c r="KY72" s="1133"/>
      <c r="KZ72" s="1133"/>
      <c r="LA72" s="1133"/>
      <c r="LB72" s="1133"/>
      <c r="LC72" s="1133"/>
      <c r="LD72" s="1133"/>
      <c r="LE72" s="1133"/>
      <c r="LF72" s="1133"/>
      <c r="LG72" s="1133"/>
      <c r="LH72" s="1133"/>
      <c r="LI72" s="1133"/>
      <c r="LJ72" s="1133"/>
      <c r="LK72" s="1133"/>
      <c r="LL72" s="1157"/>
      <c r="LM72" s="1157"/>
      <c r="LN72" s="1133"/>
      <c r="LO72" s="1133"/>
      <c r="LP72" s="1133"/>
      <c r="LQ72" s="1133"/>
      <c r="LR72" s="1133"/>
      <c r="LS72" s="1133"/>
      <c r="LT72" s="1133"/>
      <c r="LU72" s="1133"/>
      <c r="LV72" s="1133"/>
      <c r="LW72" s="1133"/>
      <c r="LX72" s="1133"/>
      <c r="LY72" s="1133"/>
      <c r="LZ72" s="1133"/>
      <c r="MA72" s="1133"/>
      <c r="MB72" s="1133"/>
      <c r="MC72" s="1133"/>
      <c r="MD72" s="1133"/>
      <c r="ME72" s="1133"/>
      <c r="MF72" s="1133"/>
      <c r="MG72" s="1133"/>
      <c r="MH72" s="1133"/>
      <c r="MI72" s="1133"/>
      <c r="MJ72" s="1133"/>
      <c r="MK72" s="1133"/>
      <c r="ML72" s="1133"/>
      <c r="MM72" s="1133"/>
      <c r="MN72" s="1133"/>
      <c r="MO72" s="1133"/>
      <c r="MP72" s="1133"/>
      <c r="MQ72" s="1133"/>
      <c r="MR72" s="1133"/>
      <c r="MS72" s="1133"/>
      <c r="MT72" s="1133"/>
      <c r="MU72" s="1133"/>
      <c r="MV72" s="1133"/>
      <c r="MW72" s="1133"/>
      <c r="MX72" s="1133"/>
      <c r="MY72" s="1133"/>
    </row>
    <row r="73">
      <c r="A73" s="1071">
        <v>71.0</v>
      </c>
      <c r="B73" s="1124"/>
      <c r="C73" s="1126"/>
      <c r="D73" s="1072">
        <v>21.961111111111112</v>
      </c>
      <c r="E73" s="1073">
        <v>1660000.0</v>
      </c>
      <c r="F73" s="1072">
        <v>21.961111111111112</v>
      </c>
      <c r="G73" s="1073">
        <v>1660000.0</v>
      </c>
      <c r="H73" s="1072">
        <v>21.961111111111112</v>
      </c>
      <c r="I73" s="1073">
        <v>1660000.0</v>
      </c>
      <c r="J73" s="1072">
        <v>21.961111111111112</v>
      </c>
      <c r="K73" s="1073">
        <v>1660000.0</v>
      </c>
      <c r="L73" s="1072">
        <v>41.480555555555554</v>
      </c>
      <c r="M73" s="1075">
        <v>5390000.0</v>
      </c>
      <c r="N73" s="1076">
        <v>17.283333333333335</v>
      </c>
      <c r="O73" s="1073">
        <v>6820000.0</v>
      </c>
      <c r="P73" s="1124"/>
      <c r="Q73" s="1125"/>
      <c r="R73" s="1124"/>
      <c r="S73" s="1125"/>
      <c r="T73" s="1124"/>
      <c r="U73" s="1125"/>
      <c r="V73" s="1124"/>
      <c r="W73" s="1125"/>
      <c r="X73" s="1124"/>
      <c r="Y73" s="1125"/>
      <c r="Z73" s="1124"/>
      <c r="AA73" s="1125"/>
      <c r="AB73" s="1124"/>
      <c r="AC73" s="1125"/>
      <c r="AD73" s="1072">
        <v>76.6763888888889</v>
      </c>
      <c r="AE73" s="1080">
        <v>9.463126845E16</v>
      </c>
      <c r="AF73" s="1072">
        <v>76.6763888888889</v>
      </c>
      <c r="AG73" s="1080">
        <v>9.463126845E16</v>
      </c>
      <c r="AH73" s="1072">
        <v>76.6763888888889</v>
      </c>
      <c r="AI73" s="1080">
        <v>9.463126845E16</v>
      </c>
      <c r="AJ73" s="1081">
        <v>21.961111111111112</v>
      </c>
      <c r="AK73" s="1082">
        <v>1660000.0</v>
      </c>
      <c r="AL73" s="1081">
        <v>21.961111111111112</v>
      </c>
      <c r="AM73" s="1082">
        <v>1660000.0</v>
      </c>
      <c r="AN73" s="1081">
        <v>21.961111111111112</v>
      </c>
      <c r="AO73" s="1082">
        <v>1660000.0</v>
      </c>
      <c r="AP73" s="1081">
        <v>21.961111111111112</v>
      </c>
      <c r="AQ73" s="1082">
        <v>1660000.0</v>
      </c>
      <c r="AR73" s="1081">
        <v>21.961111111111112</v>
      </c>
      <c r="AS73" s="1082">
        <v>1660000.0</v>
      </c>
      <c r="AT73" s="1126"/>
      <c r="AU73" s="1125"/>
      <c r="AV73" s="1126"/>
      <c r="AW73" s="1125"/>
      <c r="AX73" s="1124"/>
      <c r="AY73" s="1175"/>
      <c r="AZ73" s="1124"/>
      <c r="BA73" s="1124"/>
      <c r="BB73" s="1083">
        <v>21.961111111111112</v>
      </c>
      <c r="BC73" s="1084">
        <v>1660000.0</v>
      </c>
      <c r="BD73" s="1083">
        <v>21.961111111111112</v>
      </c>
      <c r="BE73" s="1084">
        <v>1660000.0</v>
      </c>
      <c r="BF73" s="1083">
        <v>21.961111111111112</v>
      </c>
      <c r="BG73" s="1084">
        <v>1660000.0</v>
      </c>
      <c r="BH73" s="1124"/>
      <c r="BI73" s="1125"/>
      <c r="BJ73" s="1124"/>
      <c r="BK73" s="1125"/>
      <c r="BL73" s="1124"/>
      <c r="BM73" s="1125"/>
      <c r="BN73" s="1124"/>
      <c r="BO73" s="1125"/>
      <c r="BP73" s="1124"/>
      <c r="BQ73" s="1125"/>
      <c r="BR73" s="1126"/>
      <c r="BS73" s="1125"/>
      <c r="BT73" s="1126"/>
      <c r="BU73" s="1126"/>
      <c r="BV73" s="1126"/>
      <c r="BW73" s="1126"/>
      <c r="BX73" s="1126"/>
      <c r="BY73" s="1126"/>
      <c r="BZ73" s="1126"/>
      <c r="CA73" s="1126"/>
      <c r="CB73" s="1126"/>
      <c r="CC73" s="1125"/>
      <c r="CD73" s="1126"/>
      <c r="CE73" s="1126"/>
      <c r="CF73" s="1133"/>
      <c r="CG73" s="1167"/>
      <c r="CH73" s="1088">
        <v>21.961111111111112</v>
      </c>
      <c r="CI73" s="1089">
        <v>1660000.0</v>
      </c>
      <c r="CJ73" s="1088">
        <v>21.961111111111112</v>
      </c>
      <c r="CK73" s="1089">
        <v>1660000.0</v>
      </c>
      <c r="CL73" s="1088">
        <v>21.961111111111112</v>
      </c>
      <c r="CM73" s="1089">
        <v>1660000.0</v>
      </c>
      <c r="CN73" s="1088">
        <v>21.961111111111112</v>
      </c>
      <c r="CO73" s="1089">
        <v>1660000.0</v>
      </c>
      <c r="CP73" s="1088">
        <v>51.202083333333334</v>
      </c>
      <c r="CQ73" s="1089">
        <v>6820000.0</v>
      </c>
      <c r="CR73" s="1124"/>
      <c r="CS73" s="1125"/>
      <c r="CT73" s="1126"/>
      <c r="CU73" s="1125"/>
      <c r="CV73" s="1126"/>
      <c r="CW73" s="1125"/>
      <c r="CX73" s="1126"/>
      <c r="CY73" s="1125"/>
      <c r="CZ73" s="1126"/>
      <c r="DA73" s="1126"/>
      <c r="DB73" s="1126"/>
      <c r="DC73" s="1126"/>
      <c r="DD73" s="1126"/>
      <c r="DE73" s="1125"/>
      <c r="DF73" s="1124"/>
      <c r="DG73" s="1125"/>
      <c r="DH73" s="1124"/>
      <c r="DI73" s="1125"/>
      <c r="DJ73" s="1124"/>
      <c r="DK73" s="1125"/>
      <c r="DL73" s="1124"/>
      <c r="DM73" s="1125"/>
      <c r="DN73" s="1124"/>
      <c r="DO73" s="1125"/>
      <c r="DP73" s="1124"/>
      <c r="DQ73" s="1125"/>
      <c r="DR73" s="1124"/>
      <c r="DS73" s="1125"/>
      <c r="DT73" s="1124"/>
      <c r="DU73" s="1125"/>
      <c r="DV73" s="1126"/>
      <c r="DW73" s="1125"/>
      <c r="DX73" s="1124"/>
      <c r="DY73" s="1125"/>
      <c r="DZ73" s="1124"/>
      <c r="EA73" s="1125"/>
      <c r="EB73" s="1124"/>
      <c r="EC73" s="1125"/>
      <c r="ED73" s="1124"/>
      <c r="EE73" s="1125"/>
      <c r="EF73" s="1124"/>
      <c r="EG73" s="1125"/>
      <c r="EH73" s="1124"/>
      <c r="EI73" s="1125"/>
      <c r="EJ73" s="1169"/>
      <c r="EK73" s="1167"/>
      <c r="EL73" s="1169"/>
      <c r="EM73" s="1167"/>
      <c r="EN73" s="1124"/>
      <c r="EO73" s="1125"/>
      <c r="EP73" s="1124"/>
      <c r="EQ73" s="1125"/>
      <c r="ER73" s="1124"/>
      <c r="ES73" s="1125"/>
      <c r="ET73" s="1124"/>
      <c r="EU73" s="1125"/>
      <c r="EV73" s="1124"/>
      <c r="EW73" s="1125"/>
      <c r="EX73" s="1124"/>
      <c r="EY73" s="1125"/>
      <c r="EZ73" s="1124"/>
      <c r="FA73" s="1125"/>
      <c r="FB73" s="1126"/>
      <c r="FC73" s="1125"/>
      <c r="FD73" s="1126"/>
      <c r="FE73" s="1125"/>
      <c r="FF73" s="1126"/>
      <c r="FG73" s="1125"/>
      <c r="FH73" s="1126"/>
      <c r="FI73" s="1126"/>
      <c r="FJ73" s="1126"/>
      <c r="FK73" s="1125"/>
      <c r="FL73" s="1124"/>
      <c r="FM73" s="1125"/>
      <c r="FN73" s="1139"/>
      <c r="FO73" s="1126"/>
      <c r="FP73" s="1139"/>
      <c r="FQ73" s="1126"/>
      <c r="FR73" s="1139"/>
      <c r="FS73" s="1126"/>
      <c r="FT73" s="1139"/>
      <c r="FU73" s="1125"/>
      <c r="FV73" s="1139"/>
      <c r="FW73" s="1125"/>
      <c r="FX73" s="1179"/>
      <c r="FY73" s="1167"/>
      <c r="FZ73" s="1179"/>
      <c r="GA73" s="1167"/>
      <c r="GB73" s="1179"/>
      <c r="GC73" s="1167"/>
      <c r="GD73" s="1133"/>
      <c r="GE73" s="1167"/>
      <c r="GF73" s="1124"/>
      <c r="GG73" s="1125"/>
      <c r="GH73" s="1124"/>
      <c r="GI73" s="1125"/>
      <c r="GJ73" s="1124"/>
      <c r="GK73" s="1125"/>
      <c r="GL73" s="1124"/>
      <c r="GM73" s="1125"/>
      <c r="GN73" s="1126"/>
      <c r="GO73" s="1125"/>
      <c r="GP73" s="1126"/>
      <c r="GQ73" s="1125"/>
      <c r="GR73" s="1124"/>
      <c r="GS73" s="1125"/>
      <c r="GT73" s="1124"/>
      <c r="GU73" s="1125"/>
      <c r="GV73" s="1126"/>
      <c r="GW73" s="1125"/>
      <c r="GX73" s="1168"/>
      <c r="GY73" s="1133"/>
      <c r="GZ73" s="1124"/>
      <c r="HA73" s="1125"/>
      <c r="HB73" s="1107">
        <v>2334.8152777777777</v>
      </c>
      <c r="HC73" s="1108">
        <v>3.361E13</v>
      </c>
      <c r="HD73" s="1124"/>
      <c r="HE73" s="1125"/>
      <c r="HF73" s="1124"/>
      <c r="HG73" s="1125"/>
      <c r="HH73" s="1124"/>
      <c r="HI73" s="1125"/>
      <c r="HJ73" s="1124"/>
      <c r="HK73" s="1125"/>
      <c r="HL73" s="1124"/>
      <c r="HM73" s="1125"/>
      <c r="HN73" s="1126"/>
      <c r="HO73" s="1125"/>
      <c r="HP73" s="1124"/>
      <c r="HQ73" s="1125"/>
      <c r="HR73" s="1124"/>
      <c r="HS73" s="1125"/>
      <c r="HT73" s="1124"/>
      <c r="HU73" s="1125"/>
      <c r="HV73" s="1124"/>
      <c r="HW73" s="1125"/>
      <c r="HX73" s="1124"/>
      <c r="HY73" s="1125"/>
      <c r="HZ73" s="1124"/>
      <c r="IA73" s="1125"/>
      <c r="IB73" s="1124"/>
      <c r="IC73" s="1125"/>
      <c r="ID73" s="1124"/>
      <c r="IE73" s="1125"/>
      <c r="IF73" s="1124"/>
      <c r="IG73" s="1125"/>
      <c r="IH73" s="1124"/>
      <c r="II73" s="1125"/>
      <c r="IJ73" s="1124"/>
      <c r="IK73" s="1125"/>
      <c r="IL73" s="1124"/>
      <c r="IM73" s="1125"/>
      <c r="IN73" s="1124"/>
      <c r="IO73" s="1125"/>
      <c r="IP73" s="1124"/>
      <c r="IQ73" s="1125"/>
      <c r="IR73" s="1124"/>
      <c r="IS73" s="1125"/>
      <c r="IT73" s="1124"/>
      <c r="IU73" s="1125"/>
      <c r="IV73" s="1124"/>
      <c r="IW73" s="1125"/>
      <c r="IX73" s="1124"/>
      <c r="IY73" s="1125"/>
      <c r="IZ73" s="1124"/>
      <c r="JA73" s="1125"/>
      <c r="JB73" s="1124"/>
      <c r="JC73" s="1125"/>
      <c r="JD73" s="1124"/>
      <c r="JE73" s="1125"/>
      <c r="JF73" s="1124"/>
      <c r="JG73" s="1125"/>
      <c r="JH73" s="1124"/>
      <c r="JI73" s="1125"/>
      <c r="JJ73" s="1169"/>
      <c r="JK73" s="1167"/>
      <c r="JL73" s="1169"/>
      <c r="JM73" s="1167"/>
      <c r="JN73" s="1169"/>
      <c r="JO73" s="1167"/>
      <c r="JP73" s="1169"/>
      <c r="JQ73" s="1167"/>
      <c r="JR73" s="1169"/>
      <c r="JS73" s="1167"/>
      <c r="JT73" s="1169"/>
      <c r="JU73" s="1167"/>
      <c r="JV73" s="1169"/>
      <c r="JW73" s="1167"/>
      <c r="JX73" s="1169"/>
      <c r="JY73" s="1133"/>
      <c r="JZ73" s="1173">
        <v>6.415231481</v>
      </c>
      <c r="KA73" s="1120">
        <v>1.9178E11</v>
      </c>
      <c r="KB73" s="1169"/>
      <c r="KC73" s="1133"/>
      <c r="KD73" s="1169"/>
      <c r="KE73" s="1133"/>
      <c r="KF73" s="1133"/>
      <c r="KG73" s="1133"/>
      <c r="KH73" s="1133"/>
      <c r="KI73" s="1133"/>
      <c r="KJ73" s="1133"/>
      <c r="KK73" s="1133"/>
      <c r="KL73" s="1133"/>
      <c r="KM73" s="1133"/>
      <c r="KN73" s="1133"/>
      <c r="KO73" s="1133"/>
      <c r="KP73" s="1133"/>
      <c r="KQ73" s="1133"/>
      <c r="KR73" s="1133"/>
      <c r="KS73" s="1133"/>
      <c r="KT73" s="1133"/>
      <c r="KU73" s="1133"/>
      <c r="KV73" s="1133"/>
      <c r="KW73" s="1133"/>
      <c r="KX73" s="1133"/>
      <c r="KY73" s="1133"/>
      <c r="KZ73" s="1133"/>
      <c r="LA73" s="1133"/>
      <c r="LB73" s="1133"/>
      <c r="LC73" s="1133"/>
      <c r="LD73" s="1133"/>
      <c r="LE73" s="1133"/>
      <c r="LF73" s="1133"/>
      <c r="LG73" s="1133"/>
      <c r="LH73" s="1133"/>
      <c r="LI73" s="1133"/>
      <c r="LJ73" s="1133"/>
      <c r="LK73" s="1133"/>
      <c r="LL73" s="1133"/>
      <c r="LM73" s="1133"/>
      <c r="LN73" s="1133"/>
      <c r="LO73" s="1133"/>
      <c r="LP73" s="1133"/>
      <c r="LQ73" s="1133"/>
      <c r="LR73" s="1133"/>
      <c r="LS73" s="1133"/>
      <c r="LT73" s="1133"/>
      <c r="LU73" s="1133"/>
      <c r="LV73" s="1133"/>
      <c r="LW73" s="1133"/>
      <c r="LX73" s="1133"/>
      <c r="LY73" s="1133"/>
      <c r="LZ73" s="1133"/>
      <c r="MA73" s="1133"/>
      <c r="MB73" s="1133"/>
      <c r="MC73" s="1133"/>
      <c r="MD73" s="1133"/>
      <c r="ME73" s="1133"/>
      <c r="MF73" s="1133"/>
      <c r="MG73" s="1133"/>
      <c r="MH73" s="1133"/>
      <c r="MI73" s="1133"/>
      <c r="MJ73" s="1133"/>
      <c r="MK73" s="1133"/>
      <c r="ML73" s="1133"/>
      <c r="MM73" s="1133"/>
      <c r="MN73" s="1133"/>
      <c r="MO73" s="1133"/>
      <c r="MP73" s="1133"/>
      <c r="MQ73" s="1133"/>
      <c r="MR73" s="1133"/>
      <c r="MS73" s="1133"/>
      <c r="MT73" s="1133"/>
      <c r="MU73" s="1133"/>
      <c r="MV73" s="1133"/>
      <c r="MW73" s="1133"/>
      <c r="MX73" s="1133"/>
      <c r="MY73" s="1133"/>
    </row>
    <row r="74">
      <c r="A74" s="1071">
        <v>72.0</v>
      </c>
      <c r="B74" s="1124"/>
      <c r="C74" s="1126"/>
      <c r="D74" s="1072">
        <v>22.716666666666665</v>
      </c>
      <c r="E74" s="1073">
        <v>1730000.0</v>
      </c>
      <c r="F74" s="1072">
        <v>22.716666666666665</v>
      </c>
      <c r="G74" s="1073">
        <v>1730000.0</v>
      </c>
      <c r="H74" s="1072">
        <v>22.716666666666665</v>
      </c>
      <c r="I74" s="1073">
        <v>1730000.0</v>
      </c>
      <c r="J74" s="1072">
        <v>22.716666666666665</v>
      </c>
      <c r="K74" s="1073">
        <v>1730000.0</v>
      </c>
      <c r="L74" s="1072">
        <v>42.99930555555556</v>
      </c>
      <c r="M74" s="1075">
        <v>5610000.0</v>
      </c>
      <c r="N74" s="1076">
        <v>17.768055555555556</v>
      </c>
      <c r="O74" s="1073">
        <v>7130000.0</v>
      </c>
      <c r="P74" s="1124"/>
      <c r="Q74" s="1125"/>
      <c r="R74" s="1124"/>
      <c r="S74" s="1125"/>
      <c r="T74" s="1124"/>
      <c r="U74" s="1125"/>
      <c r="V74" s="1124"/>
      <c r="W74" s="1125"/>
      <c r="X74" s="1124"/>
      <c r="Y74" s="1125"/>
      <c r="Z74" s="1124"/>
      <c r="AA74" s="1125"/>
      <c r="AB74" s="1124"/>
      <c r="AC74" s="1125"/>
      <c r="AD74" s="1072">
        <v>77.75625</v>
      </c>
      <c r="AE74" s="1080">
        <v>1.23020649E17</v>
      </c>
      <c r="AF74" s="1072">
        <v>77.75625</v>
      </c>
      <c r="AG74" s="1080">
        <v>1.23020649E17</v>
      </c>
      <c r="AH74" s="1072">
        <v>77.75625</v>
      </c>
      <c r="AI74" s="1080">
        <v>1.23020649E17</v>
      </c>
      <c r="AJ74" s="1081">
        <v>22.716666666666665</v>
      </c>
      <c r="AK74" s="1082">
        <v>1730000.0</v>
      </c>
      <c r="AL74" s="1081">
        <v>22.716666666666665</v>
      </c>
      <c r="AM74" s="1082">
        <v>1730000.0</v>
      </c>
      <c r="AN74" s="1081">
        <v>22.716666666666665</v>
      </c>
      <c r="AO74" s="1082">
        <v>1730000.0</v>
      </c>
      <c r="AP74" s="1081">
        <v>22.716666666666665</v>
      </c>
      <c r="AQ74" s="1082">
        <v>1730000.0</v>
      </c>
      <c r="AR74" s="1081">
        <v>22.716666666666665</v>
      </c>
      <c r="AS74" s="1082">
        <v>1730000.0</v>
      </c>
      <c r="AT74" s="1126"/>
      <c r="AU74" s="1125"/>
      <c r="AV74" s="1126"/>
      <c r="AW74" s="1125"/>
      <c r="AX74" s="1124"/>
      <c r="AY74" s="1175"/>
      <c r="AZ74" s="1124"/>
      <c r="BA74" s="1124"/>
      <c r="BB74" s="1083">
        <v>22.716666666666665</v>
      </c>
      <c r="BC74" s="1084">
        <v>1730000.0</v>
      </c>
      <c r="BD74" s="1083">
        <v>22.716666666666665</v>
      </c>
      <c r="BE74" s="1084">
        <v>1730000.0</v>
      </c>
      <c r="BF74" s="1083">
        <v>22.716666666666665</v>
      </c>
      <c r="BG74" s="1084">
        <v>1730000.0</v>
      </c>
      <c r="BH74" s="1124"/>
      <c r="BI74" s="1125"/>
      <c r="BJ74" s="1124"/>
      <c r="BK74" s="1125"/>
      <c r="BL74" s="1124"/>
      <c r="BM74" s="1125"/>
      <c r="BN74" s="1124"/>
      <c r="BO74" s="1125"/>
      <c r="BP74" s="1124"/>
      <c r="BQ74" s="1125"/>
      <c r="BR74" s="1126"/>
      <c r="BS74" s="1125"/>
      <c r="BT74" s="1126"/>
      <c r="BU74" s="1126"/>
      <c r="BV74" s="1126"/>
      <c r="BW74" s="1126"/>
      <c r="BX74" s="1126"/>
      <c r="BY74" s="1126"/>
      <c r="BZ74" s="1126"/>
      <c r="CA74" s="1126"/>
      <c r="CB74" s="1126"/>
      <c r="CC74" s="1125"/>
      <c r="CD74" s="1126"/>
      <c r="CE74" s="1126"/>
      <c r="CF74" s="1133"/>
      <c r="CG74" s="1167"/>
      <c r="CH74" s="1088">
        <v>22.716666666666665</v>
      </c>
      <c r="CI74" s="1089">
        <v>1730000.0</v>
      </c>
      <c r="CJ74" s="1088">
        <v>22.716666666666665</v>
      </c>
      <c r="CK74" s="1089">
        <v>1730000.0</v>
      </c>
      <c r="CL74" s="1088">
        <v>22.716666666666665</v>
      </c>
      <c r="CM74" s="1089">
        <v>1730000.0</v>
      </c>
      <c r="CN74" s="1088">
        <v>22.716666666666665</v>
      </c>
      <c r="CO74" s="1089">
        <v>1730000.0</v>
      </c>
      <c r="CP74" s="1088">
        <v>53.115972222222226</v>
      </c>
      <c r="CQ74" s="1089">
        <v>7130000.0</v>
      </c>
      <c r="CR74" s="1124"/>
      <c r="CS74" s="1125"/>
      <c r="CT74" s="1126"/>
      <c r="CU74" s="1125"/>
      <c r="CV74" s="1126"/>
      <c r="CW74" s="1125"/>
      <c r="CX74" s="1126"/>
      <c r="CY74" s="1125"/>
      <c r="CZ74" s="1126"/>
      <c r="DA74" s="1126"/>
      <c r="DB74" s="1126"/>
      <c r="DC74" s="1126"/>
      <c r="DD74" s="1126"/>
      <c r="DE74" s="1125"/>
      <c r="DF74" s="1124"/>
      <c r="DG74" s="1125"/>
      <c r="DH74" s="1124"/>
      <c r="DI74" s="1125"/>
      <c r="DJ74" s="1124"/>
      <c r="DK74" s="1125"/>
      <c r="DL74" s="1124"/>
      <c r="DM74" s="1125"/>
      <c r="DN74" s="1124"/>
      <c r="DO74" s="1125"/>
      <c r="DP74" s="1124"/>
      <c r="DQ74" s="1125"/>
      <c r="DR74" s="1124"/>
      <c r="DS74" s="1125"/>
      <c r="DT74" s="1124"/>
      <c r="DU74" s="1125"/>
      <c r="DV74" s="1126"/>
      <c r="DW74" s="1125"/>
      <c r="DX74" s="1124"/>
      <c r="DY74" s="1125"/>
      <c r="DZ74" s="1124"/>
      <c r="EA74" s="1125"/>
      <c r="EB74" s="1124"/>
      <c r="EC74" s="1125"/>
      <c r="ED74" s="1124"/>
      <c r="EE74" s="1125"/>
      <c r="EF74" s="1124"/>
      <c r="EG74" s="1125"/>
      <c r="EH74" s="1124"/>
      <c r="EI74" s="1125"/>
      <c r="EJ74" s="1169"/>
      <c r="EK74" s="1167"/>
      <c r="EL74" s="1169"/>
      <c r="EM74" s="1167"/>
      <c r="EN74" s="1124"/>
      <c r="EO74" s="1125"/>
      <c r="EP74" s="1124"/>
      <c r="EQ74" s="1125"/>
      <c r="ER74" s="1124"/>
      <c r="ES74" s="1125"/>
      <c r="ET74" s="1124"/>
      <c r="EU74" s="1125"/>
      <c r="EV74" s="1124"/>
      <c r="EW74" s="1125"/>
      <c r="EX74" s="1124"/>
      <c r="EY74" s="1125"/>
      <c r="EZ74" s="1124"/>
      <c r="FA74" s="1125"/>
      <c r="FB74" s="1126"/>
      <c r="FC74" s="1125"/>
      <c r="FD74" s="1126"/>
      <c r="FE74" s="1125"/>
      <c r="FF74" s="1126"/>
      <c r="FG74" s="1125"/>
      <c r="FH74" s="1126"/>
      <c r="FI74" s="1126"/>
      <c r="FJ74" s="1126"/>
      <c r="FK74" s="1125"/>
      <c r="FL74" s="1124"/>
      <c r="FM74" s="1125"/>
      <c r="FN74" s="1139"/>
      <c r="FO74" s="1126"/>
      <c r="FP74" s="1139"/>
      <c r="FQ74" s="1126"/>
      <c r="FR74" s="1139"/>
      <c r="FS74" s="1126"/>
      <c r="FT74" s="1139"/>
      <c r="FU74" s="1125"/>
      <c r="FV74" s="1139"/>
      <c r="FW74" s="1125"/>
      <c r="FX74" s="1179"/>
      <c r="FY74" s="1167"/>
      <c r="FZ74" s="1179"/>
      <c r="GA74" s="1167"/>
      <c r="GB74" s="1179"/>
      <c r="GC74" s="1167"/>
      <c r="GD74" s="1133"/>
      <c r="GE74" s="1167"/>
      <c r="GF74" s="1124"/>
      <c r="GG74" s="1125"/>
      <c r="GH74" s="1124"/>
      <c r="GI74" s="1125"/>
      <c r="GJ74" s="1124"/>
      <c r="GK74" s="1125"/>
      <c r="GL74" s="1124"/>
      <c r="GM74" s="1125"/>
      <c r="GN74" s="1126"/>
      <c r="GO74" s="1125"/>
      <c r="GP74" s="1126"/>
      <c r="GQ74" s="1125"/>
      <c r="GR74" s="1124"/>
      <c r="GS74" s="1125"/>
      <c r="GT74" s="1124"/>
      <c r="GU74" s="1125"/>
      <c r="GV74" s="1126"/>
      <c r="GW74" s="1125"/>
      <c r="GX74" s="1168"/>
      <c r="GY74" s="1133"/>
      <c r="GZ74" s="1124"/>
      <c r="HA74" s="1125"/>
      <c r="HB74" s="1107">
        <v>2453.295833333333</v>
      </c>
      <c r="HC74" s="1108">
        <v>3.608E13</v>
      </c>
      <c r="HD74" s="1124"/>
      <c r="HE74" s="1125"/>
      <c r="HF74" s="1124"/>
      <c r="HG74" s="1125"/>
      <c r="HH74" s="1124"/>
      <c r="HI74" s="1125"/>
      <c r="HJ74" s="1124"/>
      <c r="HK74" s="1125"/>
      <c r="HL74" s="1124"/>
      <c r="HM74" s="1125"/>
      <c r="HN74" s="1126"/>
      <c r="HO74" s="1125"/>
      <c r="HP74" s="1124"/>
      <c r="HQ74" s="1125"/>
      <c r="HR74" s="1124"/>
      <c r="HS74" s="1125"/>
      <c r="HT74" s="1124"/>
      <c r="HU74" s="1125"/>
      <c r="HV74" s="1124"/>
      <c r="HW74" s="1125"/>
      <c r="HX74" s="1124"/>
      <c r="HY74" s="1125"/>
      <c r="HZ74" s="1124"/>
      <c r="IA74" s="1125"/>
      <c r="IB74" s="1124"/>
      <c r="IC74" s="1125"/>
      <c r="ID74" s="1124"/>
      <c r="IE74" s="1125"/>
      <c r="IF74" s="1124"/>
      <c r="IG74" s="1125"/>
      <c r="IH74" s="1124"/>
      <c r="II74" s="1125"/>
      <c r="IJ74" s="1124"/>
      <c r="IK74" s="1125"/>
      <c r="IL74" s="1124"/>
      <c r="IM74" s="1125"/>
      <c r="IN74" s="1124"/>
      <c r="IO74" s="1125"/>
      <c r="IP74" s="1124"/>
      <c r="IQ74" s="1125"/>
      <c r="IR74" s="1124"/>
      <c r="IS74" s="1125"/>
      <c r="IT74" s="1124"/>
      <c r="IU74" s="1125"/>
      <c r="IV74" s="1124"/>
      <c r="IW74" s="1125"/>
      <c r="IX74" s="1124"/>
      <c r="IY74" s="1125"/>
      <c r="IZ74" s="1124"/>
      <c r="JA74" s="1125"/>
      <c r="JB74" s="1124"/>
      <c r="JC74" s="1125"/>
      <c r="JD74" s="1124"/>
      <c r="JE74" s="1125"/>
      <c r="JF74" s="1124"/>
      <c r="JG74" s="1125"/>
      <c r="JH74" s="1124"/>
      <c r="JI74" s="1125"/>
      <c r="JJ74" s="1169"/>
      <c r="JK74" s="1167"/>
      <c r="JL74" s="1169"/>
      <c r="JM74" s="1167"/>
      <c r="JN74" s="1169"/>
      <c r="JO74" s="1167"/>
      <c r="JP74" s="1169"/>
      <c r="JQ74" s="1167"/>
      <c r="JR74" s="1169"/>
      <c r="JS74" s="1167"/>
      <c r="JT74" s="1169"/>
      <c r="JU74" s="1167"/>
      <c r="JV74" s="1169"/>
      <c r="JW74" s="1167"/>
      <c r="JX74" s="1169"/>
      <c r="JY74" s="1133"/>
      <c r="JZ74" s="1173">
        <v>6.520868056</v>
      </c>
      <c r="KA74" s="1120">
        <v>1.9927E11</v>
      </c>
      <c r="KB74" s="1169"/>
      <c r="KC74" s="1133"/>
      <c r="KD74" s="1169"/>
      <c r="KE74" s="1133"/>
      <c r="KF74" s="1133"/>
      <c r="KG74" s="1133"/>
      <c r="KH74" s="1133"/>
      <c r="KI74" s="1133"/>
      <c r="KJ74" s="1133"/>
      <c r="KK74" s="1133"/>
      <c r="KL74" s="1133"/>
      <c r="KM74" s="1133"/>
      <c r="KN74" s="1133"/>
      <c r="KO74" s="1133"/>
      <c r="KP74" s="1133"/>
      <c r="KQ74" s="1133"/>
      <c r="KR74" s="1133"/>
      <c r="KS74" s="1133"/>
      <c r="KT74" s="1133"/>
      <c r="KU74" s="1133"/>
      <c r="KV74" s="1133"/>
      <c r="KW74" s="1133"/>
      <c r="KX74" s="1133"/>
      <c r="KY74" s="1133"/>
      <c r="KZ74" s="1133"/>
      <c r="LA74" s="1133"/>
      <c r="LB74" s="1133"/>
      <c r="LC74" s="1133"/>
      <c r="LD74" s="1133"/>
      <c r="LE74" s="1133"/>
      <c r="LF74" s="1133"/>
      <c r="LG74" s="1133"/>
      <c r="LH74" s="1133"/>
      <c r="LI74" s="1133"/>
      <c r="LJ74" s="1133"/>
      <c r="LK74" s="1133"/>
      <c r="LL74" s="1133"/>
      <c r="LM74" s="1133"/>
      <c r="LN74" s="1133"/>
      <c r="LO74" s="1133"/>
      <c r="LP74" s="1133"/>
      <c r="LQ74" s="1133"/>
      <c r="LR74" s="1133"/>
      <c r="LS74" s="1133"/>
      <c r="LT74" s="1133"/>
      <c r="LU74" s="1133"/>
      <c r="LV74" s="1133"/>
      <c r="LW74" s="1133"/>
      <c r="LX74" s="1133"/>
      <c r="LY74" s="1133"/>
      <c r="LZ74" s="1133"/>
      <c r="MA74" s="1133"/>
      <c r="MB74" s="1133"/>
      <c r="MC74" s="1133"/>
      <c r="MD74" s="1133"/>
      <c r="ME74" s="1133"/>
      <c r="MF74" s="1133"/>
      <c r="MG74" s="1133"/>
      <c r="MH74" s="1133"/>
      <c r="MI74" s="1133"/>
      <c r="MJ74" s="1133"/>
      <c r="MK74" s="1133"/>
      <c r="ML74" s="1133"/>
      <c r="MM74" s="1133"/>
      <c r="MN74" s="1133"/>
      <c r="MO74" s="1133"/>
      <c r="MP74" s="1133"/>
      <c r="MQ74" s="1133"/>
      <c r="MR74" s="1133"/>
      <c r="MS74" s="1133"/>
      <c r="MT74" s="1133"/>
      <c r="MU74" s="1133"/>
      <c r="MV74" s="1133"/>
      <c r="MW74" s="1133"/>
      <c r="MX74" s="1133"/>
      <c r="MY74" s="1133"/>
    </row>
    <row r="75">
      <c r="A75" s="1071">
        <v>73.0</v>
      </c>
      <c r="B75" s="1124"/>
      <c r="C75" s="1126"/>
      <c r="D75" s="1072">
        <v>23.486805555555556</v>
      </c>
      <c r="E75" s="1073">
        <v>1800000.0</v>
      </c>
      <c r="F75" s="1072">
        <v>23.486805555555556</v>
      </c>
      <c r="G75" s="1073">
        <v>1800000.0</v>
      </c>
      <c r="H75" s="1072">
        <v>23.486805555555556</v>
      </c>
      <c r="I75" s="1073">
        <v>1800000.0</v>
      </c>
      <c r="J75" s="1072">
        <v>23.486805555555556</v>
      </c>
      <c r="K75" s="1073">
        <v>1800000.0</v>
      </c>
      <c r="L75" s="1072">
        <v>44.55138888888889</v>
      </c>
      <c r="M75" s="1075">
        <v>5840000.0</v>
      </c>
      <c r="N75" s="1076">
        <v>18.258333333333333</v>
      </c>
      <c r="O75" s="1073">
        <v>7440000.0</v>
      </c>
      <c r="P75" s="1124"/>
      <c r="Q75" s="1125"/>
      <c r="R75" s="1124"/>
      <c r="S75" s="1125"/>
      <c r="T75" s="1124"/>
      <c r="U75" s="1125"/>
      <c r="V75" s="1124"/>
      <c r="W75" s="1125"/>
      <c r="X75" s="1124"/>
      <c r="Y75" s="1125"/>
      <c r="Z75" s="1124"/>
      <c r="AA75" s="1125"/>
      <c r="AB75" s="1124"/>
      <c r="AC75" s="1125"/>
      <c r="AD75" s="1072">
        <v>78.83611111111111</v>
      </c>
      <c r="AE75" s="1080">
        <v>1.599268437E17</v>
      </c>
      <c r="AF75" s="1072">
        <v>78.83611111111111</v>
      </c>
      <c r="AG75" s="1080">
        <v>1.599268437E17</v>
      </c>
      <c r="AH75" s="1072">
        <v>78.83611111111111</v>
      </c>
      <c r="AI75" s="1080">
        <v>1.599268437E17</v>
      </c>
      <c r="AJ75" s="1081">
        <v>23.486805555555556</v>
      </c>
      <c r="AK75" s="1082">
        <v>1800000.0</v>
      </c>
      <c r="AL75" s="1081">
        <v>23.486805555555556</v>
      </c>
      <c r="AM75" s="1082">
        <v>1800000.0</v>
      </c>
      <c r="AN75" s="1081">
        <v>23.486805555555556</v>
      </c>
      <c r="AO75" s="1082">
        <v>1800000.0</v>
      </c>
      <c r="AP75" s="1081">
        <v>23.486805555555556</v>
      </c>
      <c r="AQ75" s="1082">
        <v>1800000.0</v>
      </c>
      <c r="AR75" s="1081">
        <v>23.486805555555556</v>
      </c>
      <c r="AS75" s="1082">
        <v>1800000.0</v>
      </c>
      <c r="AT75" s="1126"/>
      <c r="AU75" s="1125"/>
      <c r="AV75" s="1126"/>
      <c r="AW75" s="1125"/>
      <c r="AX75" s="1124"/>
      <c r="AY75" s="1175"/>
      <c r="AZ75" s="1124"/>
      <c r="BA75" s="1124"/>
      <c r="BB75" s="1083">
        <v>23.486805555555556</v>
      </c>
      <c r="BC75" s="1084">
        <v>1800000.0</v>
      </c>
      <c r="BD75" s="1083">
        <v>23.486805555555556</v>
      </c>
      <c r="BE75" s="1084">
        <v>1800000.0</v>
      </c>
      <c r="BF75" s="1083">
        <v>23.486805555555556</v>
      </c>
      <c r="BG75" s="1084">
        <v>1800000.0</v>
      </c>
      <c r="BH75" s="1124"/>
      <c r="BI75" s="1125"/>
      <c r="BJ75" s="1124"/>
      <c r="BK75" s="1125"/>
      <c r="BL75" s="1124"/>
      <c r="BM75" s="1125"/>
      <c r="BN75" s="1124"/>
      <c r="BO75" s="1125"/>
      <c r="BP75" s="1124"/>
      <c r="BQ75" s="1125"/>
      <c r="BR75" s="1126"/>
      <c r="BS75" s="1125"/>
      <c r="BT75" s="1126"/>
      <c r="BU75" s="1126"/>
      <c r="BV75" s="1126"/>
      <c r="BW75" s="1126"/>
      <c r="BX75" s="1126"/>
      <c r="BY75" s="1126"/>
      <c r="BZ75" s="1126"/>
      <c r="CA75" s="1126"/>
      <c r="CB75" s="1126"/>
      <c r="CC75" s="1125"/>
      <c r="CD75" s="1126"/>
      <c r="CE75" s="1126"/>
      <c r="CF75" s="1133"/>
      <c r="CG75" s="1167"/>
      <c r="CH75" s="1088">
        <v>23.486805555555556</v>
      </c>
      <c r="CI75" s="1089">
        <v>1800000.0</v>
      </c>
      <c r="CJ75" s="1088">
        <v>23.486805555555556</v>
      </c>
      <c r="CK75" s="1089">
        <v>1800000.0</v>
      </c>
      <c r="CL75" s="1088">
        <v>23.486805555555556</v>
      </c>
      <c r="CM75" s="1089">
        <v>1800000.0</v>
      </c>
      <c r="CN75" s="1088">
        <v>23.486805555555556</v>
      </c>
      <c r="CO75" s="1089">
        <v>1800000.0</v>
      </c>
      <c r="CP75" s="1088">
        <v>55.073611111111106</v>
      </c>
      <c r="CQ75" s="1089">
        <v>7440000.0</v>
      </c>
      <c r="CR75" s="1124"/>
      <c r="CS75" s="1125"/>
      <c r="CT75" s="1126"/>
      <c r="CU75" s="1125"/>
      <c r="CV75" s="1126"/>
      <c r="CW75" s="1125"/>
      <c r="CX75" s="1126"/>
      <c r="CY75" s="1125"/>
      <c r="CZ75" s="1126"/>
      <c r="DA75" s="1126"/>
      <c r="DB75" s="1126"/>
      <c r="DC75" s="1126"/>
      <c r="DD75" s="1126"/>
      <c r="DE75" s="1125"/>
      <c r="DF75" s="1124"/>
      <c r="DG75" s="1125"/>
      <c r="DH75" s="1124"/>
      <c r="DI75" s="1125"/>
      <c r="DJ75" s="1124"/>
      <c r="DK75" s="1125"/>
      <c r="DL75" s="1124"/>
      <c r="DM75" s="1125"/>
      <c r="DN75" s="1124"/>
      <c r="DO75" s="1125"/>
      <c r="DP75" s="1124"/>
      <c r="DQ75" s="1125"/>
      <c r="DR75" s="1124"/>
      <c r="DS75" s="1125"/>
      <c r="DT75" s="1124"/>
      <c r="DU75" s="1125"/>
      <c r="DV75" s="1126"/>
      <c r="DW75" s="1125"/>
      <c r="DX75" s="1124"/>
      <c r="DY75" s="1125"/>
      <c r="DZ75" s="1124"/>
      <c r="EA75" s="1125"/>
      <c r="EB75" s="1124"/>
      <c r="EC75" s="1125"/>
      <c r="ED75" s="1124"/>
      <c r="EE75" s="1125"/>
      <c r="EF75" s="1124"/>
      <c r="EG75" s="1125"/>
      <c r="EH75" s="1124"/>
      <c r="EI75" s="1125"/>
      <c r="EJ75" s="1169"/>
      <c r="EK75" s="1167"/>
      <c r="EL75" s="1169"/>
      <c r="EM75" s="1167"/>
      <c r="EN75" s="1124"/>
      <c r="EO75" s="1125"/>
      <c r="EP75" s="1124"/>
      <c r="EQ75" s="1125"/>
      <c r="ER75" s="1124"/>
      <c r="ES75" s="1125"/>
      <c r="ET75" s="1124"/>
      <c r="EU75" s="1125"/>
      <c r="EV75" s="1124"/>
      <c r="EW75" s="1125"/>
      <c r="EX75" s="1124"/>
      <c r="EY75" s="1125"/>
      <c r="EZ75" s="1124"/>
      <c r="FA75" s="1125"/>
      <c r="FB75" s="1126"/>
      <c r="FC75" s="1125"/>
      <c r="FD75" s="1126"/>
      <c r="FE75" s="1125"/>
      <c r="FF75" s="1126"/>
      <c r="FG75" s="1125"/>
      <c r="FH75" s="1126"/>
      <c r="FI75" s="1126"/>
      <c r="FJ75" s="1126"/>
      <c r="FK75" s="1125"/>
      <c r="FL75" s="1124"/>
      <c r="FM75" s="1125"/>
      <c r="FN75" s="1139"/>
      <c r="FO75" s="1126"/>
      <c r="FP75" s="1139"/>
      <c r="FQ75" s="1126"/>
      <c r="FR75" s="1139"/>
      <c r="FS75" s="1126"/>
      <c r="FT75" s="1139"/>
      <c r="FU75" s="1125"/>
      <c r="FV75" s="1139"/>
      <c r="FW75" s="1125"/>
      <c r="FX75" s="1179"/>
      <c r="FY75" s="1167"/>
      <c r="FZ75" s="1179"/>
      <c r="GA75" s="1167"/>
      <c r="GB75" s="1179"/>
      <c r="GC75" s="1167"/>
      <c r="GD75" s="1133"/>
      <c r="GE75" s="1167"/>
      <c r="GF75" s="1124"/>
      <c r="GG75" s="1125"/>
      <c r="GH75" s="1124"/>
      <c r="GI75" s="1125"/>
      <c r="GJ75" s="1124"/>
      <c r="GK75" s="1125"/>
      <c r="GL75" s="1124"/>
      <c r="GM75" s="1125"/>
      <c r="GN75" s="1126"/>
      <c r="GO75" s="1125"/>
      <c r="GP75" s="1126"/>
      <c r="GQ75" s="1125"/>
      <c r="GR75" s="1124"/>
      <c r="GS75" s="1125"/>
      <c r="GT75" s="1124"/>
      <c r="GU75" s="1125"/>
      <c r="GV75" s="1126"/>
      <c r="GW75" s="1125"/>
      <c r="GX75" s="1168"/>
      <c r="GY75" s="1133"/>
      <c r="GZ75" s="1124"/>
      <c r="HA75" s="1125"/>
      <c r="HB75" s="1107">
        <v>2576.0180555555557</v>
      </c>
      <c r="HC75" s="1108">
        <v>3.87E13</v>
      </c>
      <c r="HD75" s="1124"/>
      <c r="HE75" s="1125"/>
      <c r="HF75" s="1124"/>
      <c r="HG75" s="1125"/>
      <c r="HH75" s="1124"/>
      <c r="HI75" s="1125"/>
      <c r="HJ75" s="1124"/>
      <c r="HK75" s="1125"/>
      <c r="HL75" s="1124"/>
      <c r="HM75" s="1125"/>
      <c r="HN75" s="1126"/>
      <c r="HO75" s="1125"/>
      <c r="HP75" s="1124"/>
      <c r="HQ75" s="1125"/>
      <c r="HR75" s="1124"/>
      <c r="HS75" s="1125"/>
      <c r="HT75" s="1124"/>
      <c r="HU75" s="1125"/>
      <c r="HV75" s="1124"/>
      <c r="HW75" s="1125"/>
      <c r="HX75" s="1124"/>
      <c r="HY75" s="1125"/>
      <c r="HZ75" s="1124"/>
      <c r="IA75" s="1125"/>
      <c r="IB75" s="1124"/>
      <c r="IC75" s="1125"/>
      <c r="ID75" s="1124"/>
      <c r="IE75" s="1125"/>
      <c r="IF75" s="1124"/>
      <c r="IG75" s="1125"/>
      <c r="IH75" s="1124"/>
      <c r="II75" s="1125"/>
      <c r="IJ75" s="1124"/>
      <c r="IK75" s="1125"/>
      <c r="IL75" s="1124"/>
      <c r="IM75" s="1125"/>
      <c r="IN75" s="1124"/>
      <c r="IO75" s="1125"/>
      <c r="IP75" s="1124"/>
      <c r="IQ75" s="1125"/>
      <c r="IR75" s="1124"/>
      <c r="IS75" s="1125"/>
      <c r="IT75" s="1124"/>
      <c r="IU75" s="1125"/>
      <c r="IV75" s="1124"/>
      <c r="IW75" s="1125"/>
      <c r="IX75" s="1124"/>
      <c r="IY75" s="1125"/>
      <c r="IZ75" s="1124"/>
      <c r="JA75" s="1125"/>
      <c r="JB75" s="1124"/>
      <c r="JC75" s="1125"/>
      <c r="JD75" s="1124"/>
      <c r="JE75" s="1125"/>
      <c r="JF75" s="1124"/>
      <c r="JG75" s="1125"/>
      <c r="JH75" s="1124"/>
      <c r="JI75" s="1125"/>
      <c r="JJ75" s="1169"/>
      <c r="JK75" s="1167"/>
      <c r="JL75" s="1169"/>
      <c r="JM75" s="1167"/>
      <c r="JN75" s="1169"/>
      <c r="JO75" s="1167"/>
      <c r="JP75" s="1169"/>
      <c r="JQ75" s="1167"/>
      <c r="JR75" s="1169"/>
      <c r="JS75" s="1167"/>
      <c r="JT75" s="1169"/>
      <c r="JU75" s="1167"/>
      <c r="JV75" s="1169"/>
      <c r="JW75" s="1167"/>
      <c r="JX75" s="1169"/>
      <c r="JY75" s="1133"/>
      <c r="JZ75" s="1173">
        <v>6.627407407</v>
      </c>
      <c r="KA75" s="1120">
        <v>2.0693E11</v>
      </c>
      <c r="KB75" s="1169"/>
      <c r="KC75" s="1133"/>
      <c r="KD75" s="1169"/>
      <c r="KE75" s="1133"/>
      <c r="KF75" s="1133"/>
      <c r="KG75" s="1133"/>
      <c r="KH75" s="1133"/>
      <c r="KI75" s="1133"/>
      <c r="KJ75" s="1133"/>
      <c r="KK75" s="1133"/>
      <c r="KL75" s="1133"/>
      <c r="KM75" s="1133"/>
      <c r="KN75" s="1133"/>
      <c r="KO75" s="1133"/>
      <c r="KP75" s="1133"/>
      <c r="KQ75" s="1133"/>
      <c r="KR75" s="1133"/>
      <c r="KS75" s="1133"/>
      <c r="KT75" s="1133"/>
      <c r="KU75" s="1133"/>
      <c r="KV75" s="1133"/>
      <c r="KW75" s="1133"/>
      <c r="KX75" s="1133"/>
      <c r="KY75" s="1133"/>
      <c r="KZ75" s="1133"/>
      <c r="LA75" s="1133"/>
      <c r="LB75" s="1133"/>
      <c r="LC75" s="1133"/>
      <c r="LD75" s="1133"/>
      <c r="LE75" s="1133"/>
      <c r="LF75" s="1133"/>
      <c r="LG75" s="1133"/>
      <c r="LH75" s="1133"/>
      <c r="LI75" s="1133"/>
      <c r="LJ75" s="1133"/>
      <c r="LK75" s="1133"/>
      <c r="LL75" s="1133"/>
      <c r="LM75" s="1133"/>
      <c r="LN75" s="1133"/>
      <c r="LO75" s="1133"/>
      <c r="LP75" s="1133"/>
      <c r="LQ75" s="1133"/>
      <c r="LR75" s="1133"/>
      <c r="LS75" s="1133"/>
      <c r="LT75" s="1133"/>
      <c r="LU75" s="1133"/>
      <c r="LV75" s="1133"/>
      <c r="LW75" s="1133"/>
      <c r="LX75" s="1133"/>
      <c r="LY75" s="1133"/>
      <c r="LZ75" s="1133"/>
      <c r="MA75" s="1133"/>
      <c r="MB75" s="1133"/>
      <c r="MC75" s="1133"/>
      <c r="MD75" s="1133"/>
      <c r="ME75" s="1133"/>
      <c r="MF75" s="1133"/>
      <c r="MG75" s="1133"/>
      <c r="MH75" s="1133"/>
      <c r="MI75" s="1133"/>
      <c r="MJ75" s="1133"/>
      <c r="MK75" s="1133"/>
      <c r="ML75" s="1133"/>
      <c r="MM75" s="1133"/>
      <c r="MN75" s="1133"/>
      <c r="MO75" s="1133"/>
      <c r="MP75" s="1133"/>
      <c r="MQ75" s="1133"/>
      <c r="MR75" s="1133"/>
      <c r="MS75" s="1133"/>
      <c r="MT75" s="1133"/>
      <c r="MU75" s="1133"/>
      <c r="MV75" s="1133"/>
      <c r="MW75" s="1133"/>
      <c r="MX75" s="1133"/>
      <c r="MY75" s="1133"/>
    </row>
    <row r="76">
      <c r="A76" s="1071">
        <v>74.0</v>
      </c>
      <c r="B76" s="1124"/>
      <c r="C76" s="1126"/>
      <c r="D76" s="1072">
        <v>24.272222222222222</v>
      </c>
      <c r="E76" s="1073">
        <v>1870000.0</v>
      </c>
      <c r="F76" s="1072">
        <v>24.272222222222222</v>
      </c>
      <c r="G76" s="1073">
        <v>1870000.0</v>
      </c>
      <c r="H76" s="1072">
        <v>24.272222222222222</v>
      </c>
      <c r="I76" s="1073">
        <v>1870000.0</v>
      </c>
      <c r="J76" s="1072">
        <v>24.272222222222222</v>
      </c>
      <c r="K76" s="1073">
        <v>1870000.0</v>
      </c>
      <c r="L76" s="1072">
        <v>46.1375</v>
      </c>
      <c r="M76" s="1075">
        <v>6070000.0</v>
      </c>
      <c r="N76" s="1076">
        <v>18.75486111111111</v>
      </c>
      <c r="O76" s="1073">
        <v>7770000.0</v>
      </c>
      <c r="P76" s="1124"/>
      <c r="Q76" s="1125"/>
      <c r="R76" s="1124"/>
      <c r="S76" s="1125"/>
      <c r="T76" s="1124"/>
      <c r="U76" s="1125"/>
      <c r="V76" s="1124"/>
      <c r="W76" s="1125"/>
      <c r="X76" s="1124"/>
      <c r="Y76" s="1125"/>
      <c r="Z76" s="1124"/>
      <c r="AA76" s="1125"/>
      <c r="AB76" s="1124"/>
      <c r="AC76" s="1125"/>
      <c r="AD76" s="1072">
        <v>79.91597222222222</v>
      </c>
      <c r="AE76" s="1080">
        <v>2.079048968E17</v>
      </c>
      <c r="AF76" s="1072">
        <v>79.91597222222222</v>
      </c>
      <c r="AG76" s="1080">
        <v>2.079048968E17</v>
      </c>
      <c r="AH76" s="1072">
        <v>79.91597222222222</v>
      </c>
      <c r="AI76" s="1080">
        <v>2.079048968E17</v>
      </c>
      <c r="AJ76" s="1081">
        <v>24.272222222222222</v>
      </c>
      <c r="AK76" s="1082">
        <v>1870000.0</v>
      </c>
      <c r="AL76" s="1081">
        <v>24.272222222222222</v>
      </c>
      <c r="AM76" s="1082">
        <v>1870000.0</v>
      </c>
      <c r="AN76" s="1081">
        <v>24.272222222222222</v>
      </c>
      <c r="AO76" s="1082">
        <v>1870000.0</v>
      </c>
      <c r="AP76" s="1081">
        <v>24.272222222222222</v>
      </c>
      <c r="AQ76" s="1082">
        <v>1870000.0</v>
      </c>
      <c r="AR76" s="1081">
        <v>24.272916666666667</v>
      </c>
      <c r="AS76" s="1082">
        <v>1870000.0</v>
      </c>
      <c r="AT76" s="1126"/>
      <c r="AU76" s="1125"/>
      <c r="AV76" s="1126"/>
      <c r="AW76" s="1125"/>
      <c r="AX76" s="1124"/>
      <c r="AY76" s="1175"/>
      <c r="AZ76" s="1124"/>
      <c r="BA76" s="1124"/>
      <c r="BB76" s="1083">
        <v>24.272222222222222</v>
      </c>
      <c r="BC76" s="1084">
        <v>1870000.0</v>
      </c>
      <c r="BD76" s="1083">
        <v>24.272222222222222</v>
      </c>
      <c r="BE76" s="1084">
        <v>1870000.0</v>
      </c>
      <c r="BF76" s="1083">
        <v>24.272222222222222</v>
      </c>
      <c r="BG76" s="1084">
        <v>1870000.0</v>
      </c>
      <c r="BH76" s="1124"/>
      <c r="BI76" s="1125"/>
      <c r="BJ76" s="1124"/>
      <c r="BK76" s="1125"/>
      <c r="BL76" s="1124"/>
      <c r="BM76" s="1125"/>
      <c r="BN76" s="1124"/>
      <c r="BO76" s="1125"/>
      <c r="BP76" s="1124"/>
      <c r="BQ76" s="1125"/>
      <c r="BR76" s="1126"/>
      <c r="BS76" s="1125"/>
      <c r="BT76" s="1126"/>
      <c r="BU76" s="1126"/>
      <c r="BV76" s="1126"/>
      <c r="BW76" s="1126"/>
      <c r="BX76" s="1126"/>
      <c r="BY76" s="1126"/>
      <c r="BZ76" s="1126"/>
      <c r="CA76" s="1126"/>
      <c r="CB76" s="1126"/>
      <c r="CC76" s="1125"/>
      <c r="CD76" s="1126"/>
      <c r="CE76" s="1126"/>
      <c r="CF76" s="1133"/>
      <c r="CG76" s="1167"/>
      <c r="CH76" s="1088">
        <v>24.272916666666667</v>
      </c>
      <c r="CI76" s="1089">
        <v>1870000.0</v>
      </c>
      <c r="CJ76" s="1088">
        <v>24.272916666666667</v>
      </c>
      <c r="CK76" s="1089">
        <v>1870000.0</v>
      </c>
      <c r="CL76" s="1088">
        <v>24.272916666666667</v>
      </c>
      <c r="CM76" s="1089">
        <v>1870000.0</v>
      </c>
      <c r="CN76" s="1088">
        <v>24.272916666666667</v>
      </c>
      <c r="CO76" s="1089">
        <v>1870000.0</v>
      </c>
      <c r="CP76" s="1088">
        <v>57.075694444444444</v>
      </c>
      <c r="CQ76" s="1089">
        <v>7770000.0</v>
      </c>
      <c r="CR76" s="1124"/>
      <c r="CS76" s="1125"/>
      <c r="CT76" s="1126"/>
      <c r="CU76" s="1125"/>
      <c r="CV76" s="1126"/>
      <c r="CW76" s="1125"/>
      <c r="CX76" s="1126"/>
      <c r="CY76" s="1125"/>
      <c r="CZ76" s="1126"/>
      <c r="DA76" s="1126"/>
      <c r="DB76" s="1126"/>
      <c r="DC76" s="1126"/>
      <c r="DD76" s="1126"/>
      <c r="DE76" s="1125"/>
      <c r="DF76" s="1124"/>
      <c r="DG76" s="1125"/>
      <c r="DH76" s="1124"/>
      <c r="DI76" s="1125"/>
      <c r="DJ76" s="1124"/>
      <c r="DK76" s="1125"/>
      <c r="DL76" s="1124"/>
      <c r="DM76" s="1125"/>
      <c r="DN76" s="1124"/>
      <c r="DO76" s="1125"/>
      <c r="DP76" s="1124"/>
      <c r="DQ76" s="1125"/>
      <c r="DR76" s="1124"/>
      <c r="DS76" s="1125"/>
      <c r="DT76" s="1124"/>
      <c r="DU76" s="1125"/>
      <c r="DV76" s="1126"/>
      <c r="DW76" s="1125"/>
      <c r="DX76" s="1124"/>
      <c r="DY76" s="1125"/>
      <c r="DZ76" s="1124"/>
      <c r="EA76" s="1125"/>
      <c r="EB76" s="1124"/>
      <c r="EC76" s="1125"/>
      <c r="ED76" s="1124"/>
      <c r="EE76" s="1125"/>
      <c r="EF76" s="1124"/>
      <c r="EG76" s="1125"/>
      <c r="EH76" s="1124"/>
      <c r="EI76" s="1125"/>
      <c r="EJ76" s="1169"/>
      <c r="EK76" s="1167"/>
      <c r="EL76" s="1169"/>
      <c r="EM76" s="1167"/>
      <c r="EN76" s="1124"/>
      <c r="EO76" s="1125"/>
      <c r="EP76" s="1124"/>
      <c r="EQ76" s="1125"/>
      <c r="ER76" s="1124"/>
      <c r="ES76" s="1125"/>
      <c r="ET76" s="1124"/>
      <c r="EU76" s="1125"/>
      <c r="EV76" s="1124"/>
      <c r="EW76" s="1125"/>
      <c r="EX76" s="1124"/>
      <c r="EY76" s="1125"/>
      <c r="EZ76" s="1124"/>
      <c r="FA76" s="1125"/>
      <c r="FB76" s="1126"/>
      <c r="FC76" s="1125"/>
      <c r="FD76" s="1126"/>
      <c r="FE76" s="1125"/>
      <c r="FF76" s="1126"/>
      <c r="FG76" s="1125"/>
      <c r="FH76" s="1126"/>
      <c r="FI76" s="1126"/>
      <c r="FJ76" s="1126"/>
      <c r="FK76" s="1125"/>
      <c r="FL76" s="1124"/>
      <c r="FM76" s="1125"/>
      <c r="FN76" s="1139"/>
      <c r="FO76" s="1126"/>
      <c r="FP76" s="1139"/>
      <c r="FQ76" s="1126"/>
      <c r="FR76" s="1139"/>
      <c r="FS76" s="1126"/>
      <c r="FT76" s="1139"/>
      <c r="FU76" s="1125"/>
      <c r="FV76" s="1139"/>
      <c r="FW76" s="1125"/>
      <c r="FX76" s="1179"/>
      <c r="FY76" s="1167"/>
      <c r="FZ76" s="1179"/>
      <c r="GA76" s="1167"/>
      <c r="GB76" s="1179"/>
      <c r="GC76" s="1167"/>
      <c r="GD76" s="1133"/>
      <c r="GE76" s="1167"/>
      <c r="GF76" s="1124"/>
      <c r="GG76" s="1125"/>
      <c r="GH76" s="1124"/>
      <c r="GI76" s="1125"/>
      <c r="GJ76" s="1124"/>
      <c r="GK76" s="1125"/>
      <c r="GL76" s="1124"/>
      <c r="GM76" s="1125"/>
      <c r="GN76" s="1126"/>
      <c r="GO76" s="1125"/>
      <c r="GP76" s="1126"/>
      <c r="GQ76" s="1125"/>
      <c r="GR76" s="1124"/>
      <c r="GS76" s="1125"/>
      <c r="GT76" s="1124"/>
      <c r="GU76" s="1125"/>
      <c r="GV76" s="1126"/>
      <c r="GW76" s="1125"/>
      <c r="GX76" s="1168"/>
      <c r="GY76" s="1133"/>
      <c r="GZ76" s="1124"/>
      <c r="HA76" s="1125"/>
      <c r="HB76" s="1107">
        <v>2703.0715277777776</v>
      </c>
      <c r="HC76" s="1108">
        <v>4.146E13</v>
      </c>
      <c r="HD76" s="1124"/>
      <c r="HE76" s="1125"/>
      <c r="HF76" s="1124"/>
      <c r="HG76" s="1125"/>
      <c r="HH76" s="1124"/>
      <c r="HI76" s="1125"/>
      <c r="HJ76" s="1124"/>
      <c r="HK76" s="1125"/>
      <c r="HL76" s="1124"/>
      <c r="HM76" s="1125"/>
      <c r="HN76" s="1126"/>
      <c r="HO76" s="1125"/>
      <c r="HP76" s="1124"/>
      <c r="HQ76" s="1125"/>
      <c r="HR76" s="1124"/>
      <c r="HS76" s="1125"/>
      <c r="HT76" s="1124"/>
      <c r="HU76" s="1125"/>
      <c r="HV76" s="1124"/>
      <c r="HW76" s="1125"/>
      <c r="HX76" s="1124"/>
      <c r="HY76" s="1125"/>
      <c r="HZ76" s="1124"/>
      <c r="IA76" s="1125"/>
      <c r="IB76" s="1124"/>
      <c r="IC76" s="1125"/>
      <c r="ID76" s="1124"/>
      <c r="IE76" s="1125"/>
      <c r="IF76" s="1124"/>
      <c r="IG76" s="1125"/>
      <c r="IH76" s="1124"/>
      <c r="II76" s="1125"/>
      <c r="IJ76" s="1124"/>
      <c r="IK76" s="1125"/>
      <c r="IL76" s="1124"/>
      <c r="IM76" s="1125"/>
      <c r="IN76" s="1124"/>
      <c r="IO76" s="1125"/>
      <c r="IP76" s="1124"/>
      <c r="IQ76" s="1125"/>
      <c r="IR76" s="1124"/>
      <c r="IS76" s="1125"/>
      <c r="IT76" s="1124"/>
      <c r="IU76" s="1125"/>
      <c r="IV76" s="1124"/>
      <c r="IW76" s="1125"/>
      <c r="IX76" s="1124"/>
      <c r="IY76" s="1125"/>
      <c r="IZ76" s="1124"/>
      <c r="JA76" s="1125"/>
      <c r="JB76" s="1124"/>
      <c r="JC76" s="1125"/>
      <c r="JD76" s="1124"/>
      <c r="JE76" s="1125"/>
      <c r="JF76" s="1124"/>
      <c r="JG76" s="1125"/>
      <c r="JH76" s="1124"/>
      <c r="JI76" s="1125"/>
      <c r="JJ76" s="1169"/>
      <c r="JK76" s="1167"/>
      <c r="JL76" s="1169"/>
      <c r="JM76" s="1167"/>
      <c r="JN76" s="1169"/>
      <c r="JO76" s="1167"/>
      <c r="JP76" s="1169"/>
      <c r="JQ76" s="1167"/>
      <c r="JR76" s="1169"/>
      <c r="JS76" s="1167"/>
      <c r="JT76" s="1169"/>
      <c r="JU76" s="1167"/>
      <c r="JV76" s="1169"/>
      <c r="JW76" s="1167"/>
      <c r="JX76" s="1169"/>
      <c r="JY76" s="1133"/>
      <c r="JZ76" s="1173">
        <v>6.734837963</v>
      </c>
      <c r="KA76" s="1120">
        <v>2.1479E11</v>
      </c>
      <c r="KB76" s="1169"/>
      <c r="KC76" s="1133"/>
      <c r="KD76" s="1169"/>
      <c r="KE76" s="1133"/>
      <c r="KF76" s="1133"/>
      <c r="KG76" s="1133"/>
      <c r="KH76" s="1133"/>
      <c r="KI76" s="1133"/>
      <c r="KJ76" s="1133"/>
      <c r="KK76" s="1133"/>
      <c r="KL76" s="1133"/>
      <c r="KM76" s="1133"/>
      <c r="KN76" s="1133"/>
      <c r="KO76" s="1133"/>
      <c r="KP76" s="1133"/>
      <c r="KQ76" s="1133"/>
      <c r="KR76" s="1133"/>
      <c r="KS76" s="1133"/>
      <c r="KT76" s="1133"/>
      <c r="KU76" s="1133"/>
      <c r="KV76" s="1133"/>
      <c r="KW76" s="1133"/>
      <c r="KX76" s="1133"/>
      <c r="KY76" s="1133"/>
      <c r="KZ76" s="1133"/>
      <c r="LA76" s="1133"/>
      <c r="LB76" s="1133"/>
      <c r="LC76" s="1133"/>
      <c r="LD76" s="1133"/>
      <c r="LE76" s="1133"/>
      <c r="LF76" s="1133"/>
      <c r="LG76" s="1133"/>
      <c r="LH76" s="1133"/>
      <c r="LI76" s="1133"/>
      <c r="LJ76" s="1133"/>
      <c r="LK76" s="1133"/>
      <c r="LL76" s="1133"/>
      <c r="LM76" s="1133"/>
      <c r="LN76" s="1133"/>
      <c r="LO76" s="1133"/>
      <c r="LP76" s="1133"/>
      <c r="LQ76" s="1133"/>
      <c r="LR76" s="1133"/>
      <c r="LS76" s="1133"/>
      <c r="LT76" s="1133"/>
      <c r="LU76" s="1133"/>
      <c r="LV76" s="1133"/>
      <c r="LW76" s="1133"/>
      <c r="LX76" s="1133"/>
      <c r="LY76" s="1133"/>
      <c r="LZ76" s="1133"/>
      <c r="MA76" s="1133"/>
      <c r="MB76" s="1133"/>
      <c r="MC76" s="1133"/>
      <c r="MD76" s="1133"/>
      <c r="ME76" s="1133"/>
      <c r="MF76" s="1133"/>
      <c r="MG76" s="1133"/>
      <c r="MH76" s="1133"/>
      <c r="MI76" s="1133"/>
      <c r="MJ76" s="1133"/>
      <c r="MK76" s="1133"/>
      <c r="ML76" s="1133"/>
      <c r="MM76" s="1133"/>
      <c r="MN76" s="1133"/>
      <c r="MO76" s="1133"/>
      <c r="MP76" s="1133"/>
      <c r="MQ76" s="1133"/>
      <c r="MR76" s="1133"/>
      <c r="MS76" s="1133"/>
      <c r="MT76" s="1133"/>
      <c r="MU76" s="1133"/>
      <c r="MV76" s="1133"/>
      <c r="MW76" s="1133"/>
      <c r="MX76" s="1133"/>
      <c r="MY76" s="1133"/>
    </row>
    <row r="77">
      <c r="A77" s="1071">
        <v>75.0</v>
      </c>
      <c r="B77" s="1124"/>
      <c r="C77" s="1126"/>
      <c r="D77" s="1072">
        <v>25.073611111111113</v>
      </c>
      <c r="E77" s="1073">
        <v>1940000.0</v>
      </c>
      <c r="F77" s="1072">
        <v>25.073611111111113</v>
      </c>
      <c r="G77" s="1073">
        <v>1940000.0</v>
      </c>
      <c r="H77" s="1072">
        <v>25.073611111111113</v>
      </c>
      <c r="I77" s="1073">
        <v>1940000.0</v>
      </c>
      <c r="J77" s="1072">
        <v>25.073611111111113</v>
      </c>
      <c r="K77" s="1073">
        <v>1940000.0</v>
      </c>
      <c r="L77" s="1072">
        <v>47.75694444444444</v>
      </c>
      <c r="M77" s="1075">
        <v>6300000.0</v>
      </c>
      <c r="N77" s="1076">
        <v>19.256944444444443</v>
      </c>
      <c r="O77" s="1073">
        <v>8100000.0</v>
      </c>
      <c r="P77" s="1124"/>
      <c r="Q77" s="1125"/>
      <c r="R77" s="1124"/>
      <c r="S77" s="1125"/>
      <c r="T77" s="1124"/>
      <c r="U77" s="1125"/>
      <c r="V77" s="1124"/>
      <c r="W77" s="1125"/>
      <c r="X77" s="1124"/>
      <c r="Y77" s="1125"/>
      <c r="Z77" s="1124"/>
      <c r="AA77" s="1125"/>
      <c r="AB77" s="1124"/>
      <c r="AC77" s="1125"/>
      <c r="AD77" s="1072">
        <v>80.99583333333334</v>
      </c>
      <c r="AE77" s="1080">
        <v>2.702763658E17</v>
      </c>
      <c r="AF77" s="1072">
        <v>80.99583333333334</v>
      </c>
      <c r="AG77" s="1080">
        <v>2.702763658E17</v>
      </c>
      <c r="AH77" s="1072">
        <v>80.99583333333334</v>
      </c>
      <c r="AI77" s="1080">
        <v>2.702763658E17</v>
      </c>
      <c r="AJ77" s="1081">
        <v>25.073611111111113</v>
      </c>
      <c r="AK77" s="1082">
        <v>1940000.0</v>
      </c>
      <c r="AL77" s="1081">
        <v>25.073611111111113</v>
      </c>
      <c r="AM77" s="1082">
        <v>1940000.0</v>
      </c>
      <c r="AN77" s="1081">
        <v>25.073611111111113</v>
      </c>
      <c r="AO77" s="1082">
        <v>1940000.0</v>
      </c>
      <c r="AP77" s="1081">
        <v>25.073611111111113</v>
      </c>
      <c r="AQ77" s="1082">
        <v>1940000.0</v>
      </c>
      <c r="AR77" s="1081">
        <v>25.073611111111113</v>
      </c>
      <c r="AS77" s="1082">
        <v>1940000.0</v>
      </c>
      <c r="AT77" s="1126"/>
      <c r="AU77" s="1125"/>
      <c r="AV77" s="1126"/>
      <c r="AW77" s="1125"/>
      <c r="AX77" s="1124"/>
      <c r="AY77" s="1175"/>
      <c r="AZ77" s="1124"/>
      <c r="BA77" s="1124"/>
      <c r="BB77" s="1083">
        <v>25.073611111111113</v>
      </c>
      <c r="BC77" s="1084">
        <v>1940000.0</v>
      </c>
      <c r="BD77" s="1083">
        <v>25.073611111111113</v>
      </c>
      <c r="BE77" s="1084">
        <v>1940000.0</v>
      </c>
      <c r="BF77" s="1083">
        <v>25.073611111111113</v>
      </c>
      <c r="BG77" s="1084">
        <v>1940000.0</v>
      </c>
      <c r="BH77" s="1124"/>
      <c r="BI77" s="1125"/>
      <c r="BJ77" s="1124"/>
      <c r="BK77" s="1125"/>
      <c r="BL77" s="1124"/>
      <c r="BM77" s="1125"/>
      <c r="BN77" s="1124"/>
      <c r="BO77" s="1125"/>
      <c r="BP77" s="1124"/>
      <c r="BQ77" s="1125"/>
      <c r="BR77" s="1126"/>
      <c r="BS77" s="1125"/>
      <c r="BT77" s="1126"/>
      <c r="BU77" s="1126"/>
      <c r="BV77" s="1126"/>
      <c r="BW77" s="1126"/>
      <c r="BX77" s="1126"/>
      <c r="BY77" s="1126"/>
      <c r="BZ77" s="1126"/>
      <c r="CA77" s="1126"/>
      <c r="CB77" s="1126"/>
      <c r="CC77" s="1125"/>
      <c r="CD77" s="1126"/>
      <c r="CE77" s="1126"/>
      <c r="CF77" s="1133"/>
      <c r="CG77" s="1167"/>
      <c r="CH77" s="1088">
        <v>25.073611111111113</v>
      </c>
      <c r="CI77" s="1089">
        <v>1940000.0</v>
      </c>
      <c r="CJ77" s="1088">
        <v>25.073611111111113</v>
      </c>
      <c r="CK77" s="1089">
        <v>1940000.0</v>
      </c>
      <c r="CL77" s="1088">
        <v>25.073611111111113</v>
      </c>
      <c r="CM77" s="1089">
        <v>1940000.0</v>
      </c>
      <c r="CN77" s="1088">
        <v>25.073611111111113</v>
      </c>
      <c r="CO77" s="1089">
        <v>1940000.0</v>
      </c>
      <c r="CP77" s="1088">
        <v>59.12152777777778</v>
      </c>
      <c r="CQ77" s="1089">
        <v>8100000.0</v>
      </c>
      <c r="CR77" s="1124"/>
      <c r="CS77" s="1125"/>
      <c r="CT77" s="1126"/>
      <c r="CU77" s="1125"/>
      <c r="CV77" s="1126"/>
      <c r="CW77" s="1125"/>
      <c r="CX77" s="1126"/>
      <c r="CY77" s="1125"/>
      <c r="CZ77" s="1126"/>
      <c r="DA77" s="1126"/>
      <c r="DB77" s="1126"/>
      <c r="DC77" s="1126"/>
      <c r="DD77" s="1126"/>
      <c r="DE77" s="1125"/>
      <c r="DF77" s="1124"/>
      <c r="DG77" s="1125"/>
      <c r="DH77" s="1124"/>
      <c r="DI77" s="1125"/>
      <c r="DJ77" s="1124"/>
      <c r="DK77" s="1125"/>
      <c r="DL77" s="1124"/>
      <c r="DM77" s="1125"/>
      <c r="DN77" s="1124"/>
      <c r="DO77" s="1125"/>
      <c r="DP77" s="1124"/>
      <c r="DQ77" s="1125"/>
      <c r="DR77" s="1124"/>
      <c r="DS77" s="1125"/>
      <c r="DT77" s="1124"/>
      <c r="DU77" s="1125"/>
      <c r="DV77" s="1126"/>
      <c r="DW77" s="1125"/>
      <c r="DX77" s="1124"/>
      <c r="DY77" s="1125"/>
      <c r="DZ77" s="1124"/>
      <c r="EA77" s="1125"/>
      <c r="EB77" s="1124"/>
      <c r="EC77" s="1125"/>
      <c r="ED77" s="1124"/>
      <c r="EE77" s="1125"/>
      <c r="EF77" s="1124"/>
      <c r="EG77" s="1125"/>
      <c r="EH77" s="1124"/>
      <c r="EI77" s="1125"/>
      <c r="EJ77" s="1169"/>
      <c r="EK77" s="1167"/>
      <c r="EL77" s="1169"/>
      <c r="EM77" s="1167"/>
      <c r="EN77" s="1124"/>
      <c r="EO77" s="1125"/>
      <c r="EP77" s="1124"/>
      <c r="EQ77" s="1125"/>
      <c r="ER77" s="1124"/>
      <c r="ES77" s="1125"/>
      <c r="ET77" s="1124"/>
      <c r="EU77" s="1125"/>
      <c r="EV77" s="1124"/>
      <c r="EW77" s="1125"/>
      <c r="EX77" s="1124"/>
      <c r="EY77" s="1125"/>
      <c r="EZ77" s="1124"/>
      <c r="FA77" s="1125"/>
      <c r="FB77" s="1126"/>
      <c r="FC77" s="1125"/>
      <c r="FD77" s="1126"/>
      <c r="FE77" s="1125"/>
      <c r="FF77" s="1126"/>
      <c r="FG77" s="1125"/>
      <c r="FH77" s="1126"/>
      <c r="FI77" s="1126"/>
      <c r="FJ77" s="1126"/>
      <c r="FK77" s="1125"/>
      <c r="FL77" s="1124"/>
      <c r="FM77" s="1125"/>
      <c r="FN77" s="1139"/>
      <c r="FO77" s="1126"/>
      <c r="FP77" s="1139"/>
      <c r="FQ77" s="1126"/>
      <c r="FR77" s="1139"/>
      <c r="FS77" s="1126"/>
      <c r="FT77" s="1139"/>
      <c r="FU77" s="1125"/>
      <c r="FV77" s="1139"/>
      <c r="FW77" s="1125"/>
      <c r="FX77" s="1179"/>
      <c r="FY77" s="1167"/>
      <c r="FZ77" s="1179"/>
      <c r="GA77" s="1167"/>
      <c r="GB77" s="1179"/>
      <c r="GC77" s="1167"/>
      <c r="GD77" s="1133"/>
      <c r="GE77" s="1167"/>
      <c r="GF77" s="1124"/>
      <c r="GG77" s="1125"/>
      <c r="GH77" s="1124"/>
      <c r="GI77" s="1125"/>
      <c r="GJ77" s="1124"/>
      <c r="GK77" s="1125"/>
      <c r="GL77" s="1124"/>
      <c r="GM77" s="1125"/>
      <c r="GN77" s="1126"/>
      <c r="GO77" s="1125"/>
      <c r="GP77" s="1126"/>
      <c r="GQ77" s="1125"/>
      <c r="GR77" s="1124"/>
      <c r="GS77" s="1125"/>
      <c r="GT77" s="1124"/>
      <c r="GU77" s="1125"/>
      <c r="GV77" s="1126"/>
      <c r="GW77" s="1125"/>
      <c r="GX77" s="1168"/>
      <c r="GY77" s="1133"/>
      <c r="GZ77" s="1124"/>
      <c r="HA77" s="1125"/>
      <c r="HB77" s="1107">
        <v>2834.545833333333</v>
      </c>
      <c r="HC77" s="1108">
        <v>4.438E13</v>
      </c>
      <c r="HD77" s="1124"/>
      <c r="HE77" s="1125"/>
      <c r="HF77" s="1124"/>
      <c r="HG77" s="1125"/>
      <c r="HH77" s="1124"/>
      <c r="HI77" s="1125"/>
      <c r="HJ77" s="1124"/>
      <c r="HK77" s="1125"/>
      <c r="HL77" s="1124"/>
      <c r="HM77" s="1125"/>
      <c r="HN77" s="1126"/>
      <c r="HO77" s="1125"/>
      <c r="HP77" s="1124"/>
      <c r="HQ77" s="1125"/>
      <c r="HR77" s="1124"/>
      <c r="HS77" s="1125"/>
      <c r="HT77" s="1124"/>
      <c r="HU77" s="1125"/>
      <c r="HV77" s="1124"/>
      <c r="HW77" s="1125"/>
      <c r="HX77" s="1124"/>
      <c r="HY77" s="1125"/>
      <c r="HZ77" s="1124"/>
      <c r="IA77" s="1125"/>
      <c r="IB77" s="1124"/>
      <c r="IC77" s="1125"/>
      <c r="ID77" s="1124"/>
      <c r="IE77" s="1125"/>
      <c r="IF77" s="1124"/>
      <c r="IG77" s="1125"/>
      <c r="IH77" s="1124"/>
      <c r="II77" s="1125"/>
      <c r="IJ77" s="1124"/>
      <c r="IK77" s="1125"/>
      <c r="IL77" s="1124"/>
      <c r="IM77" s="1125"/>
      <c r="IN77" s="1124"/>
      <c r="IO77" s="1125"/>
      <c r="IP77" s="1124"/>
      <c r="IQ77" s="1125"/>
      <c r="IR77" s="1124"/>
      <c r="IS77" s="1125"/>
      <c r="IT77" s="1124"/>
      <c r="IU77" s="1125"/>
      <c r="IV77" s="1124"/>
      <c r="IW77" s="1125"/>
      <c r="IX77" s="1124"/>
      <c r="IY77" s="1125"/>
      <c r="IZ77" s="1124"/>
      <c r="JA77" s="1125"/>
      <c r="JB77" s="1124"/>
      <c r="JC77" s="1125"/>
      <c r="JD77" s="1124"/>
      <c r="JE77" s="1125"/>
      <c r="JF77" s="1124"/>
      <c r="JG77" s="1125"/>
      <c r="JH77" s="1124"/>
      <c r="JI77" s="1125"/>
      <c r="JJ77" s="1169"/>
      <c r="JK77" s="1167"/>
      <c r="JL77" s="1169"/>
      <c r="JM77" s="1167"/>
      <c r="JN77" s="1169"/>
      <c r="JO77" s="1167"/>
      <c r="JP77" s="1169"/>
      <c r="JQ77" s="1167"/>
      <c r="JR77" s="1169"/>
      <c r="JS77" s="1167"/>
      <c r="JT77" s="1169"/>
      <c r="JU77" s="1167"/>
      <c r="JV77" s="1169"/>
      <c r="JW77" s="1167"/>
      <c r="JX77" s="1169"/>
      <c r="JY77" s="1133"/>
      <c r="JZ77" s="1173">
        <v>6.84318287</v>
      </c>
      <c r="KA77" s="1120">
        <v>2.2282E11</v>
      </c>
      <c r="KB77" s="1169"/>
      <c r="KC77" s="1133"/>
      <c r="KD77" s="1169"/>
      <c r="KE77" s="1133"/>
      <c r="KF77" s="1133"/>
      <c r="KG77" s="1133"/>
      <c r="KH77" s="1133"/>
      <c r="KI77" s="1133"/>
      <c r="KJ77" s="1133"/>
      <c r="KK77" s="1133"/>
      <c r="KL77" s="1133"/>
      <c r="KM77" s="1133"/>
      <c r="KN77" s="1133"/>
      <c r="KO77" s="1133"/>
      <c r="KP77" s="1133"/>
      <c r="KQ77" s="1133"/>
      <c r="KR77" s="1133"/>
      <c r="KS77" s="1133"/>
      <c r="KT77" s="1133"/>
      <c r="KU77" s="1133"/>
      <c r="KV77" s="1133"/>
      <c r="KW77" s="1133"/>
      <c r="KX77" s="1133"/>
      <c r="KY77" s="1133"/>
      <c r="KZ77" s="1133"/>
      <c r="LA77" s="1133"/>
      <c r="LB77" s="1133"/>
      <c r="LC77" s="1133"/>
      <c r="LD77" s="1133"/>
      <c r="LE77" s="1133"/>
      <c r="LF77" s="1133"/>
      <c r="LG77" s="1133"/>
      <c r="LH77" s="1133"/>
      <c r="LI77" s="1133"/>
      <c r="LJ77" s="1133"/>
      <c r="LK77" s="1133"/>
      <c r="LL77" s="1133"/>
      <c r="LM77" s="1133"/>
      <c r="LN77" s="1133"/>
      <c r="LO77" s="1133"/>
      <c r="LP77" s="1133"/>
      <c r="LQ77" s="1133"/>
      <c r="LR77" s="1133"/>
      <c r="LS77" s="1133"/>
      <c r="LT77" s="1133"/>
      <c r="LU77" s="1133"/>
      <c r="LV77" s="1133"/>
      <c r="LW77" s="1133"/>
      <c r="LX77" s="1133"/>
      <c r="LY77" s="1133"/>
      <c r="LZ77" s="1133"/>
      <c r="MA77" s="1133"/>
      <c r="MB77" s="1133"/>
      <c r="MC77" s="1133"/>
      <c r="MD77" s="1133"/>
      <c r="ME77" s="1133"/>
      <c r="MF77" s="1133"/>
      <c r="MG77" s="1133"/>
      <c r="MH77" s="1133"/>
      <c r="MI77" s="1133"/>
      <c r="MJ77" s="1133"/>
      <c r="MK77" s="1133"/>
      <c r="ML77" s="1133"/>
      <c r="MM77" s="1133"/>
      <c r="MN77" s="1133"/>
      <c r="MO77" s="1133"/>
      <c r="MP77" s="1133"/>
      <c r="MQ77" s="1133"/>
      <c r="MR77" s="1133"/>
      <c r="MS77" s="1133"/>
      <c r="MT77" s="1133"/>
      <c r="MU77" s="1133"/>
      <c r="MV77" s="1133"/>
      <c r="MW77" s="1133"/>
      <c r="MX77" s="1133"/>
      <c r="MY77" s="1133"/>
    </row>
    <row r="78">
      <c r="A78" s="1071">
        <v>76.0</v>
      </c>
      <c r="B78" s="1124"/>
      <c r="C78" s="1126"/>
      <c r="D78" s="1072">
        <v>25.88888888888889</v>
      </c>
      <c r="E78" s="1073">
        <v>2010000.0</v>
      </c>
      <c r="F78" s="1072">
        <v>25.88888888888889</v>
      </c>
      <c r="G78" s="1073">
        <v>2010000.0</v>
      </c>
      <c r="H78" s="1072">
        <v>25.88888888888889</v>
      </c>
      <c r="I78" s="1073">
        <v>2010000.0</v>
      </c>
      <c r="J78" s="1072">
        <v>25.88888888888889</v>
      </c>
      <c r="K78" s="1073">
        <v>2010000.0</v>
      </c>
      <c r="L78" s="1072">
        <v>49.41041666666667</v>
      </c>
      <c r="M78" s="1075">
        <v>6550000.0</v>
      </c>
      <c r="N78" s="1076">
        <v>19.76388888888889</v>
      </c>
      <c r="O78" s="1073">
        <v>8450000.0</v>
      </c>
      <c r="P78" s="1124"/>
      <c r="Q78" s="1125"/>
      <c r="R78" s="1124"/>
      <c r="S78" s="1125"/>
      <c r="T78" s="1124"/>
      <c r="U78" s="1125"/>
      <c r="V78" s="1124"/>
      <c r="W78" s="1125"/>
      <c r="X78" s="1124"/>
      <c r="Y78" s="1125"/>
      <c r="Z78" s="1124"/>
      <c r="AA78" s="1125"/>
      <c r="AB78" s="1124"/>
      <c r="AC78" s="1125"/>
      <c r="AD78" s="1072">
        <v>82.07569444444445</v>
      </c>
      <c r="AE78" s="1080">
        <v>3.513592756E17</v>
      </c>
      <c r="AF78" s="1072">
        <v>82.07569444444445</v>
      </c>
      <c r="AG78" s="1080">
        <v>3.513592756E17</v>
      </c>
      <c r="AH78" s="1072">
        <v>82.07569444444445</v>
      </c>
      <c r="AI78" s="1080">
        <v>3.513592756E17</v>
      </c>
      <c r="AJ78" s="1081">
        <v>25.88888888888889</v>
      </c>
      <c r="AK78" s="1082">
        <v>2010000.0</v>
      </c>
      <c r="AL78" s="1081">
        <v>25.88888888888889</v>
      </c>
      <c r="AM78" s="1082">
        <v>2010000.0</v>
      </c>
      <c r="AN78" s="1081">
        <v>25.88888888888889</v>
      </c>
      <c r="AO78" s="1082">
        <v>2010000.0</v>
      </c>
      <c r="AP78" s="1081">
        <v>25.88888888888889</v>
      </c>
      <c r="AQ78" s="1082">
        <v>2010000.0</v>
      </c>
      <c r="AR78" s="1081">
        <v>25.889583333333334</v>
      </c>
      <c r="AS78" s="1082">
        <v>2010000.0</v>
      </c>
      <c r="AT78" s="1126"/>
      <c r="AU78" s="1125"/>
      <c r="AV78" s="1126"/>
      <c r="AW78" s="1125"/>
      <c r="AX78" s="1124"/>
      <c r="AY78" s="1175"/>
      <c r="AZ78" s="1124"/>
      <c r="BA78" s="1124"/>
      <c r="BB78" s="1083">
        <v>25.88888888888889</v>
      </c>
      <c r="BC78" s="1084">
        <v>2010000.0</v>
      </c>
      <c r="BD78" s="1083">
        <v>25.88888888888889</v>
      </c>
      <c r="BE78" s="1084">
        <v>2010000.0</v>
      </c>
      <c r="BF78" s="1083">
        <v>25.88888888888889</v>
      </c>
      <c r="BG78" s="1084">
        <v>2010000.0</v>
      </c>
      <c r="BH78" s="1124"/>
      <c r="BI78" s="1125"/>
      <c r="BJ78" s="1124"/>
      <c r="BK78" s="1125"/>
      <c r="BL78" s="1124"/>
      <c r="BM78" s="1125"/>
      <c r="BN78" s="1124"/>
      <c r="BO78" s="1125"/>
      <c r="BP78" s="1124"/>
      <c r="BQ78" s="1125"/>
      <c r="BR78" s="1126"/>
      <c r="BS78" s="1125"/>
      <c r="BT78" s="1126"/>
      <c r="BU78" s="1126"/>
      <c r="BV78" s="1126"/>
      <c r="BW78" s="1126"/>
      <c r="BX78" s="1126"/>
      <c r="BY78" s="1126"/>
      <c r="BZ78" s="1126"/>
      <c r="CA78" s="1126"/>
      <c r="CB78" s="1126"/>
      <c r="CC78" s="1125"/>
      <c r="CD78" s="1126"/>
      <c r="CE78" s="1126"/>
      <c r="CF78" s="1133"/>
      <c r="CG78" s="1167"/>
      <c r="CH78" s="1088">
        <v>25.889583333333334</v>
      </c>
      <c r="CI78" s="1089">
        <v>2010000.0</v>
      </c>
      <c r="CJ78" s="1088">
        <v>25.889583333333334</v>
      </c>
      <c r="CK78" s="1089">
        <v>2010000.0</v>
      </c>
      <c r="CL78" s="1088">
        <v>25.889583333333334</v>
      </c>
      <c r="CM78" s="1089">
        <v>2010000.0</v>
      </c>
      <c r="CN78" s="1088">
        <v>25.889583333333334</v>
      </c>
      <c r="CO78" s="1089">
        <v>2010000.0</v>
      </c>
      <c r="CP78" s="1088">
        <v>61.21180555555556</v>
      </c>
      <c r="CQ78" s="1089">
        <v>8450000.0</v>
      </c>
      <c r="CR78" s="1124"/>
      <c r="CS78" s="1125"/>
      <c r="CT78" s="1126"/>
      <c r="CU78" s="1125"/>
      <c r="CV78" s="1126"/>
      <c r="CW78" s="1125"/>
      <c r="CX78" s="1126"/>
      <c r="CY78" s="1125"/>
      <c r="CZ78" s="1126"/>
      <c r="DA78" s="1126"/>
      <c r="DB78" s="1126"/>
      <c r="DC78" s="1126"/>
      <c r="DD78" s="1126"/>
      <c r="DE78" s="1125"/>
      <c r="DF78" s="1124"/>
      <c r="DG78" s="1125"/>
      <c r="DH78" s="1124"/>
      <c r="DI78" s="1125"/>
      <c r="DJ78" s="1124"/>
      <c r="DK78" s="1125"/>
      <c r="DL78" s="1124"/>
      <c r="DM78" s="1125"/>
      <c r="DN78" s="1124"/>
      <c r="DO78" s="1125"/>
      <c r="DP78" s="1124"/>
      <c r="DQ78" s="1125"/>
      <c r="DR78" s="1124"/>
      <c r="DS78" s="1125"/>
      <c r="DT78" s="1124"/>
      <c r="DU78" s="1125"/>
      <c r="DV78" s="1126"/>
      <c r="DW78" s="1125"/>
      <c r="DX78" s="1124"/>
      <c r="DY78" s="1125"/>
      <c r="DZ78" s="1124"/>
      <c r="EA78" s="1125"/>
      <c r="EB78" s="1124"/>
      <c r="EC78" s="1125"/>
      <c r="ED78" s="1124"/>
      <c r="EE78" s="1125"/>
      <c r="EF78" s="1124"/>
      <c r="EG78" s="1125"/>
      <c r="EH78" s="1124"/>
      <c r="EI78" s="1125"/>
      <c r="EJ78" s="1169"/>
      <c r="EK78" s="1167"/>
      <c r="EL78" s="1169"/>
      <c r="EM78" s="1167"/>
      <c r="EN78" s="1124"/>
      <c r="EO78" s="1125"/>
      <c r="EP78" s="1124"/>
      <c r="EQ78" s="1125"/>
      <c r="ER78" s="1124"/>
      <c r="ES78" s="1125"/>
      <c r="ET78" s="1124"/>
      <c r="EU78" s="1125"/>
      <c r="EV78" s="1124"/>
      <c r="EW78" s="1125"/>
      <c r="EX78" s="1124"/>
      <c r="EY78" s="1125"/>
      <c r="EZ78" s="1124"/>
      <c r="FA78" s="1125"/>
      <c r="FB78" s="1126"/>
      <c r="FC78" s="1125"/>
      <c r="FD78" s="1126"/>
      <c r="FE78" s="1125"/>
      <c r="FF78" s="1126"/>
      <c r="FG78" s="1125"/>
      <c r="FH78" s="1126"/>
      <c r="FI78" s="1126"/>
      <c r="FJ78" s="1126"/>
      <c r="FK78" s="1125"/>
      <c r="FL78" s="1124"/>
      <c r="FM78" s="1125"/>
      <c r="FN78" s="1139"/>
      <c r="FO78" s="1126"/>
      <c r="FP78" s="1139"/>
      <c r="FQ78" s="1126"/>
      <c r="FR78" s="1139"/>
      <c r="FS78" s="1126"/>
      <c r="FT78" s="1139"/>
      <c r="FU78" s="1125"/>
      <c r="FV78" s="1139"/>
      <c r="FW78" s="1125"/>
      <c r="FX78" s="1179"/>
      <c r="FY78" s="1167"/>
      <c r="FZ78" s="1179"/>
      <c r="GA78" s="1167"/>
      <c r="GB78" s="1179"/>
      <c r="GC78" s="1167"/>
      <c r="GD78" s="1133"/>
      <c r="GE78" s="1167"/>
      <c r="GF78" s="1124"/>
      <c r="GG78" s="1125"/>
      <c r="GH78" s="1124"/>
      <c r="GI78" s="1125"/>
      <c r="GJ78" s="1124"/>
      <c r="GK78" s="1125"/>
      <c r="GL78" s="1124"/>
      <c r="GM78" s="1125"/>
      <c r="GN78" s="1126"/>
      <c r="GO78" s="1125"/>
      <c r="GP78" s="1126"/>
      <c r="GQ78" s="1125"/>
      <c r="GR78" s="1124"/>
      <c r="GS78" s="1125"/>
      <c r="GT78" s="1124"/>
      <c r="GU78" s="1125"/>
      <c r="GV78" s="1126"/>
      <c r="GW78" s="1125"/>
      <c r="GX78" s="1168"/>
      <c r="GY78" s="1133"/>
      <c r="GZ78" s="1124"/>
      <c r="HA78" s="1125"/>
      <c r="HB78" s="1107">
        <v>2970.5</v>
      </c>
      <c r="HC78" s="1108">
        <v>4.746E13</v>
      </c>
      <c r="HD78" s="1124"/>
      <c r="HE78" s="1125"/>
      <c r="HF78" s="1124"/>
      <c r="HG78" s="1125"/>
      <c r="HH78" s="1124"/>
      <c r="HI78" s="1125"/>
      <c r="HJ78" s="1124"/>
      <c r="HK78" s="1125"/>
      <c r="HL78" s="1124"/>
      <c r="HM78" s="1125"/>
      <c r="HN78" s="1126"/>
      <c r="HO78" s="1125"/>
      <c r="HP78" s="1124"/>
      <c r="HQ78" s="1125"/>
      <c r="HR78" s="1124"/>
      <c r="HS78" s="1125"/>
      <c r="HT78" s="1124"/>
      <c r="HU78" s="1125"/>
      <c r="HV78" s="1124"/>
      <c r="HW78" s="1125"/>
      <c r="HX78" s="1124"/>
      <c r="HY78" s="1125"/>
      <c r="HZ78" s="1124"/>
      <c r="IA78" s="1125"/>
      <c r="IB78" s="1124"/>
      <c r="IC78" s="1125"/>
      <c r="ID78" s="1124"/>
      <c r="IE78" s="1125"/>
      <c r="IF78" s="1124"/>
      <c r="IG78" s="1125"/>
      <c r="IH78" s="1124"/>
      <c r="II78" s="1125"/>
      <c r="IJ78" s="1124"/>
      <c r="IK78" s="1125"/>
      <c r="IL78" s="1124"/>
      <c r="IM78" s="1125"/>
      <c r="IN78" s="1124"/>
      <c r="IO78" s="1125"/>
      <c r="IP78" s="1124"/>
      <c r="IQ78" s="1125"/>
      <c r="IR78" s="1124"/>
      <c r="IS78" s="1125"/>
      <c r="IT78" s="1124"/>
      <c r="IU78" s="1125"/>
      <c r="IV78" s="1124"/>
      <c r="IW78" s="1125"/>
      <c r="IX78" s="1124"/>
      <c r="IY78" s="1125"/>
      <c r="IZ78" s="1124"/>
      <c r="JA78" s="1125"/>
      <c r="JB78" s="1124"/>
      <c r="JC78" s="1125"/>
      <c r="JD78" s="1124"/>
      <c r="JE78" s="1125"/>
      <c r="JF78" s="1124"/>
      <c r="JG78" s="1125"/>
      <c r="JH78" s="1124"/>
      <c r="JI78" s="1125"/>
      <c r="JJ78" s="1169"/>
      <c r="JK78" s="1167"/>
      <c r="JL78" s="1169"/>
      <c r="JM78" s="1167"/>
      <c r="JN78" s="1169"/>
      <c r="JO78" s="1167"/>
      <c r="JP78" s="1169"/>
      <c r="JQ78" s="1167"/>
      <c r="JR78" s="1169"/>
      <c r="JS78" s="1167"/>
      <c r="JT78" s="1169"/>
      <c r="JU78" s="1167"/>
      <c r="JV78" s="1169"/>
      <c r="JW78" s="1167"/>
      <c r="JX78" s="1169"/>
      <c r="JY78" s="1133"/>
      <c r="JZ78" s="1173">
        <v>6.952430556</v>
      </c>
      <c r="KA78" s="1120">
        <v>2.3105E11</v>
      </c>
      <c r="KB78" s="1169"/>
      <c r="KC78" s="1133"/>
      <c r="KD78" s="1169"/>
      <c r="KE78" s="1133"/>
      <c r="KF78" s="1133"/>
      <c r="KG78" s="1133"/>
      <c r="KH78" s="1133"/>
      <c r="KI78" s="1133"/>
      <c r="KJ78" s="1133"/>
      <c r="KK78" s="1133"/>
      <c r="KL78" s="1133"/>
      <c r="KM78" s="1133"/>
      <c r="KN78" s="1133"/>
      <c r="KO78" s="1133"/>
      <c r="KP78" s="1133"/>
      <c r="KQ78" s="1133"/>
      <c r="KR78" s="1133"/>
      <c r="KS78" s="1133"/>
      <c r="KT78" s="1133"/>
      <c r="KU78" s="1133"/>
      <c r="KV78" s="1133"/>
      <c r="KW78" s="1133"/>
      <c r="KX78" s="1133"/>
      <c r="KY78" s="1133"/>
      <c r="KZ78" s="1133"/>
      <c r="LA78" s="1133"/>
      <c r="LB78" s="1133"/>
      <c r="LC78" s="1133"/>
      <c r="LD78" s="1133"/>
      <c r="LE78" s="1133"/>
      <c r="LF78" s="1133"/>
      <c r="LG78" s="1133"/>
      <c r="LH78" s="1133"/>
      <c r="LI78" s="1133"/>
      <c r="LJ78" s="1133"/>
      <c r="LK78" s="1133"/>
      <c r="LL78" s="1133"/>
      <c r="LM78" s="1133"/>
      <c r="LN78" s="1133"/>
      <c r="LO78" s="1133"/>
      <c r="LP78" s="1133"/>
      <c r="LQ78" s="1133"/>
      <c r="LR78" s="1133"/>
      <c r="LS78" s="1133"/>
      <c r="LT78" s="1133"/>
      <c r="LU78" s="1133"/>
      <c r="LV78" s="1133"/>
      <c r="LW78" s="1133"/>
      <c r="LX78" s="1133"/>
      <c r="LY78" s="1133"/>
      <c r="LZ78" s="1133"/>
      <c r="MA78" s="1133"/>
      <c r="MB78" s="1133"/>
      <c r="MC78" s="1133"/>
      <c r="MD78" s="1133"/>
      <c r="ME78" s="1133"/>
      <c r="MF78" s="1133"/>
      <c r="MG78" s="1133"/>
      <c r="MH78" s="1133"/>
      <c r="MI78" s="1133"/>
      <c r="MJ78" s="1133"/>
      <c r="MK78" s="1133"/>
      <c r="ML78" s="1133"/>
      <c r="MM78" s="1133"/>
      <c r="MN78" s="1133"/>
      <c r="MO78" s="1133"/>
      <c r="MP78" s="1133"/>
      <c r="MQ78" s="1133"/>
      <c r="MR78" s="1133"/>
      <c r="MS78" s="1133"/>
      <c r="MT78" s="1133"/>
      <c r="MU78" s="1133"/>
      <c r="MV78" s="1133"/>
      <c r="MW78" s="1133"/>
      <c r="MX78" s="1133"/>
      <c r="MY78" s="1133"/>
    </row>
    <row r="79">
      <c r="A79" s="1071">
        <v>77.0</v>
      </c>
      <c r="B79" s="1124"/>
      <c r="C79" s="1126"/>
      <c r="D79" s="1072">
        <v>26.720833333333335</v>
      </c>
      <c r="E79" s="1073">
        <v>2080000.0</v>
      </c>
      <c r="F79" s="1072">
        <v>26.720833333333335</v>
      </c>
      <c r="G79" s="1073">
        <v>2080000.0</v>
      </c>
      <c r="H79" s="1072">
        <v>26.720833333333335</v>
      </c>
      <c r="I79" s="1073">
        <v>2080000.0</v>
      </c>
      <c r="J79" s="1072">
        <v>26.720833333333335</v>
      </c>
      <c r="K79" s="1073">
        <v>2080000.0</v>
      </c>
      <c r="L79" s="1072">
        <v>51.09930555555555</v>
      </c>
      <c r="M79" s="1075">
        <v>6800000.0</v>
      </c>
      <c r="N79" s="1076">
        <v>20.277083333333334</v>
      </c>
      <c r="O79" s="1073">
        <v>8800000.0</v>
      </c>
      <c r="P79" s="1124"/>
      <c r="Q79" s="1125"/>
      <c r="R79" s="1124"/>
      <c r="S79" s="1125"/>
      <c r="T79" s="1124"/>
      <c r="U79" s="1125"/>
      <c r="V79" s="1124"/>
      <c r="W79" s="1125"/>
      <c r="X79" s="1124"/>
      <c r="Y79" s="1125"/>
      <c r="Z79" s="1124"/>
      <c r="AA79" s="1125"/>
      <c r="AB79" s="1124"/>
      <c r="AC79" s="1125"/>
      <c r="AD79" s="1072">
        <v>83.15625</v>
      </c>
      <c r="AE79" s="1080">
        <v>4.567670582E17</v>
      </c>
      <c r="AF79" s="1072">
        <v>83.15625</v>
      </c>
      <c r="AG79" s="1080">
        <v>4.567670582E17</v>
      </c>
      <c r="AH79" s="1072">
        <v>83.15625</v>
      </c>
      <c r="AI79" s="1080">
        <v>4.567670582E17</v>
      </c>
      <c r="AJ79" s="1081">
        <v>26.720833333333335</v>
      </c>
      <c r="AK79" s="1082">
        <v>2080000.0</v>
      </c>
      <c r="AL79" s="1081">
        <v>26.720833333333335</v>
      </c>
      <c r="AM79" s="1082">
        <v>2080000.0</v>
      </c>
      <c r="AN79" s="1081">
        <v>26.720833333333335</v>
      </c>
      <c r="AO79" s="1082">
        <v>2080000.0</v>
      </c>
      <c r="AP79" s="1081">
        <v>26.720833333333335</v>
      </c>
      <c r="AQ79" s="1082">
        <v>2080000.0</v>
      </c>
      <c r="AR79" s="1081">
        <v>26.720833333333335</v>
      </c>
      <c r="AS79" s="1082">
        <v>2080000.0</v>
      </c>
      <c r="AT79" s="1126"/>
      <c r="AU79" s="1125"/>
      <c r="AV79" s="1126"/>
      <c r="AW79" s="1125"/>
      <c r="AX79" s="1124"/>
      <c r="AY79" s="1175"/>
      <c r="AZ79" s="1124"/>
      <c r="BA79" s="1124"/>
      <c r="BB79" s="1083">
        <v>26.720833333333335</v>
      </c>
      <c r="BC79" s="1084">
        <v>2080000.0</v>
      </c>
      <c r="BD79" s="1083">
        <v>26.720833333333335</v>
      </c>
      <c r="BE79" s="1084">
        <v>2080000.0</v>
      </c>
      <c r="BF79" s="1083">
        <v>26.720833333333335</v>
      </c>
      <c r="BG79" s="1084">
        <v>2080000.0</v>
      </c>
      <c r="BH79" s="1124"/>
      <c r="BI79" s="1125"/>
      <c r="BJ79" s="1124"/>
      <c r="BK79" s="1125"/>
      <c r="BL79" s="1124"/>
      <c r="BM79" s="1125"/>
      <c r="BN79" s="1124"/>
      <c r="BO79" s="1125"/>
      <c r="BP79" s="1124"/>
      <c r="BQ79" s="1125"/>
      <c r="BR79" s="1126"/>
      <c r="BS79" s="1125"/>
      <c r="BT79" s="1126"/>
      <c r="BU79" s="1126"/>
      <c r="BV79" s="1126"/>
      <c r="BW79" s="1126"/>
      <c r="BX79" s="1126"/>
      <c r="BY79" s="1126"/>
      <c r="BZ79" s="1126"/>
      <c r="CA79" s="1126"/>
      <c r="CB79" s="1126"/>
      <c r="CC79" s="1125"/>
      <c r="CD79" s="1126"/>
      <c r="CE79" s="1126"/>
      <c r="CF79" s="1133"/>
      <c r="CG79" s="1167"/>
      <c r="CH79" s="1088">
        <v>26.720833333333335</v>
      </c>
      <c r="CI79" s="1089">
        <v>2080000.0</v>
      </c>
      <c r="CJ79" s="1088">
        <v>26.720833333333335</v>
      </c>
      <c r="CK79" s="1089">
        <v>2080000.0</v>
      </c>
      <c r="CL79" s="1088">
        <v>26.720833333333335</v>
      </c>
      <c r="CM79" s="1089">
        <v>2080000.0</v>
      </c>
      <c r="CN79" s="1088">
        <v>26.720833333333335</v>
      </c>
      <c r="CO79" s="1089">
        <v>2080000.0</v>
      </c>
      <c r="CP79" s="1088">
        <v>63.34652777777778</v>
      </c>
      <c r="CQ79" s="1089">
        <v>8800000.0</v>
      </c>
      <c r="CR79" s="1124"/>
      <c r="CS79" s="1125"/>
      <c r="CT79" s="1126"/>
      <c r="CU79" s="1125"/>
      <c r="CV79" s="1126"/>
      <c r="CW79" s="1125"/>
      <c r="CX79" s="1126"/>
      <c r="CY79" s="1125"/>
      <c r="CZ79" s="1126"/>
      <c r="DA79" s="1126"/>
      <c r="DB79" s="1126"/>
      <c r="DC79" s="1126"/>
      <c r="DD79" s="1126"/>
      <c r="DE79" s="1125"/>
      <c r="DF79" s="1124"/>
      <c r="DG79" s="1125"/>
      <c r="DH79" s="1124"/>
      <c r="DI79" s="1125"/>
      <c r="DJ79" s="1124"/>
      <c r="DK79" s="1125"/>
      <c r="DL79" s="1124"/>
      <c r="DM79" s="1125"/>
      <c r="DN79" s="1124"/>
      <c r="DO79" s="1125"/>
      <c r="DP79" s="1124"/>
      <c r="DQ79" s="1125"/>
      <c r="DR79" s="1124"/>
      <c r="DS79" s="1125"/>
      <c r="DT79" s="1124"/>
      <c r="DU79" s="1125"/>
      <c r="DV79" s="1126"/>
      <c r="DW79" s="1125"/>
      <c r="DX79" s="1124"/>
      <c r="DY79" s="1125"/>
      <c r="DZ79" s="1124"/>
      <c r="EA79" s="1125"/>
      <c r="EB79" s="1124"/>
      <c r="EC79" s="1125"/>
      <c r="ED79" s="1124"/>
      <c r="EE79" s="1125"/>
      <c r="EF79" s="1124"/>
      <c r="EG79" s="1125"/>
      <c r="EH79" s="1124"/>
      <c r="EI79" s="1125"/>
      <c r="EJ79" s="1169"/>
      <c r="EK79" s="1167"/>
      <c r="EL79" s="1169"/>
      <c r="EM79" s="1167"/>
      <c r="EN79" s="1124"/>
      <c r="EO79" s="1125"/>
      <c r="EP79" s="1124"/>
      <c r="EQ79" s="1125"/>
      <c r="ER79" s="1124"/>
      <c r="ES79" s="1125"/>
      <c r="ET79" s="1124"/>
      <c r="EU79" s="1125"/>
      <c r="EV79" s="1124"/>
      <c r="EW79" s="1125"/>
      <c r="EX79" s="1124"/>
      <c r="EY79" s="1125"/>
      <c r="EZ79" s="1124"/>
      <c r="FA79" s="1125"/>
      <c r="FB79" s="1126"/>
      <c r="FC79" s="1125"/>
      <c r="FD79" s="1126"/>
      <c r="FE79" s="1125"/>
      <c r="FF79" s="1126"/>
      <c r="FG79" s="1125"/>
      <c r="FH79" s="1126"/>
      <c r="FI79" s="1126"/>
      <c r="FJ79" s="1126"/>
      <c r="FK79" s="1125"/>
      <c r="FL79" s="1124"/>
      <c r="FM79" s="1125"/>
      <c r="FN79" s="1139"/>
      <c r="FO79" s="1126"/>
      <c r="FP79" s="1139"/>
      <c r="FQ79" s="1126"/>
      <c r="FR79" s="1139"/>
      <c r="FS79" s="1126"/>
      <c r="FT79" s="1139"/>
      <c r="FU79" s="1125"/>
      <c r="FV79" s="1139"/>
      <c r="FW79" s="1125"/>
      <c r="FX79" s="1179"/>
      <c r="FY79" s="1167"/>
      <c r="FZ79" s="1179"/>
      <c r="GA79" s="1167"/>
      <c r="GB79" s="1179"/>
      <c r="GC79" s="1167"/>
      <c r="GD79" s="1133"/>
      <c r="GE79" s="1167"/>
      <c r="GF79" s="1124"/>
      <c r="GG79" s="1125"/>
      <c r="GH79" s="1124"/>
      <c r="GI79" s="1125"/>
      <c r="GJ79" s="1124"/>
      <c r="GK79" s="1125"/>
      <c r="GL79" s="1124"/>
      <c r="GM79" s="1125"/>
      <c r="GN79" s="1126"/>
      <c r="GO79" s="1125"/>
      <c r="GP79" s="1126"/>
      <c r="GQ79" s="1125"/>
      <c r="GR79" s="1124"/>
      <c r="GS79" s="1125"/>
      <c r="GT79" s="1124"/>
      <c r="GU79" s="1125"/>
      <c r="GV79" s="1126"/>
      <c r="GW79" s="1125"/>
      <c r="GX79" s="1168"/>
      <c r="GY79" s="1133"/>
      <c r="GZ79" s="1124"/>
      <c r="HA79" s="1125"/>
      <c r="HB79" s="1107">
        <v>3111.1256944444444</v>
      </c>
      <c r="HC79" s="1108">
        <v>5.071E13</v>
      </c>
      <c r="HD79" s="1124"/>
      <c r="HE79" s="1125"/>
      <c r="HF79" s="1124"/>
      <c r="HG79" s="1125"/>
      <c r="HH79" s="1124"/>
      <c r="HI79" s="1125"/>
      <c r="HJ79" s="1124"/>
      <c r="HK79" s="1125"/>
      <c r="HL79" s="1124"/>
      <c r="HM79" s="1125"/>
      <c r="HN79" s="1126"/>
      <c r="HO79" s="1125"/>
      <c r="HP79" s="1124"/>
      <c r="HQ79" s="1125"/>
      <c r="HR79" s="1124"/>
      <c r="HS79" s="1125"/>
      <c r="HT79" s="1124"/>
      <c r="HU79" s="1125"/>
      <c r="HV79" s="1124"/>
      <c r="HW79" s="1125"/>
      <c r="HX79" s="1124"/>
      <c r="HY79" s="1125"/>
      <c r="HZ79" s="1124"/>
      <c r="IA79" s="1125"/>
      <c r="IB79" s="1124"/>
      <c r="IC79" s="1125"/>
      <c r="ID79" s="1124"/>
      <c r="IE79" s="1125"/>
      <c r="IF79" s="1124"/>
      <c r="IG79" s="1125"/>
      <c r="IH79" s="1124"/>
      <c r="II79" s="1125"/>
      <c r="IJ79" s="1124"/>
      <c r="IK79" s="1125"/>
      <c r="IL79" s="1124"/>
      <c r="IM79" s="1125"/>
      <c r="IN79" s="1124"/>
      <c r="IO79" s="1125"/>
      <c r="IP79" s="1124"/>
      <c r="IQ79" s="1125"/>
      <c r="IR79" s="1124"/>
      <c r="IS79" s="1125"/>
      <c r="IT79" s="1124"/>
      <c r="IU79" s="1125"/>
      <c r="IV79" s="1124"/>
      <c r="IW79" s="1125"/>
      <c r="IX79" s="1124"/>
      <c r="IY79" s="1125"/>
      <c r="IZ79" s="1124"/>
      <c r="JA79" s="1125"/>
      <c r="JB79" s="1124"/>
      <c r="JC79" s="1125"/>
      <c r="JD79" s="1124"/>
      <c r="JE79" s="1125"/>
      <c r="JF79" s="1124"/>
      <c r="JG79" s="1125"/>
      <c r="JH79" s="1124"/>
      <c r="JI79" s="1125"/>
      <c r="JJ79" s="1169"/>
      <c r="JK79" s="1167"/>
      <c r="JL79" s="1169"/>
      <c r="JM79" s="1167"/>
      <c r="JN79" s="1169"/>
      <c r="JO79" s="1167"/>
      <c r="JP79" s="1169"/>
      <c r="JQ79" s="1167"/>
      <c r="JR79" s="1169"/>
      <c r="JS79" s="1167"/>
      <c r="JT79" s="1169"/>
      <c r="JU79" s="1167"/>
      <c r="JV79" s="1169"/>
      <c r="JW79" s="1167"/>
      <c r="JX79" s="1169"/>
      <c r="JY79" s="1133"/>
      <c r="JZ79" s="1173">
        <v>7.062569444</v>
      </c>
      <c r="KA79" s="1120">
        <v>2.3946E11</v>
      </c>
      <c r="KB79" s="1169"/>
      <c r="KC79" s="1133"/>
      <c r="KD79" s="1169"/>
      <c r="KE79" s="1133"/>
      <c r="KF79" s="1133"/>
      <c r="KG79" s="1133"/>
      <c r="KH79" s="1133"/>
      <c r="KI79" s="1133"/>
      <c r="KJ79" s="1133"/>
      <c r="KK79" s="1133"/>
      <c r="KL79" s="1133"/>
      <c r="KM79" s="1133"/>
      <c r="KN79" s="1133"/>
      <c r="KO79" s="1133"/>
      <c r="KP79" s="1133"/>
      <c r="KQ79" s="1133"/>
      <c r="KR79" s="1133"/>
      <c r="KS79" s="1133"/>
      <c r="KT79" s="1133"/>
      <c r="KU79" s="1133"/>
      <c r="KV79" s="1133"/>
      <c r="KW79" s="1133"/>
      <c r="KX79" s="1133"/>
      <c r="KY79" s="1133"/>
      <c r="KZ79" s="1133"/>
      <c r="LA79" s="1133"/>
      <c r="LB79" s="1133"/>
      <c r="LC79" s="1133"/>
      <c r="LD79" s="1133"/>
      <c r="LE79" s="1133"/>
      <c r="LF79" s="1133"/>
      <c r="LG79" s="1133"/>
      <c r="LH79" s="1133"/>
      <c r="LI79" s="1133"/>
      <c r="LJ79" s="1133"/>
      <c r="LK79" s="1133"/>
      <c r="LL79" s="1133"/>
      <c r="LM79" s="1133"/>
      <c r="LN79" s="1133"/>
      <c r="LO79" s="1133"/>
      <c r="LP79" s="1133"/>
      <c r="LQ79" s="1133"/>
      <c r="LR79" s="1133"/>
      <c r="LS79" s="1133"/>
      <c r="LT79" s="1133"/>
      <c r="LU79" s="1133"/>
      <c r="LV79" s="1133"/>
      <c r="LW79" s="1133"/>
      <c r="LX79" s="1133"/>
      <c r="LY79" s="1133"/>
      <c r="LZ79" s="1133"/>
      <c r="MA79" s="1133"/>
      <c r="MB79" s="1133"/>
      <c r="MC79" s="1133"/>
      <c r="MD79" s="1133"/>
      <c r="ME79" s="1133"/>
      <c r="MF79" s="1133"/>
      <c r="MG79" s="1133"/>
      <c r="MH79" s="1133"/>
      <c r="MI79" s="1133"/>
      <c r="MJ79" s="1133"/>
      <c r="MK79" s="1133"/>
      <c r="ML79" s="1133"/>
      <c r="MM79" s="1133"/>
      <c r="MN79" s="1133"/>
      <c r="MO79" s="1133"/>
      <c r="MP79" s="1133"/>
      <c r="MQ79" s="1133"/>
      <c r="MR79" s="1133"/>
      <c r="MS79" s="1133"/>
      <c r="MT79" s="1133"/>
      <c r="MU79" s="1133"/>
      <c r="MV79" s="1133"/>
      <c r="MW79" s="1133"/>
      <c r="MX79" s="1133"/>
      <c r="MY79" s="1133"/>
    </row>
    <row r="80">
      <c r="A80" s="1071">
        <v>78.0</v>
      </c>
      <c r="B80" s="1124"/>
      <c r="C80" s="1126"/>
      <c r="D80" s="1072">
        <v>27.56736111111111</v>
      </c>
      <c r="E80" s="1073">
        <v>2160000.0</v>
      </c>
      <c r="F80" s="1072">
        <v>27.56736111111111</v>
      </c>
      <c r="G80" s="1073">
        <v>2160000.0</v>
      </c>
      <c r="H80" s="1072">
        <v>27.56736111111111</v>
      </c>
      <c r="I80" s="1073">
        <v>2160000.0</v>
      </c>
      <c r="J80" s="1072">
        <v>27.56736111111111</v>
      </c>
      <c r="K80" s="1073">
        <v>2160000.0</v>
      </c>
      <c r="L80" s="1072">
        <v>52.821527777777774</v>
      </c>
      <c r="M80" s="1075">
        <v>7050000.0</v>
      </c>
      <c r="N80" s="1076">
        <v>20.795833333333334</v>
      </c>
      <c r="O80" s="1073">
        <v>9170000.0</v>
      </c>
      <c r="P80" s="1124"/>
      <c r="Q80" s="1125"/>
      <c r="R80" s="1124"/>
      <c r="S80" s="1125"/>
      <c r="T80" s="1124"/>
      <c r="U80" s="1125"/>
      <c r="V80" s="1124"/>
      <c r="W80" s="1125"/>
      <c r="X80" s="1124"/>
      <c r="Y80" s="1125"/>
      <c r="Z80" s="1124"/>
      <c r="AA80" s="1125"/>
      <c r="AB80" s="1124"/>
      <c r="AC80" s="1125"/>
      <c r="AD80" s="1072">
        <v>84.23611111111111</v>
      </c>
      <c r="AE80" s="1080">
        <v>5.937971757E17</v>
      </c>
      <c r="AF80" s="1072">
        <v>84.23611111111111</v>
      </c>
      <c r="AG80" s="1080">
        <v>5.937971757E17</v>
      </c>
      <c r="AH80" s="1072">
        <v>84.23611111111111</v>
      </c>
      <c r="AI80" s="1080">
        <v>5.937971757E17</v>
      </c>
      <c r="AJ80" s="1081">
        <v>27.56736111111111</v>
      </c>
      <c r="AK80" s="1082">
        <v>2160000.0</v>
      </c>
      <c r="AL80" s="1081">
        <v>27.56736111111111</v>
      </c>
      <c r="AM80" s="1082">
        <v>2160000.0</v>
      </c>
      <c r="AN80" s="1081">
        <v>27.56736111111111</v>
      </c>
      <c r="AO80" s="1082">
        <v>2160000.0</v>
      </c>
      <c r="AP80" s="1081">
        <v>27.56736111111111</v>
      </c>
      <c r="AQ80" s="1082">
        <v>2160000.0</v>
      </c>
      <c r="AR80" s="1081">
        <v>27.56736111111111</v>
      </c>
      <c r="AS80" s="1082">
        <v>2160000.0</v>
      </c>
      <c r="AT80" s="1126"/>
      <c r="AU80" s="1125"/>
      <c r="AV80" s="1126"/>
      <c r="AW80" s="1125"/>
      <c r="AX80" s="1124"/>
      <c r="AY80" s="1175"/>
      <c r="AZ80" s="1124"/>
      <c r="BA80" s="1124"/>
      <c r="BB80" s="1083">
        <v>27.56736111111111</v>
      </c>
      <c r="BC80" s="1084">
        <v>2160000.0</v>
      </c>
      <c r="BD80" s="1083">
        <v>27.56736111111111</v>
      </c>
      <c r="BE80" s="1084">
        <v>2160000.0</v>
      </c>
      <c r="BF80" s="1083">
        <v>27.56736111111111</v>
      </c>
      <c r="BG80" s="1084">
        <v>2160000.0</v>
      </c>
      <c r="BH80" s="1124"/>
      <c r="BI80" s="1125"/>
      <c r="BJ80" s="1124"/>
      <c r="BK80" s="1125"/>
      <c r="BL80" s="1124"/>
      <c r="BM80" s="1125"/>
      <c r="BN80" s="1124"/>
      <c r="BO80" s="1125"/>
      <c r="BP80" s="1124"/>
      <c r="BQ80" s="1125"/>
      <c r="BR80" s="1126"/>
      <c r="BS80" s="1125"/>
      <c r="BT80" s="1126"/>
      <c r="BU80" s="1126"/>
      <c r="BV80" s="1126"/>
      <c r="BW80" s="1126"/>
      <c r="BX80" s="1126"/>
      <c r="BY80" s="1126"/>
      <c r="BZ80" s="1126"/>
      <c r="CA80" s="1126"/>
      <c r="CB80" s="1126"/>
      <c r="CC80" s="1125"/>
      <c r="CD80" s="1126"/>
      <c r="CE80" s="1126"/>
      <c r="CF80" s="1133"/>
      <c r="CG80" s="1167"/>
      <c r="CH80" s="1088">
        <v>27.56736111111111</v>
      </c>
      <c r="CI80" s="1089">
        <v>2160000.0</v>
      </c>
      <c r="CJ80" s="1088">
        <v>27.56736111111111</v>
      </c>
      <c r="CK80" s="1089">
        <v>2160000.0</v>
      </c>
      <c r="CL80" s="1088">
        <v>27.56736111111111</v>
      </c>
      <c r="CM80" s="1089">
        <v>2160000.0</v>
      </c>
      <c r="CN80" s="1088">
        <v>27.56736111111111</v>
      </c>
      <c r="CO80" s="1089">
        <v>2160000.0</v>
      </c>
      <c r="CP80" s="1088">
        <v>65.52708333333334</v>
      </c>
      <c r="CQ80" s="1089">
        <v>9170000.0</v>
      </c>
      <c r="CR80" s="1124"/>
      <c r="CS80" s="1125"/>
      <c r="CT80" s="1126"/>
      <c r="CU80" s="1125"/>
      <c r="CV80" s="1126"/>
      <c r="CW80" s="1125"/>
      <c r="CX80" s="1126"/>
      <c r="CY80" s="1125"/>
      <c r="CZ80" s="1126"/>
      <c r="DA80" s="1126"/>
      <c r="DB80" s="1126"/>
      <c r="DC80" s="1126"/>
      <c r="DD80" s="1126"/>
      <c r="DE80" s="1125"/>
      <c r="DF80" s="1124"/>
      <c r="DG80" s="1125"/>
      <c r="DH80" s="1124"/>
      <c r="DI80" s="1125"/>
      <c r="DJ80" s="1124"/>
      <c r="DK80" s="1125"/>
      <c r="DL80" s="1124"/>
      <c r="DM80" s="1125"/>
      <c r="DN80" s="1124"/>
      <c r="DO80" s="1125"/>
      <c r="DP80" s="1124"/>
      <c r="DQ80" s="1125"/>
      <c r="DR80" s="1124"/>
      <c r="DS80" s="1125"/>
      <c r="DT80" s="1124"/>
      <c r="DU80" s="1125"/>
      <c r="DV80" s="1126"/>
      <c r="DW80" s="1125"/>
      <c r="DX80" s="1124"/>
      <c r="DY80" s="1125"/>
      <c r="DZ80" s="1124"/>
      <c r="EA80" s="1125"/>
      <c r="EB80" s="1124"/>
      <c r="EC80" s="1125"/>
      <c r="ED80" s="1124"/>
      <c r="EE80" s="1125"/>
      <c r="EF80" s="1124"/>
      <c r="EG80" s="1125"/>
      <c r="EH80" s="1124"/>
      <c r="EI80" s="1125"/>
      <c r="EJ80" s="1169"/>
      <c r="EK80" s="1167"/>
      <c r="EL80" s="1169"/>
      <c r="EM80" s="1167"/>
      <c r="EN80" s="1124"/>
      <c r="EO80" s="1125"/>
      <c r="EP80" s="1124"/>
      <c r="EQ80" s="1125"/>
      <c r="ER80" s="1124"/>
      <c r="ES80" s="1125"/>
      <c r="ET80" s="1124"/>
      <c r="EU80" s="1125"/>
      <c r="EV80" s="1124"/>
      <c r="EW80" s="1125"/>
      <c r="EX80" s="1124"/>
      <c r="EY80" s="1125"/>
      <c r="EZ80" s="1124"/>
      <c r="FA80" s="1125"/>
      <c r="FB80" s="1126"/>
      <c r="FC80" s="1125"/>
      <c r="FD80" s="1126"/>
      <c r="FE80" s="1125"/>
      <c r="FF80" s="1126"/>
      <c r="FG80" s="1125"/>
      <c r="FH80" s="1126"/>
      <c r="FI80" s="1126"/>
      <c r="FJ80" s="1126"/>
      <c r="FK80" s="1125"/>
      <c r="FL80" s="1124"/>
      <c r="FM80" s="1125"/>
      <c r="FN80" s="1139"/>
      <c r="FO80" s="1126"/>
      <c r="FP80" s="1139"/>
      <c r="FQ80" s="1126"/>
      <c r="FR80" s="1139"/>
      <c r="FS80" s="1126"/>
      <c r="FT80" s="1139"/>
      <c r="FU80" s="1125"/>
      <c r="FV80" s="1139"/>
      <c r="FW80" s="1125"/>
      <c r="FX80" s="1179"/>
      <c r="FY80" s="1167"/>
      <c r="FZ80" s="1179"/>
      <c r="GA80" s="1167"/>
      <c r="GB80" s="1179"/>
      <c r="GC80" s="1167"/>
      <c r="GD80" s="1133"/>
      <c r="GE80" s="1167"/>
      <c r="GF80" s="1124"/>
      <c r="GG80" s="1125"/>
      <c r="GH80" s="1124"/>
      <c r="GI80" s="1125"/>
      <c r="GJ80" s="1124"/>
      <c r="GK80" s="1125"/>
      <c r="GL80" s="1124"/>
      <c r="GM80" s="1125"/>
      <c r="GN80" s="1126"/>
      <c r="GO80" s="1125"/>
      <c r="GP80" s="1126"/>
      <c r="GQ80" s="1125"/>
      <c r="GR80" s="1124"/>
      <c r="GS80" s="1125"/>
      <c r="GT80" s="1124"/>
      <c r="GU80" s="1125"/>
      <c r="GV80" s="1126"/>
      <c r="GW80" s="1125"/>
      <c r="GX80" s="1168"/>
      <c r="GY80" s="1133"/>
      <c r="GZ80" s="1124"/>
      <c r="HA80" s="1125"/>
      <c r="HB80" s="1107">
        <v>3256.414583333333</v>
      </c>
      <c r="HC80" s="1108">
        <v>5.414E13</v>
      </c>
      <c r="HD80" s="1124"/>
      <c r="HE80" s="1125"/>
      <c r="HF80" s="1124"/>
      <c r="HG80" s="1125"/>
      <c r="HH80" s="1124"/>
      <c r="HI80" s="1125"/>
      <c r="HJ80" s="1124"/>
      <c r="HK80" s="1125"/>
      <c r="HL80" s="1124"/>
      <c r="HM80" s="1125"/>
      <c r="HN80" s="1126"/>
      <c r="HO80" s="1125"/>
      <c r="HP80" s="1124"/>
      <c r="HQ80" s="1125"/>
      <c r="HR80" s="1124"/>
      <c r="HS80" s="1125"/>
      <c r="HT80" s="1124"/>
      <c r="HU80" s="1125"/>
      <c r="HV80" s="1124"/>
      <c r="HW80" s="1125"/>
      <c r="HX80" s="1124"/>
      <c r="HY80" s="1125"/>
      <c r="HZ80" s="1124"/>
      <c r="IA80" s="1125"/>
      <c r="IB80" s="1124"/>
      <c r="IC80" s="1125"/>
      <c r="ID80" s="1124"/>
      <c r="IE80" s="1125"/>
      <c r="IF80" s="1124"/>
      <c r="IG80" s="1125"/>
      <c r="IH80" s="1124"/>
      <c r="II80" s="1125"/>
      <c r="IJ80" s="1124"/>
      <c r="IK80" s="1125"/>
      <c r="IL80" s="1124"/>
      <c r="IM80" s="1125"/>
      <c r="IN80" s="1124"/>
      <c r="IO80" s="1125"/>
      <c r="IP80" s="1124"/>
      <c r="IQ80" s="1125"/>
      <c r="IR80" s="1124"/>
      <c r="IS80" s="1125"/>
      <c r="IT80" s="1124"/>
      <c r="IU80" s="1125"/>
      <c r="IV80" s="1124"/>
      <c r="IW80" s="1125"/>
      <c r="IX80" s="1124"/>
      <c r="IY80" s="1125"/>
      <c r="IZ80" s="1124"/>
      <c r="JA80" s="1125"/>
      <c r="JB80" s="1124"/>
      <c r="JC80" s="1125"/>
      <c r="JD80" s="1124"/>
      <c r="JE80" s="1125"/>
      <c r="JF80" s="1124"/>
      <c r="JG80" s="1125"/>
      <c r="JH80" s="1124"/>
      <c r="JI80" s="1125"/>
      <c r="JJ80" s="1169"/>
      <c r="JK80" s="1167"/>
      <c r="JL80" s="1169"/>
      <c r="JM80" s="1167"/>
      <c r="JN80" s="1169"/>
      <c r="JO80" s="1167"/>
      <c r="JP80" s="1169"/>
      <c r="JQ80" s="1167"/>
      <c r="JR80" s="1169"/>
      <c r="JS80" s="1167"/>
      <c r="JT80" s="1169"/>
      <c r="JU80" s="1167"/>
      <c r="JV80" s="1169"/>
      <c r="JW80" s="1167"/>
      <c r="JX80" s="1169"/>
      <c r="JY80" s="1133"/>
      <c r="JZ80" s="1173">
        <v>7.173611111</v>
      </c>
      <c r="KA80" s="1120">
        <v>2.4806E11</v>
      </c>
      <c r="KB80" s="1169"/>
      <c r="KC80" s="1133"/>
      <c r="KD80" s="1169"/>
      <c r="KE80" s="1133"/>
      <c r="KF80" s="1133"/>
      <c r="KG80" s="1133"/>
      <c r="KH80" s="1133"/>
      <c r="KI80" s="1133"/>
      <c r="KJ80" s="1133"/>
      <c r="KK80" s="1133"/>
      <c r="KL80" s="1133"/>
      <c r="KM80" s="1133"/>
      <c r="KN80" s="1133"/>
      <c r="KO80" s="1133"/>
      <c r="KP80" s="1133"/>
      <c r="KQ80" s="1133"/>
      <c r="KR80" s="1133"/>
      <c r="KS80" s="1133"/>
      <c r="KT80" s="1133"/>
      <c r="KU80" s="1133"/>
      <c r="KV80" s="1133"/>
      <c r="KW80" s="1133"/>
      <c r="KX80" s="1133"/>
      <c r="KY80" s="1133"/>
      <c r="KZ80" s="1133"/>
      <c r="LA80" s="1133"/>
      <c r="LB80" s="1133"/>
      <c r="LC80" s="1133"/>
      <c r="LD80" s="1133"/>
      <c r="LE80" s="1133"/>
      <c r="LF80" s="1133"/>
      <c r="LG80" s="1133"/>
      <c r="LH80" s="1133"/>
      <c r="LI80" s="1133"/>
      <c r="LJ80" s="1133"/>
      <c r="LK80" s="1133"/>
      <c r="LL80" s="1133"/>
      <c r="LM80" s="1133"/>
      <c r="LN80" s="1133"/>
      <c r="LO80" s="1133"/>
      <c r="LP80" s="1133"/>
      <c r="LQ80" s="1133"/>
      <c r="LR80" s="1133"/>
      <c r="LS80" s="1133"/>
      <c r="LT80" s="1133"/>
      <c r="LU80" s="1133"/>
      <c r="LV80" s="1133"/>
      <c r="LW80" s="1133"/>
      <c r="LX80" s="1133"/>
      <c r="LY80" s="1133"/>
      <c r="LZ80" s="1133"/>
      <c r="MA80" s="1133"/>
      <c r="MB80" s="1133"/>
      <c r="MC80" s="1133"/>
      <c r="MD80" s="1133"/>
      <c r="ME80" s="1133"/>
      <c r="MF80" s="1133"/>
      <c r="MG80" s="1133"/>
      <c r="MH80" s="1133"/>
      <c r="MI80" s="1133"/>
      <c r="MJ80" s="1133"/>
      <c r="MK80" s="1133"/>
      <c r="ML80" s="1133"/>
      <c r="MM80" s="1133"/>
      <c r="MN80" s="1133"/>
      <c r="MO80" s="1133"/>
      <c r="MP80" s="1133"/>
      <c r="MQ80" s="1133"/>
      <c r="MR80" s="1133"/>
      <c r="MS80" s="1133"/>
      <c r="MT80" s="1133"/>
      <c r="MU80" s="1133"/>
      <c r="MV80" s="1133"/>
      <c r="MW80" s="1133"/>
      <c r="MX80" s="1133"/>
      <c r="MY80" s="1133"/>
    </row>
    <row r="81">
      <c r="A81" s="1071">
        <v>79.0</v>
      </c>
      <c r="B81" s="1124"/>
      <c r="C81" s="1126"/>
      <c r="D81" s="1072">
        <v>28.429166666666667</v>
      </c>
      <c r="E81" s="1073">
        <v>2240000.0</v>
      </c>
      <c r="F81" s="1072">
        <v>28.429166666666667</v>
      </c>
      <c r="G81" s="1073">
        <v>2240000.0</v>
      </c>
      <c r="H81" s="1072">
        <v>28.429166666666667</v>
      </c>
      <c r="I81" s="1073">
        <v>2240000.0</v>
      </c>
      <c r="J81" s="1072">
        <v>28.429166666666667</v>
      </c>
      <c r="K81" s="1073">
        <v>2240000.0</v>
      </c>
      <c r="L81" s="1072">
        <v>54.579861111111114</v>
      </c>
      <c r="M81" s="1075">
        <v>7310000.0</v>
      </c>
      <c r="N81" s="1076">
        <v>21.320138888888888</v>
      </c>
      <c r="O81" s="1073">
        <v>9540000.0</v>
      </c>
      <c r="P81" s="1124"/>
      <c r="Q81" s="1125"/>
      <c r="R81" s="1124"/>
      <c r="S81" s="1125"/>
      <c r="T81" s="1124"/>
      <c r="U81" s="1125"/>
      <c r="V81" s="1124"/>
      <c r="W81" s="1125"/>
      <c r="X81" s="1124"/>
      <c r="Y81" s="1125"/>
      <c r="Z81" s="1124"/>
      <c r="AA81" s="1125"/>
      <c r="AB81" s="1124"/>
      <c r="AC81" s="1125"/>
      <c r="AD81" s="1072">
        <v>85.31597222222223</v>
      </c>
      <c r="AE81" s="1080">
        <v>7.719363284E17</v>
      </c>
      <c r="AF81" s="1072">
        <v>85.31597222222223</v>
      </c>
      <c r="AG81" s="1080">
        <v>7.719363284E17</v>
      </c>
      <c r="AH81" s="1072">
        <v>85.31597222222223</v>
      </c>
      <c r="AI81" s="1080">
        <v>7.719363284E17</v>
      </c>
      <c r="AJ81" s="1081">
        <v>28.429166666666667</v>
      </c>
      <c r="AK81" s="1082">
        <v>2240000.0</v>
      </c>
      <c r="AL81" s="1081">
        <v>28.429166666666667</v>
      </c>
      <c r="AM81" s="1082">
        <v>2240000.0</v>
      </c>
      <c r="AN81" s="1081">
        <v>28.429166666666667</v>
      </c>
      <c r="AO81" s="1082">
        <v>2240000.0</v>
      </c>
      <c r="AP81" s="1081">
        <v>28.429166666666667</v>
      </c>
      <c r="AQ81" s="1082">
        <v>2240000.0</v>
      </c>
      <c r="AR81" s="1081">
        <v>28.429166666666667</v>
      </c>
      <c r="AS81" s="1082">
        <v>2240000.0</v>
      </c>
      <c r="AT81" s="1126"/>
      <c r="AU81" s="1125"/>
      <c r="AV81" s="1126"/>
      <c r="AW81" s="1125"/>
      <c r="AX81" s="1124"/>
      <c r="AY81" s="1175"/>
      <c r="AZ81" s="1124"/>
      <c r="BA81" s="1124"/>
      <c r="BB81" s="1083">
        <v>28.429166666666667</v>
      </c>
      <c r="BC81" s="1084">
        <v>2240000.0</v>
      </c>
      <c r="BD81" s="1083">
        <v>28.429166666666667</v>
      </c>
      <c r="BE81" s="1084">
        <v>2240000.0</v>
      </c>
      <c r="BF81" s="1083">
        <v>28.429166666666667</v>
      </c>
      <c r="BG81" s="1084">
        <v>2240000.0</v>
      </c>
      <c r="BH81" s="1124"/>
      <c r="BI81" s="1125"/>
      <c r="BJ81" s="1124"/>
      <c r="BK81" s="1125"/>
      <c r="BL81" s="1124"/>
      <c r="BM81" s="1125"/>
      <c r="BN81" s="1124"/>
      <c r="BO81" s="1125"/>
      <c r="BP81" s="1124"/>
      <c r="BQ81" s="1125"/>
      <c r="BR81" s="1126"/>
      <c r="BS81" s="1125"/>
      <c r="BT81" s="1126"/>
      <c r="BU81" s="1126"/>
      <c r="BV81" s="1126"/>
      <c r="BW81" s="1126"/>
      <c r="BX81" s="1126"/>
      <c r="BY81" s="1126"/>
      <c r="BZ81" s="1126"/>
      <c r="CA81" s="1126"/>
      <c r="CB81" s="1126"/>
      <c r="CC81" s="1125"/>
      <c r="CD81" s="1126"/>
      <c r="CE81" s="1126"/>
      <c r="CF81" s="1133"/>
      <c r="CG81" s="1167"/>
      <c r="CH81" s="1088">
        <v>28.429166666666667</v>
      </c>
      <c r="CI81" s="1089">
        <v>2240000.0</v>
      </c>
      <c r="CJ81" s="1088">
        <v>28.429166666666667</v>
      </c>
      <c r="CK81" s="1089">
        <v>2240000.0</v>
      </c>
      <c r="CL81" s="1088">
        <v>28.429166666666667</v>
      </c>
      <c r="CM81" s="1089">
        <v>2240000.0</v>
      </c>
      <c r="CN81" s="1088">
        <v>28.429166666666667</v>
      </c>
      <c r="CO81" s="1089">
        <v>2240000.0</v>
      </c>
      <c r="CP81" s="1088">
        <v>67.75347222222223</v>
      </c>
      <c r="CQ81" s="1089">
        <v>9540000.0</v>
      </c>
      <c r="CR81" s="1124"/>
      <c r="CS81" s="1125"/>
      <c r="CT81" s="1126"/>
      <c r="CU81" s="1125"/>
      <c r="CV81" s="1126"/>
      <c r="CW81" s="1125"/>
      <c r="CX81" s="1126"/>
      <c r="CY81" s="1125"/>
      <c r="CZ81" s="1126"/>
      <c r="DA81" s="1126"/>
      <c r="DB81" s="1126"/>
      <c r="DC81" s="1126"/>
      <c r="DD81" s="1126"/>
      <c r="DE81" s="1125"/>
      <c r="DF81" s="1124"/>
      <c r="DG81" s="1125"/>
      <c r="DH81" s="1124"/>
      <c r="DI81" s="1125"/>
      <c r="DJ81" s="1124"/>
      <c r="DK81" s="1125"/>
      <c r="DL81" s="1124"/>
      <c r="DM81" s="1125"/>
      <c r="DN81" s="1124"/>
      <c r="DO81" s="1125"/>
      <c r="DP81" s="1124"/>
      <c r="DQ81" s="1125"/>
      <c r="DR81" s="1124"/>
      <c r="DS81" s="1125"/>
      <c r="DT81" s="1124"/>
      <c r="DU81" s="1125"/>
      <c r="DV81" s="1126"/>
      <c r="DW81" s="1125"/>
      <c r="DX81" s="1124"/>
      <c r="DY81" s="1125"/>
      <c r="DZ81" s="1124"/>
      <c r="EA81" s="1125"/>
      <c r="EB81" s="1124"/>
      <c r="EC81" s="1125"/>
      <c r="ED81" s="1124"/>
      <c r="EE81" s="1125"/>
      <c r="EF81" s="1124"/>
      <c r="EG81" s="1125"/>
      <c r="EH81" s="1124"/>
      <c r="EI81" s="1125"/>
      <c r="EJ81" s="1169"/>
      <c r="EK81" s="1167"/>
      <c r="EL81" s="1169"/>
      <c r="EM81" s="1167"/>
      <c r="EN81" s="1124"/>
      <c r="EO81" s="1125"/>
      <c r="EP81" s="1124"/>
      <c r="EQ81" s="1125"/>
      <c r="ER81" s="1124"/>
      <c r="ES81" s="1125"/>
      <c r="ET81" s="1124"/>
      <c r="EU81" s="1125"/>
      <c r="EV81" s="1124"/>
      <c r="EW81" s="1125"/>
      <c r="EX81" s="1124"/>
      <c r="EY81" s="1125"/>
      <c r="EZ81" s="1124"/>
      <c r="FA81" s="1125"/>
      <c r="FB81" s="1126"/>
      <c r="FC81" s="1125"/>
      <c r="FD81" s="1126"/>
      <c r="FE81" s="1125"/>
      <c r="FF81" s="1126"/>
      <c r="FG81" s="1125"/>
      <c r="FH81" s="1126"/>
      <c r="FI81" s="1126"/>
      <c r="FJ81" s="1126"/>
      <c r="FK81" s="1125"/>
      <c r="FL81" s="1124"/>
      <c r="FM81" s="1125"/>
      <c r="FN81" s="1139"/>
      <c r="FO81" s="1126"/>
      <c r="FP81" s="1139"/>
      <c r="FQ81" s="1126"/>
      <c r="FR81" s="1139"/>
      <c r="FS81" s="1126"/>
      <c r="FT81" s="1139"/>
      <c r="FU81" s="1125"/>
      <c r="FV81" s="1139"/>
      <c r="FW81" s="1125"/>
      <c r="FX81" s="1179"/>
      <c r="FY81" s="1167"/>
      <c r="FZ81" s="1179"/>
      <c r="GA81" s="1167"/>
      <c r="GB81" s="1179"/>
      <c r="GC81" s="1167"/>
      <c r="GD81" s="1133"/>
      <c r="GE81" s="1167"/>
      <c r="GF81" s="1124"/>
      <c r="GG81" s="1125"/>
      <c r="GH81" s="1124"/>
      <c r="GI81" s="1125"/>
      <c r="GJ81" s="1124"/>
      <c r="GK81" s="1125"/>
      <c r="GL81" s="1124"/>
      <c r="GM81" s="1125"/>
      <c r="GN81" s="1126"/>
      <c r="GO81" s="1125"/>
      <c r="GP81" s="1126"/>
      <c r="GQ81" s="1125"/>
      <c r="GR81" s="1124"/>
      <c r="GS81" s="1125"/>
      <c r="GT81" s="1124"/>
      <c r="GU81" s="1125"/>
      <c r="GV81" s="1126"/>
      <c r="GW81" s="1125"/>
      <c r="GX81" s="1168"/>
      <c r="GY81" s="1133"/>
      <c r="GZ81" s="1124"/>
      <c r="HA81" s="1125"/>
      <c r="HB81" s="1107">
        <v>3406.49375</v>
      </c>
      <c r="HC81" s="1108">
        <v>5.774E13</v>
      </c>
      <c r="HD81" s="1124"/>
      <c r="HE81" s="1125"/>
      <c r="HF81" s="1124"/>
      <c r="HG81" s="1125"/>
      <c r="HH81" s="1124"/>
      <c r="HI81" s="1125"/>
      <c r="HJ81" s="1124"/>
      <c r="HK81" s="1125"/>
      <c r="HL81" s="1124"/>
      <c r="HM81" s="1125"/>
      <c r="HN81" s="1126"/>
      <c r="HO81" s="1125"/>
      <c r="HP81" s="1124"/>
      <c r="HQ81" s="1125"/>
      <c r="HR81" s="1124"/>
      <c r="HS81" s="1125"/>
      <c r="HT81" s="1124"/>
      <c r="HU81" s="1125"/>
      <c r="HV81" s="1124"/>
      <c r="HW81" s="1125"/>
      <c r="HX81" s="1124"/>
      <c r="HY81" s="1125"/>
      <c r="HZ81" s="1124"/>
      <c r="IA81" s="1125"/>
      <c r="IB81" s="1124"/>
      <c r="IC81" s="1125"/>
      <c r="ID81" s="1124"/>
      <c r="IE81" s="1125"/>
      <c r="IF81" s="1124"/>
      <c r="IG81" s="1125"/>
      <c r="IH81" s="1124"/>
      <c r="II81" s="1125"/>
      <c r="IJ81" s="1124"/>
      <c r="IK81" s="1125"/>
      <c r="IL81" s="1124"/>
      <c r="IM81" s="1125"/>
      <c r="IN81" s="1124"/>
      <c r="IO81" s="1125"/>
      <c r="IP81" s="1124"/>
      <c r="IQ81" s="1125"/>
      <c r="IR81" s="1124"/>
      <c r="IS81" s="1125"/>
      <c r="IT81" s="1124"/>
      <c r="IU81" s="1125"/>
      <c r="IV81" s="1124"/>
      <c r="IW81" s="1125"/>
      <c r="IX81" s="1124"/>
      <c r="IY81" s="1125"/>
      <c r="IZ81" s="1124"/>
      <c r="JA81" s="1125"/>
      <c r="JB81" s="1124"/>
      <c r="JC81" s="1125"/>
      <c r="JD81" s="1124"/>
      <c r="JE81" s="1125"/>
      <c r="JF81" s="1124"/>
      <c r="JG81" s="1125"/>
      <c r="JH81" s="1124"/>
      <c r="JI81" s="1125"/>
      <c r="JJ81" s="1169"/>
      <c r="JK81" s="1167"/>
      <c r="JL81" s="1169"/>
      <c r="JM81" s="1167"/>
      <c r="JN81" s="1169"/>
      <c r="JO81" s="1167"/>
      <c r="JP81" s="1169"/>
      <c r="JQ81" s="1167"/>
      <c r="JR81" s="1169"/>
      <c r="JS81" s="1167"/>
      <c r="JT81" s="1169"/>
      <c r="JU81" s="1167"/>
      <c r="JV81" s="1169"/>
      <c r="JW81" s="1167"/>
      <c r="JX81" s="1169"/>
      <c r="JY81" s="1133"/>
      <c r="JZ81" s="1173">
        <v>7.285555556</v>
      </c>
      <c r="KA81" s="1120">
        <v>2.5686E11</v>
      </c>
      <c r="KB81" s="1169"/>
      <c r="KC81" s="1133"/>
      <c r="KD81" s="1169"/>
      <c r="KE81" s="1133"/>
      <c r="KF81" s="1133"/>
      <c r="KG81" s="1133"/>
      <c r="KH81" s="1133"/>
      <c r="KI81" s="1133"/>
      <c r="KJ81" s="1133"/>
      <c r="KK81" s="1133"/>
      <c r="KL81" s="1133"/>
      <c r="KM81" s="1133"/>
      <c r="KN81" s="1133"/>
      <c r="KO81" s="1133"/>
      <c r="KP81" s="1133"/>
      <c r="KQ81" s="1133"/>
      <c r="KR81" s="1133"/>
      <c r="KS81" s="1133"/>
      <c r="KT81" s="1133"/>
      <c r="KU81" s="1133"/>
      <c r="KV81" s="1133"/>
      <c r="KW81" s="1133"/>
      <c r="KX81" s="1133"/>
      <c r="KY81" s="1133"/>
      <c r="KZ81" s="1133"/>
      <c r="LA81" s="1133"/>
      <c r="LB81" s="1133"/>
      <c r="LC81" s="1133"/>
      <c r="LD81" s="1133"/>
      <c r="LE81" s="1133"/>
      <c r="LF81" s="1133"/>
      <c r="LG81" s="1133"/>
      <c r="LH81" s="1133"/>
      <c r="LI81" s="1133"/>
      <c r="LJ81" s="1133"/>
      <c r="LK81" s="1133"/>
      <c r="LL81" s="1133"/>
      <c r="LM81" s="1133"/>
      <c r="LN81" s="1133"/>
      <c r="LO81" s="1133"/>
      <c r="LP81" s="1133"/>
      <c r="LQ81" s="1133"/>
      <c r="LR81" s="1133"/>
      <c r="LS81" s="1133"/>
      <c r="LT81" s="1133"/>
      <c r="LU81" s="1133"/>
      <c r="LV81" s="1133"/>
      <c r="LW81" s="1133"/>
      <c r="LX81" s="1133"/>
      <c r="LY81" s="1133"/>
      <c r="LZ81" s="1133"/>
      <c r="MA81" s="1133"/>
      <c r="MB81" s="1133"/>
      <c r="MC81" s="1133"/>
      <c r="MD81" s="1133"/>
      <c r="ME81" s="1133"/>
      <c r="MF81" s="1133"/>
      <c r="MG81" s="1133"/>
      <c r="MH81" s="1133"/>
      <c r="MI81" s="1133"/>
      <c r="MJ81" s="1133"/>
      <c r="MK81" s="1133"/>
      <c r="ML81" s="1133"/>
      <c r="MM81" s="1133"/>
      <c r="MN81" s="1133"/>
      <c r="MO81" s="1133"/>
      <c r="MP81" s="1133"/>
      <c r="MQ81" s="1133"/>
      <c r="MR81" s="1133"/>
      <c r="MS81" s="1133"/>
      <c r="MT81" s="1133"/>
      <c r="MU81" s="1133"/>
      <c r="MV81" s="1133"/>
      <c r="MW81" s="1133"/>
      <c r="MX81" s="1133"/>
      <c r="MY81" s="1133"/>
    </row>
    <row r="82">
      <c r="A82" s="1071">
        <v>80.0</v>
      </c>
      <c r="B82" s="1140"/>
      <c r="C82" s="1148"/>
      <c r="D82" s="1077">
        <v>29.306944444444444</v>
      </c>
      <c r="E82" s="1078">
        <v>2320000.0</v>
      </c>
      <c r="F82" s="1077">
        <v>29.306944444444444</v>
      </c>
      <c r="G82" s="1078">
        <v>2320000.0</v>
      </c>
      <c r="H82" s="1077">
        <v>29.306944444444444</v>
      </c>
      <c r="I82" s="1078">
        <v>2320000.0</v>
      </c>
      <c r="J82" s="1077">
        <v>29.306944444444444</v>
      </c>
      <c r="K82" s="1078">
        <v>2320000.0</v>
      </c>
      <c r="L82" s="1077">
        <v>56.37291666666667</v>
      </c>
      <c r="M82" s="1143">
        <v>7570000.0</v>
      </c>
      <c r="N82" s="1144">
        <v>21.85</v>
      </c>
      <c r="O82" s="1078">
        <v>9920000.0</v>
      </c>
      <c r="P82" s="1140"/>
      <c r="Q82" s="1141"/>
      <c r="R82" s="1140"/>
      <c r="S82" s="1141"/>
      <c r="T82" s="1140"/>
      <c r="U82" s="1141"/>
      <c r="V82" s="1140"/>
      <c r="W82" s="1141"/>
      <c r="X82" s="1140"/>
      <c r="Y82" s="1141"/>
      <c r="Z82" s="1140"/>
      <c r="AA82" s="1141"/>
      <c r="AB82" s="1140"/>
      <c r="AC82" s="1141"/>
      <c r="AD82" s="1077">
        <v>86.39583333333333</v>
      </c>
      <c r="AE82" s="1145">
        <v>1.003517227E18</v>
      </c>
      <c r="AF82" s="1077">
        <v>86.39583333333333</v>
      </c>
      <c r="AG82" s="1145">
        <v>1.003517227E18</v>
      </c>
      <c r="AH82" s="1077">
        <v>86.39583333333333</v>
      </c>
      <c r="AI82" s="1145">
        <v>1.003517227E18</v>
      </c>
      <c r="AJ82" s="1146">
        <v>29.306944444444444</v>
      </c>
      <c r="AK82" s="1147">
        <v>2320000.0</v>
      </c>
      <c r="AL82" s="1146">
        <v>29.306944444444444</v>
      </c>
      <c r="AM82" s="1147">
        <v>2320000.0</v>
      </c>
      <c r="AN82" s="1146">
        <v>29.306944444444444</v>
      </c>
      <c r="AO82" s="1147">
        <v>2320000.0</v>
      </c>
      <c r="AP82" s="1146">
        <v>29.306944444444444</v>
      </c>
      <c r="AQ82" s="1147">
        <v>2320000.0</v>
      </c>
      <c r="AR82" s="1146">
        <v>29.306944444444444</v>
      </c>
      <c r="AS82" s="1147">
        <v>2320000.0</v>
      </c>
      <c r="AT82" s="1148"/>
      <c r="AU82" s="1141"/>
      <c r="AV82" s="1148"/>
      <c r="AW82" s="1141"/>
      <c r="AX82" s="1140"/>
      <c r="AY82" s="1176"/>
      <c r="AZ82" s="1140"/>
      <c r="BA82" s="1140"/>
      <c r="BB82" s="1085">
        <v>29.306944444444444</v>
      </c>
      <c r="BC82" s="1086">
        <v>2320000.0</v>
      </c>
      <c r="BD82" s="1085">
        <v>29.306944444444444</v>
      </c>
      <c r="BE82" s="1086">
        <v>2320000.0</v>
      </c>
      <c r="BF82" s="1085">
        <v>29.306944444444444</v>
      </c>
      <c r="BG82" s="1086">
        <v>2320000.0</v>
      </c>
      <c r="BH82" s="1140"/>
      <c r="BI82" s="1141"/>
      <c r="BJ82" s="1140"/>
      <c r="BK82" s="1141"/>
      <c r="BL82" s="1140"/>
      <c r="BM82" s="1141"/>
      <c r="BN82" s="1140"/>
      <c r="BO82" s="1141"/>
      <c r="BP82" s="1140"/>
      <c r="BQ82" s="1141"/>
      <c r="BR82" s="1148"/>
      <c r="BS82" s="1141"/>
      <c r="BT82" s="1148"/>
      <c r="BU82" s="1148"/>
      <c r="BV82" s="1148"/>
      <c r="BW82" s="1148"/>
      <c r="BX82" s="1148"/>
      <c r="BY82" s="1148"/>
      <c r="BZ82" s="1148"/>
      <c r="CA82" s="1148"/>
      <c r="CB82" s="1148"/>
      <c r="CC82" s="1141"/>
      <c r="CD82" s="1148"/>
      <c r="CE82" s="1148"/>
      <c r="CF82" s="1157"/>
      <c r="CG82" s="1171"/>
      <c r="CH82" s="1090">
        <v>29.306944444444444</v>
      </c>
      <c r="CI82" s="1091">
        <v>2320000.0</v>
      </c>
      <c r="CJ82" s="1090">
        <v>29.306944444444444</v>
      </c>
      <c r="CK82" s="1091">
        <v>2320000.0</v>
      </c>
      <c r="CL82" s="1090">
        <v>29.306944444444444</v>
      </c>
      <c r="CM82" s="1091">
        <v>2320000.0</v>
      </c>
      <c r="CN82" s="1090">
        <v>29.306944444444444</v>
      </c>
      <c r="CO82" s="1091">
        <v>2320000.0</v>
      </c>
      <c r="CP82" s="1090">
        <v>70.02569444444444</v>
      </c>
      <c r="CQ82" s="1091">
        <v>9920000.0</v>
      </c>
      <c r="CR82" s="1140"/>
      <c r="CS82" s="1141"/>
      <c r="CT82" s="1148"/>
      <c r="CU82" s="1141"/>
      <c r="CV82" s="1148"/>
      <c r="CW82" s="1141"/>
      <c r="CX82" s="1148"/>
      <c r="CY82" s="1141"/>
      <c r="CZ82" s="1148"/>
      <c r="DA82" s="1148"/>
      <c r="DB82" s="1148"/>
      <c r="DC82" s="1148"/>
      <c r="DD82" s="1148"/>
      <c r="DE82" s="1141"/>
      <c r="DF82" s="1140"/>
      <c r="DG82" s="1141"/>
      <c r="DH82" s="1140"/>
      <c r="DI82" s="1141"/>
      <c r="DJ82" s="1140"/>
      <c r="DK82" s="1141"/>
      <c r="DL82" s="1140"/>
      <c r="DM82" s="1141"/>
      <c r="DN82" s="1140"/>
      <c r="DO82" s="1141"/>
      <c r="DP82" s="1140"/>
      <c r="DQ82" s="1141"/>
      <c r="DR82" s="1140"/>
      <c r="DS82" s="1141"/>
      <c r="DT82" s="1140"/>
      <c r="DU82" s="1141"/>
      <c r="DV82" s="1148"/>
      <c r="DW82" s="1141"/>
      <c r="DX82" s="1140"/>
      <c r="DY82" s="1141"/>
      <c r="DZ82" s="1140"/>
      <c r="EA82" s="1141"/>
      <c r="EB82" s="1140"/>
      <c r="EC82" s="1141"/>
      <c r="ED82" s="1140"/>
      <c r="EE82" s="1141"/>
      <c r="EF82" s="1140"/>
      <c r="EG82" s="1141"/>
      <c r="EH82" s="1140"/>
      <c r="EI82" s="1141"/>
      <c r="EJ82" s="1172"/>
      <c r="EK82" s="1171"/>
      <c r="EL82" s="1172"/>
      <c r="EM82" s="1171"/>
      <c r="EN82" s="1140"/>
      <c r="EO82" s="1141"/>
      <c r="EP82" s="1140"/>
      <c r="EQ82" s="1141"/>
      <c r="ER82" s="1140"/>
      <c r="ES82" s="1141"/>
      <c r="ET82" s="1140"/>
      <c r="EU82" s="1141"/>
      <c r="EV82" s="1140"/>
      <c r="EW82" s="1141"/>
      <c r="EX82" s="1140"/>
      <c r="EY82" s="1141"/>
      <c r="EZ82" s="1140"/>
      <c r="FA82" s="1141"/>
      <c r="FB82" s="1148"/>
      <c r="FC82" s="1141"/>
      <c r="FD82" s="1148"/>
      <c r="FE82" s="1141"/>
      <c r="FF82" s="1148"/>
      <c r="FG82" s="1141"/>
      <c r="FH82" s="1148"/>
      <c r="FI82" s="1148"/>
      <c r="FJ82" s="1148"/>
      <c r="FK82" s="1141"/>
      <c r="FL82" s="1140"/>
      <c r="FM82" s="1141"/>
      <c r="FN82" s="1152"/>
      <c r="FO82" s="1148"/>
      <c r="FP82" s="1152"/>
      <c r="FQ82" s="1148"/>
      <c r="FR82" s="1152"/>
      <c r="FS82" s="1148"/>
      <c r="FT82" s="1152"/>
      <c r="FU82" s="1141"/>
      <c r="FV82" s="1152"/>
      <c r="FW82" s="1141"/>
      <c r="FX82" s="1181"/>
      <c r="FY82" s="1171"/>
      <c r="FZ82" s="1181"/>
      <c r="GA82" s="1171"/>
      <c r="GB82" s="1181"/>
      <c r="GC82" s="1171"/>
      <c r="GD82" s="1157"/>
      <c r="GE82" s="1171"/>
      <c r="GF82" s="1140"/>
      <c r="GG82" s="1141"/>
      <c r="GH82" s="1140"/>
      <c r="GI82" s="1141"/>
      <c r="GJ82" s="1140"/>
      <c r="GK82" s="1141"/>
      <c r="GL82" s="1140"/>
      <c r="GM82" s="1141"/>
      <c r="GN82" s="1148"/>
      <c r="GO82" s="1141"/>
      <c r="GP82" s="1148"/>
      <c r="GQ82" s="1141"/>
      <c r="GR82" s="1140"/>
      <c r="GS82" s="1141"/>
      <c r="GT82" s="1140"/>
      <c r="GU82" s="1141"/>
      <c r="GV82" s="1148"/>
      <c r="GW82" s="1141"/>
      <c r="GX82" s="1156"/>
      <c r="GY82" s="1157"/>
      <c r="GZ82" s="1140"/>
      <c r="HA82" s="1141"/>
      <c r="HB82" s="1158">
        <v>3561.45625</v>
      </c>
      <c r="HC82" s="1159">
        <v>6.154E13</v>
      </c>
      <c r="HD82" s="1140"/>
      <c r="HE82" s="1141"/>
      <c r="HF82" s="1140"/>
      <c r="HG82" s="1141"/>
      <c r="HH82" s="1140"/>
      <c r="HI82" s="1141"/>
      <c r="HJ82" s="1140"/>
      <c r="HK82" s="1141"/>
      <c r="HL82" s="1140"/>
      <c r="HM82" s="1141"/>
      <c r="HN82" s="1148"/>
      <c r="HO82" s="1141"/>
      <c r="HP82" s="1140"/>
      <c r="HQ82" s="1141"/>
      <c r="HR82" s="1140"/>
      <c r="HS82" s="1141"/>
      <c r="HT82" s="1140"/>
      <c r="HU82" s="1141"/>
      <c r="HV82" s="1140"/>
      <c r="HW82" s="1141"/>
      <c r="HX82" s="1140"/>
      <c r="HY82" s="1141"/>
      <c r="HZ82" s="1140"/>
      <c r="IA82" s="1141"/>
      <c r="IB82" s="1140"/>
      <c r="IC82" s="1141"/>
      <c r="ID82" s="1140"/>
      <c r="IE82" s="1141"/>
      <c r="IF82" s="1140"/>
      <c r="IG82" s="1141"/>
      <c r="IH82" s="1140"/>
      <c r="II82" s="1141"/>
      <c r="IJ82" s="1140"/>
      <c r="IK82" s="1141"/>
      <c r="IL82" s="1140"/>
      <c r="IM82" s="1141"/>
      <c r="IN82" s="1140"/>
      <c r="IO82" s="1141"/>
      <c r="IP82" s="1140"/>
      <c r="IQ82" s="1141"/>
      <c r="IR82" s="1140"/>
      <c r="IS82" s="1141"/>
      <c r="IT82" s="1140"/>
      <c r="IU82" s="1141"/>
      <c r="IV82" s="1140"/>
      <c r="IW82" s="1141"/>
      <c r="IX82" s="1140"/>
      <c r="IY82" s="1141"/>
      <c r="IZ82" s="1140"/>
      <c r="JA82" s="1141"/>
      <c r="JB82" s="1140"/>
      <c r="JC82" s="1141"/>
      <c r="JD82" s="1140"/>
      <c r="JE82" s="1141"/>
      <c r="JF82" s="1140"/>
      <c r="JG82" s="1141"/>
      <c r="JH82" s="1140"/>
      <c r="JI82" s="1141"/>
      <c r="JJ82" s="1172"/>
      <c r="JK82" s="1171"/>
      <c r="JL82" s="1172"/>
      <c r="JM82" s="1171"/>
      <c r="JN82" s="1172"/>
      <c r="JO82" s="1171"/>
      <c r="JP82" s="1172"/>
      <c r="JQ82" s="1171"/>
      <c r="JR82" s="1172"/>
      <c r="JS82" s="1171"/>
      <c r="JT82" s="1172"/>
      <c r="JU82" s="1171"/>
      <c r="JV82" s="1172"/>
      <c r="JW82" s="1171"/>
      <c r="JX82" s="1169"/>
      <c r="JY82" s="1133"/>
      <c r="JZ82" s="1173">
        <v>7.398391204</v>
      </c>
      <c r="KA82" s="1120">
        <v>2.6584E11</v>
      </c>
      <c r="KB82" s="1169"/>
      <c r="KC82" s="1133"/>
      <c r="KD82" s="1169"/>
      <c r="KE82" s="1133"/>
      <c r="KF82" s="1133"/>
      <c r="KG82" s="1133"/>
      <c r="KH82" s="1133"/>
      <c r="KI82" s="1133"/>
      <c r="KJ82" s="1133"/>
      <c r="KK82" s="1133"/>
      <c r="KL82" s="1133"/>
      <c r="KM82" s="1133"/>
      <c r="KN82" s="1133"/>
      <c r="KO82" s="1133"/>
      <c r="KP82" s="1133"/>
      <c r="KQ82" s="1133"/>
      <c r="KR82" s="1133"/>
      <c r="KS82" s="1133"/>
      <c r="KT82" s="1133"/>
      <c r="KU82" s="1133"/>
      <c r="KV82" s="1133"/>
      <c r="KW82" s="1133"/>
      <c r="KX82" s="1133"/>
      <c r="KY82" s="1133"/>
      <c r="KZ82" s="1133"/>
      <c r="LA82" s="1133"/>
      <c r="LB82" s="1133"/>
      <c r="LC82" s="1133"/>
      <c r="LD82" s="1133"/>
      <c r="LE82" s="1133"/>
      <c r="LF82" s="1133"/>
      <c r="LG82" s="1133"/>
      <c r="LH82" s="1133"/>
      <c r="LI82" s="1133"/>
      <c r="LJ82" s="1133"/>
      <c r="LK82" s="1133"/>
      <c r="LL82" s="1157"/>
      <c r="LM82" s="1157"/>
      <c r="LN82" s="1133"/>
      <c r="LO82" s="1133"/>
      <c r="LP82" s="1133"/>
      <c r="LQ82" s="1133"/>
      <c r="LR82" s="1133"/>
      <c r="LS82" s="1133"/>
      <c r="LT82" s="1133"/>
      <c r="LU82" s="1133"/>
      <c r="LV82" s="1133"/>
      <c r="LW82" s="1133"/>
      <c r="LX82" s="1133"/>
      <c r="LY82" s="1133"/>
      <c r="LZ82" s="1133"/>
      <c r="MA82" s="1133"/>
      <c r="MB82" s="1133"/>
      <c r="MC82" s="1133"/>
      <c r="MD82" s="1133"/>
      <c r="ME82" s="1133"/>
      <c r="MF82" s="1133"/>
      <c r="MG82" s="1133"/>
      <c r="MH82" s="1133"/>
      <c r="MI82" s="1133"/>
      <c r="MJ82" s="1133"/>
      <c r="MK82" s="1133"/>
      <c r="ML82" s="1133"/>
      <c r="MM82" s="1133"/>
      <c r="MN82" s="1133"/>
      <c r="MO82" s="1133"/>
      <c r="MP82" s="1133"/>
      <c r="MQ82" s="1133"/>
      <c r="MR82" s="1133"/>
      <c r="MS82" s="1133"/>
      <c r="MT82" s="1133"/>
      <c r="MU82" s="1133"/>
      <c r="MV82" s="1133"/>
      <c r="MW82" s="1133"/>
      <c r="MX82" s="1133"/>
      <c r="MY82" s="1133"/>
    </row>
    <row r="83">
      <c r="A83" s="1071">
        <v>81.0</v>
      </c>
      <c r="B83" s="1124"/>
      <c r="C83" s="1126"/>
      <c r="D83" s="1072">
        <v>30.2</v>
      </c>
      <c r="E83" s="1073">
        <v>2400000.0</v>
      </c>
      <c r="F83" s="1072">
        <v>30.2</v>
      </c>
      <c r="G83" s="1073">
        <v>2400000.0</v>
      </c>
      <c r="H83" s="1072">
        <v>30.2</v>
      </c>
      <c r="I83" s="1073">
        <v>2400000.0</v>
      </c>
      <c r="J83" s="1072">
        <v>30.2</v>
      </c>
      <c r="K83" s="1073">
        <v>2400000.0</v>
      </c>
      <c r="L83" s="1072">
        <v>58.201388888888886</v>
      </c>
      <c r="M83" s="1075">
        <v>7840000.0</v>
      </c>
      <c r="N83" s="1076">
        <v>22.384722222222223</v>
      </c>
      <c r="O83" s="1073">
        <v>1.032E7</v>
      </c>
      <c r="P83" s="1124"/>
      <c r="Q83" s="1125"/>
      <c r="R83" s="1124"/>
      <c r="S83" s="1125"/>
      <c r="T83" s="1124"/>
      <c r="U83" s="1125"/>
      <c r="V83" s="1124"/>
      <c r="W83" s="1125"/>
      <c r="X83" s="1124"/>
      <c r="Y83" s="1125"/>
      <c r="Z83" s="1124"/>
      <c r="AA83" s="1125"/>
      <c r="AB83" s="1124"/>
      <c r="AC83" s="1125"/>
      <c r="AD83" s="1072">
        <v>87.47569444444444</v>
      </c>
      <c r="AE83" s="1080">
        <v>1.304572395E18</v>
      </c>
      <c r="AF83" s="1072">
        <v>87.47569444444444</v>
      </c>
      <c r="AG83" s="1080">
        <v>1.304572395E18</v>
      </c>
      <c r="AH83" s="1072">
        <v>87.47569444444444</v>
      </c>
      <c r="AI83" s="1080">
        <v>1.304572395E18</v>
      </c>
      <c r="AJ83" s="1081">
        <v>30.2</v>
      </c>
      <c r="AK83" s="1082">
        <v>2400000.0</v>
      </c>
      <c r="AL83" s="1081">
        <v>30.2</v>
      </c>
      <c r="AM83" s="1082">
        <v>2400000.0</v>
      </c>
      <c r="AN83" s="1081">
        <v>30.2</v>
      </c>
      <c r="AO83" s="1082">
        <v>2400000.0</v>
      </c>
      <c r="AP83" s="1126"/>
      <c r="AQ83" s="1125"/>
      <c r="AR83" s="1081">
        <v>30.2</v>
      </c>
      <c r="AS83" s="1082">
        <v>2400000.0</v>
      </c>
      <c r="AT83" s="1126"/>
      <c r="AU83" s="1125"/>
      <c r="AV83" s="1126"/>
      <c r="AW83" s="1125"/>
      <c r="AX83" s="1124"/>
      <c r="AY83" s="1175"/>
      <c r="AZ83" s="1124"/>
      <c r="BA83" s="1124"/>
      <c r="BB83" s="1083">
        <v>30.2</v>
      </c>
      <c r="BC83" s="1084">
        <v>2400000.0</v>
      </c>
      <c r="BD83" s="1083">
        <v>30.2</v>
      </c>
      <c r="BE83" s="1084">
        <v>2400000.0</v>
      </c>
      <c r="BF83" s="1083">
        <v>30.2</v>
      </c>
      <c r="BG83" s="1084">
        <v>2400000.0</v>
      </c>
      <c r="BH83" s="1124"/>
      <c r="BI83" s="1125"/>
      <c r="BJ83" s="1124"/>
      <c r="BK83" s="1125"/>
      <c r="BL83" s="1124"/>
      <c r="BM83" s="1125"/>
      <c r="BN83" s="1124"/>
      <c r="BO83" s="1125"/>
      <c r="BP83" s="1124"/>
      <c r="BQ83" s="1125"/>
      <c r="BR83" s="1126"/>
      <c r="BS83" s="1125"/>
      <c r="BT83" s="1126"/>
      <c r="BU83" s="1126"/>
      <c r="BV83" s="1126"/>
      <c r="BW83" s="1126"/>
      <c r="BX83" s="1126"/>
      <c r="BY83" s="1126"/>
      <c r="BZ83" s="1126"/>
      <c r="CA83" s="1126"/>
      <c r="CB83" s="1126"/>
      <c r="CC83" s="1125"/>
      <c r="CD83" s="1126"/>
      <c r="CE83" s="1126"/>
      <c r="CF83" s="1133"/>
      <c r="CG83" s="1167"/>
      <c r="CH83" s="1088">
        <v>30.2</v>
      </c>
      <c r="CI83" s="1089">
        <v>2400000.0</v>
      </c>
      <c r="CJ83" s="1088">
        <v>30.2</v>
      </c>
      <c r="CK83" s="1089">
        <v>2400000.0</v>
      </c>
      <c r="CL83" s="1088">
        <v>30.2</v>
      </c>
      <c r="CM83" s="1089">
        <v>2400000.0</v>
      </c>
      <c r="CN83" s="1088">
        <v>30.2</v>
      </c>
      <c r="CO83" s="1089">
        <v>2400000.0</v>
      </c>
      <c r="CP83" s="1088">
        <v>72.34444444444443</v>
      </c>
      <c r="CQ83" s="1089">
        <v>1.032E7</v>
      </c>
      <c r="CR83" s="1124"/>
      <c r="CS83" s="1125"/>
      <c r="CT83" s="1126"/>
      <c r="CU83" s="1125"/>
      <c r="CV83" s="1126"/>
      <c r="CW83" s="1125"/>
      <c r="CX83" s="1126"/>
      <c r="CY83" s="1125"/>
      <c r="CZ83" s="1126"/>
      <c r="DA83" s="1126"/>
      <c r="DB83" s="1126"/>
      <c r="DC83" s="1126"/>
      <c r="DD83" s="1126"/>
      <c r="DE83" s="1125"/>
      <c r="DF83" s="1124"/>
      <c r="DG83" s="1125"/>
      <c r="DH83" s="1124"/>
      <c r="DI83" s="1125"/>
      <c r="DJ83" s="1124"/>
      <c r="DK83" s="1125"/>
      <c r="DL83" s="1124"/>
      <c r="DM83" s="1125"/>
      <c r="DN83" s="1124"/>
      <c r="DO83" s="1125"/>
      <c r="DP83" s="1124"/>
      <c r="DQ83" s="1125"/>
      <c r="DR83" s="1124"/>
      <c r="DS83" s="1125"/>
      <c r="DT83" s="1124"/>
      <c r="DU83" s="1125"/>
      <c r="DV83" s="1126"/>
      <c r="DW83" s="1125"/>
      <c r="DX83" s="1124"/>
      <c r="DY83" s="1125"/>
      <c r="DZ83" s="1124"/>
      <c r="EA83" s="1125"/>
      <c r="EB83" s="1124"/>
      <c r="EC83" s="1125"/>
      <c r="ED83" s="1124"/>
      <c r="EE83" s="1125"/>
      <c r="EF83" s="1124"/>
      <c r="EG83" s="1125"/>
      <c r="EH83" s="1124"/>
      <c r="EI83" s="1125"/>
      <c r="EJ83" s="1169"/>
      <c r="EK83" s="1167"/>
      <c r="EL83" s="1169"/>
      <c r="EM83" s="1167"/>
      <c r="EN83" s="1124"/>
      <c r="EO83" s="1125"/>
      <c r="EP83" s="1124"/>
      <c r="EQ83" s="1125"/>
      <c r="ER83" s="1124"/>
      <c r="ES83" s="1125"/>
      <c r="ET83" s="1124"/>
      <c r="EU83" s="1125"/>
      <c r="EV83" s="1124"/>
      <c r="EW83" s="1125"/>
      <c r="EX83" s="1124"/>
      <c r="EY83" s="1125"/>
      <c r="EZ83" s="1124"/>
      <c r="FA83" s="1125"/>
      <c r="FB83" s="1126"/>
      <c r="FC83" s="1125"/>
      <c r="FD83" s="1126"/>
      <c r="FE83" s="1125"/>
      <c r="FF83" s="1126"/>
      <c r="FG83" s="1125"/>
      <c r="FH83" s="1126"/>
      <c r="FI83" s="1126"/>
      <c r="FJ83" s="1126"/>
      <c r="FK83" s="1125"/>
      <c r="FL83" s="1124"/>
      <c r="FM83" s="1125"/>
      <c r="FN83" s="1139"/>
      <c r="FO83" s="1126"/>
      <c r="FP83" s="1139"/>
      <c r="FQ83" s="1126"/>
      <c r="FR83" s="1139"/>
      <c r="FS83" s="1126"/>
      <c r="FT83" s="1139"/>
      <c r="FU83" s="1125"/>
      <c r="FV83" s="1139"/>
      <c r="FW83" s="1125"/>
      <c r="FX83" s="1179"/>
      <c r="FY83" s="1167"/>
      <c r="FZ83" s="1179"/>
      <c r="GA83" s="1167"/>
      <c r="GB83" s="1179"/>
      <c r="GC83" s="1167"/>
      <c r="GD83" s="1133"/>
      <c r="GE83" s="1167"/>
      <c r="GF83" s="1124"/>
      <c r="GG83" s="1125"/>
      <c r="GH83" s="1124"/>
      <c r="GI83" s="1125"/>
      <c r="GJ83" s="1124"/>
      <c r="GK83" s="1125"/>
      <c r="GL83" s="1124"/>
      <c r="GM83" s="1125"/>
      <c r="GN83" s="1126"/>
      <c r="GO83" s="1125"/>
      <c r="GP83" s="1126"/>
      <c r="GQ83" s="1125"/>
      <c r="GR83" s="1124"/>
      <c r="GS83" s="1125"/>
      <c r="GT83" s="1124"/>
      <c r="GU83" s="1125"/>
      <c r="GV83" s="1126"/>
      <c r="GW83" s="1125"/>
      <c r="GX83" s="1168"/>
      <c r="GY83" s="1133"/>
      <c r="GZ83" s="1124"/>
      <c r="HA83" s="1125"/>
      <c r="HB83" s="1107">
        <v>3721.396527777778</v>
      </c>
      <c r="HC83" s="1108">
        <v>6.554E13</v>
      </c>
      <c r="HD83" s="1124"/>
      <c r="HE83" s="1125"/>
      <c r="HF83" s="1124"/>
      <c r="HG83" s="1125"/>
      <c r="HH83" s="1124"/>
      <c r="HI83" s="1125"/>
      <c r="HJ83" s="1124"/>
      <c r="HK83" s="1125"/>
      <c r="HL83" s="1124"/>
      <c r="HM83" s="1125"/>
      <c r="HN83" s="1126"/>
      <c r="HO83" s="1125"/>
      <c r="HP83" s="1124"/>
      <c r="HQ83" s="1125"/>
      <c r="HR83" s="1124"/>
      <c r="HS83" s="1125"/>
      <c r="HT83" s="1124"/>
      <c r="HU83" s="1125"/>
      <c r="HV83" s="1124"/>
      <c r="HW83" s="1125"/>
      <c r="HX83" s="1124"/>
      <c r="HY83" s="1125"/>
      <c r="HZ83" s="1124"/>
      <c r="IA83" s="1125"/>
      <c r="IB83" s="1124"/>
      <c r="IC83" s="1125"/>
      <c r="ID83" s="1124"/>
      <c r="IE83" s="1125"/>
      <c r="IF83" s="1124"/>
      <c r="IG83" s="1125"/>
      <c r="IH83" s="1124"/>
      <c r="II83" s="1125"/>
      <c r="IJ83" s="1124"/>
      <c r="IK83" s="1125"/>
      <c r="IL83" s="1124"/>
      <c r="IM83" s="1125"/>
      <c r="IN83" s="1124"/>
      <c r="IO83" s="1125"/>
      <c r="IP83" s="1124"/>
      <c r="IQ83" s="1125"/>
      <c r="IR83" s="1124"/>
      <c r="IS83" s="1125"/>
      <c r="IT83" s="1124"/>
      <c r="IU83" s="1125"/>
      <c r="IV83" s="1124"/>
      <c r="IW83" s="1125"/>
      <c r="IX83" s="1124"/>
      <c r="IY83" s="1125"/>
      <c r="IZ83" s="1124"/>
      <c r="JA83" s="1125"/>
      <c r="JB83" s="1124"/>
      <c r="JC83" s="1125"/>
      <c r="JD83" s="1124"/>
      <c r="JE83" s="1125"/>
      <c r="JF83" s="1124"/>
      <c r="JG83" s="1125"/>
      <c r="JH83" s="1124"/>
      <c r="JI83" s="1125"/>
      <c r="JJ83" s="1169"/>
      <c r="JK83" s="1167"/>
      <c r="JL83" s="1169"/>
      <c r="JM83" s="1167"/>
      <c r="JN83" s="1169"/>
      <c r="JO83" s="1167"/>
      <c r="JP83" s="1169"/>
      <c r="JQ83" s="1167"/>
      <c r="JR83" s="1169"/>
      <c r="JS83" s="1167"/>
      <c r="JT83" s="1169"/>
      <c r="JU83" s="1167"/>
      <c r="JV83" s="1169"/>
      <c r="JW83" s="1167"/>
      <c r="JX83" s="1169"/>
      <c r="JY83" s="1133"/>
      <c r="JZ83" s="1173">
        <v>7.512118056</v>
      </c>
      <c r="KA83" s="1120">
        <v>2.7503E11</v>
      </c>
      <c r="KB83" s="1169"/>
      <c r="KC83" s="1133"/>
      <c r="KD83" s="1169"/>
      <c r="KE83" s="1133"/>
      <c r="KF83" s="1133"/>
      <c r="KG83" s="1133"/>
      <c r="KH83" s="1133"/>
      <c r="KI83" s="1133"/>
      <c r="KJ83" s="1133"/>
      <c r="KK83" s="1133"/>
      <c r="KL83" s="1133"/>
      <c r="KM83" s="1133"/>
      <c r="KN83" s="1133"/>
      <c r="KO83" s="1133"/>
      <c r="KP83" s="1133"/>
      <c r="KQ83" s="1133"/>
      <c r="KR83" s="1133"/>
      <c r="KS83" s="1133"/>
      <c r="KT83" s="1133"/>
      <c r="KU83" s="1133"/>
      <c r="KV83" s="1133"/>
      <c r="KW83" s="1133"/>
      <c r="KX83" s="1133"/>
      <c r="KY83" s="1133"/>
      <c r="KZ83" s="1133"/>
      <c r="LA83" s="1133"/>
      <c r="LB83" s="1133"/>
      <c r="LC83" s="1133"/>
      <c r="LD83" s="1133"/>
      <c r="LE83" s="1133"/>
      <c r="LF83" s="1133"/>
      <c r="LG83" s="1133"/>
      <c r="LH83" s="1133"/>
      <c r="LI83" s="1133"/>
      <c r="LJ83" s="1133"/>
      <c r="LK83" s="1133"/>
      <c r="LL83" s="1133"/>
      <c r="LM83" s="1133"/>
      <c r="LN83" s="1133"/>
      <c r="LO83" s="1133"/>
      <c r="LP83" s="1133"/>
      <c r="LQ83" s="1133"/>
      <c r="LR83" s="1133"/>
      <c r="LS83" s="1133"/>
      <c r="LT83" s="1133"/>
      <c r="LU83" s="1133"/>
      <c r="LV83" s="1133"/>
      <c r="LW83" s="1133"/>
      <c r="LX83" s="1133"/>
      <c r="LY83" s="1133"/>
      <c r="LZ83" s="1133"/>
      <c r="MA83" s="1133"/>
      <c r="MB83" s="1133"/>
      <c r="MC83" s="1133"/>
      <c r="MD83" s="1133"/>
      <c r="ME83" s="1133"/>
      <c r="MF83" s="1133"/>
      <c r="MG83" s="1133"/>
      <c r="MH83" s="1133"/>
      <c r="MI83" s="1133"/>
      <c r="MJ83" s="1133"/>
      <c r="MK83" s="1133"/>
      <c r="ML83" s="1133"/>
      <c r="MM83" s="1133"/>
      <c r="MN83" s="1133"/>
      <c r="MO83" s="1133"/>
      <c r="MP83" s="1133"/>
      <c r="MQ83" s="1133"/>
      <c r="MR83" s="1133"/>
      <c r="MS83" s="1133"/>
      <c r="MT83" s="1133"/>
      <c r="MU83" s="1133"/>
      <c r="MV83" s="1133"/>
      <c r="MW83" s="1133"/>
      <c r="MX83" s="1133"/>
      <c r="MY83" s="1133"/>
    </row>
    <row r="84">
      <c r="A84" s="1071">
        <v>82.0</v>
      </c>
      <c r="B84" s="1124"/>
      <c r="C84" s="1126"/>
      <c r="D84" s="1072">
        <v>31.10902777777778</v>
      </c>
      <c r="E84" s="1073">
        <v>2480000.0</v>
      </c>
      <c r="F84" s="1072">
        <v>31.10902777777778</v>
      </c>
      <c r="G84" s="1073">
        <v>2480000.0</v>
      </c>
      <c r="H84" s="1072">
        <v>31.10902777777778</v>
      </c>
      <c r="I84" s="1073">
        <v>2480000.0</v>
      </c>
      <c r="J84" s="1072">
        <v>31.10902777777778</v>
      </c>
      <c r="K84" s="1073">
        <v>2480000.0</v>
      </c>
      <c r="L84" s="1072">
        <v>60.06527777777778</v>
      </c>
      <c r="M84" s="1075">
        <v>8120000.0</v>
      </c>
      <c r="N84" s="1076">
        <v>22.925694444444446</v>
      </c>
      <c r="O84" s="1073">
        <v>1.072E7</v>
      </c>
      <c r="P84" s="1124"/>
      <c r="Q84" s="1125"/>
      <c r="R84" s="1124"/>
      <c r="S84" s="1125"/>
      <c r="T84" s="1124"/>
      <c r="U84" s="1125"/>
      <c r="V84" s="1124"/>
      <c r="W84" s="1125"/>
      <c r="X84" s="1124"/>
      <c r="Y84" s="1125"/>
      <c r="Z84" s="1124"/>
      <c r="AA84" s="1125"/>
      <c r="AB84" s="1124"/>
      <c r="AC84" s="1125"/>
      <c r="AD84" s="1072">
        <v>88.55555555555556</v>
      </c>
      <c r="AE84" s="1080">
        <v>1.695944114E18</v>
      </c>
      <c r="AF84" s="1072">
        <v>88.55555555555556</v>
      </c>
      <c r="AG84" s="1080">
        <v>1.695944114E18</v>
      </c>
      <c r="AH84" s="1072">
        <v>88.55555555555556</v>
      </c>
      <c r="AI84" s="1080">
        <v>1.695944114E18</v>
      </c>
      <c r="AJ84" s="1081">
        <v>31.10902777777778</v>
      </c>
      <c r="AK84" s="1082">
        <v>2480000.0</v>
      </c>
      <c r="AL84" s="1081">
        <v>31.10902777777778</v>
      </c>
      <c r="AM84" s="1082">
        <v>2480000.0</v>
      </c>
      <c r="AN84" s="1081">
        <v>31.10902777777778</v>
      </c>
      <c r="AO84" s="1082">
        <v>2480000.0</v>
      </c>
      <c r="AP84" s="1126"/>
      <c r="AQ84" s="1125"/>
      <c r="AR84" s="1081">
        <v>31.10902777777778</v>
      </c>
      <c r="AS84" s="1082">
        <v>2480000.0</v>
      </c>
      <c r="AT84" s="1126"/>
      <c r="AU84" s="1125"/>
      <c r="AV84" s="1126"/>
      <c r="AW84" s="1125"/>
      <c r="AX84" s="1124"/>
      <c r="AY84" s="1175"/>
      <c r="AZ84" s="1124"/>
      <c r="BA84" s="1124"/>
      <c r="BB84" s="1083">
        <v>31.10902777777778</v>
      </c>
      <c r="BC84" s="1084">
        <v>2480000.0</v>
      </c>
      <c r="BD84" s="1083">
        <v>31.10902777777778</v>
      </c>
      <c r="BE84" s="1084">
        <v>2480000.0</v>
      </c>
      <c r="BF84" s="1083">
        <v>31.10902777777778</v>
      </c>
      <c r="BG84" s="1084">
        <v>2480000.0</v>
      </c>
      <c r="BH84" s="1124"/>
      <c r="BI84" s="1125"/>
      <c r="BJ84" s="1124"/>
      <c r="BK84" s="1125"/>
      <c r="BL84" s="1124"/>
      <c r="BM84" s="1125"/>
      <c r="BN84" s="1124"/>
      <c r="BO84" s="1125"/>
      <c r="BP84" s="1124"/>
      <c r="BQ84" s="1125"/>
      <c r="BR84" s="1126"/>
      <c r="BS84" s="1125"/>
      <c r="BT84" s="1126"/>
      <c r="BU84" s="1126"/>
      <c r="BV84" s="1126"/>
      <c r="BW84" s="1126"/>
      <c r="BX84" s="1126"/>
      <c r="BY84" s="1126"/>
      <c r="BZ84" s="1126"/>
      <c r="CA84" s="1126"/>
      <c r="CB84" s="1126"/>
      <c r="CC84" s="1125"/>
      <c r="CD84" s="1126"/>
      <c r="CE84" s="1126"/>
      <c r="CF84" s="1133"/>
      <c r="CG84" s="1167"/>
      <c r="CH84" s="1088">
        <v>31.10902777777778</v>
      </c>
      <c r="CI84" s="1089">
        <v>2480000.0</v>
      </c>
      <c r="CJ84" s="1088">
        <v>31.10902777777778</v>
      </c>
      <c r="CK84" s="1089">
        <v>2480000.0</v>
      </c>
      <c r="CL84" s="1088">
        <v>31.10902777777778</v>
      </c>
      <c r="CM84" s="1089">
        <v>2480000.0</v>
      </c>
      <c r="CN84" s="1088">
        <v>31.10902777777778</v>
      </c>
      <c r="CO84" s="1089">
        <v>2480000.0</v>
      </c>
      <c r="CP84" s="1088">
        <v>74.70972222222221</v>
      </c>
      <c r="CQ84" s="1089">
        <v>1.072E7</v>
      </c>
      <c r="CR84" s="1124"/>
      <c r="CS84" s="1125"/>
      <c r="CT84" s="1126"/>
      <c r="CU84" s="1125"/>
      <c r="CV84" s="1126"/>
      <c r="CW84" s="1125"/>
      <c r="CX84" s="1126"/>
      <c r="CY84" s="1125"/>
      <c r="CZ84" s="1126"/>
      <c r="DA84" s="1126"/>
      <c r="DB84" s="1126"/>
      <c r="DC84" s="1126"/>
      <c r="DD84" s="1126"/>
      <c r="DE84" s="1125"/>
      <c r="DF84" s="1124"/>
      <c r="DG84" s="1125"/>
      <c r="DH84" s="1124"/>
      <c r="DI84" s="1125"/>
      <c r="DJ84" s="1124"/>
      <c r="DK84" s="1125"/>
      <c r="DL84" s="1124"/>
      <c r="DM84" s="1125"/>
      <c r="DN84" s="1124"/>
      <c r="DO84" s="1125"/>
      <c r="DP84" s="1124"/>
      <c r="DQ84" s="1125"/>
      <c r="DR84" s="1124"/>
      <c r="DS84" s="1125"/>
      <c r="DT84" s="1124"/>
      <c r="DU84" s="1125"/>
      <c r="DV84" s="1126"/>
      <c r="DW84" s="1125"/>
      <c r="DX84" s="1124"/>
      <c r="DY84" s="1125"/>
      <c r="DZ84" s="1124"/>
      <c r="EA84" s="1125"/>
      <c r="EB84" s="1124"/>
      <c r="EC84" s="1125"/>
      <c r="ED84" s="1124"/>
      <c r="EE84" s="1125"/>
      <c r="EF84" s="1124"/>
      <c r="EG84" s="1125"/>
      <c r="EH84" s="1124"/>
      <c r="EI84" s="1125"/>
      <c r="EJ84" s="1169"/>
      <c r="EK84" s="1167"/>
      <c r="EL84" s="1169"/>
      <c r="EM84" s="1167"/>
      <c r="EN84" s="1124"/>
      <c r="EO84" s="1125"/>
      <c r="EP84" s="1124"/>
      <c r="EQ84" s="1125"/>
      <c r="ER84" s="1124"/>
      <c r="ES84" s="1125"/>
      <c r="ET84" s="1124"/>
      <c r="EU84" s="1125"/>
      <c r="EV84" s="1124"/>
      <c r="EW84" s="1125"/>
      <c r="EX84" s="1124"/>
      <c r="EY84" s="1125"/>
      <c r="EZ84" s="1124"/>
      <c r="FA84" s="1125"/>
      <c r="FB84" s="1126"/>
      <c r="FC84" s="1125"/>
      <c r="FD84" s="1126"/>
      <c r="FE84" s="1125"/>
      <c r="FF84" s="1126"/>
      <c r="FG84" s="1125"/>
      <c r="FH84" s="1126"/>
      <c r="FI84" s="1126"/>
      <c r="FJ84" s="1126"/>
      <c r="FK84" s="1125"/>
      <c r="FL84" s="1124"/>
      <c r="FM84" s="1125"/>
      <c r="FN84" s="1139"/>
      <c r="FO84" s="1126"/>
      <c r="FP84" s="1139"/>
      <c r="FQ84" s="1126"/>
      <c r="FR84" s="1139"/>
      <c r="FS84" s="1126"/>
      <c r="FT84" s="1139"/>
      <c r="FU84" s="1125"/>
      <c r="FV84" s="1139"/>
      <c r="FW84" s="1125"/>
      <c r="FX84" s="1179"/>
      <c r="FY84" s="1167"/>
      <c r="FZ84" s="1179"/>
      <c r="GA84" s="1167"/>
      <c r="GB84" s="1179"/>
      <c r="GC84" s="1167"/>
      <c r="GD84" s="1133"/>
      <c r="GE84" s="1167"/>
      <c r="GF84" s="1124"/>
      <c r="GG84" s="1125"/>
      <c r="GH84" s="1124"/>
      <c r="GI84" s="1125"/>
      <c r="GJ84" s="1124"/>
      <c r="GK84" s="1125"/>
      <c r="GL84" s="1124"/>
      <c r="GM84" s="1125"/>
      <c r="GN84" s="1126"/>
      <c r="GO84" s="1125"/>
      <c r="GP84" s="1126"/>
      <c r="GQ84" s="1125"/>
      <c r="GR84" s="1124"/>
      <c r="GS84" s="1125"/>
      <c r="GT84" s="1124"/>
      <c r="GU84" s="1125"/>
      <c r="GV84" s="1126"/>
      <c r="GW84" s="1125"/>
      <c r="GX84" s="1168"/>
      <c r="GY84" s="1133"/>
      <c r="GZ84" s="1124"/>
      <c r="HA84" s="1125"/>
      <c r="HB84" s="1107">
        <v>3886.409722222222</v>
      </c>
      <c r="HC84" s="1108">
        <v>6.974E13</v>
      </c>
      <c r="HD84" s="1124"/>
      <c r="HE84" s="1125"/>
      <c r="HF84" s="1124"/>
      <c r="HG84" s="1125"/>
      <c r="HH84" s="1124"/>
      <c r="HI84" s="1125"/>
      <c r="HJ84" s="1124"/>
      <c r="HK84" s="1125"/>
      <c r="HL84" s="1124"/>
      <c r="HM84" s="1125"/>
      <c r="HN84" s="1126"/>
      <c r="HO84" s="1125"/>
      <c r="HP84" s="1124"/>
      <c r="HQ84" s="1125"/>
      <c r="HR84" s="1124"/>
      <c r="HS84" s="1125"/>
      <c r="HT84" s="1124"/>
      <c r="HU84" s="1125"/>
      <c r="HV84" s="1124"/>
      <c r="HW84" s="1125"/>
      <c r="HX84" s="1124"/>
      <c r="HY84" s="1125"/>
      <c r="HZ84" s="1124"/>
      <c r="IA84" s="1125"/>
      <c r="IB84" s="1124"/>
      <c r="IC84" s="1125"/>
      <c r="ID84" s="1124"/>
      <c r="IE84" s="1125"/>
      <c r="IF84" s="1124"/>
      <c r="IG84" s="1125"/>
      <c r="IH84" s="1124"/>
      <c r="II84" s="1125"/>
      <c r="IJ84" s="1124"/>
      <c r="IK84" s="1125"/>
      <c r="IL84" s="1124"/>
      <c r="IM84" s="1125"/>
      <c r="IN84" s="1124"/>
      <c r="IO84" s="1125"/>
      <c r="IP84" s="1124"/>
      <c r="IQ84" s="1125"/>
      <c r="IR84" s="1124"/>
      <c r="IS84" s="1125"/>
      <c r="IT84" s="1124"/>
      <c r="IU84" s="1125"/>
      <c r="IV84" s="1124"/>
      <c r="IW84" s="1125"/>
      <c r="IX84" s="1124"/>
      <c r="IY84" s="1125"/>
      <c r="IZ84" s="1124"/>
      <c r="JA84" s="1125"/>
      <c r="JB84" s="1124"/>
      <c r="JC84" s="1125"/>
      <c r="JD84" s="1124"/>
      <c r="JE84" s="1125"/>
      <c r="JF84" s="1124"/>
      <c r="JG84" s="1125"/>
      <c r="JH84" s="1124"/>
      <c r="JI84" s="1125"/>
      <c r="JJ84" s="1169"/>
      <c r="JK84" s="1167"/>
      <c r="JL84" s="1169"/>
      <c r="JM84" s="1167"/>
      <c r="JN84" s="1169"/>
      <c r="JO84" s="1167"/>
      <c r="JP84" s="1169"/>
      <c r="JQ84" s="1167"/>
      <c r="JR84" s="1169"/>
      <c r="JS84" s="1167"/>
      <c r="JT84" s="1169"/>
      <c r="JU84" s="1167"/>
      <c r="JV84" s="1169"/>
      <c r="JW84" s="1167"/>
      <c r="JX84" s="1169"/>
      <c r="JY84" s="1133"/>
      <c r="JZ84" s="1173">
        <v>7.626736111</v>
      </c>
      <c r="KA84" s="1120">
        <v>2.8441E11</v>
      </c>
      <c r="KB84" s="1169"/>
      <c r="KC84" s="1133"/>
      <c r="KD84" s="1169"/>
      <c r="KE84" s="1133"/>
      <c r="KF84" s="1133"/>
      <c r="KG84" s="1133"/>
      <c r="KH84" s="1133"/>
      <c r="KI84" s="1133"/>
      <c r="KJ84" s="1133"/>
      <c r="KK84" s="1133"/>
      <c r="KL84" s="1133"/>
      <c r="KM84" s="1133"/>
      <c r="KN84" s="1133"/>
      <c r="KO84" s="1133"/>
      <c r="KP84" s="1133"/>
      <c r="KQ84" s="1133"/>
      <c r="KR84" s="1133"/>
      <c r="KS84" s="1133"/>
      <c r="KT84" s="1133"/>
      <c r="KU84" s="1133"/>
      <c r="KV84" s="1133"/>
      <c r="KW84" s="1133"/>
      <c r="KX84" s="1133"/>
      <c r="KY84" s="1133"/>
      <c r="KZ84" s="1133"/>
      <c r="LA84" s="1133"/>
      <c r="LB84" s="1133"/>
      <c r="LC84" s="1133"/>
      <c r="LD84" s="1133"/>
      <c r="LE84" s="1133"/>
      <c r="LF84" s="1133"/>
      <c r="LG84" s="1133"/>
      <c r="LH84" s="1133"/>
      <c r="LI84" s="1133"/>
      <c r="LJ84" s="1133"/>
      <c r="LK84" s="1133"/>
      <c r="LL84" s="1133"/>
      <c r="LM84" s="1133"/>
      <c r="LN84" s="1133"/>
      <c r="LO84" s="1133"/>
      <c r="LP84" s="1133"/>
      <c r="LQ84" s="1133"/>
      <c r="LR84" s="1133"/>
      <c r="LS84" s="1133"/>
      <c r="LT84" s="1133"/>
      <c r="LU84" s="1133"/>
      <c r="LV84" s="1133"/>
      <c r="LW84" s="1133"/>
      <c r="LX84" s="1133"/>
      <c r="LY84" s="1133"/>
      <c r="LZ84" s="1133"/>
      <c r="MA84" s="1133"/>
      <c r="MB84" s="1133"/>
      <c r="MC84" s="1133"/>
      <c r="MD84" s="1133"/>
      <c r="ME84" s="1133"/>
      <c r="MF84" s="1133"/>
      <c r="MG84" s="1133"/>
      <c r="MH84" s="1133"/>
      <c r="MI84" s="1133"/>
      <c r="MJ84" s="1133"/>
      <c r="MK84" s="1133"/>
      <c r="ML84" s="1133"/>
      <c r="MM84" s="1133"/>
      <c r="MN84" s="1133"/>
      <c r="MO84" s="1133"/>
      <c r="MP84" s="1133"/>
      <c r="MQ84" s="1133"/>
      <c r="MR84" s="1133"/>
      <c r="MS84" s="1133"/>
      <c r="MT84" s="1133"/>
      <c r="MU84" s="1133"/>
      <c r="MV84" s="1133"/>
      <c r="MW84" s="1133"/>
      <c r="MX84" s="1133"/>
      <c r="MY84" s="1133"/>
    </row>
    <row r="85">
      <c r="A85" s="1071">
        <v>83.0</v>
      </c>
      <c r="B85" s="1124"/>
      <c r="C85" s="1126"/>
      <c r="D85" s="1072">
        <v>32.03402777777778</v>
      </c>
      <c r="E85" s="1073">
        <v>2570000.0</v>
      </c>
      <c r="F85" s="1072">
        <v>32.03402777777778</v>
      </c>
      <c r="G85" s="1073">
        <v>2570000.0</v>
      </c>
      <c r="H85" s="1072">
        <v>32.03402777777778</v>
      </c>
      <c r="I85" s="1073">
        <v>2570000.0</v>
      </c>
      <c r="J85" s="1072">
        <v>32.03402777777778</v>
      </c>
      <c r="K85" s="1073">
        <v>2570000.0</v>
      </c>
      <c r="L85" s="1072">
        <v>61.96527777777778</v>
      </c>
      <c r="M85" s="1075">
        <v>8400000.0</v>
      </c>
      <c r="N85" s="1076">
        <v>23.471527777777776</v>
      </c>
      <c r="O85" s="1073">
        <v>1.114E7</v>
      </c>
      <c r="P85" s="1124"/>
      <c r="Q85" s="1125"/>
      <c r="R85" s="1124"/>
      <c r="S85" s="1125"/>
      <c r="T85" s="1124"/>
      <c r="U85" s="1125"/>
      <c r="V85" s="1124"/>
      <c r="W85" s="1125"/>
      <c r="X85" s="1124"/>
      <c r="Y85" s="1125"/>
      <c r="Z85" s="1124"/>
      <c r="AA85" s="1125"/>
      <c r="AB85" s="1124"/>
      <c r="AC85" s="1125"/>
      <c r="AD85" s="1072">
        <v>89.63541666666667</v>
      </c>
      <c r="AE85" s="1080">
        <v>2.204727348E18</v>
      </c>
      <c r="AF85" s="1072">
        <v>89.63541666666667</v>
      </c>
      <c r="AG85" s="1080">
        <v>2.204727348E18</v>
      </c>
      <c r="AH85" s="1072">
        <v>89.63541666666667</v>
      </c>
      <c r="AI85" s="1080">
        <v>2.204727348E18</v>
      </c>
      <c r="AJ85" s="1081">
        <v>32.03402777777778</v>
      </c>
      <c r="AK85" s="1082">
        <v>2570000.0</v>
      </c>
      <c r="AL85" s="1081">
        <v>32.03402777777778</v>
      </c>
      <c r="AM85" s="1082">
        <v>2570000.0</v>
      </c>
      <c r="AN85" s="1081">
        <v>32.03402777777778</v>
      </c>
      <c r="AO85" s="1082">
        <v>2570000.0</v>
      </c>
      <c r="AP85" s="1126"/>
      <c r="AQ85" s="1125"/>
      <c r="AR85" s="1081">
        <v>32.03402777777778</v>
      </c>
      <c r="AS85" s="1082">
        <v>2570000.0</v>
      </c>
      <c r="AT85" s="1126"/>
      <c r="AU85" s="1125"/>
      <c r="AV85" s="1126"/>
      <c r="AW85" s="1125"/>
      <c r="AX85" s="1124"/>
      <c r="AY85" s="1175"/>
      <c r="AZ85" s="1124"/>
      <c r="BA85" s="1124"/>
      <c r="BB85" s="1083">
        <v>32.03402777777778</v>
      </c>
      <c r="BC85" s="1084">
        <v>2570000.0</v>
      </c>
      <c r="BD85" s="1083">
        <v>32.03402777777778</v>
      </c>
      <c r="BE85" s="1084">
        <v>2570000.0</v>
      </c>
      <c r="BF85" s="1083">
        <v>32.03402777777778</v>
      </c>
      <c r="BG85" s="1084">
        <v>2570000.0</v>
      </c>
      <c r="BH85" s="1124"/>
      <c r="BI85" s="1125"/>
      <c r="BJ85" s="1124"/>
      <c r="BK85" s="1125"/>
      <c r="BL85" s="1124"/>
      <c r="BM85" s="1125"/>
      <c r="BN85" s="1124"/>
      <c r="BO85" s="1125"/>
      <c r="BP85" s="1124"/>
      <c r="BQ85" s="1125"/>
      <c r="BR85" s="1126"/>
      <c r="BS85" s="1125"/>
      <c r="BT85" s="1126"/>
      <c r="BU85" s="1126"/>
      <c r="BV85" s="1126"/>
      <c r="BW85" s="1126"/>
      <c r="BX85" s="1126"/>
      <c r="BY85" s="1126"/>
      <c r="BZ85" s="1126"/>
      <c r="CA85" s="1126"/>
      <c r="CB85" s="1126"/>
      <c r="CC85" s="1125"/>
      <c r="CD85" s="1126"/>
      <c r="CE85" s="1126"/>
      <c r="CF85" s="1133"/>
      <c r="CG85" s="1167"/>
      <c r="CH85" s="1088">
        <v>32.03402777777778</v>
      </c>
      <c r="CI85" s="1089">
        <v>2570000.0</v>
      </c>
      <c r="CJ85" s="1088">
        <v>32.03402777777778</v>
      </c>
      <c r="CK85" s="1089">
        <v>2570000.0</v>
      </c>
      <c r="CL85" s="1088">
        <v>32.03402777777778</v>
      </c>
      <c r="CM85" s="1089">
        <v>2570000.0</v>
      </c>
      <c r="CN85" s="1088">
        <v>32.03402777777778</v>
      </c>
      <c r="CO85" s="1089">
        <v>2570000.0</v>
      </c>
      <c r="CP85" s="1088">
        <v>77.12222222222222</v>
      </c>
      <c r="CQ85" s="1089">
        <v>1.114E7</v>
      </c>
      <c r="CR85" s="1124"/>
      <c r="CS85" s="1125"/>
      <c r="CT85" s="1126"/>
      <c r="CU85" s="1125"/>
      <c r="CV85" s="1126"/>
      <c r="CW85" s="1125"/>
      <c r="CX85" s="1126"/>
      <c r="CY85" s="1125"/>
      <c r="CZ85" s="1126"/>
      <c r="DA85" s="1126"/>
      <c r="DB85" s="1126"/>
      <c r="DC85" s="1126"/>
      <c r="DD85" s="1126"/>
      <c r="DE85" s="1125"/>
      <c r="DF85" s="1124"/>
      <c r="DG85" s="1125"/>
      <c r="DH85" s="1124"/>
      <c r="DI85" s="1125"/>
      <c r="DJ85" s="1124"/>
      <c r="DK85" s="1125"/>
      <c r="DL85" s="1124"/>
      <c r="DM85" s="1125"/>
      <c r="DN85" s="1124"/>
      <c r="DO85" s="1125"/>
      <c r="DP85" s="1124"/>
      <c r="DQ85" s="1125"/>
      <c r="DR85" s="1124"/>
      <c r="DS85" s="1125"/>
      <c r="DT85" s="1124"/>
      <c r="DU85" s="1125"/>
      <c r="DV85" s="1126"/>
      <c r="DW85" s="1125"/>
      <c r="DX85" s="1124"/>
      <c r="DY85" s="1125"/>
      <c r="DZ85" s="1124"/>
      <c r="EA85" s="1125"/>
      <c r="EB85" s="1124"/>
      <c r="EC85" s="1125"/>
      <c r="ED85" s="1124"/>
      <c r="EE85" s="1125"/>
      <c r="EF85" s="1124"/>
      <c r="EG85" s="1125"/>
      <c r="EH85" s="1124"/>
      <c r="EI85" s="1125"/>
      <c r="EJ85" s="1169"/>
      <c r="EK85" s="1167"/>
      <c r="EL85" s="1169"/>
      <c r="EM85" s="1167"/>
      <c r="EN85" s="1124"/>
      <c r="EO85" s="1125"/>
      <c r="EP85" s="1124"/>
      <c r="EQ85" s="1125"/>
      <c r="ER85" s="1124"/>
      <c r="ES85" s="1125"/>
      <c r="ET85" s="1124"/>
      <c r="EU85" s="1125"/>
      <c r="EV85" s="1124"/>
      <c r="EW85" s="1125"/>
      <c r="EX85" s="1124"/>
      <c r="EY85" s="1125"/>
      <c r="EZ85" s="1124"/>
      <c r="FA85" s="1125"/>
      <c r="FB85" s="1126"/>
      <c r="FC85" s="1125"/>
      <c r="FD85" s="1126"/>
      <c r="FE85" s="1125"/>
      <c r="FF85" s="1126"/>
      <c r="FG85" s="1125"/>
      <c r="FH85" s="1126"/>
      <c r="FI85" s="1126"/>
      <c r="FJ85" s="1126"/>
      <c r="FK85" s="1125"/>
      <c r="FL85" s="1124"/>
      <c r="FM85" s="1125"/>
      <c r="FN85" s="1139"/>
      <c r="FO85" s="1126"/>
      <c r="FP85" s="1139"/>
      <c r="FQ85" s="1126"/>
      <c r="FR85" s="1139"/>
      <c r="FS85" s="1126"/>
      <c r="FT85" s="1139"/>
      <c r="FU85" s="1125"/>
      <c r="FV85" s="1139"/>
      <c r="FW85" s="1125"/>
      <c r="FX85" s="1179"/>
      <c r="FY85" s="1167"/>
      <c r="FZ85" s="1179"/>
      <c r="GA85" s="1167"/>
      <c r="GB85" s="1179"/>
      <c r="GC85" s="1167"/>
      <c r="GD85" s="1133"/>
      <c r="GE85" s="1167"/>
      <c r="GF85" s="1124"/>
      <c r="GG85" s="1125"/>
      <c r="GH85" s="1124"/>
      <c r="GI85" s="1125"/>
      <c r="GJ85" s="1124"/>
      <c r="GK85" s="1125"/>
      <c r="GL85" s="1124"/>
      <c r="GM85" s="1125"/>
      <c r="GN85" s="1126"/>
      <c r="GO85" s="1125"/>
      <c r="GP85" s="1126"/>
      <c r="GQ85" s="1125"/>
      <c r="GR85" s="1124"/>
      <c r="GS85" s="1125"/>
      <c r="GT85" s="1124"/>
      <c r="GU85" s="1125"/>
      <c r="GV85" s="1126"/>
      <c r="GW85" s="1125"/>
      <c r="GX85" s="1168"/>
      <c r="GY85" s="1133"/>
      <c r="GZ85" s="1124"/>
      <c r="HA85" s="1125"/>
      <c r="HB85" s="1107">
        <v>4056.5909722222223</v>
      </c>
      <c r="HC85" s="1108">
        <v>7.415E13</v>
      </c>
      <c r="HD85" s="1124"/>
      <c r="HE85" s="1125"/>
      <c r="HF85" s="1124"/>
      <c r="HG85" s="1125"/>
      <c r="HH85" s="1124"/>
      <c r="HI85" s="1125"/>
      <c r="HJ85" s="1124"/>
      <c r="HK85" s="1125"/>
      <c r="HL85" s="1124"/>
      <c r="HM85" s="1125"/>
      <c r="HN85" s="1126"/>
      <c r="HO85" s="1125"/>
      <c r="HP85" s="1124"/>
      <c r="HQ85" s="1125"/>
      <c r="HR85" s="1124"/>
      <c r="HS85" s="1125"/>
      <c r="HT85" s="1124"/>
      <c r="HU85" s="1125"/>
      <c r="HV85" s="1124"/>
      <c r="HW85" s="1125"/>
      <c r="HX85" s="1124"/>
      <c r="HY85" s="1125"/>
      <c r="HZ85" s="1124"/>
      <c r="IA85" s="1125"/>
      <c r="IB85" s="1124"/>
      <c r="IC85" s="1125"/>
      <c r="ID85" s="1124"/>
      <c r="IE85" s="1125"/>
      <c r="IF85" s="1124"/>
      <c r="IG85" s="1125"/>
      <c r="IH85" s="1124"/>
      <c r="II85" s="1125"/>
      <c r="IJ85" s="1124"/>
      <c r="IK85" s="1125"/>
      <c r="IL85" s="1124"/>
      <c r="IM85" s="1125"/>
      <c r="IN85" s="1124"/>
      <c r="IO85" s="1125"/>
      <c r="IP85" s="1124"/>
      <c r="IQ85" s="1125"/>
      <c r="IR85" s="1124"/>
      <c r="IS85" s="1125"/>
      <c r="IT85" s="1124"/>
      <c r="IU85" s="1125"/>
      <c r="IV85" s="1124"/>
      <c r="IW85" s="1125"/>
      <c r="IX85" s="1124"/>
      <c r="IY85" s="1125"/>
      <c r="IZ85" s="1124"/>
      <c r="JA85" s="1125"/>
      <c r="JB85" s="1124"/>
      <c r="JC85" s="1125"/>
      <c r="JD85" s="1124"/>
      <c r="JE85" s="1125"/>
      <c r="JF85" s="1124"/>
      <c r="JG85" s="1125"/>
      <c r="JH85" s="1124"/>
      <c r="JI85" s="1125"/>
      <c r="JJ85" s="1169"/>
      <c r="JK85" s="1167"/>
      <c r="JL85" s="1169"/>
      <c r="JM85" s="1167"/>
      <c r="JN85" s="1169"/>
      <c r="JO85" s="1167"/>
      <c r="JP85" s="1169"/>
      <c r="JQ85" s="1167"/>
      <c r="JR85" s="1169"/>
      <c r="JS85" s="1167"/>
      <c r="JT85" s="1169"/>
      <c r="JU85" s="1167"/>
      <c r="JV85" s="1169"/>
      <c r="JW85" s="1167"/>
      <c r="JX85" s="1169"/>
      <c r="JY85" s="1133"/>
      <c r="JZ85" s="1173">
        <v>7.742256944</v>
      </c>
      <c r="KA85" s="1120">
        <v>2.9399E11</v>
      </c>
      <c r="KB85" s="1169"/>
      <c r="KC85" s="1133"/>
      <c r="KD85" s="1169"/>
      <c r="KE85" s="1133"/>
      <c r="KF85" s="1133"/>
      <c r="KG85" s="1133"/>
      <c r="KH85" s="1133"/>
      <c r="KI85" s="1133"/>
      <c r="KJ85" s="1133"/>
      <c r="KK85" s="1133"/>
      <c r="KL85" s="1133"/>
      <c r="KM85" s="1133"/>
      <c r="KN85" s="1133"/>
      <c r="KO85" s="1133"/>
      <c r="KP85" s="1133"/>
      <c r="KQ85" s="1133"/>
      <c r="KR85" s="1133"/>
      <c r="KS85" s="1133"/>
      <c r="KT85" s="1133"/>
      <c r="KU85" s="1133"/>
      <c r="KV85" s="1133"/>
      <c r="KW85" s="1133"/>
      <c r="KX85" s="1133"/>
      <c r="KY85" s="1133"/>
      <c r="KZ85" s="1133"/>
      <c r="LA85" s="1133"/>
      <c r="LB85" s="1133"/>
      <c r="LC85" s="1133"/>
      <c r="LD85" s="1133"/>
      <c r="LE85" s="1133"/>
      <c r="LF85" s="1133"/>
      <c r="LG85" s="1133"/>
      <c r="LH85" s="1133"/>
      <c r="LI85" s="1133"/>
      <c r="LJ85" s="1133"/>
      <c r="LK85" s="1133"/>
      <c r="LL85" s="1133"/>
      <c r="LM85" s="1133"/>
      <c r="LN85" s="1133"/>
      <c r="LO85" s="1133"/>
      <c r="LP85" s="1133"/>
      <c r="LQ85" s="1133"/>
      <c r="LR85" s="1133"/>
      <c r="LS85" s="1133"/>
      <c r="LT85" s="1133"/>
      <c r="LU85" s="1133"/>
      <c r="LV85" s="1133"/>
      <c r="LW85" s="1133"/>
      <c r="LX85" s="1133"/>
      <c r="LY85" s="1133"/>
      <c r="LZ85" s="1133"/>
      <c r="MA85" s="1133"/>
      <c r="MB85" s="1133"/>
      <c r="MC85" s="1133"/>
      <c r="MD85" s="1133"/>
      <c r="ME85" s="1133"/>
      <c r="MF85" s="1133"/>
      <c r="MG85" s="1133"/>
      <c r="MH85" s="1133"/>
      <c r="MI85" s="1133"/>
      <c r="MJ85" s="1133"/>
      <c r="MK85" s="1133"/>
      <c r="ML85" s="1133"/>
      <c r="MM85" s="1133"/>
      <c r="MN85" s="1133"/>
      <c r="MO85" s="1133"/>
      <c r="MP85" s="1133"/>
      <c r="MQ85" s="1133"/>
      <c r="MR85" s="1133"/>
      <c r="MS85" s="1133"/>
      <c r="MT85" s="1133"/>
      <c r="MU85" s="1133"/>
      <c r="MV85" s="1133"/>
      <c r="MW85" s="1133"/>
      <c r="MX85" s="1133"/>
      <c r="MY85" s="1133"/>
    </row>
    <row r="86">
      <c r="A86" s="1071">
        <v>84.0</v>
      </c>
      <c r="B86" s="1124"/>
      <c r="C86" s="1126"/>
      <c r="D86" s="1072">
        <v>32.975</v>
      </c>
      <c r="E86" s="1073">
        <v>2650000.0</v>
      </c>
      <c r="F86" s="1072">
        <v>32.975</v>
      </c>
      <c r="G86" s="1073">
        <v>2650000.0</v>
      </c>
      <c r="H86" s="1072">
        <v>32.975</v>
      </c>
      <c r="I86" s="1073">
        <v>2650000.0</v>
      </c>
      <c r="J86" s="1072">
        <v>32.975</v>
      </c>
      <c r="K86" s="1073">
        <v>2650000.0</v>
      </c>
      <c r="L86" s="1072">
        <v>63.90138888888889</v>
      </c>
      <c r="M86" s="1075">
        <v>8690000.0</v>
      </c>
      <c r="N86" s="1076">
        <v>24.022916666666667</v>
      </c>
      <c r="O86" s="1073">
        <v>1.157E7</v>
      </c>
      <c r="P86" s="1124"/>
      <c r="Q86" s="1125"/>
      <c r="R86" s="1124"/>
      <c r="S86" s="1125"/>
      <c r="T86" s="1124"/>
      <c r="U86" s="1125"/>
      <c r="V86" s="1124"/>
      <c r="W86" s="1125"/>
      <c r="X86" s="1124"/>
      <c r="Y86" s="1125"/>
      <c r="Z86" s="1124"/>
      <c r="AA86" s="1125"/>
      <c r="AB86" s="1124"/>
      <c r="AC86" s="1125"/>
      <c r="AD86" s="1072">
        <v>90.71527777777777</v>
      </c>
      <c r="AE86" s="1080">
        <v>2.866145552E18</v>
      </c>
      <c r="AF86" s="1072">
        <v>90.71527777777777</v>
      </c>
      <c r="AG86" s="1080">
        <v>2.866145552E18</v>
      </c>
      <c r="AH86" s="1072">
        <v>90.71527777777777</v>
      </c>
      <c r="AI86" s="1080">
        <v>2.866145552E18</v>
      </c>
      <c r="AJ86" s="1081">
        <v>32.975</v>
      </c>
      <c r="AK86" s="1082">
        <v>2650000.0</v>
      </c>
      <c r="AL86" s="1081">
        <v>32.975</v>
      </c>
      <c r="AM86" s="1082">
        <v>2650000.0</v>
      </c>
      <c r="AN86" s="1081">
        <v>32.975</v>
      </c>
      <c r="AO86" s="1082">
        <v>2650000.0</v>
      </c>
      <c r="AP86" s="1126"/>
      <c r="AQ86" s="1125"/>
      <c r="AR86" s="1081">
        <v>32.975</v>
      </c>
      <c r="AS86" s="1082">
        <v>2650000.0</v>
      </c>
      <c r="AT86" s="1126"/>
      <c r="AU86" s="1125"/>
      <c r="AV86" s="1126"/>
      <c r="AW86" s="1125"/>
      <c r="AX86" s="1124"/>
      <c r="AY86" s="1175"/>
      <c r="AZ86" s="1124"/>
      <c r="BA86" s="1124"/>
      <c r="BB86" s="1083">
        <v>32.975</v>
      </c>
      <c r="BC86" s="1084">
        <v>2650000.0</v>
      </c>
      <c r="BD86" s="1083">
        <v>32.975</v>
      </c>
      <c r="BE86" s="1084">
        <v>2650000.0</v>
      </c>
      <c r="BF86" s="1083">
        <v>32.975</v>
      </c>
      <c r="BG86" s="1084">
        <v>2650000.0</v>
      </c>
      <c r="BH86" s="1124"/>
      <c r="BI86" s="1125"/>
      <c r="BJ86" s="1124"/>
      <c r="BK86" s="1125"/>
      <c r="BL86" s="1124"/>
      <c r="BM86" s="1125"/>
      <c r="BN86" s="1124"/>
      <c r="BO86" s="1125"/>
      <c r="BP86" s="1124"/>
      <c r="BQ86" s="1125"/>
      <c r="BR86" s="1126"/>
      <c r="BS86" s="1125"/>
      <c r="BT86" s="1126"/>
      <c r="BU86" s="1126"/>
      <c r="BV86" s="1126"/>
      <c r="BW86" s="1126"/>
      <c r="BX86" s="1126"/>
      <c r="BY86" s="1126"/>
      <c r="BZ86" s="1126"/>
      <c r="CA86" s="1126"/>
      <c r="CB86" s="1126"/>
      <c r="CC86" s="1125"/>
      <c r="CD86" s="1126"/>
      <c r="CE86" s="1126"/>
      <c r="CF86" s="1133"/>
      <c r="CG86" s="1167"/>
      <c r="CH86" s="1088">
        <v>32.975</v>
      </c>
      <c r="CI86" s="1089">
        <v>2650000.0</v>
      </c>
      <c r="CJ86" s="1088">
        <v>32.975</v>
      </c>
      <c r="CK86" s="1089">
        <v>2650000.0</v>
      </c>
      <c r="CL86" s="1088">
        <v>32.975</v>
      </c>
      <c r="CM86" s="1089">
        <v>2650000.0</v>
      </c>
      <c r="CN86" s="1088">
        <v>32.975</v>
      </c>
      <c r="CO86" s="1089">
        <v>2650000.0</v>
      </c>
      <c r="CP86" s="1088">
        <v>79.58194444444445</v>
      </c>
      <c r="CQ86" s="1089">
        <v>1.157E7</v>
      </c>
      <c r="CR86" s="1124"/>
      <c r="CS86" s="1125"/>
      <c r="CT86" s="1126"/>
      <c r="CU86" s="1125"/>
      <c r="CV86" s="1126"/>
      <c r="CW86" s="1125"/>
      <c r="CX86" s="1126"/>
      <c r="CY86" s="1125"/>
      <c r="CZ86" s="1126"/>
      <c r="DA86" s="1126"/>
      <c r="DB86" s="1126"/>
      <c r="DC86" s="1126"/>
      <c r="DD86" s="1126"/>
      <c r="DE86" s="1125"/>
      <c r="DF86" s="1124"/>
      <c r="DG86" s="1125"/>
      <c r="DH86" s="1124"/>
      <c r="DI86" s="1125"/>
      <c r="DJ86" s="1124"/>
      <c r="DK86" s="1125"/>
      <c r="DL86" s="1124"/>
      <c r="DM86" s="1125"/>
      <c r="DN86" s="1124"/>
      <c r="DO86" s="1125"/>
      <c r="DP86" s="1124"/>
      <c r="DQ86" s="1125"/>
      <c r="DR86" s="1124"/>
      <c r="DS86" s="1125"/>
      <c r="DT86" s="1124"/>
      <c r="DU86" s="1125"/>
      <c r="DV86" s="1126"/>
      <c r="DW86" s="1125"/>
      <c r="DX86" s="1124"/>
      <c r="DY86" s="1125"/>
      <c r="DZ86" s="1124"/>
      <c r="EA86" s="1125"/>
      <c r="EB86" s="1124"/>
      <c r="EC86" s="1125"/>
      <c r="ED86" s="1124"/>
      <c r="EE86" s="1125"/>
      <c r="EF86" s="1124"/>
      <c r="EG86" s="1125"/>
      <c r="EH86" s="1124"/>
      <c r="EI86" s="1125"/>
      <c r="EJ86" s="1169"/>
      <c r="EK86" s="1167"/>
      <c r="EL86" s="1169"/>
      <c r="EM86" s="1167"/>
      <c r="EN86" s="1124"/>
      <c r="EO86" s="1125"/>
      <c r="EP86" s="1124"/>
      <c r="EQ86" s="1125"/>
      <c r="ER86" s="1124"/>
      <c r="ES86" s="1125"/>
      <c r="ET86" s="1124"/>
      <c r="EU86" s="1125"/>
      <c r="EV86" s="1124"/>
      <c r="EW86" s="1125"/>
      <c r="EX86" s="1124"/>
      <c r="EY86" s="1125"/>
      <c r="EZ86" s="1124"/>
      <c r="FA86" s="1125"/>
      <c r="FB86" s="1126"/>
      <c r="FC86" s="1125"/>
      <c r="FD86" s="1126"/>
      <c r="FE86" s="1125"/>
      <c r="FF86" s="1126"/>
      <c r="FG86" s="1125"/>
      <c r="FH86" s="1126"/>
      <c r="FI86" s="1126"/>
      <c r="FJ86" s="1126"/>
      <c r="FK86" s="1125"/>
      <c r="FL86" s="1124"/>
      <c r="FM86" s="1125"/>
      <c r="FN86" s="1139"/>
      <c r="FO86" s="1126"/>
      <c r="FP86" s="1139"/>
      <c r="FQ86" s="1126"/>
      <c r="FR86" s="1139"/>
      <c r="FS86" s="1126"/>
      <c r="FT86" s="1139"/>
      <c r="FU86" s="1125"/>
      <c r="FV86" s="1139"/>
      <c r="FW86" s="1125"/>
      <c r="FX86" s="1179"/>
      <c r="FY86" s="1167"/>
      <c r="FZ86" s="1179"/>
      <c r="GA86" s="1167"/>
      <c r="GB86" s="1179"/>
      <c r="GC86" s="1167"/>
      <c r="GD86" s="1133"/>
      <c r="GE86" s="1167"/>
      <c r="GF86" s="1124"/>
      <c r="GG86" s="1125"/>
      <c r="GH86" s="1124"/>
      <c r="GI86" s="1125"/>
      <c r="GJ86" s="1124"/>
      <c r="GK86" s="1125"/>
      <c r="GL86" s="1124"/>
      <c r="GM86" s="1125"/>
      <c r="GN86" s="1126"/>
      <c r="GO86" s="1125"/>
      <c r="GP86" s="1126"/>
      <c r="GQ86" s="1125"/>
      <c r="GR86" s="1124"/>
      <c r="GS86" s="1125"/>
      <c r="GT86" s="1124"/>
      <c r="GU86" s="1125"/>
      <c r="GV86" s="1126"/>
      <c r="GW86" s="1125"/>
      <c r="GX86" s="1168"/>
      <c r="GY86" s="1133"/>
      <c r="GZ86" s="1124"/>
      <c r="HA86" s="1125"/>
      <c r="HB86" s="1107">
        <v>4232.0361111111115</v>
      </c>
      <c r="HC86" s="1108">
        <v>7.878E13</v>
      </c>
      <c r="HD86" s="1124"/>
      <c r="HE86" s="1125"/>
      <c r="HF86" s="1124"/>
      <c r="HG86" s="1125"/>
      <c r="HH86" s="1124"/>
      <c r="HI86" s="1125"/>
      <c r="HJ86" s="1124"/>
      <c r="HK86" s="1125"/>
      <c r="HL86" s="1124"/>
      <c r="HM86" s="1125"/>
      <c r="HN86" s="1126"/>
      <c r="HO86" s="1125"/>
      <c r="HP86" s="1124"/>
      <c r="HQ86" s="1125"/>
      <c r="HR86" s="1124"/>
      <c r="HS86" s="1125"/>
      <c r="HT86" s="1124"/>
      <c r="HU86" s="1125"/>
      <c r="HV86" s="1124"/>
      <c r="HW86" s="1125"/>
      <c r="HX86" s="1124"/>
      <c r="HY86" s="1125"/>
      <c r="HZ86" s="1124"/>
      <c r="IA86" s="1125"/>
      <c r="IB86" s="1124"/>
      <c r="IC86" s="1125"/>
      <c r="ID86" s="1124"/>
      <c r="IE86" s="1125"/>
      <c r="IF86" s="1124"/>
      <c r="IG86" s="1125"/>
      <c r="IH86" s="1124"/>
      <c r="II86" s="1125"/>
      <c r="IJ86" s="1124"/>
      <c r="IK86" s="1125"/>
      <c r="IL86" s="1124"/>
      <c r="IM86" s="1125"/>
      <c r="IN86" s="1124"/>
      <c r="IO86" s="1125"/>
      <c r="IP86" s="1124"/>
      <c r="IQ86" s="1125"/>
      <c r="IR86" s="1124"/>
      <c r="IS86" s="1125"/>
      <c r="IT86" s="1124"/>
      <c r="IU86" s="1125"/>
      <c r="IV86" s="1124"/>
      <c r="IW86" s="1125"/>
      <c r="IX86" s="1124"/>
      <c r="IY86" s="1125"/>
      <c r="IZ86" s="1124"/>
      <c r="JA86" s="1125"/>
      <c r="JB86" s="1124"/>
      <c r="JC86" s="1125"/>
      <c r="JD86" s="1124"/>
      <c r="JE86" s="1125"/>
      <c r="JF86" s="1124"/>
      <c r="JG86" s="1125"/>
      <c r="JH86" s="1124"/>
      <c r="JI86" s="1125"/>
      <c r="JJ86" s="1169"/>
      <c r="JK86" s="1167"/>
      <c r="JL86" s="1169"/>
      <c r="JM86" s="1167"/>
      <c r="JN86" s="1169"/>
      <c r="JO86" s="1167"/>
      <c r="JP86" s="1169"/>
      <c r="JQ86" s="1167"/>
      <c r="JR86" s="1169"/>
      <c r="JS86" s="1167"/>
      <c r="JT86" s="1169"/>
      <c r="JU86" s="1167"/>
      <c r="JV86" s="1169"/>
      <c r="JW86" s="1167"/>
      <c r="JX86" s="1169"/>
      <c r="JY86" s="1133"/>
      <c r="JZ86" s="1173">
        <v>7.858460648</v>
      </c>
      <c r="KA86" s="1120">
        <v>3.0377E11</v>
      </c>
      <c r="KB86" s="1169"/>
      <c r="KC86" s="1133"/>
      <c r="KD86" s="1169"/>
      <c r="KE86" s="1133"/>
      <c r="KF86" s="1133"/>
      <c r="KG86" s="1133"/>
      <c r="KH86" s="1133"/>
      <c r="KI86" s="1133"/>
      <c r="KJ86" s="1133"/>
      <c r="KK86" s="1133"/>
      <c r="KL86" s="1133"/>
      <c r="KM86" s="1133"/>
      <c r="KN86" s="1133"/>
      <c r="KO86" s="1133"/>
      <c r="KP86" s="1133"/>
      <c r="KQ86" s="1133"/>
      <c r="KR86" s="1133"/>
      <c r="KS86" s="1133"/>
      <c r="KT86" s="1133"/>
      <c r="KU86" s="1133"/>
      <c r="KV86" s="1133"/>
      <c r="KW86" s="1133"/>
      <c r="KX86" s="1133"/>
      <c r="KY86" s="1133"/>
      <c r="KZ86" s="1133"/>
      <c r="LA86" s="1133"/>
      <c r="LB86" s="1133"/>
      <c r="LC86" s="1133"/>
      <c r="LD86" s="1133"/>
      <c r="LE86" s="1133"/>
      <c r="LF86" s="1133"/>
      <c r="LG86" s="1133"/>
      <c r="LH86" s="1133"/>
      <c r="LI86" s="1133"/>
      <c r="LJ86" s="1133"/>
      <c r="LK86" s="1133"/>
      <c r="LL86" s="1133"/>
      <c r="LM86" s="1133"/>
      <c r="LN86" s="1133"/>
      <c r="LO86" s="1133"/>
      <c r="LP86" s="1133"/>
      <c r="LQ86" s="1133"/>
      <c r="LR86" s="1133"/>
      <c r="LS86" s="1133"/>
      <c r="LT86" s="1133"/>
      <c r="LU86" s="1133"/>
      <c r="LV86" s="1133"/>
      <c r="LW86" s="1133"/>
      <c r="LX86" s="1133"/>
      <c r="LY86" s="1133"/>
      <c r="LZ86" s="1133"/>
      <c r="MA86" s="1133"/>
      <c r="MB86" s="1133"/>
      <c r="MC86" s="1133"/>
      <c r="MD86" s="1133"/>
      <c r="ME86" s="1133"/>
      <c r="MF86" s="1133"/>
      <c r="MG86" s="1133"/>
      <c r="MH86" s="1133"/>
      <c r="MI86" s="1133"/>
      <c r="MJ86" s="1133"/>
      <c r="MK86" s="1133"/>
      <c r="ML86" s="1133"/>
      <c r="MM86" s="1133"/>
      <c r="MN86" s="1133"/>
      <c r="MO86" s="1133"/>
      <c r="MP86" s="1133"/>
      <c r="MQ86" s="1133"/>
      <c r="MR86" s="1133"/>
      <c r="MS86" s="1133"/>
      <c r="MT86" s="1133"/>
      <c r="MU86" s="1133"/>
      <c r="MV86" s="1133"/>
      <c r="MW86" s="1133"/>
      <c r="MX86" s="1133"/>
      <c r="MY86" s="1133"/>
    </row>
    <row r="87">
      <c r="A87" s="1071">
        <v>85.0</v>
      </c>
      <c r="B87" s="1124"/>
      <c r="C87" s="1126"/>
      <c r="D87" s="1072">
        <v>33.93125</v>
      </c>
      <c r="E87" s="1073">
        <v>2740000.0</v>
      </c>
      <c r="F87" s="1072">
        <v>33.93125</v>
      </c>
      <c r="G87" s="1073">
        <v>2740000.0</v>
      </c>
      <c r="H87" s="1072">
        <v>33.93125</v>
      </c>
      <c r="I87" s="1073">
        <v>2740000.0</v>
      </c>
      <c r="J87" s="1072">
        <v>33.93125</v>
      </c>
      <c r="K87" s="1073">
        <v>2740000.0</v>
      </c>
      <c r="L87" s="1072">
        <v>65.87361111111112</v>
      </c>
      <c r="M87" s="1075">
        <v>8980000.0</v>
      </c>
      <c r="N87" s="1076">
        <v>24.57986111111111</v>
      </c>
      <c r="O87" s="1073">
        <v>1.2E7</v>
      </c>
      <c r="P87" s="1124"/>
      <c r="Q87" s="1125"/>
      <c r="R87" s="1124"/>
      <c r="S87" s="1125"/>
      <c r="T87" s="1124"/>
      <c r="U87" s="1125"/>
      <c r="V87" s="1124"/>
      <c r="W87" s="1125"/>
      <c r="X87" s="1124"/>
      <c r="Y87" s="1125"/>
      <c r="Z87" s="1124"/>
      <c r="AA87" s="1125"/>
      <c r="AB87" s="1124"/>
      <c r="AC87" s="1125"/>
      <c r="AD87" s="1072">
        <v>91.79583333333333</v>
      </c>
      <c r="AE87" s="1080">
        <v>3.725989218E18</v>
      </c>
      <c r="AF87" s="1072">
        <v>91.79583333333333</v>
      </c>
      <c r="AG87" s="1080">
        <v>3.725989218E18</v>
      </c>
      <c r="AH87" s="1072">
        <v>91.79583333333333</v>
      </c>
      <c r="AI87" s="1080">
        <v>3.725989218E18</v>
      </c>
      <c r="AJ87" s="1081">
        <v>33.93125</v>
      </c>
      <c r="AK87" s="1082">
        <v>2740000.0</v>
      </c>
      <c r="AL87" s="1081">
        <v>33.93125</v>
      </c>
      <c r="AM87" s="1082">
        <v>2740000.0</v>
      </c>
      <c r="AN87" s="1081">
        <v>33.93125</v>
      </c>
      <c r="AO87" s="1082">
        <v>2740000.0</v>
      </c>
      <c r="AP87" s="1126"/>
      <c r="AQ87" s="1125"/>
      <c r="AR87" s="1081">
        <v>33.93125</v>
      </c>
      <c r="AS87" s="1082">
        <v>2740000.0</v>
      </c>
      <c r="AT87" s="1126"/>
      <c r="AU87" s="1125"/>
      <c r="AV87" s="1126"/>
      <c r="AW87" s="1125"/>
      <c r="AX87" s="1124"/>
      <c r="AY87" s="1175"/>
      <c r="AZ87" s="1124"/>
      <c r="BA87" s="1124"/>
      <c r="BB87" s="1083">
        <v>33.93125</v>
      </c>
      <c r="BC87" s="1084">
        <v>2740000.0</v>
      </c>
      <c r="BD87" s="1083">
        <v>33.93125</v>
      </c>
      <c r="BE87" s="1084">
        <v>2740000.0</v>
      </c>
      <c r="BF87" s="1083">
        <v>33.93125</v>
      </c>
      <c r="BG87" s="1084">
        <v>2740000.0</v>
      </c>
      <c r="BH87" s="1124"/>
      <c r="BI87" s="1125"/>
      <c r="BJ87" s="1124"/>
      <c r="BK87" s="1125"/>
      <c r="BL87" s="1124"/>
      <c r="BM87" s="1125"/>
      <c r="BN87" s="1124"/>
      <c r="BO87" s="1125"/>
      <c r="BP87" s="1124"/>
      <c r="BQ87" s="1125"/>
      <c r="BR87" s="1126"/>
      <c r="BS87" s="1125"/>
      <c r="BT87" s="1126"/>
      <c r="BU87" s="1126"/>
      <c r="BV87" s="1126"/>
      <c r="BW87" s="1126"/>
      <c r="BX87" s="1126"/>
      <c r="BY87" s="1126"/>
      <c r="BZ87" s="1126"/>
      <c r="CA87" s="1126"/>
      <c r="CB87" s="1126"/>
      <c r="CC87" s="1125"/>
      <c r="CD87" s="1126"/>
      <c r="CE87" s="1126"/>
      <c r="CF87" s="1133"/>
      <c r="CG87" s="1167"/>
      <c r="CH87" s="1088">
        <v>33.93125</v>
      </c>
      <c r="CI87" s="1089">
        <v>2740000.0</v>
      </c>
      <c r="CJ87" s="1088">
        <v>33.93125</v>
      </c>
      <c r="CK87" s="1089">
        <v>2740000.0</v>
      </c>
      <c r="CL87" s="1088">
        <v>33.93125</v>
      </c>
      <c r="CM87" s="1089">
        <v>2740000.0</v>
      </c>
      <c r="CN87" s="1088">
        <v>33.93125</v>
      </c>
      <c r="CO87" s="1089">
        <v>2740000.0</v>
      </c>
      <c r="CP87" s="1088">
        <v>82.08958333333332</v>
      </c>
      <c r="CQ87" s="1089">
        <v>1.2E7</v>
      </c>
      <c r="CR87" s="1124"/>
      <c r="CS87" s="1125"/>
      <c r="CT87" s="1126"/>
      <c r="CU87" s="1125"/>
      <c r="CV87" s="1126"/>
      <c r="CW87" s="1125"/>
      <c r="CX87" s="1126"/>
      <c r="CY87" s="1125"/>
      <c r="CZ87" s="1126"/>
      <c r="DA87" s="1126"/>
      <c r="DB87" s="1126"/>
      <c r="DC87" s="1126"/>
      <c r="DD87" s="1126"/>
      <c r="DE87" s="1125"/>
      <c r="DF87" s="1124"/>
      <c r="DG87" s="1125"/>
      <c r="DH87" s="1124"/>
      <c r="DI87" s="1125"/>
      <c r="DJ87" s="1124"/>
      <c r="DK87" s="1125"/>
      <c r="DL87" s="1124"/>
      <c r="DM87" s="1125"/>
      <c r="DN87" s="1124"/>
      <c r="DO87" s="1125"/>
      <c r="DP87" s="1124"/>
      <c r="DQ87" s="1125"/>
      <c r="DR87" s="1124"/>
      <c r="DS87" s="1125"/>
      <c r="DT87" s="1124"/>
      <c r="DU87" s="1125"/>
      <c r="DV87" s="1126"/>
      <c r="DW87" s="1125"/>
      <c r="DX87" s="1124"/>
      <c r="DY87" s="1125"/>
      <c r="DZ87" s="1124"/>
      <c r="EA87" s="1125"/>
      <c r="EB87" s="1124"/>
      <c r="EC87" s="1125"/>
      <c r="ED87" s="1124"/>
      <c r="EE87" s="1125"/>
      <c r="EF87" s="1124"/>
      <c r="EG87" s="1125"/>
      <c r="EH87" s="1124"/>
      <c r="EI87" s="1125"/>
      <c r="EJ87" s="1169"/>
      <c r="EK87" s="1167"/>
      <c r="EL87" s="1169"/>
      <c r="EM87" s="1167"/>
      <c r="EN87" s="1124"/>
      <c r="EO87" s="1125"/>
      <c r="EP87" s="1124"/>
      <c r="EQ87" s="1125"/>
      <c r="ER87" s="1124"/>
      <c r="ES87" s="1125"/>
      <c r="ET87" s="1124"/>
      <c r="EU87" s="1125"/>
      <c r="EV87" s="1124"/>
      <c r="EW87" s="1125"/>
      <c r="EX87" s="1124"/>
      <c r="EY87" s="1125"/>
      <c r="EZ87" s="1124"/>
      <c r="FA87" s="1125"/>
      <c r="FB87" s="1126"/>
      <c r="FC87" s="1125"/>
      <c r="FD87" s="1126"/>
      <c r="FE87" s="1125"/>
      <c r="FF87" s="1126"/>
      <c r="FG87" s="1125"/>
      <c r="FH87" s="1126"/>
      <c r="FI87" s="1126"/>
      <c r="FJ87" s="1126"/>
      <c r="FK87" s="1125"/>
      <c r="FL87" s="1124"/>
      <c r="FM87" s="1125"/>
      <c r="FN87" s="1139"/>
      <c r="FO87" s="1126"/>
      <c r="FP87" s="1139"/>
      <c r="FQ87" s="1126"/>
      <c r="FR87" s="1139"/>
      <c r="FS87" s="1126"/>
      <c r="FT87" s="1139"/>
      <c r="FU87" s="1125"/>
      <c r="FV87" s="1139"/>
      <c r="FW87" s="1125"/>
      <c r="FX87" s="1179"/>
      <c r="FY87" s="1167"/>
      <c r="FZ87" s="1179"/>
      <c r="GA87" s="1167"/>
      <c r="GB87" s="1179"/>
      <c r="GC87" s="1167"/>
      <c r="GD87" s="1133"/>
      <c r="GE87" s="1167"/>
      <c r="GF87" s="1124"/>
      <c r="GG87" s="1125"/>
      <c r="GH87" s="1124"/>
      <c r="GI87" s="1125"/>
      <c r="GJ87" s="1124"/>
      <c r="GK87" s="1125"/>
      <c r="GL87" s="1124"/>
      <c r="GM87" s="1125"/>
      <c r="GN87" s="1126"/>
      <c r="GO87" s="1125"/>
      <c r="GP87" s="1126"/>
      <c r="GQ87" s="1125"/>
      <c r="GR87" s="1124"/>
      <c r="GS87" s="1125"/>
      <c r="GT87" s="1124"/>
      <c r="GU87" s="1125"/>
      <c r="GV87" s="1126"/>
      <c r="GW87" s="1125"/>
      <c r="GX87" s="1168"/>
      <c r="GY87" s="1133"/>
      <c r="GZ87" s="1124"/>
      <c r="HA87" s="1125"/>
      <c r="HB87" s="1107">
        <v>4412.841666666666</v>
      </c>
      <c r="HC87" s="1108">
        <v>8.364E13</v>
      </c>
      <c r="HD87" s="1124"/>
      <c r="HE87" s="1125"/>
      <c r="HF87" s="1124"/>
      <c r="HG87" s="1125"/>
      <c r="HH87" s="1124"/>
      <c r="HI87" s="1125"/>
      <c r="HJ87" s="1124"/>
      <c r="HK87" s="1125"/>
      <c r="HL87" s="1124"/>
      <c r="HM87" s="1125"/>
      <c r="HN87" s="1126"/>
      <c r="HO87" s="1125"/>
      <c r="HP87" s="1124"/>
      <c r="HQ87" s="1125"/>
      <c r="HR87" s="1124"/>
      <c r="HS87" s="1125"/>
      <c r="HT87" s="1124"/>
      <c r="HU87" s="1125"/>
      <c r="HV87" s="1124"/>
      <c r="HW87" s="1125"/>
      <c r="HX87" s="1124"/>
      <c r="HY87" s="1125"/>
      <c r="HZ87" s="1124"/>
      <c r="IA87" s="1125"/>
      <c r="IB87" s="1124"/>
      <c r="IC87" s="1125"/>
      <c r="ID87" s="1124"/>
      <c r="IE87" s="1125"/>
      <c r="IF87" s="1124"/>
      <c r="IG87" s="1125"/>
      <c r="IH87" s="1124"/>
      <c r="II87" s="1125"/>
      <c r="IJ87" s="1124"/>
      <c r="IK87" s="1125"/>
      <c r="IL87" s="1124"/>
      <c r="IM87" s="1125"/>
      <c r="IN87" s="1124"/>
      <c r="IO87" s="1125"/>
      <c r="IP87" s="1124"/>
      <c r="IQ87" s="1125"/>
      <c r="IR87" s="1124"/>
      <c r="IS87" s="1125"/>
      <c r="IT87" s="1124"/>
      <c r="IU87" s="1125"/>
      <c r="IV87" s="1124"/>
      <c r="IW87" s="1125"/>
      <c r="IX87" s="1124"/>
      <c r="IY87" s="1125"/>
      <c r="IZ87" s="1124"/>
      <c r="JA87" s="1125"/>
      <c r="JB87" s="1124"/>
      <c r="JC87" s="1125"/>
      <c r="JD87" s="1124"/>
      <c r="JE87" s="1125"/>
      <c r="JF87" s="1124"/>
      <c r="JG87" s="1125"/>
      <c r="JH87" s="1124"/>
      <c r="JI87" s="1125"/>
      <c r="JJ87" s="1169"/>
      <c r="JK87" s="1167"/>
      <c r="JL87" s="1169"/>
      <c r="JM87" s="1167"/>
      <c r="JN87" s="1169"/>
      <c r="JO87" s="1167"/>
      <c r="JP87" s="1169"/>
      <c r="JQ87" s="1167"/>
      <c r="JR87" s="1169"/>
      <c r="JS87" s="1167"/>
      <c r="JT87" s="1169"/>
      <c r="JU87" s="1167"/>
      <c r="JV87" s="1169"/>
      <c r="JW87" s="1167"/>
      <c r="JX87" s="1169"/>
      <c r="JY87" s="1133"/>
      <c r="JZ87" s="1173">
        <v>7.975972222</v>
      </c>
      <c r="KA87" s="1120">
        <v>3.1375E11</v>
      </c>
      <c r="KB87" s="1169"/>
      <c r="KC87" s="1133"/>
      <c r="KD87" s="1169"/>
      <c r="KE87" s="1133"/>
      <c r="KF87" s="1133"/>
      <c r="KG87" s="1133"/>
      <c r="KH87" s="1133"/>
      <c r="KI87" s="1133"/>
      <c r="KJ87" s="1133"/>
      <c r="KK87" s="1133"/>
      <c r="KL87" s="1133"/>
      <c r="KM87" s="1133"/>
      <c r="KN87" s="1133"/>
      <c r="KO87" s="1133"/>
      <c r="KP87" s="1133"/>
      <c r="KQ87" s="1133"/>
      <c r="KR87" s="1133"/>
      <c r="KS87" s="1133"/>
      <c r="KT87" s="1133"/>
      <c r="KU87" s="1133"/>
      <c r="KV87" s="1133"/>
      <c r="KW87" s="1133"/>
      <c r="KX87" s="1133"/>
      <c r="KY87" s="1133"/>
      <c r="KZ87" s="1133"/>
      <c r="LA87" s="1133"/>
      <c r="LB87" s="1133"/>
      <c r="LC87" s="1133"/>
      <c r="LD87" s="1133"/>
      <c r="LE87" s="1133"/>
      <c r="LF87" s="1133"/>
      <c r="LG87" s="1133"/>
      <c r="LH87" s="1133"/>
      <c r="LI87" s="1133"/>
      <c r="LJ87" s="1133"/>
      <c r="LK87" s="1133"/>
      <c r="LL87" s="1133"/>
      <c r="LM87" s="1133"/>
      <c r="LN87" s="1133"/>
      <c r="LO87" s="1133"/>
      <c r="LP87" s="1133"/>
      <c r="LQ87" s="1133"/>
      <c r="LR87" s="1133"/>
      <c r="LS87" s="1133"/>
      <c r="LT87" s="1133"/>
      <c r="LU87" s="1133"/>
      <c r="LV87" s="1133"/>
      <c r="LW87" s="1133"/>
      <c r="LX87" s="1133"/>
      <c r="LY87" s="1133"/>
      <c r="LZ87" s="1133"/>
      <c r="MA87" s="1133"/>
      <c r="MB87" s="1133"/>
      <c r="MC87" s="1133"/>
      <c r="MD87" s="1133"/>
      <c r="ME87" s="1133"/>
      <c r="MF87" s="1133"/>
      <c r="MG87" s="1133"/>
      <c r="MH87" s="1133"/>
      <c r="MI87" s="1133"/>
      <c r="MJ87" s="1133"/>
      <c r="MK87" s="1133"/>
      <c r="ML87" s="1133"/>
      <c r="MM87" s="1133"/>
      <c r="MN87" s="1133"/>
      <c r="MO87" s="1133"/>
      <c r="MP87" s="1133"/>
      <c r="MQ87" s="1133"/>
      <c r="MR87" s="1133"/>
      <c r="MS87" s="1133"/>
      <c r="MT87" s="1133"/>
      <c r="MU87" s="1133"/>
      <c r="MV87" s="1133"/>
      <c r="MW87" s="1133"/>
      <c r="MX87" s="1133"/>
      <c r="MY87" s="1133"/>
    </row>
    <row r="88">
      <c r="A88" s="1071">
        <v>86.0</v>
      </c>
      <c r="B88" s="1124"/>
      <c r="C88" s="1126"/>
      <c r="D88" s="1072">
        <v>34.90416666666667</v>
      </c>
      <c r="E88" s="1073">
        <v>2830000.0</v>
      </c>
      <c r="F88" s="1072">
        <v>34.90416666666667</v>
      </c>
      <c r="G88" s="1073">
        <v>2830000.0</v>
      </c>
      <c r="H88" s="1072">
        <v>34.90416666666667</v>
      </c>
      <c r="I88" s="1073">
        <v>2830000.0</v>
      </c>
      <c r="J88" s="1072">
        <v>34.90416666666667</v>
      </c>
      <c r="K88" s="1073">
        <v>2830000.0</v>
      </c>
      <c r="L88" s="1072">
        <v>67.88263888888889</v>
      </c>
      <c r="M88" s="1075">
        <v>9280000.0</v>
      </c>
      <c r="N88" s="1076">
        <v>25.141666666666666</v>
      </c>
      <c r="O88" s="1073">
        <v>1.245E7</v>
      </c>
      <c r="P88" s="1124"/>
      <c r="Q88" s="1125"/>
      <c r="R88" s="1124"/>
      <c r="S88" s="1125"/>
      <c r="T88" s="1124"/>
      <c r="U88" s="1125"/>
      <c r="V88" s="1124"/>
      <c r="W88" s="1125"/>
      <c r="X88" s="1124"/>
      <c r="Y88" s="1125"/>
      <c r="Z88" s="1124"/>
      <c r="AA88" s="1125"/>
      <c r="AB88" s="1124"/>
      <c r="AC88" s="1125"/>
      <c r="AD88" s="1072">
        <v>92.87569444444445</v>
      </c>
      <c r="AE88" s="1080">
        <v>4.843785983E18</v>
      </c>
      <c r="AF88" s="1072">
        <v>92.87569444444445</v>
      </c>
      <c r="AG88" s="1080">
        <v>4.843785983E18</v>
      </c>
      <c r="AH88" s="1072">
        <v>92.87569444444445</v>
      </c>
      <c r="AI88" s="1080">
        <v>4.843785983E18</v>
      </c>
      <c r="AJ88" s="1081">
        <v>34.90416666666667</v>
      </c>
      <c r="AK88" s="1082">
        <v>2830000.0</v>
      </c>
      <c r="AL88" s="1081">
        <v>34.90416666666667</v>
      </c>
      <c r="AM88" s="1082">
        <v>2830000.0</v>
      </c>
      <c r="AN88" s="1081">
        <v>34.90416666666667</v>
      </c>
      <c r="AO88" s="1082">
        <v>2830000.0</v>
      </c>
      <c r="AP88" s="1126"/>
      <c r="AQ88" s="1125"/>
      <c r="AR88" s="1081">
        <v>34.90416666666667</v>
      </c>
      <c r="AS88" s="1082">
        <v>2830000.0</v>
      </c>
      <c r="AT88" s="1126"/>
      <c r="AU88" s="1125"/>
      <c r="AV88" s="1126"/>
      <c r="AW88" s="1125"/>
      <c r="AX88" s="1124"/>
      <c r="AY88" s="1175"/>
      <c r="AZ88" s="1124"/>
      <c r="BA88" s="1124"/>
      <c r="BB88" s="1083">
        <v>34.90416666666667</v>
      </c>
      <c r="BC88" s="1084">
        <v>2830000.0</v>
      </c>
      <c r="BD88" s="1083">
        <v>34.90416666666667</v>
      </c>
      <c r="BE88" s="1084">
        <v>2830000.0</v>
      </c>
      <c r="BF88" s="1083">
        <v>34.90416666666667</v>
      </c>
      <c r="BG88" s="1084">
        <v>2830000.0</v>
      </c>
      <c r="BH88" s="1124"/>
      <c r="BI88" s="1125"/>
      <c r="BJ88" s="1124"/>
      <c r="BK88" s="1125"/>
      <c r="BL88" s="1124"/>
      <c r="BM88" s="1125"/>
      <c r="BN88" s="1124"/>
      <c r="BO88" s="1125"/>
      <c r="BP88" s="1124"/>
      <c r="BQ88" s="1125"/>
      <c r="BR88" s="1126"/>
      <c r="BS88" s="1125"/>
      <c r="BT88" s="1126"/>
      <c r="BU88" s="1126"/>
      <c r="BV88" s="1126"/>
      <c r="BW88" s="1126"/>
      <c r="BX88" s="1126"/>
      <c r="BY88" s="1126"/>
      <c r="BZ88" s="1126"/>
      <c r="CA88" s="1126"/>
      <c r="CB88" s="1126"/>
      <c r="CC88" s="1125"/>
      <c r="CD88" s="1126"/>
      <c r="CE88" s="1126"/>
      <c r="CF88" s="1133"/>
      <c r="CG88" s="1167"/>
      <c r="CH88" s="1088">
        <v>34.90416666666667</v>
      </c>
      <c r="CI88" s="1089">
        <v>2830000.0</v>
      </c>
      <c r="CJ88" s="1088">
        <v>34.90416666666667</v>
      </c>
      <c r="CK88" s="1089">
        <v>2830000.0</v>
      </c>
      <c r="CL88" s="1088">
        <v>34.90416666666667</v>
      </c>
      <c r="CM88" s="1089">
        <v>2830000.0</v>
      </c>
      <c r="CN88" s="1088">
        <v>34.90416666666667</v>
      </c>
      <c r="CO88" s="1089">
        <v>2830000.0</v>
      </c>
      <c r="CP88" s="1088">
        <v>84.64583333333333</v>
      </c>
      <c r="CQ88" s="1089">
        <v>1.245E7</v>
      </c>
      <c r="CR88" s="1124"/>
      <c r="CS88" s="1125"/>
      <c r="CT88" s="1126"/>
      <c r="CU88" s="1125"/>
      <c r="CV88" s="1126"/>
      <c r="CW88" s="1125"/>
      <c r="CX88" s="1126"/>
      <c r="CY88" s="1125"/>
      <c r="CZ88" s="1126"/>
      <c r="DA88" s="1126"/>
      <c r="DB88" s="1126"/>
      <c r="DC88" s="1126"/>
      <c r="DD88" s="1126"/>
      <c r="DE88" s="1125"/>
      <c r="DF88" s="1124"/>
      <c r="DG88" s="1125"/>
      <c r="DH88" s="1124"/>
      <c r="DI88" s="1125"/>
      <c r="DJ88" s="1124"/>
      <c r="DK88" s="1125"/>
      <c r="DL88" s="1124"/>
      <c r="DM88" s="1125"/>
      <c r="DN88" s="1124"/>
      <c r="DO88" s="1125"/>
      <c r="DP88" s="1124"/>
      <c r="DQ88" s="1125"/>
      <c r="DR88" s="1124"/>
      <c r="DS88" s="1125"/>
      <c r="DT88" s="1124"/>
      <c r="DU88" s="1125"/>
      <c r="DV88" s="1126"/>
      <c r="DW88" s="1125"/>
      <c r="DX88" s="1124"/>
      <c r="DY88" s="1125"/>
      <c r="DZ88" s="1124"/>
      <c r="EA88" s="1125"/>
      <c r="EB88" s="1124"/>
      <c r="EC88" s="1125"/>
      <c r="ED88" s="1124"/>
      <c r="EE88" s="1125"/>
      <c r="EF88" s="1124"/>
      <c r="EG88" s="1125"/>
      <c r="EH88" s="1124"/>
      <c r="EI88" s="1125"/>
      <c r="EJ88" s="1169"/>
      <c r="EK88" s="1167"/>
      <c r="EL88" s="1169"/>
      <c r="EM88" s="1167"/>
      <c r="EN88" s="1124"/>
      <c r="EO88" s="1125"/>
      <c r="EP88" s="1124"/>
      <c r="EQ88" s="1125"/>
      <c r="ER88" s="1124"/>
      <c r="ES88" s="1125"/>
      <c r="ET88" s="1124"/>
      <c r="EU88" s="1125"/>
      <c r="EV88" s="1124"/>
      <c r="EW88" s="1125"/>
      <c r="EX88" s="1124"/>
      <c r="EY88" s="1125"/>
      <c r="EZ88" s="1124"/>
      <c r="FA88" s="1125"/>
      <c r="FB88" s="1126"/>
      <c r="FC88" s="1125"/>
      <c r="FD88" s="1126"/>
      <c r="FE88" s="1125"/>
      <c r="FF88" s="1126"/>
      <c r="FG88" s="1125"/>
      <c r="FH88" s="1126"/>
      <c r="FI88" s="1126"/>
      <c r="FJ88" s="1126"/>
      <c r="FK88" s="1125"/>
      <c r="FL88" s="1124"/>
      <c r="FM88" s="1125"/>
      <c r="FN88" s="1139"/>
      <c r="FO88" s="1126"/>
      <c r="FP88" s="1139"/>
      <c r="FQ88" s="1126"/>
      <c r="FR88" s="1139"/>
      <c r="FS88" s="1126"/>
      <c r="FT88" s="1139"/>
      <c r="FU88" s="1125"/>
      <c r="FV88" s="1139"/>
      <c r="FW88" s="1125"/>
      <c r="FX88" s="1179"/>
      <c r="FY88" s="1167"/>
      <c r="FZ88" s="1179"/>
      <c r="GA88" s="1167"/>
      <c r="GB88" s="1179"/>
      <c r="GC88" s="1167"/>
      <c r="GD88" s="1133"/>
      <c r="GE88" s="1167"/>
      <c r="GF88" s="1124"/>
      <c r="GG88" s="1125"/>
      <c r="GH88" s="1124"/>
      <c r="GI88" s="1125"/>
      <c r="GJ88" s="1124"/>
      <c r="GK88" s="1125"/>
      <c r="GL88" s="1124"/>
      <c r="GM88" s="1125"/>
      <c r="GN88" s="1126"/>
      <c r="GO88" s="1125"/>
      <c r="GP88" s="1126"/>
      <c r="GQ88" s="1125"/>
      <c r="GR88" s="1124"/>
      <c r="GS88" s="1125"/>
      <c r="GT88" s="1124"/>
      <c r="GU88" s="1125"/>
      <c r="GV88" s="1126"/>
      <c r="GW88" s="1125"/>
      <c r="GX88" s="1168"/>
      <c r="GY88" s="1133"/>
      <c r="GZ88" s="1124"/>
      <c r="HA88" s="1125"/>
      <c r="HB88" s="1107">
        <v>4640.771527777778</v>
      </c>
      <c r="HC88" s="1108">
        <v>8.874E13</v>
      </c>
      <c r="HD88" s="1124"/>
      <c r="HE88" s="1125"/>
      <c r="HF88" s="1124"/>
      <c r="HG88" s="1125"/>
      <c r="HH88" s="1124"/>
      <c r="HI88" s="1125"/>
      <c r="HJ88" s="1124"/>
      <c r="HK88" s="1125"/>
      <c r="HL88" s="1124"/>
      <c r="HM88" s="1125"/>
      <c r="HN88" s="1126"/>
      <c r="HO88" s="1125"/>
      <c r="HP88" s="1124"/>
      <c r="HQ88" s="1125"/>
      <c r="HR88" s="1124"/>
      <c r="HS88" s="1125"/>
      <c r="HT88" s="1124"/>
      <c r="HU88" s="1125"/>
      <c r="HV88" s="1124"/>
      <c r="HW88" s="1125"/>
      <c r="HX88" s="1124"/>
      <c r="HY88" s="1125"/>
      <c r="HZ88" s="1124"/>
      <c r="IA88" s="1125"/>
      <c r="IB88" s="1124"/>
      <c r="IC88" s="1125"/>
      <c r="ID88" s="1124"/>
      <c r="IE88" s="1125"/>
      <c r="IF88" s="1124"/>
      <c r="IG88" s="1125"/>
      <c r="IH88" s="1124"/>
      <c r="II88" s="1125"/>
      <c r="IJ88" s="1124"/>
      <c r="IK88" s="1125"/>
      <c r="IL88" s="1124"/>
      <c r="IM88" s="1125"/>
      <c r="IN88" s="1124"/>
      <c r="IO88" s="1125"/>
      <c r="IP88" s="1124"/>
      <c r="IQ88" s="1125"/>
      <c r="IR88" s="1124"/>
      <c r="IS88" s="1125"/>
      <c r="IT88" s="1124"/>
      <c r="IU88" s="1125"/>
      <c r="IV88" s="1124"/>
      <c r="IW88" s="1125"/>
      <c r="IX88" s="1124"/>
      <c r="IY88" s="1125"/>
      <c r="IZ88" s="1124"/>
      <c r="JA88" s="1125"/>
      <c r="JB88" s="1124"/>
      <c r="JC88" s="1125"/>
      <c r="JD88" s="1124"/>
      <c r="JE88" s="1125"/>
      <c r="JF88" s="1124"/>
      <c r="JG88" s="1125"/>
      <c r="JH88" s="1124"/>
      <c r="JI88" s="1125"/>
      <c r="JJ88" s="1169"/>
      <c r="JK88" s="1167"/>
      <c r="JL88" s="1169"/>
      <c r="JM88" s="1167"/>
      <c r="JN88" s="1169"/>
      <c r="JO88" s="1167"/>
      <c r="JP88" s="1169"/>
      <c r="JQ88" s="1167"/>
      <c r="JR88" s="1169"/>
      <c r="JS88" s="1167"/>
      <c r="JT88" s="1169"/>
      <c r="JU88" s="1167"/>
      <c r="JV88" s="1169"/>
      <c r="JW88" s="1167"/>
      <c r="JX88" s="1169"/>
      <c r="JY88" s="1133"/>
      <c r="JZ88" s="1173">
        <v>8.094155093</v>
      </c>
      <c r="KA88" s="1120">
        <v>3.2394E11</v>
      </c>
      <c r="KB88" s="1169"/>
      <c r="KC88" s="1133"/>
      <c r="KD88" s="1169"/>
      <c r="KE88" s="1133"/>
      <c r="KF88" s="1133"/>
      <c r="KG88" s="1133"/>
      <c r="KH88" s="1133"/>
      <c r="KI88" s="1133"/>
      <c r="KJ88" s="1133"/>
      <c r="KK88" s="1133"/>
      <c r="KL88" s="1133"/>
      <c r="KM88" s="1133"/>
      <c r="KN88" s="1133"/>
      <c r="KO88" s="1133"/>
      <c r="KP88" s="1133"/>
      <c r="KQ88" s="1133"/>
      <c r="KR88" s="1133"/>
      <c r="KS88" s="1133"/>
      <c r="KT88" s="1133"/>
      <c r="KU88" s="1133"/>
      <c r="KV88" s="1133"/>
      <c r="KW88" s="1133"/>
      <c r="KX88" s="1133"/>
      <c r="KY88" s="1133"/>
      <c r="KZ88" s="1133"/>
      <c r="LA88" s="1133"/>
      <c r="LB88" s="1133"/>
      <c r="LC88" s="1133"/>
      <c r="LD88" s="1133"/>
      <c r="LE88" s="1133"/>
      <c r="LF88" s="1133"/>
      <c r="LG88" s="1133"/>
      <c r="LH88" s="1133"/>
      <c r="LI88" s="1133"/>
      <c r="LJ88" s="1133"/>
      <c r="LK88" s="1133"/>
      <c r="LL88" s="1133"/>
      <c r="LM88" s="1133"/>
      <c r="LN88" s="1133"/>
      <c r="LO88" s="1133"/>
      <c r="LP88" s="1133"/>
      <c r="LQ88" s="1133"/>
      <c r="LR88" s="1133"/>
      <c r="LS88" s="1133"/>
      <c r="LT88" s="1133"/>
      <c r="LU88" s="1133"/>
      <c r="LV88" s="1133"/>
      <c r="LW88" s="1133"/>
      <c r="LX88" s="1133"/>
      <c r="LY88" s="1133"/>
      <c r="LZ88" s="1133"/>
      <c r="MA88" s="1133"/>
      <c r="MB88" s="1133"/>
      <c r="MC88" s="1133"/>
      <c r="MD88" s="1133"/>
      <c r="ME88" s="1133"/>
      <c r="MF88" s="1133"/>
      <c r="MG88" s="1133"/>
      <c r="MH88" s="1133"/>
      <c r="MI88" s="1133"/>
      <c r="MJ88" s="1133"/>
      <c r="MK88" s="1133"/>
      <c r="ML88" s="1133"/>
      <c r="MM88" s="1133"/>
      <c r="MN88" s="1133"/>
      <c r="MO88" s="1133"/>
      <c r="MP88" s="1133"/>
      <c r="MQ88" s="1133"/>
      <c r="MR88" s="1133"/>
      <c r="MS88" s="1133"/>
      <c r="MT88" s="1133"/>
      <c r="MU88" s="1133"/>
      <c r="MV88" s="1133"/>
      <c r="MW88" s="1133"/>
      <c r="MX88" s="1133"/>
      <c r="MY88" s="1133"/>
    </row>
    <row r="89">
      <c r="A89" s="1071">
        <v>87.0</v>
      </c>
      <c r="B89" s="1124"/>
      <c r="C89" s="1126"/>
      <c r="D89" s="1072">
        <v>35.893055555555556</v>
      </c>
      <c r="E89" s="1073">
        <v>2930000.0</v>
      </c>
      <c r="F89" s="1072">
        <v>35.893055555555556</v>
      </c>
      <c r="G89" s="1073">
        <v>2930000.0</v>
      </c>
      <c r="H89" s="1072">
        <v>35.893055555555556</v>
      </c>
      <c r="I89" s="1073">
        <v>2930000.0</v>
      </c>
      <c r="J89" s="1072">
        <v>35.893055555555556</v>
      </c>
      <c r="K89" s="1073">
        <v>2930000.0</v>
      </c>
      <c r="L89" s="1072">
        <v>69.92916666666666</v>
      </c>
      <c r="M89" s="1075">
        <v>9580000.0</v>
      </c>
      <c r="N89" s="1076">
        <v>25.709027777777777</v>
      </c>
      <c r="O89" s="1073">
        <v>1.291E7</v>
      </c>
      <c r="P89" s="1124"/>
      <c r="Q89" s="1125"/>
      <c r="R89" s="1124"/>
      <c r="S89" s="1125"/>
      <c r="T89" s="1124"/>
      <c r="U89" s="1125"/>
      <c r="V89" s="1124"/>
      <c r="W89" s="1125"/>
      <c r="X89" s="1124"/>
      <c r="Y89" s="1125"/>
      <c r="Z89" s="1124"/>
      <c r="AA89" s="1125"/>
      <c r="AB89" s="1124"/>
      <c r="AC89" s="1125"/>
      <c r="AD89" s="1072">
        <v>93.95555555555555</v>
      </c>
      <c r="AE89" s="1080">
        <v>6.296921778E18</v>
      </c>
      <c r="AF89" s="1072">
        <v>93.95555555555555</v>
      </c>
      <c r="AG89" s="1080">
        <v>6.296921778E18</v>
      </c>
      <c r="AH89" s="1072">
        <v>93.95555555555555</v>
      </c>
      <c r="AI89" s="1080">
        <v>6.296921778E18</v>
      </c>
      <c r="AJ89" s="1081">
        <v>35.893055555555556</v>
      </c>
      <c r="AK89" s="1082">
        <v>2930000.0</v>
      </c>
      <c r="AL89" s="1081">
        <v>35.893055555555556</v>
      </c>
      <c r="AM89" s="1082">
        <v>2930000.0</v>
      </c>
      <c r="AN89" s="1081">
        <v>35.893055555555556</v>
      </c>
      <c r="AO89" s="1082">
        <v>2930000.0</v>
      </c>
      <c r="AP89" s="1126"/>
      <c r="AQ89" s="1125"/>
      <c r="AR89" s="1081">
        <v>35.893055555555556</v>
      </c>
      <c r="AS89" s="1082">
        <v>2930000.0</v>
      </c>
      <c r="AT89" s="1126"/>
      <c r="AU89" s="1125"/>
      <c r="AV89" s="1126"/>
      <c r="AW89" s="1125"/>
      <c r="AX89" s="1124"/>
      <c r="AY89" s="1175"/>
      <c r="AZ89" s="1124"/>
      <c r="BA89" s="1124"/>
      <c r="BB89" s="1083">
        <v>35.893055555555556</v>
      </c>
      <c r="BC89" s="1084">
        <v>2930000.0</v>
      </c>
      <c r="BD89" s="1083">
        <v>35.893055555555556</v>
      </c>
      <c r="BE89" s="1084">
        <v>2930000.0</v>
      </c>
      <c r="BF89" s="1083">
        <v>35.893055555555556</v>
      </c>
      <c r="BG89" s="1084">
        <v>2930000.0</v>
      </c>
      <c r="BH89" s="1124"/>
      <c r="BI89" s="1125"/>
      <c r="BJ89" s="1124"/>
      <c r="BK89" s="1125"/>
      <c r="BL89" s="1124"/>
      <c r="BM89" s="1125"/>
      <c r="BN89" s="1124"/>
      <c r="BO89" s="1125"/>
      <c r="BP89" s="1124"/>
      <c r="BQ89" s="1125"/>
      <c r="BR89" s="1126"/>
      <c r="BS89" s="1125"/>
      <c r="BT89" s="1126"/>
      <c r="BU89" s="1126"/>
      <c r="BV89" s="1126"/>
      <c r="BW89" s="1126"/>
      <c r="BX89" s="1126"/>
      <c r="BY89" s="1126"/>
      <c r="BZ89" s="1126"/>
      <c r="CA89" s="1126"/>
      <c r="CB89" s="1126"/>
      <c r="CC89" s="1125"/>
      <c r="CD89" s="1126"/>
      <c r="CE89" s="1126"/>
      <c r="CF89" s="1133"/>
      <c r="CG89" s="1167"/>
      <c r="CH89" s="1088">
        <v>35.893055555555556</v>
      </c>
      <c r="CI89" s="1089">
        <v>2930000.0</v>
      </c>
      <c r="CJ89" s="1088">
        <v>35.893055555555556</v>
      </c>
      <c r="CK89" s="1089">
        <v>2930000.0</v>
      </c>
      <c r="CL89" s="1088">
        <v>35.893055555555556</v>
      </c>
      <c r="CM89" s="1089">
        <v>2930000.0</v>
      </c>
      <c r="CN89" s="1088">
        <v>35.893055555555556</v>
      </c>
      <c r="CO89" s="1089">
        <v>2930000.0</v>
      </c>
      <c r="CP89" s="1088">
        <v>87.25</v>
      </c>
      <c r="CQ89" s="1089">
        <v>1.291E7</v>
      </c>
      <c r="CR89" s="1124"/>
      <c r="CS89" s="1125"/>
      <c r="CT89" s="1126"/>
      <c r="CU89" s="1125"/>
      <c r="CV89" s="1126"/>
      <c r="CW89" s="1125"/>
      <c r="CX89" s="1126"/>
      <c r="CY89" s="1125"/>
      <c r="CZ89" s="1126"/>
      <c r="DA89" s="1126"/>
      <c r="DB89" s="1126"/>
      <c r="DC89" s="1126"/>
      <c r="DD89" s="1126"/>
      <c r="DE89" s="1125"/>
      <c r="DF89" s="1124"/>
      <c r="DG89" s="1125"/>
      <c r="DH89" s="1124"/>
      <c r="DI89" s="1125"/>
      <c r="DJ89" s="1124"/>
      <c r="DK89" s="1125"/>
      <c r="DL89" s="1124"/>
      <c r="DM89" s="1125"/>
      <c r="DN89" s="1124"/>
      <c r="DO89" s="1125"/>
      <c r="DP89" s="1124"/>
      <c r="DQ89" s="1125"/>
      <c r="DR89" s="1124"/>
      <c r="DS89" s="1125"/>
      <c r="DT89" s="1124"/>
      <c r="DU89" s="1125"/>
      <c r="DV89" s="1126"/>
      <c r="DW89" s="1125"/>
      <c r="DX89" s="1124"/>
      <c r="DY89" s="1125"/>
      <c r="DZ89" s="1124"/>
      <c r="EA89" s="1125"/>
      <c r="EB89" s="1124"/>
      <c r="EC89" s="1125"/>
      <c r="ED89" s="1124"/>
      <c r="EE89" s="1125"/>
      <c r="EF89" s="1124"/>
      <c r="EG89" s="1125"/>
      <c r="EH89" s="1124"/>
      <c r="EI89" s="1125"/>
      <c r="EJ89" s="1169"/>
      <c r="EK89" s="1167"/>
      <c r="EL89" s="1169"/>
      <c r="EM89" s="1167"/>
      <c r="EN89" s="1124"/>
      <c r="EO89" s="1125"/>
      <c r="EP89" s="1124"/>
      <c r="EQ89" s="1125"/>
      <c r="ER89" s="1124"/>
      <c r="ES89" s="1125"/>
      <c r="ET89" s="1124"/>
      <c r="EU89" s="1125"/>
      <c r="EV89" s="1124"/>
      <c r="EW89" s="1125"/>
      <c r="EX89" s="1124"/>
      <c r="EY89" s="1125"/>
      <c r="EZ89" s="1124"/>
      <c r="FA89" s="1125"/>
      <c r="FB89" s="1126"/>
      <c r="FC89" s="1125"/>
      <c r="FD89" s="1126"/>
      <c r="FE89" s="1125"/>
      <c r="FF89" s="1126"/>
      <c r="FG89" s="1125"/>
      <c r="FH89" s="1126"/>
      <c r="FI89" s="1126"/>
      <c r="FJ89" s="1126"/>
      <c r="FK89" s="1125"/>
      <c r="FL89" s="1124"/>
      <c r="FM89" s="1125"/>
      <c r="FN89" s="1139"/>
      <c r="FO89" s="1126"/>
      <c r="FP89" s="1139"/>
      <c r="FQ89" s="1126"/>
      <c r="FR89" s="1139"/>
      <c r="FS89" s="1126"/>
      <c r="FT89" s="1139"/>
      <c r="FU89" s="1125"/>
      <c r="FV89" s="1139"/>
      <c r="FW89" s="1125"/>
      <c r="FX89" s="1179"/>
      <c r="FY89" s="1167"/>
      <c r="FZ89" s="1179"/>
      <c r="GA89" s="1167"/>
      <c r="GB89" s="1179"/>
      <c r="GC89" s="1167"/>
      <c r="GD89" s="1133"/>
      <c r="GE89" s="1167"/>
      <c r="GF89" s="1124"/>
      <c r="GG89" s="1125"/>
      <c r="GH89" s="1124"/>
      <c r="GI89" s="1125"/>
      <c r="GJ89" s="1124"/>
      <c r="GK89" s="1125"/>
      <c r="GL89" s="1124"/>
      <c r="GM89" s="1125"/>
      <c r="GN89" s="1126"/>
      <c r="GO89" s="1125"/>
      <c r="GP89" s="1126"/>
      <c r="GQ89" s="1125"/>
      <c r="GR89" s="1124"/>
      <c r="GS89" s="1125"/>
      <c r="GT89" s="1124"/>
      <c r="GU89" s="1125"/>
      <c r="GV89" s="1126"/>
      <c r="GW89" s="1125"/>
      <c r="GX89" s="1168"/>
      <c r="GY89" s="1133"/>
      <c r="GZ89" s="1124"/>
      <c r="HA89" s="1125"/>
      <c r="HB89" s="1107">
        <v>4790.833333333333</v>
      </c>
      <c r="HC89" s="1108">
        <v>9.409E13</v>
      </c>
      <c r="HD89" s="1124"/>
      <c r="HE89" s="1125"/>
      <c r="HF89" s="1124"/>
      <c r="HG89" s="1125"/>
      <c r="HH89" s="1124"/>
      <c r="HI89" s="1125"/>
      <c r="HJ89" s="1124"/>
      <c r="HK89" s="1125"/>
      <c r="HL89" s="1124"/>
      <c r="HM89" s="1125"/>
      <c r="HN89" s="1126"/>
      <c r="HO89" s="1125"/>
      <c r="HP89" s="1124"/>
      <c r="HQ89" s="1125"/>
      <c r="HR89" s="1124"/>
      <c r="HS89" s="1125"/>
      <c r="HT89" s="1124"/>
      <c r="HU89" s="1125"/>
      <c r="HV89" s="1124"/>
      <c r="HW89" s="1125"/>
      <c r="HX89" s="1124"/>
      <c r="HY89" s="1125"/>
      <c r="HZ89" s="1124"/>
      <c r="IA89" s="1125"/>
      <c r="IB89" s="1124"/>
      <c r="IC89" s="1125"/>
      <c r="ID89" s="1124"/>
      <c r="IE89" s="1125"/>
      <c r="IF89" s="1124"/>
      <c r="IG89" s="1125"/>
      <c r="IH89" s="1124"/>
      <c r="II89" s="1125"/>
      <c r="IJ89" s="1124"/>
      <c r="IK89" s="1125"/>
      <c r="IL89" s="1124"/>
      <c r="IM89" s="1125"/>
      <c r="IN89" s="1124"/>
      <c r="IO89" s="1125"/>
      <c r="IP89" s="1124"/>
      <c r="IQ89" s="1125"/>
      <c r="IR89" s="1124"/>
      <c r="IS89" s="1125"/>
      <c r="IT89" s="1124"/>
      <c r="IU89" s="1125"/>
      <c r="IV89" s="1124"/>
      <c r="IW89" s="1125"/>
      <c r="IX89" s="1124"/>
      <c r="IY89" s="1125"/>
      <c r="IZ89" s="1124"/>
      <c r="JA89" s="1125"/>
      <c r="JB89" s="1124"/>
      <c r="JC89" s="1125"/>
      <c r="JD89" s="1124"/>
      <c r="JE89" s="1125"/>
      <c r="JF89" s="1124"/>
      <c r="JG89" s="1125"/>
      <c r="JH89" s="1124"/>
      <c r="JI89" s="1125"/>
      <c r="JJ89" s="1169"/>
      <c r="JK89" s="1167"/>
      <c r="JL89" s="1169"/>
      <c r="JM89" s="1167"/>
      <c r="JN89" s="1169"/>
      <c r="JO89" s="1167"/>
      <c r="JP89" s="1169"/>
      <c r="JQ89" s="1167"/>
      <c r="JR89" s="1169"/>
      <c r="JS89" s="1167"/>
      <c r="JT89" s="1169"/>
      <c r="JU89" s="1167"/>
      <c r="JV89" s="1169"/>
      <c r="JW89" s="1167"/>
      <c r="JX89" s="1169"/>
      <c r="JY89" s="1133"/>
      <c r="JZ89" s="1173">
        <v>8.213229167</v>
      </c>
      <c r="KA89" s="1120">
        <v>3.3433E11</v>
      </c>
      <c r="KB89" s="1169"/>
      <c r="KC89" s="1133"/>
      <c r="KD89" s="1169"/>
      <c r="KE89" s="1133"/>
      <c r="KF89" s="1133"/>
      <c r="KG89" s="1133"/>
      <c r="KH89" s="1133"/>
      <c r="KI89" s="1133"/>
      <c r="KJ89" s="1133"/>
      <c r="KK89" s="1133"/>
      <c r="KL89" s="1133"/>
      <c r="KM89" s="1133"/>
      <c r="KN89" s="1133"/>
      <c r="KO89" s="1133"/>
      <c r="KP89" s="1133"/>
      <c r="KQ89" s="1133"/>
      <c r="KR89" s="1133"/>
      <c r="KS89" s="1133"/>
      <c r="KT89" s="1133"/>
      <c r="KU89" s="1133"/>
      <c r="KV89" s="1133"/>
      <c r="KW89" s="1133"/>
      <c r="KX89" s="1133"/>
      <c r="KY89" s="1133"/>
      <c r="KZ89" s="1133"/>
      <c r="LA89" s="1133"/>
      <c r="LB89" s="1133"/>
      <c r="LC89" s="1133"/>
      <c r="LD89" s="1133"/>
      <c r="LE89" s="1133"/>
      <c r="LF89" s="1133"/>
      <c r="LG89" s="1133"/>
      <c r="LH89" s="1133"/>
      <c r="LI89" s="1133"/>
      <c r="LJ89" s="1133"/>
      <c r="LK89" s="1133"/>
      <c r="LL89" s="1133"/>
      <c r="LM89" s="1133"/>
      <c r="LN89" s="1133"/>
      <c r="LO89" s="1133"/>
      <c r="LP89" s="1133"/>
      <c r="LQ89" s="1133"/>
      <c r="LR89" s="1133"/>
      <c r="LS89" s="1133"/>
      <c r="LT89" s="1133"/>
      <c r="LU89" s="1133"/>
      <c r="LV89" s="1133"/>
      <c r="LW89" s="1133"/>
      <c r="LX89" s="1133"/>
      <c r="LY89" s="1133"/>
      <c r="LZ89" s="1133"/>
      <c r="MA89" s="1133"/>
      <c r="MB89" s="1133"/>
      <c r="MC89" s="1133"/>
      <c r="MD89" s="1133"/>
      <c r="ME89" s="1133"/>
      <c r="MF89" s="1133"/>
      <c r="MG89" s="1133"/>
      <c r="MH89" s="1133"/>
      <c r="MI89" s="1133"/>
      <c r="MJ89" s="1133"/>
      <c r="MK89" s="1133"/>
      <c r="ML89" s="1133"/>
      <c r="MM89" s="1133"/>
      <c r="MN89" s="1133"/>
      <c r="MO89" s="1133"/>
      <c r="MP89" s="1133"/>
      <c r="MQ89" s="1133"/>
      <c r="MR89" s="1133"/>
      <c r="MS89" s="1133"/>
      <c r="MT89" s="1133"/>
      <c r="MU89" s="1133"/>
      <c r="MV89" s="1133"/>
      <c r="MW89" s="1133"/>
      <c r="MX89" s="1133"/>
      <c r="MY89" s="1133"/>
    </row>
    <row r="90">
      <c r="A90" s="1071">
        <v>88.0</v>
      </c>
      <c r="B90" s="1124"/>
      <c r="C90" s="1126"/>
      <c r="D90" s="1072">
        <v>36.89791666666667</v>
      </c>
      <c r="E90" s="1073">
        <v>3020000.0</v>
      </c>
      <c r="F90" s="1072">
        <v>36.89791666666667</v>
      </c>
      <c r="G90" s="1073">
        <v>3020000.0</v>
      </c>
      <c r="H90" s="1072">
        <v>36.89791666666667</v>
      </c>
      <c r="I90" s="1073">
        <v>3020000.0</v>
      </c>
      <c r="J90" s="1072">
        <v>36.89791666666667</v>
      </c>
      <c r="K90" s="1073">
        <v>3020000.0</v>
      </c>
      <c r="L90" s="1072">
        <v>72.01180555555555</v>
      </c>
      <c r="M90" s="1075">
        <v>9890000.0</v>
      </c>
      <c r="N90" s="1076">
        <v>26.28125</v>
      </c>
      <c r="O90" s="1073">
        <v>1.338E7</v>
      </c>
      <c r="P90" s="1124"/>
      <c r="Q90" s="1125"/>
      <c r="R90" s="1124"/>
      <c r="S90" s="1125"/>
      <c r="T90" s="1124"/>
      <c r="U90" s="1125"/>
      <c r="V90" s="1124"/>
      <c r="W90" s="1125"/>
      <c r="X90" s="1124"/>
      <c r="Y90" s="1125"/>
      <c r="Z90" s="1124"/>
      <c r="AA90" s="1125"/>
      <c r="AB90" s="1124"/>
      <c r="AC90" s="1125"/>
      <c r="AD90" s="1072">
        <v>95.03541666666666</v>
      </c>
      <c r="AE90" s="1080">
        <v>8.185998311E18</v>
      </c>
      <c r="AF90" s="1072">
        <v>95.03541666666666</v>
      </c>
      <c r="AG90" s="1080">
        <v>8.185998311E18</v>
      </c>
      <c r="AH90" s="1072">
        <v>95.03541666666666</v>
      </c>
      <c r="AI90" s="1080">
        <v>8.185998311E18</v>
      </c>
      <c r="AJ90" s="1081">
        <v>36.89791666666667</v>
      </c>
      <c r="AK90" s="1082">
        <v>3020000.0</v>
      </c>
      <c r="AL90" s="1081">
        <v>36.89791666666667</v>
      </c>
      <c r="AM90" s="1082">
        <v>3020000.0</v>
      </c>
      <c r="AN90" s="1081">
        <v>36.89791666666667</v>
      </c>
      <c r="AO90" s="1082">
        <v>3020000.0</v>
      </c>
      <c r="AP90" s="1126"/>
      <c r="AQ90" s="1125"/>
      <c r="AR90" s="1081">
        <v>36.89791666666667</v>
      </c>
      <c r="AS90" s="1082">
        <v>3020000.0</v>
      </c>
      <c r="AT90" s="1126"/>
      <c r="AU90" s="1125"/>
      <c r="AV90" s="1126"/>
      <c r="AW90" s="1125"/>
      <c r="AX90" s="1124"/>
      <c r="AY90" s="1175"/>
      <c r="AZ90" s="1124"/>
      <c r="BA90" s="1124"/>
      <c r="BB90" s="1083">
        <v>36.89791666666667</v>
      </c>
      <c r="BC90" s="1084">
        <v>3020000.0</v>
      </c>
      <c r="BD90" s="1083">
        <v>36.89791666666667</v>
      </c>
      <c r="BE90" s="1084">
        <v>3020000.0</v>
      </c>
      <c r="BF90" s="1083">
        <v>36.89791666666667</v>
      </c>
      <c r="BG90" s="1084">
        <v>3020000.0</v>
      </c>
      <c r="BH90" s="1124"/>
      <c r="BI90" s="1125"/>
      <c r="BJ90" s="1124"/>
      <c r="BK90" s="1125"/>
      <c r="BL90" s="1124"/>
      <c r="BM90" s="1125"/>
      <c r="BN90" s="1124"/>
      <c r="BO90" s="1125"/>
      <c r="BP90" s="1124"/>
      <c r="BQ90" s="1125"/>
      <c r="BR90" s="1126"/>
      <c r="BS90" s="1125"/>
      <c r="BT90" s="1126"/>
      <c r="BU90" s="1126"/>
      <c r="BV90" s="1126"/>
      <c r="BW90" s="1126"/>
      <c r="BX90" s="1126"/>
      <c r="BY90" s="1126"/>
      <c r="BZ90" s="1126"/>
      <c r="CA90" s="1126"/>
      <c r="CB90" s="1126"/>
      <c r="CC90" s="1125"/>
      <c r="CD90" s="1126"/>
      <c r="CE90" s="1126"/>
      <c r="CF90" s="1133"/>
      <c r="CG90" s="1167"/>
      <c r="CH90" s="1088">
        <v>36.89791666666667</v>
      </c>
      <c r="CI90" s="1089">
        <v>3020000.0</v>
      </c>
      <c r="CJ90" s="1088">
        <v>36.89791666666667</v>
      </c>
      <c r="CK90" s="1089">
        <v>3020000.0</v>
      </c>
      <c r="CL90" s="1088">
        <v>36.89791666666667</v>
      </c>
      <c r="CM90" s="1089">
        <v>3020000.0</v>
      </c>
      <c r="CN90" s="1088">
        <v>36.89791666666667</v>
      </c>
      <c r="CO90" s="1089">
        <v>3020000.0</v>
      </c>
      <c r="CP90" s="1088">
        <v>89.90277777777777</v>
      </c>
      <c r="CQ90" s="1089">
        <v>1.338E7</v>
      </c>
      <c r="CR90" s="1124"/>
      <c r="CS90" s="1125"/>
      <c r="CT90" s="1126"/>
      <c r="CU90" s="1125"/>
      <c r="CV90" s="1126"/>
      <c r="CW90" s="1125"/>
      <c r="CX90" s="1126"/>
      <c r="CY90" s="1125"/>
      <c r="CZ90" s="1126"/>
      <c r="DA90" s="1126"/>
      <c r="DB90" s="1126"/>
      <c r="DC90" s="1126"/>
      <c r="DD90" s="1126"/>
      <c r="DE90" s="1125"/>
      <c r="DF90" s="1124"/>
      <c r="DG90" s="1125"/>
      <c r="DH90" s="1124"/>
      <c r="DI90" s="1125"/>
      <c r="DJ90" s="1124"/>
      <c r="DK90" s="1125"/>
      <c r="DL90" s="1124"/>
      <c r="DM90" s="1125"/>
      <c r="DN90" s="1124"/>
      <c r="DO90" s="1125"/>
      <c r="DP90" s="1124"/>
      <c r="DQ90" s="1125"/>
      <c r="DR90" s="1124"/>
      <c r="DS90" s="1125"/>
      <c r="DT90" s="1124"/>
      <c r="DU90" s="1125"/>
      <c r="DV90" s="1126"/>
      <c r="DW90" s="1125"/>
      <c r="DX90" s="1124"/>
      <c r="DY90" s="1125"/>
      <c r="DZ90" s="1124"/>
      <c r="EA90" s="1125"/>
      <c r="EB90" s="1124"/>
      <c r="EC90" s="1125"/>
      <c r="ED90" s="1124"/>
      <c r="EE90" s="1125"/>
      <c r="EF90" s="1124"/>
      <c r="EG90" s="1125"/>
      <c r="EH90" s="1124"/>
      <c r="EI90" s="1125"/>
      <c r="EJ90" s="1169"/>
      <c r="EK90" s="1167"/>
      <c r="EL90" s="1169"/>
      <c r="EM90" s="1167"/>
      <c r="EN90" s="1124"/>
      <c r="EO90" s="1125"/>
      <c r="EP90" s="1124"/>
      <c r="EQ90" s="1125"/>
      <c r="ER90" s="1124"/>
      <c r="ES90" s="1125"/>
      <c r="ET90" s="1124"/>
      <c r="EU90" s="1125"/>
      <c r="EV90" s="1124"/>
      <c r="EW90" s="1125"/>
      <c r="EX90" s="1124"/>
      <c r="EY90" s="1125"/>
      <c r="EZ90" s="1124"/>
      <c r="FA90" s="1125"/>
      <c r="FB90" s="1126"/>
      <c r="FC90" s="1125"/>
      <c r="FD90" s="1126"/>
      <c r="FE90" s="1125"/>
      <c r="FF90" s="1126"/>
      <c r="FG90" s="1125"/>
      <c r="FH90" s="1126"/>
      <c r="FI90" s="1126"/>
      <c r="FJ90" s="1126"/>
      <c r="FK90" s="1125"/>
      <c r="FL90" s="1124"/>
      <c r="FM90" s="1125"/>
      <c r="FN90" s="1139"/>
      <c r="FO90" s="1126"/>
      <c r="FP90" s="1139"/>
      <c r="FQ90" s="1126"/>
      <c r="FR90" s="1139"/>
      <c r="FS90" s="1126"/>
      <c r="FT90" s="1139"/>
      <c r="FU90" s="1125"/>
      <c r="FV90" s="1139"/>
      <c r="FW90" s="1125"/>
      <c r="FX90" s="1179"/>
      <c r="FY90" s="1167"/>
      <c r="FZ90" s="1179"/>
      <c r="GA90" s="1167"/>
      <c r="GB90" s="1179"/>
      <c r="GC90" s="1167"/>
      <c r="GD90" s="1133"/>
      <c r="GE90" s="1167"/>
      <c r="GF90" s="1124"/>
      <c r="GG90" s="1125"/>
      <c r="GH90" s="1124"/>
      <c r="GI90" s="1125"/>
      <c r="GJ90" s="1124"/>
      <c r="GK90" s="1125"/>
      <c r="GL90" s="1124"/>
      <c r="GM90" s="1125"/>
      <c r="GN90" s="1126"/>
      <c r="GO90" s="1125"/>
      <c r="GP90" s="1126"/>
      <c r="GQ90" s="1125"/>
      <c r="GR90" s="1124"/>
      <c r="GS90" s="1125"/>
      <c r="GT90" s="1124"/>
      <c r="GU90" s="1125"/>
      <c r="GV90" s="1126"/>
      <c r="GW90" s="1125"/>
      <c r="GX90" s="1168"/>
      <c r="GY90" s="1133"/>
      <c r="GZ90" s="1124"/>
      <c r="HA90" s="1125"/>
      <c r="HB90" s="1107">
        <v>4922.396527777778</v>
      </c>
      <c r="HC90" s="1108">
        <v>9.968E13</v>
      </c>
      <c r="HD90" s="1124"/>
      <c r="HE90" s="1125"/>
      <c r="HF90" s="1124"/>
      <c r="HG90" s="1125"/>
      <c r="HH90" s="1124"/>
      <c r="HI90" s="1125"/>
      <c r="HJ90" s="1124"/>
      <c r="HK90" s="1125"/>
      <c r="HL90" s="1124"/>
      <c r="HM90" s="1125"/>
      <c r="HN90" s="1126"/>
      <c r="HO90" s="1125"/>
      <c r="HP90" s="1124"/>
      <c r="HQ90" s="1125"/>
      <c r="HR90" s="1124"/>
      <c r="HS90" s="1125"/>
      <c r="HT90" s="1124"/>
      <c r="HU90" s="1125"/>
      <c r="HV90" s="1124"/>
      <c r="HW90" s="1125"/>
      <c r="HX90" s="1124"/>
      <c r="HY90" s="1125"/>
      <c r="HZ90" s="1124"/>
      <c r="IA90" s="1125"/>
      <c r="IB90" s="1124"/>
      <c r="IC90" s="1125"/>
      <c r="ID90" s="1124"/>
      <c r="IE90" s="1125"/>
      <c r="IF90" s="1124"/>
      <c r="IG90" s="1125"/>
      <c r="IH90" s="1124"/>
      <c r="II90" s="1125"/>
      <c r="IJ90" s="1124"/>
      <c r="IK90" s="1125"/>
      <c r="IL90" s="1124"/>
      <c r="IM90" s="1125"/>
      <c r="IN90" s="1124"/>
      <c r="IO90" s="1125"/>
      <c r="IP90" s="1124"/>
      <c r="IQ90" s="1125"/>
      <c r="IR90" s="1124"/>
      <c r="IS90" s="1125"/>
      <c r="IT90" s="1124"/>
      <c r="IU90" s="1125"/>
      <c r="IV90" s="1124"/>
      <c r="IW90" s="1125"/>
      <c r="IX90" s="1124"/>
      <c r="IY90" s="1125"/>
      <c r="IZ90" s="1124"/>
      <c r="JA90" s="1125"/>
      <c r="JB90" s="1124"/>
      <c r="JC90" s="1125"/>
      <c r="JD90" s="1124"/>
      <c r="JE90" s="1125"/>
      <c r="JF90" s="1124"/>
      <c r="JG90" s="1125"/>
      <c r="JH90" s="1124"/>
      <c r="JI90" s="1125"/>
      <c r="JJ90" s="1169"/>
      <c r="JK90" s="1167"/>
      <c r="JL90" s="1169"/>
      <c r="JM90" s="1167"/>
      <c r="JN90" s="1169"/>
      <c r="JO90" s="1167"/>
      <c r="JP90" s="1169"/>
      <c r="JQ90" s="1167"/>
      <c r="JR90" s="1169"/>
      <c r="JS90" s="1167"/>
      <c r="JT90" s="1169"/>
      <c r="JU90" s="1167"/>
      <c r="JV90" s="1169"/>
      <c r="JW90" s="1167"/>
      <c r="JX90" s="1169"/>
      <c r="JY90" s="1133"/>
      <c r="JZ90" s="1173">
        <v>8.333194444</v>
      </c>
      <c r="KA90" s="1120">
        <v>3.4493E11</v>
      </c>
      <c r="KB90" s="1169"/>
      <c r="KC90" s="1133"/>
      <c r="KD90" s="1169"/>
      <c r="KE90" s="1133"/>
      <c r="KF90" s="1133"/>
      <c r="KG90" s="1133"/>
      <c r="KH90" s="1133"/>
      <c r="KI90" s="1133"/>
      <c r="KJ90" s="1133"/>
      <c r="KK90" s="1133"/>
      <c r="KL90" s="1133"/>
      <c r="KM90" s="1133"/>
      <c r="KN90" s="1133"/>
      <c r="KO90" s="1133"/>
      <c r="KP90" s="1133"/>
      <c r="KQ90" s="1133"/>
      <c r="KR90" s="1133"/>
      <c r="KS90" s="1133"/>
      <c r="KT90" s="1133"/>
      <c r="KU90" s="1133"/>
      <c r="KV90" s="1133"/>
      <c r="KW90" s="1133"/>
      <c r="KX90" s="1133"/>
      <c r="KY90" s="1133"/>
      <c r="KZ90" s="1133"/>
      <c r="LA90" s="1133"/>
      <c r="LB90" s="1133"/>
      <c r="LC90" s="1133"/>
      <c r="LD90" s="1133"/>
      <c r="LE90" s="1133"/>
      <c r="LF90" s="1133"/>
      <c r="LG90" s="1133"/>
      <c r="LH90" s="1133"/>
      <c r="LI90" s="1133"/>
      <c r="LJ90" s="1133"/>
      <c r="LK90" s="1133"/>
      <c r="LL90" s="1133"/>
      <c r="LM90" s="1133"/>
      <c r="LN90" s="1133"/>
      <c r="LO90" s="1133"/>
      <c r="LP90" s="1133"/>
      <c r="LQ90" s="1133"/>
      <c r="LR90" s="1133"/>
      <c r="LS90" s="1133"/>
      <c r="LT90" s="1133"/>
      <c r="LU90" s="1133"/>
      <c r="LV90" s="1133"/>
      <c r="LW90" s="1133"/>
      <c r="LX90" s="1133"/>
      <c r="LY90" s="1133"/>
      <c r="LZ90" s="1133"/>
      <c r="MA90" s="1133"/>
      <c r="MB90" s="1133"/>
      <c r="MC90" s="1133"/>
      <c r="MD90" s="1133"/>
      <c r="ME90" s="1133"/>
      <c r="MF90" s="1133"/>
      <c r="MG90" s="1133"/>
      <c r="MH90" s="1133"/>
      <c r="MI90" s="1133"/>
      <c r="MJ90" s="1133"/>
      <c r="MK90" s="1133"/>
      <c r="ML90" s="1133"/>
      <c r="MM90" s="1133"/>
      <c r="MN90" s="1133"/>
      <c r="MO90" s="1133"/>
      <c r="MP90" s="1133"/>
      <c r="MQ90" s="1133"/>
      <c r="MR90" s="1133"/>
      <c r="MS90" s="1133"/>
      <c r="MT90" s="1133"/>
      <c r="MU90" s="1133"/>
      <c r="MV90" s="1133"/>
      <c r="MW90" s="1133"/>
      <c r="MX90" s="1133"/>
      <c r="MY90" s="1133"/>
    </row>
    <row r="91">
      <c r="A91" s="1071">
        <v>89.0</v>
      </c>
      <c r="B91" s="1124"/>
      <c r="C91" s="1126"/>
      <c r="D91" s="1072">
        <v>37.91875</v>
      </c>
      <c r="E91" s="1073">
        <v>3120000.0</v>
      </c>
      <c r="F91" s="1072">
        <v>37.91875</v>
      </c>
      <c r="G91" s="1073">
        <v>3120000.0</v>
      </c>
      <c r="H91" s="1072">
        <v>37.91875</v>
      </c>
      <c r="I91" s="1073">
        <v>3120000.0</v>
      </c>
      <c r="J91" s="1072">
        <v>37.91875</v>
      </c>
      <c r="K91" s="1073">
        <v>3120000.0</v>
      </c>
      <c r="L91" s="1072">
        <v>74.13263888888889</v>
      </c>
      <c r="M91" s="1075">
        <v>1.02E7</v>
      </c>
      <c r="N91" s="1076">
        <v>26.85902777777778</v>
      </c>
      <c r="O91" s="1073">
        <v>1.387E7</v>
      </c>
      <c r="P91" s="1124"/>
      <c r="Q91" s="1125"/>
      <c r="R91" s="1124"/>
      <c r="S91" s="1125"/>
      <c r="T91" s="1124"/>
      <c r="U91" s="1125"/>
      <c r="V91" s="1124"/>
      <c r="W91" s="1125"/>
      <c r="X91" s="1124"/>
      <c r="Y91" s="1125"/>
      <c r="Z91" s="1124"/>
      <c r="AA91" s="1125"/>
      <c r="AB91" s="1124"/>
      <c r="AC91" s="1125"/>
      <c r="AD91" s="1072">
        <v>96.11527777777778</v>
      </c>
      <c r="AE91" s="1080">
        <v>1.0641797804E19</v>
      </c>
      <c r="AF91" s="1072">
        <v>96.11527777777778</v>
      </c>
      <c r="AG91" s="1080">
        <v>1.0641797804E19</v>
      </c>
      <c r="AH91" s="1072">
        <v>96.11527777777778</v>
      </c>
      <c r="AI91" s="1080">
        <v>1.0641797804E19</v>
      </c>
      <c r="AJ91" s="1081">
        <v>37.91875</v>
      </c>
      <c r="AK91" s="1082">
        <v>3120000.0</v>
      </c>
      <c r="AL91" s="1081">
        <v>37.91875</v>
      </c>
      <c r="AM91" s="1082">
        <v>3120000.0</v>
      </c>
      <c r="AN91" s="1081">
        <v>37.91875</v>
      </c>
      <c r="AO91" s="1082">
        <v>3120000.0</v>
      </c>
      <c r="AP91" s="1126"/>
      <c r="AQ91" s="1125"/>
      <c r="AR91" s="1081">
        <v>37.91875</v>
      </c>
      <c r="AS91" s="1082">
        <v>3120000.0</v>
      </c>
      <c r="AT91" s="1126"/>
      <c r="AU91" s="1125"/>
      <c r="AV91" s="1126"/>
      <c r="AW91" s="1125"/>
      <c r="AX91" s="1124"/>
      <c r="AY91" s="1175"/>
      <c r="AZ91" s="1124"/>
      <c r="BA91" s="1124"/>
      <c r="BB91" s="1083">
        <v>37.91875</v>
      </c>
      <c r="BC91" s="1084">
        <v>3120000.0</v>
      </c>
      <c r="BD91" s="1083">
        <v>37.91875</v>
      </c>
      <c r="BE91" s="1084">
        <v>3120000.0</v>
      </c>
      <c r="BF91" s="1083">
        <v>37.91875</v>
      </c>
      <c r="BG91" s="1084">
        <v>3120000.0</v>
      </c>
      <c r="BH91" s="1124"/>
      <c r="BI91" s="1125"/>
      <c r="BJ91" s="1124"/>
      <c r="BK91" s="1125"/>
      <c r="BL91" s="1124"/>
      <c r="BM91" s="1125"/>
      <c r="BN91" s="1124"/>
      <c r="BO91" s="1125"/>
      <c r="BP91" s="1124"/>
      <c r="BQ91" s="1125"/>
      <c r="BR91" s="1126"/>
      <c r="BS91" s="1125"/>
      <c r="BT91" s="1126"/>
      <c r="BU91" s="1126"/>
      <c r="BV91" s="1126"/>
      <c r="BW91" s="1126"/>
      <c r="BX91" s="1126"/>
      <c r="BY91" s="1126"/>
      <c r="BZ91" s="1126"/>
      <c r="CA91" s="1126"/>
      <c r="CB91" s="1126"/>
      <c r="CC91" s="1125"/>
      <c r="CD91" s="1126"/>
      <c r="CE91" s="1126"/>
      <c r="CF91" s="1133"/>
      <c r="CG91" s="1167"/>
      <c r="CH91" s="1088">
        <v>37.91875</v>
      </c>
      <c r="CI91" s="1089">
        <v>3120000.0</v>
      </c>
      <c r="CJ91" s="1088">
        <v>37.91875</v>
      </c>
      <c r="CK91" s="1089">
        <v>3120000.0</v>
      </c>
      <c r="CL91" s="1088">
        <v>37.91875</v>
      </c>
      <c r="CM91" s="1089">
        <v>3120000.0</v>
      </c>
      <c r="CN91" s="1088">
        <v>37.91875</v>
      </c>
      <c r="CO91" s="1089">
        <v>3120000.0</v>
      </c>
      <c r="CP91" s="1088">
        <v>92.6048611111111</v>
      </c>
      <c r="CQ91" s="1089">
        <v>1.387E7</v>
      </c>
      <c r="CR91" s="1124"/>
      <c r="CS91" s="1125"/>
      <c r="CT91" s="1126"/>
      <c r="CU91" s="1125"/>
      <c r="CV91" s="1126"/>
      <c r="CW91" s="1125"/>
      <c r="CX91" s="1126"/>
      <c r="CY91" s="1125"/>
      <c r="CZ91" s="1126"/>
      <c r="DA91" s="1126"/>
      <c r="DB91" s="1126"/>
      <c r="DC91" s="1126"/>
      <c r="DD91" s="1126"/>
      <c r="DE91" s="1125"/>
      <c r="DF91" s="1124"/>
      <c r="DG91" s="1125"/>
      <c r="DH91" s="1124"/>
      <c r="DI91" s="1125"/>
      <c r="DJ91" s="1124"/>
      <c r="DK91" s="1125"/>
      <c r="DL91" s="1124"/>
      <c r="DM91" s="1125"/>
      <c r="DN91" s="1124"/>
      <c r="DO91" s="1125"/>
      <c r="DP91" s="1124"/>
      <c r="DQ91" s="1125"/>
      <c r="DR91" s="1124"/>
      <c r="DS91" s="1125"/>
      <c r="DT91" s="1124"/>
      <c r="DU91" s="1125"/>
      <c r="DV91" s="1126"/>
      <c r="DW91" s="1125"/>
      <c r="DX91" s="1124"/>
      <c r="DY91" s="1125"/>
      <c r="DZ91" s="1124"/>
      <c r="EA91" s="1125"/>
      <c r="EB91" s="1124"/>
      <c r="EC91" s="1125"/>
      <c r="ED91" s="1124"/>
      <c r="EE91" s="1125"/>
      <c r="EF91" s="1124"/>
      <c r="EG91" s="1125"/>
      <c r="EH91" s="1124"/>
      <c r="EI91" s="1125"/>
      <c r="EJ91" s="1169"/>
      <c r="EK91" s="1167"/>
      <c r="EL91" s="1169"/>
      <c r="EM91" s="1167"/>
      <c r="EN91" s="1124"/>
      <c r="EO91" s="1125"/>
      <c r="EP91" s="1124"/>
      <c r="EQ91" s="1125"/>
      <c r="ER91" s="1124"/>
      <c r="ES91" s="1125"/>
      <c r="ET91" s="1124"/>
      <c r="EU91" s="1125"/>
      <c r="EV91" s="1124"/>
      <c r="EW91" s="1125"/>
      <c r="EX91" s="1124"/>
      <c r="EY91" s="1125"/>
      <c r="EZ91" s="1124"/>
      <c r="FA91" s="1125"/>
      <c r="FB91" s="1126"/>
      <c r="FC91" s="1125"/>
      <c r="FD91" s="1126"/>
      <c r="FE91" s="1125"/>
      <c r="FF91" s="1126"/>
      <c r="FG91" s="1125"/>
      <c r="FH91" s="1126"/>
      <c r="FI91" s="1126"/>
      <c r="FJ91" s="1126"/>
      <c r="FK91" s="1125"/>
      <c r="FL91" s="1124"/>
      <c r="FM91" s="1125"/>
      <c r="FN91" s="1139"/>
      <c r="FO91" s="1126"/>
      <c r="FP91" s="1139"/>
      <c r="FQ91" s="1126"/>
      <c r="FR91" s="1139"/>
      <c r="FS91" s="1126"/>
      <c r="FT91" s="1139"/>
      <c r="FU91" s="1125"/>
      <c r="FV91" s="1139"/>
      <c r="FW91" s="1125"/>
      <c r="FX91" s="1179"/>
      <c r="FY91" s="1167"/>
      <c r="FZ91" s="1179"/>
      <c r="GA91" s="1167"/>
      <c r="GB91" s="1179"/>
      <c r="GC91" s="1167"/>
      <c r="GD91" s="1133"/>
      <c r="GE91" s="1167"/>
      <c r="GF91" s="1124"/>
      <c r="GG91" s="1125"/>
      <c r="GH91" s="1124"/>
      <c r="GI91" s="1125"/>
      <c r="GJ91" s="1124"/>
      <c r="GK91" s="1125"/>
      <c r="GL91" s="1124"/>
      <c r="GM91" s="1125"/>
      <c r="GN91" s="1126"/>
      <c r="GO91" s="1125"/>
      <c r="GP91" s="1126"/>
      <c r="GQ91" s="1125"/>
      <c r="GR91" s="1124"/>
      <c r="GS91" s="1125"/>
      <c r="GT91" s="1124"/>
      <c r="GU91" s="1125"/>
      <c r="GV91" s="1126"/>
      <c r="GW91" s="1125"/>
      <c r="GX91" s="1168"/>
      <c r="GY91" s="1133"/>
      <c r="GZ91" s="1124"/>
      <c r="HA91" s="1125"/>
      <c r="HB91" s="1107">
        <v>5191.621527777777</v>
      </c>
      <c r="HC91" s="1108">
        <v>1.0555E14</v>
      </c>
      <c r="HD91" s="1124"/>
      <c r="HE91" s="1125"/>
      <c r="HF91" s="1124"/>
      <c r="HG91" s="1125"/>
      <c r="HH91" s="1124"/>
      <c r="HI91" s="1125"/>
      <c r="HJ91" s="1124"/>
      <c r="HK91" s="1125"/>
      <c r="HL91" s="1124"/>
      <c r="HM91" s="1125"/>
      <c r="HN91" s="1126"/>
      <c r="HO91" s="1125"/>
      <c r="HP91" s="1124"/>
      <c r="HQ91" s="1125"/>
      <c r="HR91" s="1124"/>
      <c r="HS91" s="1125"/>
      <c r="HT91" s="1124"/>
      <c r="HU91" s="1125"/>
      <c r="HV91" s="1124"/>
      <c r="HW91" s="1125"/>
      <c r="HX91" s="1124"/>
      <c r="HY91" s="1125"/>
      <c r="HZ91" s="1124"/>
      <c r="IA91" s="1125"/>
      <c r="IB91" s="1124"/>
      <c r="IC91" s="1125"/>
      <c r="ID91" s="1124"/>
      <c r="IE91" s="1125"/>
      <c r="IF91" s="1124"/>
      <c r="IG91" s="1125"/>
      <c r="IH91" s="1124"/>
      <c r="II91" s="1125"/>
      <c r="IJ91" s="1124"/>
      <c r="IK91" s="1125"/>
      <c r="IL91" s="1124"/>
      <c r="IM91" s="1125"/>
      <c r="IN91" s="1124"/>
      <c r="IO91" s="1125"/>
      <c r="IP91" s="1124"/>
      <c r="IQ91" s="1125"/>
      <c r="IR91" s="1124"/>
      <c r="IS91" s="1125"/>
      <c r="IT91" s="1124"/>
      <c r="IU91" s="1125"/>
      <c r="IV91" s="1124"/>
      <c r="IW91" s="1125"/>
      <c r="IX91" s="1124"/>
      <c r="IY91" s="1125"/>
      <c r="IZ91" s="1124"/>
      <c r="JA91" s="1125"/>
      <c r="JB91" s="1124"/>
      <c r="JC91" s="1125"/>
      <c r="JD91" s="1124"/>
      <c r="JE91" s="1125"/>
      <c r="JF91" s="1124"/>
      <c r="JG91" s="1125"/>
      <c r="JH91" s="1124"/>
      <c r="JI91" s="1125"/>
      <c r="JJ91" s="1169"/>
      <c r="JK91" s="1167"/>
      <c r="JL91" s="1169"/>
      <c r="JM91" s="1167"/>
      <c r="JN91" s="1169"/>
      <c r="JO91" s="1167"/>
      <c r="JP91" s="1169"/>
      <c r="JQ91" s="1167"/>
      <c r="JR91" s="1169"/>
      <c r="JS91" s="1167"/>
      <c r="JT91" s="1169"/>
      <c r="JU91" s="1167"/>
      <c r="JV91" s="1169"/>
      <c r="JW91" s="1167"/>
      <c r="JX91" s="1169"/>
      <c r="JY91" s="1133"/>
      <c r="JZ91" s="1173">
        <v>8.454039352</v>
      </c>
      <c r="KA91" s="1120">
        <v>3.5574E11</v>
      </c>
      <c r="KB91" s="1169"/>
      <c r="KC91" s="1133"/>
      <c r="KD91" s="1169"/>
      <c r="KE91" s="1133"/>
      <c r="KF91" s="1133"/>
      <c r="KG91" s="1133"/>
      <c r="KH91" s="1133"/>
      <c r="KI91" s="1133"/>
      <c r="KJ91" s="1133"/>
      <c r="KK91" s="1133"/>
      <c r="KL91" s="1133"/>
      <c r="KM91" s="1133"/>
      <c r="KN91" s="1133"/>
      <c r="KO91" s="1133"/>
      <c r="KP91" s="1133"/>
      <c r="KQ91" s="1133"/>
      <c r="KR91" s="1133"/>
      <c r="KS91" s="1133"/>
      <c r="KT91" s="1133"/>
      <c r="KU91" s="1133"/>
      <c r="KV91" s="1133"/>
      <c r="KW91" s="1133"/>
      <c r="KX91" s="1133"/>
      <c r="KY91" s="1133"/>
      <c r="KZ91" s="1133"/>
      <c r="LA91" s="1133"/>
      <c r="LB91" s="1133"/>
      <c r="LC91" s="1133"/>
      <c r="LD91" s="1133"/>
      <c r="LE91" s="1133"/>
      <c r="LF91" s="1133"/>
      <c r="LG91" s="1133"/>
      <c r="LH91" s="1133"/>
      <c r="LI91" s="1133"/>
      <c r="LJ91" s="1133"/>
      <c r="LK91" s="1133"/>
      <c r="LL91" s="1133"/>
      <c r="LM91" s="1133"/>
      <c r="LN91" s="1133"/>
      <c r="LO91" s="1133"/>
      <c r="LP91" s="1133"/>
      <c r="LQ91" s="1133"/>
      <c r="LR91" s="1133"/>
      <c r="LS91" s="1133"/>
      <c r="LT91" s="1133"/>
      <c r="LU91" s="1133"/>
      <c r="LV91" s="1133"/>
      <c r="LW91" s="1133"/>
      <c r="LX91" s="1133"/>
      <c r="LY91" s="1133"/>
      <c r="LZ91" s="1133"/>
      <c r="MA91" s="1133"/>
      <c r="MB91" s="1133"/>
      <c r="MC91" s="1133"/>
      <c r="MD91" s="1133"/>
      <c r="ME91" s="1133"/>
      <c r="MF91" s="1133"/>
      <c r="MG91" s="1133"/>
      <c r="MH91" s="1133"/>
      <c r="MI91" s="1133"/>
      <c r="MJ91" s="1133"/>
      <c r="MK91" s="1133"/>
      <c r="ML91" s="1133"/>
      <c r="MM91" s="1133"/>
      <c r="MN91" s="1133"/>
      <c r="MO91" s="1133"/>
      <c r="MP91" s="1133"/>
      <c r="MQ91" s="1133"/>
      <c r="MR91" s="1133"/>
      <c r="MS91" s="1133"/>
      <c r="MT91" s="1133"/>
      <c r="MU91" s="1133"/>
      <c r="MV91" s="1133"/>
      <c r="MW91" s="1133"/>
      <c r="MX91" s="1133"/>
      <c r="MY91" s="1133"/>
    </row>
    <row r="92">
      <c r="A92" s="1071">
        <v>90.0</v>
      </c>
      <c r="B92" s="1140"/>
      <c r="C92" s="1148"/>
      <c r="D92" s="1077">
        <v>38.95625</v>
      </c>
      <c r="E92" s="1078">
        <v>3220000.0</v>
      </c>
      <c r="F92" s="1077">
        <v>38.95625</v>
      </c>
      <c r="G92" s="1078">
        <v>3220000.0</v>
      </c>
      <c r="H92" s="1077">
        <v>38.95625</v>
      </c>
      <c r="I92" s="1078">
        <v>3220000.0</v>
      </c>
      <c r="J92" s="1077">
        <v>38.95625</v>
      </c>
      <c r="K92" s="1078">
        <v>3220000.0</v>
      </c>
      <c r="L92" s="1077">
        <v>76.29027777777777</v>
      </c>
      <c r="M92" s="1143">
        <v>1.053E7</v>
      </c>
      <c r="N92" s="1144">
        <v>27.44236111111111</v>
      </c>
      <c r="O92" s="1078">
        <v>1.436E7</v>
      </c>
      <c r="P92" s="1140"/>
      <c r="Q92" s="1141"/>
      <c r="R92" s="1140"/>
      <c r="S92" s="1141"/>
      <c r="T92" s="1140"/>
      <c r="U92" s="1141"/>
      <c r="V92" s="1140"/>
      <c r="W92" s="1141"/>
      <c r="X92" s="1140"/>
      <c r="Y92" s="1141"/>
      <c r="Z92" s="1140"/>
      <c r="AA92" s="1141"/>
      <c r="AB92" s="1140"/>
      <c r="AC92" s="1141"/>
      <c r="AD92" s="1077">
        <v>97.19513888888889</v>
      </c>
      <c r="AE92" s="1145">
        <v>1.3834337145E19</v>
      </c>
      <c r="AF92" s="1077">
        <v>97.19513888888889</v>
      </c>
      <c r="AG92" s="1145">
        <v>1.3834337145E19</v>
      </c>
      <c r="AH92" s="1077">
        <v>97.19513888888889</v>
      </c>
      <c r="AI92" s="1145">
        <v>1.3834337145E19</v>
      </c>
      <c r="AJ92" s="1146">
        <v>38.95625</v>
      </c>
      <c r="AK92" s="1147">
        <v>3220000.0</v>
      </c>
      <c r="AL92" s="1146">
        <v>38.95625</v>
      </c>
      <c r="AM92" s="1147">
        <v>3220000.0</v>
      </c>
      <c r="AN92" s="1146">
        <v>38.95625</v>
      </c>
      <c r="AO92" s="1147">
        <v>3220000.0</v>
      </c>
      <c r="AP92" s="1148"/>
      <c r="AQ92" s="1141"/>
      <c r="AR92" s="1146">
        <v>38.95625</v>
      </c>
      <c r="AS92" s="1147">
        <v>3220000.0</v>
      </c>
      <c r="AT92" s="1148"/>
      <c r="AU92" s="1141"/>
      <c r="AV92" s="1148"/>
      <c r="AW92" s="1141"/>
      <c r="AX92" s="1140"/>
      <c r="AY92" s="1176"/>
      <c r="AZ92" s="1140"/>
      <c r="BA92" s="1140"/>
      <c r="BB92" s="1085">
        <v>38.95625</v>
      </c>
      <c r="BC92" s="1086">
        <v>3220000.0</v>
      </c>
      <c r="BD92" s="1085">
        <v>38.95625</v>
      </c>
      <c r="BE92" s="1086">
        <v>3220000.0</v>
      </c>
      <c r="BF92" s="1085">
        <v>38.95625</v>
      </c>
      <c r="BG92" s="1086">
        <v>3220000.0</v>
      </c>
      <c r="BH92" s="1140"/>
      <c r="BI92" s="1141"/>
      <c r="BJ92" s="1140"/>
      <c r="BK92" s="1141"/>
      <c r="BL92" s="1140"/>
      <c r="BM92" s="1141"/>
      <c r="BN92" s="1140"/>
      <c r="BO92" s="1141"/>
      <c r="BP92" s="1140"/>
      <c r="BQ92" s="1141"/>
      <c r="BR92" s="1148"/>
      <c r="BS92" s="1141"/>
      <c r="BT92" s="1148"/>
      <c r="BU92" s="1148"/>
      <c r="BV92" s="1148"/>
      <c r="BW92" s="1148"/>
      <c r="BX92" s="1148"/>
      <c r="BY92" s="1148"/>
      <c r="BZ92" s="1148"/>
      <c r="CA92" s="1148"/>
      <c r="CB92" s="1148"/>
      <c r="CC92" s="1141"/>
      <c r="CD92" s="1148"/>
      <c r="CE92" s="1148"/>
      <c r="CF92" s="1157"/>
      <c r="CG92" s="1171"/>
      <c r="CH92" s="1090">
        <v>38.95625</v>
      </c>
      <c r="CI92" s="1091">
        <v>3220000.0</v>
      </c>
      <c r="CJ92" s="1090">
        <v>38.95625</v>
      </c>
      <c r="CK92" s="1091">
        <v>3220000.0</v>
      </c>
      <c r="CL92" s="1090">
        <v>38.95625</v>
      </c>
      <c r="CM92" s="1091">
        <v>3220000.0</v>
      </c>
      <c r="CN92" s="1090">
        <v>38.95625</v>
      </c>
      <c r="CO92" s="1091">
        <v>3220000.0</v>
      </c>
      <c r="CP92" s="1090">
        <v>95.35624999999999</v>
      </c>
      <c r="CQ92" s="1091">
        <v>1.436E7</v>
      </c>
      <c r="CR92" s="1140"/>
      <c r="CS92" s="1141"/>
      <c r="CT92" s="1148"/>
      <c r="CU92" s="1141"/>
      <c r="CV92" s="1148"/>
      <c r="CW92" s="1141"/>
      <c r="CX92" s="1148"/>
      <c r="CY92" s="1141"/>
      <c r="CZ92" s="1148"/>
      <c r="DA92" s="1148"/>
      <c r="DB92" s="1148"/>
      <c r="DC92" s="1148"/>
      <c r="DD92" s="1148"/>
      <c r="DE92" s="1141"/>
      <c r="DF92" s="1140"/>
      <c r="DG92" s="1141"/>
      <c r="DH92" s="1140"/>
      <c r="DI92" s="1141"/>
      <c r="DJ92" s="1140"/>
      <c r="DK92" s="1141"/>
      <c r="DL92" s="1140"/>
      <c r="DM92" s="1141"/>
      <c r="DN92" s="1140"/>
      <c r="DO92" s="1141"/>
      <c r="DP92" s="1140"/>
      <c r="DQ92" s="1141"/>
      <c r="DR92" s="1140"/>
      <c r="DS92" s="1141"/>
      <c r="DT92" s="1140"/>
      <c r="DU92" s="1141"/>
      <c r="DV92" s="1148"/>
      <c r="DW92" s="1141"/>
      <c r="DX92" s="1140"/>
      <c r="DY92" s="1141"/>
      <c r="DZ92" s="1140"/>
      <c r="EA92" s="1141"/>
      <c r="EB92" s="1140"/>
      <c r="EC92" s="1141"/>
      <c r="ED92" s="1140"/>
      <c r="EE92" s="1141"/>
      <c r="EF92" s="1140"/>
      <c r="EG92" s="1141"/>
      <c r="EH92" s="1140"/>
      <c r="EI92" s="1141"/>
      <c r="EJ92" s="1172"/>
      <c r="EK92" s="1171"/>
      <c r="EL92" s="1172"/>
      <c r="EM92" s="1171"/>
      <c r="EN92" s="1140"/>
      <c r="EO92" s="1141"/>
      <c r="EP92" s="1140"/>
      <c r="EQ92" s="1141"/>
      <c r="ER92" s="1140"/>
      <c r="ES92" s="1141"/>
      <c r="ET92" s="1140"/>
      <c r="EU92" s="1141"/>
      <c r="EV92" s="1140"/>
      <c r="EW92" s="1141"/>
      <c r="EX92" s="1140"/>
      <c r="EY92" s="1141"/>
      <c r="EZ92" s="1140"/>
      <c r="FA92" s="1141"/>
      <c r="FB92" s="1148"/>
      <c r="FC92" s="1141"/>
      <c r="FD92" s="1148"/>
      <c r="FE92" s="1141"/>
      <c r="FF92" s="1148"/>
      <c r="FG92" s="1141"/>
      <c r="FH92" s="1148"/>
      <c r="FI92" s="1148"/>
      <c r="FJ92" s="1148"/>
      <c r="FK92" s="1141"/>
      <c r="FL92" s="1140"/>
      <c r="FM92" s="1141"/>
      <c r="FN92" s="1152"/>
      <c r="FO92" s="1148"/>
      <c r="FP92" s="1152"/>
      <c r="FQ92" s="1148"/>
      <c r="FR92" s="1152"/>
      <c r="FS92" s="1148"/>
      <c r="FT92" s="1152"/>
      <c r="FU92" s="1141"/>
      <c r="FV92" s="1152"/>
      <c r="FW92" s="1141"/>
      <c r="FX92" s="1181"/>
      <c r="FY92" s="1171"/>
      <c r="FZ92" s="1181"/>
      <c r="GA92" s="1171"/>
      <c r="GB92" s="1181"/>
      <c r="GC92" s="1171"/>
      <c r="GD92" s="1157"/>
      <c r="GE92" s="1171"/>
      <c r="GF92" s="1140"/>
      <c r="GG92" s="1141"/>
      <c r="GH92" s="1140"/>
      <c r="GI92" s="1141"/>
      <c r="GJ92" s="1140"/>
      <c r="GK92" s="1141"/>
      <c r="GL92" s="1140"/>
      <c r="GM92" s="1141"/>
      <c r="GN92" s="1148"/>
      <c r="GO92" s="1141"/>
      <c r="GP92" s="1148"/>
      <c r="GQ92" s="1141"/>
      <c r="GR92" s="1140"/>
      <c r="GS92" s="1141"/>
      <c r="GT92" s="1140"/>
      <c r="GU92" s="1141"/>
      <c r="GV92" s="1148"/>
      <c r="GW92" s="1141"/>
      <c r="GX92" s="1156"/>
      <c r="GY92" s="1157"/>
      <c r="GZ92" s="1140"/>
      <c r="HA92" s="1141"/>
      <c r="HB92" s="1158">
        <v>5400.666666666667</v>
      </c>
      <c r="HC92" s="1159">
        <v>1.1168E14</v>
      </c>
      <c r="HD92" s="1140"/>
      <c r="HE92" s="1141"/>
      <c r="HF92" s="1140"/>
      <c r="HG92" s="1141"/>
      <c r="HH92" s="1140"/>
      <c r="HI92" s="1141"/>
      <c r="HJ92" s="1140"/>
      <c r="HK92" s="1141"/>
      <c r="HL92" s="1140"/>
      <c r="HM92" s="1141"/>
      <c r="HN92" s="1148"/>
      <c r="HO92" s="1141"/>
      <c r="HP92" s="1140"/>
      <c r="HQ92" s="1141"/>
      <c r="HR92" s="1140"/>
      <c r="HS92" s="1141"/>
      <c r="HT92" s="1140"/>
      <c r="HU92" s="1141"/>
      <c r="HV92" s="1140"/>
      <c r="HW92" s="1141"/>
      <c r="HX92" s="1140"/>
      <c r="HY92" s="1141"/>
      <c r="HZ92" s="1140"/>
      <c r="IA92" s="1141"/>
      <c r="IB92" s="1140"/>
      <c r="IC92" s="1141"/>
      <c r="ID92" s="1140"/>
      <c r="IE92" s="1141"/>
      <c r="IF92" s="1140"/>
      <c r="IG92" s="1141"/>
      <c r="IH92" s="1140"/>
      <c r="II92" s="1141"/>
      <c r="IJ92" s="1140"/>
      <c r="IK92" s="1141"/>
      <c r="IL92" s="1140"/>
      <c r="IM92" s="1141"/>
      <c r="IN92" s="1140"/>
      <c r="IO92" s="1141"/>
      <c r="IP92" s="1140"/>
      <c r="IQ92" s="1141"/>
      <c r="IR92" s="1140"/>
      <c r="IS92" s="1141"/>
      <c r="IT92" s="1140"/>
      <c r="IU92" s="1141"/>
      <c r="IV92" s="1140"/>
      <c r="IW92" s="1141"/>
      <c r="IX92" s="1140"/>
      <c r="IY92" s="1141"/>
      <c r="IZ92" s="1140"/>
      <c r="JA92" s="1141"/>
      <c r="JB92" s="1140"/>
      <c r="JC92" s="1141"/>
      <c r="JD92" s="1140"/>
      <c r="JE92" s="1141"/>
      <c r="JF92" s="1140"/>
      <c r="JG92" s="1141"/>
      <c r="JH92" s="1140"/>
      <c r="JI92" s="1141"/>
      <c r="JJ92" s="1172"/>
      <c r="JK92" s="1171"/>
      <c r="JL92" s="1172"/>
      <c r="JM92" s="1171"/>
      <c r="JN92" s="1172"/>
      <c r="JO92" s="1171"/>
      <c r="JP92" s="1172"/>
      <c r="JQ92" s="1171"/>
      <c r="JR92" s="1172"/>
      <c r="JS92" s="1171"/>
      <c r="JT92" s="1172"/>
      <c r="JU92" s="1171"/>
      <c r="JV92" s="1172"/>
      <c r="JW92" s="1171"/>
      <c r="JX92" s="1169"/>
      <c r="JY92" s="1133"/>
      <c r="JZ92" s="1173">
        <v>8.575775463</v>
      </c>
      <c r="KA92" s="1120">
        <v>3.6676E11</v>
      </c>
      <c r="KB92" s="1169"/>
      <c r="KC92" s="1133"/>
      <c r="KD92" s="1169"/>
      <c r="KE92" s="1133"/>
      <c r="KF92" s="1133"/>
      <c r="KG92" s="1133"/>
      <c r="KH92" s="1133"/>
      <c r="KI92" s="1133"/>
      <c r="KJ92" s="1133"/>
      <c r="KK92" s="1133"/>
      <c r="KL92" s="1133"/>
      <c r="KM92" s="1133"/>
      <c r="KN92" s="1133"/>
      <c r="KO92" s="1133"/>
      <c r="KP92" s="1133"/>
      <c r="KQ92" s="1133"/>
      <c r="KR92" s="1133"/>
      <c r="KS92" s="1133"/>
      <c r="KT92" s="1133"/>
      <c r="KU92" s="1133"/>
      <c r="KV92" s="1133"/>
      <c r="KW92" s="1133"/>
      <c r="KX92" s="1133"/>
      <c r="KY92" s="1133"/>
      <c r="KZ92" s="1133"/>
      <c r="LA92" s="1133"/>
      <c r="LB92" s="1133"/>
      <c r="LC92" s="1133"/>
      <c r="LD92" s="1133"/>
      <c r="LE92" s="1133"/>
      <c r="LF92" s="1133"/>
      <c r="LG92" s="1133"/>
      <c r="LH92" s="1133"/>
      <c r="LI92" s="1133"/>
      <c r="LJ92" s="1133"/>
      <c r="LK92" s="1133"/>
      <c r="LL92" s="1157"/>
      <c r="LM92" s="1157"/>
      <c r="LN92" s="1133"/>
      <c r="LO92" s="1133"/>
      <c r="LP92" s="1133"/>
      <c r="LQ92" s="1133"/>
      <c r="LR92" s="1133"/>
      <c r="LS92" s="1133"/>
      <c r="LT92" s="1133"/>
      <c r="LU92" s="1133"/>
      <c r="LV92" s="1133"/>
      <c r="LW92" s="1133"/>
      <c r="LX92" s="1133"/>
      <c r="LY92" s="1133"/>
      <c r="LZ92" s="1133"/>
      <c r="MA92" s="1133"/>
      <c r="MB92" s="1133"/>
      <c r="MC92" s="1133"/>
      <c r="MD92" s="1133"/>
      <c r="ME92" s="1133"/>
      <c r="MF92" s="1133"/>
      <c r="MG92" s="1133"/>
      <c r="MH92" s="1133"/>
      <c r="MI92" s="1133"/>
      <c r="MJ92" s="1133"/>
      <c r="MK92" s="1133"/>
      <c r="ML92" s="1133"/>
      <c r="MM92" s="1133"/>
      <c r="MN92" s="1133"/>
      <c r="MO92" s="1133"/>
      <c r="MP92" s="1133"/>
      <c r="MQ92" s="1133"/>
      <c r="MR92" s="1133"/>
      <c r="MS92" s="1133"/>
      <c r="MT92" s="1133"/>
      <c r="MU92" s="1133"/>
      <c r="MV92" s="1133"/>
      <c r="MW92" s="1133"/>
      <c r="MX92" s="1133"/>
      <c r="MY92" s="1133"/>
    </row>
    <row r="93">
      <c r="A93" s="1071">
        <v>91.0</v>
      </c>
      <c r="B93" s="1124"/>
      <c r="C93" s="1126"/>
      <c r="D93" s="1072">
        <v>40.010416666666664</v>
      </c>
      <c r="E93" s="1073">
        <v>3320000.0</v>
      </c>
      <c r="F93" s="1072">
        <v>40.010416666666664</v>
      </c>
      <c r="G93" s="1073">
        <v>3320000.0</v>
      </c>
      <c r="H93" s="1072">
        <v>40.010416666666664</v>
      </c>
      <c r="I93" s="1073">
        <v>3320000.0</v>
      </c>
      <c r="J93" s="1072">
        <v>40.010416666666664</v>
      </c>
      <c r="K93" s="1073">
        <v>3320000.0</v>
      </c>
      <c r="L93" s="1072">
        <v>78.48611111111111</v>
      </c>
      <c r="M93" s="1075">
        <v>1.085E7</v>
      </c>
      <c r="N93" s="1076">
        <v>28.030555555555555</v>
      </c>
      <c r="O93" s="1073">
        <v>1.487E7</v>
      </c>
      <c r="P93" s="1124"/>
      <c r="Q93" s="1125"/>
      <c r="R93" s="1124"/>
      <c r="S93" s="1125"/>
      <c r="T93" s="1124"/>
      <c r="U93" s="1125"/>
      <c r="V93" s="1124"/>
      <c r="W93" s="1125"/>
      <c r="X93" s="1124"/>
      <c r="Y93" s="1125"/>
      <c r="Z93" s="1124"/>
      <c r="AA93" s="1125"/>
      <c r="AB93" s="1124"/>
      <c r="AC93" s="1125"/>
      <c r="AD93" s="1072">
        <v>98.275</v>
      </c>
      <c r="AE93" s="1080">
        <v>1.7984638289E19</v>
      </c>
      <c r="AF93" s="1072">
        <v>98.275</v>
      </c>
      <c r="AG93" s="1080">
        <v>1.7984638289E19</v>
      </c>
      <c r="AH93" s="1072">
        <v>98.275</v>
      </c>
      <c r="AI93" s="1080">
        <v>1.7984638289E19</v>
      </c>
      <c r="AJ93" s="1081">
        <v>40.010416666666664</v>
      </c>
      <c r="AK93" s="1082">
        <v>3320000.0</v>
      </c>
      <c r="AL93" s="1081">
        <v>40.010416666666664</v>
      </c>
      <c r="AM93" s="1082">
        <v>3320000.0</v>
      </c>
      <c r="AN93" s="1081">
        <v>40.010416666666664</v>
      </c>
      <c r="AO93" s="1082">
        <v>3320000.0</v>
      </c>
      <c r="AP93" s="1126"/>
      <c r="AQ93" s="1125"/>
      <c r="AR93" s="1081">
        <v>40.010416666666664</v>
      </c>
      <c r="AS93" s="1082">
        <v>3320000.0</v>
      </c>
      <c r="AT93" s="1126"/>
      <c r="AU93" s="1125"/>
      <c r="AV93" s="1126"/>
      <c r="AW93" s="1125"/>
      <c r="AX93" s="1124"/>
      <c r="AY93" s="1175"/>
      <c r="AZ93" s="1124"/>
      <c r="BA93" s="1124"/>
      <c r="BB93" s="1083">
        <v>40.010416666666664</v>
      </c>
      <c r="BC93" s="1084">
        <v>3320000.0</v>
      </c>
      <c r="BD93" s="1083">
        <v>40.010416666666664</v>
      </c>
      <c r="BE93" s="1084">
        <v>3320000.0</v>
      </c>
      <c r="BF93" s="1083">
        <v>40.010416666666664</v>
      </c>
      <c r="BG93" s="1084">
        <v>3320000.0</v>
      </c>
      <c r="BH93" s="1124"/>
      <c r="BI93" s="1125"/>
      <c r="BJ93" s="1124"/>
      <c r="BK93" s="1125"/>
      <c r="BL93" s="1124"/>
      <c r="BM93" s="1125"/>
      <c r="BN93" s="1124"/>
      <c r="BO93" s="1125"/>
      <c r="BP93" s="1124"/>
      <c r="BQ93" s="1125"/>
      <c r="BR93" s="1126"/>
      <c r="BS93" s="1125"/>
      <c r="BT93" s="1126"/>
      <c r="BU93" s="1126"/>
      <c r="BV93" s="1126"/>
      <c r="BW93" s="1126"/>
      <c r="BX93" s="1126"/>
      <c r="BY93" s="1126"/>
      <c r="BZ93" s="1126"/>
      <c r="CA93" s="1126"/>
      <c r="CB93" s="1126"/>
      <c r="CC93" s="1125"/>
      <c r="CD93" s="1126"/>
      <c r="CE93" s="1126"/>
      <c r="CF93" s="1133"/>
      <c r="CG93" s="1167"/>
      <c r="CH93" s="1088">
        <v>40.010416666666664</v>
      </c>
      <c r="CI93" s="1089">
        <v>3320000.0</v>
      </c>
      <c r="CJ93" s="1088">
        <v>40.010416666666664</v>
      </c>
      <c r="CK93" s="1089">
        <v>3320000.0</v>
      </c>
      <c r="CL93" s="1088">
        <v>40.010416666666664</v>
      </c>
      <c r="CM93" s="1089">
        <v>3320000.0</v>
      </c>
      <c r="CN93" s="1088">
        <v>40.010416666666664</v>
      </c>
      <c r="CO93" s="1089">
        <v>3320000.0</v>
      </c>
      <c r="CP93" s="1088">
        <v>98.15763888888888</v>
      </c>
      <c r="CQ93" s="1089">
        <v>1.487E7</v>
      </c>
      <c r="CR93" s="1124"/>
      <c r="CS93" s="1125"/>
      <c r="CT93" s="1126"/>
      <c r="CU93" s="1125"/>
      <c r="CV93" s="1126"/>
      <c r="CW93" s="1125"/>
      <c r="CX93" s="1126"/>
      <c r="CY93" s="1125"/>
      <c r="CZ93" s="1126"/>
      <c r="DA93" s="1126"/>
      <c r="DB93" s="1126"/>
      <c r="DC93" s="1126"/>
      <c r="DD93" s="1126"/>
      <c r="DE93" s="1125"/>
      <c r="DF93" s="1124"/>
      <c r="DG93" s="1125"/>
      <c r="DH93" s="1124"/>
      <c r="DI93" s="1125"/>
      <c r="DJ93" s="1124"/>
      <c r="DK93" s="1125"/>
      <c r="DL93" s="1124"/>
      <c r="DM93" s="1125"/>
      <c r="DN93" s="1124"/>
      <c r="DO93" s="1125"/>
      <c r="DP93" s="1124"/>
      <c r="DQ93" s="1125"/>
      <c r="DR93" s="1124"/>
      <c r="DS93" s="1125"/>
      <c r="DT93" s="1124"/>
      <c r="DU93" s="1125"/>
      <c r="DV93" s="1126"/>
      <c r="DW93" s="1125"/>
      <c r="DX93" s="1124"/>
      <c r="DY93" s="1125"/>
      <c r="DZ93" s="1124"/>
      <c r="EA93" s="1125"/>
      <c r="EB93" s="1124"/>
      <c r="EC93" s="1125"/>
      <c r="ED93" s="1124"/>
      <c r="EE93" s="1125"/>
      <c r="EF93" s="1124"/>
      <c r="EG93" s="1125"/>
      <c r="EH93" s="1124"/>
      <c r="EI93" s="1125"/>
      <c r="EJ93" s="1169"/>
      <c r="EK93" s="1167"/>
      <c r="EL93" s="1169"/>
      <c r="EM93" s="1167"/>
      <c r="EN93" s="1124"/>
      <c r="EO93" s="1125"/>
      <c r="EP93" s="1124"/>
      <c r="EQ93" s="1125"/>
      <c r="ER93" s="1124"/>
      <c r="ES93" s="1125"/>
      <c r="ET93" s="1124"/>
      <c r="EU93" s="1125"/>
      <c r="EV93" s="1124"/>
      <c r="EW93" s="1125"/>
      <c r="EX93" s="1124"/>
      <c r="EY93" s="1125"/>
      <c r="EZ93" s="1124"/>
      <c r="FA93" s="1125"/>
      <c r="FB93" s="1126"/>
      <c r="FC93" s="1125"/>
      <c r="FD93" s="1126"/>
      <c r="FE93" s="1125"/>
      <c r="FF93" s="1126"/>
      <c r="FG93" s="1125"/>
      <c r="FH93" s="1126"/>
      <c r="FI93" s="1126"/>
      <c r="FJ93" s="1126"/>
      <c r="FK93" s="1125"/>
      <c r="FL93" s="1124"/>
      <c r="FM93" s="1125"/>
      <c r="FN93" s="1139"/>
      <c r="FO93" s="1126"/>
      <c r="FP93" s="1139"/>
      <c r="FQ93" s="1126"/>
      <c r="FR93" s="1139"/>
      <c r="FS93" s="1126"/>
      <c r="FT93" s="1139"/>
      <c r="FU93" s="1125"/>
      <c r="FV93" s="1139"/>
      <c r="FW93" s="1125"/>
      <c r="FX93" s="1179"/>
      <c r="FY93" s="1167"/>
      <c r="FZ93" s="1179"/>
      <c r="GA93" s="1167"/>
      <c r="GB93" s="1179"/>
      <c r="GC93" s="1167"/>
      <c r="GD93" s="1133"/>
      <c r="GE93" s="1167"/>
      <c r="GF93" s="1124"/>
      <c r="GG93" s="1125"/>
      <c r="GH93" s="1124"/>
      <c r="GI93" s="1125"/>
      <c r="GJ93" s="1124"/>
      <c r="GK93" s="1125"/>
      <c r="GL93" s="1124"/>
      <c r="GM93" s="1125"/>
      <c r="GN93" s="1126"/>
      <c r="GO93" s="1125"/>
      <c r="GP93" s="1126"/>
      <c r="GQ93" s="1125"/>
      <c r="GR93" s="1124"/>
      <c r="GS93" s="1125"/>
      <c r="GT93" s="1124"/>
      <c r="GU93" s="1125"/>
      <c r="GV93" s="1126"/>
      <c r="GW93" s="1125"/>
      <c r="GX93" s="1168"/>
      <c r="GY93" s="1133"/>
      <c r="GZ93" s="1124"/>
      <c r="HA93" s="1125"/>
      <c r="HB93" s="1107">
        <v>5615.729166666667</v>
      </c>
      <c r="HC93" s="1108">
        <v>1.181E14</v>
      </c>
      <c r="HD93" s="1124"/>
      <c r="HE93" s="1125"/>
      <c r="HF93" s="1124"/>
      <c r="HG93" s="1125"/>
      <c r="HH93" s="1124"/>
      <c r="HI93" s="1125"/>
      <c r="HJ93" s="1124"/>
      <c r="HK93" s="1125"/>
      <c r="HL93" s="1124"/>
      <c r="HM93" s="1125"/>
      <c r="HN93" s="1126"/>
      <c r="HO93" s="1125"/>
      <c r="HP93" s="1124"/>
      <c r="HQ93" s="1125"/>
      <c r="HR93" s="1124"/>
      <c r="HS93" s="1125"/>
      <c r="HT93" s="1124"/>
      <c r="HU93" s="1125"/>
      <c r="HV93" s="1124"/>
      <c r="HW93" s="1125"/>
      <c r="HX93" s="1124"/>
      <c r="HY93" s="1125"/>
      <c r="HZ93" s="1124"/>
      <c r="IA93" s="1125"/>
      <c r="IB93" s="1124"/>
      <c r="IC93" s="1125"/>
      <c r="ID93" s="1124"/>
      <c r="IE93" s="1125"/>
      <c r="IF93" s="1124"/>
      <c r="IG93" s="1125"/>
      <c r="IH93" s="1124"/>
      <c r="II93" s="1125"/>
      <c r="IJ93" s="1124"/>
      <c r="IK93" s="1125"/>
      <c r="IL93" s="1124"/>
      <c r="IM93" s="1125"/>
      <c r="IN93" s="1124"/>
      <c r="IO93" s="1125"/>
      <c r="IP93" s="1124"/>
      <c r="IQ93" s="1125"/>
      <c r="IR93" s="1124"/>
      <c r="IS93" s="1125"/>
      <c r="IT93" s="1124"/>
      <c r="IU93" s="1125"/>
      <c r="IV93" s="1124"/>
      <c r="IW93" s="1125"/>
      <c r="IX93" s="1124"/>
      <c r="IY93" s="1125"/>
      <c r="IZ93" s="1124"/>
      <c r="JA93" s="1125"/>
      <c r="JB93" s="1124"/>
      <c r="JC93" s="1125"/>
      <c r="JD93" s="1124"/>
      <c r="JE93" s="1125"/>
      <c r="JF93" s="1124"/>
      <c r="JG93" s="1125"/>
      <c r="JH93" s="1124"/>
      <c r="JI93" s="1125"/>
      <c r="JJ93" s="1169"/>
      <c r="JK93" s="1167"/>
      <c r="JL93" s="1169"/>
      <c r="JM93" s="1167"/>
      <c r="JN93" s="1169"/>
      <c r="JO93" s="1167"/>
      <c r="JP93" s="1169"/>
      <c r="JQ93" s="1167"/>
      <c r="JR93" s="1169"/>
      <c r="JS93" s="1167"/>
      <c r="JT93" s="1169"/>
      <c r="JU93" s="1167"/>
      <c r="JV93" s="1169"/>
      <c r="JW93" s="1167"/>
      <c r="JX93" s="1169"/>
      <c r="JY93" s="1133"/>
      <c r="JZ93" s="1173">
        <v>8.698402778</v>
      </c>
      <c r="KA93" s="1120">
        <v>3.78E11</v>
      </c>
      <c r="KB93" s="1169"/>
      <c r="KC93" s="1133"/>
      <c r="KD93" s="1169"/>
      <c r="KE93" s="1133"/>
      <c r="KF93" s="1133"/>
      <c r="KG93" s="1133"/>
      <c r="KH93" s="1133"/>
      <c r="KI93" s="1133"/>
      <c r="KJ93" s="1133"/>
      <c r="KK93" s="1133"/>
      <c r="KL93" s="1133"/>
      <c r="KM93" s="1133"/>
      <c r="KN93" s="1133"/>
      <c r="KO93" s="1133"/>
      <c r="KP93" s="1133"/>
      <c r="KQ93" s="1133"/>
      <c r="KR93" s="1133"/>
      <c r="KS93" s="1133"/>
      <c r="KT93" s="1133"/>
      <c r="KU93" s="1133"/>
      <c r="KV93" s="1133"/>
      <c r="KW93" s="1133"/>
      <c r="KX93" s="1133"/>
      <c r="KY93" s="1133"/>
      <c r="KZ93" s="1133"/>
      <c r="LA93" s="1133"/>
      <c r="LB93" s="1133"/>
      <c r="LC93" s="1133"/>
      <c r="LD93" s="1133"/>
      <c r="LE93" s="1133"/>
      <c r="LF93" s="1133"/>
      <c r="LG93" s="1133"/>
      <c r="LH93" s="1133"/>
      <c r="LI93" s="1133"/>
      <c r="LJ93" s="1133"/>
      <c r="LK93" s="1133"/>
      <c r="LL93" s="1133"/>
      <c r="LM93" s="1133"/>
      <c r="LN93" s="1133"/>
      <c r="LO93" s="1133"/>
      <c r="LP93" s="1133"/>
      <c r="LQ93" s="1133"/>
      <c r="LR93" s="1133"/>
      <c r="LS93" s="1133"/>
      <c r="LT93" s="1133"/>
      <c r="LU93" s="1133"/>
      <c r="LV93" s="1133"/>
      <c r="LW93" s="1133"/>
      <c r="LX93" s="1133"/>
      <c r="LY93" s="1133"/>
      <c r="LZ93" s="1133"/>
      <c r="MA93" s="1133"/>
      <c r="MB93" s="1133"/>
      <c r="MC93" s="1133"/>
      <c r="MD93" s="1133"/>
      <c r="ME93" s="1133"/>
      <c r="MF93" s="1133"/>
      <c r="MG93" s="1133"/>
      <c r="MH93" s="1133"/>
      <c r="MI93" s="1133"/>
      <c r="MJ93" s="1133"/>
      <c r="MK93" s="1133"/>
      <c r="ML93" s="1133"/>
      <c r="MM93" s="1133"/>
      <c r="MN93" s="1133"/>
      <c r="MO93" s="1133"/>
      <c r="MP93" s="1133"/>
      <c r="MQ93" s="1133"/>
      <c r="MR93" s="1133"/>
      <c r="MS93" s="1133"/>
      <c r="MT93" s="1133"/>
      <c r="MU93" s="1133"/>
      <c r="MV93" s="1133"/>
      <c r="MW93" s="1133"/>
      <c r="MX93" s="1133"/>
      <c r="MY93" s="1133"/>
    </row>
    <row r="94">
      <c r="A94" s="1071">
        <v>92.0</v>
      </c>
      <c r="B94" s="1124"/>
      <c r="C94" s="1126"/>
      <c r="D94" s="1072">
        <v>41.080555555555556</v>
      </c>
      <c r="E94" s="1073">
        <v>3420000.0</v>
      </c>
      <c r="F94" s="1072">
        <v>41.080555555555556</v>
      </c>
      <c r="G94" s="1073">
        <v>3420000.0</v>
      </c>
      <c r="H94" s="1072">
        <v>41.080555555555556</v>
      </c>
      <c r="I94" s="1073">
        <v>3420000.0</v>
      </c>
      <c r="J94" s="1072">
        <v>41.080555555555556</v>
      </c>
      <c r="K94" s="1073">
        <v>3420000.0</v>
      </c>
      <c r="L94" s="1072">
        <v>80.72013888888888</v>
      </c>
      <c r="M94" s="1075">
        <v>1.118E7</v>
      </c>
      <c r="N94" s="1076">
        <v>28.62361111111111</v>
      </c>
      <c r="O94" s="1073">
        <v>1.538E7</v>
      </c>
      <c r="P94" s="1124"/>
      <c r="Q94" s="1125"/>
      <c r="R94" s="1124"/>
      <c r="S94" s="1125"/>
      <c r="T94" s="1124"/>
      <c r="U94" s="1125"/>
      <c r="V94" s="1124"/>
      <c r="W94" s="1125"/>
      <c r="X94" s="1124"/>
      <c r="Y94" s="1125"/>
      <c r="Z94" s="1124"/>
      <c r="AA94" s="1125"/>
      <c r="AB94" s="1124"/>
      <c r="AC94" s="1125"/>
      <c r="AD94" s="1072">
        <v>99.35555555555555</v>
      </c>
      <c r="AE94" s="1080">
        <v>2.3380029776E19</v>
      </c>
      <c r="AF94" s="1072">
        <v>99.35555555555555</v>
      </c>
      <c r="AG94" s="1080">
        <v>2.3380029776E19</v>
      </c>
      <c r="AH94" s="1072">
        <v>99.35555555555555</v>
      </c>
      <c r="AI94" s="1080">
        <v>2.3380029776E19</v>
      </c>
      <c r="AJ94" s="1081">
        <v>41.080555555555556</v>
      </c>
      <c r="AK94" s="1082">
        <v>3420000.0</v>
      </c>
      <c r="AL94" s="1081">
        <v>41.080555555555556</v>
      </c>
      <c r="AM94" s="1082">
        <v>3420000.0</v>
      </c>
      <c r="AN94" s="1081">
        <v>41.080555555555556</v>
      </c>
      <c r="AO94" s="1082">
        <v>3420000.0</v>
      </c>
      <c r="AP94" s="1126"/>
      <c r="AQ94" s="1125"/>
      <c r="AR94" s="1081">
        <v>41.080555555555556</v>
      </c>
      <c r="AS94" s="1082">
        <v>3420000.0</v>
      </c>
      <c r="AT94" s="1126"/>
      <c r="AU94" s="1125"/>
      <c r="AV94" s="1126"/>
      <c r="AW94" s="1125"/>
      <c r="AX94" s="1124"/>
      <c r="AY94" s="1175"/>
      <c r="AZ94" s="1124"/>
      <c r="BA94" s="1124"/>
      <c r="BB94" s="1083">
        <v>41.080555555555556</v>
      </c>
      <c r="BC94" s="1084">
        <v>3420000.0</v>
      </c>
      <c r="BD94" s="1083">
        <v>41.080555555555556</v>
      </c>
      <c r="BE94" s="1084">
        <v>3420000.0</v>
      </c>
      <c r="BF94" s="1083">
        <v>41.080555555555556</v>
      </c>
      <c r="BG94" s="1084">
        <v>3420000.0</v>
      </c>
      <c r="BH94" s="1124"/>
      <c r="BI94" s="1125"/>
      <c r="BJ94" s="1124"/>
      <c r="BK94" s="1125"/>
      <c r="BL94" s="1124"/>
      <c r="BM94" s="1125"/>
      <c r="BN94" s="1124"/>
      <c r="BO94" s="1125"/>
      <c r="BP94" s="1124"/>
      <c r="BQ94" s="1125"/>
      <c r="BR94" s="1126"/>
      <c r="BS94" s="1125"/>
      <c r="BT94" s="1126"/>
      <c r="BU94" s="1126"/>
      <c r="BV94" s="1126"/>
      <c r="BW94" s="1126"/>
      <c r="BX94" s="1126"/>
      <c r="BY94" s="1126"/>
      <c r="BZ94" s="1126"/>
      <c r="CA94" s="1126"/>
      <c r="CB94" s="1126"/>
      <c r="CC94" s="1125"/>
      <c r="CD94" s="1126"/>
      <c r="CE94" s="1126"/>
      <c r="CF94" s="1133"/>
      <c r="CG94" s="1167"/>
      <c r="CH94" s="1088">
        <v>41.080555555555556</v>
      </c>
      <c r="CI94" s="1089">
        <v>3420000.0</v>
      </c>
      <c r="CJ94" s="1088">
        <v>41.080555555555556</v>
      </c>
      <c r="CK94" s="1089">
        <v>3420000.0</v>
      </c>
      <c r="CL94" s="1088">
        <v>41.080555555555556</v>
      </c>
      <c r="CM94" s="1089">
        <v>3420000.0</v>
      </c>
      <c r="CN94" s="1088">
        <v>41.080555555555556</v>
      </c>
      <c r="CO94" s="1089">
        <v>3420000.0</v>
      </c>
      <c r="CP94" s="1088">
        <v>101.00902777777777</v>
      </c>
      <c r="CQ94" s="1089">
        <v>1.538E7</v>
      </c>
      <c r="CR94" s="1124"/>
      <c r="CS94" s="1125"/>
      <c r="CT94" s="1126"/>
      <c r="CU94" s="1125"/>
      <c r="CV94" s="1126"/>
      <c r="CW94" s="1125"/>
      <c r="CX94" s="1126"/>
      <c r="CY94" s="1125"/>
      <c r="CZ94" s="1126"/>
      <c r="DA94" s="1126"/>
      <c r="DB94" s="1126"/>
      <c r="DC94" s="1126"/>
      <c r="DD94" s="1126"/>
      <c r="DE94" s="1125"/>
      <c r="DF94" s="1124"/>
      <c r="DG94" s="1125"/>
      <c r="DH94" s="1124"/>
      <c r="DI94" s="1125"/>
      <c r="DJ94" s="1124"/>
      <c r="DK94" s="1125"/>
      <c r="DL94" s="1124"/>
      <c r="DM94" s="1125"/>
      <c r="DN94" s="1124"/>
      <c r="DO94" s="1125"/>
      <c r="DP94" s="1124"/>
      <c r="DQ94" s="1125"/>
      <c r="DR94" s="1124"/>
      <c r="DS94" s="1125"/>
      <c r="DT94" s="1124"/>
      <c r="DU94" s="1125"/>
      <c r="DV94" s="1126"/>
      <c r="DW94" s="1125"/>
      <c r="DX94" s="1124"/>
      <c r="DY94" s="1125"/>
      <c r="DZ94" s="1124"/>
      <c r="EA94" s="1125"/>
      <c r="EB94" s="1124"/>
      <c r="EC94" s="1125"/>
      <c r="ED94" s="1124"/>
      <c r="EE94" s="1125"/>
      <c r="EF94" s="1124"/>
      <c r="EG94" s="1125"/>
      <c r="EH94" s="1124"/>
      <c r="EI94" s="1125"/>
      <c r="EJ94" s="1169"/>
      <c r="EK94" s="1167"/>
      <c r="EL94" s="1169"/>
      <c r="EM94" s="1167"/>
      <c r="EN94" s="1124"/>
      <c r="EO94" s="1125"/>
      <c r="EP94" s="1124"/>
      <c r="EQ94" s="1125"/>
      <c r="ER94" s="1124"/>
      <c r="ES94" s="1125"/>
      <c r="ET94" s="1124"/>
      <c r="EU94" s="1125"/>
      <c r="EV94" s="1124"/>
      <c r="EW94" s="1125"/>
      <c r="EX94" s="1124"/>
      <c r="EY94" s="1125"/>
      <c r="EZ94" s="1124"/>
      <c r="FA94" s="1125"/>
      <c r="FB94" s="1126"/>
      <c r="FC94" s="1125"/>
      <c r="FD94" s="1126"/>
      <c r="FE94" s="1125"/>
      <c r="FF94" s="1126"/>
      <c r="FG94" s="1125"/>
      <c r="FH94" s="1126"/>
      <c r="FI94" s="1126"/>
      <c r="FJ94" s="1126"/>
      <c r="FK94" s="1125"/>
      <c r="FL94" s="1124"/>
      <c r="FM94" s="1125"/>
      <c r="FN94" s="1139"/>
      <c r="FO94" s="1126"/>
      <c r="FP94" s="1139"/>
      <c r="FQ94" s="1126"/>
      <c r="FR94" s="1139"/>
      <c r="FS94" s="1126"/>
      <c r="FT94" s="1139"/>
      <c r="FU94" s="1125"/>
      <c r="FV94" s="1139"/>
      <c r="FW94" s="1125"/>
      <c r="FX94" s="1179"/>
      <c r="FY94" s="1167"/>
      <c r="FZ94" s="1179"/>
      <c r="GA94" s="1167"/>
      <c r="GB94" s="1179"/>
      <c r="GC94" s="1167"/>
      <c r="GD94" s="1133"/>
      <c r="GE94" s="1167"/>
      <c r="GF94" s="1124"/>
      <c r="GG94" s="1125"/>
      <c r="GH94" s="1124"/>
      <c r="GI94" s="1125"/>
      <c r="GJ94" s="1124"/>
      <c r="GK94" s="1125"/>
      <c r="GL94" s="1124"/>
      <c r="GM94" s="1125"/>
      <c r="GN94" s="1126"/>
      <c r="GO94" s="1125"/>
      <c r="GP94" s="1126"/>
      <c r="GQ94" s="1125"/>
      <c r="GR94" s="1124"/>
      <c r="GS94" s="1125"/>
      <c r="GT94" s="1124"/>
      <c r="GU94" s="1125"/>
      <c r="GV94" s="1126"/>
      <c r="GW94" s="1125"/>
      <c r="GX94" s="1168"/>
      <c r="GY94" s="1133"/>
      <c r="GZ94" s="1124"/>
      <c r="HA94" s="1125"/>
      <c r="HB94" s="1107">
        <v>5836.8125</v>
      </c>
      <c r="HC94" s="1108">
        <v>1.2481E14</v>
      </c>
      <c r="HD94" s="1124"/>
      <c r="HE94" s="1125"/>
      <c r="HF94" s="1124"/>
      <c r="HG94" s="1125"/>
      <c r="HH94" s="1124"/>
      <c r="HI94" s="1125"/>
      <c r="HJ94" s="1124"/>
      <c r="HK94" s="1125"/>
      <c r="HL94" s="1124"/>
      <c r="HM94" s="1125"/>
      <c r="HN94" s="1126"/>
      <c r="HO94" s="1125"/>
      <c r="HP94" s="1124"/>
      <c r="HQ94" s="1125"/>
      <c r="HR94" s="1124"/>
      <c r="HS94" s="1125"/>
      <c r="HT94" s="1124"/>
      <c r="HU94" s="1125"/>
      <c r="HV94" s="1124"/>
      <c r="HW94" s="1125"/>
      <c r="HX94" s="1124"/>
      <c r="HY94" s="1125"/>
      <c r="HZ94" s="1124"/>
      <c r="IA94" s="1125"/>
      <c r="IB94" s="1124"/>
      <c r="IC94" s="1125"/>
      <c r="ID94" s="1124"/>
      <c r="IE94" s="1125"/>
      <c r="IF94" s="1124"/>
      <c r="IG94" s="1125"/>
      <c r="IH94" s="1124"/>
      <c r="II94" s="1125"/>
      <c r="IJ94" s="1124"/>
      <c r="IK94" s="1125"/>
      <c r="IL94" s="1124"/>
      <c r="IM94" s="1125"/>
      <c r="IN94" s="1124"/>
      <c r="IO94" s="1125"/>
      <c r="IP94" s="1124"/>
      <c r="IQ94" s="1125"/>
      <c r="IR94" s="1124"/>
      <c r="IS94" s="1125"/>
      <c r="IT94" s="1124"/>
      <c r="IU94" s="1125"/>
      <c r="IV94" s="1124"/>
      <c r="IW94" s="1125"/>
      <c r="IX94" s="1124"/>
      <c r="IY94" s="1125"/>
      <c r="IZ94" s="1124"/>
      <c r="JA94" s="1125"/>
      <c r="JB94" s="1124"/>
      <c r="JC94" s="1125"/>
      <c r="JD94" s="1124"/>
      <c r="JE94" s="1125"/>
      <c r="JF94" s="1124"/>
      <c r="JG94" s="1125"/>
      <c r="JH94" s="1124"/>
      <c r="JI94" s="1125"/>
      <c r="JJ94" s="1169"/>
      <c r="JK94" s="1167"/>
      <c r="JL94" s="1169"/>
      <c r="JM94" s="1167"/>
      <c r="JN94" s="1169"/>
      <c r="JO94" s="1167"/>
      <c r="JP94" s="1169"/>
      <c r="JQ94" s="1167"/>
      <c r="JR94" s="1169"/>
      <c r="JS94" s="1167"/>
      <c r="JT94" s="1169"/>
      <c r="JU94" s="1167"/>
      <c r="JV94" s="1169"/>
      <c r="JW94" s="1167"/>
      <c r="JX94" s="1169"/>
      <c r="JY94" s="1133"/>
      <c r="JZ94" s="1173">
        <v>8.821898148</v>
      </c>
      <c r="KA94" s="1120">
        <v>3.8944E11</v>
      </c>
      <c r="KB94" s="1169"/>
      <c r="KC94" s="1133"/>
      <c r="KD94" s="1169"/>
      <c r="KE94" s="1133"/>
      <c r="KF94" s="1133"/>
      <c r="KG94" s="1133"/>
      <c r="KH94" s="1133"/>
      <c r="KI94" s="1133"/>
      <c r="KJ94" s="1133"/>
      <c r="KK94" s="1133"/>
      <c r="KL94" s="1133"/>
      <c r="KM94" s="1133"/>
      <c r="KN94" s="1133"/>
      <c r="KO94" s="1133"/>
      <c r="KP94" s="1133"/>
      <c r="KQ94" s="1133"/>
      <c r="KR94" s="1133"/>
      <c r="KS94" s="1133"/>
      <c r="KT94" s="1133"/>
      <c r="KU94" s="1133"/>
      <c r="KV94" s="1133"/>
      <c r="KW94" s="1133"/>
      <c r="KX94" s="1133"/>
      <c r="KY94" s="1133"/>
      <c r="KZ94" s="1133"/>
      <c r="LA94" s="1133"/>
      <c r="LB94" s="1133"/>
      <c r="LC94" s="1133"/>
      <c r="LD94" s="1133"/>
      <c r="LE94" s="1133"/>
      <c r="LF94" s="1133"/>
      <c r="LG94" s="1133"/>
      <c r="LH94" s="1133"/>
      <c r="LI94" s="1133"/>
      <c r="LJ94" s="1133"/>
      <c r="LK94" s="1133"/>
      <c r="LL94" s="1133"/>
      <c r="LM94" s="1133"/>
      <c r="LN94" s="1133"/>
      <c r="LO94" s="1133"/>
      <c r="LP94" s="1133"/>
      <c r="LQ94" s="1133"/>
      <c r="LR94" s="1133"/>
      <c r="LS94" s="1133"/>
      <c r="LT94" s="1133"/>
      <c r="LU94" s="1133"/>
      <c r="LV94" s="1133"/>
      <c r="LW94" s="1133"/>
      <c r="LX94" s="1133"/>
      <c r="LY94" s="1133"/>
      <c r="LZ94" s="1133"/>
      <c r="MA94" s="1133"/>
      <c r="MB94" s="1133"/>
      <c r="MC94" s="1133"/>
      <c r="MD94" s="1133"/>
      <c r="ME94" s="1133"/>
      <c r="MF94" s="1133"/>
      <c r="MG94" s="1133"/>
      <c r="MH94" s="1133"/>
      <c r="MI94" s="1133"/>
      <c r="MJ94" s="1133"/>
      <c r="MK94" s="1133"/>
      <c r="ML94" s="1133"/>
      <c r="MM94" s="1133"/>
      <c r="MN94" s="1133"/>
      <c r="MO94" s="1133"/>
      <c r="MP94" s="1133"/>
      <c r="MQ94" s="1133"/>
      <c r="MR94" s="1133"/>
      <c r="MS94" s="1133"/>
      <c r="MT94" s="1133"/>
      <c r="MU94" s="1133"/>
      <c r="MV94" s="1133"/>
      <c r="MW94" s="1133"/>
      <c r="MX94" s="1133"/>
      <c r="MY94" s="1133"/>
    </row>
    <row r="95">
      <c r="A95" s="1071">
        <v>93.0</v>
      </c>
      <c r="B95" s="1124"/>
      <c r="C95" s="1126"/>
      <c r="D95" s="1072">
        <v>42.16736111111111</v>
      </c>
      <c r="E95" s="1073">
        <v>3520000.0</v>
      </c>
      <c r="F95" s="1072">
        <v>42.16736111111111</v>
      </c>
      <c r="G95" s="1073">
        <v>3520000.0</v>
      </c>
      <c r="H95" s="1072">
        <v>42.16736111111111</v>
      </c>
      <c r="I95" s="1073">
        <v>3520000.0</v>
      </c>
      <c r="J95" s="1072">
        <v>42.16736111111111</v>
      </c>
      <c r="K95" s="1073">
        <v>3520000.0</v>
      </c>
      <c r="L95" s="1072">
        <v>82.99236111111111</v>
      </c>
      <c r="M95" s="1075">
        <v>1.152E7</v>
      </c>
      <c r="N95" s="1076">
        <v>29.22222222222222</v>
      </c>
      <c r="O95" s="1073">
        <v>1.591E7</v>
      </c>
      <c r="P95" s="1124"/>
      <c r="Q95" s="1125"/>
      <c r="R95" s="1124"/>
      <c r="S95" s="1125"/>
      <c r="T95" s="1124"/>
      <c r="U95" s="1125"/>
      <c r="V95" s="1124"/>
      <c r="W95" s="1125"/>
      <c r="X95" s="1124"/>
      <c r="Y95" s="1125"/>
      <c r="Z95" s="1124"/>
      <c r="AA95" s="1125"/>
      <c r="AB95" s="1124"/>
      <c r="AC95" s="1125"/>
      <c r="AD95" s="1072">
        <v>100.43541666666667</v>
      </c>
      <c r="AE95" s="1080">
        <v>3.0394038708E19</v>
      </c>
      <c r="AF95" s="1072">
        <v>100.43541666666667</v>
      </c>
      <c r="AG95" s="1080">
        <v>3.0394038708E19</v>
      </c>
      <c r="AH95" s="1072">
        <v>100.43541666666667</v>
      </c>
      <c r="AI95" s="1080">
        <v>3.0394038708E19</v>
      </c>
      <c r="AJ95" s="1081">
        <v>42.16736111111111</v>
      </c>
      <c r="AK95" s="1082">
        <v>3520000.0</v>
      </c>
      <c r="AL95" s="1081">
        <v>42.16736111111111</v>
      </c>
      <c r="AM95" s="1082">
        <v>3520000.0</v>
      </c>
      <c r="AN95" s="1081">
        <v>42.16736111111111</v>
      </c>
      <c r="AO95" s="1082">
        <v>3520000.0</v>
      </c>
      <c r="AP95" s="1126"/>
      <c r="AQ95" s="1125"/>
      <c r="AR95" s="1081">
        <v>42.16736111111111</v>
      </c>
      <c r="AS95" s="1082">
        <v>3520000.0</v>
      </c>
      <c r="AT95" s="1126"/>
      <c r="AU95" s="1125"/>
      <c r="AV95" s="1126"/>
      <c r="AW95" s="1125"/>
      <c r="AX95" s="1124"/>
      <c r="AY95" s="1175"/>
      <c r="AZ95" s="1124"/>
      <c r="BA95" s="1124"/>
      <c r="BB95" s="1083">
        <v>42.16736111111111</v>
      </c>
      <c r="BC95" s="1084">
        <v>3520000.0</v>
      </c>
      <c r="BD95" s="1083">
        <v>42.16736111111111</v>
      </c>
      <c r="BE95" s="1084">
        <v>3520000.0</v>
      </c>
      <c r="BF95" s="1083">
        <v>42.16736111111111</v>
      </c>
      <c r="BG95" s="1084">
        <v>3520000.0</v>
      </c>
      <c r="BH95" s="1124"/>
      <c r="BI95" s="1125"/>
      <c r="BJ95" s="1124"/>
      <c r="BK95" s="1125"/>
      <c r="BL95" s="1124"/>
      <c r="BM95" s="1125"/>
      <c r="BN95" s="1124"/>
      <c r="BO95" s="1125"/>
      <c r="BP95" s="1124"/>
      <c r="BQ95" s="1125"/>
      <c r="BR95" s="1126"/>
      <c r="BS95" s="1125"/>
      <c r="BT95" s="1126"/>
      <c r="BU95" s="1126"/>
      <c r="BV95" s="1126"/>
      <c r="BW95" s="1126"/>
      <c r="BX95" s="1126"/>
      <c r="BY95" s="1126"/>
      <c r="BZ95" s="1126"/>
      <c r="CA95" s="1126"/>
      <c r="CB95" s="1126"/>
      <c r="CC95" s="1125"/>
      <c r="CD95" s="1126"/>
      <c r="CE95" s="1126"/>
      <c r="CF95" s="1133"/>
      <c r="CG95" s="1167"/>
      <c r="CH95" s="1088">
        <v>42.16736111111111</v>
      </c>
      <c r="CI95" s="1089">
        <v>3520000.0</v>
      </c>
      <c r="CJ95" s="1088">
        <v>42.16736111111111</v>
      </c>
      <c r="CK95" s="1089">
        <v>3520000.0</v>
      </c>
      <c r="CL95" s="1088">
        <v>42.16736111111111</v>
      </c>
      <c r="CM95" s="1089">
        <v>3520000.0</v>
      </c>
      <c r="CN95" s="1088">
        <v>42.16736111111111</v>
      </c>
      <c r="CO95" s="1089">
        <v>3520000.0</v>
      </c>
      <c r="CP95" s="1088">
        <v>103.91111111111111</v>
      </c>
      <c r="CQ95" s="1089">
        <v>1.591E7</v>
      </c>
      <c r="CR95" s="1124"/>
      <c r="CS95" s="1125"/>
      <c r="CT95" s="1126"/>
      <c r="CU95" s="1125"/>
      <c r="CV95" s="1126"/>
      <c r="CW95" s="1125"/>
      <c r="CX95" s="1126"/>
      <c r="CY95" s="1125"/>
      <c r="CZ95" s="1126"/>
      <c r="DA95" s="1126"/>
      <c r="DB95" s="1126"/>
      <c r="DC95" s="1126"/>
      <c r="DD95" s="1126"/>
      <c r="DE95" s="1125"/>
      <c r="DF95" s="1124"/>
      <c r="DG95" s="1125"/>
      <c r="DH95" s="1124"/>
      <c r="DI95" s="1125"/>
      <c r="DJ95" s="1124"/>
      <c r="DK95" s="1125"/>
      <c r="DL95" s="1124"/>
      <c r="DM95" s="1125"/>
      <c r="DN95" s="1124"/>
      <c r="DO95" s="1125"/>
      <c r="DP95" s="1124"/>
      <c r="DQ95" s="1125"/>
      <c r="DR95" s="1124"/>
      <c r="DS95" s="1125"/>
      <c r="DT95" s="1124"/>
      <c r="DU95" s="1125"/>
      <c r="DV95" s="1126"/>
      <c r="DW95" s="1125"/>
      <c r="DX95" s="1124"/>
      <c r="DY95" s="1125"/>
      <c r="DZ95" s="1124"/>
      <c r="EA95" s="1125"/>
      <c r="EB95" s="1124"/>
      <c r="EC95" s="1125"/>
      <c r="ED95" s="1124"/>
      <c r="EE95" s="1125"/>
      <c r="EF95" s="1124"/>
      <c r="EG95" s="1125"/>
      <c r="EH95" s="1124"/>
      <c r="EI95" s="1125"/>
      <c r="EJ95" s="1169"/>
      <c r="EK95" s="1167"/>
      <c r="EL95" s="1169"/>
      <c r="EM95" s="1167"/>
      <c r="EN95" s="1124"/>
      <c r="EO95" s="1125"/>
      <c r="EP95" s="1124"/>
      <c r="EQ95" s="1125"/>
      <c r="ER95" s="1124"/>
      <c r="ES95" s="1125"/>
      <c r="ET95" s="1124"/>
      <c r="EU95" s="1125"/>
      <c r="EV95" s="1124"/>
      <c r="EW95" s="1125"/>
      <c r="EX95" s="1124"/>
      <c r="EY95" s="1125"/>
      <c r="EZ95" s="1124"/>
      <c r="FA95" s="1125"/>
      <c r="FB95" s="1126"/>
      <c r="FC95" s="1125"/>
      <c r="FD95" s="1126"/>
      <c r="FE95" s="1125"/>
      <c r="FF95" s="1126"/>
      <c r="FG95" s="1125"/>
      <c r="FH95" s="1126"/>
      <c r="FI95" s="1126"/>
      <c r="FJ95" s="1126"/>
      <c r="FK95" s="1125"/>
      <c r="FL95" s="1124"/>
      <c r="FM95" s="1125"/>
      <c r="FN95" s="1139"/>
      <c r="FO95" s="1126"/>
      <c r="FP95" s="1139"/>
      <c r="FQ95" s="1126"/>
      <c r="FR95" s="1139"/>
      <c r="FS95" s="1126"/>
      <c r="FT95" s="1139"/>
      <c r="FU95" s="1125"/>
      <c r="FV95" s="1139"/>
      <c r="FW95" s="1125"/>
      <c r="FX95" s="1179"/>
      <c r="FY95" s="1167"/>
      <c r="FZ95" s="1179"/>
      <c r="GA95" s="1167"/>
      <c r="GB95" s="1179"/>
      <c r="GC95" s="1167"/>
      <c r="GD95" s="1133"/>
      <c r="GE95" s="1167"/>
      <c r="GF95" s="1124"/>
      <c r="GG95" s="1125"/>
      <c r="GH95" s="1124"/>
      <c r="GI95" s="1125"/>
      <c r="GJ95" s="1124"/>
      <c r="GK95" s="1125"/>
      <c r="GL95" s="1124"/>
      <c r="GM95" s="1125"/>
      <c r="GN95" s="1126"/>
      <c r="GO95" s="1125"/>
      <c r="GP95" s="1126"/>
      <c r="GQ95" s="1125"/>
      <c r="GR95" s="1124"/>
      <c r="GS95" s="1125"/>
      <c r="GT95" s="1124"/>
      <c r="GU95" s="1125"/>
      <c r="GV95" s="1126"/>
      <c r="GW95" s="1125"/>
      <c r="GX95" s="1168"/>
      <c r="GY95" s="1133"/>
      <c r="GZ95" s="1124"/>
      <c r="HA95" s="1125"/>
      <c r="HB95" s="1107">
        <v>6064.049305555555</v>
      </c>
      <c r="HC95" s="1108">
        <v>1.3182E14</v>
      </c>
      <c r="HD95" s="1124"/>
      <c r="HE95" s="1125"/>
      <c r="HF95" s="1124"/>
      <c r="HG95" s="1125"/>
      <c r="HH95" s="1124"/>
      <c r="HI95" s="1125"/>
      <c r="HJ95" s="1124"/>
      <c r="HK95" s="1125"/>
      <c r="HL95" s="1124"/>
      <c r="HM95" s="1125"/>
      <c r="HN95" s="1126"/>
      <c r="HO95" s="1125"/>
      <c r="HP95" s="1124"/>
      <c r="HQ95" s="1125"/>
      <c r="HR95" s="1124"/>
      <c r="HS95" s="1125"/>
      <c r="HT95" s="1124"/>
      <c r="HU95" s="1125"/>
      <c r="HV95" s="1124"/>
      <c r="HW95" s="1125"/>
      <c r="HX95" s="1124"/>
      <c r="HY95" s="1125"/>
      <c r="HZ95" s="1124"/>
      <c r="IA95" s="1125"/>
      <c r="IB95" s="1124"/>
      <c r="IC95" s="1125"/>
      <c r="ID95" s="1124"/>
      <c r="IE95" s="1125"/>
      <c r="IF95" s="1124"/>
      <c r="IG95" s="1125"/>
      <c r="IH95" s="1124"/>
      <c r="II95" s="1125"/>
      <c r="IJ95" s="1124"/>
      <c r="IK95" s="1125"/>
      <c r="IL95" s="1124"/>
      <c r="IM95" s="1125"/>
      <c r="IN95" s="1124"/>
      <c r="IO95" s="1125"/>
      <c r="IP95" s="1124"/>
      <c r="IQ95" s="1125"/>
      <c r="IR95" s="1124"/>
      <c r="IS95" s="1125"/>
      <c r="IT95" s="1124"/>
      <c r="IU95" s="1125"/>
      <c r="IV95" s="1124"/>
      <c r="IW95" s="1125"/>
      <c r="IX95" s="1124"/>
      <c r="IY95" s="1125"/>
      <c r="IZ95" s="1124"/>
      <c r="JA95" s="1125"/>
      <c r="JB95" s="1124"/>
      <c r="JC95" s="1125"/>
      <c r="JD95" s="1124"/>
      <c r="JE95" s="1125"/>
      <c r="JF95" s="1124"/>
      <c r="JG95" s="1125"/>
      <c r="JH95" s="1124"/>
      <c r="JI95" s="1125"/>
      <c r="JJ95" s="1169"/>
      <c r="JK95" s="1167"/>
      <c r="JL95" s="1169"/>
      <c r="JM95" s="1167"/>
      <c r="JN95" s="1169"/>
      <c r="JO95" s="1167"/>
      <c r="JP95" s="1169"/>
      <c r="JQ95" s="1167"/>
      <c r="JR95" s="1169"/>
      <c r="JS95" s="1167"/>
      <c r="JT95" s="1169"/>
      <c r="JU95" s="1167"/>
      <c r="JV95" s="1169"/>
      <c r="JW95" s="1167"/>
      <c r="JX95" s="1169"/>
      <c r="JY95" s="1133"/>
      <c r="JZ95" s="1173">
        <v>8.946284722</v>
      </c>
      <c r="KA95" s="1120">
        <v>4.0111E11</v>
      </c>
      <c r="KB95" s="1169"/>
      <c r="KC95" s="1133"/>
      <c r="KD95" s="1169"/>
      <c r="KE95" s="1133"/>
      <c r="KF95" s="1133"/>
      <c r="KG95" s="1133"/>
      <c r="KH95" s="1133"/>
      <c r="KI95" s="1133"/>
      <c r="KJ95" s="1133"/>
      <c r="KK95" s="1133"/>
      <c r="KL95" s="1133"/>
      <c r="KM95" s="1133"/>
      <c r="KN95" s="1133"/>
      <c r="KO95" s="1133"/>
      <c r="KP95" s="1133"/>
      <c r="KQ95" s="1133"/>
      <c r="KR95" s="1133"/>
      <c r="KS95" s="1133"/>
      <c r="KT95" s="1133"/>
      <c r="KU95" s="1133"/>
      <c r="KV95" s="1133"/>
      <c r="KW95" s="1133"/>
      <c r="KX95" s="1133"/>
      <c r="KY95" s="1133"/>
      <c r="KZ95" s="1133"/>
      <c r="LA95" s="1133"/>
      <c r="LB95" s="1133"/>
      <c r="LC95" s="1133"/>
      <c r="LD95" s="1133"/>
      <c r="LE95" s="1133"/>
      <c r="LF95" s="1133"/>
      <c r="LG95" s="1133"/>
      <c r="LH95" s="1133"/>
      <c r="LI95" s="1133"/>
      <c r="LJ95" s="1133"/>
      <c r="LK95" s="1133"/>
      <c r="LL95" s="1133"/>
      <c r="LM95" s="1133"/>
      <c r="LN95" s="1133"/>
      <c r="LO95" s="1133"/>
      <c r="LP95" s="1133"/>
      <c r="LQ95" s="1133"/>
      <c r="LR95" s="1133"/>
      <c r="LS95" s="1133"/>
      <c r="LT95" s="1133"/>
      <c r="LU95" s="1133"/>
      <c r="LV95" s="1133"/>
      <c r="LW95" s="1133"/>
      <c r="LX95" s="1133"/>
      <c r="LY95" s="1133"/>
      <c r="LZ95" s="1133"/>
      <c r="MA95" s="1133"/>
      <c r="MB95" s="1133"/>
      <c r="MC95" s="1133"/>
      <c r="MD95" s="1133"/>
      <c r="ME95" s="1133"/>
      <c r="MF95" s="1133"/>
      <c r="MG95" s="1133"/>
      <c r="MH95" s="1133"/>
      <c r="MI95" s="1133"/>
      <c r="MJ95" s="1133"/>
      <c r="MK95" s="1133"/>
      <c r="ML95" s="1133"/>
      <c r="MM95" s="1133"/>
      <c r="MN95" s="1133"/>
      <c r="MO95" s="1133"/>
      <c r="MP95" s="1133"/>
      <c r="MQ95" s="1133"/>
      <c r="MR95" s="1133"/>
      <c r="MS95" s="1133"/>
      <c r="MT95" s="1133"/>
      <c r="MU95" s="1133"/>
      <c r="MV95" s="1133"/>
      <c r="MW95" s="1133"/>
      <c r="MX95" s="1133"/>
      <c r="MY95" s="1133"/>
    </row>
    <row r="96">
      <c r="A96" s="1071">
        <v>94.0</v>
      </c>
      <c r="B96" s="1124"/>
      <c r="C96" s="1126"/>
      <c r="D96" s="1072">
        <v>43.270833333333336</v>
      </c>
      <c r="E96" s="1073">
        <v>3630000.0</v>
      </c>
      <c r="F96" s="1072">
        <v>43.270833333333336</v>
      </c>
      <c r="G96" s="1073">
        <v>3630000.0</v>
      </c>
      <c r="H96" s="1072">
        <v>43.270833333333336</v>
      </c>
      <c r="I96" s="1073">
        <v>3630000.0</v>
      </c>
      <c r="J96" s="1072">
        <v>43.270833333333336</v>
      </c>
      <c r="K96" s="1073">
        <v>3630000.0</v>
      </c>
      <c r="L96" s="1072">
        <v>85.30277777777778</v>
      </c>
      <c r="M96" s="1075">
        <v>1.186E7</v>
      </c>
      <c r="N96" s="1076">
        <v>29.825694444444444</v>
      </c>
      <c r="O96" s="1073">
        <v>1.646E7</v>
      </c>
      <c r="P96" s="1124"/>
      <c r="Q96" s="1125"/>
      <c r="R96" s="1124"/>
      <c r="S96" s="1125"/>
      <c r="T96" s="1124"/>
      <c r="U96" s="1125"/>
      <c r="V96" s="1124"/>
      <c r="W96" s="1125"/>
      <c r="X96" s="1124"/>
      <c r="Y96" s="1125"/>
      <c r="Z96" s="1124"/>
      <c r="AA96" s="1125"/>
      <c r="AB96" s="1124"/>
      <c r="AC96" s="1125"/>
      <c r="AD96" s="1072">
        <v>101.51527777777778</v>
      </c>
      <c r="AE96" s="1080">
        <v>3.9512250321E19</v>
      </c>
      <c r="AF96" s="1072">
        <v>101.51527777777778</v>
      </c>
      <c r="AG96" s="1080">
        <v>3.9512250321E19</v>
      </c>
      <c r="AH96" s="1072">
        <v>101.51527777777778</v>
      </c>
      <c r="AI96" s="1080">
        <v>3.9512250321E19</v>
      </c>
      <c r="AJ96" s="1081">
        <v>43.270833333333336</v>
      </c>
      <c r="AK96" s="1082">
        <v>3630000.0</v>
      </c>
      <c r="AL96" s="1081">
        <v>43.270833333333336</v>
      </c>
      <c r="AM96" s="1082">
        <v>3630000.0</v>
      </c>
      <c r="AN96" s="1081">
        <v>43.270833333333336</v>
      </c>
      <c r="AO96" s="1082">
        <v>3630000.0</v>
      </c>
      <c r="AP96" s="1126"/>
      <c r="AQ96" s="1125"/>
      <c r="AR96" s="1081">
        <v>43.270833333333336</v>
      </c>
      <c r="AS96" s="1082">
        <v>3630000.0</v>
      </c>
      <c r="AT96" s="1126"/>
      <c r="AU96" s="1125"/>
      <c r="AV96" s="1126"/>
      <c r="AW96" s="1125"/>
      <c r="AX96" s="1124"/>
      <c r="AY96" s="1175"/>
      <c r="AZ96" s="1124"/>
      <c r="BA96" s="1124"/>
      <c r="BB96" s="1083">
        <v>43.270833333333336</v>
      </c>
      <c r="BC96" s="1084">
        <v>3630000.0</v>
      </c>
      <c r="BD96" s="1083">
        <v>43.270833333333336</v>
      </c>
      <c r="BE96" s="1084">
        <v>3630000.0</v>
      </c>
      <c r="BF96" s="1083">
        <v>43.270833333333336</v>
      </c>
      <c r="BG96" s="1084">
        <v>3630000.0</v>
      </c>
      <c r="BH96" s="1124"/>
      <c r="BI96" s="1125"/>
      <c r="BJ96" s="1124"/>
      <c r="BK96" s="1125"/>
      <c r="BL96" s="1124"/>
      <c r="BM96" s="1125"/>
      <c r="BN96" s="1124"/>
      <c r="BO96" s="1125"/>
      <c r="BP96" s="1124"/>
      <c r="BQ96" s="1125"/>
      <c r="BR96" s="1126"/>
      <c r="BS96" s="1125"/>
      <c r="BT96" s="1126"/>
      <c r="BU96" s="1126"/>
      <c r="BV96" s="1126"/>
      <c r="BW96" s="1126"/>
      <c r="BX96" s="1126"/>
      <c r="BY96" s="1126"/>
      <c r="BZ96" s="1126"/>
      <c r="CA96" s="1126"/>
      <c r="CB96" s="1126"/>
      <c r="CC96" s="1125"/>
      <c r="CD96" s="1126"/>
      <c r="CE96" s="1126"/>
      <c r="CF96" s="1133"/>
      <c r="CG96" s="1167"/>
      <c r="CH96" s="1088">
        <v>43.270833333333336</v>
      </c>
      <c r="CI96" s="1089">
        <v>3630000.0</v>
      </c>
      <c r="CJ96" s="1088">
        <v>43.270833333333336</v>
      </c>
      <c r="CK96" s="1089">
        <v>3630000.0</v>
      </c>
      <c r="CL96" s="1088">
        <v>43.270833333333336</v>
      </c>
      <c r="CM96" s="1089">
        <v>3630000.0</v>
      </c>
      <c r="CN96" s="1088">
        <v>43.270833333333336</v>
      </c>
      <c r="CO96" s="1089">
        <v>3630000.0</v>
      </c>
      <c r="CP96" s="1088">
        <v>106.86388888888888</v>
      </c>
      <c r="CQ96" s="1089">
        <v>1.646E7</v>
      </c>
      <c r="CR96" s="1124"/>
      <c r="CS96" s="1125"/>
      <c r="CT96" s="1126"/>
      <c r="CU96" s="1125"/>
      <c r="CV96" s="1126"/>
      <c r="CW96" s="1125"/>
      <c r="CX96" s="1126"/>
      <c r="CY96" s="1125"/>
      <c r="CZ96" s="1126"/>
      <c r="DA96" s="1126"/>
      <c r="DB96" s="1126"/>
      <c r="DC96" s="1126"/>
      <c r="DD96" s="1126"/>
      <c r="DE96" s="1125"/>
      <c r="DF96" s="1124"/>
      <c r="DG96" s="1125"/>
      <c r="DH96" s="1124"/>
      <c r="DI96" s="1125"/>
      <c r="DJ96" s="1124"/>
      <c r="DK96" s="1125"/>
      <c r="DL96" s="1124"/>
      <c r="DM96" s="1125"/>
      <c r="DN96" s="1124"/>
      <c r="DO96" s="1125"/>
      <c r="DP96" s="1124"/>
      <c r="DQ96" s="1125"/>
      <c r="DR96" s="1124"/>
      <c r="DS96" s="1125"/>
      <c r="DT96" s="1124"/>
      <c r="DU96" s="1125"/>
      <c r="DV96" s="1126"/>
      <c r="DW96" s="1125"/>
      <c r="DX96" s="1124"/>
      <c r="DY96" s="1125"/>
      <c r="DZ96" s="1124"/>
      <c r="EA96" s="1125"/>
      <c r="EB96" s="1124"/>
      <c r="EC96" s="1125"/>
      <c r="ED96" s="1124"/>
      <c r="EE96" s="1125"/>
      <c r="EF96" s="1124"/>
      <c r="EG96" s="1125"/>
      <c r="EH96" s="1124"/>
      <c r="EI96" s="1125"/>
      <c r="EJ96" s="1169"/>
      <c r="EK96" s="1167"/>
      <c r="EL96" s="1169"/>
      <c r="EM96" s="1167"/>
      <c r="EN96" s="1124"/>
      <c r="EO96" s="1125"/>
      <c r="EP96" s="1124"/>
      <c r="EQ96" s="1125"/>
      <c r="ER96" s="1124"/>
      <c r="ES96" s="1125"/>
      <c r="ET96" s="1124"/>
      <c r="EU96" s="1125"/>
      <c r="EV96" s="1124"/>
      <c r="EW96" s="1125"/>
      <c r="EX96" s="1124"/>
      <c r="EY96" s="1125"/>
      <c r="EZ96" s="1124"/>
      <c r="FA96" s="1125"/>
      <c r="FB96" s="1126"/>
      <c r="FC96" s="1125"/>
      <c r="FD96" s="1126"/>
      <c r="FE96" s="1125"/>
      <c r="FF96" s="1126"/>
      <c r="FG96" s="1125"/>
      <c r="FH96" s="1126"/>
      <c r="FI96" s="1126"/>
      <c r="FJ96" s="1126"/>
      <c r="FK96" s="1125"/>
      <c r="FL96" s="1124"/>
      <c r="FM96" s="1125"/>
      <c r="FN96" s="1139"/>
      <c r="FO96" s="1126"/>
      <c r="FP96" s="1139"/>
      <c r="FQ96" s="1126"/>
      <c r="FR96" s="1139"/>
      <c r="FS96" s="1126"/>
      <c r="FT96" s="1139"/>
      <c r="FU96" s="1125"/>
      <c r="FV96" s="1139"/>
      <c r="FW96" s="1125"/>
      <c r="FX96" s="1179"/>
      <c r="FY96" s="1167"/>
      <c r="FZ96" s="1179"/>
      <c r="GA96" s="1167"/>
      <c r="GB96" s="1179"/>
      <c r="GC96" s="1167"/>
      <c r="GD96" s="1133"/>
      <c r="GE96" s="1167"/>
      <c r="GF96" s="1124"/>
      <c r="GG96" s="1125"/>
      <c r="GH96" s="1124"/>
      <c r="GI96" s="1125"/>
      <c r="GJ96" s="1124"/>
      <c r="GK96" s="1125"/>
      <c r="GL96" s="1124"/>
      <c r="GM96" s="1125"/>
      <c r="GN96" s="1126"/>
      <c r="GO96" s="1125"/>
      <c r="GP96" s="1126"/>
      <c r="GQ96" s="1125"/>
      <c r="GR96" s="1124"/>
      <c r="GS96" s="1125"/>
      <c r="GT96" s="1124"/>
      <c r="GU96" s="1125"/>
      <c r="GV96" s="1126"/>
      <c r="GW96" s="1125"/>
      <c r="GX96" s="1168"/>
      <c r="GY96" s="1133"/>
      <c r="GZ96" s="1124"/>
      <c r="HA96" s="1125"/>
      <c r="HB96" s="1107">
        <v>6297.541666666667</v>
      </c>
      <c r="HC96" s="1108">
        <v>1.3914E14</v>
      </c>
      <c r="HD96" s="1124"/>
      <c r="HE96" s="1125"/>
      <c r="HF96" s="1124"/>
      <c r="HG96" s="1125"/>
      <c r="HH96" s="1124"/>
      <c r="HI96" s="1125"/>
      <c r="HJ96" s="1124"/>
      <c r="HK96" s="1125"/>
      <c r="HL96" s="1124"/>
      <c r="HM96" s="1125"/>
      <c r="HN96" s="1126"/>
      <c r="HO96" s="1125"/>
      <c r="HP96" s="1124"/>
      <c r="HQ96" s="1125"/>
      <c r="HR96" s="1124"/>
      <c r="HS96" s="1125"/>
      <c r="HT96" s="1124"/>
      <c r="HU96" s="1125"/>
      <c r="HV96" s="1124"/>
      <c r="HW96" s="1125"/>
      <c r="HX96" s="1124"/>
      <c r="HY96" s="1125"/>
      <c r="HZ96" s="1124"/>
      <c r="IA96" s="1125"/>
      <c r="IB96" s="1124"/>
      <c r="IC96" s="1125"/>
      <c r="ID96" s="1124"/>
      <c r="IE96" s="1125"/>
      <c r="IF96" s="1124"/>
      <c r="IG96" s="1125"/>
      <c r="IH96" s="1124"/>
      <c r="II96" s="1125"/>
      <c r="IJ96" s="1124"/>
      <c r="IK96" s="1125"/>
      <c r="IL96" s="1124"/>
      <c r="IM96" s="1125"/>
      <c r="IN96" s="1124"/>
      <c r="IO96" s="1125"/>
      <c r="IP96" s="1124"/>
      <c r="IQ96" s="1125"/>
      <c r="IR96" s="1124"/>
      <c r="IS96" s="1125"/>
      <c r="IT96" s="1124"/>
      <c r="IU96" s="1125"/>
      <c r="IV96" s="1124"/>
      <c r="IW96" s="1125"/>
      <c r="IX96" s="1124"/>
      <c r="IY96" s="1125"/>
      <c r="IZ96" s="1124"/>
      <c r="JA96" s="1125"/>
      <c r="JB96" s="1124"/>
      <c r="JC96" s="1125"/>
      <c r="JD96" s="1124"/>
      <c r="JE96" s="1125"/>
      <c r="JF96" s="1124"/>
      <c r="JG96" s="1125"/>
      <c r="JH96" s="1124"/>
      <c r="JI96" s="1125"/>
      <c r="JJ96" s="1169"/>
      <c r="JK96" s="1167"/>
      <c r="JL96" s="1169"/>
      <c r="JM96" s="1167"/>
      <c r="JN96" s="1169"/>
      <c r="JO96" s="1167"/>
      <c r="JP96" s="1169"/>
      <c r="JQ96" s="1167"/>
      <c r="JR96" s="1169"/>
      <c r="JS96" s="1167"/>
      <c r="JT96" s="1169"/>
      <c r="JU96" s="1167"/>
      <c r="JV96" s="1169"/>
      <c r="JW96" s="1167"/>
      <c r="JX96" s="1169"/>
      <c r="JY96" s="1133"/>
      <c r="JZ96" s="1173">
        <v>9.071550926</v>
      </c>
      <c r="KA96" s="1120">
        <v>4.1299E11</v>
      </c>
      <c r="KB96" s="1169"/>
      <c r="KC96" s="1133"/>
      <c r="KD96" s="1169"/>
      <c r="KE96" s="1133"/>
      <c r="KF96" s="1133"/>
      <c r="KG96" s="1133"/>
      <c r="KH96" s="1133"/>
      <c r="KI96" s="1133"/>
      <c r="KJ96" s="1133"/>
      <c r="KK96" s="1133"/>
      <c r="KL96" s="1133"/>
      <c r="KM96" s="1133"/>
      <c r="KN96" s="1133"/>
      <c r="KO96" s="1133"/>
      <c r="KP96" s="1133"/>
      <c r="KQ96" s="1133"/>
      <c r="KR96" s="1133"/>
      <c r="KS96" s="1133"/>
      <c r="KT96" s="1133"/>
      <c r="KU96" s="1133"/>
      <c r="KV96" s="1133"/>
      <c r="KW96" s="1133"/>
      <c r="KX96" s="1133"/>
      <c r="KY96" s="1133"/>
      <c r="KZ96" s="1133"/>
      <c r="LA96" s="1133"/>
      <c r="LB96" s="1133"/>
      <c r="LC96" s="1133"/>
      <c r="LD96" s="1133"/>
      <c r="LE96" s="1133"/>
      <c r="LF96" s="1133"/>
      <c r="LG96" s="1133"/>
      <c r="LH96" s="1133"/>
      <c r="LI96" s="1133"/>
      <c r="LJ96" s="1133"/>
      <c r="LK96" s="1133"/>
      <c r="LL96" s="1133"/>
      <c r="LM96" s="1133"/>
      <c r="LN96" s="1133"/>
      <c r="LO96" s="1133"/>
      <c r="LP96" s="1133"/>
      <c r="LQ96" s="1133"/>
      <c r="LR96" s="1133"/>
      <c r="LS96" s="1133"/>
      <c r="LT96" s="1133"/>
      <c r="LU96" s="1133"/>
      <c r="LV96" s="1133"/>
      <c r="LW96" s="1133"/>
      <c r="LX96" s="1133"/>
      <c r="LY96" s="1133"/>
      <c r="LZ96" s="1133"/>
      <c r="MA96" s="1133"/>
      <c r="MB96" s="1133"/>
      <c r="MC96" s="1133"/>
      <c r="MD96" s="1133"/>
      <c r="ME96" s="1133"/>
      <c r="MF96" s="1133"/>
      <c r="MG96" s="1133"/>
      <c r="MH96" s="1133"/>
      <c r="MI96" s="1133"/>
      <c r="MJ96" s="1133"/>
      <c r="MK96" s="1133"/>
      <c r="ML96" s="1133"/>
      <c r="MM96" s="1133"/>
      <c r="MN96" s="1133"/>
      <c r="MO96" s="1133"/>
      <c r="MP96" s="1133"/>
      <c r="MQ96" s="1133"/>
      <c r="MR96" s="1133"/>
      <c r="MS96" s="1133"/>
      <c r="MT96" s="1133"/>
      <c r="MU96" s="1133"/>
      <c r="MV96" s="1133"/>
      <c r="MW96" s="1133"/>
      <c r="MX96" s="1133"/>
      <c r="MY96" s="1133"/>
    </row>
    <row r="97">
      <c r="A97" s="1071">
        <v>95.0</v>
      </c>
      <c r="B97" s="1124"/>
      <c r="C97" s="1126"/>
      <c r="D97" s="1072">
        <v>44.390972222222224</v>
      </c>
      <c r="E97" s="1073">
        <v>3740000.0</v>
      </c>
      <c r="F97" s="1072">
        <v>44.390972222222224</v>
      </c>
      <c r="G97" s="1073">
        <v>3740000.0</v>
      </c>
      <c r="H97" s="1072">
        <v>44.390972222222224</v>
      </c>
      <c r="I97" s="1073">
        <v>3740000.0</v>
      </c>
      <c r="J97" s="1072">
        <v>44.390972222222224</v>
      </c>
      <c r="K97" s="1073">
        <v>3740000.0</v>
      </c>
      <c r="L97" s="1072">
        <v>87.65208333333334</v>
      </c>
      <c r="M97" s="1075">
        <v>1.221E7</v>
      </c>
      <c r="N97" s="1076">
        <v>30.434722222222224</v>
      </c>
      <c r="O97" s="1073">
        <v>1.701E7</v>
      </c>
      <c r="P97" s="1124"/>
      <c r="Q97" s="1125"/>
      <c r="R97" s="1124"/>
      <c r="S97" s="1125"/>
      <c r="T97" s="1124"/>
      <c r="U97" s="1125"/>
      <c r="V97" s="1124"/>
      <c r="W97" s="1125"/>
      <c r="X97" s="1124"/>
      <c r="Y97" s="1125"/>
      <c r="Z97" s="1124"/>
      <c r="AA97" s="1125"/>
      <c r="AB97" s="1124"/>
      <c r="AC97" s="1125"/>
      <c r="AD97" s="1072">
        <v>102.59513888888888</v>
      </c>
      <c r="AE97" s="1080">
        <v>5.1365925417E19</v>
      </c>
      <c r="AF97" s="1072">
        <v>102.59513888888888</v>
      </c>
      <c r="AG97" s="1080">
        <v>5.1365925417E19</v>
      </c>
      <c r="AH97" s="1072">
        <v>102.59513888888888</v>
      </c>
      <c r="AI97" s="1080">
        <v>5.1365925417E19</v>
      </c>
      <c r="AJ97" s="1081">
        <v>44.390972222222224</v>
      </c>
      <c r="AK97" s="1082">
        <v>3740000.0</v>
      </c>
      <c r="AL97" s="1081">
        <v>44.390972222222224</v>
      </c>
      <c r="AM97" s="1082">
        <v>3740000.0</v>
      </c>
      <c r="AN97" s="1081">
        <v>44.390972222222224</v>
      </c>
      <c r="AO97" s="1082">
        <v>3740000.0</v>
      </c>
      <c r="AP97" s="1126"/>
      <c r="AQ97" s="1125"/>
      <c r="AR97" s="1081">
        <v>44.390972222222224</v>
      </c>
      <c r="AS97" s="1082">
        <v>3740000.0</v>
      </c>
      <c r="AT97" s="1126"/>
      <c r="AU97" s="1125"/>
      <c r="AV97" s="1126"/>
      <c r="AW97" s="1125"/>
      <c r="AX97" s="1124"/>
      <c r="AY97" s="1175"/>
      <c r="AZ97" s="1124"/>
      <c r="BA97" s="1124"/>
      <c r="BB97" s="1083">
        <v>44.390972222222224</v>
      </c>
      <c r="BC97" s="1084">
        <v>3740000.0</v>
      </c>
      <c r="BD97" s="1083">
        <v>44.390972222222224</v>
      </c>
      <c r="BE97" s="1084">
        <v>3740000.0</v>
      </c>
      <c r="BF97" s="1083">
        <v>44.390972222222224</v>
      </c>
      <c r="BG97" s="1084">
        <v>3740000.0</v>
      </c>
      <c r="BH97" s="1124"/>
      <c r="BI97" s="1125"/>
      <c r="BJ97" s="1124"/>
      <c r="BK97" s="1125"/>
      <c r="BL97" s="1124"/>
      <c r="BM97" s="1125"/>
      <c r="BN97" s="1124"/>
      <c r="BO97" s="1125"/>
      <c r="BP97" s="1124"/>
      <c r="BQ97" s="1125"/>
      <c r="BR97" s="1126"/>
      <c r="BS97" s="1125"/>
      <c r="BT97" s="1126"/>
      <c r="BU97" s="1126"/>
      <c r="BV97" s="1126"/>
      <c r="BW97" s="1126"/>
      <c r="BX97" s="1126"/>
      <c r="BY97" s="1126"/>
      <c r="BZ97" s="1126"/>
      <c r="CA97" s="1126"/>
      <c r="CB97" s="1126"/>
      <c r="CC97" s="1125"/>
      <c r="CD97" s="1126"/>
      <c r="CE97" s="1126"/>
      <c r="CF97" s="1133"/>
      <c r="CG97" s="1167"/>
      <c r="CH97" s="1088">
        <v>44.390972222222224</v>
      </c>
      <c r="CI97" s="1089">
        <v>3740000.0</v>
      </c>
      <c r="CJ97" s="1088">
        <v>44.390972222222224</v>
      </c>
      <c r="CK97" s="1089">
        <v>3740000.0</v>
      </c>
      <c r="CL97" s="1088">
        <v>44.390972222222224</v>
      </c>
      <c r="CM97" s="1089">
        <v>3740000.0</v>
      </c>
      <c r="CN97" s="1088">
        <v>44.390972222222224</v>
      </c>
      <c r="CO97" s="1089">
        <v>3740000.0</v>
      </c>
      <c r="CP97" s="1088">
        <v>109.86805555555556</v>
      </c>
      <c r="CQ97" s="1089">
        <v>1.701E7</v>
      </c>
      <c r="CR97" s="1124"/>
      <c r="CS97" s="1125"/>
      <c r="CT97" s="1126"/>
      <c r="CU97" s="1125"/>
      <c r="CV97" s="1126"/>
      <c r="CW97" s="1125"/>
      <c r="CX97" s="1126"/>
      <c r="CY97" s="1125"/>
      <c r="CZ97" s="1126"/>
      <c r="DA97" s="1126"/>
      <c r="DB97" s="1126"/>
      <c r="DC97" s="1126"/>
      <c r="DD97" s="1126"/>
      <c r="DE97" s="1125"/>
      <c r="DF97" s="1124"/>
      <c r="DG97" s="1125"/>
      <c r="DH97" s="1124"/>
      <c r="DI97" s="1125"/>
      <c r="DJ97" s="1124"/>
      <c r="DK97" s="1125"/>
      <c r="DL97" s="1124"/>
      <c r="DM97" s="1125"/>
      <c r="DN97" s="1124"/>
      <c r="DO97" s="1125"/>
      <c r="DP97" s="1124"/>
      <c r="DQ97" s="1125"/>
      <c r="DR97" s="1124"/>
      <c r="DS97" s="1125"/>
      <c r="DT97" s="1124"/>
      <c r="DU97" s="1125"/>
      <c r="DV97" s="1126"/>
      <c r="DW97" s="1125"/>
      <c r="DX97" s="1124"/>
      <c r="DY97" s="1125"/>
      <c r="DZ97" s="1124"/>
      <c r="EA97" s="1125"/>
      <c r="EB97" s="1124"/>
      <c r="EC97" s="1125"/>
      <c r="ED97" s="1124"/>
      <c r="EE97" s="1125"/>
      <c r="EF97" s="1124"/>
      <c r="EG97" s="1125"/>
      <c r="EH97" s="1124"/>
      <c r="EI97" s="1125"/>
      <c r="EJ97" s="1169"/>
      <c r="EK97" s="1167"/>
      <c r="EL97" s="1169"/>
      <c r="EM97" s="1167"/>
      <c r="EN97" s="1124"/>
      <c r="EO97" s="1125"/>
      <c r="EP97" s="1124"/>
      <c r="EQ97" s="1125"/>
      <c r="ER97" s="1124"/>
      <c r="ES97" s="1125"/>
      <c r="ET97" s="1124"/>
      <c r="EU97" s="1125"/>
      <c r="EV97" s="1124"/>
      <c r="EW97" s="1125"/>
      <c r="EX97" s="1124"/>
      <c r="EY97" s="1125"/>
      <c r="EZ97" s="1124"/>
      <c r="FA97" s="1125"/>
      <c r="FB97" s="1126"/>
      <c r="FC97" s="1125"/>
      <c r="FD97" s="1126"/>
      <c r="FE97" s="1125"/>
      <c r="FF97" s="1126"/>
      <c r="FG97" s="1125"/>
      <c r="FH97" s="1126"/>
      <c r="FI97" s="1126"/>
      <c r="FJ97" s="1126"/>
      <c r="FK97" s="1125"/>
      <c r="FL97" s="1124"/>
      <c r="FM97" s="1125"/>
      <c r="FN97" s="1139"/>
      <c r="FO97" s="1126"/>
      <c r="FP97" s="1139"/>
      <c r="FQ97" s="1126"/>
      <c r="FR97" s="1139"/>
      <c r="FS97" s="1126"/>
      <c r="FT97" s="1139"/>
      <c r="FU97" s="1125"/>
      <c r="FV97" s="1139"/>
      <c r="FW97" s="1125"/>
      <c r="FX97" s="1179"/>
      <c r="FY97" s="1167"/>
      <c r="FZ97" s="1179"/>
      <c r="GA97" s="1167"/>
      <c r="GB97" s="1179"/>
      <c r="GC97" s="1167"/>
      <c r="GD97" s="1133"/>
      <c r="GE97" s="1167"/>
      <c r="GF97" s="1124"/>
      <c r="GG97" s="1125"/>
      <c r="GH97" s="1124"/>
      <c r="GI97" s="1125"/>
      <c r="GJ97" s="1124"/>
      <c r="GK97" s="1125"/>
      <c r="GL97" s="1124"/>
      <c r="GM97" s="1125"/>
      <c r="GN97" s="1126"/>
      <c r="GO97" s="1125"/>
      <c r="GP97" s="1126"/>
      <c r="GQ97" s="1125"/>
      <c r="GR97" s="1124"/>
      <c r="GS97" s="1125"/>
      <c r="GT97" s="1124"/>
      <c r="GU97" s="1125"/>
      <c r="GV97" s="1126"/>
      <c r="GW97" s="1125"/>
      <c r="GX97" s="1168"/>
      <c r="GY97" s="1133"/>
      <c r="GZ97" s="1124"/>
      <c r="HA97" s="1125"/>
      <c r="HB97" s="1107">
        <v>6537.392361111111</v>
      </c>
      <c r="HC97" s="1108">
        <v>1.4678E14</v>
      </c>
      <c r="HD97" s="1124"/>
      <c r="HE97" s="1125"/>
      <c r="HF97" s="1124"/>
      <c r="HG97" s="1125"/>
      <c r="HH97" s="1124"/>
      <c r="HI97" s="1125"/>
      <c r="HJ97" s="1124"/>
      <c r="HK97" s="1125"/>
      <c r="HL97" s="1124"/>
      <c r="HM97" s="1125"/>
      <c r="HN97" s="1126"/>
      <c r="HO97" s="1125"/>
      <c r="HP97" s="1124"/>
      <c r="HQ97" s="1125"/>
      <c r="HR97" s="1124"/>
      <c r="HS97" s="1125"/>
      <c r="HT97" s="1124"/>
      <c r="HU97" s="1125"/>
      <c r="HV97" s="1124"/>
      <c r="HW97" s="1125"/>
      <c r="HX97" s="1124"/>
      <c r="HY97" s="1125"/>
      <c r="HZ97" s="1124"/>
      <c r="IA97" s="1125"/>
      <c r="IB97" s="1124"/>
      <c r="IC97" s="1125"/>
      <c r="ID97" s="1124"/>
      <c r="IE97" s="1125"/>
      <c r="IF97" s="1124"/>
      <c r="IG97" s="1125"/>
      <c r="IH97" s="1124"/>
      <c r="II97" s="1125"/>
      <c r="IJ97" s="1124"/>
      <c r="IK97" s="1125"/>
      <c r="IL97" s="1124"/>
      <c r="IM97" s="1125"/>
      <c r="IN97" s="1124"/>
      <c r="IO97" s="1125"/>
      <c r="IP97" s="1124"/>
      <c r="IQ97" s="1125"/>
      <c r="IR97" s="1124"/>
      <c r="IS97" s="1125"/>
      <c r="IT97" s="1124"/>
      <c r="IU97" s="1125"/>
      <c r="IV97" s="1124"/>
      <c r="IW97" s="1125"/>
      <c r="IX97" s="1124"/>
      <c r="IY97" s="1125"/>
      <c r="IZ97" s="1124"/>
      <c r="JA97" s="1125"/>
      <c r="JB97" s="1124"/>
      <c r="JC97" s="1125"/>
      <c r="JD97" s="1124"/>
      <c r="JE97" s="1125"/>
      <c r="JF97" s="1124"/>
      <c r="JG97" s="1125"/>
      <c r="JH97" s="1124"/>
      <c r="JI97" s="1125"/>
      <c r="JJ97" s="1169"/>
      <c r="JK97" s="1167"/>
      <c r="JL97" s="1169"/>
      <c r="JM97" s="1167"/>
      <c r="JN97" s="1169"/>
      <c r="JO97" s="1167"/>
      <c r="JP97" s="1169"/>
      <c r="JQ97" s="1167"/>
      <c r="JR97" s="1169"/>
      <c r="JS97" s="1167"/>
      <c r="JT97" s="1169"/>
      <c r="JU97" s="1167"/>
      <c r="JV97" s="1169"/>
      <c r="JW97" s="1167"/>
      <c r="JX97" s="1169"/>
      <c r="JY97" s="1133"/>
      <c r="JZ97" s="1173">
        <v>9.197696759</v>
      </c>
      <c r="KA97" s="1120">
        <v>4.2509E11</v>
      </c>
      <c r="KB97" s="1169"/>
      <c r="KC97" s="1133"/>
      <c r="KD97" s="1169"/>
      <c r="KE97" s="1133"/>
      <c r="KF97" s="1133"/>
      <c r="KG97" s="1133"/>
      <c r="KH97" s="1133"/>
      <c r="KI97" s="1133"/>
      <c r="KJ97" s="1133"/>
      <c r="KK97" s="1133"/>
      <c r="KL97" s="1133"/>
      <c r="KM97" s="1133"/>
      <c r="KN97" s="1133"/>
      <c r="KO97" s="1133"/>
      <c r="KP97" s="1133"/>
      <c r="KQ97" s="1133"/>
      <c r="KR97" s="1133"/>
      <c r="KS97" s="1133"/>
      <c r="KT97" s="1133"/>
      <c r="KU97" s="1133"/>
      <c r="KV97" s="1133"/>
      <c r="KW97" s="1133"/>
      <c r="KX97" s="1133"/>
      <c r="KY97" s="1133"/>
      <c r="KZ97" s="1133"/>
      <c r="LA97" s="1133"/>
      <c r="LB97" s="1133"/>
      <c r="LC97" s="1133"/>
      <c r="LD97" s="1133"/>
      <c r="LE97" s="1133"/>
      <c r="LF97" s="1133"/>
      <c r="LG97" s="1133"/>
      <c r="LH97" s="1133"/>
      <c r="LI97" s="1133"/>
      <c r="LJ97" s="1133"/>
      <c r="LK97" s="1133"/>
      <c r="LL97" s="1133"/>
      <c r="LM97" s="1133"/>
      <c r="LN97" s="1133"/>
      <c r="LO97" s="1133"/>
      <c r="LP97" s="1133"/>
      <c r="LQ97" s="1133"/>
      <c r="LR97" s="1133"/>
      <c r="LS97" s="1133"/>
      <c r="LT97" s="1133"/>
      <c r="LU97" s="1133"/>
      <c r="LV97" s="1133"/>
      <c r="LW97" s="1133"/>
      <c r="LX97" s="1133"/>
      <c r="LY97" s="1133"/>
      <c r="LZ97" s="1133"/>
      <c r="MA97" s="1133"/>
      <c r="MB97" s="1133"/>
      <c r="MC97" s="1133"/>
      <c r="MD97" s="1133"/>
      <c r="ME97" s="1133"/>
      <c r="MF97" s="1133"/>
      <c r="MG97" s="1133"/>
      <c r="MH97" s="1133"/>
      <c r="MI97" s="1133"/>
      <c r="MJ97" s="1133"/>
      <c r="MK97" s="1133"/>
      <c r="ML97" s="1133"/>
      <c r="MM97" s="1133"/>
      <c r="MN97" s="1133"/>
      <c r="MO97" s="1133"/>
      <c r="MP97" s="1133"/>
      <c r="MQ97" s="1133"/>
      <c r="MR97" s="1133"/>
      <c r="MS97" s="1133"/>
      <c r="MT97" s="1133"/>
      <c r="MU97" s="1133"/>
      <c r="MV97" s="1133"/>
      <c r="MW97" s="1133"/>
      <c r="MX97" s="1133"/>
      <c r="MY97" s="1133"/>
    </row>
    <row r="98">
      <c r="A98" s="1071">
        <v>96.0</v>
      </c>
      <c r="B98" s="1124"/>
      <c r="C98" s="1126"/>
      <c r="D98" s="1072">
        <v>45.52777777777778</v>
      </c>
      <c r="E98" s="1073">
        <v>3850000.0</v>
      </c>
      <c r="F98" s="1072">
        <v>45.52777777777778</v>
      </c>
      <c r="G98" s="1073">
        <v>3850000.0</v>
      </c>
      <c r="H98" s="1072">
        <v>45.52777777777778</v>
      </c>
      <c r="I98" s="1073">
        <v>3850000.0</v>
      </c>
      <c r="J98" s="1072">
        <v>45.52777777777778</v>
      </c>
      <c r="K98" s="1073">
        <v>3850000.0</v>
      </c>
      <c r="L98" s="1072">
        <v>90.04097222222222</v>
      </c>
      <c r="M98" s="1075">
        <v>1.257E7</v>
      </c>
      <c r="N98" s="1076">
        <v>31.04861111111111</v>
      </c>
      <c r="O98" s="1073">
        <v>1.758E7</v>
      </c>
      <c r="P98" s="1124"/>
      <c r="Q98" s="1125"/>
      <c r="R98" s="1124"/>
      <c r="S98" s="1125"/>
      <c r="T98" s="1124"/>
      <c r="U98" s="1125"/>
      <c r="V98" s="1124"/>
      <c r="W98" s="1125"/>
      <c r="X98" s="1124"/>
      <c r="Y98" s="1125"/>
      <c r="Z98" s="1124"/>
      <c r="AA98" s="1125"/>
      <c r="AB98" s="1124"/>
      <c r="AC98" s="1125"/>
      <c r="AD98" s="1072">
        <v>103.675</v>
      </c>
      <c r="AE98" s="1080">
        <v>6.6775703042E19</v>
      </c>
      <c r="AF98" s="1072">
        <v>103.675</v>
      </c>
      <c r="AG98" s="1080">
        <v>6.6775703042E19</v>
      </c>
      <c r="AH98" s="1072">
        <v>103.675</v>
      </c>
      <c r="AI98" s="1080">
        <v>6.6775703042E19</v>
      </c>
      <c r="AJ98" s="1081">
        <v>45.52777777777778</v>
      </c>
      <c r="AK98" s="1082">
        <v>3850000.0</v>
      </c>
      <c r="AL98" s="1081">
        <v>45.52777777777778</v>
      </c>
      <c r="AM98" s="1082">
        <v>3850000.0</v>
      </c>
      <c r="AN98" s="1081">
        <v>45.52777777777778</v>
      </c>
      <c r="AO98" s="1082">
        <v>3850000.0</v>
      </c>
      <c r="AP98" s="1126"/>
      <c r="AQ98" s="1125"/>
      <c r="AR98" s="1081">
        <v>45.52777777777778</v>
      </c>
      <c r="AS98" s="1082">
        <v>3850000.0</v>
      </c>
      <c r="AT98" s="1126"/>
      <c r="AU98" s="1125"/>
      <c r="AV98" s="1126"/>
      <c r="AW98" s="1125"/>
      <c r="AX98" s="1124"/>
      <c r="AY98" s="1175"/>
      <c r="AZ98" s="1124"/>
      <c r="BA98" s="1124"/>
      <c r="BB98" s="1083">
        <v>45.52777777777778</v>
      </c>
      <c r="BC98" s="1084">
        <v>3850000.0</v>
      </c>
      <c r="BD98" s="1083">
        <v>45.52777777777778</v>
      </c>
      <c r="BE98" s="1084">
        <v>3850000.0</v>
      </c>
      <c r="BF98" s="1083">
        <v>45.52777777777778</v>
      </c>
      <c r="BG98" s="1084">
        <v>3850000.0</v>
      </c>
      <c r="BH98" s="1124"/>
      <c r="BI98" s="1125"/>
      <c r="BJ98" s="1124"/>
      <c r="BK98" s="1125"/>
      <c r="BL98" s="1124"/>
      <c r="BM98" s="1125"/>
      <c r="BN98" s="1124"/>
      <c r="BO98" s="1125"/>
      <c r="BP98" s="1124"/>
      <c r="BQ98" s="1125"/>
      <c r="BR98" s="1126"/>
      <c r="BS98" s="1125"/>
      <c r="BT98" s="1126"/>
      <c r="BU98" s="1126"/>
      <c r="BV98" s="1126"/>
      <c r="BW98" s="1126"/>
      <c r="BX98" s="1126"/>
      <c r="BY98" s="1126"/>
      <c r="BZ98" s="1126"/>
      <c r="CA98" s="1126"/>
      <c r="CB98" s="1126"/>
      <c r="CC98" s="1125"/>
      <c r="CD98" s="1126"/>
      <c r="CE98" s="1126"/>
      <c r="CF98" s="1133"/>
      <c r="CG98" s="1167"/>
      <c r="CH98" s="1088">
        <v>45.52777777777778</v>
      </c>
      <c r="CI98" s="1089">
        <v>3850000.0</v>
      </c>
      <c r="CJ98" s="1088">
        <v>45.52777777777778</v>
      </c>
      <c r="CK98" s="1089">
        <v>3850000.0</v>
      </c>
      <c r="CL98" s="1088">
        <v>45.52777777777778</v>
      </c>
      <c r="CM98" s="1089">
        <v>3850000.0</v>
      </c>
      <c r="CN98" s="1088">
        <v>45.52777777777778</v>
      </c>
      <c r="CO98" s="1089">
        <v>3850000.0</v>
      </c>
      <c r="CP98" s="1088">
        <v>112.92361111111111</v>
      </c>
      <c r="CQ98" s="1089">
        <v>1.758E7</v>
      </c>
      <c r="CR98" s="1124"/>
      <c r="CS98" s="1125"/>
      <c r="CT98" s="1126"/>
      <c r="CU98" s="1125"/>
      <c r="CV98" s="1126"/>
      <c r="CW98" s="1125"/>
      <c r="CX98" s="1126"/>
      <c r="CY98" s="1125"/>
      <c r="CZ98" s="1126"/>
      <c r="DA98" s="1126"/>
      <c r="DB98" s="1126"/>
      <c r="DC98" s="1126"/>
      <c r="DD98" s="1126"/>
      <c r="DE98" s="1125"/>
      <c r="DF98" s="1124"/>
      <c r="DG98" s="1125"/>
      <c r="DH98" s="1124"/>
      <c r="DI98" s="1125"/>
      <c r="DJ98" s="1124"/>
      <c r="DK98" s="1125"/>
      <c r="DL98" s="1124"/>
      <c r="DM98" s="1125"/>
      <c r="DN98" s="1124"/>
      <c r="DO98" s="1125"/>
      <c r="DP98" s="1124"/>
      <c r="DQ98" s="1125"/>
      <c r="DR98" s="1124"/>
      <c r="DS98" s="1125"/>
      <c r="DT98" s="1124"/>
      <c r="DU98" s="1125"/>
      <c r="DV98" s="1126"/>
      <c r="DW98" s="1125"/>
      <c r="DX98" s="1124"/>
      <c r="DY98" s="1125"/>
      <c r="DZ98" s="1124"/>
      <c r="EA98" s="1125"/>
      <c r="EB98" s="1124"/>
      <c r="EC98" s="1125"/>
      <c r="ED98" s="1124"/>
      <c r="EE98" s="1125"/>
      <c r="EF98" s="1124"/>
      <c r="EG98" s="1125"/>
      <c r="EH98" s="1124"/>
      <c r="EI98" s="1125"/>
      <c r="EJ98" s="1169"/>
      <c r="EK98" s="1167"/>
      <c r="EL98" s="1169"/>
      <c r="EM98" s="1167"/>
      <c r="EN98" s="1124"/>
      <c r="EO98" s="1125"/>
      <c r="EP98" s="1124"/>
      <c r="EQ98" s="1125"/>
      <c r="ER98" s="1124"/>
      <c r="ES98" s="1125"/>
      <c r="ET98" s="1124"/>
      <c r="EU98" s="1125"/>
      <c r="EV98" s="1124"/>
      <c r="EW98" s="1125"/>
      <c r="EX98" s="1124"/>
      <c r="EY98" s="1125"/>
      <c r="EZ98" s="1124"/>
      <c r="FA98" s="1125"/>
      <c r="FB98" s="1126"/>
      <c r="FC98" s="1125"/>
      <c r="FD98" s="1126"/>
      <c r="FE98" s="1125"/>
      <c r="FF98" s="1126"/>
      <c r="FG98" s="1125"/>
      <c r="FH98" s="1126"/>
      <c r="FI98" s="1126"/>
      <c r="FJ98" s="1126"/>
      <c r="FK98" s="1125"/>
      <c r="FL98" s="1124"/>
      <c r="FM98" s="1125"/>
      <c r="FN98" s="1139"/>
      <c r="FO98" s="1126"/>
      <c r="FP98" s="1139"/>
      <c r="FQ98" s="1126"/>
      <c r="FR98" s="1139"/>
      <c r="FS98" s="1126"/>
      <c r="FT98" s="1139"/>
      <c r="FU98" s="1125"/>
      <c r="FV98" s="1139"/>
      <c r="FW98" s="1125"/>
      <c r="FX98" s="1179"/>
      <c r="FY98" s="1167"/>
      <c r="FZ98" s="1179"/>
      <c r="GA98" s="1167"/>
      <c r="GB98" s="1179"/>
      <c r="GC98" s="1167"/>
      <c r="GD98" s="1133"/>
      <c r="GE98" s="1167"/>
      <c r="GF98" s="1124"/>
      <c r="GG98" s="1125"/>
      <c r="GH98" s="1124"/>
      <c r="GI98" s="1125"/>
      <c r="GJ98" s="1124"/>
      <c r="GK98" s="1125"/>
      <c r="GL98" s="1124"/>
      <c r="GM98" s="1125"/>
      <c r="GN98" s="1126"/>
      <c r="GO98" s="1125"/>
      <c r="GP98" s="1126"/>
      <c r="GQ98" s="1125"/>
      <c r="GR98" s="1124"/>
      <c r="GS98" s="1125"/>
      <c r="GT98" s="1124"/>
      <c r="GU98" s="1125"/>
      <c r="GV98" s="1126"/>
      <c r="GW98" s="1125"/>
      <c r="GX98" s="1168"/>
      <c r="GY98" s="1133"/>
      <c r="GZ98" s="1124"/>
      <c r="HA98" s="1125"/>
      <c r="HB98" s="1107">
        <v>6783.704861111111</v>
      </c>
      <c r="HC98" s="1108">
        <v>1.5476E14</v>
      </c>
      <c r="HD98" s="1124"/>
      <c r="HE98" s="1125"/>
      <c r="HF98" s="1124"/>
      <c r="HG98" s="1125"/>
      <c r="HH98" s="1124"/>
      <c r="HI98" s="1125"/>
      <c r="HJ98" s="1124"/>
      <c r="HK98" s="1125"/>
      <c r="HL98" s="1124"/>
      <c r="HM98" s="1125"/>
      <c r="HN98" s="1126"/>
      <c r="HO98" s="1125"/>
      <c r="HP98" s="1124"/>
      <c r="HQ98" s="1125"/>
      <c r="HR98" s="1124"/>
      <c r="HS98" s="1125"/>
      <c r="HT98" s="1124"/>
      <c r="HU98" s="1125"/>
      <c r="HV98" s="1124"/>
      <c r="HW98" s="1125"/>
      <c r="HX98" s="1124"/>
      <c r="HY98" s="1125"/>
      <c r="HZ98" s="1124"/>
      <c r="IA98" s="1125"/>
      <c r="IB98" s="1124"/>
      <c r="IC98" s="1125"/>
      <c r="ID98" s="1124"/>
      <c r="IE98" s="1125"/>
      <c r="IF98" s="1124"/>
      <c r="IG98" s="1125"/>
      <c r="IH98" s="1124"/>
      <c r="II98" s="1125"/>
      <c r="IJ98" s="1124"/>
      <c r="IK98" s="1125"/>
      <c r="IL98" s="1124"/>
      <c r="IM98" s="1125"/>
      <c r="IN98" s="1124"/>
      <c r="IO98" s="1125"/>
      <c r="IP98" s="1124"/>
      <c r="IQ98" s="1125"/>
      <c r="IR98" s="1124"/>
      <c r="IS98" s="1125"/>
      <c r="IT98" s="1124"/>
      <c r="IU98" s="1125"/>
      <c r="IV98" s="1124"/>
      <c r="IW98" s="1125"/>
      <c r="IX98" s="1124"/>
      <c r="IY98" s="1125"/>
      <c r="IZ98" s="1124"/>
      <c r="JA98" s="1125"/>
      <c r="JB98" s="1124"/>
      <c r="JC98" s="1125"/>
      <c r="JD98" s="1124"/>
      <c r="JE98" s="1125"/>
      <c r="JF98" s="1124"/>
      <c r="JG98" s="1125"/>
      <c r="JH98" s="1124"/>
      <c r="JI98" s="1125"/>
      <c r="JJ98" s="1169"/>
      <c r="JK98" s="1167"/>
      <c r="JL98" s="1169"/>
      <c r="JM98" s="1167"/>
      <c r="JN98" s="1169"/>
      <c r="JO98" s="1167"/>
      <c r="JP98" s="1169"/>
      <c r="JQ98" s="1167"/>
      <c r="JR98" s="1169"/>
      <c r="JS98" s="1167"/>
      <c r="JT98" s="1169"/>
      <c r="JU98" s="1167"/>
      <c r="JV98" s="1169"/>
      <c r="JW98" s="1167"/>
      <c r="JX98" s="1169"/>
      <c r="JY98" s="1133"/>
      <c r="JZ98" s="1173">
        <v>9.324722222</v>
      </c>
      <c r="KA98" s="1120">
        <v>4.3741E11</v>
      </c>
      <c r="KB98" s="1169"/>
      <c r="KC98" s="1133"/>
      <c r="KD98" s="1169"/>
      <c r="KE98" s="1133"/>
      <c r="KF98" s="1133"/>
      <c r="KG98" s="1133"/>
      <c r="KH98" s="1133"/>
      <c r="KI98" s="1133"/>
      <c r="KJ98" s="1133"/>
      <c r="KK98" s="1133"/>
      <c r="KL98" s="1133"/>
      <c r="KM98" s="1133"/>
      <c r="KN98" s="1133"/>
      <c r="KO98" s="1133"/>
      <c r="KP98" s="1133"/>
      <c r="KQ98" s="1133"/>
      <c r="KR98" s="1133"/>
      <c r="KS98" s="1133"/>
      <c r="KT98" s="1133"/>
      <c r="KU98" s="1133"/>
      <c r="KV98" s="1133"/>
      <c r="KW98" s="1133"/>
      <c r="KX98" s="1133"/>
      <c r="KY98" s="1133"/>
      <c r="KZ98" s="1133"/>
      <c r="LA98" s="1133"/>
      <c r="LB98" s="1133"/>
      <c r="LC98" s="1133"/>
      <c r="LD98" s="1133"/>
      <c r="LE98" s="1133"/>
      <c r="LF98" s="1133"/>
      <c r="LG98" s="1133"/>
      <c r="LH98" s="1133"/>
      <c r="LI98" s="1133"/>
      <c r="LJ98" s="1133"/>
      <c r="LK98" s="1133"/>
      <c r="LL98" s="1133"/>
      <c r="LM98" s="1133"/>
      <c r="LN98" s="1133"/>
      <c r="LO98" s="1133"/>
      <c r="LP98" s="1133"/>
      <c r="LQ98" s="1133"/>
      <c r="LR98" s="1133"/>
      <c r="LS98" s="1133"/>
      <c r="LT98" s="1133"/>
      <c r="LU98" s="1133"/>
      <c r="LV98" s="1133"/>
      <c r="LW98" s="1133"/>
      <c r="LX98" s="1133"/>
      <c r="LY98" s="1133"/>
      <c r="LZ98" s="1133"/>
      <c r="MA98" s="1133"/>
      <c r="MB98" s="1133"/>
      <c r="MC98" s="1133"/>
      <c r="MD98" s="1133"/>
      <c r="ME98" s="1133"/>
      <c r="MF98" s="1133"/>
      <c r="MG98" s="1133"/>
      <c r="MH98" s="1133"/>
      <c r="MI98" s="1133"/>
      <c r="MJ98" s="1133"/>
      <c r="MK98" s="1133"/>
      <c r="ML98" s="1133"/>
      <c r="MM98" s="1133"/>
      <c r="MN98" s="1133"/>
      <c r="MO98" s="1133"/>
      <c r="MP98" s="1133"/>
      <c r="MQ98" s="1133"/>
      <c r="MR98" s="1133"/>
      <c r="MS98" s="1133"/>
      <c r="MT98" s="1133"/>
      <c r="MU98" s="1133"/>
      <c r="MV98" s="1133"/>
      <c r="MW98" s="1133"/>
      <c r="MX98" s="1133"/>
      <c r="MY98" s="1133"/>
    </row>
    <row r="99">
      <c r="A99" s="1071">
        <v>97.0</v>
      </c>
      <c r="B99" s="1124"/>
      <c r="C99" s="1126"/>
      <c r="D99" s="1072">
        <v>46.68194444444445</v>
      </c>
      <c r="E99" s="1073">
        <v>3960000.0</v>
      </c>
      <c r="F99" s="1072">
        <v>46.68194444444445</v>
      </c>
      <c r="G99" s="1073">
        <v>3960000.0</v>
      </c>
      <c r="H99" s="1072">
        <v>46.68194444444445</v>
      </c>
      <c r="I99" s="1073">
        <v>3960000.0</v>
      </c>
      <c r="J99" s="1072">
        <v>46.68194444444445</v>
      </c>
      <c r="K99" s="1073">
        <v>3960000.0</v>
      </c>
      <c r="L99" s="1072">
        <v>92.46805555555555</v>
      </c>
      <c r="M99" s="1075">
        <v>1.293E7</v>
      </c>
      <c r="N99" s="1076">
        <v>31.666666666666668</v>
      </c>
      <c r="O99" s="1073">
        <v>1.816E7</v>
      </c>
      <c r="P99" s="1124"/>
      <c r="Q99" s="1125"/>
      <c r="R99" s="1124"/>
      <c r="S99" s="1125"/>
      <c r="T99" s="1124"/>
      <c r="U99" s="1125"/>
      <c r="V99" s="1124"/>
      <c r="W99" s="1125"/>
      <c r="X99" s="1124"/>
      <c r="Y99" s="1125"/>
      <c r="Z99" s="1124"/>
      <c r="AA99" s="1125"/>
      <c r="AB99" s="1124"/>
      <c r="AC99" s="1125"/>
      <c r="AD99" s="1072">
        <v>104.75486111111111</v>
      </c>
      <c r="AE99" s="1080">
        <v>8.6808413955E19</v>
      </c>
      <c r="AF99" s="1072">
        <v>104.75486111111111</v>
      </c>
      <c r="AG99" s="1080">
        <v>8.6808413955E19</v>
      </c>
      <c r="AH99" s="1072">
        <v>104.75486111111111</v>
      </c>
      <c r="AI99" s="1080">
        <v>8.6808413955E19</v>
      </c>
      <c r="AJ99" s="1081">
        <v>46.68194444444445</v>
      </c>
      <c r="AK99" s="1082">
        <v>3960000.0</v>
      </c>
      <c r="AL99" s="1081">
        <v>46.68194444444445</v>
      </c>
      <c r="AM99" s="1082">
        <v>3960000.0</v>
      </c>
      <c r="AN99" s="1081">
        <v>46.68194444444445</v>
      </c>
      <c r="AO99" s="1082">
        <v>3960000.0</v>
      </c>
      <c r="AP99" s="1126"/>
      <c r="AQ99" s="1125"/>
      <c r="AR99" s="1081">
        <v>46.68194444444445</v>
      </c>
      <c r="AS99" s="1082">
        <v>3960000.0</v>
      </c>
      <c r="AT99" s="1126"/>
      <c r="AU99" s="1125"/>
      <c r="AV99" s="1126"/>
      <c r="AW99" s="1125"/>
      <c r="AX99" s="1124"/>
      <c r="AY99" s="1175"/>
      <c r="AZ99" s="1124"/>
      <c r="BA99" s="1124"/>
      <c r="BB99" s="1083">
        <v>46.68194444444445</v>
      </c>
      <c r="BC99" s="1084">
        <v>3960000.0</v>
      </c>
      <c r="BD99" s="1083">
        <v>46.68194444444445</v>
      </c>
      <c r="BE99" s="1084">
        <v>3960000.0</v>
      </c>
      <c r="BF99" s="1083">
        <v>46.68194444444445</v>
      </c>
      <c r="BG99" s="1084">
        <v>3960000.0</v>
      </c>
      <c r="BH99" s="1124"/>
      <c r="BI99" s="1125"/>
      <c r="BJ99" s="1124"/>
      <c r="BK99" s="1125"/>
      <c r="BL99" s="1124"/>
      <c r="BM99" s="1125"/>
      <c r="BN99" s="1124"/>
      <c r="BO99" s="1125"/>
      <c r="BP99" s="1124"/>
      <c r="BQ99" s="1125"/>
      <c r="BR99" s="1126"/>
      <c r="BS99" s="1125"/>
      <c r="BT99" s="1126"/>
      <c r="BU99" s="1126"/>
      <c r="BV99" s="1126"/>
      <c r="BW99" s="1126"/>
      <c r="BX99" s="1126"/>
      <c r="BY99" s="1126"/>
      <c r="BZ99" s="1126"/>
      <c r="CA99" s="1126"/>
      <c r="CB99" s="1126"/>
      <c r="CC99" s="1125"/>
      <c r="CD99" s="1126"/>
      <c r="CE99" s="1126"/>
      <c r="CF99" s="1133"/>
      <c r="CG99" s="1167"/>
      <c r="CH99" s="1088">
        <v>46.68194444444445</v>
      </c>
      <c r="CI99" s="1089">
        <v>3960000.0</v>
      </c>
      <c r="CJ99" s="1088">
        <v>46.68194444444445</v>
      </c>
      <c r="CK99" s="1089">
        <v>3960000.0</v>
      </c>
      <c r="CL99" s="1088">
        <v>46.68194444444445</v>
      </c>
      <c r="CM99" s="1089">
        <v>3960000.0</v>
      </c>
      <c r="CN99" s="1088">
        <v>46.68194444444445</v>
      </c>
      <c r="CO99" s="1089">
        <v>3960000.0</v>
      </c>
      <c r="CP99" s="1088">
        <v>116.03055555555555</v>
      </c>
      <c r="CQ99" s="1089">
        <v>1.816E7</v>
      </c>
      <c r="CR99" s="1124"/>
      <c r="CS99" s="1125"/>
      <c r="CT99" s="1126"/>
      <c r="CU99" s="1125"/>
      <c r="CV99" s="1126"/>
      <c r="CW99" s="1125"/>
      <c r="CX99" s="1126"/>
      <c r="CY99" s="1125"/>
      <c r="CZ99" s="1126"/>
      <c r="DA99" s="1126"/>
      <c r="DB99" s="1126"/>
      <c r="DC99" s="1126"/>
      <c r="DD99" s="1126"/>
      <c r="DE99" s="1125"/>
      <c r="DF99" s="1124"/>
      <c r="DG99" s="1125"/>
      <c r="DH99" s="1124"/>
      <c r="DI99" s="1125"/>
      <c r="DJ99" s="1124"/>
      <c r="DK99" s="1125"/>
      <c r="DL99" s="1124"/>
      <c r="DM99" s="1125"/>
      <c r="DN99" s="1124"/>
      <c r="DO99" s="1125"/>
      <c r="DP99" s="1124"/>
      <c r="DQ99" s="1125"/>
      <c r="DR99" s="1124"/>
      <c r="DS99" s="1125"/>
      <c r="DT99" s="1124"/>
      <c r="DU99" s="1125"/>
      <c r="DV99" s="1126"/>
      <c r="DW99" s="1125"/>
      <c r="DX99" s="1124"/>
      <c r="DY99" s="1125"/>
      <c r="DZ99" s="1124"/>
      <c r="EA99" s="1125"/>
      <c r="EB99" s="1124"/>
      <c r="EC99" s="1125"/>
      <c r="ED99" s="1124"/>
      <c r="EE99" s="1125"/>
      <c r="EF99" s="1124"/>
      <c r="EG99" s="1125"/>
      <c r="EH99" s="1124"/>
      <c r="EI99" s="1125"/>
      <c r="EJ99" s="1169"/>
      <c r="EK99" s="1167"/>
      <c r="EL99" s="1169"/>
      <c r="EM99" s="1167"/>
      <c r="EN99" s="1124"/>
      <c r="EO99" s="1125"/>
      <c r="EP99" s="1124"/>
      <c r="EQ99" s="1125"/>
      <c r="ER99" s="1124"/>
      <c r="ES99" s="1125"/>
      <c r="ET99" s="1124"/>
      <c r="EU99" s="1125"/>
      <c r="EV99" s="1124"/>
      <c r="EW99" s="1125"/>
      <c r="EX99" s="1124"/>
      <c r="EY99" s="1125"/>
      <c r="EZ99" s="1124"/>
      <c r="FA99" s="1125"/>
      <c r="FB99" s="1126"/>
      <c r="FC99" s="1125"/>
      <c r="FD99" s="1126"/>
      <c r="FE99" s="1125"/>
      <c r="FF99" s="1126"/>
      <c r="FG99" s="1125"/>
      <c r="FH99" s="1126"/>
      <c r="FI99" s="1126"/>
      <c r="FJ99" s="1126"/>
      <c r="FK99" s="1125"/>
      <c r="FL99" s="1124"/>
      <c r="FM99" s="1125"/>
      <c r="FN99" s="1139"/>
      <c r="FO99" s="1126"/>
      <c r="FP99" s="1139"/>
      <c r="FQ99" s="1126"/>
      <c r="FR99" s="1139"/>
      <c r="FS99" s="1126"/>
      <c r="FT99" s="1139"/>
      <c r="FU99" s="1125"/>
      <c r="FV99" s="1139"/>
      <c r="FW99" s="1125"/>
      <c r="FX99" s="1179"/>
      <c r="FY99" s="1167"/>
      <c r="FZ99" s="1179"/>
      <c r="GA99" s="1167"/>
      <c r="GB99" s="1179"/>
      <c r="GC99" s="1167"/>
      <c r="GD99" s="1133"/>
      <c r="GE99" s="1167"/>
      <c r="GF99" s="1124"/>
      <c r="GG99" s="1125"/>
      <c r="GH99" s="1124"/>
      <c r="GI99" s="1125"/>
      <c r="GJ99" s="1124"/>
      <c r="GK99" s="1125"/>
      <c r="GL99" s="1124"/>
      <c r="GM99" s="1125"/>
      <c r="GN99" s="1126"/>
      <c r="GO99" s="1125"/>
      <c r="GP99" s="1126"/>
      <c r="GQ99" s="1125"/>
      <c r="GR99" s="1124"/>
      <c r="GS99" s="1125"/>
      <c r="GT99" s="1124"/>
      <c r="GU99" s="1125"/>
      <c r="GV99" s="1126"/>
      <c r="GW99" s="1125"/>
      <c r="GX99" s="1168"/>
      <c r="GY99" s="1133"/>
      <c r="GZ99" s="1124"/>
      <c r="HA99" s="1125"/>
      <c r="HB99" s="1107">
        <v>7036.579861111111</v>
      </c>
      <c r="HC99" s="1108">
        <v>1.6307E14</v>
      </c>
      <c r="HD99" s="1124"/>
      <c r="HE99" s="1125"/>
      <c r="HF99" s="1124"/>
      <c r="HG99" s="1125"/>
      <c r="HH99" s="1124"/>
      <c r="HI99" s="1125"/>
      <c r="HJ99" s="1124"/>
      <c r="HK99" s="1125"/>
      <c r="HL99" s="1124"/>
      <c r="HM99" s="1125"/>
      <c r="HN99" s="1126"/>
      <c r="HO99" s="1125"/>
      <c r="HP99" s="1124"/>
      <c r="HQ99" s="1125"/>
      <c r="HR99" s="1124"/>
      <c r="HS99" s="1125"/>
      <c r="HT99" s="1124"/>
      <c r="HU99" s="1125"/>
      <c r="HV99" s="1124"/>
      <c r="HW99" s="1125"/>
      <c r="HX99" s="1124"/>
      <c r="HY99" s="1125"/>
      <c r="HZ99" s="1124"/>
      <c r="IA99" s="1125"/>
      <c r="IB99" s="1124"/>
      <c r="IC99" s="1125"/>
      <c r="ID99" s="1124"/>
      <c r="IE99" s="1125"/>
      <c r="IF99" s="1124"/>
      <c r="IG99" s="1125"/>
      <c r="IH99" s="1124"/>
      <c r="II99" s="1125"/>
      <c r="IJ99" s="1124"/>
      <c r="IK99" s="1125"/>
      <c r="IL99" s="1124"/>
      <c r="IM99" s="1125"/>
      <c r="IN99" s="1124"/>
      <c r="IO99" s="1125"/>
      <c r="IP99" s="1124"/>
      <c r="IQ99" s="1125"/>
      <c r="IR99" s="1124"/>
      <c r="IS99" s="1125"/>
      <c r="IT99" s="1124"/>
      <c r="IU99" s="1125"/>
      <c r="IV99" s="1124"/>
      <c r="IW99" s="1125"/>
      <c r="IX99" s="1124"/>
      <c r="IY99" s="1125"/>
      <c r="IZ99" s="1124"/>
      <c r="JA99" s="1125"/>
      <c r="JB99" s="1124"/>
      <c r="JC99" s="1125"/>
      <c r="JD99" s="1124"/>
      <c r="JE99" s="1125"/>
      <c r="JF99" s="1124"/>
      <c r="JG99" s="1125"/>
      <c r="JH99" s="1124"/>
      <c r="JI99" s="1125"/>
      <c r="JJ99" s="1169"/>
      <c r="JK99" s="1167"/>
      <c r="JL99" s="1169"/>
      <c r="JM99" s="1167"/>
      <c r="JN99" s="1169"/>
      <c r="JO99" s="1167"/>
      <c r="JP99" s="1169"/>
      <c r="JQ99" s="1167"/>
      <c r="JR99" s="1169"/>
      <c r="JS99" s="1167"/>
      <c r="JT99" s="1169"/>
      <c r="JU99" s="1167"/>
      <c r="JV99" s="1169"/>
      <c r="JW99" s="1167"/>
      <c r="JX99" s="1169"/>
      <c r="JY99" s="1133"/>
      <c r="JZ99" s="1173">
        <v>9.452638889</v>
      </c>
      <c r="KA99" s="1120">
        <v>4.4995E11</v>
      </c>
      <c r="KB99" s="1169"/>
      <c r="KC99" s="1133"/>
      <c r="KD99" s="1169"/>
      <c r="KE99" s="1133"/>
      <c r="KF99" s="1133"/>
      <c r="KG99" s="1133"/>
      <c r="KH99" s="1133"/>
      <c r="KI99" s="1133"/>
      <c r="KJ99" s="1133"/>
      <c r="KK99" s="1133"/>
      <c r="KL99" s="1133"/>
      <c r="KM99" s="1133"/>
      <c r="KN99" s="1133"/>
      <c r="KO99" s="1133"/>
      <c r="KP99" s="1133"/>
      <c r="KQ99" s="1133"/>
      <c r="KR99" s="1133"/>
      <c r="KS99" s="1133"/>
      <c r="KT99" s="1133"/>
      <c r="KU99" s="1133"/>
      <c r="KV99" s="1133"/>
      <c r="KW99" s="1133"/>
      <c r="KX99" s="1133"/>
      <c r="KY99" s="1133"/>
      <c r="KZ99" s="1133"/>
      <c r="LA99" s="1133"/>
      <c r="LB99" s="1133"/>
      <c r="LC99" s="1133"/>
      <c r="LD99" s="1133"/>
      <c r="LE99" s="1133"/>
      <c r="LF99" s="1133"/>
      <c r="LG99" s="1133"/>
      <c r="LH99" s="1133"/>
      <c r="LI99" s="1133"/>
      <c r="LJ99" s="1133"/>
      <c r="LK99" s="1133"/>
      <c r="LL99" s="1133"/>
      <c r="LM99" s="1133"/>
      <c r="LN99" s="1133"/>
      <c r="LO99" s="1133"/>
      <c r="LP99" s="1133"/>
      <c r="LQ99" s="1133"/>
      <c r="LR99" s="1133"/>
      <c r="LS99" s="1133"/>
      <c r="LT99" s="1133"/>
      <c r="LU99" s="1133"/>
      <c r="LV99" s="1133"/>
      <c r="LW99" s="1133"/>
      <c r="LX99" s="1133"/>
      <c r="LY99" s="1133"/>
      <c r="LZ99" s="1133"/>
      <c r="MA99" s="1133"/>
      <c r="MB99" s="1133"/>
      <c r="MC99" s="1133"/>
      <c r="MD99" s="1133"/>
      <c r="ME99" s="1133"/>
      <c r="MF99" s="1133"/>
      <c r="MG99" s="1133"/>
      <c r="MH99" s="1133"/>
      <c r="MI99" s="1133"/>
      <c r="MJ99" s="1133"/>
      <c r="MK99" s="1133"/>
      <c r="ML99" s="1133"/>
      <c r="MM99" s="1133"/>
      <c r="MN99" s="1133"/>
      <c r="MO99" s="1133"/>
      <c r="MP99" s="1133"/>
      <c r="MQ99" s="1133"/>
      <c r="MR99" s="1133"/>
      <c r="MS99" s="1133"/>
      <c r="MT99" s="1133"/>
      <c r="MU99" s="1133"/>
      <c r="MV99" s="1133"/>
      <c r="MW99" s="1133"/>
      <c r="MX99" s="1133"/>
      <c r="MY99" s="1133"/>
    </row>
    <row r="100">
      <c r="A100" s="1071">
        <v>98.0</v>
      </c>
      <c r="B100" s="1124"/>
      <c r="C100" s="1126"/>
      <c r="D100" s="1072">
        <v>47.85208333333333</v>
      </c>
      <c r="E100" s="1073">
        <v>4070000.0</v>
      </c>
      <c r="F100" s="1072">
        <v>47.85208333333333</v>
      </c>
      <c r="G100" s="1073">
        <v>4070000.0</v>
      </c>
      <c r="H100" s="1072">
        <v>47.85208333333333</v>
      </c>
      <c r="I100" s="1073">
        <v>4070000.0</v>
      </c>
      <c r="J100" s="1072">
        <v>47.85208333333333</v>
      </c>
      <c r="K100" s="1073">
        <v>4070000.0</v>
      </c>
      <c r="L100" s="1072">
        <v>94.93541666666667</v>
      </c>
      <c r="M100" s="1075">
        <v>1.329E7</v>
      </c>
      <c r="N100" s="1076">
        <v>32.29097222222222</v>
      </c>
      <c r="O100" s="1073">
        <v>1.875E7</v>
      </c>
      <c r="P100" s="1124"/>
      <c r="Q100" s="1125"/>
      <c r="R100" s="1124"/>
      <c r="S100" s="1125"/>
      <c r="T100" s="1124"/>
      <c r="U100" s="1125"/>
      <c r="V100" s="1124"/>
      <c r="W100" s="1125"/>
      <c r="X100" s="1124"/>
      <c r="Y100" s="1125"/>
      <c r="Z100" s="1124"/>
      <c r="AA100" s="1125"/>
      <c r="AB100" s="1124"/>
      <c r="AC100" s="1125"/>
      <c r="AD100" s="1072">
        <v>105.83472222222223</v>
      </c>
      <c r="AE100" s="1080">
        <v>1.12850938141E20</v>
      </c>
      <c r="AF100" s="1072">
        <v>105.83472222222223</v>
      </c>
      <c r="AG100" s="1080">
        <v>1.12850938141E20</v>
      </c>
      <c r="AH100" s="1072">
        <v>105.83472222222223</v>
      </c>
      <c r="AI100" s="1080">
        <v>1.12850938141E20</v>
      </c>
      <c r="AJ100" s="1081">
        <v>47.85208333333333</v>
      </c>
      <c r="AK100" s="1082">
        <v>4070000.0</v>
      </c>
      <c r="AL100" s="1081">
        <v>47.85208333333333</v>
      </c>
      <c r="AM100" s="1082">
        <v>4070000.0</v>
      </c>
      <c r="AN100" s="1081">
        <v>47.85208333333333</v>
      </c>
      <c r="AO100" s="1082">
        <v>4070000.0</v>
      </c>
      <c r="AP100" s="1126"/>
      <c r="AQ100" s="1125"/>
      <c r="AR100" s="1081">
        <v>47.85208333333333</v>
      </c>
      <c r="AS100" s="1082">
        <v>4070000.0</v>
      </c>
      <c r="AT100" s="1126"/>
      <c r="AU100" s="1125"/>
      <c r="AV100" s="1126"/>
      <c r="AW100" s="1125"/>
      <c r="AX100" s="1124"/>
      <c r="AY100" s="1175"/>
      <c r="AZ100" s="1124"/>
      <c r="BA100" s="1124"/>
      <c r="BB100" s="1083">
        <v>47.85208333333333</v>
      </c>
      <c r="BC100" s="1084">
        <v>4070000.0</v>
      </c>
      <c r="BD100" s="1083">
        <v>47.85208333333333</v>
      </c>
      <c r="BE100" s="1084">
        <v>4070000.0</v>
      </c>
      <c r="BF100" s="1083">
        <v>47.85208333333333</v>
      </c>
      <c r="BG100" s="1084">
        <v>4070000.0</v>
      </c>
      <c r="BH100" s="1124"/>
      <c r="BI100" s="1125"/>
      <c r="BJ100" s="1124"/>
      <c r="BK100" s="1125"/>
      <c r="BL100" s="1124"/>
      <c r="BM100" s="1125"/>
      <c r="BN100" s="1124"/>
      <c r="BO100" s="1125"/>
      <c r="BP100" s="1124"/>
      <c r="BQ100" s="1125"/>
      <c r="BR100" s="1126"/>
      <c r="BS100" s="1125"/>
      <c r="BT100" s="1126"/>
      <c r="BU100" s="1126"/>
      <c r="BV100" s="1126"/>
      <c r="BW100" s="1126"/>
      <c r="BX100" s="1126"/>
      <c r="BY100" s="1126"/>
      <c r="BZ100" s="1126"/>
      <c r="CA100" s="1126"/>
      <c r="CB100" s="1126"/>
      <c r="CC100" s="1125"/>
      <c r="CD100" s="1126"/>
      <c r="CE100" s="1126"/>
      <c r="CF100" s="1133"/>
      <c r="CG100" s="1167"/>
      <c r="CH100" s="1088">
        <v>47.85208333333333</v>
      </c>
      <c r="CI100" s="1089">
        <v>4070000.0</v>
      </c>
      <c r="CJ100" s="1088">
        <v>47.85208333333333</v>
      </c>
      <c r="CK100" s="1089">
        <v>4070000.0</v>
      </c>
      <c r="CL100" s="1088">
        <v>47.85208333333333</v>
      </c>
      <c r="CM100" s="1089">
        <v>4070000.0</v>
      </c>
      <c r="CN100" s="1088">
        <v>47.85208333333333</v>
      </c>
      <c r="CO100" s="1089">
        <v>4070000.0</v>
      </c>
      <c r="CP100" s="1088">
        <v>119.19027777777778</v>
      </c>
      <c r="CQ100" s="1089">
        <v>1.875E7</v>
      </c>
      <c r="CR100" s="1124"/>
      <c r="CS100" s="1125"/>
      <c r="CT100" s="1126"/>
      <c r="CU100" s="1125"/>
      <c r="CV100" s="1126"/>
      <c r="CW100" s="1125"/>
      <c r="CX100" s="1126"/>
      <c r="CY100" s="1125"/>
      <c r="CZ100" s="1126"/>
      <c r="DA100" s="1126"/>
      <c r="DB100" s="1126"/>
      <c r="DC100" s="1126"/>
      <c r="DD100" s="1126"/>
      <c r="DE100" s="1125"/>
      <c r="DF100" s="1124"/>
      <c r="DG100" s="1125"/>
      <c r="DH100" s="1124"/>
      <c r="DI100" s="1125"/>
      <c r="DJ100" s="1124"/>
      <c r="DK100" s="1125"/>
      <c r="DL100" s="1124"/>
      <c r="DM100" s="1125"/>
      <c r="DN100" s="1124"/>
      <c r="DO100" s="1125"/>
      <c r="DP100" s="1124"/>
      <c r="DQ100" s="1125"/>
      <c r="DR100" s="1124"/>
      <c r="DS100" s="1125"/>
      <c r="DT100" s="1124"/>
      <c r="DU100" s="1125"/>
      <c r="DV100" s="1126"/>
      <c r="DW100" s="1125"/>
      <c r="DX100" s="1124"/>
      <c r="DY100" s="1125"/>
      <c r="DZ100" s="1124"/>
      <c r="EA100" s="1125"/>
      <c r="EB100" s="1124"/>
      <c r="EC100" s="1125"/>
      <c r="ED100" s="1124"/>
      <c r="EE100" s="1125"/>
      <c r="EF100" s="1124"/>
      <c r="EG100" s="1125"/>
      <c r="EH100" s="1124"/>
      <c r="EI100" s="1125"/>
      <c r="EJ100" s="1169"/>
      <c r="EK100" s="1167"/>
      <c r="EL100" s="1169"/>
      <c r="EM100" s="1167"/>
      <c r="EN100" s="1124"/>
      <c r="EO100" s="1125"/>
      <c r="EP100" s="1124"/>
      <c r="EQ100" s="1125"/>
      <c r="ER100" s="1124"/>
      <c r="ES100" s="1125"/>
      <c r="ET100" s="1124"/>
      <c r="EU100" s="1125"/>
      <c r="EV100" s="1124"/>
      <c r="EW100" s="1125"/>
      <c r="EX100" s="1124"/>
      <c r="EY100" s="1125"/>
      <c r="EZ100" s="1124"/>
      <c r="FA100" s="1125"/>
      <c r="FB100" s="1126"/>
      <c r="FC100" s="1125"/>
      <c r="FD100" s="1126"/>
      <c r="FE100" s="1125"/>
      <c r="FF100" s="1126"/>
      <c r="FG100" s="1125"/>
      <c r="FH100" s="1126"/>
      <c r="FI100" s="1126"/>
      <c r="FJ100" s="1126"/>
      <c r="FK100" s="1125"/>
      <c r="FL100" s="1124"/>
      <c r="FM100" s="1125"/>
      <c r="FN100" s="1139"/>
      <c r="FO100" s="1126"/>
      <c r="FP100" s="1139"/>
      <c r="FQ100" s="1126"/>
      <c r="FR100" s="1139"/>
      <c r="FS100" s="1126"/>
      <c r="FT100" s="1139"/>
      <c r="FU100" s="1125"/>
      <c r="FV100" s="1139"/>
      <c r="FW100" s="1125"/>
      <c r="FX100" s="1179"/>
      <c r="FY100" s="1167"/>
      <c r="FZ100" s="1179"/>
      <c r="GA100" s="1167"/>
      <c r="GB100" s="1179"/>
      <c r="GC100" s="1167"/>
      <c r="GD100" s="1133"/>
      <c r="GE100" s="1167"/>
      <c r="GF100" s="1124"/>
      <c r="GG100" s="1125"/>
      <c r="GH100" s="1124"/>
      <c r="GI100" s="1125"/>
      <c r="GJ100" s="1124"/>
      <c r="GK100" s="1125"/>
      <c r="GL100" s="1124"/>
      <c r="GM100" s="1125"/>
      <c r="GN100" s="1126"/>
      <c r="GO100" s="1125"/>
      <c r="GP100" s="1126"/>
      <c r="GQ100" s="1125"/>
      <c r="GR100" s="1124"/>
      <c r="GS100" s="1125"/>
      <c r="GT100" s="1124"/>
      <c r="GU100" s="1125"/>
      <c r="GV100" s="1126"/>
      <c r="GW100" s="1125"/>
      <c r="GX100" s="1168"/>
      <c r="GY100" s="1133"/>
      <c r="GZ100" s="1124"/>
      <c r="HA100" s="1125"/>
      <c r="HB100" s="1107">
        <v>7296.124305555555</v>
      </c>
      <c r="HC100" s="1108">
        <v>1.7175E14</v>
      </c>
      <c r="HD100" s="1124"/>
      <c r="HE100" s="1125"/>
      <c r="HF100" s="1124"/>
      <c r="HG100" s="1125"/>
      <c r="HH100" s="1124"/>
      <c r="HI100" s="1125"/>
      <c r="HJ100" s="1124"/>
      <c r="HK100" s="1125"/>
      <c r="HL100" s="1124"/>
      <c r="HM100" s="1125"/>
      <c r="HN100" s="1126"/>
      <c r="HO100" s="1125"/>
      <c r="HP100" s="1124"/>
      <c r="HQ100" s="1125"/>
      <c r="HR100" s="1124"/>
      <c r="HS100" s="1125"/>
      <c r="HT100" s="1124"/>
      <c r="HU100" s="1125"/>
      <c r="HV100" s="1124"/>
      <c r="HW100" s="1125"/>
      <c r="HX100" s="1124"/>
      <c r="HY100" s="1125"/>
      <c r="HZ100" s="1124"/>
      <c r="IA100" s="1125"/>
      <c r="IB100" s="1124"/>
      <c r="IC100" s="1125"/>
      <c r="ID100" s="1124"/>
      <c r="IE100" s="1125"/>
      <c r="IF100" s="1124"/>
      <c r="IG100" s="1125"/>
      <c r="IH100" s="1124"/>
      <c r="II100" s="1125"/>
      <c r="IJ100" s="1124"/>
      <c r="IK100" s="1125"/>
      <c r="IL100" s="1124"/>
      <c r="IM100" s="1125"/>
      <c r="IN100" s="1124"/>
      <c r="IO100" s="1125"/>
      <c r="IP100" s="1124"/>
      <c r="IQ100" s="1125"/>
      <c r="IR100" s="1124"/>
      <c r="IS100" s="1125"/>
      <c r="IT100" s="1124"/>
      <c r="IU100" s="1125"/>
      <c r="IV100" s="1124"/>
      <c r="IW100" s="1125"/>
      <c r="IX100" s="1124"/>
      <c r="IY100" s="1125"/>
      <c r="IZ100" s="1124"/>
      <c r="JA100" s="1125"/>
      <c r="JB100" s="1124"/>
      <c r="JC100" s="1125"/>
      <c r="JD100" s="1124"/>
      <c r="JE100" s="1125"/>
      <c r="JF100" s="1124"/>
      <c r="JG100" s="1125"/>
      <c r="JH100" s="1124"/>
      <c r="JI100" s="1125"/>
      <c r="JJ100" s="1169"/>
      <c r="JK100" s="1167"/>
      <c r="JL100" s="1169"/>
      <c r="JM100" s="1167"/>
      <c r="JN100" s="1169"/>
      <c r="JO100" s="1167"/>
      <c r="JP100" s="1169"/>
      <c r="JQ100" s="1167"/>
      <c r="JR100" s="1169"/>
      <c r="JS100" s="1167"/>
      <c r="JT100" s="1169"/>
      <c r="JU100" s="1167"/>
      <c r="JV100" s="1169"/>
      <c r="JW100" s="1167"/>
      <c r="JX100" s="1169"/>
      <c r="JY100" s="1133"/>
      <c r="JZ100" s="1173">
        <v>9.581423611</v>
      </c>
      <c r="KA100" s="1120">
        <v>4.6272E11</v>
      </c>
      <c r="KB100" s="1169"/>
      <c r="KC100" s="1133"/>
      <c r="KD100" s="1169"/>
      <c r="KE100" s="1133"/>
      <c r="KF100" s="1133"/>
      <c r="KG100" s="1133"/>
      <c r="KH100" s="1133"/>
      <c r="KI100" s="1133"/>
      <c r="KJ100" s="1133"/>
      <c r="KK100" s="1133"/>
      <c r="KL100" s="1133"/>
      <c r="KM100" s="1133"/>
      <c r="KN100" s="1133"/>
      <c r="KO100" s="1133"/>
      <c r="KP100" s="1133"/>
      <c r="KQ100" s="1133"/>
      <c r="KR100" s="1133"/>
      <c r="KS100" s="1133"/>
      <c r="KT100" s="1133"/>
      <c r="KU100" s="1133"/>
      <c r="KV100" s="1133"/>
      <c r="KW100" s="1133"/>
      <c r="KX100" s="1133"/>
      <c r="KY100" s="1133"/>
      <c r="KZ100" s="1133"/>
      <c r="LA100" s="1133"/>
      <c r="LB100" s="1133"/>
      <c r="LC100" s="1133"/>
      <c r="LD100" s="1133"/>
      <c r="LE100" s="1133"/>
      <c r="LF100" s="1133"/>
      <c r="LG100" s="1133"/>
      <c r="LH100" s="1133"/>
      <c r="LI100" s="1133"/>
      <c r="LJ100" s="1133"/>
      <c r="LK100" s="1133"/>
      <c r="LL100" s="1133"/>
      <c r="LM100" s="1133"/>
      <c r="LN100" s="1133"/>
      <c r="LO100" s="1133"/>
      <c r="LP100" s="1133"/>
      <c r="LQ100" s="1133"/>
      <c r="LR100" s="1133"/>
      <c r="LS100" s="1133"/>
      <c r="LT100" s="1133"/>
      <c r="LU100" s="1133"/>
      <c r="LV100" s="1133"/>
      <c r="LW100" s="1133"/>
      <c r="LX100" s="1133"/>
      <c r="LY100" s="1133"/>
      <c r="LZ100" s="1133"/>
      <c r="MA100" s="1133"/>
      <c r="MB100" s="1133"/>
      <c r="MC100" s="1133"/>
      <c r="MD100" s="1133"/>
      <c r="ME100" s="1133"/>
      <c r="MF100" s="1133"/>
      <c r="MG100" s="1133"/>
      <c r="MH100" s="1133"/>
      <c r="MI100" s="1133"/>
      <c r="MJ100" s="1133"/>
      <c r="MK100" s="1133"/>
      <c r="ML100" s="1133"/>
      <c r="MM100" s="1133"/>
      <c r="MN100" s="1133"/>
      <c r="MO100" s="1133"/>
      <c r="MP100" s="1133"/>
      <c r="MQ100" s="1133"/>
      <c r="MR100" s="1133"/>
      <c r="MS100" s="1133"/>
      <c r="MT100" s="1133"/>
      <c r="MU100" s="1133"/>
      <c r="MV100" s="1133"/>
      <c r="MW100" s="1133"/>
      <c r="MX100" s="1133"/>
      <c r="MY100" s="1133"/>
    </row>
    <row r="101">
      <c r="A101" s="1071">
        <v>99.0</v>
      </c>
      <c r="B101" s="1124"/>
      <c r="C101" s="1126"/>
      <c r="D101" s="1072">
        <v>49.03958333333333</v>
      </c>
      <c r="E101" s="1073">
        <v>4190000.0</v>
      </c>
      <c r="F101" s="1072">
        <v>49.03958333333333</v>
      </c>
      <c r="G101" s="1073">
        <v>4190000.0</v>
      </c>
      <c r="H101" s="1072">
        <v>49.03958333333333</v>
      </c>
      <c r="I101" s="1073">
        <v>4190000.0</v>
      </c>
      <c r="J101" s="1072">
        <v>49.03958333333333</v>
      </c>
      <c r="K101" s="1073">
        <v>4190000.0</v>
      </c>
      <c r="L101" s="1072">
        <v>97.44166666666666</v>
      </c>
      <c r="M101" s="1075">
        <v>1.367E7</v>
      </c>
      <c r="N101" s="1076">
        <v>32.919444444444444</v>
      </c>
      <c r="O101" s="1073">
        <v>1.936E7</v>
      </c>
      <c r="P101" s="1124"/>
      <c r="Q101" s="1125"/>
      <c r="R101" s="1124"/>
      <c r="S101" s="1125"/>
      <c r="T101" s="1124"/>
      <c r="U101" s="1125"/>
      <c r="V101" s="1124"/>
      <c r="W101" s="1125"/>
      <c r="X101" s="1124"/>
      <c r="Y101" s="1125"/>
      <c r="Z101" s="1124"/>
      <c r="AA101" s="1125"/>
      <c r="AB101" s="1124"/>
      <c r="AC101" s="1125"/>
      <c r="AD101" s="1072">
        <v>106.91458333333334</v>
      </c>
      <c r="AE101" s="1080">
        <v>1.46706219584E20</v>
      </c>
      <c r="AF101" s="1072">
        <v>106.91458333333334</v>
      </c>
      <c r="AG101" s="1080">
        <v>1.46706219584E20</v>
      </c>
      <c r="AH101" s="1072">
        <v>106.91458333333334</v>
      </c>
      <c r="AI101" s="1080">
        <v>1.46706219584E20</v>
      </c>
      <c r="AJ101" s="1081">
        <v>49.03958333333333</v>
      </c>
      <c r="AK101" s="1082">
        <v>4190000.0</v>
      </c>
      <c r="AL101" s="1081">
        <v>49.03958333333333</v>
      </c>
      <c r="AM101" s="1082">
        <v>4190000.0</v>
      </c>
      <c r="AN101" s="1081">
        <v>49.03958333333333</v>
      </c>
      <c r="AO101" s="1082">
        <v>4190000.0</v>
      </c>
      <c r="AP101" s="1126"/>
      <c r="AQ101" s="1125"/>
      <c r="AR101" s="1081">
        <v>49.040277777777774</v>
      </c>
      <c r="AS101" s="1082">
        <v>4190000.0</v>
      </c>
      <c r="AT101" s="1126"/>
      <c r="AU101" s="1125"/>
      <c r="AV101" s="1126"/>
      <c r="AW101" s="1125"/>
      <c r="AX101" s="1124"/>
      <c r="AY101" s="1175"/>
      <c r="AZ101" s="1124"/>
      <c r="BA101" s="1124"/>
      <c r="BB101" s="1083">
        <v>49.03958333333333</v>
      </c>
      <c r="BC101" s="1084">
        <v>4190000.0</v>
      </c>
      <c r="BD101" s="1083">
        <v>49.03958333333333</v>
      </c>
      <c r="BE101" s="1084">
        <v>4190000.0</v>
      </c>
      <c r="BF101" s="1083">
        <v>49.03958333333333</v>
      </c>
      <c r="BG101" s="1084">
        <v>4190000.0</v>
      </c>
      <c r="BH101" s="1124"/>
      <c r="BI101" s="1125"/>
      <c r="BJ101" s="1124"/>
      <c r="BK101" s="1125"/>
      <c r="BL101" s="1124"/>
      <c r="BM101" s="1125"/>
      <c r="BN101" s="1124"/>
      <c r="BO101" s="1125"/>
      <c r="BP101" s="1124"/>
      <c r="BQ101" s="1125"/>
      <c r="BR101" s="1126"/>
      <c r="BS101" s="1125"/>
      <c r="BT101" s="1126"/>
      <c r="BU101" s="1126"/>
      <c r="BV101" s="1126"/>
      <c r="BW101" s="1126"/>
      <c r="BX101" s="1126"/>
      <c r="BY101" s="1126"/>
      <c r="BZ101" s="1126"/>
      <c r="CA101" s="1126"/>
      <c r="CB101" s="1126"/>
      <c r="CC101" s="1125"/>
      <c r="CD101" s="1126"/>
      <c r="CE101" s="1126"/>
      <c r="CF101" s="1133"/>
      <c r="CG101" s="1167"/>
      <c r="CH101" s="1088">
        <v>49.040277777777774</v>
      </c>
      <c r="CI101" s="1089">
        <v>4190000.0</v>
      </c>
      <c r="CJ101" s="1088">
        <v>49.040277777777774</v>
      </c>
      <c r="CK101" s="1089">
        <v>4190000.0</v>
      </c>
      <c r="CL101" s="1088">
        <v>49.040277777777774</v>
      </c>
      <c r="CM101" s="1089">
        <v>4190000.0</v>
      </c>
      <c r="CN101" s="1088">
        <v>49.040277777777774</v>
      </c>
      <c r="CO101" s="1089">
        <v>4190000.0</v>
      </c>
      <c r="CP101" s="1088">
        <v>122.40208333333334</v>
      </c>
      <c r="CQ101" s="1089">
        <v>1.936E7</v>
      </c>
      <c r="CR101" s="1124"/>
      <c r="CS101" s="1125"/>
      <c r="CT101" s="1126"/>
      <c r="CU101" s="1125"/>
      <c r="CV101" s="1126"/>
      <c r="CW101" s="1125"/>
      <c r="CX101" s="1126"/>
      <c r="CY101" s="1125"/>
      <c r="CZ101" s="1126"/>
      <c r="DA101" s="1126"/>
      <c r="DB101" s="1126"/>
      <c r="DC101" s="1126"/>
      <c r="DD101" s="1126"/>
      <c r="DE101" s="1125"/>
      <c r="DF101" s="1124"/>
      <c r="DG101" s="1125"/>
      <c r="DH101" s="1124"/>
      <c r="DI101" s="1125"/>
      <c r="DJ101" s="1124"/>
      <c r="DK101" s="1125"/>
      <c r="DL101" s="1124"/>
      <c r="DM101" s="1125"/>
      <c r="DN101" s="1124"/>
      <c r="DO101" s="1125"/>
      <c r="DP101" s="1124"/>
      <c r="DQ101" s="1125"/>
      <c r="DR101" s="1124"/>
      <c r="DS101" s="1125"/>
      <c r="DT101" s="1124"/>
      <c r="DU101" s="1125"/>
      <c r="DV101" s="1126"/>
      <c r="DW101" s="1125"/>
      <c r="DX101" s="1124"/>
      <c r="DY101" s="1125"/>
      <c r="DZ101" s="1124"/>
      <c r="EA101" s="1125"/>
      <c r="EB101" s="1124"/>
      <c r="EC101" s="1125"/>
      <c r="ED101" s="1124"/>
      <c r="EE101" s="1125"/>
      <c r="EF101" s="1124"/>
      <c r="EG101" s="1125"/>
      <c r="EH101" s="1124"/>
      <c r="EI101" s="1125"/>
      <c r="EJ101" s="1169"/>
      <c r="EK101" s="1167"/>
      <c r="EL101" s="1169"/>
      <c r="EM101" s="1167"/>
      <c r="EN101" s="1124"/>
      <c r="EO101" s="1125"/>
      <c r="EP101" s="1124"/>
      <c r="EQ101" s="1125"/>
      <c r="ER101" s="1124"/>
      <c r="ES101" s="1125"/>
      <c r="ET101" s="1124"/>
      <c r="EU101" s="1125"/>
      <c r="EV101" s="1124"/>
      <c r="EW101" s="1125"/>
      <c r="EX101" s="1124"/>
      <c r="EY101" s="1125"/>
      <c r="EZ101" s="1124"/>
      <c r="FA101" s="1125"/>
      <c r="FB101" s="1126"/>
      <c r="FC101" s="1125"/>
      <c r="FD101" s="1126"/>
      <c r="FE101" s="1125"/>
      <c r="FF101" s="1126"/>
      <c r="FG101" s="1125"/>
      <c r="FH101" s="1126"/>
      <c r="FI101" s="1126"/>
      <c r="FJ101" s="1126"/>
      <c r="FK101" s="1125"/>
      <c r="FL101" s="1124"/>
      <c r="FM101" s="1125"/>
      <c r="FN101" s="1139"/>
      <c r="FO101" s="1126"/>
      <c r="FP101" s="1139"/>
      <c r="FQ101" s="1126"/>
      <c r="FR101" s="1139"/>
      <c r="FS101" s="1126"/>
      <c r="FT101" s="1139"/>
      <c r="FU101" s="1125"/>
      <c r="FV101" s="1139"/>
      <c r="FW101" s="1125"/>
      <c r="FX101" s="1179"/>
      <c r="FY101" s="1167"/>
      <c r="FZ101" s="1179"/>
      <c r="GA101" s="1167"/>
      <c r="GB101" s="1179"/>
      <c r="GC101" s="1167"/>
      <c r="GD101" s="1133"/>
      <c r="GE101" s="1167"/>
      <c r="GF101" s="1124"/>
      <c r="GG101" s="1125"/>
      <c r="GH101" s="1124"/>
      <c r="GI101" s="1125"/>
      <c r="GJ101" s="1124"/>
      <c r="GK101" s="1125"/>
      <c r="GL101" s="1124"/>
      <c r="GM101" s="1125"/>
      <c r="GN101" s="1126"/>
      <c r="GO101" s="1125"/>
      <c r="GP101" s="1126"/>
      <c r="GQ101" s="1125"/>
      <c r="GR101" s="1124"/>
      <c r="GS101" s="1125"/>
      <c r="GT101" s="1124"/>
      <c r="GU101" s="1125"/>
      <c r="GV101" s="1126"/>
      <c r="GW101" s="1125"/>
      <c r="GX101" s="1168"/>
      <c r="GY101" s="1133"/>
      <c r="GZ101" s="1124"/>
      <c r="HA101" s="1125"/>
      <c r="HB101" s="1107">
        <v>7562.438888888889</v>
      </c>
      <c r="HC101" s="1108">
        <v>1.8078E14</v>
      </c>
      <c r="HD101" s="1124"/>
      <c r="HE101" s="1125"/>
      <c r="HF101" s="1124"/>
      <c r="HG101" s="1125"/>
      <c r="HH101" s="1124"/>
      <c r="HI101" s="1125"/>
      <c r="HJ101" s="1124"/>
      <c r="HK101" s="1125"/>
      <c r="HL101" s="1124"/>
      <c r="HM101" s="1125"/>
      <c r="HN101" s="1126"/>
      <c r="HO101" s="1125"/>
      <c r="HP101" s="1124"/>
      <c r="HQ101" s="1125"/>
      <c r="HR101" s="1124"/>
      <c r="HS101" s="1125"/>
      <c r="HT101" s="1124"/>
      <c r="HU101" s="1125"/>
      <c r="HV101" s="1124"/>
      <c r="HW101" s="1125"/>
      <c r="HX101" s="1124"/>
      <c r="HY101" s="1125"/>
      <c r="HZ101" s="1124"/>
      <c r="IA101" s="1125"/>
      <c r="IB101" s="1124"/>
      <c r="IC101" s="1125"/>
      <c r="ID101" s="1124"/>
      <c r="IE101" s="1125"/>
      <c r="IF101" s="1124"/>
      <c r="IG101" s="1125"/>
      <c r="IH101" s="1124"/>
      <c r="II101" s="1125"/>
      <c r="IJ101" s="1124"/>
      <c r="IK101" s="1125"/>
      <c r="IL101" s="1124"/>
      <c r="IM101" s="1125"/>
      <c r="IN101" s="1124"/>
      <c r="IO101" s="1125"/>
      <c r="IP101" s="1124"/>
      <c r="IQ101" s="1125"/>
      <c r="IR101" s="1124"/>
      <c r="IS101" s="1125"/>
      <c r="IT101" s="1124"/>
      <c r="IU101" s="1125"/>
      <c r="IV101" s="1124"/>
      <c r="IW101" s="1125"/>
      <c r="IX101" s="1124"/>
      <c r="IY101" s="1125"/>
      <c r="IZ101" s="1124"/>
      <c r="JA101" s="1125"/>
      <c r="JB101" s="1124"/>
      <c r="JC101" s="1125"/>
      <c r="JD101" s="1124"/>
      <c r="JE101" s="1125"/>
      <c r="JF101" s="1124"/>
      <c r="JG101" s="1125"/>
      <c r="JH101" s="1124"/>
      <c r="JI101" s="1125"/>
      <c r="JJ101" s="1169"/>
      <c r="JK101" s="1167"/>
      <c r="JL101" s="1169"/>
      <c r="JM101" s="1167"/>
      <c r="JN101" s="1169"/>
      <c r="JO101" s="1167"/>
      <c r="JP101" s="1169"/>
      <c r="JQ101" s="1167"/>
      <c r="JR101" s="1169"/>
      <c r="JS101" s="1167"/>
      <c r="JT101" s="1169"/>
      <c r="JU101" s="1167"/>
      <c r="JV101" s="1169"/>
      <c r="JW101" s="1167"/>
      <c r="JX101" s="1169"/>
      <c r="JY101" s="1133"/>
      <c r="JZ101" s="1173">
        <v>9.711076389</v>
      </c>
      <c r="KA101" s="1120">
        <v>4.7571E11</v>
      </c>
      <c r="KB101" s="1169"/>
      <c r="KC101" s="1133"/>
      <c r="KD101" s="1169"/>
      <c r="KE101" s="1133"/>
      <c r="KF101" s="1133"/>
      <c r="KG101" s="1133"/>
      <c r="KH101" s="1133"/>
      <c r="KI101" s="1133"/>
      <c r="KJ101" s="1133"/>
      <c r="KK101" s="1133"/>
      <c r="KL101" s="1133"/>
      <c r="KM101" s="1133"/>
      <c r="KN101" s="1133"/>
      <c r="KO101" s="1133"/>
      <c r="KP101" s="1133"/>
      <c r="KQ101" s="1133"/>
      <c r="KR101" s="1133"/>
      <c r="KS101" s="1133"/>
      <c r="KT101" s="1133"/>
      <c r="KU101" s="1133"/>
      <c r="KV101" s="1133"/>
      <c r="KW101" s="1133"/>
      <c r="KX101" s="1133"/>
      <c r="KY101" s="1133"/>
      <c r="KZ101" s="1133"/>
      <c r="LA101" s="1133"/>
      <c r="LB101" s="1133"/>
      <c r="LC101" s="1133"/>
      <c r="LD101" s="1133"/>
      <c r="LE101" s="1133"/>
      <c r="LF101" s="1133"/>
      <c r="LG101" s="1133"/>
      <c r="LH101" s="1133"/>
      <c r="LI101" s="1133"/>
      <c r="LJ101" s="1133"/>
      <c r="LK101" s="1133"/>
      <c r="LL101" s="1133"/>
      <c r="LM101" s="1133"/>
      <c r="LN101" s="1133"/>
      <c r="LO101" s="1133"/>
      <c r="LP101" s="1133"/>
      <c r="LQ101" s="1133"/>
      <c r="LR101" s="1133"/>
      <c r="LS101" s="1133"/>
      <c r="LT101" s="1133"/>
      <c r="LU101" s="1133"/>
      <c r="LV101" s="1133"/>
      <c r="LW101" s="1133"/>
      <c r="LX101" s="1133"/>
      <c r="LY101" s="1133"/>
      <c r="LZ101" s="1133"/>
      <c r="MA101" s="1133"/>
      <c r="MB101" s="1133"/>
      <c r="MC101" s="1133"/>
      <c r="MD101" s="1133"/>
      <c r="ME101" s="1133"/>
      <c r="MF101" s="1133"/>
      <c r="MG101" s="1133"/>
      <c r="MH101" s="1133"/>
      <c r="MI101" s="1133"/>
      <c r="MJ101" s="1133"/>
      <c r="MK101" s="1133"/>
      <c r="ML101" s="1133"/>
      <c r="MM101" s="1133"/>
      <c r="MN101" s="1133"/>
      <c r="MO101" s="1133"/>
      <c r="MP101" s="1133"/>
      <c r="MQ101" s="1133"/>
      <c r="MR101" s="1133"/>
      <c r="MS101" s="1133"/>
      <c r="MT101" s="1133"/>
      <c r="MU101" s="1133"/>
      <c r="MV101" s="1133"/>
      <c r="MW101" s="1133"/>
      <c r="MX101" s="1133"/>
      <c r="MY101" s="1133"/>
    </row>
    <row r="102">
      <c r="A102" s="1071">
        <v>100.0</v>
      </c>
      <c r="B102" s="1140"/>
      <c r="C102" s="1148"/>
      <c r="D102" s="1140"/>
      <c r="E102" s="1141"/>
      <c r="F102" s="1140"/>
      <c r="G102" s="1141"/>
      <c r="H102" s="1140"/>
      <c r="I102" s="1141"/>
      <c r="J102" s="1140"/>
      <c r="K102" s="1141"/>
      <c r="L102" s="1140"/>
      <c r="M102" s="1141"/>
      <c r="N102" s="1140"/>
      <c r="O102" s="1141"/>
      <c r="P102" s="1140"/>
      <c r="Q102" s="1141"/>
      <c r="R102" s="1140"/>
      <c r="S102" s="1141"/>
      <c r="T102" s="1140"/>
      <c r="U102" s="1141"/>
      <c r="V102" s="1140"/>
      <c r="W102" s="1141"/>
      <c r="X102" s="1140"/>
      <c r="Y102" s="1141"/>
      <c r="Z102" s="1140"/>
      <c r="AA102" s="1141"/>
      <c r="AB102" s="1140"/>
      <c r="AC102" s="1141"/>
      <c r="AD102" s="1077">
        <v>107.99513888888889</v>
      </c>
      <c r="AE102" s="1145">
        <v>1.90718085459E20</v>
      </c>
      <c r="AF102" s="1077">
        <v>107.99513888888889</v>
      </c>
      <c r="AG102" s="1145">
        <v>1.90718085459E20</v>
      </c>
      <c r="AH102" s="1077">
        <v>107.99513888888889</v>
      </c>
      <c r="AI102" s="1145">
        <v>1.90718085459E20</v>
      </c>
      <c r="AJ102" s="1146">
        <v>50.24444444444445</v>
      </c>
      <c r="AK102" s="1147">
        <v>4310000.0</v>
      </c>
      <c r="AL102" s="1140"/>
      <c r="AM102" s="1141"/>
      <c r="AN102" s="1148"/>
      <c r="AO102" s="1141"/>
      <c r="AP102" s="1148"/>
      <c r="AQ102" s="1141"/>
      <c r="AR102" s="1140"/>
      <c r="AS102" s="1141"/>
      <c r="AT102" s="1148"/>
      <c r="AU102" s="1141"/>
      <c r="AV102" s="1148"/>
      <c r="AW102" s="1141"/>
      <c r="AX102" s="1140"/>
      <c r="AY102" s="1176"/>
      <c r="AZ102" s="1140"/>
      <c r="BA102" s="1140"/>
      <c r="BB102" s="1085">
        <v>50.24444444444445</v>
      </c>
      <c r="BC102" s="1086">
        <v>4310000.0</v>
      </c>
      <c r="BD102" s="1085">
        <v>50.24444444444445</v>
      </c>
      <c r="BE102" s="1086">
        <v>4310000.0</v>
      </c>
      <c r="BF102" s="1085">
        <v>50.24444444444445</v>
      </c>
      <c r="BG102" s="1086">
        <v>4310000.0</v>
      </c>
      <c r="BH102" s="1140"/>
      <c r="BI102" s="1141"/>
      <c r="BJ102" s="1140"/>
      <c r="BK102" s="1141"/>
      <c r="BL102" s="1140"/>
      <c r="BM102" s="1141"/>
      <c r="BN102" s="1140"/>
      <c r="BO102" s="1141"/>
      <c r="BP102" s="1140"/>
      <c r="BQ102" s="1141"/>
      <c r="BR102" s="1148"/>
      <c r="BS102" s="1141"/>
      <c r="BT102" s="1148"/>
      <c r="BU102" s="1148"/>
      <c r="BV102" s="1148"/>
      <c r="BW102" s="1148"/>
      <c r="BX102" s="1148"/>
      <c r="BY102" s="1148"/>
      <c r="BZ102" s="1148"/>
      <c r="CA102" s="1148"/>
      <c r="CB102" s="1148"/>
      <c r="CC102" s="1141"/>
      <c r="CD102" s="1148"/>
      <c r="CE102" s="1148"/>
      <c r="CF102" s="1157"/>
      <c r="CG102" s="1157"/>
      <c r="CH102" s="1148"/>
      <c r="CI102" s="1141"/>
      <c r="CJ102" s="1140"/>
      <c r="CK102" s="1141"/>
      <c r="CL102" s="1140"/>
      <c r="CM102" s="1141"/>
      <c r="CN102" s="1140"/>
      <c r="CO102" s="1141"/>
      <c r="CP102" s="1148"/>
      <c r="CQ102" s="1141"/>
      <c r="CR102" s="1140"/>
      <c r="CS102" s="1141"/>
      <c r="CT102" s="1148"/>
      <c r="CU102" s="1141"/>
      <c r="CV102" s="1148"/>
      <c r="CW102" s="1141"/>
      <c r="CX102" s="1148"/>
      <c r="CY102" s="1141"/>
      <c r="CZ102" s="1148"/>
      <c r="DA102" s="1148"/>
      <c r="DB102" s="1148"/>
      <c r="DC102" s="1148"/>
      <c r="DD102" s="1148"/>
      <c r="DE102" s="1141"/>
      <c r="DF102" s="1140"/>
      <c r="DG102" s="1141"/>
      <c r="DH102" s="1140"/>
      <c r="DI102" s="1141"/>
      <c r="DJ102" s="1140"/>
      <c r="DK102" s="1141"/>
      <c r="DL102" s="1140"/>
      <c r="DM102" s="1141"/>
      <c r="DN102" s="1140"/>
      <c r="DO102" s="1141"/>
      <c r="DP102" s="1140"/>
      <c r="DQ102" s="1141"/>
      <c r="DR102" s="1140"/>
      <c r="DS102" s="1141"/>
      <c r="DT102" s="1140"/>
      <c r="DU102" s="1141"/>
      <c r="DV102" s="1148"/>
      <c r="DW102" s="1141"/>
      <c r="DX102" s="1140"/>
      <c r="DY102" s="1141"/>
      <c r="DZ102" s="1140"/>
      <c r="EA102" s="1141"/>
      <c r="EB102" s="1140"/>
      <c r="EC102" s="1141"/>
      <c r="ED102" s="1140"/>
      <c r="EE102" s="1141"/>
      <c r="EF102" s="1140"/>
      <c r="EG102" s="1141"/>
      <c r="EH102" s="1140"/>
      <c r="EI102" s="1141"/>
      <c r="EJ102" s="1172"/>
      <c r="EK102" s="1171"/>
      <c r="EL102" s="1172"/>
      <c r="EM102" s="1171"/>
      <c r="EN102" s="1140"/>
      <c r="EO102" s="1141"/>
      <c r="EP102" s="1140"/>
      <c r="EQ102" s="1141"/>
      <c r="ER102" s="1140"/>
      <c r="ES102" s="1141"/>
      <c r="ET102" s="1140"/>
      <c r="EU102" s="1141"/>
      <c r="EV102" s="1140"/>
      <c r="EW102" s="1141"/>
      <c r="EX102" s="1140"/>
      <c r="EY102" s="1141"/>
      <c r="EZ102" s="1140"/>
      <c r="FA102" s="1141"/>
      <c r="FB102" s="1148"/>
      <c r="FC102" s="1141"/>
      <c r="FD102" s="1148"/>
      <c r="FE102" s="1141"/>
      <c r="FF102" s="1148"/>
      <c r="FG102" s="1141"/>
      <c r="FH102" s="1148"/>
      <c r="FI102" s="1148"/>
      <c r="FJ102" s="1148"/>
      <c r="FK102" s="1141"/>
      <c r="FL102" s="1140"/>
      <c r="FM102" s="1141"/>
      <c r="FN102" s="1152"/>
      <c r="FO102" s="1148"/>
      <c r="FP102" s="1152"/>
      <c r="FQ102" s="1148"/>
      <c r="FR102" s="1152"/>
      <c r="FS102" s="1148"/>
      <c r="FT102" s="1152"/>
      <c r="FU102" s="1141"/>
      <c r="FV102" s="1152"/>
      <c r="FW102" s="1141"/>
      <c r="FX102" s="1181"/>
      <c r="FY102" s="1171"/>
      <c r="FZ102" s="1181"/>
      <c r="GA102" s="1171"/>
      <c r="GB102" s="1181"/>
      <c r="GC102" s="1171"/>
      <c r="GD102" s="1157"/>
      <c r="GE102" s="1171"/>
      <c r="GF102" s="1140"/>
      <c r="GG102" s="1141"/>
      <c r="GH102" s="1140"/>
      <c r="GI102" s="1141"/>
      <c r="GJ102" s="1140"/>
      <c r="GK102" s="1141"/>
      <c r="GL102" s="1140"/>
      <c r="GM102" s="1141"/>
      <c r="GN102" s="1148"/>
      <c r="GO102" s="1141"/>
      <c r="GP102" s="1148"/>
      <c r="GQ102" s="1141"/>
      <c r="GR102" s="1140"/>
      <c r="GS102" s="1141"/>
      <c r="GT102" s="1140"/>
      <c r="GU102" s="1141"/>
      <c r="GV102" s="1148"/>
      <c r="GW102" s="1141"/>
      <c r="GX102" s="1172"/>
      <c r="GY102" s="1157"/>
      <c r="GZ102" s="1140"/>
      <c r="HA102" s="1141"/>
      <c r="HB102" s="1158">
        <v>7835.634027777778</v>
      </c>
      <c r="HC102" s="1159">
        <v>1.902E14</v>
      </c>
      <c r="HD102" s="1140"/>
      <c r="HE102" s="1141"/>
      <c r="HF102" s="1140"/>
      <c r="HG102" s="1141"/>
      <c r="HH102" s="1140"/>
      <c r="HI102" s="1141"/>
      <c r="HJ102" s="1140"/>
      <c r="HK102" s="1141"/>
      <c r="HL102" s="1140"/>
      <c r="HM102" s="1141"/>
      <c r="HN102" s="1148"/>
      <c r="HO102" s="1141"/>
      <c r="HP102" s="1140"/>
      <c r="HQ102" s="1141"/>
      <c r="HR102" s="1140"/>
      <c r="HS102" s="1141"/>
      <c r="HT102" s="1140"/>
      <c r="HU102" s="1141"/>
      <c r="HV102" s="1140"/>
      <c r="HW102" s="1141"/>
      <c r="HX102" s="1140"/>
      <c r="HY102" s="1141"/>
      <c r="HZ102" s="1140"/>
      <c r="IA102" s="1141"/>
      <c r="IB102" s="1140"/>
      <c r="IC102" s="1141"/>
      <c r="ID102" s="1140"/>
      <c r="IE102" s="1141"/>
      <c r="IF102" s="1140"/>
      <c r="IG102" s="1141"/>
      <c r="IH102" s="1140"/>
      <c r="II102" s="1141"/>
      <c r="IJ102" s="1140"/>
      <c r="IK102" s="1141"/>
      <c r="IL102" s="1140"/>
      <c r="IM102" s="1141"/>
      <c r="IN102" s="1140"/>
      <c r="IO102" s="1141"/>
      <c r="IP102" s="1140"/>
      <c r="IQ102" s="1141"/>
      <c r="IR102" s="1140"/>
      <c r="IS102" s="1141"/>
      <c r="IT102" s="1140"/>
      <c r="IU102" s="1141"/>
      <c r="IV102" s="1140"/>
      <c r="IW102" s="1141"/>
      <c r="IX102" s="1140"/>
      <c r="IY102" s="1141"/>
      <c r="IZ102" s="1140"/>
      <c r="JA102" s="1141"/>
      <c r="JB102" s="1140"/>
      <c r="JC102" s="1141"/>
      <c r="JD102" s="1140"/>
      <c r="JE102" s="1141"/>
      <c r="JF102" s="1140"/>
      <c r="JG102" s="1141"/>
      <c r="JH102" s="1140"/>
      <c r="JI102" s="1141"/>
      <c r="JJ102" s="1172"/>
      <c r="JK102" s="1171"/>
      <c r="JL102" s="1172"/>
      <c r="JM102" s="1171"/>
      <c r="JN102" s="1172"/>
      <c r="JO102" s="1171"/>
      <c r="JP102" s="1172"/>
      <c r="JQ102" s="1171"/>
      <c r="JR102" s="1172"/>
      <c r="JS102" s="1171"/>
      <c r="JT102" s="1172"/>
      <c r="JU102" s="1171"/>
      <c r="JV102" s="1172"/>
      <c r="JW102" s="1171"/>
      <c r="JX102" s="1169"/>
      <c r="JY102" s="1133"/>
      <c r="JZ102" s="1173">
        <v>9.841608796</v>
      </c>
      <c r="KA102" s="1120">
        <v>4.8893E11</v>
      </c>
      <c r="KB102" s="1169"/>
      <c r="KC102" s="1133"/>
      <c r="KD102" s="1169"/>
      <c r="KE102" s="1133"/>
      <c r="KF102" s="1133"/>
      <c r="KG102" s="1133"/>
      <c r="KH102" s="1133"/>
      <c r="KI102" s="1133"/>
      <c r="KJ102" s="1133"/>
      <c r="KK102" s="1133"/>
      <c r="KL102" s="1133"/>
      <c r="KM102" s="1133"/>
      <c r="KN102" s="1133"/>
      <c r="KO102" s="1133"/>
      <c r="KP102" s="1133"/>
      <c r="KQ102" s="1133"/>
      <c r="KR102" s="1133"/>
      <c r="KS102" s="1133"/>
      <c r="KT102" s="1133"/>
      <c r="KU102" s="1133"/>
      <c r="KV102" s="1133"/>
      <c r="KW102" s="1133"/>
      <c r="KX102" s="1133"/>
      <c r="KY102" s="1133"/>
      <c r="KZ102" s="1133"/>
      <c r="LA102" s="1133"/>
      <c r="LB102" s="1133"/>
      <c r="LC102" s="1133"/>
      <c r="LD102" s="1133"/>
      <c r="LE102" s="1133"/>
      <c r="LF102" s="1133"/>
      <c r="LG102" s="1133"/>
      <c r="LH102" s="1133"/>
      <c r="LI102" s="1133"/>
      <c r="LJ102" s="1133"/>
      <c r="LK102" s="1133"/>
      <c r="LL102" s="1157"/>
      <c r="LM102" s="1157"/>
      <c r="LN102" s="1133"/>
      <c r="LO102" s="1133"/>
      <c r="LP102" s="1133"/>
      <c r="LQ102" s="1133"/>
      <c r="LR102" s="1133"/>
      <c r="LS102" s="1133"/>
      <c r="LT102" s="1133"/>
      <c r="LU102" s="1133"/>
      <c r="LV102" s="1133"/>
      <c r="LW102" s="1133"/>
      <c r="LX102" s="1133"/>
      <c r="LY102" s="1133"/>
      <c r="LZ102" s="1133"/>
      <c r="MA102" s="1133"/>
      <c r="MB102" s="1133"/>
      <c r="MC102" s="1133"/>
      <c r="MD102" s="1133"/>
      <c r="ME102" s="1133"/>
      <c r="MF102" s="1133"/>
      <c r="MG102" s="1133"/>
      <c r="MH102" s="1133"/>
      <c r="MI102" s="1133"/>
      <c r="MJ102" s="1133"/>
      <c r="MK102" s="1133"/>
      <c r="ML102" s="1133"/>
      <c r="MM102" s="1133"/>
      <c r="MN102" s="1133"/>
      <c r="MO102" s="1133"/>
      <c r="MP102" s="1133"/>
      <c r="MQ102" s="1133"/>
      <c r="MR102" s="1133"/>
      <c r="MS102" s="1133"/>
      <c r="MT102" s="1133"/>
      <c r="MU102" s="1133"/>
      <c r="MV102" s="1133"/>
      <c r="MW102" s="1133"/>
      <c r="MX102" s="1133"/>
      <c r="MY102" s="1133"/>
    </row>
    <row r="103">
      <c r="A103" s="1182">
        <v>999.0</v>
      </c>
      <c r="B103" s="1072">
        <f t="shared" ref="B103:AY103" si="1">SUM(B3:B102)</f>
        <v>45.3277662</v>
      </c>
      <c r="C103" s="1072">
        <f t="shared" si="1"/>
        <v>1714800</v>
      </c>
      <c r="D103" s="1072">
        <f t="shared" si="1"/>
        <v>1444.977303</v>
      </c>
      <c r="E103" s="1072">
        <f t="shared" si="1"/>
        <v>111695939</v>
      </c>
      <c r="F103" s="1072">
        <f t="shared" si="1"/>
        <v>1444.977303</v>
      </c>
      <c r="G103" s="1072">
        <f t="shared" si="1"/>
        <v>111695939</v>
      </c>
      <c r="H103" s="1072">
        <f t="shared" si="1"/>
        <v>1444.977303</v>
      </c>
      <c r="I103" s="1072">
        <f t="shared" si="1"/>
        <v>111695939</v>
      </c>
      <c r="J103" s="1072">
        <f t="shared" si="1"/>
        <v>1444.977303</v>
      </c>
      <c r="K103" s="1072">
        <f t="shared" si="1"/>
        <v>111695939</v>
      </c>
      <c r="L103" s="1072">
        <f t="shared" si="1"/>
        <v>2751.008669</v>
      </c>
      <c r="M103" s="1072">
        <f t="shared" si="1"/>
        <v>360236110</v>
      </c>
      <c r="N103" s="1072">
        <f t="shared" si="1"/>
        <v>1110.614722</v>
      </c>
      <c r="O103" s="1072">
        <f t="shared" si="1"/>
        <v>472468456</v>
      </c>
      <c r="P103" s="1072">
        <f t="shared" si="1"/>
        <v>3.74443287</v>
      </c>
      <c r="Q103" s="1072">
        <f t="shared" si="1"/>
        <v>562500</v>
      </c>
      <c r="R103" s="1072">
        <f t="shared" si="1"/>
        <v>0.4993055556</v>
      </c>
      <c r="S103" s="1072">
        <f t="shared" si="1"/>
        <v>250000</v>
      </c>
      <c r="T103" s="1072">
        <f t="shared" si="1"/>
        <v>9.999305556</v>
      </c>
      <c r="U103" s="1072">
        <f t="shared" si="1"/>
        <v>1001000000</v>
      </c>
      <c r="V103" s="1072">
        <f t="shared" si="1"/>
        <v>0.5784722222</v>
      </c>
      <c r="W103" s="1072">
        <f t="shared" si="1"/>
        <v>350000</v>
      </c>
      <c r="X103" s="1072">
        <f t="shared" si="1"/>
        <v>2.545833333</v>
      </c>
      <c r="Y103" s="1072">
        <f t="shared" si="1"/>
        <v>3000000</v>
      </c>
      <c r="Z103" s="1072">
        <f t="shared" si="1"/>
        <v>1.666655093</v>
      </c>
      <c r="AA103" s="1072">
        <f t="shared" si="1"/>
        <v>20000000</v>
      </c>
      <c r="AB103" s="1072">
        <f t="shared" si="1"/>
        <v>6.666655093</v>
      </c>
      <c r="AC103" s="1072">
        <f t="shared" si="1"/>
        <v>5000000000</v>
      </c>
      <c r="AD103" s="1072">
        <f t="shared" si="1"/>
        <v>5453.722917</v>
      </c>
      <c r="AE103" s="1072">
        <f t="shared" si="1"/>
        <v>8.26445E+20</v>
      </c>
      <c r="AF103" s="1072">
        <f t="shared" si="1"/>
        <v>5453.722917</v>
      </c>
      <c r="AG103" s="1072">
        <f t="shared" si="1"/>
        <v>8.26445E+20</v>
      </c>
      <c r="AH103" s="1072">
        <f t="shared" si="1"/>
        <v>5453.722917</v>
      </c>
      <c r="AI103" s="1072">
        <f t="shared" si="1"/>
        <v>8.26445E+20</v>
      </c>
      <c r="AJ103" s="1072">
        <f t="shared" si="1"/>
        <v>1495.221748</v>
      </c>
      <c r="AK103" s="1072">
        <f t="shared" si="1"/>
        <v>116005939</v>
      </c>
      <c r="AL103" s="1072">
        <f t="shared" si="1"/>
        <v>1444.977303</v>
      </c>
      <c r="AM103" s="1072">
        <f t="shared" si="1"/>
        <v>111695939</v>
      </c>
      <c r="AN103" s="1072">
        <f t="shared" si="1"/>
        <v>1444.977303</v>
      </c>
      <c r="AO103" s="1072">
        <f t="shared" si="1"/>
        <v>111695939</v>
      </c>
      <c r="AP103" s="1072">
        <f t="shared" si="1"/>
        <v>700.136331</v>
      </c>
      <c r="AQ103" s="1072">
        <f t="shared" si="1"/>
        <v>50035939</v>
      </c>
      <c r="AR103" s="1072">
        <f t="shared" si="1"/>
        <v>1444.983611</v>
      </c>
      <c r="AS103" s="1072">
        <f t="shared" si="1"/>
        <v>111696469</v>
      </c>
      <c r="AT103" s="1072">
        <f t="shared" si="1"/>
        <v>101777.2285</v>
      </c>
      <c r="AU103" s="1072">
        <f t="shared" si="1"/>
        <v>800359361760</v>
      </c>
      <c r="AV103" s="1072">
        <f t="shared" si="1"/>
        <v>16070.50903</v>
      </c>
      <c r="AW103" s="1072">
        <f t="shared" si="1"/>
        <v>221179361760</v>
      </c>
      <c r="AX103" s="1072">
        <f t="shared" si="1"/>
        <v>368.6777778</v>
      </c>
      <c r="AY103" s="1072">
        <f t="shared" si="1"/>
        <v>24571810000000</v>
      </c>
      <c r="AZ103" s="1072"/>
      <c r="BA103" s="1072"/>
      <c r="BB103" s="1072">
        <f t="shared" ref="BB103:CC103" si="2">SUM(BB3:BB102)</f>
        <v>1495.221748</v>
      </c>
      <c r="BC103" s="1072">
        <f t="shared" si="2"/>
        <v>116005939</v>
      </c>
      <c r="BD103" s="1072">
        <f t="shared" si="2"/>
        <v>1495.221748</v>
      </c>
      <c r="BE103" s="1072">
        <f t="shared" si="2"/>
        <v>116005939</v>
      </c>
      <c r="BF103" s="1072">
        <f t="shared" si="2"/>
        <v>1495.221748</v>
      </c>
      <c r="BG103" s="1072">
        <f t="shared" si="2"/>
        <v>116005939</v>
      </c>
      <c r="BH103" s="1072">
        <f t="shared" si="2"/>
        <v>3689.531238</v>
      </c>
      <c r="BI103" s="1072">
        <f t="shared" si="2"/>
        <v>59428431500</v>
      </c>
      <c r="BJ103" s="1072">
        <f t="shared" si="2"/>
        <v>101.5152778</v>
      </c>
      <c r="BK103" s="1072">
        <f t="shared" si="2"/>
        <v>3712537770</v>
      </c>
      <c r="BL103" s="1072">
        <f t="shared" si="2"/>
        <v>142.5270833</v>
      </c>
      <c r="BM103" s="1072">
        <f t="shared" si="2"/>
        <v>12936316980</v>
      </c>
      <c r="BN103" s="1072">
        <f t="shared" si="2"/>
        <v>1582.388889</v>
      </c>
      <c r="BO103" s="1072">
        <f t="shared" si="2"/>
        <v>266556316980</v>
      </c>
      <c r="BP103" s="1072">
        <f t="shared" si="2"/>
        <v>206.46875</v>
      </c>
      <c r="BQ103" s="1072">
        <f t="shared" si="2"/>
        <v>12937873980</v>
      </c>
      <c r="BR103" s="1072">
        <f t="shared" si="2"/>
        <v>32.69097222</v>
      </c>
      <c r="BS103" s="1072">
        <f t="shared" si="2"/>
        <v>76950000000</v>
      </c>
      <c r="BT103" s="1072">
        <f t="shared" si="2"/>
        <v>152.0229167</v>
      </c>
      <c r="BU103" s="1072">
        <f t="shared" si="2"/>
        <v>745040000000</v>
      </c>
      <c r="BV103" s="1072">
        <f t="shared" si="2"/>
        <v>250.60625</v>
      </c>
      <c r="BW103" s="1072">
        <f t="shared" si="2"/>
        <v>193900000000</v>
      </c>
      <c r="BX103" s="1072">
        <f t="shared" si="2"/>
        <v>2056.72412</v>
      </c>
      <c r="BY103" s="1072">
        <f t="shared" si="2"/>
        <v>3540840000000</v>
      </c>
      <c r="BZ103" s="1072">
        <f t="shared" si="2"/>
        <v>1137.222222</v>
      </c>
      <c r="CA103" s="1072">
        <f t="shared" si="2"/>
        <v>2266110000000</v>
      </c>
      <c r="CB103" s="1072">
        <f t="shared" si="2"/>
        <v>83.75694444</v>
      </c>
      <c r="CC103" s="1072">
        <f t="shared" si="2"/>
        <v>5383720000000</v>
      </c>
      <c r="CD103" s="1072"/>
      <c r="CE103" s="1072"/>
      <c r="CF103" s="1072">
        <f t="shared" ref="CF103:FK103" si="3">SUM(CF3:CF102)</f>
        <v>25.37811343</v>
      </c>
      <c r="CG103" s="1072">
        <f t="shared" si="3"/>
        <v>1350000</v>
      </c>
      <c r="CH103" s="1072">
        <f t="shared" si="3"/>
        <v>1444.983611</v>
      </c>
      <c r="CI103" s="1072">
        <f t="shared" si="3"/>
        <v>111696469</v>
      </c>
      <c r="CJ103" s="1072">
        <f t="shared" si="3"/>
        <v>1444.983611</v>
      </c>
      <c r="CK103" s="1072">
        <f t="shared" si="3"/>
        <v>111696469</v>
      </c>
      <c r="CL103" s="1072">
        <f t="shared" si="3"/>
        <v>1444.983611</v>
      </c>
      <c r="CM103" s="1072">
        <f t="shared" si="3"/>
        <v>111696469</v>
      </c>
      <c r="CN103" s="1072">
        <f t="shared" si="3"/>
        <v>1444.983611</v>
      </c>
      <c r="CO103" s="1072">
        <f t="shared" si="3"/>
        <v>111696469</v>
      </c>
      <c r="CP103" s="1072">
        <f t="shared" si="3"/>
        <v>3405.870938</v>
      </c>
      <c r="CQ103" s="1072">
        <f t="shared" si="3"/>
        <v>472468836</v>
      </c>
      <c r="CR103" s="1072">
        <f t="shared" si="3"/>
        <v>101.5192014</v>
      </c>
      <c r="CS103" s="1072">
        <f t="shared" si="3"/>
        <v>2304140</v>
      </c>
      <c r="CT103" s="1072">
        <f t="shared" si="3"/>
        <v>8.101388889</v>
      </c>
      <c r="CU103" s="1072">
        <f t="shared" si="3"/>
        <v>1000000000</v>
      </c>
      <c r="CV103" s="1072">
        <f t="shared" si="3"/>
        <v>263.3381944</v>
      </c>
      <c r="CW103" s="1072">
        <f t="shared" si="3"/>
        <v>2968190000000</v>
      </c>
      <c r="CX103" s="1072">
        <f t="shared" si="3"/>
        <v>263.3381944</v>
      </c>
      <c r="CY103" s="1072">
        <f t="shared" si="3"/>
        <v>2962930000000</v>
      </c>
      <c r="CZ103" s="1072">
        <f t="shared" si="3"/>
        <v>263.3381944</v>
      </c>
      <c r="DA103" s="1072">
        <f t="shared" si="3"/>
        <v>2968190000000</v>
      </c>
      <c r="DB103" s="1072">
        <f t="shared" si="3"/>
        <v>130.3013889</v>
      </c>
      <c r="DC103" s="1072">
        <f t="shared" si="3"/>
        <v>745230000000</v>
      </c>
      <c r="DD103" s="1072">
        <f t="shared" si="3"/>
        <v>130.3013889</v>
      </c>
      <c r="DE103" s="1072">
        <f t="shared" si="3"/>
        <v>745230000000</v>
      </c>
      <c r="DF103" s="1072">
        <f t="shared" si="3"/>
        <v>157.8048611</v>
      </c>
      <c r="DG103" s="1072">
        <f t="shared" si="3"/>
        <v>12941771980</v>
      </c>
      <c r="DH103" s="1072">
        <f t="shared" si="3"/>
        <v>0.9326388889</v>
      </c>
      <c r="DI103" s="1072">
        <f t="shared" si="3"/>
        <v>900000</v>
      </c>
      <c r="DJ103" s="1072">
        <f t="shared" si="3"/>
        <v>173.5451389</v>
      </c>
      <c r="DK103" s="1072">
        <f t="shared" si="3"/>
        <v>12960025000</v>
      </c>
      <c r="DL103" s="1072">
        <f t="shared" si="3"/>
        <v>825.425</v>
      </c>
      <c r="DM103" s="1072">
        <f t="shared" si="3"/>
        <v>116241771980</v>
      </c>
      <c r="DN103" s="1072">
        <f t="shared" si="3"/>
        <v>0.69375</v>
      </c>
      <c r="DO103" s="1072">
        <f t="shared" si="3"/>
        <v>750000</v>
      </c>
      <c r="DP103" s="1072">
        <f t="shared" si="3"/>
        <v>825.425</v>
      </c>
      <c r="DQ103" s="1072">
        <f t="shared" si="3"/>
        <v>116241771980</v>
      </c>
      <c r="DR103" s="1072">
        <f t="shared" si="3"/>
        <v>825.425</v>
      </c>
      <c r="DS103" s="1072">
        <f t="shared" si="3"/>
        <v>116241771980</v>
      </c>
      <c r="DT103" s="1072">
        <f t="shared" si="3"/>
        <v>0.8326388889</v>
      </c>
      <c r="DU103" s="1072">
        <f t="shared" si="3"/>
        <v>700000</v>
      </c>
      <c r="DV103" s="1072">
        <f t="shared" si="3"/>
        <v>825.425</v>
      </c>
      <c r="DW103" s="1072">
        <f t="shared" si="3"/>
        <v>116241771980</v>
      </c>
      <c r="DX103" s="1072">
        <f t="shared" si="3"/>
        <v>825.425</v>
      </c>
      <c r="DY103" s="1072">
        <f t="shared" si="3"/>
        <v>116241771980</v>
      </c>
      <c r="DZ103" s="1072">
        <f t="shared" si="3"/>
        <v>466.5583333</v>
      </c>
      <c r="EA103" s="1072">
        <f t="shared" si="3"/>
        <v>124848790000</v>
      </c>
      <c r="EB103" s="1072">
        <f t="shared" si="3"/>
        <v>214.0555556</v>
      </c>
      <c r="EC103" s="1072">
        <f t="shared" si="3"/>
        <v>34388790000</v>
      </c>
      <c r="ED103" s="1072">
        <f t="shared" si="3"/>
        <v>0.9951388889</v>
      </c>
      <c r="EE103" s="1072">
        <f t="shared" si="3"/>
        <v>950000</v>
      </c>
      <c r="EF103" s="1072">
        <f t="shared" si="3"/>
        <v>916.0506944</v>
      </c>
      <c r="EG103" s="1072">
        <f t="shared" si="3"/>
        <v>356519790000</v>
      </c>
      <c r="EH103" s="1072">
        <f t="shared" si="3"/>
        <v>65.15347222</v>
      </c>
      <c r="EI103" s="1072">
        <f t="shared" si="3"/>
        <v>4319790000</v>
      </c>
      <c r="EJ103" s="1072">
        <f t="shared" si="3"/>
        <v>264.9605093</v>
      </c>
      <c r="EK103" s="1072">
        <f t="shared" si="3"/>
        <v>15790390000</v>
      </c>
      <c r="EL103" s="1072">
        <f t="shared" si="3"/>
        <v>197.3119676</v>
      </c>
      <c r="EM103" s="1072">
        <f t="shared" si="3"/>
        <v>34379790000</v>
      </c>
      <c r="EN103" s="1072">
        <f t="shared" si="3"/>
        <v>197.3888889</v>
      </c>
      <c r="EO103" s="1072">
        <f t="shared" si="3"/>
        <v>34379790000</v>
      </c>
      <c r="EP103" s="1072">
        <f t="shared" si="3"/>
        <v>197.3888889</v>
      </c>
      <c r="EQ103" s="1072">
        <f t="shared" si="3"/>
        <v>34379790000</v>
      </c>
      <c r="ER103" s="1072">
        <f t="shared" si="3"/>
        <v>197.3888889</v>
      </c>
      <c r="ES103" s="1072">
        <f t="shared" si="3"/>
        <v>34379790000</v>
      </c>
      <c r="ET103" s="1072">
        <f t="shared" si="3"/>
        <v>445.7243056</v>
      </c>
      <c r="EU103" s="1072">
        <f t="shared" si="3"/>
        <v>124846090000</v>
      </c>
      <c r="EV103" s="1072">
        <f t="shared" si="3"/>
        <v>6.665972222</v>
      </c>
      <c r="EW103" s="1072">
        <f t="shared" si="3"/>
        <v>1500000</v>
      </c>
      <c r="EX103" s="1072">
        <f t="shared" si="3"/>
        <v>19.80833333</v>
      </c>
      <c r="EY103" s="1072">
        <f t="shared" si="3"/>
        <v>59000000</v>
      </c>
      <c r="EZ103" s="1072">
        <f t="shared" si="3"/>
        <v>13.88819444</v>
      </c>
      <c r="FA103" s="1072">
        <f t="shared" si="3"/>
        <v>250000000</v>
      </c>
      <c r="FB103" s="1072">
        <f t="shared" si="3"/>
        <v>36.77569444</v>
      </c>
      <c r="FC103" s="1072">
        <f t="shared" si="3"/>
        <v>820520000</v>
      </c>
      <c r="FD103" s="1072">
        <f t="shared" si="3"/>
        <v>17.36041667</v>
      </c>
      <c r="FE103" s="1072">
        <f t="shared" si="3"/>
        <v>15000000000</v>
      </c>
      <c r="FF103" s="1072">
        <f t="shared" si="3"/>
        <v>214.0545255</v>
      </c>
      <c r="FG103" s="1072">
        <f t="shared" si="3"/>
        <v>91921243243</v>
      </c>
      <c r="FH103" s="1072">
        <f t="shared" si="3"/>
        <v>214.0545255</v>
      </c>
      <c r="FI103" s="1072">
        <f t="shared" si="3"/>
        <v>91921243243</v>
      </c>
      <c r="FJ103" s="1072">
        <f t="shared" si="3"/>
        <v>243.5986806</v>
      </c>
      <c r="FK103" s="1072">
        <f t="shared" si="3"/>
        <v>22233286486</v>
      </c>
      <c r="FL103" s="1126"/>
      <c r="FM103" s="1126"/>
      <c r="FN103" s="1072">
        <f t="shared" ref="FN103:GW103" si="4">SUM(FN3:FN102)</f>
        <v>120.0458912</v>
      </c>
      <c r="FO103" s="1074">
        <f t="shared" si="4"/>
        <v>14430000000000</v>
      </c>
      <c r="FP103" s="1072">
        <f t="shared" si="4"/>
        <v>2011.105625</v>
      </c>
      <c r="FQ103" s="1074">
        <f t="shared" si="4"/>
        <v>3.83443E+16</v>
      </c>
      <c r="FR103" s="1072">
        <f t="shared" si="4"/>
        <v>67.62652778</v>
      </c>
      <c r="FS103" s="1074">
        <f t="shared" si="4"/>
        <v>2078130000000</v>
      </c>
      <c r="FT103" s="1072">
        <f t="shared" si="4"/>
        <v>2011.105625</v>
      </c>
      <c r="FU103" s="1074">
        <f t="shared" si="4"/>
        <v>3.83443E+16</v>
      </c>
      <c r="FV103" s="1072">
        <f t="shared" si="4"/>
        <v>2011.105625</v>
      </c>
      <c r="FW103" s="1074">
        <f t="shared" si="4"/>
        <v>3.83443E+16</v>
      </c>
      <c r="FX103" s="1072">
        <f t="shared" si="4"/>
        <v>230.6399884</v>
      </c>
      <c r="FY103" s="1072">
        <f t="shared" si="4"/>
        <v>6653790000000</v>
      </c>
      <c r="FZ103" s="1072">
        <f t="shared" si="4"/>
        <v>2011.480775</v>
      </c>
      <c r="GA103" s="1072">
        <f t="shared" si="4"/>
        <v>3.83443E+16</v>
      </c>
      <c r="GB103" s="1072">
        <f t="shared" si="4"/>
        <v>283.2667593</v>
      </c>
      <c r="GC103" s="1072">
        <f t="shared" si="4"/>
        <v>265931250000000</v>
      </c>
      <c r="GD103" s="1072">
        <f t="shared" si="4"/>
        <v>916.6666667</v>
      </c>
      <c r="GE103" s="1072">
        <f t="shared" si="4"/>
        <v>1.2475E+18</v>
      </c>
      <c r="GF103" s="1072">
        <f t="shared" si="4"/>
        <v>8.678472222</v>
      </c>
      <c r="GG103" s="1074">
        <f t="shared" si="4"/>
        <v>84300000</v>
      </c>
      <c r="GH103" s="1072">
        <f t="shared" si="4"/>
        <v>892.3006829</v>
      </c>
      <c r="GI103" s="1183">
        <f t="shared" si="4"/>
        <v>1097076750000</v>
      </c>
      <c r="GJ103" s="1072">
        <f t="shared" si="4"/>
        <v>2.082638889</v>
      </c>
      <c r="GK103" s="1183">
        <f t="shared" si="4"/>
        <v>1500000</v>
      </c>
      <c r="GL103" s="1072">
        <f t="shared" si="4"/>
        <v>7.406944444</v>
      </c>
      <c r="GM103" s="1183">
        <f t="shared" si="4"/>
        <v>925000000</v>
      </c>
      <c r="GN103" s="1072">
        <f t="shared" si="4"/>
        <v>43.98055556</v>
      </c>
      <c r="GO103" s="1183">
        <f t="shared" si="4"/>
        <v>890000000000</v>
      </c>
      <c r="GP103" s="1072">
        <f t="shared" si="4"/>
        <v>897.3</v>
      </c>
      <c r="GQ103" s="1183">
        <f t="shared" si="4"/>
        <v>11989310000000</v>
      </c>
      <c r="GR103" s="1072">
        <f t="shared" si="4"/>
        <v>120.0458681</v>
      </c>
      <c r="GS103" s="1183">
        <f t="shared" si="4"/>
        <v>14430000000000</v>
      </c>
      <c r="GT103" s="1072">
        <f t="shared" si="4"/>
        <v>120.0458681</v>
      </c>
      <c r="GU103" s="1183">
        <f t="shared" si="4"/>
        <v>14430000000000</v>
      </c>
      <c r="GV103" s="1072">
        <f t="shared" si="4"/>
        <v>120.0458912</v>
      </c>
      <c r="GW103" s="1183">
        <f t="shared" si="4"/>
        <v>14430000000000</v>
      </c>
      <c r="GX103" s="1072">
        <v>281.25</v>
      </c>
      <c r="GY103" s="1072">
        <v>5.0E16</v>
      </c>
      <c r="GZ103" s="1072">
        <f t="shared" ref="GZ103:HO103" si="5">SUM(GZ3:GZ102)</f>
        <v>3.471527778</v>
      </c>
      <c r="HA103" s="1183">
        <f t="shared" si="5"/>
        <v>1500000</v>
      </c>
      <c r="HB103" s="1072">
        <f t="shared" si="5"/>
        <v>176683.7625</v>
      </c>
      <c r="HC103" s="1183">
        <f t="shared" si="5"/>
        <v>3.23416E+15</v>
      </c>
      <c r="HD103" s="1072">
        <f t="shared" si="5"/>
        <v>4.976388889</v>
      </c>
      <c r="HE103" s="1183">
        <f t="shared" si="5"/>
        <v>100000000</v>
      </c>
      <c r="HF103" s="1072">
        <f t="shared" si="5"/>
        <v>371.06875</v>
      </c>
      <c r="HG103" s="1183">
        <f t="shared" si="5"/>
        <v>1079139580000</v>
      </c>
      <c r="HH103" s="1072">
        <f t="shared" si="5"/>
        <v>15.16111111</v>
      </c>
      <c r="HI103" s="1183">
        <f t="shared" si="5"/>
        <v>2200000000</v>
      </c>
      <c r="HJ103" s="1072">
        <f t="shared" si="5"/>
        <v>4.629166667</v>
      </c>
      <c r="HK103" s="1183">
        <f t="shared" si="5"/>
        <v>1000000000</v>
      </c>
      <c r="HL103" s="1072">
        <f t="shared" si="5"/>
        <v>662.0354051</v>
      </c>
      <c r="HM103" s="1183">
        <f t="shared" si="5"/>
        <v>1.10112E+15</v>
      </c>
      <c r="HN103" s="1072">
        <f t="shared" si="5"/>
        <v>41.94930556</v>
      </c>
      <c r="HO103" s="1183">
        <f t="shared" si="5"/>
        <v>17261350000</v>
      </c>
      <c r="HP103" s="1072">
        <f>SUM(HP3:HP8)</f>
        <v>16.39283565</v>
      </c>
      <c r="HQ103" s="1183">
        <f t="shared" ref="HQ103:KU103" si="6">SUM(HQ3:HQ102)</f>
        <v>948488598820</v>
      </c>
      <c r="HR103" s="1072">
        <f t="shared" si="6"/>
        <v>576.6761574</v>
      </c>
      <c r="HS103" s="1183">
        <f t="shared" si="6"/>
        <v>1808240050000</v>
      </c>
      <c r="HT103" s="1072">
        <f t="shared" si="6"/>
        <v>576.6761574</v>
      </c>
      <c r="HU103" s="1183">
        <f t="shared" si="6"/>
        <v>1808240050000</v>
      </c>
      <c r="HV103" s="1072">
        <f t="shared" si="6"/>
        <v>576.6761574</v>
      </c>
      <c r="HW103" s="1183">
        <f t="shared" si="6"/>
        <v>1808240050000</v>
      </c>
      <c r="HX103" s="1072">
        <f t="shared" si="6"/>
        <v>576.6761574</v>
      </c>
      <c r="HY103" s="1183">
        <f t="shared" si="6"/>
        <v>1808240050000</v>
      </c>
      <c r="HZ103" s="1072">
        <f t="shared" si="6"/>
        <v>307.6210995</v>
      </c>
      <c r="IA103" s="1183">
        <f t="shared" si="6"/>
        <v>567070000000000</v>
      </c>
      <c r="IB103" s="1072">
        <f t="shared" si="6"/>
        <v>853.6961111</v>
      </c>
      <c r="IC103" s="1183">
        <f t="shared" si="6"/>
        <v>664838130000000</v>
      </c>
      <c r="ID103" s="1072">
        <f t="shared" si="6"/>
        <v>853.6961111</v>
      </c>
      <c r="IE103" s="1183">
        <f t="shared" si="6"/>
        <v>664838130000000</v>
      </c>
      <c r="IF103" s="1072">
        <f t="shared" si="6"/>
        <v>853.6961111</v>
      </c>
      <c r="IG103" s="1183">
        <f t="shared" si="6"/>
        <v>664838130000000</v>
      </c>
      <c r="IH103" s="1072">
        <f t="shared" si="6"/>
        <v>1235.936111</v>
      </c>
      <c r="II103" s="1183">
        <f t="shared" si="6"/>
        <v>21116540000000</v>
      </c>
      <c r="IJ103" s="1072">
        <f t="shared" si="6"/>
        <v>1235.936111</v>
      </c>
      <c r="IK103" s="1183">
        <f t="shared" si="6"/>
        <v>21116540000000</v>
      </c>
      <c r="IL103" s="1072">
        <f t="shared" si="6"/>
        <v>1235.936111</v>
      </c>
      <c r="IM103" s="1183">
        <f t="shared" si="6"/>
        <v>25768190000000</v>
      </c>
      <c r="IN103" s="1072">
        <f t="shared" si="6"/>
        <v>1235.936111</v>
      </c>
      <c r="IO103" s="1183">
        <f t="shared" si="6"/>
        <v>25768190000000</v>
      </c>
      <c r="IP103" s="1072">
        <f t="shared" si="6"/>
        <v>1249.825694</v>
      </c>
      <c r="IQ103" s="1183">
        <f t="shared" si="6"/>
        <v>39716400000000</v>
      </c>
      <c r="IR103" s="1072">
        <f t="shared" si="6"/>
        <v>1235.936111</v>
      </c>
      <c r="IS103" s="1183">
        <f t="shared" si="6"/>
        <v>25768190000000</v>
      </c>
      <c r="IT103" s="1072">
        <f t="shared" si="6"/>
        <v>1235.936111</v>
      </c>
      <c r="IU103" s="1183">
        <f t="shared" si="6"/>
        <v>25768190000000</v>
      </c>
      <c r="IV103" s="1072">
        <f t="shared" si="6"/>
        <v>1235.936111</v>
      </c>
      <c r="IW103" s="1183">
        <f t="shared" si="6"/>
        <v>25768190000000</v>
      </c>
      <c r="IX103" s="1072">
        <f t="shared" si="6"/>
        <v>1235.936111</v>
      </c>
      <c r="IY103" s="1183">
        <f t="shared" si="6"/>
        <v>25768190000000</v>
      </c>
      <c r="IZ103" s="1072">
        <f t="shared" si="6"/>
        <v>1235.936111</v>
      </c>
      <c r="JA103" s="1183">
        <f t="shared" si="6"/>
        <v>30412140000000</v>
      </c>
      <c r="JB103" s="1072">
        <f t="shared" si="6"/>
        <v>1235.936111</v>
      </c>
      <c r="JC103" s="1183">
        <f t="shared" si="6"/>
        <v>30412140000000</v>
      </c>
      <c r="JD103" s="1072">
        <f t="shared" si="6"/>
        <v>1235.936111</v>
      </c>
      <c r="JE103" s="1183">
        <f t="shared" si="6"/>
        <v>30412140000000</v>
      </c>
      <c r="JF103" s="1072">
        <f t="shared" si="6"/>
        <v>1235.936111</v>
      </c>
      <c r="JG103" s="1183">
        <f t="shared" si="6"/>
        <v>30412140000000</v>
      </c>
      <c r="JH103" s="1072">
        <f t="shared" si="6"/>
        <v>272.5972222</v>
      </c>
      <c r="JI103" s="1183">
        <f t="shared" si="6"/>
        <v>16520890000000</v>
      </c>
      <c r="JJ103" s="1072">
        <f t="shared" si="6"/>
        <v>5021.766667</v>
      </c>
      <c r="JK103" s="1183">
        <f t="shared" si="6"/>
        <v>1.1625E+20</v>
      </c>
      <c r="JL103" s="1072">
        <f t="shared" si="6"/>
        <v>5021.766667</v>
      </c>
      <c r="JM103" s="1183">
        <f t="shared" si="6"/>
        <v>1.1625E+20</v>
      </c>
      <c r="JN103" s="1072">
        <f t="shared" si="6"/>
        <v>5021.766667</v>
      </c>
      <c r="JO103" s="1183">
        <f t="shared" si="6"/>
        <v>1.1625E+20</v>
      </c>
      <c r="JP103" s="1072">
        <f t="shared" si="6"/>
        <v>5021.766667</v>
      </c>
      <c r="JQ103" s="1183">
        <f t="shared" si="6"/>
        <v>1.1625E+20</v>
      </c>
      <c r="JR103" s="1072">
        <f t="shared" si="6"/>
        <v>5021.766667</v>
      </c>
      <c r="JS103" s="1183">
        <f t="shared" si="6"/>
        <v>1.1625E+20</v>
      </c>
      <c r="JT103" s="1072">
        <f t="shared" si="6"/>
        <v>5021.766667</v>
      </c>
      <c r="JU103" s="1183">
        <f t="shared" si="6"/>
        <v>1.1625E+20</v>
      </c>
      <c r="JV103" s="1072">
        <f t="shared" si="6"/>
        <v>1255.433333</v>
      </c>
      <c r="JW103" s="1183">
        <f t="shared" si="6"/>
        <v>6.05011E+16</v>
      </c>
      <c r="JX103" s="1072">
        <f t="shared" si="6"/>
        <v>59.74105324</v>
      </c>
      <c r="JY103" s="1183">
        <f t="shared" si="6"/>
        <v>19881980000</v>
      </c>
      <c r="JZ103" s="1072">
        <f t="shared" si="6"/>
        <v>484.4889815</v>
      </c>
      <c r="KA103" s="1183">
        <f t="shared" si="6"/>
        <v>13327870410000</v>
      </c>
      <c r="KB103" s="1072">
        <f t="shared" si="6"/>
        <v>249.605544</v>
      </c>
      <c r="KC103" s="1183">
        <f t="shared" si="6"/>
        <v>4501921030000</v>
      </c>
      <c r="KD103" s="1072">
        <f t="shared" si="6"/>
        <v>314.2041898</v>
      </c>
      <c r="KE103" s="1183">
        <f t="shared" si="6"/>
        <v>35614150000000</v>
      </c>
      <c r="KF103" s="1072">
        <f t="shared" si="6"/>
        <v>314.2041898</v>
      </c>
      <c r="KG103" s="1183">
        <f t="shared" si="6"/>
        <v>35614150000000</v>
      </c>
      <c r="KH103" s="1072">
        <f t="shared" si="6"/>
        <v>110.0883102</v>
      </c>
      <c r="KI103" s="1183">
        <f t="shared" si="6"/>
        <v>28425400000000</v>
      </c>
      <c r="KJ103" s="1072">
        <f t="shared" si="6"/>
        <v>2</v>
      </c>
      <c r="KK103" s="1183">
        <f t="shared" si="6"/>
        <v>10000000</v>
      </c>
      <c r="KL103" s="1072">
        <f t="shared" si="6"/>
        <v>1472.853738</v>
      </c>
      <c r="KM103" s="1183">
        <f t="shared" si="6"/>
        <v>2.06356E+15</v>
      </c>
      <c r="KN103" s="1072">
        <f t="shared" si="6"/>
        <v>495.8333333</v>
      </c>
      <c r="KO103" s="1183">
        <f t="shared" si="6"/>
        <v>5.50505E+16</v>
      </c>
      <c r="KP103" s="1072">
        <f t="shared" si="6"/>
        <v>495.8333333</v>
      </c>
      <c r="KQ103" s="1183">
        <f t="shared" si="6"/>
        <v>5.50505E+16</v>
      </c>
      <c r="KR103" s="1072">
        <f t="shared" si="6"/>
        <v>429.1666667</v>
      </c>
      <c r="KS103" s="1183">
        <f t="shared" si="6"/>
        <v>5.0505E+16</v>
      </c>
      <c r="KT103" s="1072">
        <f t="shared" si="6"/>
        <v>912.5</v>
      </c>
      <c r="KU103" s="1183">
        <f t="shared" si="6"/>
        <v>5.55555E+17</v>
      </c>
      <c r="KV103" s="1184"/>
      <c r="KW103" s="1184"/>
      <c r="KX103" s="1184"/>
      <c r="KY103" s="1184"/>
      <c r="KZ103" s="1184"/>
      <c r="LA103" s="1184"/>
      <c r="LB103" s="1184"/>
      <c r="LC103" s="1184"/>
      <c r="LD103" s="1184"/>
      <c r="LE103" s="1184"/>
      <c r="LF103" s="1184"/>
      <c r="LG103" s="1184"/>
      <c r="LH103" s="1184"/>
      <c r="LI103" s="1184"/>
      <c r="LJ103" s="1184"/>
      <c r="LK103" s="1184"/>
      <c r="LL103" s="1072">
        <f t="shared" ref="LL103:LO103" si="7">SUM(LL3:LL102)</f>
        <v>916.6666667</v>
      </c>
      <c r="LM103" s="1072">
        <f t="shared" si="7"/>
        <v>1.2475E+18</v>
      </c>
      <c r="LN103" s="1072">
        <f t="shared" si="7"/>
        <v>2834.867361</v>
      </c>
      <c r="LO103" s="1183">
        <f t="shared" si="7"/>
        <v>4.2E+19</v>
      </c>
      <c r="LP103" s="1185"/>
      <c r="LQ103" s="1185"/>
      <c r="LR103" s="1072">
        <f t="shared" ref="LR103:LS103" si="8">SUM(LR3:LR102)</f>
        <v>2834.867361</v>
      </c>
      <c r="LS103" s="1183">
        <f t="shared" si="8"/>
        <v>4.2E+19</v>
      </c>
      <c r="LT103" s="1185"/>
      <c r="LU103" s="1185"/>
      <c r="LV103" s="1072">
        <f t="shared" ref="LV103:LW103" si="9">SUM(LV3:LV102)</f>
        <v>2834.867361</v>
      </c>
      <c r="LW103" s="1183">
        <f t="shared" si="9"/>
        <v>4.2E+19</v>
      </c>
      <c r="LX103" s="1185"/>
      <c r="LY103" s="1185"/>
      <c r="LZ103" s="1072">
        <f t="shared" ref="LZ103:MA103" si="10">SUM(LZ3:LZ102)</f>
        <v>3401.840278</v>
      </c>
      <c r="MA103" s="1183">
        <f t="shared" si="10"/>
        <v>1.05E+20</v>
      </c>
      <c r="MB103" s="1185"/>
      <c r="MC103" s="1185"/>
      <c r="MD103" s="1072">
        <f t="shared" ref="MD103:ME103" si="11">SUM(MD3:MD102)</f>
        <v>3401.840278</v>
      </c>
      <c r="ME103" s="1183">
        <f t="shared" si="11"/>
        <v>1.05E+20</v>
      </c>
      <c r="MF103" s="1185"/>
      <c r="MG103" s="1185"/>
      <c r="MH103" s="1072">
        <f t="shared" ref="MH103:MI103" si="12">SUM(MH3:MH102)</f>
        <v>755.9631944</v>
      </c>
      <c r="MI103" s="1183">
        <f t="shared" si="12"/>
        <v>1.1333E+20</v>
      </c>
      <c r="MJ103" s="1185"/>
      <c r="MK103" s="1185"/>
      <c r="ML103" s="1072">
        <f t="shared" ref="ML103:MM103" si="13">SUM(ML3:ML102)</f>
        <v>755.9631944</v>
      </c>
      <c r="MM103" s="1183">
        <f t="shared" si="13"/>
        <v>1.1333E+20</v>
      </c>
      <c r="MN103" s="1185"/>
      <c r="MO103" s="1185"/>
      <c r="MP103" s="1072">
        <f t="shared" ref="MP103:MQ103" si="14">SUM(MP3:MP102)</f>
        <v>755.9631944</v>
      </c>
      <c r="MQ103" s="1183">
        <f t="shared" si="14"/>
        <v>1.1333E+20</v>
      </c>
      <c r="MR103" s="1185"/>
      <c r="MS103" s="1185"/>
      <c r="MT103" s="1072">
        <f t="shared" ref="MT103:MU103" si="15">SUM(MT3:MT102)</f>
        <v>1071.848611</v>
      </c>
      <c r="MU103" s="1183">
        <f t="shared" si="15"/>
        <v>2.046E+21</v>
      </c>
      <c r="MV103" s="1185"/>
      <c r="MW103" s="1185"/>
      <c r="MX103" s="1072">
        <f t="shared" ref="MX103:MY103" si="16">SUM(MX3:MX102)</f>
        <v>1071.848611</v>
      </c>
      <c r="MY103" s="1183">
        <f t="shared" si="16"/>
        <v>2.046E+21</v>
      </c>
    </row>
  </sheetData>
  <mergeCells count="180">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 ref="CN1:CO1"/>
    <mergeCell ref="CP1:CQ1"/>
    <mergeCell ref="CR1:CS1"/>
    <mergeCell ref="CT1:CU1"/>
    <mergeCell ref="CV1:CW1"/>
    <mergeCell ref="CX1:CY1"/>
    <mergeCell ref="CZ1:DA1"/>
    <mergeCell ref="DB1:DC1"/>
    <mergeCell ref="DD1:DE1"/>
    <mergeCell ref="DF1:DG1"/>
    <mergeCell ref="DH1:DI1"/>
    <mergeCell ref="DJ1:DK1"/>
    <mergeCell ref="DL1:DM1"/>
    <mergeCell ref="DN1:DO1"/>
    <mergeCell ref="DP1:DQ1"/>
    <mergeCell ref="DR1:DS1"/>
    <mergeCell ref="DT1:DU1"/>
    <mergeCell ref="DV1:DW1"/>
    <mergeCell ref="DX1:DY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FN1:FO1"/>
    <mergeCell ref="FP1:FQ1"/>
    <mergeCell ref="FR1:FS1"/>
    <mergeCell ref="FT1:FU1"/>
    <mergeCell ref="FV1:FW1"/>
    <mergeCell ref="FX1:FY1"/>
    <mergeCell ref="FZ1:GA1"/>
    <mergeCell ref="GB1:GC1"/>
    <mergeCell ref="GD1:GE1"/>
    <mergeCell ref="GF1:GG1"/>
    <mergeCell ref="GH1:GI1"/>
    <mergeCell ref="GJ1:GK1"/>
    <mergeCell ref="GL1:GM1"/>
    <mergeCell ref="GN1:GO1"/>
    <mergeCell ref="KL1:KM1"/>
    <mergeCell ref="KN1:KO1"/>
    <mergeCell ref="KP1:KQ1"/>
    <mergeCell ref="KR1:KS1"/>
    <mergeCell ref="KT1:KU1"/>
    <mergeCell ref="KV1:KW1"/>
    <mergeCell ref="KX1:KY1"/>
    <mergeCell ref="KZ1:LA1"/>
    <mergeCell ref="LB1:LC1"/>
    <mergeCell ref="LD1:LE1"/>
    <mergeCell ref="LF1:LG1"/>
    <mergeCell ref="LH1:LI1"/>
    <mergeCell ref="LJ1:LK1"/>
    <mergeCell ref="LL1:LM1"/>
    <mergeCell ref="LN1:LO1"/>
    <mergeCell ref="LP1:LQ1"/>
    <mergeCell ref="LR1:LS1"/>
    <mergeCell ref="LT1:LU1"/>
    <mergeCell ref="LV1:LW1"/>
    <mergeCell ref="LX1:LY1"/>
    <mergeCell ref="LZ1:MA1"/>
    <mergeCell ref="MP1:MQ1"/>
    <mergeCell ref="MR1:MS1"/>
    <mergeCell ref="MT1:MU1"/>
    <mergeCell ref="MV1:MW1"/>
    <mergeCell ref="MX1:MY1"/>
    <mergeCell ref="MB1:MC1"/>
    <mergeCell ref="MD1:ME1"/>
    <mergeCell ref="MF1:MG1"/>
    <mergeCell ref="MH1:MI1"/>
    <mergeCell ref="MJ1:MK1"/>
    <mergeCell ref="ML1:MM1"/>
    <mergeCell ref="MN1:MO1"/>
    <mergeCell ref="GP1:GQ1"/>
    <mergeCell ref="GR1:GS1"/>
    <mergeCell ref="GT1:GU1"/>
    <mergeCell ref="GV1:GW1"/>
    <mergeCell ref="GZ1:HA1"/>
    <mergeCell ref="HB1:HC1"/>
    <mergeCell ref="HD1:HE1"/>
    <mergeCell ref="HF1:HG1"/>
    <mergeCell ref="HH1:HI1"/>
    <mergeCell ref="HJ1:HK1"/>
    <mergeCell ref="HL1:HM1"/>
    <mergeCell ref="HN1:HO1"/>
    <mergeCell ref="HP1:HQ1"/>
    <mergeCell ref="HR1:HS1"/>
    <mergeCell ref="HT1:HU1"/>
    <mergeCell ref="HV1:HW1"/>
    <mergeCell ref="HX1:HY1"/>
    <mergeCell ref="HZ1:IA1"/>
    <mergeCell ref="IB1:IC1"/>
    <mergeCell ref="ID1:IE1"/>
    <mergeCell ref="IF1:IG1"/>
    <mergeCell ref="IH1:II1"/>
    <mergeCell ref="IJ1:IK1"/>
    <mergeCell ref="IL1:IM1"/>
    <mergeCell ref="IN1:IO1"/>
    <mergeCell ref="IP1:IQ1"/>
    <mergeCell ref="IR1:IS1"/>
    <mergeCell ref="IT1:IU1"/>
    <mergeCell ref="IV1:IW1"/>
    <mergeCell ref="IX1:IY1"/>
    <mergeCell ref="IZ1:JA1"/>
    <mergeCell ref="JB1:JC1"/>
    <mergeCell ref="JD1:JE1"/>
    <mergeCell ref="JF1:JG1"/>
    <mergeCell ref="JH1:JI1"/>
    <mergeCell ref="JJ1:JK1"/>
    <mergeCell ref="JL1:JM1"/>
    <mergeCell ref="JN1:JO1"/>
    <mergeCell ref="JP1:JQ1"/>
    <mergeCell ref="JR1:JS1"/>
    <mergeCell ref="JT1:JU1"/>
    <mergeCell ref="JV1:JW1"/>
    <mergeCell ref="JX1:JY1"/>
    <mergeCell ref="JZ1:KA1"/>
    <mergeCell ref="KB1:KC1"/>
    <mergeCell ref="KD1:KE1"/>
    <mergeCell ref="KF1:KG1"/>
    <mergeCell ref="KH1:KI1"/>
    <mergeCell ref="KJ1:KK1"/>
  </mergeCells>
  <conditionalFormatting sqref="Q89">
    <cfRule type="notContainsBlanks" dxfId="30" priority="1">
      <formula>LEN(TRIM(Q89))&gt;0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29.75"/>
    <col customWidth="1" min="2" max="2" width="15.0"/>
  </cols>
  <sheetData>
    <row r="1">
      <c r="A1" s="1186" t="s">
        <v>404</v>
      </c>
      <c r="B1" s="1186" t="s">
        <v>509</v>
      </c>
      <c r="C1" s="1186" t="s">
        <v>510</v>
      </c>
    </row>
    <row r="2">
      <c r="A2" s="1187" t="s">
        <v>154</v>
      </c>
    </row>
    <row r="3">
      <c r="A3" s="1187" t="s">
        <v>169</v>
      </c>
    </row>
    <row r="4">
      <c r="A4" s="1187" t="s">
        <v>180</v>
      </c>
      <c r="B4" s="1188" t="s">
        <v>511</v>
      </c>
      <c r="C4" s="1188">
        <v>40.0</v>
      </c>
    </row>
    <row r="5">
      <c r="A5" s="1187" t="s">
        <v>193</v>
      </c>
      <c r="B5" s="1188" t="s">
        <v>511</v>
      </c>
      <c r="C5" s="1188">
        <v>50.0</v>
      </c>
    </row>
    <row r="6">
      <c r="A6" s="1187" t="s">
        <v>215</v>
      </c>
      <c r="B6" s="1188" t="s">
        <v>511</v>
      </c>
      <c r="C6" s="1188">
        <v>60.0</v>
      </c>
    </row>
    <row r="7">
      <c r="A7" s="1187" t="s">
        <v>227</v>
      </c>
    </row>
    <row r="8">
      <c r="A8" s="1186" t="s">
        <v>238</v>
      </c>
      <c r="B8" s="1188" t="s">
        <v>512</v>
      </c>
      <c r="C8" s="1188">
        <v>150.0</v>
      </c>
    </row>
    <row r="9">
      <c r="A9" s="1187" t="s">
        <v>249</v>
      </c>
      <c r="B9" s="1188" t="s">
        <v>511</v>
      </c>
      <c r="C9" s="1188">
        <v>20.0</v>
      </c>
    </row>
    <row r="10">
      <c r="A10" s="1187" t="s">
        <v>260</v>
      </c>
      <c r="B10" s="1188" t="s">
        <v>512</v>
      </c>
      <c r="C10" s="1188">
        <v>250.0</v>
      </c>
    </row>
    <row r="11">
      <c r="A11" s="1187" t="s">
        <v>270</v>
      </c>
      <c r="B11" s="1188" t="s">
        <v>513</v>
      </c>
      <c r="C11" s="1188">
        <v>150.0</v>
      </c>
    </row>
    <row r="12">
      <c r="A12" s="1187" t="s">
        <v>278</v>
      </c>
      <c r="B12" s="1188" t="s">
        <v>512</v>
      </c>
      <c r="C12" s="1188">
        <v>400.0</v>
      </c>
    </row>
    <row r="13">
      <c r="A13" s="1187" t="s">
        <v>286</v>
      </c>
      <c r="B13" s="1188" t="s">
        <v>513</v>
      </c>
      <c r="C13" s="1188">
        <v>30.0</v>
      </c>
    </row>
    <row r="14">
      <c r="A14" s="1186" t="s">
        <v>294</v>
      </c>
      <c r="B14" s="1188" t="s">
        <v>513</v>
      </c>
      <c r="C14" s="1188">
        <v>30.0</v>
      </c>
    </row>
    <row r="15">
      <c r="A15" s="1186" t="s">
        <v>301</v>
      </c>
      <c r="B15" s="1188" t="s">
        <v>514</v>
      </c>
      <c r="C15" s="1188">
        <v>60.0</v>
      </c>
    </row>
    <row r="16">
      <c r="A16" s="1189" t="s">
        <v>308</v>
      </c>
      <c r="B16" s="1188" t="s">
        <v>515</v>
      </c>
      <c r="C16" s="1188">
        <v>60.0</v>
      </c>
    </row>
    <row r="17">
      <c r="A17" s="1189" t="s">
        <v>315</v>
      </c>
      <c r="B17" s="1188" t="s">
        <v>515</v>
      </c>
      <c r="C17" s="1188">
        <v>60.0</v>
      </c>
    </row>
    <row r="18">
      <c r="A18" s="1189" t="s">
        <v>322</v>
      </c>
      <c r="B18" s="1188" t="s">
        <v>515</v>
      </c>
      <c r="C18" s="1188">
        <v>60.0</v>
      </c>
    </row>
    <row r="19">
      <c r="A19" s="1187" t="s">
        <v>155</v>
      </c>
    </row>
    <row r="20">
      <c r="A20" s="1187" t="s">
        <v>170</v>
      </c>
    </row>
    <row r="21">
      <c r="A21" s="1187" t="s">
        <v>181</v>
      </c>
    </row>
    <row r="22">
      <c r="A22" s="1187" t="s">
        <v>195</v>
      </c>
      <c r="B22" s="1188" t="s">
        <v>511</v>
      </c>
      <c r="C22" s="1188">
        <v>30.0</v>
      </c>
    </row>
    <row r="23">
      <c r="A23" s="1187" t="s">
        <v>216</v>
      </c>
      <c r="B23" s="1188" t="s">
        <v>516</v>
      </c>
      <c r="C23" s="1188">
        <v>30.0</v>
      </c>
    </row>
    <row r="24">
      <c r="A24" s="1187" t="s">
        <v>228</v>
      </c>
      <c r="B24" s="1188" t="s">
        <v>517</v>
      </c>
      <c r="C24" s="1188">
        <v>200.0</v>
      </c>
    </row>
    <row r="25">
      <c r="A25" s="1187" t="s">
        <v>239</v>
      </c>
      <c r="B25" s="1188" t="s">
        <v>517</v>
      </c>
      <c r="C25" s="1188">
        <v>200.0</v>
      </c>
    </row>
    <row r="26">
      <c r="A26" s="1187" t="s">
        <v>250</v>
      </c>
      <c r="B26" s="1188" t="s">
        <v>518</v>
      </c>
      <c r="C26" s="1188">
        <v>10.0</v>
      </c>
    </row>
    <row r="27">
      <c r="A27" s="1187" t="s">
        <v>261</v>
      </c>
      <c r="B27" s="1188" t="s">
        <v>519</v>
      </c>
      <c r="C27" s="1188">
        <v>10.0</v>
      </c>
    </row>
    <row r="28">
      <c r="A28" s="1187" t="s">
        <v>156</v>
      </c>
    </row>
    <row r="29">
      <c r="A29" s="1187" t="s">
        <v>171</v>
      </c>
    </row>
    <row r="30">
      <c r="A30" s="1187" t="s">
        <v>182</v>
      </c>
    </row>
    <row r="31">
      <c r="A31" s="1187" t="s">
        <v>197</v>
      </c>
      <c r="B31" s="1188" t="s">
        <v>517</v>
      </c>
      <c r="C31" s="1188">
        <v>30.0</v>
      </c>
    </row>
    <row r="32">
      <c r="A32" s="1187" t="s">
        <v>217</v>
      </c>
      <c r="B32" s="1188" t="s">
        <v>516</v>
      </c>
      <c r="C32" s="1188">
        <v>80.0</v>
      </c>
    </row>
    <row r="33">
      <c r="A33" s="1187" t="s">
        <v>229</v>
      </c>
      <c r="B33" s="1188" t="s">
        <v>520</v>
      </c>
      <c r="C33" s="1188">
        <v>30.0</v>
      </c>
    </row>
    <row r="34">
      <c r="A34" s="1187" t="s">
        <v>240</v>
      </c>
      <c r="B34" s="1188" t="s">
        <v>520</v>
      </c>
      <c r="C34" s="1188">
        <v>30.0</v>
      </c>
    </row>
    <row r="35">
      <c r="A35" s="1187" t="s">
        <v>251</v>
      </c>
      <c r="B35" s="1188" t="s">
        <v>516</v>
      </c>
      <c r="C35" s="1188">
        <v>50.0</v>
      </c>
    </row>
    <row r="36">
      <c r="A36" s="1187" t="s">
        <v>262</v>
      </c>
      <c r="B36" s="1188" t="s">
        <v>520</v>
      </c>
      <c r="C36" s="1188">
        <v>750.0</v>
      </c>
    </row>
    <row r="37">
      <c r="A37" s="1187" t="s">
        <v>271</v>
      </c>
      <c r="B37" s="1188" t="s">
        <v>521</v>
      </c>
      <c r="C37" s="1188">
        <v>10.0</v>
      </c>
    </row>
    <row r="38">
      <c r="A38" s="1187" t="s">
        <v>279</v>
      </c>
      <c r="B38" s="1188" t="s">
        <v>521</v>
      </c>
      <c r="C38" s="1188">
        <v>10.0</v>
      </c>
    </row>
    <row r="39">
      <c r="A39" s="1187" t="s">
        <v>287</v>
      </c>
      <c r="B39" s="1188" t="s">
        <v>522</v>
      </c>
      <c r="C39" s="1188">
        <v>70.0</v>
      </c>
    </row>
    <row r="40">
      <c r="A40" s="1187" t="s">
        <v>295</v>
      </c>
      <c r="B40" s="1188" t="s">
        <v>522</v>
      </c>
      <c r="C40" s="1188">
        <v>70.0</v>
      </c>
    </row>
    <row r="41">
      <c r="A41" s="1187" t="s">
        <v>302</v>
      </c>
      <c r="B41" s="1188" t="s">
        <v>514</v>
      </c>
      <c r="C41" s="1188">
        <v>10.0</v>
      </c>
    </row>
    <row r="42">
      <c r="A42" s="1187" t="s">
        <v>309</v>
      </c>
      <c r="B42" s="1188" t="s">
        <v>523</v>
      </c>
      <c r="C42" s="1188">
        <v>40.0</v>
      </c>
    </row>
    <row r="43">
      <c r="A43" s="1187" t="s">
        <v>316</v>
      </c>
      <c r="B43" s="1188" t="s">
        <v>511</v>
      </c>
      <c r="C43" s="1188">
        <v>1000.0</v>
      </c>
    </row>
    <row r="44">
      <c r="A44" s="1187" t="s">
        <v>157</v>
      </c>
    </row>
    <row r="45">
      <c r="A45" s="1187" t="s">
        <v>172</v>
      </c>
    </row>
    <row r="46">
      <c r="A46" s="1187" t="s">
        <v>183</v>
      </c>
    </row>
    <row r="47">
      <c r="A47" s="1187" t="s">
        <v>199</v>
      </c>
    </row>
    <row r="48">
      <c r="A48" s="1187" t="s">
        <v>218</v>
      </c>
      <c r="B48" s="1188" t="s">
        <v>511</v>
      </c>
      <c r="C48" s="1188">
        <v>80.0</v>
      </c>
    </row>
    <row r="49">
      <c r="A49" s="1187" t="s">
        <v>230</v>
      </c>
      <c r="B49" s="1188" t="s">
        <v>511</v>
      </c>
      <c r="C49" s="1188">
        <v>80.0</v>
      </c>
    </row>
    <row r="50">
      <c r="A50" s="1187" t="s">
        <v>241</v>
      </c>
      <c r="B50" s="1188" t="s">
        <v>516</v>
      </c>
      <c r="C50" s="1188">
        <v>200.0</v>
      </c>
    </row>
    <row r="51">
      <c r="A51" s="1187" t="s">
        <v>252</v>
      </c>
      <c r="B51" s="1188" t="s">
        <v>520</v>
      </c>
      <c r="C51" s="1188">
        <v>150.0</v>
      </c>
    </row>
    <row r="52">
      <c r="A52" s="1187" t="s">
        <v>263</v>
      </c>
      <c r="B52" s="1188" t="s">
        <v>520</v>
      </c>
      <c r="C52" s="1188">
        <v>150.0</v>
      </c>
    </row>
    <row r="53">
      <c r="A53" s="1187" t="s">
        <v>272</v>
      </c>
      <c r="B53" s="1188" t="s">
        <v>520</v>
      </c>
      <c r="C53" s="1188">
        <v>150.0</v>
      </c>
    </row>
    <row r="54">
      <c r="A54" s="1187" t="s">
        <v>280</v>
      </c>
      <c r="B54" s="1188" t="s">
        <v>524</v>
      </c>
      <c r="C54" s="1188">
        <v>200.0</v>
      </c>
    </row>
    <row r="55">
      <c r="A55" s="1187" t="s">
        <v>288</v>
      </c>
      <c r="B55" s="1188" t="s">
        <v>524</v>
      </c>
      <c r="C55" s="1188">
        <v>200.0</v>
      </c>
    </row>
    <row r="56">
      <c r="A56" s="1187" t="s">
        <v>281</v>
      </c>
      <c r="B56" s="1188" t="s">
        <v>513</v>
      </c>
      <c r="C56" s="1188">
        <v>200.0</v>
      </c>
    </row>
    <row r="57">
      <c r="A57" s="1187" t="s">
        <v>289</v>
      </c>
      <c r="B57" s="1188" t="s">
        <v>513</v>
      </c>
      <c r="C57" s="1188">
        <v>200.0</v>
      </c>
    </row>
    <row r="58">
      <c r="A58" s="1187" t="s">
        <v>317</v>
      </c>
      <c r="B58" s="1188" t="s">
        <v>516</v>
      </c>
      <c r="C58" s="1188">
        <v>250.0</v>
      </c>
    </row>
    <row r="59">
      <c r="A59" s="1187" t="s">
        <v>323</v>
      </c>
      <c r="B59" s="1188" t="s">
        <v>516</v>
      </c>
      <c r="C59" s="1188">
        <v>250.0</v>
      </c>
    </row>
    <row r="60">
      <c r="A60" s="1187" t="s">
        <v>352</v>
      </c>
      <c r="B60" s="1188" t="s">
        <v>517</v>
      </c>
      <c r="C60" s="1188">
        <v>150.0</v>
      </c>
    </row>
    <row r="61">
      <c r="A61" s="1187" t="s">
        <v>354</v>
      </c>
      <c r="B61" s="1188" t="s">
        <v>517</v>
      </c>
      <c r="C61" s="1188">
        <v>500.0</v>
      </c>
    </row>
    <row r="62">
      <c r="A62" s="1187" t="s">
        <v>356</v>
      </c>
      <c r="B62" s="1188" t="s">
        <v>517</v>
      </c>
      <c r="C62" s="1188">
        <v>150.0</v>
      </c>
    </row>
    <row r="63">
      <c r="A63" s="1187" t="s">
        <v>201</v>
      </c>
      <c r="B63" s="1188" t="s">
        <v>519</v>
      </c>
      <c r="C63" s="1188">
        <v>90.0</v>
      </c>
    </row>
    <row r="64">
      <c r="A64" s="1187" t="s">
        <v>219</v>
      </c>
      <c r="B64" s="1188" t="s">
        <v>519</v>
      </c>
      <c r="C64" s="1188">
        <v>90.0</v>
      </c>
    </row>
    <row r="65">
      <c r="A65" s="1187" t="s">
        <v>231</v>
      </c>
      <c r="B65" s="1188" t="s">
        <v>519</v>
      </c>
      <c r="C65" s="1188">
        <v>90.0</v>
      </c>
    </row>
    <row r="66">
      <c r="A66" s="1187" t="s">
        <v>338</v>
      </c>
      <c r="B66" s="1188" t="s">
        <v>519</v>
      </c>
      <c r="C66" s="1188">
        <v>90.0</v>
      </c>
    </row>
    <row r="67">
      <c r="A67" s="1187" t="s">
        <v>358</v>
      </c>
      <c r="B67" s="1188" t="s">
        <v>519</v>
      </c>
      <c r="C67" s="1188">
        <v>80.0</v>
      </c>
    </row>
    <row r="68">
      <c r="A68" s="1187" t="s">
        <v>360</v>
      </c>
      <c r="B68" s="1188" t="s">
        <v>516</v>
      </c>
      <c r="C68" s="1188">
        <v>400.0</v>
      </c>
    </row>
    <row r="69">
      <c r="A69" s="1187" t="s">
        <v>242</v>
      </c>
      <c r="B69" s="1188" t="s">
        <v>519</v>
      </c>
      <c r="C69" s="1188">
        <v>50.0</v>
      </c>
    </row>
    <row r="70">
      <c r="A70" s="1187" t="s">
        <v>253</v>
      </c>
      <c r="B70" s="1188" t="s">
        <v>519</v>
      </c>
      <c r="C70" s="1188">
        <v>50.0</v>
      </c>
    </row>
    <row r="71">
      <c r="A71" s="1187" t="s">
        <v>264</v>
      </c>
      <c r="B71" s="1188" t="s">
        <v>519</v>
      </c>
      <c r="C71" s="1188">
        <v>50.0</v>
      </c>
    </row>
    <row r="72">
      <c r="A72" s="1187" t="s">
        <v>273</v>
      </c>
      <c r="B72" s="1188" t="s">
        <v>519</v>
      </c>
      <c r="C72" s="1188">
        <v>50.0</v>
      </c>
    </row>
    <row r="73">
      <c r="A73" s="1187" t="s">
        <v>328</v>
      </c>
      <c r="B73" s="1188" t="s">
        <v>519</v>
      </c>
      <c r="C73" s="1188">
        <v>40.0</v>
      </c>
    </row>
    <row r="74">
      <c r="A74" s="1187" t="s">
        <v>333</v>
      </c>
      <c r="B74" s="1188" t="s">
        <v>519</v>
      </c>
      <c r="C74" s="1188">
        <v>40.0</v>
      </c>
    </row>
    <row r="75">
      <c r="A75" s="1187" t="s">
        <v>350</v>
      </c>
      <c r="B75" s="1188" t="s">
        <v>519</v>
      </c>
      <c r="C75" s="1188">
        <v>40.0</v>
      </c>
    </row>
    <row r="76">
      <c r="A76" s="1187" t="s">
        <v>296</v>
      </c>
      <c r="B76" s="1188" t="s">
        <v>519</v>
      </c>
      <c r="C76" s="1188">
        <v>60.0</v>
      </c>
    </row>
    <row r="77">
      <c r="A77" s="1187" t="s">
        <v>303</v>
      </c>
      <c r="B77" s="1188" t="s">
        <v>519</v>
      </c>
      <c r="C77" s="1188">
        <v>60.0</v>
      </c>
    </row>
    <row r="78">
      <c r="A78" s="1187" t="s">
        <v>310</v>
      </c>
      <c r="B78" s="1188" t="s">
        <v>519</v>
      </c>
      <c r="C78" s="1188">
        <v>60.0</v>
      </c>
    </row>
    <row r="79">
      <c r="A79" s="1187" t="s">
        <v>158</v>
      </c>
      <c r="B79" s="1188" t="s">
        <v>519</v>
      </c>
      <c r="C79" s="1188">
        <v>30.0</v>
      </c>
    </row>
    <row r="80">
      <c r="A80" s="1187" t="s">
        <v>343</v>
      </c>
      <c r="B80" s="1188" t="s">
        <v>519</v>
      </c>
      <c r="C80" s="1188">
        <v>30.0</v>
      </c>
    </row>
    <row r="81">
      <c r="A81" s="1187" t="s">
        <v>348</v>
      </c>
      <c r="B81" s="1188" t="s">
        <v>521</v>
      </c>
      <c r="C81" s="1188">
        <v>50.0</v>
      </c>
    </row>
    <row r="82">
      <c r="A82" s="1187" t="s">
        <v>184</v>
      </c>
      <c r="B82" s="1188" t="s">
        <v>519</v>
      </c>
      <c r="C82" s="1188">
        <v>30.0</v>
      </c>
    </row>
    <row r="83">
      <c r="A83" s="1187" t="s">
        <v>173</v>
      </c>
      <c r="B83" s="1188" t="s">
        <v>519</v>
      </c>
      <c r="C83" s="1188">
        <v>30.0</v>
      </c>
    </row>
    <row r="84">
      <c r="A84" s="1187" t="s">
        <v>346</v>
      </c>
      <c r="B84" s="1188" t="s">
        <v>521</v>
      </c>
      <c r="C84" s="1188">
        <v>50.0</v>
      </c>
    </row>
    <row r="85">
      <c r="A85" s="1186" t="s">
        <v>362</v>
      </c>
      <c r="B85" s="1188" t="s">
        <v>523</v>
      </c>
      <c r="C85" s="1188">
        <v>20.0</v>
      </c>
    </row>
    <row r="86">
      <c r="A86" s="1186" t="s">
        <v>364</v>
      </c>
      <c r="B86" s="1188" t="s">
        <v>523</v>
      </c>
      <c r="C86" s="1188">
        <v>60.0</v>
      </c>
    </row>
    <row r="87">
      <c r="A87" s="1186" t="s">
        <v>366</v>
      </c>
      <c r="B87" s="1188" t="s">
        <v>525</v>
      </c>
      <c r="C87" s="1188">
        <v>60.0</v>
      </c>
    </row>
    <row r="88">
      <c r="A88" s="1186" t="s">
        <v>368</v>
      </c>
      <c r="B88" s="1188" t="s">
        <v>525</v>
      </c>
      <c r="C88" s="1188">
        <v>60.0</v>
      </c>
    </row>
    <row r="89">
      <c r="A89" s="1186" t="s">
        <v>370</v>
      </c>
      <c r="B89" s="1188" t="s">
        <v>525</v>
      </c>
      <c r="C89" s="1188">
        <v>60.0</v>
      </c>
    </row>
    <row r="90">
      <c r="A90" s="1186" t="s">
        <v>372</v>
      </c>
      <c r="B90" s="1188" t="s">
        <v>525</v>
      </c>
      <c r="C90" s="1188">
        <v>60.0</v>
      </c>
    </row>
    <row r="91">
      <c r="A91" s="1187" t="s">
        <v>374</v>
      </c>
      <c r="B91" s="1188" t="s">
        <v>516</v>
      </c>
      <c r="C91" s="1188">
        <v>250.0</v>
      </c>
    </row>
    <row r="92">
      <c r="A92" s="1187" t="s">
        <v>376</v>
      </c>
      <c r="B92" s="1188" t="s">
        <v>516</v>
      </c>
      <c r="C92" s="1188">
        <v>250.0</v>
      </c>
    </row>
    <row r="93">
      <c r="A93" s="1187" t="s">
        <v>378</v>
      </c>
      <c r="B93" s="1188" t="s">
        <v>516</v>
      </c>
      <c r="C93" s="1188">
        <v>250.0</v>
      </c>
    </row>
    <row r="94">
      <c r="A94" s="1190" t="s">
        <v>380</v>
      </c>
      <c r="B94" s="1188" t="s">
        <v>526</v>
      </c>
    </row>
    <row r="95">
      <c r="A95" s="1187" t="s">
        <v>159</v>
      </c>
      <c r="B95" s="1188" t="s">
        <v>516</v>
      </c>
      <c r="C95" s="1188">
        <v>150.0</v>
      </c>
    </row>
    <row r="96">
      <c r="A96" s="1187" t="s">
        <v>174</v>
      </c>
      <c r="B96" s="1188" t="s">
        <v>516</v>
      </c>
      <c r="C96" s="1188">
        <v>300.0</v>
      </c>
    </row>
    <row r="97">
      <c r="A97" s="1187" t="s">
        <v>185</v>
      </c>
      <c r="B97" s="1188" t="s">
        <v>520</v>
      </c>
      <c r="C97" s="1188">
        <v>50.0</v>
      </c>
    </row>
    <row r="98">
      <c r="A98" s="1187" t="s">
        <v>203</v>
      </c>
      <c r="B98" s="1188" t="s">
        <v>520</v>
      </c>
      <c r="C98" s="1188">
        <v>80.0</v>
      </c>
    </row>
    <row r="99">
      <c r="A99" s="1187" t="s">
        <v>220</v>
      </c>
      <c r="B99" s="1188" t="s">
        <v>513</v>
      </c>
      <c r="C99" s="1188">
        <v>300.0</v>
      </c>
    </row>
    <row r="100">
      <c r="A100" s="1187" t="s">
        <v>232</v>
      </c>
      <c r="B100" s="1188" t="s">
        <v>521</v>
      </c>
      <c r="C100" s="1188">
        <v>300.0</v>
      </c>
    </row>
    <row r="101">
      <c r="A101" s="1186" t="s">
        <v>243</v>
      </c>
      <c r="B101" s="1188" t="s">
        <v>523</v>
      </c>
      <c r="C101" s="1188">
        <v>60.0</v>
      </c>
    </row>
    <row r="102">
      <c r="A102" s="1186" t="s">
        <v>254</v>
      </c>
      <c r="B102" s="1188" t="s">
        <v>523</v>
      </c>
      <c r="C102" s="1188">
        <v>60.0</v>
      </c>
    </row>
    <row r="103">
      <c r="A103" s="1186" t="s">
        <v>265</v>
      </c>
      <c r="B103" s="1188" t="s">
        <v>523</v>
      </c>
      <c r="C103" s="1188">
        <v>60.0</v>
      </c>
    </row>
    <row r="104">
      <c r="A104" s="1187" t="s">
        <v>160</v>
      </c>
      <c r="B104" s="1188" t="s">
        <v>511</v>
      </c>
      <c r="C104" s="1188">
        <v>150.0</v>
      </c>
    </row>
    <row r="105">
      <c r="A105" s="1187" t="s">
        <v>175</v>
      </c>
      <c r="B105" s="1188" t="s">
        <v>511</v>
      </c>
      <c r="C105" s="1188">
        <v>150.0</v>
      </c>
    </row>
    <row r="106">
      <c r="A106" s="1187" t="s">
        <v>186</v>
      </c>
      <c r="B106" s="1188" t="s">
        <v>513</v>
      </c>
      <c r="C106" s="1188">
        <v>50.0</v>
      </c>
    </row>
    <row r="107">
      <c r="A107" s="1187" t="s">
        <v>205</v>
      </c>
      <c r="B107" s="1188" t="s">
        <v>511</v>
      </c>
      <c r="C107" s="1188">
        <v>150.0</v>
      </c>
    </row>
    <row r="108">
      <c r="A108" s="1187" t="s">
        <v>221</v>
      </c>
      <c r="B108" s="1188" t="s">
        <v>513</v>
      </c>
      <c r="C108" s="1188">
        <v>80.0</v>
      </c>
    </row>
    <row r="109">
      <c r="A109" s="1187" t="s">
        <v>233</v>
      </c>
      <c r="B109" s="1188" t="s">
        <v>511</v>
      </c>
      <c r="C109" s="1188">
        <v>250.0</v>
      </c>
    </row>
    <row r="110">
      <c r="A110" s="1187" t="s">
        <v>244</v>
      </c>
      <c r="B110" s="1188" t="s">
        <v>517</v>
      </c>
      <c r="C110" s="1188">
        <v>40.0</v>
      </c>
    </row>
    <row r="111">
      <c r="A111" s="1187" t="s">
        <v>255</v>
      </c>
      <c r="B111" s="1188" t="s">
        <v>511</v>
      </c>
      <c r="C111" s="1188">
        <v>400.0</v>
      </c>
    </row>
    <row r="112">
      <c r="A112" s="1186" t="s">
        <v>266</v>
      </c>
      <c r="B112" s="1188" t="s">
        <v>520</v>
      </c>
      <c r="C112" s="1188">
        <v>10.0</v>
      </c>
    </row>
    <row r="113">
      <c r="A113" s="1186" t="s">
        <v>161</v>
      </c>
      <c r="B113" s="1188" t="s">
        <v>517</v>
      </c>
      <c r="C113" s="1188">
        <v>60.0</v>
      </c>
    </row>
    <row r="114">
      <c r="A114" s="1186" t="s">
        <v>176</v>
      </c>
      <c r="B114" s="1188" t="s">
        <v>517</v>
      </c>
      <c r="C114" s="1188">
        <v>70.0</v>
      </c>
    </row>
    <row r="115">
      <c r="A115" s="1186" t="s">
        <v>187</v>
      </c>
      <c r="B115" s="1188" t="s">
        <v>517</v>
      </c>
      <c r="C115" s="1188">
        <v>80.0</v>
      </c>
    </row>
    <row r="116">
      <c r="A116" s="1186" t="s">
        <v>207</v>
      </c>
      <c r="B116" s="1188" t="s">
        <v>517</v>
      </c>
      <c r="C116" s="1188">
        <v>90.0</v>
      </c>
    </row>
    <row r="117">
      <c r="A117" s="1186" t="s">
        <v>222</v>
      </c>
      <c r="B117" s="1188" t="s">
        <v>522</v>
      </c>
      <c r="C117" s="1188">
        <v>60.0</v>
      </c>
    </row>
    <row r="118">
      <c r="A118" s="1186" t="s">
        <v>234</v>
      </c>
      <c r="B118" s="1188" t="s">
        <v>522</v>
      </c>
      <c r="C118" s="1188">
        <v>60.0</v>
      </c>
    </row>
    <row r="119">
      <c r="A119" s="1186" t="s">
        <v>245</v>
      </c>
      <c r="B119" s="1188" t="s">
        <v>522</v>
      </c>
      <c r="C119" s="1188">
        <v>60.0</v>
      </c>
    </row>
    <row r="120">
      <c r="A120" s="1186" t="s">
        <v>256</v>
      </c>
      <c r="B120" s="1188" t="s">
        <v>522</v>
      </c>
      <c r="C120" s="1188">
        <v>60.0</v>
      </c>
    </row>
    <row r="121">
      <c r="A121" s="1187" t="s">
        <v>162</v>
      </c>
      <c r="B121" s="1188" t="s">
        <v>527</v>
      </c>
      <c r="C121" s="1188">
        <v>10.0</v>
      </c>
    </row>
    <row r="122">
      <c r="A122" s="1187" t="s">
        <v>177</v>
      </c>
      <c r="B122" s="1188" t="s">
        <v>527</v>
      </c>
      <c r="C122" s="1188">
        <v>10.0</v>
      </c>
    </row>
    <row r="123">
      <c r="A123" s="1187" t="s">
        <v>188</v>
      </c>
      <c r="B123" s="1188" t="s">
        <v>527</v>
      </c>
      <c r="C123" s="1188">
        <v>20.0</v>
      </c>
    </row>
    <row r="124">
      <c r="A124" s="1187" t="s">
        <v>209</v>
      </c>
      <c r="B124" s="1188" t="s">
        <v>527</v>
      </c>
      <c r="C124" s="1188">
        <v>20.0</v>
      </c>
    </row>
    <row r="125">
      <c r="A125" s="1187" t="s">
        <v>223</v>
      </c>
      <c r="B125" s="1188" t="s">
        <v>527</v>
      </c>
      <c r="C125" s="1188">
        <v>300.0</v>
      </c>
    </row>
    <row r="126">
      <c r="A126" s="1187" t="s">
        <v>235</v>
      </c>
      <c r="B126" s="1188" t="s">
        <v>527</v>
      </c>
      <c r="C126" s="1188">
        <v>30.0</v>
      </c>
    </row>
    <row r="127">
      <c r="A127" s="1187" t="s">
        <v>246</v>
      </c>
      <c r="B127" s="1188" t="s">
        <v>527</v>
      </c>
      <c r="C127" s="1188">
        <v>30.0</v>
      </c>
    </row>
    <row r="128">
      <c r="A128" s="1187" t="s">
        <v>257</v>
      </c>
      <c r="B128" s="1188" t="s">
        <v>527</v>
      </c>
      <c r="C128" s="1188">
        <v>40.0</v>
      </c>
    </row>
    <row r="129">
      <c r="A129" s="1187" t="s">
        <v>267</v>
      </c>
      <c r="B129" s="1188" t="s">
        <v>527</v>
      </c>
      <c r="C129" s="1188">
        <v>40.0</v>
      </c>
    </row>
    <row r="130">
      <c r="A130" s="1187" t="s">
        <v>275</v>
      </c>
      <c r="B130" s="1188" t="s">
        <v>527</v>
      </c>
      <c r="C130" s="1188">
        <v>50.0</v>
      </c>
    </row>
    <row r="131">
      <c r="A131" s="1187" t="s">
        <v>283</v>
      </c>
      <c r="B131" s="1188" t="s">
        <v>527</v>
      </c>
      <c r="C131" s="1188">
        <v>50.0</v>
      </c>
    </row>
    <row r="132">
      <c r="A132" s="1187" t="s">
        <v>291</v>
      </c>
      <c r="B132" s="1188" t="s">
        <v>527</v>
      </c>
      <c r="C132" s="1188">
        <v>60.0</v>
      </c>
    </row>
    <row r="133">
      <c r="A133" s="1187" t="s">
        <v>298</v>
      </c>
      <c r="B133" s="1188" t="s">
        <v>527</v>
      </c>
      <c r="C133" s="1188">
        <v>60.0</v>
      </c>
    </row>
    <row r="134">
      <c r="A134" s="1187" t="s">
        <v>305</v>
      </c>
      <c r="B134" s="1188" t="s">
        <v>527</v>
      </c>
      <c r="C134" s="1188">
        <v>400.0</v>
      </c>
    </row>
    <row r="135">
      <c r="A135" s="1188" t="s">
        <v>312</v>
      </c>
      <c r="B135" s="1188" t="s">
        <v>528</v>
      </c>
      <c r="C135" s="1188">
        <v>60.0</v>
      </c>
    </row>
    <row r="136">
      <c r="A136" s="1186" t="s">
        <v>319</v>
      </c>
      <c r="B136" s="1188" t="s">
        <v>528</v>
      </c>
      <c r="C136" s="1188">
        <v>60.0</v>
      </c>
    </row>
    <row r="137">
      <c r="A137" s="1188" t="s">
        <v>325</v>
      </c>
      <c r="B137" s="1188" t="s">
        <v>528</v>
      </c>
      <c r="C137" s="1188">
        <v>60.0</v>
      </c>
    </row>
    <row r="138">
      <c r="A138" s="1186" t="s">
        <v>330</v>
      </c>
      <c r="B138" s="1188" t="s">
        <v>528</v>
      </c>
      <c r="C138" s="1188">
        <v>60.0</v>
      </c>
    </row>
    <row r="139">
      <c r="A139" s="1188" t="s">
        <v>335</v>
      </c>
      <c r="B139" s="1188" t="s">
        <v>528</v>
      </c>
      <c r="C139" s="1188">
        <v>60.0</v>
      </c>
    </row>
    <row r="140">
      <c r="A140" s="1186" t="s">
        <v>340</v>
      </c>
      <c r="B140" s="1188" t="s">
        <v>528</v>
      </c>
      <c r="C140" s="1188">
        <v>60.0</v>
      </c>
    </row>
    <row r="141">
      <c r="A141" s="1188" t="s">
        <v>345</v>
      </c>
      <c r="B141" s="1188" t="s">
        <v>518</v>
      </c>
      <c r="C141" s="1188">
        <v>80.0</v>
      </c>
    </row>
    <row r="142">
      <c r="A142" s="1187" t="s">
        <v>163</v>
      </c>
      <c r="B142" s="1188" t="s">
        <v>513</v>
      </c>
      <c r="C142" s="1188">
        <v>70.0</v>
      </c>
    </row>
    <row r="143">
      <c r="A143" s="1187" t="s">
        <v>178</v>
      </c>
      <c r="B143" s="1188" t="s">
        <v>513</v>
      </c>
      <c r="C143" s="1188">
        <v>70.0</v>
      </c>
    </row>
    <row r="144">
      <c r="A144" s="1187" t="s">
        <v>189</v>
      </c>
      <c r="B144" s="1188" t="s">
        <v>513</v>
      </c>
      <c r="C144" s="1188">
        <v>70.0</v>
      </c>
    </row>
    <row r="145">
      <c r="A145" s="1187" t="s">
        <v>211</v>
      </c>
      <c r="B145" s="1188" t="s">
        <v>522</v>
      </c>
      <c r="C145" s="1188">
        <v>40.0</v>
      </c>
    </row>
    <row r="146">
      <c r="A146" s="1187" t="s">
        <v>224</v>
      </c>
      <c r="B146" s="1188" t="s">
        <v>522</v>
      </c>
      <c r="C146" s="1188">
        <v>40.0</v>
      </c>
    </row>
    <row r="147">
      <c r="A147" s="1190" t="s">
        <v>236</v>
      </c>
      <c r="B147" s="1188" t="s">
        <v>522</v>
      </c>
      <c r="C147" s="1188">
        <v>40.0</v>
      </c>
    </row>
    <row r="148">
      <c r="A148" s="1190" t="s">
        <v>247</v>
      </c>
      <c r="B148" s="1188" t="s">
        <v>521</v>
      </c>
      <c r="C148" s="1188">
        <v>20.0</v>
      </c>
    </row>
    <row r="149">
      <c r="A149" s="1190" t="s">
        <v>258</v>
      </c>
      <c r="B149" s="1188" t="s">
        <v>525</v>
      </c>
      <c r="C149" s="1188">
        <v>40.0</v>
      </c>
    </row>
    <row r="150">
      <c r="A150" s="1190" t="s">
        <v>268</v>
      </c>
      <c r="B150" s="1188" t="s">
        <v>511</v>
      </c>
      <c r="C150" s="1186">
        <v>20.0</v>
      </c>
    </row>
    <row r="151">
      <c r="A151" s="1190" t="s">
        <v>276</v>
      </c>
      <c r="B151" s="1188" t="s">
        <v>511</v>
      </c>
      <c r="C151" s="1186">
        <v>20.0</v>
      </c>
    </row>
    <row r="152">
      <c r="A152" s="1190" t="s">
        <v>284</v>
      </c>
      <c r="B152" s="1188" t="s">
        <v>511</v>
      </c>
      <c r="C152" s="1186">
        <v>20.0</v>
      </c>
    </row>
    <row r="153">
      <c r="A153" s="1190" t="s">
        <v>292</v>
      </c>
      <c r="B153" s="1188" t="s">
        <v>511</v>
      </c>
      <c r="C153" s="1186">
        <v>20.0</v>
      </c>
    </row>
    <row r="154">
      <c r="A154" s="1190" t="s">
        <v>299</v>
      </c>
      <c r="B154" s="1188" t="s">
        <v>528</v>
      </c>
      <c r="C154" s="1188">
        <v>50.0</v>
      </c>
    </row>
    <row r="155">
      <c r="A155" s="1190" t="s">
        <v>306</v>
      </c>
      <c r="B155" s="1188" t="s">
        <v>528</v>
      </c>
      <c r="C155" s="1188">
        <v>50.0</v>
      </c>
    </row>
    <row r="156">
      <c r="A156" s="1190" t="s">
        <v>313</v>
      </c>
      <c r="B156" s="1188" t="s">
        <v>528</v>
      </c>
      <c r="C156" s="1188">
        <v>50.0</v>
      </c>
    </row>
    <row r="157">
      <c r="A157" s="1190" t="s">
        <v>320</v>
      </c>
      <c r="B157" s="1188" t="s">
        <v>528</v>
      </c>
      <c r="C157" s="1188">
        <v>50.0</v>
      </c>
    </row>
    <row r="158">
      <c r="A158" s="1190" t="s">
        <v>326</v>
      </c>
      <c r="B158" s="1188" t="s">
        <v>528</v>
      </c>
      <c r="C158" s="1188">
        <v>50.0</v>
      </c>
    </row>
    <row r="159">
      <c r="A159" s="1190" t="s">
        <v>331</v>
      </c>
      <c r="B159" s="1188" t="s">
        <v>528</v>
      </c>
      <c r="C159" s="1188">
        <v>50.0</v>
      </c>
    </row>
    <row r="160">
      <c r="A160" s="1190" t="s">
        <v>336</v>
      </c>
      <c r="B160" s="1188" t="s">
        <v>528</v>
      </c>
      <c r="C160" s="1188">
        <v>50.0</v>
      </c>
    </row>
    <row r="161">
      <c r="A161" s="1190" t="s">
        <v>341</v>
      </c>
      <c r="B161" s="1188" t="s">
        <v>528</v>
      </c>
      <c r="C161" s="1188">
        <v>50.0</v>
      </c>
    </row>
    <row r="162">
      <c r="A162" s="1190" t="s">
        <v>274</v>
      </c>
      <c r="B162" s="1188" t="s">
        <v>525</v>
      </c>
      <c r="C162" s="1188">
        <v>100.0</v>
      </c>
    </row>
    <row r="163">
      <c r="A163" s="1190" t="s">
        <v>282</v>
      </c>
      <c r="B163" s="1188" t="s">
        <v>525</v>
      </c>
      <c r="C163" s="1188">
        <v>100.0</v>
      </c>
    </row>
    <row r="164">
      <c r="A164" s="1190" t="s">
        <v>290</v>
      </c>
      <c r="B164" s="1188" t="s">
        <v>525</v>
      </c>
      <c r="C164" s="1188">
        <v>100.0</v>
      </c>
    </row>
    <row r="165">
      <c r="A165" s="1190" t="s">
        <v>297</v>
      </c>
      <c r="B165" s="1188" t="s">
        <v>525</v>
      </c>
      <c r="C165" s="1188">
        <v>100.0</v>
      </c>
    </row>
    <row r="166">
      <c r="A166" s="1190" t="s">
        <v>304</v>
      </c>
      <c r="B166" s="1188" t="s">
        <v>525</v>
      </c>
      <c r="C166" s="1188">
        <v>100.0</v>
      </c>
    </row>
    <row r="167">
      <c r="A167" s="1190" t="s">
        <v>311</v>
      </c>
      <c r="B167" s="1188" t="s">
        <v>525</v>
      </c>
      <c r="C167" s="1188">
        <v>100.0</v>
      </c>
    </row>
    <row r="168">
      <c r="A168" s="1190" t="s">
        <v>318</v>
      </c>
      <c r="B168" s="1188" t="s">
        <v>525</v>
      </c>
      <c r="C168" s="1188">
        <v>100.0</v>
      </c>
    </row>
    <row r="169">
      <c r="A169" s="1190" t="s">
        <v>324</v>
      </c>
      <c r="B169" s="1188" t="s">
        <v>525</v>
      </c>
      <c r="C169" s="1188">
        <v>100.0</v>
      </c>
    </row>
    <row r="170">
      <c r="A170" s="1190" t="s">
        <v>329</v>
      </c>
      <c r="B170" s="1188" t="s">
        <v>525</v>
      </c>
      <c r="C170" s="1188">
        <v>100.0</v>
      </c>
    </row>
    <row r="171">
      <c r="A171" s="1190" t="s">
        <v>334</v>
      </c>
      <c r="B171" s="1188" t="s">
        <v>525</v>
      </c>
      <c r="C171" s="1188">
        <v>100.0</v>
      </c>
    </row>
    <row r="172">
      <c r="A172" s="1190" t="s">
        <v>339</v>
      </c>
      <c r="B172" s="1188" t="s">
        <v>525</v>
      </c>
      <c r="C172" s="1188">
        <v>100.0</v>
      </c>
    </row>
    <row r="173">
      <c r="A173" s="1190" t="s">
        <v>344</v>
      </c>
      <c r="B173" s="1188" t="s">
        <v>525</v>
      </c>
      <c r="C173" s="1188">
        <v>100.0</v>
      </c>
    </row>
    <row r="174">
      <c r="A174" s="1190" t="s">
        <v>347</v>
      </c>
      <c r="B174" s="1188" t="s">
        <v>525</v>
      </c>
      <c r="C174" s="1188">
        <v>100.0</v>
      </c>
    </row>
    <row r="175">
      <c r="A175" s="1190" t="s">
        <v>349</v>
      </c>
      <c r="B175" s="1188" t="s">
        <v>525</v>
      </c>
      <c r="C175" s="1188">
        <v>100.0</v>
      </c>
    </row>
    <row r="176">
      <c r="A176" s="1190" t="s">
        <v>351</v>
      </c>
      <c r="B176" s="1188" t="s">
        <v>525</v>
      </c>
      <c r="C176" s="1188">
        <v>100.0</v>
      </c>
    </row>
    <row r="177">
      <c r="A177" s="1190" t="s">
        <v>353</v>
      </c>
      <c r="B177" s="1188" t="s">
        <v>525</v>
      </c>
      <c r="C177" s="1188">
        <v>100.0</v>
      </c>
    </row>
    <row r="178">
      <c r="A178" s="1190" t="s">
        <v>355</v>
      </c>
      <c r="B178" s="1188" t="s">
        <v>525</v>
      </c>
      <c r="C178" s="1188">
        <v>100.0</v>
      </c>
    </row>
    <row r="179">
      <c r="A179" s="1190" t="s">
        <v>357</v>
      </c>
      <c r="B179" s="1188" t="s">
        <v>525</v>
      </c>
      <c r="C179" s="1188">
        <v>100.0</v>
      </c>
    </row>
    <row r="180">
      <c r="A180" s="1190" t="s">
        <v>359</v>
      </c>
      <c r="B180" s="1188" t="s">
        <v>525</v>
      </c>
      <c r="C180" s="1188">
        <v>100.0</v>
      </c>
    </row>
    <row r="181">
      <c r="A181" s="1190" t="s">
        <v>361</v>
      </c>
      <c r="B181" s="1188" t="s">
        <v>525</v>
      </c>
      <c r="C181" s="1188">
        <v>100.0</v>
      </c>
    </row>
    <row r="182">
      <c r="A182" s="1190" t="s">
        <v>363</v>
      </c>
      <c r="B182" s="1188" t="s">
        <v>525</v>
      </c>
      <c r="C182" s="1188">
        <v>100.0</v>
      </c>
    </row>
    <row r="183">
      <c r="A183" s="1190" t="s">
        <v>365</v>
      </c>
      <c r="B183" s="1188" t="s">
        <v>525</v>
      </c>
      <c r="C183" s="1188">
        <v>100.0</v>
      </c>
    </row>
    <row r="184">
      <c r="A184" s="1190" t="s">
        <v>367</v>
      </c>
      <c r="B184" s="1188" t="s">
        <v>525</v>
      </c>
      <c r="C184" s="1188">
        <v>100.0</v>
      </c>
    </row>
    <row r="185">
      <c r="A185" s="1190" t="s">
        <v>369</v>
      </c>
      <c r="B185" s="1188" t="s">
        <v>525</v>
      </c>
      <c r="C185" s="1188">
        <v>100.0</v>
      </c>
    </row>
    <row r="186">
      <c r="A186" s="1190" t="s">
        <v>371</v>
      </c>
      <c r="B186" s="1188" t="s">
        <v>525</v>
      </c>
      <c r="C186" s="1188">
        <v>100.0</v>
      </c>
    </row>
    <row r="187">
      <c r="A187" s="1190" t="s">
        <v>373</v>
      </c>
      <c r="B187" s="1188" t="s">
        <v>525</v>
      </c>
      <c r="C187" s="1188">
        <v>100.0</v>
      </c>
    </row>
    <row r="188">
      <c r="A188" s="1190" t="s">
        <v>375</v>
      </c>
      <c r="B188" s="1188" t="s">
        <v>525</v>
      </c>
      <c r="C188" s="1188">
        <v>100.0</v>
      </c>
    </row>
    <row r="189">
      <c r="A189" s="1190" t="s">
        <v>377</v>
      </c>
      <c r="B189" s="1188" t="s">
        <v>525</v>
      </c>
      <c r="C189" s="1188">
        <v>100.0</v>
      </c>
    </row>
    <row r="190">
      <c r="A190" s="1190" t="s">
        <v>379</v>
      </c>
      <c r="B190" s="1188" t="s">
        <v>525</v>
      </c>
      <c r="C190" s="1188">
        <v>100.0</v>
      </c>
    </row>
    <row r="191">
      <c r="A191" s="1190" t="s">
        <v>381</v>
      </c>
      <c r="B191" s="1188" t="s">
        <v>525</v>
      </c>
      <c r="C191" s="1188">
        <v>100.0</v>
      </c>
    </row>
    <row r="192">
      <c r="A192" s="1189" t="s">
        <v>382</v>
      </c>
      <c r="B192" s="1188" t="s">
        <v>525</v>
      </c>
      <c r="C192" s="1188">
        <v>100.0</v>
      </c>
    </row>
    <row r="193">
      <c r="A193" s="1190" t="s">
        <v>164</v>
      </c>
      <c r="B193" s="1188" t="s">
        <v>529</v>
      </c>
      <c r="C193" s="1188">
        <v>1000.0</v>
      </c>
    </row>
    <row r="194">
      <c r="A194" s="1190" t="s">
        <v>179</v>
      </c>
      <c r="B194" s="1188" t="s">
        <v>528</v>
      </c>
      <c r="C194" s="1188">
        <v>100.0</v>
      </c>
    </row>
    <row r="195">
      <c r="A195" s="1190" t="s">
        <v>190</v>
      </c>
      <c r="B195" s="1188" t="s">
        <v>528</v>
      </c>
      <c r="C195" s="1188">
        <v>100.0</v>
      </c>
    </row>
    <row r="196">
      <c r="A196" s="1190" t="s">
        <v>213</v>
      </c>
      <c r="B196" s="1188" t="s">
        <v>528</v>
      </c>
      <c r="C196" s="1188">
        <v>100.0</v>
      </c>
    </row>
    <row r="197">
      <c r="A197" s="1190" t="s">
        <v>225</v>
      </c>
      <c r="B197" s="1188" t="s">
        <v>528</v>
      </c>
      <c r="C197" s="1188">
        <v>100.0</v>
      </c>
    </row>
    <row r="198">
      <c r="A198" s="1190" t="s">
        <v>237</v>
      </c>
      <c r="B198" s="1188" t="s">
        <v>528</v>
      </c>
      <c r="C198" s="1188">
        <v>100.0</v>
      </c>
    </row>
    <row r="199">
      <c r="A199" s="1190" t="s">
        <v>248</v>
      </c>
      <c r="B199" s="1188" t="s">
        <v>530</v>
      </c>
      <c r="C199" s="1188">
        <v>60.0</v>
      </c>
    </row>
    <row r="200">
      <c r="A200" s="1190" t="s">
        <v>259</v>
      </c>
      <c r="B200" s="1188" t="s">
        <v>530</v>
      </c>
      <c r="C200" s="1188">
        <v>60.0</v>
      </c>
    </row>
    <row r="201">
      <c r="A201" s="1191" t="s">
        <v>269</v>
      </c>
      <c r="B201" s="1188" t="s">
        <v>530</v>
      </c>
      <c r="C201" s="1188">
        <v>60.0</v>
      </c>
    </row>
    <row r="202">
      <c r="A202" s="1191" t="s">
        <v>277</v>
      </c>
      <c r="B202" s="1188" t="s">
        <v>530</v>
      </c>
      <c r="C202" s="1188">
        <v>60.0</v>
      </c>
    </row>
    <row r="203">
      <c r="A203" s="1191" t="s">
        <v>285</v>
      </c>
      <c r="B203" s="1188" t="s">
        <v>528</v>
      </c>
      <c r="C203" s="1188">
        <v>500.0</v>
      </c>
    </row>
    <row r="204">
      <c r="A204" s="1191" t="s">
        <v>293</v>
      </c>
      <c r="B204" s="1188" t="s">
        <v>528</v>
      </c>
      <c r="C204" s="1188">
        <v>500.0</v>
      </c>
    </row>
    <row r="205">
      <c r="A205" s="1191" t="s">
        <v>300</v>
      </c>
      <c r="B205" s="1188" t="s">
        <v>528</v>
      </c>
      <c r="C205" s="1188">
        <v>500.0</v>
      </c>
    </row>
    <row r="206">
      <c r="A206" s="1191" t="s">
        <v>307</v>
      </c>
      <c r="B206" s="1188" t="s">
        <v>528</v>
      </c>
      <c r="C206" s="1188">
        <v>500.0</v>
      </c>
    </row>
    <row r="207">
      <c r="A207" s="1191" t="s">
        <v>314</v>
      </c>
      <c r="B207" s="1188" t="s">
        <v>528</v>
      </c>
      <c r="C207" s="1188">
        <v>500.0</v>
      </c>
    </row>
    <row r="208">
      <c r="A208" s="1191" t="s">
        <v>321</v>
      </c>
      <c r="B208" s="1188" t="s">
        <v>528</v>
      </c>
      <c r="C208" s="1188">
        <v>500.0</v>
      </c>
    </row>
    <row r="209">
      <c r="A209" s="1192" t="s">
        <v>327</v>
      </c>
      <c r="B209" s="1188" t="s">
        <v>515</v>
      </c>
      <c r="C209" s="1188">
        <v>1000.0</v>
      </c>
    </row>
    <row r="210">
      <c r="A210" s="1191" t="s">
        <v>332</v>
      </c>
      <c r="B210" s="1188" t="s">
        <v>515</v>
      </c>
      <c r="C210" s="1188">
        <v>1000.0</v>
      </c>
    </row>
    <row r="211">
      <c r="A211" s="1191" t="s">
        <v>337</v>
      </c>
      <c r="B211" s="1188" t="s">
        <v>515</v>
      </c>
      <c r="C211" s="1188">
        <v>1000.0</v>
      </c>
    </row>
    <row r="212">
      <c r="A212" s="1191" t="s">
        <v>342</v>
      </c>
      <c r="B212" s="1188" t="s">
        <v>515</v>
      </c>
      <c r="C212" s="1188">
        <v>1000.0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ollapsed="1" customWidth="1" min="1" max="1" width="2.5"/>
    <col customWidth="1" hidden="1" min="2" max="2" width="5.13" outlineLevel="1"/>
    <col customWidth="1" hidden="1" min="3" max="3" width="24.25" outlineLevel="1"/>
    <col customWidth="1" hidden="1" min="4" max="4" width="5.75" outlineLevel="1"/>
    <col customWidth="1" hidden="1" min="5" max="5" width="6.13" outlineLevel="1"/>
    <col collapsed="1" customWidth="1" hidden="1" min="6" max="6" width="34.88" outlineLevel="1"/>
    <col customWidth="1" hidden="1" min="7" max="7" width="10.25" outlineLevel="2"/>
    <col customWidth="1" hidden="1" min="8" max="8" width="4.88" outlineLevel="2"/>
    <col customWidth="1" hidden="1" min="9" max="9" width="5.13" outlineLevel="2"/>
    <col customWidth="1" hidden="1" min="10" max="10" width="34.88" outlineLevel="2"/>
    <col customWidth="1" hidden="1" min="11" max="11" width="2.0" outlineLevel="1"/>
    <col customWidth="1" min="12" max="12" width="20.0"/>
    <col customWidth="1" hidden="1" min="13" max="17" width="20.0"/>
    <col customWidth="1" min="18" max="18" width="20.0"/>
    <col customWidth="1" hidden="1" min="19" max="23" width="20.0"/>
    <col customWidth="1" min="24" max="24" width="20.0"/>
    <col customWidth="1" hidden="1" min="25" max="29" width="20.0"/>
    <col customWidth="1" min="30" max="30" width="20.0"/>
    <col customWidth="1" hidden="1" min="31" max="35" width="20.0"/>
    <col customWidth="1" min="36" max="36" width="20.0"/>
    <col customWidth="1" hidden="1" min="37" max="41" width="20.0"/>
    <col customWidth="1" min="42" max="42" width="20.0"/>
    <col customWidth="1" hidden="1" min="43" max="47" width="20.0"/>
    <col customWidth="1" min="48" max="48" width="20.0"/>
    <col customWidth="1" hidden="1" min="49" max="53" width="20.0"/>
    <col customWidth="1" min="54" max="54" width="20.0"/>
    <col customWidth="1" hidden="1" min="55" max="59" width="20.0"/>
    <col customWidth="1" min="60" max="60" width="20.0"/>
    <col customWidth="1" hidden="1" min="61" max="65" width="20.0"/>
    <col customWidth="1" min="66" max="66" width="2.0"/>
    <col customWidth="1" hidden="1" min="67" max="67" width="22.63"/>
  </cols>
  <sheetData>
    <row r="1">
      <c r="A1" s="1193"/>
      <c r="B1" s="1194" t="s">
        <v>531</v>
      </c>
      <c r="C1" s="884"/>
      <c r="D1" s="1194" t="s">
        <v>532</v>
      </c>
      <c r="E1" s="1195"/>
      <c r="F1" s="884"/>
      <c r="G1" s="1196" t="s">
        <v>533</v>
      </c>
      <c r="H1" s="1195"/>
      <c r="I1" s="1195"/>
      <c r="J1" s="1195"/>
      <c r="K1" s="1197"/>
      <c r="L1" s="1198" t="s">
        <v>534</v>
      </c>
      <c r="M1" s="1199"/>
      <c r="N1" s="1200"/>
      <c r="O1" s="1200"/>
      <c r="P1" s="1201"/>
      <c r="Q1" s="1199"/>
      <c r="R1" s="1202" t="s">
        <v>535</v>
      </c>
      <c r="S1" s="1203"/>
      <c r="T1" s="1204"/>
      <c r="U1" s="1204"/>
      <c r="V1" s="1205"/>
      <c r="W1" s="1203"/>
      <c r="X1" s="1206" t="s">
        <v>536</v>
      </c>
      <c r="Y1" s="1207"/>
      <c r="Z1" s="1208"/>
      <c r="AA1" s="1208"/>
      <c r="AB1" s="1209"/>
      <c r="AC1" s="1207"/>
      <c r="AD1" s="1210" t="s">
        <v>147</v>
      </c>
      <c r="AE1" s="1203"/>
      <c r="AF1" s="1204"/>
      <c r="AG1" s="1204"/>
      <c r="AH1" s="1205"/>
      <c r="AI1" s="1203"/>
      <c r="AJ1" s="1211" t="s">
        <v>537</v>
      </c>
      <c r="AK1" s="1202"/>
      <c r="AL1" s="1212"/>
      <c r="AM1" s="1212"/>
      <c r="AN1" s="1209"/>
      <c r="AO1" s="1202"/>
      <c r="AP1" s="1213" t="b">
        <v>1</v>
      </c>
      <c r="AQ1" s="1203"/>
      <c r="AR1" s="1204"/>
      <c r="AS1" s="1204"/>
      <c r="AT1" s="1205"/>
      <c r="AU1" s="1203"/>
      <c r="AV1" s="1214" t="s">
        <v>538</v>
      </c>
      <c r="AW1" s="1202"/>
      <c r="AX1" s="1212"/>
      <c r="AY1" s="1212"/>
      <c r="AZ1" s="1209"/>
      <c r="BA1" s="1202"/>
      <c r="BB1" s="1215" t="s">
        <v>539</v>
      </c>
      <c r="BC1" s="1203"/>
      <c r="BD1" s="1204"/>
      <c r="BE1" s="1204"/>
      <c r="BF1" s="1205"/>
      <c r="BG1" s="1203"/>
      <c r="BH1" s="1216" t="s">
        <v>409</v>
      </c>
      <c r="BI1" s="1217"/>
      <c r="BJ1" s="1218"/>
      <c r="BK1" s="1218"/>
      <c r="BL1" s="1219"/>
      <c r="BM1" s="1217"/>
      <c r="BN1" s="1220"/>
      <c r="BO1" s="1221"/>
    </row>
    <row r="2">
      <c r="A2" s="1222"/>
      <c r="B2" s="1223" t="s">
        <v>509</v>
      </c>
      <c r="C2" s="1223" t="s">
        <v>404</v>
      </c>
      <c r="D2" s="1224" t="s">
        <v>540</v>
      </c>
      <c r="E2" s="884"/>
      <c r="F2" s="1225" t="s">
        <v>541</v>
      </c>
      <c r="G2" s="1226" t="s">
        <v>542</v>
      </c>
      <c r="H2" s="1227" t="s">
        <v>540</v>
      </c>
      <c r="I2" s="884"/>
      <c r="J2" s="1228" t="s">
        <v>541</v>
      </c>
      <c r="K2" s="1229"/>
      <c r="L2" s="1230" t="s">
        <v>543</v>
      </c>
      <c r="M2" s="1230" t="str">
        <f>L2</f>
        <v>S+</v>
      </c>
      <c r="N2" s="1231" t="str">
        <f t="shared" ref="N2:O2" si="1">L2</f>
        <v>S+</v>
      </c>
      <c r="O2" s="1231" t="str">
        <f t="shared" si="1"/>
        <v>S+</v>
      </c>
      <c r="P2" s="1230" t="str">
        <f>L2</f>
        <v>S+</v>
      </c>
      <c r="Q2" s="1232" t="str">
        <f>L2</f>
        <v>S+</v>
      </c>
      <c r="R2" s="1233" t="s">
        <v>544</v>
      </c>
      <c r="S2" s="1230" t="str">
        <f>R2</f>
        <v>S</v>
      </c>
      <c r="T2" s="1231" t="str">
        <f t="shared" ref="T2:U2" si="2">R2</f>
        <v>S</v>
      </c>
      <c r="U2" s="1231" t="str">
        <f t="shared" si="2"/>
        <v>S</v>
      </c>
      <c r="V2" s="1230" t="str">
        <f>R2</f>
        <v>S</v>
      </c>
      <c r="W2" s="1232" t="str">
        <f>R2</f>
        <v>S</v>
      </c>
      <c r="X2" s="1233" t="s">
        <v>545</v>
      </c>
      <c r="Y2" s="1233" t="str">
        <f>X2</f>
        <v>A</v>
      </c>
      <c r="Z2" s="1234" t="str">
        <f t="shared" ref="Z2:AA2" si="3">X2</f>
        <v>A</v>
      </c>
      <c r="AA2" s="1234" t="str">
        <f t="shared" si="3"/>
        <v>A</v>
      </c>
      <c r="AB2" s="1233" t="str">
        <f>X2</f>
        <v>A</v>
      </c>
      <c r="AC2" s="1233" t="str">
        <f>X2</f>
        <v>A</v>
      </c>
      <c r="AD2" s="1233" t="s">
        <v>546</v>
      </c>
      <c r="AE2" s="1230" t="str">
        <f>AD2</f>
        <v>B</v>
      </c>
      <c r="AF2" s="1231" t="str">
        <f t="shared" ref="AF2:AG2" si="4">AD2</f>
        <v>B</v>
      </c>
      <c r="AG2" s="1231" t="str">
        <f t="shared" si="4"/>
        <v>B</v>
      </c>
      <c r="AH2" s="1230" t="str">
        <f>AD2</f>
        <v>B</v>
      </c>
      <c r="AI2" s="1232" t="str">
        <f>AD2</f>
        <v>B</v>
      </c>
      <c r="AJ2" s="1232" t="s">
        <v>547</v>
      </c>
      <c r="AK2" s="1233" t="str">
        <f>AJ2</f>
        <v>C</v>
      </c>
      <c r="AL2" s="1234" t="str">
        <f t="shared" ref="AL2:AM2" si="5">AJ2</f>
        <v>C</v>
      </c>
      <c r="AM2" s="1234" t="str">
        <f t="shared" si="5"/>
        <v>C</v>
      </c>
      <c r="AN2" s="1233" t="str">
        <f>AJ2</f>
        <v>C</v>
      </c>
      <c r="AO2" s="1232" t="str">
        <f>AJ2</f>
        <v>C</v>
      </c>
      <c r="AP2" s="1233" t="s">
        <v>548</v>
      </c>
      <c r="AQ2" s="1230" t="str">
        <f>AP2</f>
        <v>D</v>
      </c>
      <c r="AR2" s="1231" t="str">
        <f t="shared" ref="AR2:AS2" si="6">AP2</f>
        <v>D</v>
      </c>
      <c r="AS2" s="1231" t="str">
        <f t="shared" si="6"/>
        <v>D</v>
      </c>
      <c r="AT2" s="1230" t="str">
        <f>AP2</f>
        <v>D</v>
      </c>
      <c r="AU2" s="1232" t="str">
        <f>AP2</f>
        <v>D</v>
      </c>
      <c r="AV2" s="1233" t="s">
        <v>549</v>
      </c>
      <c r="AW2" s="1233" t="str">
        <f>AV2</f>
        <v>F</v>
      </c>
      <c r="AX2" s="1234" t="str">
        <f t="shared" ref="AX2:AY2" si="7">AV2</f>
        <v>F</v>
      </c>
      <c r="AY2" s="1234" t="str">
        <f t="shared" si="7"/>
        <v>F</v>
      </c>
      <c r="AZ2" s="1233" t="str">
        <f>AV2</f>
        <v>F</v>
      </c>
      <c r="BA2" s="1232" t="str">
        <f>AV2</f>
        <v>F</v>
      </c>
      <c r="BB2" s="1232" t="s">
        <v>550</v>
      </c>
      <c r="BC2" s="1230" t="str">
        <f>BB2</f>
        <v>QOL</v>
      </c>
      <c r="BD2" s="1231" t="str">
        <f t="shared" ref="BD2:BE2" si="8">BB2</f>
        <v>QOL</v>
      </c>
      <c r="BE2" s="1231" t="str">
        <f t="shared" si="8"/>
        <v>QOL</v>
      </c>
      <c r="BF2" s="1230" t="str">
        <f>BB2</f>
        <v>QOL</v>
      </c>
      <c r="BG2" s="1232" t="str">
        <f>BB2</f>
        <v>QOL</v>
      </c>
      <c r="BH2" s="1235" t="s">
        <v>551</v>
      </c>
      <c r="BI2" s="1236" t="str">
        <f>BH2</f>
        <v>Completed</v>
      </c>
      <c r="BJ2" s="1237" t="str">
        <f t="shared" ref="BJ2:BK2" si="9">BH2</f>
        <v>Completed</v>
      </c>
      <c r="BK2" s="1237" t="str">
        <f t="shared" si="9"/>
        <v>Completed</v>
      </c>
      <c r="BL2" s="1236" t="str">
        <f>BH2</f>
        <v>Completed</v>
      </c>
      <c r="BM2" s="1238" t="str">
        <f>BH2</f>
        <v>Completed</v>
      </c>
      <c r="BN2" s="1239"/>
      <c r="BO2" s="1236" t="str">
        <f>BH2</f>
        <v>Completed</v>
      </c>
    </row>
    <row r="3">
      <c r="A3" s="1222"/>
      <c r="B3" s="1240" t="s">
        <v>552</v>
      </c>
      <c r="C3" s="1241" t="s">
        <v>154</v>
      </c>
      <c r="D3" s="1242" t="str">
        <f>VLOOKUP(C3,'Remote Tier List'!A:D, 2, FALSE)</f>
        <v>S+</v>
      </c>
      <c r="E3" s="1243" t="str">
        <f>VLOOKUP(C3,'Remote Tier List'!A:D, 3, FALSE)</f>
        <v/>
      </c>
      <c r="F3" s="1244" t="str">
        <f>VLOOKUP(C3,'Remote Tier List'!A:D, 4, FALSE)</f>
        <v>Makes everything better. First lab to take to max</v>
      </c>
      <c r="G3" s="1245" t="b">
        <f t="shared" ref="G3:G19" si="10">LET(
  LabTierUnlock, DVT_LAB_UNLOCK_AT_TIER(C3),
  PlayerPbAtTier, IDS_PS_TIER_PB("Tier "&amp;LabTierUnlock),
  PlayerPb, "T"&amp;LabTierUnlock&amp;" "&amp;PlayerPbAtTier,
  DVT_HAS_LAB_UNLOCKED(C3, PlayerPb))</f>
        <v>1</v>
      </c>
      <c r="H3" s="1246" t="str">
        <f t="array" ref="H3:I3">LET(
  Lab, $C3,
  Mode, $AD$1,
  Level, VLOOKUP(Lab, MS_Labs_Array, 2, FALSE),
  Target, VLOOKUP(Lab, MS_Labs_Array, 3, FALSE),
  Max, VLOOKUP(Lab, MS_Labs_Array, 4, FALSE),
  Result,
    IF(
      AND(
        Mode &lt;&gt; "Never",
        Level &gt;= IF(OR(Target = "", Mode = "Max"), Max, Target)
      ),
      "Completed",
      ""
    ),
  HSTACK(
    IF(Result &lt;&gt; "", Result, $D3),
    IF(Result &lt;&gt; "", Result, IF($E3 = "", $D3, $E3))
  )
)</f>
        <v>Completed</v>
      </c>
      <c r="I3" s="1247" t="s">
        <v>551</v>
      </c>
      <c r="J3" s="1248" t="str">
        <f t="shared" ref="J3:J19" si="11">if(ISBLANK(F3),J2, F3)</f>
        <v>Makes everything better. First lab to take to max</v>
      </c>
      <c r="K3" s="1229"/>
      <c r="L3" s="1249" t="str">
        <f>IFERROR(__xludf.DUMMYFUNCTION("IF($BB$1 &lt;&gt; ""Hide"",FLATTEN({M3:M820,N3:N820}), FLATTEN(M3:M820))"),"Lightning Amplifier - Scatter")</f>
        <v>Lightning Amplifier - Scatter</v>
      </c>
      <c r="M3" s="1249" t="str">
        <f>IFERROR(__xludf.DUMMYFUNCTION("IFERROR(FILTER($C$3:$C$192,($H$3:$H$192=M$2) + ($I$3:$I$192=M$2), $G$3:$G$192 + $AP$1),)"),"Lightning Amplifier - Scatter")</f>
        <v>Lightning Amplifier - Scatter</v>
      </c>
      <c r="N3" s="1250" t="str">
        <f>IFERROR(__xludf.DUMMYFUNCTION("if(M3 &lt;&gt; """", 
  LET( 
    TargetLevel, VLOOKUP(M3,MS_Labs_Array,3,false),
    MaxLevel, VLOOKUP(M3,MS_Labs_Array,4,false),
    MaxOrTarget, IF(OR(TargetLevel = """",$AD$1 &lt;&gt; ""Target""), MaxLevel, TargetLevel),
    LabLevel, VLOOKUP(M3,MS_Labs_Array,2,F"&amp;"alse),
    Levelprogress, LabLevel / MaxOrTarget,
    DVTColumn, MATCH(M3,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O3" s="1251" t="str">
        <f>IFERROR(__xludf.DUMMYFUNCTION("if(M3 &lt;&gt; """", 
  LET(
    TargetLevel, VLOOKUP(M3,MS_Labs_Array,3,false),
    LabSpeed, (1 * REGEXEXTRACT($BH$1, ""[\d.-]+"")) * {IF(M3 =""Labs Speed"", 1+'Master Sheet'!$BK$5, LAB_SPEED_TOTAL())},
    MaxLevel, VLOOKUP(M3,MS_Labs_Array,4,false),
    Max"&amp;"OrTarget, IF(OR(TargetLevel = """",$AD$1 &lt;&gt; ""Target""), MaxLevel, TargetLevel),
    LabLevel, VLOOKUP(M3,MS_Labs_Array,2,False),
    DVTColumn, MATCH(M3, DVT_Laboratory!$A$1:BO$1, 0),
    xextTime, INDIRECT(""DVT_Laboratory!"" &amp; ADDRESS(LabLevel+3, DVTCo"&amp;"lumn)) / LabSpeed,
    remainingTime, SUM(INDIRECT(""DVT_Laboratory!"" &amp; ADDRESS(LabLevel+3, DVTColumn) &amp; "":"" &amp; ADDRESS(MaxOrTarget+2, DVTColumn))) / LabSpeed,
  M3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"""")"),"Lightning Amplifier - Scatter
  Lab Level:      9 / 30 (Max)
  Next Level:    1d 11h 14m
  Max Level:     119d 23h 32m")</f>
        <v>Lightning Amplifier - Scatter
  Lab Level:      9 / 30 (Max)
  Next Level:    1d 11h 14m
  Max Level:     119d 23h 32m</v>
      </c>
      <c r="P3" s="1249" t="str">
        <f>IFERROR(__xludf.DUMMYFUNCTION("IFERROR(FILTER($J$3:$J$192,($H$3:$H$192=L$2) + ($I$3:$I$192=L$2), $G$3:$G$192 + $AP$1))"),"A few levels solve scatters for the most part. More levels should solve the problem if they ever become a danger again")</f>
        <v>A few levels solve scatters for the most part. More levels should solve the problem if they ever become a danger again</v>
      </c>
      <c r="Q3" s="1249" t="str">
        <f>IFERROR(__xludf.DUMMYFUNCTION("IF($BB$1 &lt;&gt; ""Hide"",FLATTEN({P3:P820,O3:O820}), FLATTEN(P3:P820))"),"A few levels solve scatters for the most part. More levels should solve the problem if they ever become a danger again")</f>
        <v>A few levels solve scatters for the most part. More levels should solve the problem if they ever become a danger again</v>
      </c>
      <c r="R3" s="1249" t="str">
        <f>IFERROR(__xludf.DUMMYFUNCTION("IF($BB$1 &lt;&gt; ""Hide"",FLATTEN({S3:S820,T3:T820}), FLATTEN(S3:S820))"),"Labs Speed")</f>
        <v>Labs Speed</v>
      </c>
      <c r="S3" s="1249" t="str">
        <f>IFERROR(__xludf.DUMMYFUNCTION("IFERROR(FILTER($C$3:$C$192,($H$3:$H$192=S$2) + ($I$3:$I$192=S$2), $G$3:$G$192 + $AP$1),)"),"Labs Speed")</f>
        <v>Labs Speed</v>
      </c>
      <c r="T3" s="1250" t="str">
        <f>IFERROR(__xludf.DUMMYFUNCTION("if(S3 &lt;&gt; """", 
  LET( 
    TargetLevel, VLOOKUP(S3,MS_Labs_Array,3,false),
    MaxLevel, VLOOKUP(S3,MS_Labs_Array,4,false),
    MaxOrTarget, IF(OR(TargetLevel = """",$AD$1 &lt;&gt; ""Target""), MaxLevel, TargetLevel),
    LabLevel, VLOOKUP(S3,MS_Labs_Array,2,F"&amp;"alse),
    Levelprogress, LabLevel / MaxOrTarget,
    DVTColumn, MATCH(S3,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U3" s="1251" t="str">
        <f>IFERROR(__xludf.DUMMYFUNCTION("if(S3 &lt;&gt; """", 
  LET(
    TargetLevel, VLOOKUP(S3,MS_Labs_Array,3,false),
    LabSpeed, (1 * REGEXEXTRACT($BH$1, ""[\d.-]+"")) * {IF(S3 =""Labs Speed"", 1+'Master Sheet'!$BK$5, LAB_SPEED_TOTAL())},
    MaxLevel, VLOOKUP(S3,MS_Labs_Array,4,false),
    Max"&amp;"OrTarget, IF(OR(TargetLevel = """",$AD$1 &lt;&gt; ""Target""), MaxLevel, TargetLevel),
    LabLevel, VLOOKUP(S3,MS_Labs_Array,2,False),
    DVTColumn, MATCH(S3, DVT_Laboratory!$A$1:BO$1, 0),
    xextTime, INDIRECT(""DVT_Laboratory!"" &amp; ADDRESS(LabLevel+3, DVTCo"&amp;"lumn)) / LabSpeed,
    remainingTime, SUM(INDIRECT(""DVT_Laboratory!"" &amp; ADDRESS(LabLevel+3, DVTColumn) &amp; "":"" &amp; ADDRESS(MaxOrTarget+2, DVTColumn))) / LabSpeed,
  S3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"""")"),"Labs Speed
  Lab Level:      91 / 99 (Max)
  Next Level:    5d  3h  6m
  Max Level:     44d  2h 12m")</f>
        <v>Labs Speed
  Lab Level:      91 / 99 (Max)
  Next Level:    5d  3h  6m
  Max Level:     44d  2h 12m</v>
      </c>
      <c r="V3" s="1249" t="str">
        <f>IFERROR(__xludf.DUMMYFUNCTION("IFERROR(FILTER($J$3:$J$192,($H$3:$H$192=R$2) + ($I$3:$I$192=R$2), $G$3:$G$192 + $AP$1),)"),"S tier until level 50; very long after. Should be slotted in whenever a lab slot is not occupied by a high priority lab")</f>
        <v>S tier until level 50; very long after. Should be slotted in whenever a lab slot is not occupied by a high priority lab</v>
      </c>
      <c r="W3" s="1249" t="str">
        <f>IFERROR(__xludf.DUMMYFUNCTION("IF($BB$1 &lt;&gt; ""Hide"",FLATTEN({V3:V820,U3:U820}), FLATTEN(V3:V820))"),"S tier until level 50; very long after. Should be slotted in whenever a lab slot is not occupied by a high priority lab")</f>
        <v>S tier until level 50; very long after. Should be slotted in whenever a lab slot is not occupied by a high priority lab</v>
      </c>
      <c r="X3" s="1249" t="str">
        <f>IFERROR(__xludf.DUMMYFUNCTION("IF($BB$1 &lt;&gt; ""Hide"",FLATTEN({Y3:Y820,Z3:Z820}), FLATTEN(Y3:Y820))"),"Labs Coin Discount")</f>
        <v>Labs Coin Discount</v>
      </c>
      <c r="Y3" s="1249" t="str">
        <f>IFERROR(__xludf.DUMMYFUNCTION("FILTER($C$3:$C$192,($H$3:$H$192=Y$2) + ($I$3:$I$192=Y$2), $G$3:$G$192 + $AP$1)"),"Labs Coin Discount")</f>
        <v>Labs Coin Discount</v>
      </c>
      <c r="Z3" s="1250" t="str">
        <f>IFERROR(__xludf.DUMMYFUNCTION("if(Y3 &lt;&gt; """", 
  LET( 
    TargetLevel, VLOOKUP(Y3,MS_Labs_Array,3,false),
    MaxLevel, VLOOKUP(Y3,MS_Labs_Array,4,false),
    MaxOrTarget, IF(OR(TargetLevel = """",$AD$1 &lt;&gt; ""Target""), MaxLevel, TargetLevel),
    LabLevel, VLOOKUP(Y3,MS_Labs_Array,2,F"&amp;"alse),
    Levelprogress, LabLevel / MaxOrTarget,
    DVTColumn, MATCH(Y3,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AA3" s="1251" t="str">
        <f>IFERROR(__xludf.DUMMYFUNCTION("if(Y3 &lt;&gt; """", 
  LET(
    TargetLevel, VLOOKUP(Y3,MS_Labs_Array,3,false),
    LabSpeed, (1 * REGEXEXTRACT($BH$1, ""[\d.-]+"")) * {IF(Y3 =""Labs Speed"", 1+'Master Sheet'!$BK$5, LAB_SPEED_TOTAL())},
    MaxLevel, VLOOKUP(Y3,MS_Labs_Array,4,false),
    Max"&amp;"OrTarget, IF(OR(TargetLevel = """",$AD$1 &lt;&gt; ""Target""), MaxLevel, TargetLevel),
    LabLevel, VLOOKUP(Y3,MS_Labs_Array,2,False),
    DVTColumn, MATCH(Y3, DVT_Laboratory!$A$1:BO$1, 0),
    xextTime, INDIRECT(""DVT_Laboratory!"" &amp; ADDRESS(LabLevel+3, DVTCo"&amp;"lumn)) / LabSpeed,
    remainingTime, SUM(INDIRECT(""DVT_Laboratory!"" &amp; ADDRESS(LabLevel+3, DVTColumn) &amp; "":"" &amp; ADDRESS(MaxOrTarget+2, DVTColumn))) / LabSpeed,
  Y3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"""")"),"Labs Coin Discount
  Lab Level:      68 / 99 (Max)
  Next Level:    2d 10h 47m
  Max Level:     128d 18h  7m")</f>
        <v>Labs Coin Discount
  Lab Level:      68 / 99 (Max)
  Next Level:    2d 10h 47m
  Max Level:     128d 18h  7m</v>
      </c>
      <c r="AB3" s="1249" t="str">
        <f>IFERROR(__xludf.DUMMYFUNCTION("FILTER($J$3:$J$192,($H$3:$H$192=X$2) + ($I$3:$I$192=X$2), $G$3:$G$192 + $AP$1)"),"A few early levels are useful, however actual econ labs are much better until Card Masteries or assists/BC labs")</f>
        <v>A few early levels are useful, however actual econ labs are much better until Card Masteries or assists/BC labs</v>
      </c>
      <c r="AC3" s="1249" t="str">
        <f>IFERROR(__xludf.DUMMYFUNCTION("IF($BB$1 &lt;&gt; ""Hide"",FLATTEN({AB3:AB820,AA3:AA820}), FLATTEN(AB3:AB820))"),"A few early levels are useful, however actual econ labs are much better until Card Masteries or assists/BC labs")</f>
        <v>A few early levels are useful, however actual econ labs are much better until Card Masteries or assists/BC labs</v>
      </c>
      <c r="AD3" s="1249" t="str">
        <f>IFERROR(__xludf.DUMMYFUNCTION("IF($BB$1 &lt;&gt; ""Hide"",FLATTEN({AE3:AE820,AF3:AF820}), FLATTEN(AE3:AE820))"),"Enhancement Attack - Coin Discount")</f>
        <v>Enhancement Attack - Coin Discount</v>
      </c>
      <c r="AE3" s="1249" t="str">
        <f>IFERROR(__xludf.DUMMYFUNCTION("IFERROR(FILTER($C$3:$C$192,($H$3:$H$192=AE$2) + ($I$3:$I$192=AE$2), $G$3:$G$192 + $AP$1),)"),"Enhancement Attack - Coin Discount")</f>
        <v>Enhancement Attack - Coin Discount</v>
      </c>
      <c r="AF3" s="1250" t="str">
        <f>IFERROR(__xludf.DUMMYFUNCTION("if(AE3 &lt;&gt; """", 
  LET( 
    TargetLevel, VLOOKUP(AE3,MS_Labs_Array,3,false),
    MaxLevel, VLOOKUP(AE3,MS_Labs_Array,4,false),
    MaxOrTarget, IF(OR(TargetLevel = """",$AD$1 &lt;&gt; ""Target""), MaxLevel, TargetLevel),
    LabLevel, VLOOKUP(AE3,MS_Labs_Array"&amp;",2,False),
    Levelprogress, LabLevel / MaxOrTarget,
    DVTColumn, MATCH(AE3,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G3" s="1251" t="str">
        <f>IFERROR(__xludf.DUMMYFUNCTION("if(AE3 &lt;&gt; """", 
  LET(
    TargetLevel, VLOOKUP(AE3,MS_Labs_Array,3,false),
    LabSpeed, (1 * REGEXEXTRACT($BH$1, ""[\d.-]+"")) * {IF(AE3 =""Labs Speed"", 1+'Master Sheet'!$BK$5, LAB_SPEED_TOTAL())},
    MaxLevel, VLOOKUP(AE3,MS_Labs_Array,4,false),
   "&amp;" MaxOrTarget, IF(OR(TargetLevel = """",$AD$1 &lt;&gt; ""Target""), MaxLevel, TargetLevel),
    LabLevel, VLOOKUP(AE3,MS_Labs_Array,2,False),
    DVTColumn, MATCH(AE3, DVT_Laboratory!$A$1:BO$1, 0),
    xextTime, INDIRECT(""DVT_Laboratory!"" &amp; ADDRESS(LabLevel+3,"&amp;" DVTColumn)) / LabSpeed,
    remainingTime, SUM(INDIRECT(""DVT_Laboratory!"" &amp; ADDRESS(LabLevel+3, DVTColumn) &amp; "":"" &amp; ADDRESS(MaxOrTarget+2, DVTColumn))) / LabSpeed,
  AE3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"""")"),"Enhancement Attack - Coin Discount
  Lab Level:      0 / 100 (Max)
  Next Level:    0d  1h 38m
  Max Level:     346d 14h  2m")</f>
        <v>Enhancement Attack - Coin Discount
  Lab Level:      0 / 100 (Max)
  Next Level:    0d  1h 38m
  Max Level:     346d 14h  2m</v>
      </c>
      <c r="AH3" s="1249" t="str">
        <f>IFERROR(__xludf.DUMMYFUNCTION("IFERROR(FILTER($J$3:$J$192,($H$3:$H$192=AD$2) + ($I$3:$I$192=AD$2), $G$3:$G$192 + $AP$1),)"),"ASPD+ is really good to get cheaper, alongisde the damage that's required by the time this lab is unlocked")</f>
        <v>ASPD+ is really good to get cheaper, alongisde the damage that's required by the time this lab is unlocked</v>
      </c>
      <c r="AI3" s="1249" t="str">
        <f>IFERROR(__xludf.DUMMYFUNCTION("IF($BB$1 &lt;&gt; ""Hide"",FLATTEN({AH3:AH820,AG3:AG820}), FLATTEN(AH3:AH820))"),"ASPD+ is really good to get cheaper, alongisde the damage that's required by the time this lab is unlocked")</f>
        <v>ASPD+ is really good to get cheaper, alongisde the damage that's required by the time this lab is unlocked</v>
      </c>
      <c r="AJ3" s="1249" t="str">
        <f>IFERROR(__xludf.DUMMYFUNCTION("IF($BB$1 &lt;&gt; ""Hide"",FLATTEN({AK3:AK820,AL3:AL820}), FLATTEN(AK3:AK820))"),"Workshop Utility Discount")</f>
        <v>Workshop Utility Discount</v>
      </c>
      <c r="AK3" s="1249" t="str">
        <f>IFERROR(__xludf.DUMMYFUNCTION("IFERROR(FILTER($C$3:$C$192,($H$3:$H$192=AK$2) + ($I$3:$I$192=AK$2), $G$3:$G$192 + $AP$1),)"),"Workshop Utility Discount")</f>
        <v>Workshop Utility Discount</v>
      </c>
      <c r="AL3" s="1250" t="str">
        <f>IFERROR(__xludf.DUMMYFUNCTION("if(AK3 &lt;&gt; """", 
  LET( 
    TargetLevel, VLOOKUP(AK3,MS_Labs_Array,3,false),
    MaxLevel, VLOOKUP(AK3,MS_Labs_Array,4,false),
    MaxOrTarget, IF(OR(TargetLevel = """",$AD$1 &lt;&gt; ""Target""), MaxLevel, TargetLevel),
    LabLevel, VLOOKUP(AK3,MS_Labs_Array"&amp;",2,False),
    Levelprogress, LabLevel / MaxOrTarget,
    DVTColumn, MATCH(AK3,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M3" s="1251" t="str">
        <f>IFERROR(__xludf.DUMMYFUNCTION("if(AK3 &lt;&gt; """", 
  LET(
    TargetLevel, VLOOKUP(AK3,MS_Labs_Array,3,false),
    LabSpeed, (1 * REGEXEXTRACT($BH$1, ""[\d.-]+"")) * {IF(AK3 =""Labs Speed"", 1+'Master Sheet'!$BK$5, LAB_SPEED_TOTAL())},
    MaxLevel, VLOOKUP(AK3,MS_Labs_Array,4,false),
   "&amp;" MaxOrTarget, IF(OR(TargetLevel = """",$AD$1 &lt;&gt; ""Target""), MaxLevel, TargetLevel),
    LabLevel, VLOOKUP(AK3,MS_Labs_Array,2,False),
    DVTColumn, MATCH(AK3, DVT_Laboratory!$A$1:BO$1, 0),
    xextTime, INDIRECT(""DVT_Laboratory!"" &amp; ADDRESS(LabLevel+3,"&amp;" DVTColumn)) / LabSpeed,
    remainingTime, SUM(INDIRECT(""DVT_Laboratory!"" &amp; ADDRESS(LabLevel+3, DVTColumn) &amp; "":"" &amp; ADDRESS(MaxOrTarget+2, DVTColumn))) / LabSpeed,
  AK3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"""")"),"Workshop Utility Discount
  Lab Level:      41 / 99 (Max)
  Next Level:    0d  9h 23m
  Max Level:     87d  5h 27m")</f>
        <v>Workshop Utility Discount
  Lab Level:      41 / 99 (Max)
  Next Level:    0d  9h 23m
  Max Level:     87d  5h 27m</v>
      </c>
      <c r="AN3" s="1249" t="str">
        <f>IFERROR(__xludf.DUMMYFUNCTION("IFERROR(FILTER($J$3:$J$192,($H$3:$H$192=AJ$2) + ($I$3:$I$192=AJ$2), $G$3:$G$192 + $AP$1),)"),"Gaining more coins is more beneficial then spending less coins, utility can be useful for ELS later on. Retroactive on respecs")</f>
        <v>Gaining more coins is more beneficial then spending less coins, utility can be useful for ELS later on. Retroactive on respecs</v>
      </c>
      <c r="AO3" s="1249" t="str">
        <f>IFERROR(__xludf.DUMMYFUNCTION("IF($BB$1 &lt;&gt; ""Hide"",FLATTEN({AN3:AN820,AM3:AM820}), FLATTEN(AN3:AN820))"),"Gaining more coins is more beneficial then spending less coins, utility can be useful for ELS later on. Retroactive on respecs")</f>
        <v>Gaining more coins is more beneficial then spending less coins, utility can be useful for ELS later on. Retroactive on respecs</v>
      </c>
      <c r="AP3" s="1249" t="str">
        <f>IFERROR(__xludf.DUMMYFUNCTION("IF($BB$1 &lt;&gt; ""Hide"",FLATTEN({AQ3:AQ820,AR3:AR820}), FLATTEN(AQ3:AQ820))"),"Workshop Attack Discount")</f>
        <v>Workshop Attack Discount</v>
      </c>
      <c r="AQ3" s="1249" t="str">
        <f>IFERROR(__xludf.DUMMYFUNCTION("IFERROR(FILTER($C$3:$C$192,($H$3:$H$192=AQ$2) + ($I$3:$I$192=AQ$2), $G$3:$G$192 + $AP$1),)"),"Workshop Attack Discount")</f>
        <v>Workshop Attack Discount</v>
      </c>
      <c r="AR3" s="1250" t="str">
        <f>IFERROR(__xludf.DUMMYFUNCTION("if(AQ3 &lt;&gt; """", 
  LET( 
    TargetLevel, VLOOKUP(AQ3,MS_Labs_Array,3,false),
    MaxLevel, VLOOKUP(AQ3,MS_Labs_Array,4,false),
    MaxOrTarget, IF(OR(TargetLevel = """",$AD$1 &lt;&gt; ""Target""), MaxLevel, TargetLevel),
    LabLevel, VLOOKUP(AQ3,MS_Labs_Array"&amp;",2,False),
    Levelprogress, LabLevel / MaxOrTarget,
    DVTColumn, MATCH(AQ3,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S3" s="1251" t="str">
        <f>IFERROR(__xludf.DUMMYFUNCTION("if(AQ3 &lt;&gt; """", 
  LET(
    TargetLevel, VLOOKUP(AQ3,MS_Labs_Array,3,false),
    LabSpeed, (1 * REGEXEXTRACT($BH$1, ""[\d.-]+"")) * {IF(AQ3 =""Labs Speed"", 1+'Master Sheet'!$BK$5, LAB_SPEED_TOTAL())},
    MaxLevel, VLOOKUP(AQ3,MS_Labs_Array,4,false),
   "&amp;" MaxOrTarget, IF(OR(TargetLevel = """",$AD$1 &lt;&gt; ""Target""), MaxLevel, TargetLevel),
    LabLevel, VLOOKUP(AQ3,MS_Labs_Array,2,False),
    DVTColumn, MATCH(AQ3, DVT_Laboratory!$A$1:BO$1, 0),
    xextTime, INDIRECT(""DVT_Laboratory!"" &amp; ADDRESS(LabLevel+3,"&amp;" DVTColumn)) / LabSpeed,
    remainingTime, SUM(INDIRECT(""DVT_Laboratory!"" &amp; ADDRESS(LabLevel+3, DVTColumn) &amp; "":"" &amp; ADDRESS(MaxOrTarget+2, DVTColumn))) / LabSpeed,
  AQ3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"""")"),"Workshop Attack Discount
  Lab Level:      27 / 99 (Max)
  Next Level:    0d  3h 30m
  Max Level:     90d 16h 57m")</f>
        <v>Workshop Attack Discount
  Lab Level:      27 / 99 (Max)
  Next Level:    0d  3h 30m
  Max Level:     90d 16h 57m</v>
      </c>
      <c r="AT3" s="1249" t="str">
        <f>IFERROR(__xludf.DUMMYFUNCTION("IFERROR(FILTER($J$3:$J$192,($H$3:$H$192=AP$2) + ($I$3:$I$192=AP$2), $G$3:$G$192 + $AP$1),)"),"Gaining more coins is more beneficial then spending less coins, utility can be useful for ELS later on. Retroactive on respecs")</f>
        <v>Gaining more coins is more beneficial then spending less coins, utility can be useful for ELS later on. Retroactive on respecs</v>
      </c>
      <c r="AU3" s="1249" t="str">
        <f>IFERROR(__xludf.DUMMYFUNCTION("IF($BB$1 &lt;&gt; ""Hide"",FLATTEN({AT3:AT820,AS3:AS820}), FLATTEN(AT3:AT820))"),"Gaining more coins is more beneficial then spending less coins, utility can be useful for ELS later on. Retroactive on respecs")</f>
        <v>Gaining more coins is more beneficial then spending less coins, utility can be useful for ELS later on. Retroactive on respecs</v>
      </c>
      <c r="AV3" s="1249" t="str">
        <f>IFERROR(__xludf.DUMMYFUNCTION("IF($BB$1 &lt;&gt; ""Hide"",FLATTEN({AW3:AW820,AX3:AX820}), FLATTEN(AW3:AW820))"),"Starting Cash")</f>
        <v>Starting Cash</v>
      </c>
      <c r="AW3" s="1249" t="str">
        <f>IFERROR(__xludf.DUMMYFUNCTION("IFERROR(FILTER($C$3:$C$192,($H$3:$H$192=AW$2) + ($I$3:$I$192=AW$2), $G$3:$G$192 + $AP$1),)"),"Starting Cash")</f>
        <v>Starting Cash</v>
      </c>
      <c r="AX3" s="1250" t="str">
        <f>IFERROR(__xludf.DUMMYFUNCTION("if(AW3 &lt;&gt; """", 
  LET( 
    TargetLevel, VLOOKUP(AW3,MS_Labs_Array,3,false),
    MaxLevel, VLOOKUP(AW3,MS_Labs_Array,4,false),
    MaxOrTarget, IF(OR(TargetLevel = """",$AD$1 &lt;&gt; ""Target""), MaxLevel, TargetLevel),
    LabLevel, VLOOKUP(AW3,MS_Labs_Array"&amp;",2,False),
    Levelprogress, LabLevel / MaxOrTarget,
    DVTColumn, MATCH(AW3,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Y3" s="1251" t="str">
        <f>IFERROR(__xludf.DUMMYFUNCTION("if(AW3 &lt;&gt; """", 
  LET(
    TargetLevel, VLOOKUP(AW3,MS_Labs_Array,3,false),
    LabSpeed, (1 * REGEXEXTRACT($BH$1, ""[\d.-]+"")) * {IF(AW3 =""Labs Speed"", 1+'Master Sheet'!$BK$5, LAB_SPEED_TOTAL())},
    MaxLevel, VLOOKUP(AW3,MS_Labs_Array,4,false),
   "&amp;" MaxOrTarget, IF(OR(TargetLevel = """",$AD$1 &lt;&gt; ""Target""), MaxLevel, TargetLevel),
    LabLevel, VLOOKUP(AW3,MS_Labs_Array,2,False),
    DVTColumn, MATCH(AW3, DVT_Laboratory!$A$1:BO$1, 0),
    xextTime, INDIRECT(""DVT_Laboratory!"" &amp; ADDRESS(LabLevel+3,"&amp;" DVTColumn)) / LabSpeed,
    remainingTime, SUM(INDIRECT(""DVT_Laboratory!"" &amp; ADDRESS(LabLevel+3, DVTColumn) &amp; "":"" &amp; ADDRESS(MaxOrTarget+2, DVTColumn))) / LabSpeed,
  AW3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"""")"),"Starting Cash
  Lab Level:      6 / 99 (Max)
  Next Level:    0d  0h  7m
  Max Level:     91d 19h 41m")</f>
        <v>Starting Cash
  Lab Level:      6 / 99 (Max)
  Next Level:    0d  0h  7m
  Max Level:     91d 19h 41m</v>
      </c>
      <c r="AZ3" s="1249" t="str">
        <f>IFERROR(__xludf.DUMMYFUNCTION("IFERROR(FILTER($J$3:$J$192,($H$3:$H$192=AV$2) + ($I$3:$I$192=AV$2), $G$3:$G$192 + $AP$1),)"),"Irrelevant, easily outdone by enemy kills and even cash/wave")</f>
        <v>Irrelevant, easily outdone by enemy kills and even cash/wave</v>
      </c>
      <c r="BA3" s="1249" t="str">
        <f>IFERROR(__xludf.DUMMYFUNCTION("IF($BB$1 &lt;&gt; ""Hide"",FLATTEN({AZ3:AZ820,AY3:AY820}), FLATTEN(AZ3:AZ820))"),"Irrelevant, easily outdone by enemy kills and even cash/wave")</f>
        <v>Irrelevant, easily outdone by enemy kills and even cash/wave</v>
      </c>
      <c r="BB3" s="1249" t="str">
        <f>IFERROR(__xludf.DUMMYFUNCTION("IF($BB$1 &lt;&gt; ""Hide"",FLATTEN({BC3:BC820,BD3:BD820}), FLATTEN(BC3:BC820))"),"Recharge Demon Mode")</f>
        <v>Recharge Demon Mode</v>
      </c>
      <c r="BC3" s="1249" t="str">
        <f>IFERROR(__xludf.DUMMYFUNCTION("FILTER($C$3:$C$192,($H$3:$H$192=BC$2) + ($I$3:$I$192=BC$2), $G$3:$G$192 + $AP$1)"),"Recharge Demon Mode")</f>
        <v>Recharge Demon Mode</v>
      </c>
      <c r="BD3" s="1250" t="str">
        <f>IFERROR(__xludf.DUMMYFUNCTION("if(BC3 &lt;&gt; """", 
  LET( 
    TargetLevel, VLOOKUP(BC3,MS_Labs_Array,3,false),
    MaxLevel, VLOOKUP(BC3,MS_Labs_Array,4,false),
    MaxOrTarget, IF(OR(TargetLevel = """",$AD$1 &lt;&gt; ""Target""), MaxLevel, TargetLevel),
    LabLevel, VLOOKUP(BC3,MS_Labs_Array"&amp;",2,False),
    Levelprogress, LabLevel / MaxOrTarget,
    DVTColumn, MATCH(BC3,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BE3" s="1251" t="str">
        <f>IFERROR(__xludf.DUMMYFUNCTION("if(BC3 &lt;&gt; """", 
  LET(
    TargetLevel, VLOOKUP(BC3,MS_Labs_Array,3,false),
    LabSpeed, (1 * REGEXEXTRACT($BH$1, ""[\d.-]+"")) * {IF(BC3 =""Labs Speed"", 1+'Master Sheet'!$BK$5, LAB_SPEED_TOTAL())},
    MaxLevel, VLOOKUP(BC3,MS_Labs_Array,4,false),
   "&amp;" MaxOrTarget, IF(OR(TargetLevel = """",$AD$1 &lt;&gt; ""Target""), MaxLevel, TargetLevel),
    LabLevel, VLOOKUP(BC3,MS_Labs_Array,2,False),
    DVTColumn, MATCH(BC3, DVT_Laboratory!$A$1:BO$1, 0),
    xextTime, INDIRECT(""DVT_Laboratory!"" &amp; ADDRESS(LabLevel+3,"&amp;" DVTColumn)) / LabSpeed,
    remainingTime, SUM(INDIRECT(""DVT_Laboratory!"" &amp; ADDRESS(LabLevel+3, DVTColumn) &amp; "":"" &amp; ADDRESS(MaxOrTarget+2, DVTColumn))) / LabSpeed,
  BC3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"""")"),"Recharge Demon Mode
  Lab Level:      4 / 7 (Max)
  Next Level:    0d 21h 28m
  Max Level:     5d 17h 37m")</f>
        <v>Recharge Demon Mode
  Lab Level:      4 / 7 (Max)
  Next Level:    0d 21h 28m
  Max Level:     5d 17h 37m</v>
      </c>
      <c r="BF3" s="1249" t="str">
        <f>IFERROR(__xludf.DUMMYFUNCTION("FILTER($J$3:$J$192,($H$3:$H$192=BB$2) + ($I$3:$I$192=BB$2), $G$3:$G$192 + $AP$1)"),"Great for the event mission, essential to keep the effect of mastery going past 300 waves")</f>
        <v>Great for the event mission, essential to keep the effect of mastery going past 300 waves</v>
      </c>
      <c r="BG3" s="1249" t="str">
        <f>IFERROR(__xludf.DUMMYFUNCTION("IF($BB$1 &lt;&gt; ""Hide"",FLATTEN({BF3:BF820,BE3:BE820}), FLATTEN(BF3:BF820))"),"Great for the event mission, essential to keep the effect of mastery going past 300 waves")</f>
        <v>Great for the event mission, essential to keep the effect of mastery going past 300 waves</v>
      </c>
      <c r="BH3" s="1249" t="str">
        <f>IFERROR(__xludf.DUMMYFUNCTION("IF($BB$1 &lt;&gt; ""Hide"",FLATTEN({BI3:BI820,BJ3:BJ820}), FLATTEN(BI3:BI820))"),"Game Speed")</f>
        <v>Game Speed</v>
      </c>
      <c r="BI3" s="1252" t="str">
        <f>IFERROR(__xludf.DUMMYFUNCTION("IFERROR(FILTER($C$3:$C$192,($H$3:$H$192=BI$2) + ($I$3:$I$192=BI$2), $G$3:$G$192 + $AP$1),)"),"Game Speed")</f>
        <v>Game Speed</v>
      </c>
      <c r="BJ3" s="1253" t="str">
        <f>IFERROR(__xludf.DUMMYFUNCTION("if(BI3 &lt;&gt; """", 
  LET( 
    TargetLevel, VLOOKUP(BI3,MS_Labs_Array,3,false),
    MaxLevel, VLOOKUP(BI3,MS_Labs_Array,4,false),
    MaxOrTarget, IF(OR(TargetLevel = """",$AD$1 &lt;&gt; ""Target""), MaxLevel, TargetLevel),
    LabLevel, VLOOKUP(BI3,MS_Labs_Array"&amp;",2,False),
    Levelprogress, IF(LabLevel &gt;= MaxOrTarget, 1, LabLevel / MaxOrTarget),
    DVTColumn, MATCH(BI3, DVT_Laboratory!$A$1:BO$1, 0),
    investedTime, SUM(INDIRECT(""DVT_Laboratory!"" &amp; ADDRESS(3, DVTColumn) &amp; "":"" &amp; ADDRESS(LabLevel+2, DVTColum"&amp;"n))),
    totalTime, SUM(INDIRECT(""DVT_Laboratory!"" &amp; ADDRESS(3, DVTColumn) &amp; "":"" &amp; ADDRESS(MaxOrTarget+2, DVTColumn))),
    timeProgress, IF(LabLevel &gt;= MaxOrTarget, 1, investedTime / totalTime),
SPARKLINE(IF(OR($BB$1 &lt;&gt; ""Time"", LabLevel = 0),Level"&amp;"progress, timeProgress), {""charttype"",""bar"";""max"",1;""min"",0;""color1"", ""#00ff00""})), """")"),"")</f>
        <v/>
      </c>
      <c r="BK3" s="1254" t="str">
        <f>IFERROR(__xludf.DUMMYFUNCTION("if(BI3 &lt;&gt; """", 
  LET(
    TargetLevel, VLOOKUP(BI3,MS_Labs_Array,3,false),
    LabSpeed, (1 * REGEXEXTRACT($BH$1, ""[\d.-]+"")) * {IF(BI3 =""Labs Speed"", 1+'Master Sheet'!$BK$5, LAB_SPEED_TOTAL())},
    MaxLevel, VLOOKUP(BI3,MS_Labs_Array,4,false),
   "&amp;" MaxOrTarget, IF(OR(TargetLevel = """",$AD$1 &lt;&gt; ""Target""), MaxLevel, TargetLevel),
    LabLevel, VLOOKUP(BI3,MS_Labs_Array,2,False),
    DVTColumn, MATCH(BI3, DVT_Laboratory!$A$1:BO$1, 0),
    xextTime, INDIRECT(""DVT_Laboratory!"" &amp; ADDRESS(LabLevel+3,"&amp;" DVTColumn)) / LabSpeed,
    remainingTime, SUM(INDIRECT(""DVT_Laboratory!"" &amp; ADDRESS(LabLevel+3, DVTColumn) &amp; "":"" &amp; ADDRESS(MaxOrTarget+2, DVTColumn))) / LabSpeed,
  BI3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"""")"),"Game Speed
  Lab Level:      7 / 7 (Target)
  Next Level:    
  Target Level: 1d 14h 50m")</f>
        <v>Game Speed
  Lab Level:      7 / 7 (Target)
  Next Level:    
  Target Level: 1d 14h 50m</v>
      </c>
      <c r="BL3" s="1252" t="str">
        <f>IFERROR(__xludf.DUMMYFUNCTION("IFERROR(FILTER($J$3:$J$192,($H$3:$H$192=BH$2) + ($I$3:$I$192=BH$2), $G$3:$G$192 + $AP$1),)"),"Makes everything better. First lab to take to max")</f>
        <v>Makes everything better. First lab to take to max</v>
      </c>
      <c r="BM3" s="1252" t="str">
        <f>IFERROR(__xludf.DUMMYFUNCTION("IF($BB$1 &lt;&gt; ""Hide"",FLATTEN({BL3:BL820,BK3:BK820}), FLATTEN(BL3:BL820))"),"Makes everything better. First lab to take to max")</f>
        <v>Makes everything better. First lab to take to max</v>
      </c>
      <c r="BN3" s="1255"/>
      <c r="BO3" s="1256" t="str">
        <f>IFERROR(__xludf.DUMMYFUNCTION("FILTER($J$3:$J$192,($H$3:$H$192=BH$2) + ($I$3:$I$192=BH$2) + (#REF!=BH$2), $G$3:$G$192 + $AP$1)"),"#N/A")</f>
        <v>#N/A</v>
      </c>
    </row>
    <row r="4" ht="7.5" customHeight="1">
      <c r="A4" s="1222"/>
      <c r="B4" s="1257"/>
      <c r="C4" s="1241" t="s">
        <v>169</v>
      </c>
      <c r="D4" s="1242" t="str">
        <f>VLOOKUP(C4,'Remote Tier List'!A:D, 2, FALSE)</f>
        <v>F</v>
      </c>
      <c r="E4" s="1243" t="str">
        <f>VLOOKUP(C4,'Remote Tier List'!A:D, 3, FALSE)</f>
        <v/>
      </c>
      <c r="F4" s="1258" t="str">
        <f>VLOOKUP(C4,'Remote Tier List'!A:D, 4, FALSE)</f>
        <v>Irrelevant, easily outdone by enemy kills and even cash/wave</v>
      </c>
      <c r="G4" s="1245" t="b">
        <f t="shared" si="10"/>
        <v>1</v>
      </c>
      <c r="H4" s="1246" t="str">
        <f t="array" ref="H4:I4">LET(
  Lab, $C4,
  Mode, $AD$1,
  Level, VLOOKUP(Lab, MS_Labs_Array, 2, FALSE),
  Target, VLOOKUP(Lab, MS_Labs_Array, 3, FALSE),
  Max, VLOOKUP(Lab, MS_Labs_Array, 4, FALSE),
  Result,
    IF(
      AND(
        Mode &lt;&gt; "Never",
        Level &gt;= IF(OR(Target = "", Mode = "Max"), Max, Target)
      ),
      "Completed",
      ""
    ),
  HSTACK(
    IF(Result &lt;&gt; "", Result, $D4),
    IF(Result &lt;&gt; "", Result, IF($E4 = "", $D4, $E4))
  )
)</f>
        <v>F</v>
      </c>
      <c r="I4" s="1247" t="s">
        <v>549</v>
      </c>
      <c r="J4" s="1248" t="str">
        <f t="shared" si="11"/>
        <v>Irrelevant, easily outdone by enemy kills and even cash/wave</v>
      </c>
      <c r="K4" s="1229"/>
      <c r="L4" s="1249" t="str">
        <f>IFERROR(__xludf.DUMMYFUNCTION("""COMPUTED_VALUE"""),"")</f>
        <v/>
      </c>
      <c r="M4" s="1249" t="str">
        <f>IFERROR(__xludf.DUMMYFUNCTION("""COMPUTED_VALUE"""),"Battle Condition Reduction")</f>
        <v>Battle Condition Reduction</v>
      </c>
      <c r="N4" s="1250" t="str">
        <f>IFERROR(__xludf.DUMMYFUNCTION("if(M4 &lt;&gt; """", 
  LET( 
    TargetLevel, VLOOKUP(M4,MS_Labs_Array,3,false),
    MaxLevel, VLOOKUP(M4,MS_Labs_Array,4,false),
    MaxOrTarget, IF(OR(TargetLevel = """",$AD$1 &lt;&gt; ""Target""), MaxLevel, TargetLevel),
    LabLevel, VLOOKUP(M4,MS_Labs_Array,2,F"&amp;"alse),
    Levelprogress, LabLevel / MaxOrTarget,
    DVTColumn, MATCH(M4,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O4" s="1251" t="str">
        <f>IFERROR(__xludf.DUMMYFUNCTION("if(M4 &lt;&gt; """", 
  LET(
    TargetLevel, VLOOKUP(M4,MS_Labs_Array,3,false),
    LabSpeed, (1 * REGEXEXTRACT($BH$1, ""[\d.-]+"")) * {IF(M4 =""Labs Speed"", 1+'Master Sheet'!$BK$5, LAB_SPEED_TOTAL())},
    MaxLevel, VLOOKUP(M4,MS_Labs_Array,4,false),
    Max"&amp;"OrTarget, IF(OR(TargetLevel = """",$AD$1 &lt;&gt; ""Target""), MaxLevel, TargetLevel),
    LabLevel, VLOOKUP(M4,MS_Labs_Array,2,False),
    DVTColumn, MATCH(M4, DVT_Laboratory!$A$1:BO$1, 0),
    xextTime, INDIRECT(""DVT_Laboratory!"" &amp; ADDRESS(LabLevel+3, DVTCo"&amp;"lumn)) / LabSpeed,
    remainingTime, SUM(INDIRECT(""DVT_Laboratory!"" &amp; ADDRESS(LabLevel+3, DVTColumn) &amp; "":"" &amp; ADDRESS(MaxOrTarget+2, DVTColumn))) / LabSpeed,
  M4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"""")"),"Battle Condition Reduction
  Lab Level:      0 / 10 (Max)
  Next Level:    1d  1h 25m
  Max Level:     58d  6h  6m")</f>
        <v>Battle Condition Reduction
  Lab Level:      0 / 10 (Max)
  Next Level:    1d  1h 25m
  Max Level:     58d  6h  6m</v>
      </c>
      <c r="P4" s="1249" t="str">
        <f>IFERROR(__xludf.DUMMYFUNCTION("""COMPUTED_VALUE"""),"Very strong for those reaching max heat in tournaments. Removes 100% uptime on ultimate enemies. Great for farms in T14 and up")</f>
        <v>Very strong for those reaching max heat in tournaments. Removes 100% uptime on ultimate enemies. Great for farms in T14 and up</v>
      </c>
      <c r="Q4" s="1249" t="str">
        <f>IFERROR(__xludf.DUMMYFUNCTION("""COMPUTED_VALUE"""),"Lightning Amplifier - Scatter
  Lab Level:      9 / 30 (Max)
  Next Level:    1d 11h 14m
  Max Level:     119d 23h 32m")</f>
        <v>Lightning Amplifier - Scatter
  Lab Level:      9 / 30 (Max)
  Next Level:    1d 11h 14m
  Max Level:     119d 23h 32m</v>
      </c>
      <c r="R4" s="1249" t="str">
        <f>IFERROR(__xludf.DUMMYFUNCTION("""COMPUTED_VALUE"""),"")</f>
        <v/>
      </c>
      <c r="S4" s="1249" t="str">
        <f>IFERROR(__xludf.DUMMYFUNCTION("""COMPUTED_VALUE"""),"Wall Thorns")</f>
        <v>Wall Thorns</v>
      </c>
      <c r="T4" s="1250" t="str">
        <f>IFERROR(__xludf.DUMMYFUNCTION("if(S4 &lt;&gt; """", 
  LET( 
    TargetLevel, VLOOKUP(S4,MS_Labs_Array,3,false),
    MaxLevel, VLOOKUP(S4,MS_Labs_Array,4,false),
    MaxOrTarget, IF(OR(TargetLevel = """",$AD$1 &lt;&gt; ""Target""), MaxLevel, TargetLevel),
    LabLevel, VLOOKUP(S4,MS_Labs_Array,2,F"&amp;"alse),
    Levelprogress, LabLevel / MaxOrTarget,
    DVTColumn, MATCH(S4,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U4" s="1251" t="str">
        <f>IFERROR(__xludf.DUMMYFUNCTION("if(S4 &lt;&gt; """", 
  LET(
    TargetLevel, VLOOKUP(S4,MS_Labs_Array,3,false),
    LabSpeed, (1 * REGEXEXTRACT($BH$1, ""[\d.-]+"")) * {IF(S4 =""Labs Speed"", 1+'Master Sheet'!$BK$5, LAB_SPEED_TOTAL())},
    MaxLevel, VLOOKUP(S4,MS_Labs_Array,4,false),
    Max"&amp;"OrTarget, IF(OR(TargetLevel = """",$AD$1 &lt;&gt; ""Target""), MaxLevel, TargetLevel),
    LabLevel, VLOOKUP(S4,MS_Labs_Array,2,False),
    DVTColumn, MATCH(S4, DVT_Laboratory!$A$1:BO$1, 0),
    xextTime, INDIRECT(""DVT_Laboratory!"" &amp; ADDRESS(LabLevel+3, DVTCo"&amp;"lumn)) / LabSpeed,
    remainingTime, SUM(INDIRECT(""DVT_Laboratory!"" &amp; ADDRESS(LabLevel+3, DVTColumn) &amp; "":"" &amp; ADDRESS(MaxOrTarget+2, DVTColumn))) / LabSpeed,
  S4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"""")"),"Wall Thorns
  Lab Level:      15 / 20 (Max)
  Next Level:    6d  6h 40m
  Max Level:     55d  0h 35m")</f>
        <v>Wall Thorns
  Lab Level:      15 / 20 (Max)
  Next Level:    6d  6h 40m
  Max Level:     55d  0h 35m</v>
      </c>
      <c r="V4" s="1249" t="str">
        <f>IFERROR(__xludf.DUMMYFUNCTION("""COMPUTED_VALUE"""),"Helps kill enemies with wall quicker, useful percentage damage; get to at least 11 ")</f>
        <v>Helps kill enemies with wall quicker, useful percentage damage; get to at least 11 </v>
      </c>
      <c r="W4" s="1249" t="str">
        <f>IFERROR(__xludf.DUMMYFUNCTION("""COMPUTED_VALUE"""),"Labs Speed
  Lab Level:      91 / 99 (Max)
  Next Level:    5d  3h  6m
  Max Level:     44d  2h 12m")</f>
        <v>Labs Speed
  Lab Level:      91 / 99 (Max)
  Next Level:    5d  3h  6m
  Max Level:     44d  2h 12m</v>
      </c>
      <c r="X4" s="1249" t="str">
        <f>IFERROR(__xludf.DUMMYFUNCTION("""COMPUTED_VALUE"""),"")</f>
        <v/>
      </c>
      <c r="Y4" s="1249" t="str">
        <f>IFERROR(__xludf.DUMMYFUNCTION("""COMPUTED_VALUE"""),"Labs Speed")</f>
        <v>Labs Speed</v>
      </c>
      <c r="Z4" s="1250" t="str">
        <f>IFERROR(__xludf.DUMMYFUNCTION("if(Y4 &lt;&gt; """", 
  LET( 
    TargetLevel, VLOOKUP(Y4,MS_Labs_Array,3,false),
    MaxLevel, VLOOKUP(Y4,MS_Labs_Array,4,false),
    MaxOrTarget, IF(OR(TargetLevel = """",$AD$1 &lt;&gt; ""Target""), MaxLevel, TargetLevel),
    LabLevel, VLOOKUP(Y4,MS_Labs_Array,2,F"&amp;"alse),
    Levelprogress, LabLevel / MaxOrTarget,
    DVTColumn, MATCH(Y4,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AA4" s="1251" t="str">
        <f>IFERROR(__xludf.DUMMYFUNCTION("if(Y4 &lt;&gt; """", 
  LET(
    TargetLevel, VLOOKUP(Y4,MS_Labs_Array,3,false),
    LabSpeed, (1 * REGEXEXTRACT($BH$1, ""[\d.-]+"")) * {IF(Y4 =""Labs Speed"", 1+'Master Sheet'!$BK$5, LAB_SPEED_TOTAL())},
    MaxLevel, VLOOKUP(Y4,MS_Labs_Array,4,false),
    Max"&amp;"OrTarget, IF(OR(TargetLevel = """",$AD$1 &lt;&gt; ""Target""), MaxLevel, TargetLevel),
    LabLevel, VLOOKUP(Y4,MS_Labs_Array,2,False),
    DVTColumn, MATCH(Y4, DVT_Laboratory!$A$1:BO$1, 0),
    xextTime, INDIRECT(""DVT_Laboratory!"" &amp; ADDRESS(LabLevel+3, DVTCo"&amp;"lumn)) / LabSpeed,
    remainingTime, SUM(INDIRECT(""DVT_Laboratory!"" &amp; ADDRESS(LabLevel+3, DVTColumn) &amp; "":"" &amp; ADDRESS(MaxOrTarget+2, DVTColumn))) / LabSpeed,
  Y4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"""")"),"Labs Speed
  Lab Level:      91 / 99 (Max)
  Next Level:    5d  3h  6m
  Max Level:     44d  2h 12m")</f>
        <v>Labs Speed
  Lab Level:      91 / 99 (Max)
  Next Level:    5d  3h  6m
  Max Level:     44d  2h 12m</v>
      </c>
      <c r="AB4" s="1249" t="str">
        <f>IFERROR(__xludf.DUMMYFUNCTION("""COMPUTED_VALUE"""),"S tier until level 50; very long after. Should be slotted in whenever a lab slot is not occupied by a high priority lab")</f>
        <v>S tier until level 50; very long after. Should be slotted in whenever a lab slot is not occupied by a high priority lab</v>
      </c>
      <c r="AC4" s="1249" t="str">
        <f>IFERROR(__xludf.DUMMYFUNCTION("""COMPUTED_VALUE"""),"Labs Coin Discount
  Lab Level:      68 / 99 (Max)
  Next Level:    2d 10h 47m
  Max Level:     128d 18h  7m")</f>
        <v>Labs Coin Discount
  Lab Level:      68 / 99 (Max)
  Next Level:    2d 10h 47m
  Max Level:     128d 18h  7m</v>
      </c>
      <c r="AD4" s="1249" t="str">
        <f>IFERROR(__xludf.DUMMYFUNCTION("""COMPUTED_VALUE"""),"")</f>
        <v/>
      </c>
      <c r="AE4" s="1249" t="str">
        <f>IFERROR(__xludf.DUMMYFUNCTION("""COMPUTED_VALUE"""),"Enhancement Defense - Coin Discount")</f>
        <v>Enhancement Defense - Coin Discount</v>
      </c>
      <c r="AF4" s="1250" t="str">
        <f>IFERROR(__xludf.DUMMYFUNCTION("if(AE4 &lt;&gt; """", 
  LET( 
    TargetLevel, VLOOKUP(AE4,MS_Labs_Array,3,false),
    MaxLevel, VLOOKUP(AE4,MS_Labs_Array,4,false),
    MaxOrTarget, IF(OR(TargetLevel = """",$AD$1 &lt;&gt; ""Target""), MaxLevel, TargetLevel),
    LabLevel, VLOOKUP(AE4,MS_Labs_Array"&amp;",2,False),
    Levelprogress, LabLevel / MaxOrTarget,
    DVTColumn, MATCH(AE4,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G4" s="1251" t="str">
        <f>IFERROR(__xludf.DUMMYFUNCTION("if(AE4 &lt;&gt; """", 
  LET(
    TargetLevel, VLOOKUP(AE4,MS_Labs_Array,3,false),
    LabSpeed, (1 * REGEXEXTRACT($BH$1, ""[\d.-]+"")) * {IF(AE4 =""Labs Speed"", 1+'Master Sheet'!$BK$5, LAB_SPEED_TOTAL())},
    MaxLevel, VLOOKUP(AE4,MS_Labs_Array,4,false),
   "&amp;" MaxOrTarget, IF(OR(TargetLevel = """",$AD$1 &lt;&gt; ""Target""), MaxLevel, TargetLevel),
    LabLevel, VLOOKUP(AE4,MS_Labs_Array,2,False),
    DVTColumn, MATCH(AE4, DVT_Laboratory!$A$1:BO$1, 0),
    xextTime, INDIRECT(""DVT_Laboratory!"" &amp; ADDRESS(LabLevel+3,"&amp;" DVTColumn)) / LabSpeed,
    remainingTime, SUM(INDIRECT(""DVT_Laboratory!"" &amp; ADDRESS(LabLevel+3, DVTColumn) &amp; "":"" &amp; ADDRESS(MaxOrTarget+2, DVTColumn))) / LabSpeed,
  AE4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"""")"),"Enhancement Defense - Coin Discount
  Lab Level:      0 / 100 (Max)
  Next Level:    0d  1h 38m
  Max Level:     346d 14h  2m")</f>
        <v>Enhancement Defense - Coin Discount
  Lab Level:      0 / 100 (Max)
  Next Level:    0d  1h 38m
  Max Level:     346d 14h  2m</v>
      </c>
      <c r="AH4" s="1249" t="str">
        <f>IFERROR(__xludf.DUMMYFUNCTION("""COMPUTED_VALUE"""),"The 500T unlock is Orb Size, the least useful of the three")</f>
        <v>The 500T unlock is Orb Size, the least useful of the three</v>
      </c>
      <c r="AI4" s="1249" t="str">
        <f>IFERROR(__xludf.DUMMYFUNCTION("""COMPUTED_VALUE"""),"Enhancement Attack - Coin Discount
  Lab Level:      0 / 100 (Max)
  Next Level:    0d  1h 38m
  Max Level:     346d 14h  2m")</f>
        <v>Enhancement Attack - Coin Discount
  Lab Level:      0 / 100 (Max)
  Next Level:    0d  1h 38m
  Max Level:     346d 14h  2m</v>
      </c>
      <c r="AJ4" s="1259" t="str">
        <f>IFERROR(__xludf.DUMMYFUNCTION("""COMPUTED_VALUE"""),"")</f>
        <v/>
      </c>
      <c r="AK4" s="1249" t="str">
        <f>IFERROR(__xludf.DUMMYFUNCTION("""COMPUTED_VALUE"""),"Range")</f>
        <v>Range</v>
      </c>
      <c r="AL4" s="1250" t="str">
        <f>IFERROR(__xludf.DUMMYFUNCTION("if(AK4 &lt;&gt; """", 
  LET( 
    TargetLevel, VLOOKUP(AK4,MS_Labs_Array,3,false),
    MaxLevel, VLOOKUP(AK4,MS_Labs_Array,4,false),
    MaxOrTarget, IF(OR(TargetLevel = """",$AD$1 &lt;&gt; ""Target""), MaxLevel, TargetLevel),
    LabLevel, VLOOKUP(AK4,MS_Labs_Array"&amp;",2,False),
    Levelprogress, LabLevel / MaxOrTarget,
    DVTColumn, MATCH(AK4,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M4" s="1251" t="str">
        <f>IFERROR(__xludf.DUMMYFUNCTION("if(AK4 &lt;&gt; """", 
  LET(
    TargetLevel, VLOOKUP(AK4,MS_Labs_Array,3,false),
    LabSpeed, (1 * REGEXEXTRACT($BH$1, ""[\d.-]+"")) * {IF(AK4 =""Labs Speed"", 1+'Master Sheet'!$BK$5, LAB_SPEED_TOTAL())},
    MaxLevel, VLOOKUP(AK4,MS_Labs_Array,4,false),
   "&amp;" MaxOrTarget, IF(OR(TargetLevel = """",$AD$1 &lt;&gt; ""Target""), MaxLevel, TargetLevel),
    LabLevel, VLOOKUP(AK4,MS_Labs_Array,2,False),
    DVTColumn, MATCH(AK4, DVT_Laboratory!$A$1:BO$1, 0),
    xextTime, INDIRECT(""DVT_Laboratory!"" &amp; ADDRESS(LabLevel+3,"&amp;" DVTColumn)) / LabSpeed,
    remainingTime, SUM(INDIRECT(""DVT_Laboratory!"" &amp; ADDRESS(LabLevel+3, DVTColumn) &amp; "":"" &amp; ADDRESS(MaxOrTarget+2, DVTColumn))) / LabSpeed,
  AK4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"""")"),"Range
  Lab Level:      33 / 80 (Max)
  Next Level:    0d  5h 37m
  Max Level:     42d  6h 51m")</f>
        <v>Range
  Lab Level:      33 / 80 (Max)
  Next Level:    0d  5h 37m
  Max Level:     42d  6h 51m</v>
      </c>
      <c r="AN4" s="1249" t="str">
        <f>IFERROR(__xludf.DUMMYFUNCTION("""COMPUTED_VALUE"""),"Detrimental in farms if too high. Useful for orb placement in some cases. Helps out in tournaments under some BCs, has a slider to revert the effect")</f>
        <v>Detrimental in farms if too high. Useful for orb placement in some cases. Helps out in tournaments under some BCs, has a slider to revert the effect</v>
      </c>
      <c r="AO4" s="1249" t="str">
        <f>IFERROR(__xludf.DUMMYFUNCTION("""COMPUTED_VALUE"""),"Workshop Utility Discount
  Lab Level:      41 / 99 (Max)
  Next Level:    0d  9h 23m
  Max Level:     87d  5h 27m")</f>
        <v>Workshop Utility Discount
  Lab Level:      41 / 99 (Max)
  Next Level:    0d  9h 23m
  Max Level:     87d  5h 27m</v>
      </c>
      <c r="AP4" s="1249" t="str">
        <f>IFERROR(__xludf.DUMMYFUNCTION("""COMPUTED_VALUE"""),"")</f>
        <v/>
      </c>
      <c r="AQ4" s="1249" t="str">
        <f>IFERROR(__xludf.DUMMYFUNCTION("""COMPUTED_VALUE"""),"Workshop Defense Discount")</f>
        <v>Workshop Defense Discount</v>
      </c>
      <c r="AR4" s="1250" t="str">
        <f>IFERROR(__xludf.DUMMYFUNCTION("if(AQ4 &lt;&gt; """", 
  LET( 
    TargetLevel, VLOOKUP(AQ4,MS_Labs_Array,3,false),
    MaxLevel, VLOOKUP(AQ4,MS_Labs_Array,4,false),
    MaxOrTarget, IF(OR(TargetLevel = """",$AD$1 &lt;&gt; ""Target""), MaxLevel, TargetLevel),
    LabLevel, VLOOKUP(AQ4,MS_Labs_Array"&amp;",2,False),
    Levelprogress, LabLevel / MaxOrTarget,
    DVTColumn, MATCH(AQ4,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S4" s="1251" t="str">
        <f>IFERROR(__xludf.DUMMYFUNCTION("if(AQ4 &lt;&gt; """", 
  LET(
    TargetLevel, VLOOKUP(AQ4,MS_Labs_Array,3,false),
    LabSpeed, (1 * REGEXEXTRACT($BH$1, ""[\d.-]+"")) * {IF(AQ4 =""Labs Speed"", 1+'Master Sheet'!$BK$5, LAB_SPEED_TOTAL())},
    MaxLevel, VLOOKUP(AQ4,MS_Labs_Array,4,false),
   "&amp;" MaxOrTarget, IF(OR(TargetLevel = """",$AD$1 &lt;&gt; ""Target""), MaxLevel, TargetLevel),
    LabLevel, VLOOKUP(AQ4,MS_Labs_Array,2,False),
    DVTColumn, MATCH(AQ4, DVT_Laboratory!$A$1:BO$1, 0),
    xextTime, INDIRECT(""DVT_Laboratory!"" &amp; ADDRESS(LabLevel+3,"&amp;" DVTColumn)) / LabSpeed,
    remainingTime, SUM(INDIRECT(""DVT_Laboratory!"" &amp; ADDRESS(LabLevel+3, DVTColumn) &amp; "":"" &amp; ADDRESS(MaxOrTarget+2, DVTColumn))) / LabSpeed,
  AQ4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"""")"),"Workshop Defense Discount
  Lab Level:      28 / 99 (Max)
  Next Level:    0d  3h 49m
  Max Level:     90d 13h 26m")</f>
        <v>Workshop Defense Discount
  Lab Level:      28 / 99 (Max)
  Next Level:    0d  3h 49m
  Max Level:     90d 13h 26m</v>
      </c>
      <c r="AT4" s="1249" t="str">
        <f>IFERROR(__xludf.DUMMYFUNCTION("""COMPUTED_VALUE"""),"Gaining more coins is more beneficial then spending less coins, utility can be useful for ELS later on. Retroactive on respecs")</f>
        <v>Gaining more coins is more beneficial then spending less coins, utility can be useful for ELS later on. Retroactive on respecs</v>
      </c>
      <c r="AU4" s="1249" t="str">
        <f>IFERROR(__xludf.DUMMYFUNCTION("""COMPUTED_VALUE"""),"Workshop Attack Discount
  Lab Level:      27 / 99 (Max)
  Next Level:    0d  3h 30m
  Max Level:     90d 16h 57m")</f>
        <v>Workshop Attack Discount
  Lab Level:      27 / 99 (Max)
  Next Level:    0d  3h 30m
  Max Level:     90d 16h 57m</v>
      </c>
      <c r="AV4" s="1249" t="str">
        <f>IFERROR(__xludf.DUMMYFUNCTION("""COMPUTED_VALUE"""),"")</f>
        <v/>
      </c>
      <c r="AW4" s="1249" t="str">
        <f>IFERROR(__xludf.DUMMYFUNCTION("""COMPUTED_VALUE"""),"Damage / Meter")</f>
        <v>Damage / Meter</v>
      </c>
      <c r="AX4" s="1250" t="str">
        <f>IFERROR(__xludf.DUMMYFUNCTION("if(AW4 &lt;&gt; """", 
  LET( 
    TargetLevel, VLOOKUP(AW4,MS_Labs_Array,3,false),
    MaxLevel, VLOOKUP(AW4,MS_Labs_Array,4,false),
    MaxOrTarget, IF(OR(TargetLevel = """",$AD$1 &lt;&gt; ""Target""), MaxLevel, TargetLevel),
    LabLevel, VLOOKUP(AW4,MS_Labs_Array"&amp;",2,False),
    Levelprogress, LabLevel / MaxOrTarget,
    DVTColumn, MATCH(AW4,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Y4" s="1251" t="str">
        <f>IFERROR(__xludf.DUMMYFUNCTION("if(AW4 &lt;&gt; """", 
  LET(
    TargetLevel, VLOOKUP(AW4,MS_Labs_Array,3,false),
    LabSpeed, (1 * REGEXEXTRACT($BH$1, ""[\d.-]+"")) * {IF(AW4 =""Labs Speed"", 1+'Master Sheet'!$BK$5, LAB_SPEED_TOTAL())},
    MaxLevel, VLOOKUP(AW4,MS_Labs_Array,4,false),
   "&amp;" MaxOrTarget, IF(OR(TargetLevel = """",$AD$1 &lt;&gt; ""Target""), MaxLevel, TargetLevel),
    LabLevel, VLOOKUP(AW4,MS_Labs_Array,2,False),
    DVTColumn, MATCH(AW4, DVT_Laboratory!$A$1:BO$1, 0),
    xextTime, INDIRECT(""DVT_Laboratory!"" &amp; ADDRESS(LabLevel+3,"&amp;" DVTColumn)) / LabSpeed,
    remainingTime, SUM(INDIRECT(""DVT_Laboratory!"" &amp; ADDRESS(LabLevel+3, DVTColumn) &amp; "":"" &amp; ADDRESS(MaxOrTarget+2, DVTColumn))) / LabSpeed,
  AW4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"""")"),"Damage / Meter
  Lab Level:      16 / 99 (Max)
  Next Level:    0d  1h  2m
  Max Level:     91d 15h 12m")</f>
        <v>Damage / Meter
  Lab Level:      16 / 99 (Max)
  Next Level:    0d  1h  2m
  Max Level:     91d 15h 12m</v>
      </c>
      <c r="AZ4" s="1249" t="str">
        <f>IFERROR(__xludf.DUMMYFUNCTION("""COMPUTED_VALUE"""),"Useless until SL+, very helpful with it while also pairing well with Range mastery")</f>
        <v>Useless until SL+, very helpful with it while also pairing well with Range mastery</v>
      </c>
      <c r="BA4" s="1249" t="str">
        <f>IFERROR(__xludf.DUMMYFUNCTION("""COMPUTED_VALUE"""),"Starting Cash
  Lab Level:      6 / 99 (Max)
  Next Level:    0d  0h  7m
  Max Level:     91d 19h 41m")</f>
        <v>Starting Cash
  Lab Level:      6 / 99 (Max)
  Next Level:    0d  0h  7m
  Max Level:     91d 19h 41m</v>
      </c>
      <c r="BB4" s="1249" t="str">
        <f>IFERROR(__xludf.DUMMYFUNCTION("""COMPUTED_VALUE"""),"")</f>
        <v/>
      </c>
      <c r="BC4" s="1249" t="str">
        <f>IFERROR(__xludf.DUMMYFUNCTION("""COMPUTED_VALUE"""),"Auto Pick Ranking")</f>
        <v>Auto Pick Ranking</v>
      </c>
      <c r="BD4" s="1250" t="str">
        <f>IFERROR(__xludf.DUMMYFUNCTION("if(BC4 &lt;&gt; """", 
  LET( 
    TargetLevel, VLOOKUP(BC4,MS_Labs_Array,3,false),
    MaxLevel, VLOOKUP(BC4,MS_Labs_Array,4,false),
    MaxOrTarget, IF(OR(TargetLevel = """",$AD$1 &lt;&gt; ""Target""), MaxLevel, TargetLevel),
    LabLevel, VLOOKUP(BC4,MS_Labs_Array"&amp;",2,False),
    Levelprogress, LabLevel / MaxOrTarget,
    DVTColumn, MATCH(BC4,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BE4" s="1251" t="str">
        <f>IFERROR(__xludf.DUMMYFUNCTION("if(BC4 &lt;&gt; """", 
  LET(
    TargetLevel, VLOOKUP(BC4,MS_Labs_Array,3,false),
    LabSpeed, (1 * REGEXEXTRACT($BH$1, ""[\d.-]+"")) * {IF(BC4 =""Labs Speed"", 1+'Master Sheet'!$BK$5, LAB_SPEED_TOTAL())},
    MaxLevel, VLOOKUP(BC4,MS_Labs_Array,4,false),
   "&amp;" MaxOrTarget, IF(OR(TargetLevel = """",$AD$1 &lt;&gt; ""Target""), MaxLevel, TargetLevel),
    LabLevel, VLOOKUP(BC4,MS_Labs_Array,2,False),
    DVTColumn, MATCH(BC4, DVT_Laboratory!$A$1:BO$1, 0),
    xextTime, INDIRECT(""DVT_Laboratory!"" &amp; ADDRESS(LabLevel+3,"&amp;" DVTColumn)) / LabSpeed,
    remainingTime, SUM(INDIRECT(""DVT_Laboratory!"" &amp; ADDRESS(LabLevel+3, DVTColumn) &amp; "":"" &amp; ADDRESS(MaxOrTarget+2, DVTColumn))) / LabSpeed,
  BC4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"""")"),"Auto Pick Ranking
  Lab Level:      12 / 32 (Max)
  Next Level:    1d 11h 49m
  Max Level:     335d 22h 45m")</f>
        <v>Auto Pick Ranking
  Lab Level:      12 / 32 (Max)
  Next Level:    1d 11h 49m
  Max Level:     335d 22h 45m</v>
      </c>
      <c r="BF4" s="1249" t="str">
        <f>IFERROR(__xludf.DUMMYFUNCTION("""COMPUTED_VALUE"""),"Improves the consistency of Auto Pick by a lot. Is not a replacement for bans. No need to overdo it")</f>
        <v>Improves the consistency of Auto Pick by a lot. Is not a replacement for bans. No need to overdo it</v>
      </c>
      <c r="BG4" s="1249" t="str">
        <f>IFERROR(__xludf.DUMMYFUNCTION("""COMPUTED_VALUE"""),"Recharge Demon Mode
  Lab Level:      4 / 7 (Max)
  Next Level:    0d 21h 28m
  Max Level:     5d 17h 37m")</f>
        <v>Recharge Demon Mode
  Lab Level:      4 / 7 (Max)
  Next Level:    0d 21h 28m
  Max Level:     5d 17h 37m</v>
      </c>
      <c r="BH4" s="1260" t="str">
        <f>IFERROR(__xludf.DUMMYFUNCTION("""COMPUTED_VALUE"""),"")</f>
        <v/>
      </c>
      <c r="BI4" s="1252" t="str">
        <f>IFERROR(__xludf.DUMMYFUNCTION("""COMPUTED_VALUE"""),"Buy Multiplier")</f>
        <v>Buy Multiplier</v>
      </c>
      <c r="BJ4" s="1253" t="str">
        <f>IFERROR(__xludf.DUMMYFUNCTION("if(BI4 &lt;&gt; """", 
  LET( 
    TargetLevel, VLOOKUP(BI4,MS_Labs_Array,3,false),
    MaxLevel, VLOOKUP(BI4,MS_Labs_Array,4,false),
    MaxOrTarget, IF(OR(TargetLevel = """",$AD$1 &lt;&gt; ""Target""), MaxLevel, TargetLevel),
    LabLevel, VLOOKUP(BI4,MS_Labs_Array"&amp;",2,False),
    Levelprogress, IF(LabLevel &gt;= MaxOrTarget, 1, LabLevel / MaxOrTarget),
    DVTColumn, MATCH(BI4, DVT_Laboratory!$A$1:BO$1, 0),
    investedTime, SUM(INDIRECT(""DVT_Laboratory!"" &amp; ADDRESS(3, DVTColumn) &amp; "":"" &amp; ADDRESS(LabLevel+2, DVTColum"&amp;"n))),
    totalTime, SUM(INDIRECT(""DVT_Laboratory!"" &amp; ADDRESS(3, DVTColumn) &amp; "":"" &amp; ADDRESS(MaxOrTarget+2, DVTColumn))),
    timeProgress, IF(LabLevel &gt;= MaxOrTarget, 1, investedTime / totalTime),
SPARKLINE(IF(OR($BB$1 &lt;&gt; ""Time"", LabLevel = 0),Level"&amp;"progress, timeProgress), {""charttype"",""bar"";""max"",1;""min"",0;""color1"", ""#00ff00""})), """")"),"")</f>
        <v/>
      </c>
      <c r="BK4" s="1254" t="str">
        <f>IFERROR(__xludf.DUMMYFUNCTION("if(BI4 &lt;&gt; """", 
  LET(
    TargetLevel, VLOOKUP(BI4,MS_Labs_Array,3,false),
    LabSpeed, (1 * REGEXEXTRACT($BH$1, ""[\d.-]+"")) * {IF(BI4 =""Labs Speed"", 1+'Master Sheet'!$BK$5, LAB_SPEED_TOTAL())},
    MaxLevel, VLOOKUP(BI4,MS_Labs_Array,4,false),
   "&amp;" MaxOrTarget, IF(OR(TargetLevel = """",$AD$1 &lt;&gt; ""Target""), MaxLevel, TargetLevel),
    LabLevel, VLOOKUP(BI4,MS_Labs_Array,2,False),
    DVTColumn, MATCH(BI4, DVT_Laboratory!$A$1:BO$1, 0),
    xextTime, INDIRECT(""DVT_Laboratory!"" &amp; ADDRESS(LabLevel+3,"&amp;" DVTColumn)) / LabSpeed,
    remainingTime, SUM(INDIRECT(""DVT_Laboratory!"" &amp; ADDRESS(LabLevel+3, DVTColumn) &amp; "":"" &amp; ADDRESS(MaxOrTarget+2, DVTColumn))) / LabSpeed,
  BI4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"""")"),"Buy Multiplier
  Lab Level:      4 / 4 (Max)
  Next Level:    
  Max Level:     0d  3h 31m")</f>
        <v>Buy Multiplier
  Lab Level:      4 / 4 (Max)
  Next Level:    
  Max Level:     0d  3h 31m</v>
      </c>
      <c r="BL4" s="1252" t="str">
        <f>IFERROR(__xludf.DUMMYFUNCTION("""COMPUTED_VALUE"""),"More necessary the more you respec to avoid carpal tunnel, also nice for buying large amounts of things in runs")</f>
        <v>More necessary the more you respec to avoid carpal tunnel, also nice for buying large amounts of things in runs</v>
      </c>
      <c r="BM4" s="1252" t="str">
        <f>IFERROR(__xludf.DUMMYFUNCTION("""COMPUTED_VALUE"""),"Game Speed
  Lab Level:      7 / 7 (Target)
  Next Level:    
  Target Level: 1d 14h 50m")</f>
        <v>Game Speed
  Lab Level:      7 / 7 (Target)
  Next Level:    
  Target Level: 1d 14h 50m</v>
      </c>
      <c r="BN4" s="1222"/>
      <c r="BO4" s="1261"/>
    </row>
    <row r="5">
      <c r="A5" s="1222"/>
      <c r="B5" s="1262" t="s">
        <v>553</v>
      </c>
      <c r="C5" s="1241" t="s">
        <v>180</v>
      </c>
      <c r="D5" s="1242" t="str">
        <f>VLOOKUP(C5,'Remote Tier List'!A:D, 2, FALSE)</f>
        <v>D</v>
      </c>
      <c r="E5" s="1243" t="str">
        <f>VLOOKUP(C5,'Remote Tier List'!A:D, 3, FALSE)</f>
        <v/>
      </c>
      <c r="F5" s="1258" t="str">
        <f>VLOOKUP(C5,'Remote Tier List'!A:D, 4, FALSE)</f>
        <v>Gaining more coins is more beneficial then spending less coins, utility can be useful for ELS later on. Retroactive on respecs</v>
      </c>
      <c r="G5" s="1245" t="b">
        <f t="shared" si="10"/>
        <v>1</v>
      </c>
      <c r="H5" s="1246" t="str">
        <f t="array" ref="H5:I5">LET(
  Lab, $C5,
  Mode, $AD$1,
  Level, VLOOKUP(Lab, MS_Labs_Array, 2, FALSE),
  Target, VLOOKUP(Lab, MS_Labs_Array, 3, FALSE),
  Max, VLOOKUP(Lab, MS_Labs_Array, 4, FALSE),
  Result,
    IF(
      AND(
        Mode &lt;&gt; "Never",
        Level &gt;= IF(OR(Target = "", Mode = "Max"), Max, Target)
      ),
      "Completed",
      ""
    ),
  HSTACK(
    IF(Result &lt;&gt; "", Result, $D5),
    IF(Result &lt;&gt; "", Result, IF($E5 = "", $D5, $E5))
  )
)</f>
        <v>D</v>
      </c>
      <c r="I5" s="1247" t="s">
        <v>548</v>
      </c>
      <c r="J5" s="1248" t="str">
        <f t="shared" si="11"/>
        <v>Gaining more coins is more beneficial then spending less coins, utility can be useful for ELS later on. Retroactive on respecs</v>
      </c>
      <c r="K5" s="1229"/>
      <c r="L5" s="1249" t="str">
        <f>IFERROR(__xludf.DUMMYFUNCTION("""COMPUTED_VALUE"""),"Battle Condition Reduction")</f>
        <v>Battle Condition Reduction</v>
      </c>
      <c r="M5" s="1249"/>
      <c r="N5" s="1250" t="str">
        <f>IFERROR(__xludf.DUMMYFUNCTION("if(M5 &lt;&gt; """", 
  LET( 
    TargetLevel, VLOOKUP(M5,MS_Labs_Array,3,false),
    MaxLevel, VLOOKUP(M5,MS_Labs_Array,4,false),
    MaxOrTarget, IF(OR(TargetLevel = """",$AD$1 &lt;&gt; ""Target""), MaxLevel, TargetLevel),
    LabLevel, VLOOKUP(M5,MS_Labs_Array,2,F"&amp;"alse),
    Levelprogress, LabLevel / MaxOrTarget,
    DVTColumn, MATCH(M5,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O5" s="1251" t="str">
        <f>IFERROR(__xludf.DUMMYFUNCTION("if(M5 &lt;&gt; """", 
  LET(
    TargetLevel, VLOOKUP(M5,MS_Labs_Array,3,false),
    LabSpeed, (1 * REGEXEXTRACT($BH$1, ""[\d.-]+"")) * {IF(M5 =""Labs Speed"", 1+'Master Sheet'!$BK$5, LAB_SPEED_TOTAL())},
    MaxLevel, VLOOKUP(M5,MS_Labs_Array,4,false),
    Max"&amp;"OrTarget, IF(OR(TargetLevel = """",$AD$1 &lt;&gt; ""Target""), MaxLevel, TargetLevel),
    LabLevel, VLOOKUP(M5,MS_Labs_Array,2,False),
    DVTColumn, MATCH(M5, DVT_Laboratory!$A$1:BO$1, 0),
    xextTime, INDIRECT(""DVT_Laboratory!"" &amp; ADDRESS(LabLevel+3, DVTCo"&amp;"lumn)) / LabSpeed,
    remainingTime, SUM(INDIRECT(""DVT_Laboratory!"" &amp; ADDRESS(LabLevel+3, DVTColumn) &amp; "":"" &amp; ADDRESS(MaxOrTarget+2, DVTColumn))) / LabSpeed,
  M5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f>
        <v/>
      </c>
      <c r="P5" s="1249"/>
      <c r="Q5" s="1249" t="str">
        <f>IFERROR(__xludf.DUMMYFUNCTION("""COMPUTED_VALUE"""),"Very strong for those reaching max heat in tournaments. Removes 100% uptime on ultimate enemies. Great for farms in T14 and up")</f>
        <v>Very strong for those reaching max heat in tournaments. Removes 100% uptime on ultimate enemies. Great for farms in T14 and up</v>
      </c>
      <c r="R5" s="1249" t="str">
        <f>IFERROR(__xludf.DUMMYFUNCTION("""COMPUTED_VALUE"""),"Wall Thorns")</f>
        <v>Wall Thorns</v>
      </c>
      <c r="S5" s="1249" t="str">
        <f>IFERROR(__xludf.DUMMYFUNCTION("""COMPUTED_VALUE"""),"Golden Tower Duration")</f>
        <v>Golden Tower Duration</v>
      </c>
      <c r="T5" s="1250" t="str">
        <f>IFERROR(__xludf.DUMMYFUNCTION("if(S5 &lt;&gt; """", 
  LET( 
    TargetLevel, VLOOKUP(S5,MS_Labs_Array,3,false),
    MaxLevel, VLOOKUP(S5,MS_Labs_Array,4,false),
    MaxOrTarget, IF(OR(TargetLevel = """",$AD$1 &lt;&gt; ""Target""), MaxLevel, TargetLevel),
    LabLevel, VLOOKUP(S5,MS_Labs_Array,2,F"&amp;"alse),
    Levelprogress, LabLevel / MaxOrTarget,
    DVTColumn, MATCH(S5,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U5" s="1251" t="str">
        <f>IFERROR(__xludf.DUMMYFUNCTION("if(S5 &lt;&gt; """", 
  LET(
    TargetLevel, VLOOKUP(S5,MS_Labs_Array,3,false),
    LabSpeed, (1 * REGEXEXTRACT($BH$1, ""[\d.-]+"")) * {IF(S5 =""Labs Speed"", 1+'Master Sheet'!$BK$5, LAB_SPEED_TOTAL())},
    MaxLevel, VLOOKUP(S5,MS_Labs_Array,4,false),
    Max"&amp;"OrTarget, IF(OR(TargetLevel = """",$AD$1 &lt;&gt; ""Target""), MaxLevel, TargetLevel),
    LabLevel, VLOOKUP(S5,MS_Labs_Array,2,False),
    DVTColumn, MATCH(S5, DVT_Laboratory!$A$1:BO$1, 0),
    xextTime, INDIRECT(""DVT_Laboratory!"" &amp; ADDRESS(LabLevel+3, DVTCo"&amp;"lumn)) / LabSpeed,
    remainingTime, SUM(INDIRECT(""DVT_Laboratory!"" &amp; ADDRESS(LabLevel+3, DVTColumn) &amp; "":"" &amp; ADDRESS(MaxOrTarget+2, DVTColumn))) / LabSpeed,
  S5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"""")"),"Golden Tower Duration
  Lab Level:      19 / 20 (Max)
  Next Level:    2d  1h 32m
  Max Level:     2d  1h 32m")</f>
        <v>Golden Tower Duration
  Lab Level:      19 / 20 (Max)
  Next Level:    2d  1h 32m
  Max Level:     2d  1h 32m</v>
      </c>
      <c r="V5" s="1249" t="str">
        <f>IFERROR(__xludf.DUMMYFUNCTION("""COMPUTED_VALUE"""),"A lab for something that otherwise costs stones is incredible. Getting duration past BH duration with perk has little value")</f>
        <v>A lab for something that otherwise costs stones is incredible. Getting duration past BH duration with perk has little value</v>
      </c>
      <c r="W5" s="1249" t="str">
        <f>IFERROR(__xludf.DUMMYFUNCTION("""COMPUTED_VALUE"""),"Helps kill enemies with wall quicker, useful percentage damage; get to at least 11 ")</f>
        <v>Helps kill enemies with wall quicker, useful percentage damage; get to at least 11 </v>
      </c>
      <c r="X5" s="1249" t="str">
        <f>IFERROR(__xludf.DUMMYFUNCTION("""COMPUTED_VALUE"""),"Labs Speed")</f>
        <v>Labs Speed</v>
      </c>
      <c r="Y5" s="1263" t="str">
        <f>IFERROR(__xludf.DUMMYFUNCTION("""COMPUTED_VALUE"""),"Enhancement Utility - Coin Discount")</f>
        <v>Enhancement Utility - Coin Discount</v>
      </c>
      <c r="Z5" s="1250" t="str">
        <f>IFERROR(__xludf.DUMMYFUNCTION("if(Y5 &lt;&gt; """", 
  LET( 
    TargetLevel, VLOOKUP(Y5,MS_Labs_Array,3,false),
    MaxLevel, VLOOKUP(Y5,MS_Labs_Array,4,false),
    MaxOrTarget, IF(OR(TargetLevel = """",$AD$1 &lt;&gt; ""Target""), MaxLevel, TargetLevel),
    LabLevel, VLOOKUP(Y5,MS_Labs_Array,2,F"&amp;"alse),
    Levelprogress, LabLevel / MaxOrTarget,
    DVTColumn, MATCH(Y5,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AA5" s="1251" t="str">
        <f>IFERROR(__xludf.DUMMYFUNCTION("if(Y5 &lt;&gt; """", 
  LET(
    TargetLevel, VLOOKUP(Y5,MS_Labs_Array,3,false),
    LabSpeed, (1 * REGEXEXTRACT($BH$1, ""[\d.-]+"")) * {IF(Y5 =""Labs Speed"", 1+'Master Sheet'!$BK$5, LAB_SPEED_TOTAL())},
    MaxLevel, VLOOKUP(Y5,MS_Labs_Array,4,false),
    Max"&amp;"OrTarget, IF(OR(TargetLevel = """",$AD$1 &lt;&gt; ""Target""), MaxLevel, TargetLevel),
    LabLevel, VLOOKUP(Y5,MS_Labs_Array,2,False),
    DVTColumn, MATCH(Y5, DVT_Laboratory!$A$1:BO$1, 0),
    xextTime, INDIRECT(""DVT_Laboratory!"" &amp; ADDRESS(LabLevel+3, DVTCo"&amp;"lumn)) / LabSpeed,
    remainingTime, SUM(INDIRECT(""DVT_Laboratory!"" &amp; ADDRESS(LabLevel+3, DVTColumn) &amp; "":"" &amp; ADDRESS(MaxOrTarget+2, DVTColumn))) / LabSpeed,
  Y5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"""")"),"Enhancement Utility - Coin Discount
  Lab Level:      0 / 100 (Max)
  Next Level:    0d  1h 38m
  Max Level:     346d 14h  2m")</f>
        <v>Enhancement Utility - Coin Discount
  Lab Level:      0 / 100 (Max)
  Next Level:    0d  1h 38m
  Max Level:     346d 14h  2m</v>
      </c>
      <c r="AB5" s="1249" t="str">
        <f>IFERROR(__xludf.DUMMYFUNCTION("""COMPUTED_VALUE"""),"ELS+ and Coin+ are some of the strongest enchancements in the game")</f>
        <v>ELS+ and Coin+ are some of the strongest enchancements in the game</v>
      </c>
      <c r="AC5" s="1249" t="str">
        <f>IFERROR(__xludf.DUMMYFUNCTION("""COMPUTED_VALUE"""),"S tier until level 50; very long after. Should be slotted in whenever a lab slot is not occupied by a high priority lab")</f>
        <v>S tier until level 50; very long after. Should be slotted in whenever a lab slot is not occupied by a high priority lab</v>
      </c>
      <c r="AD5" s="1249" t="str">
        <f>IFERROR(__xludf.DUMMYFUNCTION("""COMPUTED_VALUE"""),"Enhancement Defense - Coin Discount")</f>
        <v>Enhancement Defense - Coin Discount</v>
      </c>
      <c r="AE5" s="1249" t="str">
        <f>IFERROR(__xludf.DUMMYFUNCTION("""COMPUTED_VALUE"""),"Damage")</f>
        <v>Damage</v>
      </c>
      <c r="AF5" s="1250" t="str">
        <f>IFERROR(__xludf.DUMMYFUNCTION("if(AE5 &lt;&gt; """", 
  LET( 
    TargetLevel, VLOOKUP(AE5,MS_Labs_Array,3,false),
    MaxLevel, VLOOKUP(AE5,MS_Labs_Array,4,false),
    MaxOrTarget, IF(OR(TargetLevel = """",$AD$1 &lt;&gt; ""Target""), MaxLevel, TargetLevel),
    LabLevel, VLOOKUP(AE5,MS_Labs_Array"&amp;",2,False),
    Levelprogress, LabLevel / MaxOrTarget,
    DVTColumn, MATCH(AE5,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G5" s="1251" t="str">
        <f>IFERROR(__xludf.DUMMYFUNCTION("if(AE5 &lt;&gt; """", 
  LET(
    TargetLevel, VLOOKUP(AE5,MS_Labs_Array,3,false),
    LabSpeed, (1 * REGEXEXTRACT($BH$1, ""[\d.-]+"")) * {IF(AE5 =""Labs Speed"", 1+'Master Sheet'!$BK$5, LAB_SPEED_TOTAL())},
    MaxLevel, VLOOKUP(AE5,MS_Labs_Array,4,false),
   "&amp;" MaxOrTarget, IF(OR(TargetLevel = """",$AD$1 &lt;&gt; ""Target""), MaxLevel, TargetLevel),
    LabLevel, VLOOKUP(AE5,MS_Labs_Array,2,False),
    DVTColumn, MATCH(AE5, DVT_Laboratory!$A$1:BO$1, 0),
    xextTime, INDIRECT(""DVT_Laboratory!"" &amp; ADDRESS(LabLevel+3,"&amp;" DVTColumn)) / LabSpeed,
    remainingTime, SUM(INDIRECT(""DVT_Laboratory!"" &amp; ADDRESS(LabLevel+3, DVTColumn) &amp; "":"" &amp; ADDRESS(MaxOrTarget+2, DVTColumn))) / LabSpeed,
  AE5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"""")"),"Damage
  Lab Level:      69 / 100 (Max)
  Next Level:    1d  8h 21m
  Max Level:     68d  2h 36m")</f>
        <v>Damage
  Lab Level:      69 / 100 (Max)
  Next Level:    1d  8h 21m
  Max Level:     68d  2h 36m</v>
      </c>
      <c r="AH5" s="1249" t="str">
        <f>IFERROR(__xludf.DUMMYFUNCTION("""COMPUTED_VALUE"""),"Most useful after owning a damage UW like Chain Lightning, still retains some utility for early towers in tournaments or against protectors/elites")</f>
        <v>Most useful after owning a damage UW like Chain Lightning, still retains some utility for early towers in tournaments or against protectors/elites</v>
      </c>
      <c r="AI5" s="1249" t="str">
        <f>IFERROR(__xludf.DUMMYFUNCTION("""COMPUTED_VALUE"""),"The 500T unlock is Orb Size, the least useful of the three")</f>
        <v>The 500T unlock is Orb Size, the least useful of the three</v>
      </c>
      <c r="AJ5" s="1249" t="str">
        <f>IFERROR(__xludf.DUMMYFUNCTION("""COMPUTED_VALUE"""),"Range")</f>
        <v>Range</v>
      </c>
      <c r="AK5" s="1249" t="str">
        <f>IFERROR(__xludf.DUMMYFUNCTION("""COMPUTED_VALUE"""),"Super Crit Chance")</f>
        <v>Super Crit Chance</v>
      </c>
      <c r="AL5" s="1250" t="str">
        <f>IFERROR(__xludf.DUMMYFUNCTION("if(AK5 &lt;&gt; """", 
  LET( 
    TargetLevel, VLOOKUP(AK5,MS_Labs_Array,3,false),
    MaxLevel, VLOOKUP(AK5,MS_Labs_Array,4,false),
    MaxOrTarget, IF(OR(TargetLevel = """",$AD$1 &lt;&gt; ""Target""), MaxLevel, TargetLevel),
    LabLevel, VLOOKUP(AK5,MS_Labs_Array"&amp;",2,False),
    Levelprogress, LabLevel / MaxOrTarget,
    DVTColumn, MATCH(AK5,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M5" s="1251" t="str">
        <f>IFERROR(__xludf.DUMMYFUNCTION("if(AK5 &lt;&gt; """", 
  LET(
    TargetLevel, VLOOKUP(AK5,MS_Labs_Array,3,false),
    LabSpeed, (1 * REGEXEXTRACT($BH$1, ""[\d.-]+"")) * {IF(AK5 =""Labs Speed"", 1+'Master Sheet'!$BK$5, LAB_SPEED_TOTAL())},
    MaxLevel, VLOOKUP(AK5,MS_Labs_Array,4,false),
   "&amp;" MaxOrTarget, IF(OR(TargetLevel = """",$AD$1 &lt;&gt; ""Target""), MaxLevel, TargetLevel),
    LabLevel, VLOOKUP(AK5,MS_Labs_Array,2,False),
    DVTColumn, MATCH(AK5, DVT_Laboratory!$A$1:BO$1, 0),
    xextTime, INDIRECT(""DVT_Laboratory!"" &amp; ADDRESS(LabLevel+3,"&amp;" DVTColumn)) / LabSpeed,
    remainingTime, SUM(INDIRECT(""DVT_Laboratory!"" &amp; ADDRESS(LabLevel+3, DVTColumn) &amp; "":"" &amp; ADDRESS(MaxOrTarget+2, DVTColumn))) / LabSpeed,
  AK5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"""")"),"Super Crit Chance
  Lab Level:      9 / 50 (Max)
  Next Level:    0d 22h 17m
  Max Level:     6465d  7h 24m")</f>
        <v>Super Crit Chance
  Lab Level:      9 / 50 (Max)
  Next Level:    0d 22h 17m
  Max Level:     6465d  7h 24m</v>
      </c>
      <c r="AN5" s="1249" t="str">
        <f>IFERROR(__xludf.DUMMYFUNCTION("""COMPUTED_VALUE"""),"Gets VERY long for little benefit")</f>
        <v>Gets VERY long for little benefit</v>
      </c>
      <c r="AO5" s="1249" t="str">
        <f>IFERROR(__xludf.DUMMYFUNCTION("""COMPUTED_VALUE"""),"Detrimental in farms if too high. Useful for orb placement in some cases. Helps out in tournaments under some BCs, has a slider to revert the effect")</f>
        <v>Detrimental in farms if too high. Useful for orb placement in some cases. Helps out in tournaments under some BCs, has a slider to revert the effect</v>
      </c>
      <c r="AP5" s="1249" t="str">
        <f>IFERROR(__xludf.DUMMYFUNCTION("""COMPUTED_VALUE"""),"Workshop Defense Discount")</f>
        <v>Workshop Defense Discount</v>
      </c>
      <c r="AQ5" s="1249" t="str">
        <f>IFERROR(__xludf.DUMMYFUNCTION("""COMPUTED_VALUE"""),"Workshop Utility Discount")</f>
        <v>Workshop Utility Discount</v>
      </c>
      <c r="AR5" s="1250" t="str">
        <f>IFERROR(__xludf.DUMMYFUNCTION("if(AQ5 &lt;&gt; """", 
  LET( 
    TargetLevel, VLOOKUP(AQ5,MS_Labs_Array,3,false),
    MaxLevel, VLOOKUP(AQ5,MS_Labs_Array,4,false),
    MaxOrTarget, IF(OR(TargetLevel = """",$AD$1 &lt;&gt; ""Target""), MaxLevel, TargetLevel),
    LabLevel, VLOOKUP(AQ5,MS_Labs_Array"&amp;",2,False),
    Levelprogress, LabLevel / MaxOrTarget,
    DVTColumn, MATCH(AQ5,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S5" s="1251" t="str">
        <f>IFERROR(__xludf.DUMMYFUNCTION("if(AQ5 &lt;&gt; """", 
  LET(
    TargetLevel, VLOOKUP(AQ5,MS_Labs_Array,3,false),
    LabSpeed, (1 * REGEXEXTRACT($BH$1, ""[\d.-]+"")) * {IF(AQ5 =""Labs Speed"", 1+'Master Sheet'!$BK$5, LAB_SPEED_TOTAL())},
    MaxLevel, VLOOKUP(AQ5,MS_Labs_Array,4,false),
   "&amp;" MaxOrTarget, IF(OR(TargetLevel = """",$AD$1 &lt;&gt; ""Target""), MaxLevel, TargetLevel),
    LabLevel, VLOOKUP(AQ5,MS_Labs_Array,2,False),
    DVTColumn, MATCH(AQ5, DVT_Laboratory!$A$1:BO$1, 0),
    xextTime, INDIRECT(""DVT_Laboratory!"" &amp; ADDRESS(LabLevel+3,"&amp;" DVTColumn)) / LabSpeed,
    remainingTime, SUM(INDIRECT(""DVT_Laboratory!"" &amp; ADDRESS(LabLevel+3, DVTColumn) &amp; "":"" &amp; ADDRESS(MaxOrTarget+2, DVTColumn))) / LabSpeed,
  AQ5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"""")"),"Workshop Utility Discount
  Lab Level:      41 / 99 (Max)
  Next Level:    0d  9h 23m
  Max Level:     87d  5h 27m")</f>
        <v>Workshop Utility Discount
  Lab Level:      41 / 99 (Max)
  Next Level:    0d  9h 23m
  Max Level:     87d  5h 27m</v>
      </c>
      <c r="AT5" s="1249" t="str">
        <f>IFERROR(__xludf.DUMMYFUNCTION("""COMPUTED_VALUE"""),"Gaining more coins is more beneficial then spending less coins, utility can be useful for ELS later on. Retroactive on respecs")</f>
        <v>Gaining more coins is more beneficial then spending less coins, utility can be useful for ELS later on. Retroactive on respecs</v>
      </c>
      <c r="AU5" s="1249" t="str">
        <f>IFERROR(__xludf.DUMMYFUNCTION("""COMPUTED_VALUE"""),"Gaining more coins is more beneficial then spending less coins, utility can be useful for ELS later on. Retroactive on respecs")</f>
        <v>Gaining more coins is more beneficial then spending less coins, utility can be useful for ELS later on. Retroactive on respecs</v>
      </c>
      <c r="AV5" s="1249" t="str">
        <f>IFERROR(__xludf.DUMMYFUNCTION("""COMPUTED_VALUE"""),"Damage / Meter")</f>
        <v>Damage / Meter</v>
      </c>
      <c r="AW5" s="1249" t="str">
        <f>IFERROR(__xludf.DUMMYFUNCTION("""COMPUTED_VALUE"""),"Health Regen")</f>
        <v>Health Regen</v>
      </c>
      <c r="AX5" s="1250" t="str">
        <f>IFERROR(__xludf.DUMMYFUNCTION("if(AW5 &lt;&gt; """", 
  LET( 
    TargetLevel, VLOOKUP(AW5,MS_Labs_Array,3,false),
    MaxLevel, VLOOKUP(AW5,MS_Labs_Array,4,false),
    MaxOrTarget, IF(OR(TargetLevel = """",$AD$1 &lt;&gt; ""Target""), MaxLevel, TargetLevel),
    LabLevel, VLOOKUP(AW5,MS_Labs_Array"&amp;",2,False),
    Levelprogress, LabLevel / MaxOrTarget,
    DVTColumn, MATCH(AW5,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Y5" s="1251" t="str">
        <f>IFERROR(__xludf.DUMMYFUNCTION("if(AW5 &lt;&gt; """", 
  LET(
    TargetLevel, VLOOKUP(AW5,MS_Labs_Array,3,false),
    LabSpeed, (1 * REGEXEXTRACT($BH$1, ""[\d.-]+"")) * {IF(AW5 =""Labs Speed"", 1+'Master Sheet'!$BK$5, LAB_SPEED_TOTAL())},
    MaxLevel, VLOOKUP(AW5,MS_Labs_Array,4,false),
   "&amp;" MaxOrTarget, IF(OR(TargetLevel = """",$AD$1 &lt;&gt; ""Target""), MaxLevel, TargetLevel),
    LabLevel, VLOOKUP(AW5,MS_Labs_Array,2,False),
    DVTColumn, MATCH(AW5, DVT_Laboratory!$A$1:BO$1, 0),
    xextTime, INDIRECT(""DVT_Laboratory!"" &amp; ADDRESS(LabLevel+3,"&amp;" DVTColumn)) / LabSpeed,
    remainingTime, SUM(INDIRECT(""DVT_Laboratory!"" &amp; ADDRESS(LabLevel+3, DVTColumn) &amp; "":"" &amp; ADDRESS(MaxOrTarget+2, DVTColumn))) / LabSpeed,
  AW5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"""")"),"Health Regen
  Lab Level:      68 / 100 (Max)
  Next Level:    1d  7h 15m
  Max Level:     69d  9h 51m")</f>
        <v>Health Regen
  Lab Level:      68 / 100 (Max)
  Next Level:    1d  7h 15m
  Max Level:     69d  9h 51m</v>
      </c>
      <c r="AZ5" s="1249" t="str">
        <f>IFERROR(__xludf.DUMMYFUNCTION("""COMPUTED_VALUE"""),"Crucial for eHp, useless before owning WHR or Wall and for Glass Cannon builds")</f>
        <v>Crucial for eHp, useless before owning WHR or Wall and for Glass Cannon builds</v>
      </c>
      <c r="BA5" s="1249" t="str">
        <f>IFERROR(__xludf.DUMMYFUNCTION("""COMPUTED_VALUE"""),"Useless until SL+, very helpful with it while also pairing well with Range mastery")</f>
        <v>Useless until SL+, very helpful with it while also pairing well with Range mastery</v>
      </c>
      <c r="BB5" s="1249" t="str">
        <f>IFERROR(__xludf.DUMMYFUNCTION("""COMPUTED_VALUE"""),"Auto Pick Ranking")</f>
        <v>Auto Pick Ranking</v>
      </c>
      <c r="BC5" s="1249"/>
      <c r="BD5" s="1250" t="str">
        <f>IFERROR(__xludf.DUMMYFUNCTION("if(BC5 &lt;&gt; """", 
  LET( 
    TargetLevel, VLOOKUP(BC5,MS_Labs_Array,3,false),
    MaxLevel, VLOOKUP(BC5,MS_Labs_Array,4,false),
    MaxOrTarget, IF(OR(TargetLevel = """",$AD$1 &lt;&gt; ""Target""), MaxLevel, TargetLevel),
    LabLevel, VLOOKUP(BC5,MS_Labs_Array"&amp;",2,False),
    Levelprogress, LabLevel / MaxOrTarget,
    DVTColumn, MATCH(BC5,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BE5" s="1251" t="str">
        <f>IFERROR(__xludf.DUMMYFUNCTION("if(BC5 &lt;&gt; """", 
  LET(
    TargetLevel, VLOOKUP(BC5,MS_Labs_Array,3,false),
    LabSpeed, (1 * REGEXEXTRACT($BH$1, ""[\d.-]+"")) * {IF(BC5 =""Labs Speed"", 1+'Master Sheet'!$BK$5, LAB_SPEED_TOTAL())},
    MaxLevel, VLOOKUP(BC5,MS_Labs_Array,4,false),
   "&amp;" MaxOrTarget, IF(OR(TargetLevel = """",$AD$1 &lt;&gt; ""Target""), MaxLevel, TargetLevel),
    LabLevel, VLOOKUP(BC5,MS_Labs_Array,2,False),
    DVTColumn, MATCH(BC5, DVT_Laboratory!$A$1:BO$1, 0),
    xextTime, INDIRECT(""DVT_Laboratory!"" &amp; ADDRESS(LabLevel+3,"&amp;" DVTColumn)) / LabSpeed,
    remainingTime, SUM(INDIRECT(""DVT_Laboratory!"" &amp; ADDRESS(LabLevel+3, DVTColumn) &amp; "":"" &amp; ADDRESS(MaxOrTarget+2, DVTColumn))) / LabSpeed,
  BC5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BF5" s="1249"/>
      <c r="BG5" s="1249" t="str">
        <f>IFERROR(__xludf.DUMMYFUNCTION("""COMPUTED_VALUE"""),"Improves the consistency of Auto Pick by a lot. Is not a replacement for bans. No need to overdo it")</f>
        <v>Improves the consistency of Auto Pick by a lot. Is not a replacement for bans. No need to overdo it</v>
      </c>
      <c r="BH5" s="1260" t="str">
        <f>IFERROR(__xludf.DUMMYFUNCTION("""COMPUTED_VALUE"""),"Buy Multiplier")</f>
        <v>Buy Multiplier</v>
      </c>
      <c r="BI5" s="1252" t="str">
        <f>IFERROR(__xludf.DUMMYFUNCTION("""COMPUTED_VALUE"""),"More Round Stats")</f>
        <v>More Round Stats</v>
      </c>
      <c r="BJ5" s="1253" t="str">
        <f>IFERROR(__xludf.DUMMYFUNCTION("if(BI5 &lt;&gt; """", 
  LET( 
    TargetLevel, VLOOKUP(BI5,MS_Labs_Array,3,false),
    MaxLevel, VLOOKUP(BI5,MS_Labs_Array,4,false),
    MaxOrTarget, IF(OR(TargetLevel = """",$AD$1 &lt;&gt; ""Target""), MaxLevel, TargetLevel),
    LabLevel, VLOOKUP(BI5,MS_Labs_Array"&amp;",2,False),
    Levelprogress, IF(LabLevel &gt;= MaxOrTarget, 1, LabLevel / MaxOrTarget),
    DVTColumn, MATCH(BI5, DVT_Laboratory!$A$1:BO$1, 0),
    investedTime, SUM(INDIRECT(""DVT_Laboratory!"" &amp; ADDRESS(3, DVTColumn) &amp; "":"" &amp; ADDRESS(LabLevel+2, DVTColum"&amp;"n))),
    totalTime, SUM(INDIRECT(""DVT_Laboratory!"" &amp; ADDRESS(3, DVTColumn) &amp; "":"" &amp; ADDRESS(MaxOrTarget+2, DVTColumn))),
    timeProgress, IF(LabLevel &gt;= MaxOrTarget, 1, investedTime / totalTime),
SPARKLINE(IF(OR($BB$1 &lt;&gt; ""Time"", LabLevel = 0),Level"&amp;"progress, timeProgress), {""charttype"",""bar"";""max"",1;""min"",0;""color1"", ""#00ff00""})), """")"),"")</f>
        <v/>
      </c>
      <c r="BK5" s="1254" t="str">
        <f>IFERROR(__xludf.DUMMYFUNCTION("if(BI5 &lt;&gt; """", 
  LET(
    TargetLevel, VLOOKUP(BI5,MS_Labs_Array,3,false),
    LabSpeed, (1 * REGEXEXTRACT($BH$1, ""[\d.-]+"")) * {IF(BI5 =""Labs Speed"", 1+'Master Sheet'!$BK$5, LAB_SPEED_TOTAL())},
    MaxLevel, VLOOKUP(BI5,MS_Labs_Array,4,false),
   "&amp;" MaxOrTarget, IF(OR(TargetLevel = """",$AD$1 &lt;&gt; ""Target""), MaxLevel, TargetLevel),
    LabLevel, VLOOKUP(BI5,MS_Labs_Array,2,False),
    DVTColumn, MATCH(BI5, DVT_Laboratory!$A$1:BO$1, 0),
    xextTime, INDIRECT(""DVT_Laboratory!"" &amp; ADDRESS(LabLevel+3,"&amp;" DVTColumn)) / LabSpeed,
    remainingTime, SUM(INDIRECT(""DVT_Laboratory!"" &amp; ADDRESS(LabLevel+3, DVTColumn) &amp; "":"" &amp; ADDRESS(MaxOrTarget+2, DVTColumn))) / LabSpeed,
  BI5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"""")"),"More Round Stats
  Lab Level:      1 / 1 (Max)
  Next Level:    
  Max Level:     0d  0h 45m")</f>
        <v>More Round Stats
  Lab Level:      1 / 1 (Max)
  Next Level:    
  Max Level:     0d  0h 45m</v>
      </c>
      <c r="BL5" s="1252" t="str">
        <f>IFERROR(__xludf.DUMMYFUNCTION("""COMPUTED_VALUE"""),"Useful data to track progress")</f>
        <v>Useful data to track progress</v>
      </c>
      <c r="BM5" s="1252" t="str">
        <f>IFERROR(__xludf.DUMMYFUNCTION("""COMPUTED_VALUE"""),"More necessary the more you respec to avoid carpal tunnel, also nice for buying large amounts of things in runs")</f>
        <v>More necessary the more you respec to avoid carpal tunnel, also nice for buying large amounts of things in runs</v>
      </c>
      <c r="BN5" s="1222"/>
      <c r="BO5" s="1261"/>
    </row>
    <row r="6" ht="7.5" customHeight="1">
      <c r="A6" s="1222"/>
      <c r="B6" s="1257"/>
      <c r="C6" s="1241" t="s">
        <v>193</v>
      </c>
      <c r="D6" s="1242" t="str">
        <f>VLOOKUP(C6,'Remote Tier List'!A:D, 2, FALSE)</f>
        <v>D</v>
      </c>
      <c r="E6" s="1243" t="str">
        <f>VLOOKUP(C6,'Remote Tier List'!A:D, 3, FALSE)</f>
        <v/>
      </c>
      <c r="F6" s="1264"/>
      <c r="G6" s="1245" t="b">
        <f t="shared" si="10"/>
        <v>1</v>
      </c>
      <c r="H6" s="1246" t="str">
        <f t="array" ref="H6:I6">LET(
  Lab, $C6,
  Mode, $AD$1,
  Level, VLOOKUP(Lab, MS_Labs_Array, 2, FALSE),
  Target, VLOOKUP(Lab, MS_Labs_Array, 3, FALSE),
  Max, VLOOKUP(Lab, MS_Labs_Array, 4, FALSE),
  Result,
    IF(
      AND(
        Mode &lt;&gt; "Never",
        Level &gt;= IF(OR(Target = "", Mode = "Max"), Max, Target)
      ),
      "Completed",
      ""
    ),
  HSTACK(
    IF(Result &lt;&gt; "", Result, $D6),
    IF(Result &lt;&gt; "", Result, IF($E6 = "", $D6, $E6))
  )
)</f>
        <v>D</v>
      </c>
      <c r="I6" s="1247" t="s">
        <v>548</v>
      </c>
      <c r="J6" s="1248" t="str">
        <f t="shared" si="11"/>
        <v>Gaining more coins is more beneficial then spending less coins, utility can be useful for ELS later on. Retroactive on respecs</v>
      </c>
      <c r="K6" s="1229"/>
      <c r="L6" s="1249" t="str">
        <f>IFERROR(__xludf.DUMMYFUNCTION("""COMPUTED_VALUE"""),"")</f>
        <v/>
      </c>
      <c r="M6" s="1249"/>
      <c r="N6" s="1250" t="str">
        <f>IFERROR(__xludf.DUMMYFUNCTION("if(M6 &lt;&gt; """", 
  LET( 
    TargetLevel, VLOOKUP(M6,MS_Labs_Array,3,false),
    MaxLevel, VLOOKUP(M6,MS_Labs_Array,4,false),
    MaxOrTarget, IF(OR(TargetLevel = """",$AD$1 &lt;&gt; ""Target""), MaxLevel, TargetLevel),
    LabLevel, VLOOKUP(M6,MS_Labs_Array,2,F"&amp;"alse),
    Levelprogress, LabLevel / MaxOrTarget,
    DVTColumn, MATCH(M6,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O6" s="1251" t="str">
        <f>IFERROR(__xludf.DUMMYFUNCTION("if(M6 &lt;&gt; """", 
  LET(
    TargetLevel, VLOOKUP(M6,MS_Labs_Array,3,false),
    LabSpeed, (1 * REGEXEXTRACT($BH$1, ""[\d.-]+"")) * {IF(M6 =""Labs Speed"", 1+'Master Sheet'!$BK$5, LAB_SPEED_TOTAL())},
    MaxLevel, VLOOKUP(M6,MS_Labs_Array,4,false),
    Max"&amp;"OrTarget, IF(OR(TargetLevel = """",$AD$1 &lt;&gt; ""Target""), MaxLevel, TargetLevel),
    LabLevel, VLOOKUP(M6,MS_Labs_Array,2,False),
    DVTColumn, MATCH(M6, DVT_Laboratory!$A$1:BO$1, 0),
    xextTime, INDIRECT(""DVT_Laboratory!"" &amp; ADDRESS(LabLevel+3, DVTCo"&amp;"lumn)) / LabSpeed,
    remainingTime, SUM(INDIRECT(""DVT_Laboratory!"" &amp; ADDRESS(LabLevel+3, DVTColumn) &amp; "":"" &amp; ADDRESS(MaxOrTarget+2, DVTColumn))) / LabSpeed,
  M6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f>
        <v/>
      </c>
      <c r="P6" s="1249"/>
      <c r="Q6" s="1249" t="str">
        <f>IFERROR(__xludf.DUMMYFUNCTION("""COMPUTED_VALUE"""),"Battle Condition Reduction
  Lab Level:      0 / 10 (Max)
  Next Level:    1d  1h 25m
  Max Level:     58d  6h  6m")</f>
        <v>Battle Condition Reduction
  Lab Level:      0 / 10 (Max)
  Next Level:    1d  1h 25m
  Max Level:     58d  6h  6m</v>
      </c>
      <c r="R6" s="1249" t="str">
        <f>IFERROR(__xludf.DUMMYFUNCTION("""COMPUTED_VALUE"""),"")</f>
        <v/>
      </c>
      <c r="S6" s="1249" t="str">
        <f>IFERROR(__xludf.DUMMYFUNCTION("""COMPUTED_VALUE"""),"Inner Mine Stun")</f>
        <v>Inner Mine Stun</v>
      </c>
      <c r="T6" s="1250" t="str">
        <f>IFERROR(__xludf.DUMMYFUNCTION("if(S6 &lt;&gt; """", 
  LET( 
    TargetLevel, VLOOKUP(S6,MS_Labs_Array,3,false),
    MaxLevel, VLOOKUP(S6,MS_Labs_Array,4,false),
    MaxOrTarget, IF(OR(TargetLevel = """",$AD$1 &lt;&gt; ""Target""), MaxLevel, TargetLevel),
    LabLevel, VLOOKUP(S6,MS_Labs_Array,2,F"&amp;"alse),
    Levelprogress, LabLevel / MaxOrTarget,
    DVTColumn, MATCH(S6,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U6" s="1251" t="str">
        <f>IFERROR(__xludf.DUMMYFUNCTION("if(S6 &lt;&gt; """", 
  LET(
    TargetLevel, VLOOKUP(S6,MS_Labs_Array,3,false),
    LabSpeed, (1 * REGEXEXTRACT($BH$1, ""[\d.-]+"")) * {IF(S6 =""Labs Speed"", 1+'Master Sheet'!$BK$5, LAB_SPEED_TOTAL())},
    MaxLevel, VLOOKUP(S6,MS_Labs_Array,4,false),
    Max"&amp;"OrTarget, IF(OR(TargetLevel = """",$AD$1 &lt;&gt; ""Target""), MaxLevel, TargetLevel),
    LabLevel, VLOOKUP(S6,MS_Labs_Array,2,False),
    DVTColumn, MATCH(S6, DVT_Laboratory!$A$1:BO$1, 0),
    xextTime, INDIRECT(""DVT_Laboratory!"" &amp; ADDRESS(LabLevel+3, DVTCo"&amp;"lumn)) / LabSpeed,
    remainingTime, SUM(INDIRECT(""DVT_Laboratory!"" &amp; ADDRESS(LabLevel+3, DVTColumn) &amp; "":"" &amp; ADDRESS(MaxOrTarget+2, DVTColumn))) / LabSpeed,
  S6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"""")"),"Inner Mine Stun
  Lab Level:      0 / 1 (Max)
  Next Level:    0d 21h 10m
  Max Level:     0d 21h 10m")</f>
        <v>Inner Mine Stun
  Lab Level:      0 / 1 (Max)
  Next Level:    0d 21h 10m
  Max Level:     0d 21h 10m</v>
      </c>
      <c r="V6" s="1249" t="str">
        <f>IFERROR(__xludf.DUMMYFUNCTION("""COMPUTED_VALUE"""),"Turns ILM into a CC machine when combined with Rotation")</f>
        <v>Turns ILM into a CC machine when combined with Rotation</v>
      </c>
      <c r="W6" s="1249" t="str">
        <f>IFERROR(__xludf.DUMMYFUNCTION("""COMPUTED_VALUE"""),"Wall Thorns
  Lab Level:      15 / 20 (Max)
  Next Level:    6d  6h 40m
  Max Level:     55d  0h 35m")</f>
        <v>Wall Thorns
  Lab Level:      15 / 20 (Max)
  Next Level:    6d  6h 40m
  Max Level:     55d  0h 35m</v>
      </c>
      <c r="X6" s="1249" t="str">
        <f>IFERROR(__xludf.DUMMYFUNCTION("""COMPUTED_VALUE"""),"")</f>
        <v/>
      </c>
      <c r="Y6" s="1249" t="str">
        <f>IFERROR(__xludf.DUMMYFUNCTION("""COMPUTED_VALUE"""),"Attack Speed")</f>
        <v>Attack Speed</v>
      </c>
      <c r="Z6" s="1250" t="str">
        <f>IFERROR(__xludf.DUMMYFUNCTION("if(Y6 &lt;&gt; """", 
  LET( 
    TargetLevel, VLOOKUP(Y6,MS_Labs_Array,3,false),
    MaxLevel, VLOOKUP(Y6,MS_Labs_Array,4,false),
    MaxOrTarget, IF(OR(TargetLevel = """",$AD$1 &lt;&gt; ""Target""), MaxLevel, TargetLevel),
    LabLevel, VLOOKUP(Y6,MS_Labs_Array,2,F"&amp;"alse),
    Levelprogress, LabLevel / MaxOrTarget,
    DVTColumn, MATCH(Y6,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AA6" s="1251" t="str">
        <f>IFERROR(__xludf.DUMMYFUNCTION("if(Y6 &lt;&gt; """", 
  LET(
    TargetLevel, VLOOKUP(Y6,MS_Labs_Array,3,false),
    LabSpeed, (1 * REGEXEXTRACT($BH$1, ""[\d.-]+"")) * {IF(Y6 =""Labs Speed"", 1+'Master Sheet'!$BK$5, LAB_SPEED_TOTAL())},
    MaxLevel, VLOOKUP(Y6,MS_Labs_Array,4,false),
    Max"&amp;"OrTarget, IF(OR(TargetLevel = """",$AD$1 &lt;&gt; ""Target""), MaxLevel, TargetLevel),
    LabLevel, VLOOKUP(Y6,MS_Labs_Array,2,False),
    DVTColumn, MATCH(Y6, DVT_Laboratory!$A$1:BO$1, 0),
    xextTime, INDIRECT(""DVT_Laboratory!"" &amp; ADDRESS(LabLevel+3, DVTCo"&amp;"lumn)) / LabSpeed,
    remainingTime, SUM(INDIRECT(""DVT_Laboratory!"" &amp; ADDRESS(LabLevel+3, DVTColumn) &amp; "":"" &amp; ADDRESS(MaxOrTarget+2, DVTColumn))) / LabSpeed,
  Y6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"""")"),"Attack Speed
  Lab Level:      75 / 99 (Max)
  Next Level:    1d 15h 29m
  Max Level:     56d  2h 22m")</f>
        <v>Attack Speed
  Lab Level:      75 / 99 (Max)
  Next Level:    1d 15h 29m
  Max Level:     56d  2h 22m</v>
      </c>
      <c r="AB6" s="1249" t="str">
        <f>IFERROR(__xludf.DUMMYFUNCTION("""COMPUTED_VALUE"""),"Very good lab for increasing both damage and CC, gets very long towards the end")</f>
        <v>Very good lab for increasing both damage and CC, gets very long towards the end</v>
      </c>
      <c r="AC6" s="1249" t="str">
        <f>IFERROR(__xludf.DUMMYFUNCTION("""COMPUTED_VALUE"""),"Labs Speed
  Lab Level:      91 / 99 (Max)
  Next Level:    5d  3h  6m
  Max Level:     44d  2h 12m")</f>
        <v>Labs Speed
  Lab Level:      91 / 99 (Max)
  Next Level:    5d  3h  6m
  Max Level:     44d  2h 12m</v>
      </c>
      <c r="AD6" s="1249" t="str">
        <f>IFERROR(__xludf.DUMMYFUNCTION("""COMPUTED_VALUE"""),"")</f>
        <v/>
      </c>
      <c r="AE6" s="1249" t="str">
        <f>IFERROR(__xludf.DUMMYFUNCTION("""COMPUTED_VALUE"""),"Health")</f>
        <v>Health</v>
      </c>
      <c r="AF6" s="1250" t="str">
        <f>IFERROR(__xludf.DUMMYFUNCTION("if(AE6 &lt;&gt; """", 
  LET( 
    TargetLevel, VLOOKUP(AE6,MS_Labs_Array,3,false),
    MaxLevel, VLOOKUP(AE6,MS_Labs_Array,4,false),
    MaxOrTarget, IF(OR(TargetLevel = """",$AD$1 &lt;&gt; ""Target""), MaxLevel, TargetLevel),
    LabLevel, VLOOKUP(AE6,MS_Labs_Array"&amp;",2,False),
    Levelprogress, LabLevel / MaxOrTarget,
    DVTColumn, MATCH(AE6,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G6" s="1251" t="str">
        <f>IFERROR(__xludf.DUMMYFUNCTION("if(AE6 &lt;&gt; """", 
  LET(
    TargetLevel, VLOOKUP(AE6,MS_Labs_Array,3,false),
    LabSpeed, (1 * REGEXEXTRACT($BH$1, ""[\d.-]+"")) * {IF(AE6 =""Labs Speed"", 1+'Master Sheet'!$BK$5, LAB_SPEED_TOTAL())},
    MaxLevel, VLOOKUP(AE6,MS_Labs_Array,4,false),
   "&amp;" MaxOrTarget, IF(OR(TargetLevel = """",$AD$1 &lt;&gt; ""Target""), MaxLevel, TargetLevel),
    LabLevel, VLOOKUP(AE6,MS_Labs_Array,2,False),
    DVTColumn, MATCH(AE6, DVT_Laboratory!$A$1:BO$1, 0),
    xextTime, INDIRECT(""DVT_Laboratory!"" &amp; ADDRESS(LabLevel+3,"&amp;" DVTColumn)) / LabSpeed,
    remainingTime, SUM(INDIRECT(""DVT_Laboratory!"" &amp; ADDRESS(LabLevel+3, DVTColumn) &amp; "":"" &amp; ADDRESS(MaxOrTarget+2, DVTColumn))) / LabSpeed,
  AE6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"""")"),"Health
  Lab Level:      68 / 100 (Max)
  Next Level:    1d  7h 15m
  Max Level:     69d  9h 51m")</f>
        <v>Health
  Lab Level:      68 / 100 (Max)
  Next Level:    1d  7h 15m
  Max Level:     69d  9h 51m</v>
      </c>
      <c r="AH6" s="1249" t="str">
        <f>IFERROR(__xludf.DUMMYFUNCTION("""COMPUTED_VALUE"""),"Good, but not game changing lab")</f>
        <v>Good, but not game changing lab</v>
      </c>
      <c r="AI6" s="1249" t="str">
        <f>IFERROR(__xludf.DUMMYFUNCTION("""COMPUTED_VALUE"""),"Enhancement Defense - Coin Discount
  Lab Level:      0 / 100 (Max)
  Next Level:    0d  1h 38m
  Max Level:     346d 14h  2m")</f>
        <v>Enhancement Defense - Coin Discount
  Lab Level:      0 / 100 (Max)
  Next Level:    0d  1h 38m
  Max Level:     346d 14h  2m</v>
      </c>
      <c r="AJ6" s="1249" t="str">
        <f>IFERROR(__xludf.DUMMYFUNCTION("""COMPUTED_VALUE"""),"")</f>
        <v/>
      </c>
      <c r="AK6" s="1249" t="str">
        <f>IFERROR(__xludf.DUMMYFUNCTION("""COMPUTED_VALUE"""),"Super Crit Multi")</f>
        <v>Super Crit Multi</v>
      </c>
      <c r="AL6" s="1250" t="str">
        <f>IFERROR(__xludf.DUMMYFUNCTION("if(AK6 &lt;&gt; """", 
  LET( 
    TargetLevel, VLOOKUP(AK6,MS_Labs_Array,3,false),
    MaxLevel, VLOOKUP(AK6,MS_Labs_Array,4,false),
    MaxOrTarget, IF(OR(TargetLevel = """",$AD$1 &lt;&gt; ""Target""), MaxLevel, TargetLevel),
    LabLevel, VLOOKUP(AK6,MS_Labs_Array"&amp;",2,False),
    Levelprogress, LabLevel / MaxOrTarget,
    DVTColumn, MATCH(AK6,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M6" s="1251" t="str">
        <f>IFERROR(__xludf.DUMMYFUNCTION("if(AK6 &lt;&gt; """", 
  LET(
    TargetLevel, VLOOKUP(AK6,MS_Labs_Array,3,false),
    LabSpeed, (1 * REGEXEXTRACT($BH$1, ""[\d.-]+"")) * {IF(AK6 =""Labs Speed"", 1+'Master Sheet'!$BK$5, LAB_SPEED_TOTAL())},
    MaxLevel, VLOOKUP(AK6,MS_Labs_Array,4,false),
   "&amp;" MaxOrTarget, IF(OR(TargetLevel = """",$AD$1 &lt;&gt; ""Target""), MaxLevel, TargetLevel),
    LabLevel, VLOOKUP(AK6,MS_Labs_Array,2,False),
    DVTColumn, MATCH(AK6, DVT_Laboratory!$A$1:BO$1, 0),
    xextTime, INDIRECT(""DVT_Laboratory!"" &amp; ADDRESS(LabLevel+3,"&amp;" DVTColumn)) / LabSpeed,
    remainingTime, SUM(INDIRECT(""DVT_Laboratory!"" &amp; ADDRESS(LabLevel+3, DVTColumn) &amp; "":"" &amp; ADDRESS(MaxOrTarget+2, DVTColumn))) / LabSpeed,
  AK6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"""")"),"Super Crit Multi
  Lab Level:      13 / 40 (Max)
  Next Level:    2d  0h 31m
  Max Level:     1014d  7h 59m")</f>
        <v>Super Crit Multi
  Lab Level:      13 / 40 (Max)
  Next Level:    2d  0h 31m
  Max Level:     1014d  7h 59m</v>
      </c>
      <c r="AN6" s="1249" t="str">
        <f>IFERROR(__xludf.DUMMYFUNCTION("""COMPUTED_VALUE"""),"Gets VERY long for little benefit")</f>
        <v>Gets VERY long for little benefit</v>
      </c>
      <c r="AO6" s="1249" t="str">
        <f>IFERROR(__xludf.DUMMYFUNCTION("""COMPUTED_VALUE"""),"Range
  Lab Level:      33 / 80 (Max)
  Next Level:    0d  5h 37m
  Max Level:     42d  6h 51m")</f>
        <v>Range
  Lab Level:      33 / 80 (Max)
  Next Level:    0d  5h 37m
  Max Level:     42d  6h 51m</v>
      </c>
      <c r="AP6" s="1249" t="str">
        <f>IFERROR(__xludf.DUMMYFUNCTION("""COMPUTED_VALUE"""),"")</f>
        <v/>
      </c>
      <c r="AQ6" s="1249" t="str">
        <f>IFERROR(__xludf.DUMMYFUNCTION("""COMPUTED_VALUE"""),"Labs Coin Discount")</f>
        <v>Labs Coin Discount</v>
      </c>
      <c r="AR6" s="1250" t="str">
        <f>IFERROR(__xludf.DUMMYFUNCTION("if(AQ6 &lt;&gt; """", 
  LET( 
    TargetLevel, VLOOKUP(AQ6,MS_Labs_Array,3,false),
    MaxLevel, VLOOKUP(AQ6,MS_Labs_Array,4,false),
    MaxOrTarget, IF(OR(TargetLevel = """",$AD$1 &lt;&gt; ""Target""), MaxLevel, TargetLevel),
    LabLevel, VLOOKUP(AQ6,MS_Labs_Array"&amp;",2,False),
    Levelprogress, LabLevel / MaxOrTarget,
    DVTColumn, MATCH(AQ6,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S6" s="1251" t="str">
        <f>IFERROR(__xludf.DUMMYFUNCTION("if(AQ6 &lt;&gt; """", 
  LET(
    TargetLevel, VLOOKUP(AQ6,MS_Labs_Array,3,false),
    LabSpeed, (1 * REGEXEXTRACT($BH$1, ""[\d.-]+"")) * {IF(AQ6 =""Labs Speed"", 1+'Master Sheet'!$BK$5, LAB_SPEED_TOTAL())},
    MaxLevel, VLOOKUP(AQ6,MS_Labs_Array,4,false),
   "&amp;" MaxOrTarget, IF(OR(TargetLevel = """",$AD$1 &lt;&gt; ""Target""), MaxLevel, TargetLevel),
    LabLevel, VLOOKUP(AQ6,MS_Labs_Array,2,False),
    DVTColumn, MATCH(AQ6, DVT_Laboratory!$A$1:BO$1, 0),
    xextTime, INDIRECT(""DVT_Laboratory!"" &amp; ADDRESS(LabLevel+3,"&amp;" DVTColumn)) / LabSpeed,
    remainingTime, SUM(INDIRECT(""DVT_Laboratory!"" &amp; ADDRESS(LabLevel+3, DVTColumn) &amp; "":"" &amp; ADDRESS(MaxOrTarget+2, DVTColumn))) / LabSpeed,
  AQ6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"""")"),"Labs Coin Discount
  Lab Level:      68 / 99 (Max)
  Next Level:    2d 10h 47m
  Max Level:     128d 18h  7m")</f>
        <v>Labs Coin Discount
  Lab Level:      68 / 99 (Max)
  Next Level:    2d 10h 47m
  Max Level:     128d 18h  7m</v>
      </c>
      <c r="AT6" s="1249" t="str">
        <f>IFERROR(__xludf.DUMMYFUNCTION("""COMPUTED_VALUE"""),"A few early levels are useful, however actual econ labs are much better until Card Masteries or assists/BC labs")</f>
        <v>A few early levels are useful, however actual econ labs are much better until Card Masteries or assists/BC labs</v>
      </c>
      <c r="AU6" s="1249" t="str">
        <f>IFERROR(__xludf.DUMMYFUNCTION("""COMPUTED_VALUE"""),"Workshop Defense Discount
  Lab Level:      28 / 99 (Max)
  Next Level:    0d  3h 49m
  Max Level:     90d 13h 26m")</f>
        <v>Workshop Defense Discount
  Lab Level:      28 / 99 (Max)
  Next Level:    0d  3h 49m
  Max Level:     90d 13h 26m</v>
      </c>
      <c r="AV6" s="1249" t="str">
        <f>IFERROR(__xludf.DUMMYFUNCTION("""COMPUTED_VALUE"""),"")</f>
        <v/>
      </c>
      <c r="AW6" s="1249" t="str">
        <f>IFERROR(__xludf.DUMMYFUNCTION("""COMPUTED_VALUE"""),"Defense %")</f>
        <v>Defense %</v>
      </c>
      <c r="AX6" s="1250" t="str">
        <f>IFERROR(__xludf.DUMMYFUNCTION("if(AW6 &lt;&gt; """", 
  LET( 
    TargetLevel, VLOOKUP(AW6,MS_Labs_Array,3,false),
    MaxLevel, VLOOKUP(AW6,MS_Labs_Array,4,false),
    MaxOrTarget, IF(OR(TargetLevel = """",$AD$1 &lt;&gt; ""Target""), MaxLevel, TargetLevel),
    LabLevel, VLOOKUP(AW6,MS_Labs_Array"&amp;",2,False),
    Levelprogress, LabLevel / MaxOrTarget,
    DVTColumn, MATCH(AW6,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Y6" s="1251" t="str">
        <f>IFERROR(__xludf.DUMMYFUNCTION("if(AW6 &lt;&gt; """", 
  LET(
    TargetLevel, VLOOKUP(AW6,MS_Labs_Array,3,false),
    LabSpeed, (1 * REGEXEXTRACT($BH$1, ""[\d.-]+"")) * {IF(AW6 =""Labs Speed"", 1+'Master Sheet'!$BK$5, LAB_SPEED_TOTAL())},
    MaxLevel, VLOOKUP(AW6,MS_Labs_Array,4,false),
   "&amp;" MaxOrTarget, IF(OR(TargetLevel = """",$AD$1 &lt;&gt; ""Target""), MaxLevel, TargetLevel),
    LabLevel, VLOOKUP(AW6,MS_Labs_Array,2,False),
    DVTColumn, MATCH(AW6, DVT_Laboratory!$A$1:BO$1, 0),
    xextTime, INDIRECT(""DVT_Laboratory!"" &amp; ADDRESS(LabLevel+3,"&amp;" DVTColumn)) / LabSpeed,
    remainingTime, SUM(INDIRECT(""DVT_Laboratory!"" &amp; ADDRESS(LabLevel+3, DVTColumn) &amp; "":"" &amp; ADDRESS(MaxOrTarget+2, DVTColumn))) / LabSpeed,
  AW6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"""")"),"Defense %
  Lab Level:      28 / 28 (Target)
  Next Level:    3d  3h 15m
  Target Level: 5d 22h  7m")</f>
        <v>Defense %
  Lab Level:      28 / 28 (Target)
  Next Level:    3d  3h 15m
  Target Level: 5d 22h  7m</v>
      </c>
      <c r="AZ6" s="1249" t="str">
        <f>IFERROR(__xludf.DUMMYFUNCTION("""COMPUTED_VALUE"""),"Helps reach the 98% hard cap on defense. Without relics and after fulfilling other requirements only needs 23 levels (5 levels less can be done per def% from relics, alternatively can be used to reach 98% with lower rarity substats)")</f>
        <v>Helps reach the 98% hard cap on defense. Without relics and after fulfilling other requirements only needs 23 levels (5 levels less can be done per def% from relics, alternatively can be used to reach 98% with lower rarity substats)</v>
      </c>
      <c r="BA6" s="1249" t="str">
        <f>IFERROR(__xludf.DUMMYFUNCTION("""COMPUTED_VALUE"""),"Damage / Meter
  Lab Level:      16 / 99 (Max)
  Next Level:    0d  1h  2m
  Max Level:     91d 15h 12m")</f>
        <v>Damage / Meter
  Lab Level:      16 / 99 (Max)
  Next Level:    0d  1h  2m
  Max Level:     91d 15h 12m</v>
      </c>
      <c r="BB6" s="1249" t="str">
        <f>IFERROR(__xludf.DUMMYFUNCTION("""COMPUTED_VALUE"""),"")</f>
        <v/>
      </c>
      <c r="BC6" s="1249"/>
      <c r="BD6" s="1250" t="str">
        <f>IFERROR(__xludf.DUMMYFUNCTION("if(BC6 &lt;&gt; """", 
  LET( 
    TargetLevel, VLOOKUP(BC6,MS_Labs_Array,3,false),
    MaxLevel, VLOOKUP(BC6,MS_Labs_Array,4,false),
    MaxOrTarget, IF(OR(TargetLevel = """",$AD$1 &lt;&gt; ""Target""), MaxLevel, TargetLevel),
    LabLevel, VLOOKUP(BC6,MS_Labs_Array"&amp;",2,False),
    Levelprogress, LabLevel / MaxOrTarget,
    DVTColumn, MATCH(BC6,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BE6" s="1251" t="str">
        <f>IFERROR(__xludf.DUMMYFUNCTION("if(BC6 &lt;&gt; """", 
  LET(
    TargetLevel, VLOOKUP(BC6,MS_Labs_Array,3,false),
    LabSpeed, (1 * REGEXEXTRACT($BH$1, ""[\d.-]+"")) * {IF(BC6 =""Labs Speed"", 1+'Master Sheet'!$BK$5, LAB_SPEED_TOTAL())},
    MaxLevel, VLOOKUP(BC6,MS_Labs_Array,4,false),
   "&amp;" MaxOrTarget, IF(OR(TargetLevel = """",$AD$1 &lt;&gt; ""Target""), MaxLevel, TargetLevel),
    LabLevel, VLOOKUP(BC6,MS_Labs_Array,2,False),
    DVTColumn, MATCH(BC6, DVT_Laboratory!$A$1:BO$1, 0),
    xextTime, INDIRECT(""DVT_Laboratory!"" &amp; ADDRESS(LabLevel+3,"&amp;" DVTColumn)) / LabSpeed,
    remainingTime, SUM(INDIRECT(""DVT_Laboratory!"" &amp; ADDRESS(LabLevel+3, DVTColumn) &amp; "":"" &amp; ADDRESS(MaxOrTarget+2, DVTColumn))) / LabSpeed,
  BC6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BF6" s="1249"/>
      <c r="BG6" s="1249" t="str">
        <f>IFERROR(__xludf.DUMMYFUNCTION("""COMPUTED_VALUE"""),"Auto Pick Ranking
  Lab Level:      12 / 32 (Max)
  Next Level:    1d 11h 49m
  Max Level:     335d 22h 45m")</f>
        <v>Auto Pick Ranking
  Lab Level:      12 / 32 (Max)
  Next Level:    1d 11h 49m
  Max Level:     335d 22h 45m</v>
      </c>
      <c r="BH6" s="1260" t="str">
        <f>IFERROR(__xludf.DUMMYFUNCTION("""COMPUTED_VALUE"""),"")</f>
        <v/>
      </c>
      <c r="BI6" s="1252" t="str">
        <f>IFERROR(__xludf.DUMMYFUNCTION("""COMPUTED_VALUE"""),"Target Priority")</f>
        <v>Target Priority</v>
      </c>
      <c r="BJ6" s="1253" t="str">
        <f>IFERROR(__xludf.DUMMYFUNCTION("if(BI6 &lt;&gt; """", 
  LET( 
    TargetLevel, VLOOKUP(BI6,MS_Labs_Array,3,false),
    MaxLevel, VLOOKUP(BI6,MS_Labs_Array,4,false),
    MaxOrTarget, IF(OR(TargetLevel = """",$AD$1 &lt;&gt; ""Target""), MaxLevel, TargetLevel),
    LabLevel, VLOOKUP(BI6,MS_Labs_Array"&amp;",2,False),
    Levelprogress, IF(LabLevel &gt;= MaxOrTarget, 1, LabLevel / MaxOrTarget),
    DVTColumn, MATCH(BI6, DVT_Laboratory!$A$1:BO$1, 0),
    investedTime, SUM(INDIRECT(""DVT_Laboratory!"" &amp; ADDRESS(3, DVTColumn) &amp; "":"" &amp; ADDRESS(LabLevel+2, DVTColum"&amp;"n))),
    totalTime, SUM(INDIRECT(""DVT_Laboratory!"" &amp; ADDRESS(3, DVTColumn) &amp; "":"" &amp; ADDRESS(MaxOrTarget+2, DVTColumn))),
    timeProgress, IF(LabLevel &gt;= MaxOrTarget, 1, investedTime / totalTime),
SPARKLINE(IF(OR($BB$1 &lt;&gt; ""Time"", LabLevel = 0),Level"&amp;"progress, timeProgress), {""charttype"",""bar"";""max"",1;""min"",0;""color1"", ""#00ff00""})), """")"),"")</f>
        <v/>
      </c>
      <c r="BK6" s="1254" t="str">
        <f>IFERROR(__xludf.DUMMYFUNCTION("if(BI6 &lt;&gt; """", 
  LET(
    TargetLevel, VLOOKUP(BI6,MS_Labs_Array,3,false),
    LabSpeed, (1 * REGEXEXTRACT($BH$1, ""[\d.-]+"")) * {IF(BI6 =""Labs Speed"", 1+'Master Sheet'!$BK$5, LAB_SPEED_TOTAL())},
    MaxLevel, VLOOKUP(BI6,MS_Labs_Array,4,false),
   "&amp;" MaxOrTarget, IF(OR(TargetLevel = """",$AD$1 &lt;&gt; ""Target""), MaxLevel, TargetLevel),
    LabLevel, VLOOKUP(BI6,MS_Labs_Array,2,False),
    DVTColumn, MATCH(BI6, DVT_Laboratory!$A$1:BO$1, 0),
    xextTime, INDIRECT(""DVT_Laboratory!"" &amp; ADDRESS(LabLevel+3,"&amp;" DVTColumn)) / LabSpeed,
    remainingTime, SUM(INDIRECT(""DVT_Laboratory!"" &amp; ADDRESS(LabLevel+3, DVTColumn) &amp; "":"" &amp; ADDRESS(MaxOrTarget+2, DVTColumn))) / LabSpeed,
  BI6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"""")"),"Target Priority
  Lab Level:      2 / 2 (Max)
  Next Level:    
  Max Level:     0d 12h 12m")</f>
        <v>Target Priority
  Lab Level:      2 / 2 (Max)
  Next Level:    
  Max Level:     0d 12h 12m</v>
      </c>
      <c r="BL6" s="1252" t="str">
        <f>IFERROR(__xludf.DUMMYFUNCTION("""COMPUTED_VALUE"""),"Required for every devo strategy. Useful for blender and tournaments")</f>
        <v>Required for every devo strategy. Useful for blender and tournaments</v>
      </c>
      <c r="BM6" s="1252" t="str">
        <f>IFERROR(__xludf.DUMMYFUNCTION("""COMPUTED_VALUE"""),"Buy Multiplier
  Lab Level:      4 / 4 (Max)
  Next Level:    
  Max Level:     0d  3h 31m")</f>
        <v>Buy Multiplier
  Lab Level:      4 / 4 (Max)
  Next Level:    
  Max Level:     0d  3h 31m</v>
      </c>
      <c r="BN6" s="1222"/>
      <c r="BO6" s="1261"/>
    </row>
    <row r="7">
      <c r="A7" s="1222"/>
      <c r="B7" s="1257"/>
      <c r="C7" s="1241" t="s">
        <v>215</v>
      </c>
      <c r="D7" s="1242" t="str">
        <f>VLOOKUP(C7,'Remote Tier List'!A:D, 2, FALSE)</f>
        <v>D</v>
      </c>
      <c r="E7" s="1243" t="str">
        <f>VLOOKUP(C7,'Remote Tier List'!A:D, 3, FALSE)</f>
        <v>C</v>
      </c>
      <c r="F7" s="1264"/>
      <c r="G7" s="1245" t="b">
        <f t="shared" si="10"/>
        <v>1</v>
      </c>
      <c r="H7" s="1265" t="str">
        <f t="array" ref="H7:I7">LET(
  Lab, $C7,
  Mode, $AD$1,
  Level, VLOOKUP(Lab, MS_Labs_Array, 2, FALSE),
  Target, VLOOKUP(Lab, MS_Labs_Array, 3, FALSE),
  Max, VLOOKUP(Lab, MS_Labs_Array, 4, FALSE),
  Result,
    IF(
      AND(
        Mode &lt;&gt; "Never",
        Level &gt;= IF(OR(Target = "", Mode = "Max"), Max, Target)
      ),
      "Completed",
      ""
    ),
  HSTACK(
    IF(Result &lt;&gt; "", Result, $D7),
    IF(Result &lt;&gt; "", Result, IF($E7 = "", $D7, $E7))
  )
)</f>
        <v>D</v>
      </c>
      <c r="I7" s="1265" t="s">
        <v>547</v>
      </c>
      <c r="J7" s="1248" t="str">
        <f t="shared" si="11"/>
        <v>Gaining more coins is more beneficial then spending less coins, utility can be useful for ELS later on. Retroactive on respecs</v>
      </c>
      <c r="K7" s="1229"/>
      <c r="L7" s="1249"/>
      <c r="M7" s="1249"/>
      <c r="N7" s="1250" t="str">
        <f>IFERROR(__xludf.DUMMYFUNCTION("if(M7 &lt;&gt; """", 
  LET( 
    TargetLevel, VLOOKUP(M7,MS_Labs_Array,3,false),
    MaxLevel, VLOOKUP(M7,MS_Labs_Array,4,false),
    MaxOrTarget, IF(OR(TargetLevel = """",$AD$1 &lt;&gt; ""Target""), MaxLevel, TargetLevel),
    LabLevel, VLOOKUP(M7,MS_Labs_Array,2,F"&amp;"alse),
    Levelprogress, LabLevel / MaxOrTarget,
    DVTColumn, MATCH(M7,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O7" s="1251" t="str">
        <f>IFERROR(__xludf.DUMMYFUNCTION("if(M7 &lt;&gt; """", 
  LET(
    TargetLevel, VLOOKUP(M7,MS_Labs_Array,3,false),
    LabSpeed, (1 * REGEXEXTRACT($BH$1, ""[\d.-]+"")) * {IF(M7 =""Labs Speed"", 1+'Master Sheet'!$BK$5, LAB_SPEED_TOTAL())},
    MaxLevel, VLOOKUP(M7,MS_Labs_Array,4,false),
    Max"&amp;"OrTarget, IF(OR(TargetLevel = """",$AD$1 &lt;&gt; ""Target""), MaxLevel, TargetLevel),
    LabLevel, VLOOKUP(M7,MS_Labs_Array,2,False),
    DVTColumn, MATCH(M7, DVT_Laboratory!$A$1:BO$1, 0),
    xextTime, INDIRECT(""DVT_Laboratory!"" &amp; ADDRESS(LabLevel+3, DVTCo"&amp;"lumn)) / LabSpeed,
    remainingTime, SUM(INDIRECT(""DVT_Laboratory!"" &amp; ADDRESS(LabLevel+3, DVTColumn) &amp; "":"" &amp; ADDRESS(MaxOrTarget+2, DVTColumn))) / LabSpeed,
  M7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f>
        <v/>
      </c>
      <c r="P7" s="1249"/>
      <c r="Q7" s="1249"/>
      <c r="R7" s="1249" t="str">
        <f>IFERROR(__xludf.DUMMYFUNCTION("""COMPUTED_VALUE"""),"Golden Tower Duration")</f>
        <v>Golden Tower Duration</v>
      </c>
      <c r="S7" s="1249" t="str">
        <f>IFERROR(__xludf.DUMMYFUNCTION("""COMPUTED_VALUE"""),"Assist Module Substats - Generator")</f>
        <v>Assist Module Substats - Generator</v>
      </c>
      <c r="T7" s="1250" t="str">
        <f>IFERROR(__xludf.DUMMYFUNCTION("if(S7 &lt;&gt; """", 
  LET( 
    TargetLevel, VLOOKUP(S7,MS_Labs_Array,3,false),
    MaxLevel, VLOOKUP(S7,MS_Labs_Array,4,false),
    MaxOrTarget, IF(OR(TargetLevel = """",$AD$1 &lt;&gt; ""Target""), MaxLevel, TargetLevel),
    LabLevel, VLOOKUP(S7,MS_Labs_Array,2,F"&amp;"alse),
    Levelprogress, LabLevel / MaxOrTarget,
    DVTColumn, MATCH(S7,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U7" s="1251" t="str">
        <f>IFERROR(__xludf.DUMMYFUNCTION("if(S7 &lt;&gt; """", 
  LET(
    TargetLevel, VLOOKUP(S7,MS_Labs_Array,3,false),
    LabSpeed, (1 * REGEXEXTRACT($BH$1, ""[\d.-]+"")) * {IF(S7 =""Labs Speed"", 1+'Master Sheet'!$BK$5, LAB_SPEED_TOTAL())},
    MaxLevel, VLOOKUP(S7,MS_Labs_Array,4,false),
    Max"&amp;"OrTarget, IF(OR(TargetLevel = """",$AD$1 &lt;&gt; ""Target""), MaxLevel, TargetLevel),
    LabLevel, VLOOKUP(S7,MS_Labs_Array,2,False),
    DVTColumn, MATCH(S7, DVT_Laboratory!$A$1:BO$1, 0),
    xextTime, INDIRECT(""DVT_Laboratory!"" &amp; ADDRESS(LabLevel+3, DVTCo"&amp;"lumn)) / LabSpeed,
    remainingTime, SUM(INDIRECT(""DVT_Laboratory!"" &amp; ADDRESS(LabLevel+3, DVTColumn) &amp; "":"" &amp; ADDRESS(MaxOrTarget+2, DVTColumn))) / LabSpeed,
  S7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"""")"),"Assist Module Substats - Generator
  Lab Level:      0 / 30 (Max)
  Next Level:    0d 16h 28m
  Max Level:     319d  3h 13m")</f>
        <v>Assist Module Substats - Generator
  Lab Level:      0 / 30 (Max)
  Next Level:    0d 16h 28m
  Max Level:     319d  3h 13m</v>
      </c>
      <c r="V7" s="1249"/>
      <c r="W7" s="1249" t="str">
        <f>IFERROR(__xludf.DUMMYFUNCTION("""COMPUTED_VALUE"""),"A lab for something that otherwise costs stones is incredible. Getting duration past BH duration with perk has little value")</f>
        <v>A lab for something that otherwise costs stones is incredible. Getting duration past BH duration with perk has little value</v>
      </c>
      <c r="X7" s="1263" t="str">
        <f>IFERROR(__xludf.DUMMYFUNCTION("""COMPUTED_VALUE"""),"Enhancement Utility - Coin Discount")</f>
        <v>Enhancement Utility - Coin Discount</v>
      </c>
      <c r="Y7" s="1249" t="str">
        <f>IFERROR(__xludf.DUMMYFUNCTION("""COMPUTED_VALUE"""),"Critical Factor")</f>
        <v>Critical Factor</v>
      </c>
      <c r="Z7" s="1250" t="str">
        <f>IFERROR(__xludf.DUMMYFUNCTION("if(Y7 &lt;&gt; """", 
  LET( 
    TargetLevel, VLOOKUP(Y7,MS_Labs_Array,3,false),
    MaxLevel, VLOOKUP(Y7,MS_Labs_Array,4,false),
    MaxOrTarget, IF(OR(TargetLevel = """",$AD$1 &lt;&gt; ""Target""), MaxLevel, TargetLevel),
    LabLevel, VLOOKUP(Y7,MS_Labs_Array,2,F"&amp;"alse),
    Levelprogress, LabLevel / MaxOrTarget,
    DVTColumn, MATCH(Y7,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AA7" s="1251" t="str">
        <f>IFERROR(__xludf.DUMMYFUNCTION("if(Y7 &lt;&gt; """", 
  LET(
    TargetLevel, VLOOKUP(Y7,MS_Labs_Array,3,false),
    LabSpeed, (1 * REGEXEXTRACT($BH$1, ""[\d.-]+"")) * {IF(Y7 =""Labs Speed"", 1+'Master Sheet'!$BK$5, LAB_SPEED_TOTAL())},
    MaxLevel, VLOOKUP(Y7,MS_Labs_Array,4,false),
    Max"&amp;"OrTarget, IF(OR(TargetLevel = """",$AD$1 &lt;&gt; ""Target""), MaxLevel, TargetLevel),
    LabLevel, VLOOKUP(Y7,MS_Labs_Array,2,False),
    DVTColumn, MATCH(Y7, DVT_Laboratory!$A$1:BO$1, 0),
    xextTime, INDIRECT(""DVT_Laboratory!"" &amp; ADDRESS(LabLevel+3, DVTCo"&amp;"lumn)) / LabSpeed,
    remainingTime, SUM(INDIRECT(""DVT_Laboratory!"" &amp; ADDRESS(LabLevel+3, DVTColumn) &amp; "":"" &amp; ADDRESS(MaxOrTarget+2, DVTColumn))) / LabSpeed,
  Y7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"""")"),"Critical Factor
  Lab Level:      83 / 99 (Max)
  Next Level:    2d  2h 17m
  Max Level:     41d  9h 40m")</f>
        <v>Critical Factor
  Lab Level:      83 / 99 (Max)
  Next Level:    2d  2h 17m
  Max Level:     41d  9h 40m</v>
      </c>
      <c r="AB7" s="1249" t="str">
        <f>IFERROR(__xludf.DUMMYFUNCTION("""COMPUTED_VALUE"""),"Same as Damage although more significant per level, even more so when using the Ultimate Crit card")</f>
        <v>Same as Damage although more significant per level, even more so when using the Ultimate Crit card</v>
      </c>
      <c r="AC7" s="1249" t="str">
        <f>IFERROR(__xludf.DUMMYFUNCTION("""COMPUTED_VALUE"""),"ELS+ and Coin+ are some of the strongest enchancements in the game")</f>
        <v>ELS+ and Coin+ are some of the strongest enchancements in the game</v>
      </c>
      <c r="AD7" s="1249" t="str">
        <f>IFERROR(__xludf.DUMMYFUNCTION("""COMPUTED_VALUE"""),"Damage")</f>
        <v>Damage</v>
      </c>
      <c r="AE7" s="1249" t="str">
        <f>IFERROR(__xludf.DUMMYFUNCTION("""COMPUTED_VALUE"""),"Shockwave Size")</f>
        <v>Shockwave Size</v>
      </c>
      <c r="AF7" s="1250" t="str">
        <f>IFERROR(__xludf.DUMMYFUNCTION("if(AE7 &lt;&gt; """", 
  LET( 
    TargetLevel, VLOOKUP(AE7,MS_Labs_Array,3,false),
    MaxLevel, VLOOKUP(AE7,MS_Labs_Array,4,false),
    MaxOrTarget, IF(OR(TargetLevel = """",$AD$1 &lt;&gt; ""Target""), MaxLevel, TargetLevel),
    LabLevel, VLOOKUP(AE7,MS_Labs_Array"&amp;",2,False),
    Levelprogress, LabLevel / MaxOrTarget,
    DVTColumn, MATCH(AE7,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G7" s="1251" t="str">
        <f>IFERROR(__xludf.DUMMYFUNCTION("if(AE7 &lt;&gt; """", 
  LET(
    TargetLevel, VLOOKUP(AE7,MS_Labs_Array,3,false),
    LabSpeed, (1 * REGEXEXTRACT($BH$1, ""[\d.-]+"")) * {IF(AE7 =""Labs Speed"", 1+'Master Sheet'!$BK$5, LAB_SPEED_TOTAL())},
    MaxLevel, VLOOKUP(AE7,MS_Labs_Array,4,false),
   "&amp;" MaxOrTarget, IF(OR(TargetLevel = """",$AD$1 &lt;&gt; ""Target""), MaxLevel, TargetLevel),
    LabLevel, VLOOKUP(AE7,MS_Labs_Array,2,False),
    DVTColumn, MATCH(AE7, DVT_Laboratory!$A$1:BO$1, 0),
    xextTime, INDIRECT(""DVT_Laboratory!"" &amp; ADDRESS(LabLevel+3,"&amp;" DVTColumn)) / LabSpeed,
    remainingTime, SUM(INDIRECT(""DVT_Laboratory!"" &amp; ADDRESS(LabLevel+3, DVTColumn) &amp; "":"" &amp; ADDRESS(MaxOrTarget+2, DVTColumn))) / LabSpeed,
  AE7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"""")"),"Shockwave Size
  Lab Level:      10 / 20 (Max)
  Next Level:    0d  8h 10m
  Max Level:     12d  4h 44m")</f>
        <v>Shockwave Size
  Lab Level:      10 / 20 (Max)
  Next Level:    0d  8h 10m
  Max Level:     12d  4h 44m</v>
      </c>
      <c r="AH7" s="1249" t="str">
        <f>IFERROR(__xludf.DUMMYFUNCTION("""COMPUTED_VALUE"""),"Damage builds that use ACP can use this lab to tune their shockwave size to only hit things at tower range line now that the lab has a slider")</f>
        <v>Damage builds that use ACP can use this lab to tune their shockwave size to only hit things at tower range line now that the lab has a slider</v>
      </c>
      <c r="AI7" s="1249" t="str">
        <f>IFERROR(__xludf.DUMMYFUNCTION("""COMPUTED_VALUE"""),"Most useful after owning a damage UW like Chain Lightning, still retains some utility for early towers in tournaments or against protectors/elites")</f>
        <v>Most useful after owning a damage UW like Chain Lightning, still retains some utility for early towers in tournaments or against protectors/elites</v>
      </c>
      <c r="AJ7" s="1249" t="str">
        <f>IFERROR(__xludf.DUMMYFUNCTION("""COMPUTED_VALUE"""),"Super Crit Chance")</f>
        <v>Super Crit Chance</v>
      </c>
      <c r="AK7" s="1249" t="str">
        <f>IFERROR(__xludf.DUMMYFUNCTION("""COMPUTED_VALUE"""),"Max Rend Armor Multiplier")</f>
        <v>Max Rend Armor Multiplier</v>
      </c>
      <c r="AL7" s="1250" t="str">
        <f>IFERROR(__xludf.DUMMYFUNCTION("if(AK7 &lt;&gt; """", 
  LET( 
    TargetLevel, VLOOKUP(AK7,MS_Labs_Array,3,false),
    MaxLevel, VLOOKUP(AK7,MS_Labs_Array,4,false),
    MaxOrTarget, IF(OR(TargetLevel = """",$AD$1 &lt;&gt; ""Target""), MaxLevel, TargetLevel),
    LabLevel, VLOOKUP(AK7,MS_Labs_Array"&amp;",2,False),
    Levelprogress, LabLevel / MaxOrTarget,
    DVTColumn, MATCH(AK7,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M7" s="1251" t="str">
        <f>IFERROR(__xludf.DUMMYFUNCTION("if(AK7 &lt;&gt; """", 
  LET(
    TargetLevel, VLOOKUP(AK7,MS_Labs_Array,3,false),
    LabSpeed, (1 * REGEXEXTRACT($BH$1, ""[\d.-]+"")) * {IF(AK7 =""Labs Speed"", 1+'Master Sheet'!$BK$5, LAB_SPEED_TOTAL())},
    MaxLevel, VLOOKUP(AK7,MS_Labs_Array,4,false),
   "&amp;" MaxOrTarget, IF(OR(TargetLevel = """",$AD$1 &lt;&gt; ""Target""), MaxLevel, TargetLevel),
    LabLevel, VLOOKUP(AK7,MS_Labs_Array,2,False),
    DVTColumn, MATCH(AK7, DVT_Laboratory!$A$1:BO$1, 0),
    xextTime, INDIRECT(""DVT_Laboratory!"" &amp; ADDRESS(LabLevel+3,"&amp;" DVTColumn)) / LabSpeed,
    remainingTime, SUM(INDIRECT(""DVT_Laboratory!"" &amp; ADDRESS(LabLevel+3, DVTColumn) &amp; "":"" &amp; ADDRESS(MaxOrTarget+2, DVTColumn))) / LabSpeed,
  AK7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"""")"),"Max Rend Armor Multiplier
  Lab Level:      0 / 30 (Max)
  Next Level:    0d  5h 17m
  Max Level:     23d 10h 18m")</f>
        <v>Max Rend Armor Multiplier
  Lab Level:      0 / 30 (Max)
  Next Level:    0d  5h 17m
  Max Level:     23d 10h 18m</v>
      </c>
      <c r="AN7" s="1249" t="str">
        <f>IFERROR(__xludf.DUMMYFUNCTION("""COMPUTED_VALUE"""),"Decent for extending bullet orbless, helps bullet damage together with AD or HB. Great to pair together with Swamp Rend to further increase its damage potential")</f>
        <v>Decent for extending bullet orbless, helps bullet damage together with AD or HB. Great to pair together with Swamp Rend to further increase its damage potential</v>
      </c>
      <c r="AO7" s="1249" t="str">
        <f>IFERROR(__xludf.DUMMYFUNCTION("""COMPUTED_VALUE"""),"Gets VERY long for little benefit")</f>
        <v>Gets VERY long for little benefit</v>
      </c>
      <c r="AP7" s="1249" t="str">
        <f>IFERROR(__xludf.DUMMYFUNCTION("""COMPUTED_VALUE"""),"Workshop Utility Discount")</f>
        <v>Workshop Utility Discount</v>
      </c>
      <c r="AQ7" s="1249" t="str">
        <f>IFERROR(__xludf.DUMMYFUNCTION("""COMPUTED_VALUE"""),"Range")</f>
        <v>Range</v>
      </c>
      <c r="AR7" s="1250" t="str">
        <f>IFERROR(__xludf.DUMMYFUNCTION("if(AQ7 &lt;&gt; """", 
  LET( 
    TargetLevel, VLOOKUP(AQ7,MS_Labs_Array,3,false),
    MaxLevel, VLOOKUP(AQ7,MS_Labs_Array,4,false),
    MaxOrTarget, IF(OR(TargetLevel = """",$AD$1 &lt;&gt; ""Target""), MaxLevel, TargetLevel),
    LabLevel, VLOOKUP(AQ7,MS_Labs_Array"&amp;",2,False),
    Levelprogress, LabLevel / MaxOrTarget,
    DVTColumn, MATCH(AQ7,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S7" s="1251" t="str">
        <f>IFERROR(__xludf.DUMMYFUNCTION("if(AQ7 &lt;&gt; """", 
  LET(
    TargetLevel, VLOOKUP(AQ7,MS_Labs_Array,3,false),
    LabSpeed, (1 * REGEXEXTRACT($BH$1, ""[\d.-]+"")) * {IF(AQ7 =""Labs Speed"", 1+'Master Sheet'!$BK$5, LAB_SPEED_TOTAL())},
    MaxLevel, VLOOKUP(AQ7,MS_Labs_Array,4,false),
   "&amp;" MaxOrTarget, IF(OR(TargetLevel = """",$AD$1 &lt;&gt; ""Target""), MaxLevel, TargetLevel),
    LabLevel, VLOOKUP(AQ7,MS_Labs_Array,2,False),
    DVTColumn, MATCH(AQ7, DVT_Laboratory!$A$1:BO$1, 0),
    xextTime, INDIRECT(""DVT_Laboratory!"" &amp; ADDRESS(LabLevel+3,"&amp;" DVTColumn)) / LabSpeed,
    remainingTime, SUM(INDIRECT(""DVT_Laboratory!"" &amp; ADDRESS(LabLevel+3, DVTColumn) &amp; "":"" &amp; ADDRESS(MaxOrTarget+2, DVTColumn))) / LabSpeed,
  AQ7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"""")"),"Range
  Lab Level:      33 / 80 (Max)
  Next Level:    0d  5h 37m
  Max Level:     42d  6h 51m")</f>
        <v>Range
  Lab Level:      33 / 80 (Max)
  Next Level:    0d  5h 37m
  Max Level:     42d  6h 51m</v>
      </c>
      <c r="AT7" s="1249" t="str">
        <f>IFERROR(__xludf.DUMMYFUNCTION("""COMPUTED_VALUE"""),"Detrimental in farms if too high. Useful for orb placement in some cases. Helps out in tournaments under some BCs, has a slider to revert the effect")</f>
        <v>Detrimental in farms if too high. Useful for orb placement in some cases. Helps out in tournaments under some BCs, has a slider to revert the effect</v>
      </c>
      <c r="AU7" s="1249" t="str">
        <f>IFERROR(__xludf.DUMMYFUNCTION("""COMPUTED_VALUE"""),"Gaining more coins is more beneficial then spending less coins, utility can be useful for ELS later on. Retroactive on respecs")</f>
        <v>Gaining more coins is more beneficial then spending less coins, utility can be useful for ELS later on. Retroactive on respecs</v>
      </c>
      <c r="AV7" s="1249" t="str">
        <f>IFERROR(__xludf.DUMMYFUNCTION("""COMPUTED_VALUE"""),"Health Regen")</f>
        <v>Health Regen</v>
      </c>
      <c r="AW7" s="1249" t="str">
        <f>IFERROR(__xludf.DUMMYFUNCTION("""COMPUTED_VALUE"""),"Land Mine Decay")</f>
        <v>Land Mine Decay</v>
      </c>
      <c r="AX7" s="1250" t="str">
        <f>IFERROR(__xludf.DUMMYFUNCTION("if(AW7 &lt;&gt; """", 
  LET( 
    TargetLevel, VLOOKUP(AW7,MS_Labs_Array,3,false),
    MaxLevel, VLOOKUP(AW7,MS_Labs_Array,4,false),
    MaxOrTarget, IF(OR(TargetLevel = """",$AD$1 &lt;&gt; ""Target""), MaxLevel, TargetLevel),
    LabLevel, VLOOKUP(AW7,MS_Labs_Array"&amp;",2,False),
    Levelprogress, LabLevel / MaxOrTarget,
    DVTColumn, MATCH(AW7,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Y7" s="1251" t="str">
        <f>IFERROR(__xludf.DUMMYFUNCTION("if(AW7 &lt;&gt; """", 
  LET(
    TargetLevel, VLOOKUP(AW7,MS_Labs_Array,3,false),
    LabSpeed, (1 * REGEXEXTRACT($BH$1, ""[\d.-]+"")) * {IF(AW7 =""Labs Speed"", 1+'Master Sheet'!$BK$5, LAB_SPEED_TOTAL())},
    MaxLevel, VLOOKUP(AW7,MS_Labs_Array,4,false),
   "&amp;" MaxOrTarget, IF(OR(TargetLevel = """",$AD$1 &lt;&gt; ""Target""), MaxLevel, TargetLevel),
    LabLevel, VLOOKUP(AW7,MS_Labs_Array,2,False),
    DVTColumn, MATCH(AW7, DVT_Laboratory!$A$1:BO$1, 0),
    xextTime, INDIRECT(""DVT_Laboratory!"" &amp; ADDRESS(LabLevel+3,"&amp;" DVTColumn)) / LabSpeed,
    remainingTime, SUM(INDIRECT(""DVT_Laboratory!"" &amp; ADDRESS(LabLevel+3, DVTColumn) &amp; "":"" &amp; ADDRESS(MaxOrTarget+2, DVTColumn))) / LabSpeed,
  AW7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"""")"),"Land Mine Decay
  Lab Level:      13 / 35 (Max)
  Next Level:    0d 12h 38m
  Max Level:     98d 19h 58m")</f>
        <v>Land Mine Decay
  Lab Level:      13 / 35 (Max)
  Next Level:    0d 12h 38m
  Max Level:     98d 19h 58m</v>
      </c>
      <c r="AZ7" s="1249" t="str">
        <f>IFERROR(__xludf.DUMMYFUNCTION("""COMPUTED_VALUE"""),"Landmines usually explode before having a chance to decay")</f>
        <v>Landmines usually explode before having a chance to decay</v>
      </c>
      <c r="BA7" s="1249" t="str">
        <f>IFERROR(__xludf.DUMMYFUNCTION("""COMPUTED_VALUE"""),"Crucial for eHp, useless before owning WHR or Wall and for Glass Cannon builds")</f>
        <v>Crucial for eHp, useless before owning WHR or Wall and for Glass Cannon builds</v>
      </c>
      <c r="BB7" s="1249"/>
      <c r="BC7" s="1249"/>
      <c r="BD7" s="1250" t="str">
        <f>IFERROR(__xludf.DUMMYFUNCTION("if(BC7 &lt;&gt; """", 
  LET( 
    TargetLevel, VLOOKUP(BC7,MS_Labs_Array,3,false),
    MaxLevel, VLOOKUP(BC7,MS_Labs_Array,4,false),
    MaxOrTarget, IF(OR(TargetLevel = """",$AD$1 &lt;&gt; ""Target""), MaxLevel, TargetLevel),
    LabLevel, VLOOKUP(BC7,MS_Labs_Array"&amp;",2,False),
    Levelprogress, LabLevel / MaxOrTarget,
    DVTColumn, MATCH(BC7,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BE7" s="1251" t="str">
        <f>IFERROR(__xludf.DUMMYFUNCTION("if(BC7 &lt;&gt; """", 
  LET(
    TargetLevel, VLOOKUP(BC7,MS_Labs_Array,3,false),
    LabSpeed, (1 * REGEXEXTRACT($BH$1, ""[\d.-]+"")) * {IF(BC7 =""Labs Speed"", 1+'Master Sheet'!$BK$5, LAB_SPEED_TOTAL())},
    MaxLevel, VLOOKUP(BC7,MS_Labs_Array,4,false),
   "&amp;" MaxOrTarget, IF(OR(TargetLevel = """",$AD$1 &lt;&gt; ""Target""), MaxLevel, TargetLevel),
    LabLevel, VLOOKUP(BC7,MS_Labs_Array,2,False),
    DVTColumn, MATCH(BC7, DVT_Laboratory!$A$1:BO$1, 0),
    xextTime, INDIRECT(""DVT_Laboratory!"" &amp; ADDRESS(LabLevel+3,"&amp;" DVTColumn)) / LabSpeed,
    remainingTime, SUM(INDIRECT(""DVT_Laboratory!"" &amp; ADDRESS(LabLevel+3, DVTColumn) &amp; "":"" &amp; ADDRESS(MaxOrTarget+2, DVTColumn))) / LabSpeed,
  BC7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BF7" s="1249"/>
      <c r="BG7" s="1249"/>
      <c r="BH7" s="1260" t="str">
        <f>IFERROR(__xludf.DUMMYFUNCTION("""COMPUTED_VALUE"""),"More Round Stats")</f>
        <v>More Round Stats</v>
      </c>
      <c r="BI7" s="1252" t="str">
        <f>IFERROR(__xludf.DUMMYFUNCTION("""COMPUTED_VALUE"""),"Card Presets")</f>
        <v>Card Presets</v>
      </c>
      <c r="BJ7" s="1253" t="str">
        <f>IFERROR(__xludf.DUMMYFUNCTION("if(BI7 &lt;&gt; """", 
  LET( 
    TargetLevel, VLOOKUP(BI7,MS_Labs_Array,3,false),
    MaxLevel, VLOOKUP(BI7,MS_Labs_Array,4,false),
    MaxOrTarget, IF(OR(TargetLevel = """",$AD$1 &lt;&gt; ""Target""), MaxLevel, TargetLevel),
    LabLevel, VLOOKUP(BI7,MS_Labs_Array"&amp;",2,False),
    Levelprogress, IF(LabLevel &gt;= MaxOrTarget, 1, LabLevel / MaxOrTarget),
    DVTColumn, MATCH(BI7, DVT_Laboratory!$A$1:BO$1, 0),
    investedTime, SUM(INDIRECT(""DVT_Laboratory!"" &amp; ADDRESS(3, DVTColumn) &amp; "":"" &amp; ADDRESS(LabLevel+2, DVTColum"&amp;"n))),
    totalTime, SUM(INDIRECT(""DVT_Laboratory!"" &amp; ADDRESS(3, DVTColumn) &amp; "":"" &amp; ADDRESS(MaxOrTarget+2, DVTColumn))),
    timeProgress, IF(LabLevel &gt;= MaxOrTarget, 1, investedTime / totalTime),
SPARKLINE(IF(OR($BB$1 &lt;&gt; ""Time"", LabLevel = 0),Level"&amp;"progress, timeProgress), {""charttype"",""bar"";""max"",1;""min"",0;""color1"", ""#00ff00""})), """")"),"")</f>
        <v/>
      </c>
      <c r="BK7" s="1254" t="str">
        <f>IFERROR(__xludf.DUMMYFUNCTION("if(BI7 &lt;&gt; """", 
  LET(
    TargetLevel, VLOOKUP(BI7,MS_Labs_Array,3,false),
    LabSpeed, (1 * REGEXEXTRACT($BH$1, ""[\d.-]+"")) * {IF(BI7 =""Labs Speed"", 1+'Master Sheet'!$BK$5, LAB_SPEED_TOTAL())},
    MaxLevel, VLOOKUP(BI7,MS_Labs_Array,4,false),
   "&amp;" MaxOrTarget, IF(OR(TargetLevel = """",$AD$1 &lt;&gt; ""Target""), MaxLevel, TargetLevel),
    LabLevel, VLOOKUP(BI7,MS_Labs_Array,2,False),
    DVTColumn, MATCH(BI7, DVT_Laboratory!$A$1:BO$1, 0),
    xextTime, INDIRECT(""DVT_Laboratory!"" &amp; ADDRESS(LabLevel+3,"&amp;" DVTColumn)) / LabSpeed,
    remainingTime, SUM(INDIRECT(""DVT_Laboratory!"" &amp; ADDRESS(LabLevel+3, DVTColumn) &amp; "":"" &amp; ADDRESS(MaxOrTarget+2, DVTColumn))) / LabSpeed,
  BI7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"""")"),"Card Presets
  Lab Level:      1 / 1 (Max)
  Next Level:    
  Max Level:     0d  0h 52m")</f>
        <v>Card Presets
  Lab Level:      1 / 1 (Max)
  Next Level:    
  Max Level:     0d  0h 52m</v>
      </c>
      <c r="BL7" s="1252" t="str">
        <f>IFERROR(__xludf.DUMMYFUNCTION("""COMPUTED_VALUE"""),"Most useful for having different cards for farm, tourney, and various missions")</f>
        <v>Most useful for having different cards for farm, tourney, and various missions</v>
      </c>
      <c r="BM7" s="1252" t="str">
        <f>IFERROR(__xludf.DUMMYFUNCTION("""COMPUTED_VALUE"""),"Useful data to track progress")</f>
        <v>Useful data to track progress</v>
      </c>
      <c r="BN7" s="1222"/>
      <c r="BO7" s="1261"/>
    </row>
    <row r="8" ht="7.5" customHeight="1">
      <c r="A8" s="1222"/>
      <c r="B8" s="1262" t="s">
        <v>552</v>
      </c>
      <c r="C8" s="1266" t="s">
        <v>227</v>
      </c>
      <c r="D8" s="1242" t="str">
        <f>VLOOKUP(C8,'Remote Tier List'!A:D, 2, FALSE)</f>
        <v>D</v>
      </c>
      <c r="E8" s="1243" t="str">
        <f>VLOOKUP(C8,'Remote Tier List'!A:D, 3, FALSE)</f>
        <v>A</v>
      </c>
      <c r="F8" s="1258" t="str">
        <f>VLOOKUP(C8,'Remote Tier List'!A:D, 4, FALSE)</f>
        <v>A few early levels are useful, however actual econ labs are much better until Card Masteries or assists/BC labs</v>
      </c>
      <c r="G8" s="1245" t="b">
        <f t="shared" si="10"/>
        <v>1</v>
      </c>
      <c r="H8" s="1265" t="str">
        <f t="array" ref="H8:I8">LET(
  Lab, $C8,
  Mode, $AD$1,
  Level, VLOOKUP(Lab, MS_Labs_Array, 2, FALSE),
  Target, VLOOKUP(Lab, MS_Labs_Array, 3, FALSE),
  Max, VLOOKUP(Lab, MS_Labs_Array, 4, FALSE),
  Result,
    IF(
      AND(
        Mode &lt;&gt; "Never",
        Level &gt;= IF(OR(Target = "", Mode = "Max"), Max, Target)
      ),
      "Completed",
      ""
    ),
  HSTACK(
    IF(Result &lt;&gt; "", Result, $D8),
    IF(Result &lt;&gt; "", Result, IF($E8 = "", $D8, $E8))
  )
)</f>
        <v>D</v>
      </c>
      <c r="I8" s="1265" t="s">
        <v>545</v>
      </c>
      <c r="J8" s="1248" t="str">
        <f t="shared" si="11"/>
        <v>A few early levels are useful, however actual econ labs are much better until Card Masteries or assists/BC labs</v>
      </c>
      <c r="K8" s="1229"/>
      <c r="L8" s="1249" t="str">
        <f>IFERROR(__xludf.DUMMYFUNCTION("""COMPUTED_VALUE"""),"")</f>
        <v/>
      </c>
      <c r="M8" s="1249"/>
      <c r="N8" s="1250" t="str">
        <f>IFERROR(__xludf.DUMMYFUNCTION("if(M8 &lt;&gt; """", 
  LET( 
    TargetLevel, VLOOKUP(M8,MS_Labs_Array,3,false),
    MaxLevel, VLOOKUP(M8,MS_Labs_Array,4,false),
    MaxOrTarget, IF(OR(TargetLevel = """",$AD$1 &lt;&gt; ""Target""), MaxLevel, TargetLevel),
    LabLevel, VLOOKUP(M8,MS_Labs_Array,2,F"&amp;"alse),
    Levelprogress, LabLevel / MaxOrTarget,
    DVTColumn, MATCH(M8,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O8" s="1251" t="str">
        <f>IFERROR(__xludf.DUMMYFUNCTION("if(M8 &lt;&gt; """", 
  LET(
    TargetLevel, VLOOKUP(M8,MS_Labs_Array,3,false),
    LabSpeed, (1 * REGEXEXTRACT($BH$1, ""[\d.-]+"")) * {IF(M8 =""Labs Speed"", 1+'Master Sheet'!$BK$5, LAB_SPEED_TOTAL())},
    MaxLevel, VLOOKUP(M8,MS_Labs_Array,4,false),
    Max"&amp;"OrTarget, IF(OR(TargetLevel = """",$AD$1 &lt;&gt; ""Target""), MaxLevel, TargetLevel),
    LabLevel, VLOOKUP(M8,MS_Labs_Array,2,False),
    DVTColumn, MATCH(M8, DVT_Laboratory!$A$1:BO$1, 0),
    xextTime, INDIRECT(""DVT_Laboratory!"" &amp; ADDRESS(LabLevel+3, DVTCo"&amp;"lumn)) / LabSpeed,
    remainingTime, SUM(INDIRECT(""DVT_Laboratory!"" &amp; ADDRESS(LabLevel+3, DVTColumn) &amp; "":"" &amp; ADDRESS(MaxOrTarget+2, DVTColumn))) / LabSpeed,
  M8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f>
        <v/>
      </c>
      <c r="P8" s="1249"/>
      <c r="Q8" s="1249" t="str">
        <f>IFERROR(__xludf.DUMMYFUNCTION("""COMPUTED_VALUE"""),"")</f>
        <v/>
      </c>
      <c r="R8" s="1249" t="str">
        <f>IFERROR(__xludf.DUMMYFUNCTION("""COMPUTED_VALUE"""),"")</f>
        <v/>
      </c>
      <c r="S8" s="1249" t="str">
        <f>IFERROR(__xludf.DUMMYFUNCTION("""COMPUTED_VALUE"""),"Assist Module Substats - Core")</f>
        <v>Assist Module Substats - Core</v>
      </c>
      <c r="T8" s="1250" t="str">
        <f>IFERROR(__xludf.DUMMYFUNCTION("if(S8 &lt;&gt; """", 
  LET( 
    TargetLevel, VLOOKUP(S8,MS_Labs_Array,3,false),
    MaxLevel, VLOOKUP(S8,MS_Labs_Array,4,false),
    MaxOrTarget, IF(OR(TargetLevel = """",$AD$1 &lt;&gt; ""Target""), MaxLevel, TargetLevel),
    LabLevel, VLOOKUP(S8,MS_Labs_Array,2,F"&amp;"alse),
    Levelprogress, LabLevel / MaxOrTarget,
    DVTColumn, MATCH(S8,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U8" s="1251" t="str">
        <f>IFERROR(__xludf.DUMMYFUNCTION("if(S8 &lt;&gt; """", 
  LET(
    TargetLevel, VLOOKUP(S8,MS_Labs_Array,3,false),
    LabSpeed, (1 * REGEXEXTRACT($BH$1, ""[\d.-]+"")) * {IF(S8 =""Labs Speed"", 1+'Master Sheet'!$BK$5, LAB_SPEED_TOTAL())},
    MaxLevel, VLOOKUP(S8,MS_Labs_Array,4,false),
    Max"&amp;"OrTarget, IF(OR(TargetLevel = """",$AD$1 &lt;&gt; ""Target""), MaxLevel, TargetLevel),
    LabLevel, VLOOKUP(S8,MS_Labs_Array,2,False),
    DVTColumn, MATCH(S8, DVT_Laboratory!$A$1:BO$1, 0),
    xextTime, INDIRECT(""DVT_Laboratory!"" &amp; ADDRESS(LabLevel+3, DVTCo"&amp;"lumn)) / LabSpeed,
    remainingTime, SUM(INDIRECT(""DVT_Laboratory!"" &amp; ADDRESS(LabLevel+3, DVTColumn) &amp; "":"" &amp; ADDRESS(MaxOrTarget+2, DVTColumn))) / LabSpeed,
  S8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"""")"),"Assist Module Substats - Core
  Lab Level:      0 / 30 (Max)
  Next Level:    0d 16h 28m
  Max Level:     319d  3h 13m")</f>
        <v>Assist Module Substats - Core
  Lab Level:      0 / 30 (Max)
  Next Level:    0d 16h 28m
  Max Level:     319d  3h 13m</v>
      </c>
      <c r="V8" s="1249"/>
      <c r="W8" s="1249" t="str">
        <f>IFERROR(__xludf.DUMMYFUNCTION("""COMPUTED_VALUE"""),"Golden Tower Duration
  Lab Level:      19 / 20 (Max)
  Next Level:    2d  1h 32m
  Max Level:     2d  1h 32m")</f>
        <v>Golden Tower Duration
  Lab Level:      19 / 20 (Max)
  Next Level:    2d  1h 32m
  Max Level:     2d  1h 32m</v>
      </c>
      <c r="X8" s="1249" t="str">
        <f>IFERROR(__xludf.DUMMYFUNCTION("""COMPUTED_VALUE"""),"")</f>
        <v/>
      </c>
      <c r="Y8" s="1249" t="str">
        <f>IFERROR(__xludf.DUMMYFUNCTION("""COMPUTED_VALUE"""),"Damage / Meter")</f>
        <v>Damage / Meter</v>
      </c>
      <c r="Z8" s="1250" t="str">
        <f>IFERROR(__xludf.DUMMYFUNCTION("if(Y8 &lt;&gt; """", 
  LET( 
    TargetLevel, VLOOKUP(Y8,MS_Labs_Array,3,false),
    MaxLevel, VLOOKUP(Y8,MS_Labs_Array,4,false),
    MaxOrTarget, IF(OR(TargetLevel = """",$AD$1 &lt;&gt; ""Target""), MaxLevel, TargetLevel),
    LabLevel, VLOOKUP(Y8,MS_Labs_Array,2,F"&amp;"alse),
    Levelprogress, LabLevel / MaxOrTarget,
    DVTColumn, MATCH(Y8,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AA8" s="1251" t="str">
        <f>IFERROR(__xludf.DUMMYFUNCTION("if(Y8 &lt;&gt; """", 
  LET(
    TargetLevel, VLOOKUP(Y8,MS_Labs_Array,3,false),
    LabSpeed, (1 * REGEXEXTRACT($BH$1, ""[\d.-]+"")) * {IF(Y8 =""Labs Speed"", 1+'Master Sheet'!$BK$5, LAB_SPEED_TOTAL())},
    MaxLevel, VLOOKUP(Y8,MS_Labs_Array,4,false),
    Max"&amp;"OrTarget, IF(OR(TargetLevel = """",$AD$1 &lt;&gt; ""Target""), MaxLevel, TargetLevel),
    LabLevel, VLOOKUP(Y8,MS_Labs_Array,2,False),
    DVTColumn, MATCH(Y8, DVT_Laboratory!$A$1:BO$1, 0),
    xextTime, INDIRECT(""DVT_Laboratory!"" &amp; ADDRESS(LabLevel+3, DVTCo"&amp;"lumn)) / LabSpeed,
    remainingTime, SUM(INDIRECT(""DVT_Laboratory!"" &amp; ADDRESS(LabLevel+3, DVTColumn) &amp; "":"" &amp; ADDRESS(MaxOrTarget+2, DVTColumn))) / LabSpeed,
  Y8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"""")"),"Damage / Meter
  Lab Level:      16 / 99 (Max)
  Next Level:    0d  1h  2m
  Max Level:     91d 15h 12m")</f>
        <v>Damage / Meter
  Lab Level:      16 / 99 (Max)
  Next Level:    0d  1h  2m
  Max Level:     91d 15h 12m</v>
      </c>
      <c r="AB8" s="1249" t="str">
        <f>IFERROR(__xludf.DUMMYFUNCTION("""COMPUTED_VALUE"""),"Useless until SL+, very helpful with it while also pairing well with Range mastery")</f>
        <v>Useless until SL+, very helpful with it while also pairing well with Range mastery</v>
      </c>
      <c r="AC8" s="1249" t="str">
        <f>IFERROR(__xludf.DUMMYFUNCTION("""COMPUTED_VALUE"""),"Enhancement Utility - Coin Discount
  Lab Level:      0 / 100 (Max)
  Next Level:    0d  1h 38m
  Max Level:     346d 14h  2m")</f>
        <v>Enhancement Utility - Coin Discount
  Lab Level:      0 / 100 (Max)
  Next Level:    0d  1h 38m
  Max Level:     346d 14h  2m</v>
      </c>
      <c r="AD8" s="1249" t="str">
        <f>IFERROR(__xludf.DUMMYFUNCTION("""COMPUTED_VALUE"""),"")</f>
        <v/>
      </c>
      <c r="AE8" s="1249" t="str">
        <f>IFERROR(__xludf.DUMMYFUNCTION("""COMPUTED_VALUE"""),"Cash Bonus")</f>
        <v>Cash Bonus</v>
      </c>
      <c r="AF8" s="1250" t="str">
        <f>IFERROR(__xludf.DUMMYFUNCTION("if(AE8 &lt;&gt; """", 
  LET( 
    TargetLevel, VLOOKUP(AE8,MS_Labs_Array,3,false),
    MaxLevel, VLOOKUP(AE8,MS_Labs_Array,4,false),
    MaxOrTarget, IF(OR(TargetLevel = """",$AD$1 &lt;&gt; ""Target""), MaxLevel, TargetLevel),
    LabLevel, VLOOKUP(AE8,MS_Labs_Array"&amp;",2,False),
    Levelprogress, LabLevel / MaxOrTarget,
    DVTColumn, MATCH(AE8,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G8" s="1251" t="str">
        <f>IFERROR(__xludf.DUMMYFUNCTION("if(AE8 &lt;&gt; """", 
  LET(
    TargetLevel, VLOOKUP(AE8,MS_Labs_Array,3,false),
    LabSpeed, (1 * REGEXEXTRACT($BH$1, ""[\d.-]+"")) * {IF(AE8 =""Labs Speed"", 1+'Master Sheet'!$BK$5, LAB_SPEED_TOTAL())},
    MaxLevel, VLOOKUP(AE8,MS_Labs_Array,4,false),
   "&amp;" MaxOrTarget, IF(OR(TargetLevel = """",$AD$1 &lt;&gt; ""Target""), MaxLevel, TargetLevel),
    LabLevel, VLOOKUP(AE8,MS_Labs_Array,2,False),
    DVTColumn, MATCH(AE8, DVT_Laboratory!$A$1:BO$1, 0),
    xextTime, INDIRECT(""DVT_Laboratory!"" &amp; ADDRESS(LabLevel+3,"&amp;" DVTColumn)) / LabSpeed,
    remainingTime, SUM(INDIRECT(""DVT_Laboratory!"" &amp; ADDRESS(LabLevel+3, DVTColumn) &amp; "":"" &amp; ADDRESS(MaxOrTarget+2, DVTColumn))) / LabSpeed,
  AE8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"""")"),"Cash Bonus
  Lab Level:      33 / 99 (Max)
  Next Level:    0d  5h 37m
  Max Level:     89d 14h 54m")</f>
        <v>Cash Bonus
  Lab Level:      33 / 99 (Max)
  Next Level:    0d  5h 37m
  Max Level:     89d 14h 54m</v>
      </c>
      <c r="AH8" s="1249" t="str">
        <f>IFERROR(__xludf.DUMMYFUNCTION("""COMPUTED_VALUE"""),"Cash has limited usability")</f>
        <v>Cash has limited usability</v>
      </c>
      <c r="AI8" s="1249" t="str">
        <f>IFERROR(__xludf.DUMMYFUNCTION("""COMPUTED_VALUE"""),"Damage
  Lab Level:      69 / 100 (Max)
  Next Level:    1d  8h 21m
  Max Level:     68d  2h 36m")</f>
        <v>Damage
  Lab Level:      69 / 100 (Max)
  Next Level:    1d  8h 21m
  Max Level:     68d  2h 36m</v>
      </c>
      <c r="AJ8" s="1249" t="str">
        <f>IFERROR(__xludf.DUMMYFUNCTION("""COMPUTED_VALUE"""),"")</f>
        <v/>
      </c>
      <c r="AK8" s="1249" t="str">
        <f>IFERROR(__xludf.DUMMYFUNCTION("""COMPUTED_VALUE"""),"Wall Thorns")</f>
        <v>Wall Thorns</v>
      </c>
      <c r="AL8" s="1250" t="str">
        <f>IFERROR(__xludf.DUMMYFUNCTION("if(AK8 &lt;&gt; """", 
  LET( 
    TargetLevel, VLOOKUP(AK8,MS_Labs_Array,3,false),
    MaxLevel, VLOOKUP(AK8,MS_Labs_Array,4,false),
    MaxOrTarget, IF(OR(TargetLevel = """",$AD$1 &lt;&gt; ""Target""), MaxLevel, TargetLevel),
    LabLevel, VLOOKUP(AK8,MS_Labs_Array"&amp;",2,False),
    Levelprogress, LabLevel / MaxOrTarget,
    DVTColumn, MATCH(AK8,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M8" s="1251" t="str">
        <f>IFERROR(__xludf.DUMMYFUNCTION("if(AK8 &lt;&gt; """", 
  LET(
    TargetLevel, VLOOKUP(AK8,MS_Labs_Array,3,false),
    LabSpeed, (1 * REGEXEXTRACT($BH$1, ""[\d.-]+"")) * {IF(AK8 =""Labs Speed"", 1+'Master Sheet'!$BK$5, LAB_SPEED_TOTAL())},
    MaxLevel, VLOOKUP(AK8,MS_Labs_Array,4,false),
   "&amp;" MaxOrTarget, IF(OR(TargetLevel = """",$AD$1 &lt;&gt; ""Target""), MaxLevel, TargetLevel),
    LabLevel, VLOOKUP(AK8,MS_Labs_Array,2,False),
    DVTColumn, MATCH(AK8, DVT_Laboratory!$A$1:BO$1, 0),
    xextTime, INDIRECT(""DVT_Laboratory!"" &amp; ADDRESS(LabLevel+3,"&amp;" DVTColumn)) / LabSpeed,
    remainingTime, SUM(INDIRECT(""DVT_Laboratory!"" &amp; ADDRESS(LabLevel+3, DVTColumn) &amp; "":"" &amp; ADDRESS(MaxOrTarget+2, DVTColumn))) / LabSpeed,
  AK8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"""")"),"Wall Thorns
  Lab Level:      15 / 20 (Max)
  Next Level:    6d  6h 40m
  Max Level:     55d  0h 35m")</f>
        <v>Wall Thorns
  Lab Level:      15 / 20 (Max)
  Next Level:    6d  6h 40m
  Max Level:     55d  0h 35m</v>
      </c>
      <c r="AN8" s="1249" t="str">
        <f>IFERROR(__xludf.DUMMYFUNCTION("""COMPUTED_VALUE"""),"Helps kill enemies with wall quicker, useful percentage damage; get to at least 11 ")</f>
        <v>Helps kill enemies with wall quicker, useful percentage damage; get to at least 11 </v>
      </c>
      <c r="AO8" s="1249" t="str">
        <f>IFERROR(__xludf.DUMMYFUNCTION("""COMPUTED_VALUE"""),"Super Crit Chance
  Lab Level:      9 / 50 (Max)
  Next Level:    0d 22h 17m
  Max Level:     6465d  7h 24m")</f>
        <v>Super Crit Chance
  Lab Level:      9 / 50 (Max)
  Next Level:    0d 22h 17m
  Max Level:     6465d  7h 24m</v>
      </c>
      <c r="AP8" s="1249" t="str">
        <f>IFERROR(__xludf.DUMMYFUNCTION("""COMPUTED_VALUE"""),"")</f>
        <v/>
      </c>
      <c r="AQ8" s="1249" t="str">
        <f>IFERROR(__xludf.DUMMYFUNCTION("""COMPUTED_VALUE"""),"Land Mine Damage")</f>
        <v>Land Mine Damage</v>
      </c>
      <c r="AR8" s="1250" t="str">
        <f>IFERROR(__xludf.DUMMYFUNCTION("if(AQ8 &lt;&gt; """", 
  LET( 
    TargetLevel, VLOOKUP(AQ8,MS_Labs_Array,3,false),
    MaxLevel, VLOOKUP(AQ8,MS_Labs_Array,4,false),
    MaxOrTarget, IF(OR(TargetLevel = """",$AD$1 &lt;&gt; ""Target""), MaxLevel, TargetLevel),
    LabLevel, VLOOKUP(AQ8,MS_Labs_Array"&amp;",2,False),
    Levelprogress, LabLevel / MaxOrTarget,
    DVTColumn, MATCH(AQ8,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S8" s="1251" t="str">
        <f>IFERROR(__xludf.DUMMYFUNCTION("if(AQ8 &lt;&gt; """", 
  LET(
    TargetLevel, VLOOKUP(AQ8,MS_Labs_Array,3,false),
    LabSpeed, (1 * REGEXEXTRACT($BH$1, ""[\d.-]+"")) * {IF(AQ8 =""Labs Speed"", 1+'Master Sheet'!$BK$5, LAB_SPEED_TOTAL())},
    MaxLevel, VLOOKUP(AQ8,MS_Labs_Array,4,false),
   "&amp;" MaxOrTarget, IF(OR(TargetLevel = """",$AD$1 &lt;&gt; ""Target""), MaxLevel, TargetLevel),
    LabLevel, VLOOKUP(AQ8,MS_Labs_Array,2,False),
    DVTColumn, MATCH(AQ8, DVT_Laboratory!$A$1:BO$1, 0),
    xextTime, INDIRECT(""DVT_Laboratory!"" &amp; ADDRESS(LabLevel+3,"&amp;" DVTColumn)) / LabSpeed,
    remainingTime, SUM(INDIRECT(""DVT_Laboratory!"" &amp; ADDRESS(LabLevel+3, DVTColumn) &amp; "":"" &amp; ADDRESS(MaxOrTarget+2, DVTColumn))) / LabSpeed,
  AQ8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"""")"),"Land Mine Damage
  Lab Level:      0 / 20 (Max)
  Next Level:    0d  0h  6m
  Max Level:     9d  1h 22m")</f>
        <v>Land Mine Damage
  Lab Level:      0 / 20 (Max)
  Next Level:    0d  0h  6m
  Max Level:     9d  1h 22m</v>
      </c>
      <c r="AT8" s="1249" t="str">
        <f>IFERROR(__xludf.DUMMYFUNCTION("""COMPUTED_VALUE"""),"Can help with orbless farms")</f>
        <v>Can help with orbless farms</v>
      </c>
      <c r="AU8" s="1249" t="str">
        <f>IFERROR(__xludf.DUMMYFUNCTION("""COMPUTED_VALUE"""),"Workshop Utility Discount
  Lab Level:      41 / 99 (Max)
  Next Level:    0d  9h 23m
  Max Level:     87d  5h 27m")</f>
        <v>Workshop Utility Discount
  Lab Level:      41 / 99 (Max)
  Next Level:    0d  9h 23m
  Max Level:     87d  5h 27m</v>
      </c>
      <c r="AV8" s="1249" t="str">
        <f>IFERROR(__xludf.DUMMYFUNCTION("""COMPUTED_VALUE"""),"")</f>
        <v/>
      </c>
      <c r="AW8" s="1249" t="str">
        <f>IFERROR(__xludf.DUMMYFUNCTION("""COMPUTED_VALUE"""),"Cash / Wave")</f>
        <v>Cash / Wave</v>
      </c>
      <c r="AX8" s="1250" t="str">
        <f>IFERROR(__xludf.DUMMYFUNCTION("if(AW8 &lt;&gt; """", 
  LET( 
    TargetLevel, VLOOKUP(AW8,MS_Labs_Array,3,false),
    MaxLevel, VLOOKUP(AW8,MS_Labs_Array,4,false),
    MaxOrTarget, IF(OR(TargetLevel = """",$AD$1 &lt;&gt; ""Target""), MaxLevel, TargetLevel),
    LabLevel, VLOOKUP(AW8,MS_Labs_Array"&amp;",2,False),
    Levelprogress, LabLevel / MaxOrTarget,
    DVTColumn, MATCH(AW8,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Y8" s="1251" t="str">
        <f>IFERROR(__xludf.DUMMYFUNCTION("if(AW8 &lt;&gt; """", 
  LET(
    TargetLevel, VLOOKUP(AW8,MS_Labs_Array,3,false),
    LabSpeed, (1 * REGEXEXTRACT($BH$1, ""[\d.-]+"")) * {IF(AW8 =""Labs Speed"", 1+'Master Sheet'!$BK$5, LAB_SPEED_TOTAL())},
    MaxLevel, VLOOKUP(AW8,MS_Labs_Array,4,false),
   "&amp;" MaxOrTarget, IF(OR(TargetLevel = """",$AD$1 &lt;&gt; ""Target""), MaxLevel, TargetLevel),
    LabLevel, VLOOKUP(AW8,MS_Labs_Array,2,False),
    DVTColumn, MATCH(AW8, DVT_Laboratory!$A$1:BO$1, 0),
    xextTime, INDIRECT(""DVT_Laboratory!"" &amp; ADDRESS(LabLevel+3,"&amp;" DVTColumn)) / LabSpeed,
    remainingTime, SUM(INDIRECT(""DVT_Laboratory!"" &amp; ADDRESS(LabLevel+3, DVTColumn) &amp; "":"" &amp; ADDRESS(MaxOrTarget+2, DVTColumn))) / LabSpeed,
  AW8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"""")"),"Cash / Wave
  Lab Level:      8 / 99 (Max)
  Next Level:    0d  0h 13m
  Max Level:     91d 19h 24m")</f>
        <v>Cash / Wave
  Lab Level:      8 / 99 (Max)
  Next Level:    0d  0h 13m
  Max Level:     91d 19h 24m</v>
      </c>
      <c r="AZ8" s="1249" t="str">
        <f>IFERROR(__xludf.DUMMYFUNCTION("""COMPUTED_VALUE"""),"Kills from enemies matter a lot more")</f>
        <v>Kills from enemies matter a lot more</v>
      </c>
      <c r="BA8" s="1249" t="str">
        <f>IFERROR(__xludf.DUMMYFUNCTION("""COMPUTED_VALUE"""),"Health Regen
  Lab Level:      68 / 100 (Max)
  Next Level:    1d  7h 15m
  Max Level:     69d  9h 51m")</f>
        <v>Health Regen
  Lab Level:      68 / 100 (Max)
  Next Level:    1d  7h 15m
  Max Level:     69d  9h 51m</v>
      </c>
      <c r="BB8" s="1249" t="str">
        <f>IFERROR(__xludf.DUMMYFUNCTION("""COMPUTED_VALUE"""),"")</f>
        <v/>
      </c>
      <c r="BC8" s="1249"/>
      <c r="BD8" s="1250" t="str">
        <f>IFERROR(__xludf.DUMMYFUNCTION("if(BC8 &lt;&gt; """", 
  LET( 
    TargetLevel, VLOOKUP(BC8,MS_Labs_Array,3,false),
    MaxLevel, VLOOKUP(BC8,MS_Labs_Array,4,false),
    MaxOrTarget, IF(OR(TargetLevel = """",$AD$1 &lt;&gt; ""Target""), MaxLevel, TargetLevel),
    LabLevel, VLOOKUP(BC8,MS_Labs_Array"&amp;",2,False),
    Levelprogress, LabLevel / MaxOrTarget,
    DVTColumn, MATCH(BC8,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BE8" s="1251" t="str">
        <f>IFERROR(__xludf.DUMMYFUNCTION("if(BC8 &lt;&gt; """", 
  LET(
    TargetLevel, VLOOKUP(BC8,MS_Labs_Array,3,false),
    LabSpeed, (1 * REGEXEXTRACT($BH$1, ""[\d.-]+"")) * {IF(BC8 =""Labs Speed"", 1+'Master Sheet'!$BK$5, LAB_SPEED_TOTAL())},
    MaxLevel, VLOOKUP(BC8,MS_Labs_Array,4,false),
   "&amp;" MaxOrTarget, IF(OR(TargetLevel = """",$AD$1 &lt;&gt; ""Target""), MaxLevel, TargetLevel),
    LabLevel, VLOOKUP(BC8,MS_Labs_Array,2,False),
    DVTColumn, MATCH(BC8, DVT_Laboratory!$A$1:BO$1, 0),
    xextTime, INDIRECT(""DVT_Laboratory!"" &amp; ADDRESS(LabLevel+3,"&amp;" DVTColumn)) / LabSpeed,
    remainingTime, SUM(INDIRECT(""DVT_Laboratory!"" &amp; ADDRESS(LabLevel+3, DVTColumn) &amp; "":"" &amp; ADDRESS(MaxOrTarget+2, DVTColumn))) / LabSpeed,
  BC8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BF8" s="1249"/>
      <c r="BG8" s="1249" t="str">
        <f>IFERROR(__xludf.DUMMYFUNCTION("""COMPUTED_VALUE"""),"")</f>
        <v/>
      </c>
      <c r="BH8" s="1260" t="str">
        <f>IFERROR(__xludf.DUMMYFUNCTION("""COMPUTED_VALUE"""),"")</f>
        <v/>
      </c>
      <c r="BI8" s="1252" t="str">
        <f>IFERROR(__xludf.DUMMYFUNCTION("""COMPUTED_VALUE"""),"Workshop Respec")</f>
        <v>Workshop Respec</v>
      </c>
      <c r="BJ8" s="1253" t="str">
        <f>IFERROR(__xludf.DUMMYFUNCTION("if(BI8 &lt;&gt; """", 
  LET( 
    TargetLevel, VLOOKUP(BI8,MS_Labs_Array,3,false),
    MaxLevel, VLOOKUP(BI8,MS_Labs_Array,4,false),
    MaxOrTarget, IF(OR(TargetLevel = """",$AD$1 &lt;&gt; ""Target""), MaxLevel, TargetLevel),
    LabLevel, VLOOKUP(BI8,MS_Labs_Array"&amp;",2,False),
    Levelprogress, IF(LabLevel &gt;= MaxOrTarget, 1, LabLevel / MaxOrTarget),
    DVTColumn, MATCH(BI8, DVT_Laboratory!$A$1:BO$1, 0),
    investedTime, SUM(INDIRECT(""DVT_Laboratory!"" &amp; ADDRESS(3, DVTColumn) &amp; "":"" &amp; ADDRESS(LabLevel+2, DVTColum"&amp;"n))),
    totalTime, SUM(INDIRECT(""DVT_Laboratory!"" &amp; ADDRESS(3, DVTColumn) &amp; "":"" &amp; ADDRESS(MaxOrTarget+2, DVTColumn))),
    timeProgress, IF(LabLevel &gt;= MaxOrTarget, 1, investedTime / totalTime),
SPARKLINE(IF(OR($BB$1 &lt;&gt; ""Time"", LabLevel = 0),Level"&amp;"progress, timeProgress), {""charttype"",""bar"";""max"",1;""min"",0;""color1"", ""#00ff00""})), """")"),"")</f>
        <v/>
      </c>
      <c r="BK8" s="1254" t="str">
        <f>IFERROR(__xludf.DUMMYFUNCTION("if(BI8 &lt;&gt; """", 
  LET(
    TargetLevel, VLOOKUP(BI8,MS_Labs_Array,3,false),
    LabSpeed, (1 * REGEXEXTRACT($BH$1, ""[\d.-]+"")) * {IF(BI8 =""Labs Speed"", 1+'Master Sheet'!$BK$5, LAB_SPEED_TOTAL())},
    MaxLevel, VLOOKUP(BI8,MS_Labs_Array,4,false),
   "&amp;" MaxOrTarget, IF(OR(TargetLevel = """",$AD$1 &lt;&gt; ""Target""), MaxLevel, TargetLevel),
    LabLevel, VLOOKUP(BI8,MS_Labs_Array,2,False),
    DVTColumn, MATCH(BI8, DVT_Laboratory!$A$1:BO$1, 0),
    xextTime, INDIRECT(""DVT_Laboratory!"" &amp; ADDRESS(LabLevel+3,"&amp;" DVTColumn)) / LabSpeed,
    remainingTime, SUM(INDIRECT(""DVT_Laboratory!"" &amp; ADDRESS(LabLevel+3, DVTColumn) &amp; "":"" &amp; ADDRESS(MaxOrTarget+2, DVTColumn))) / LabSpeed,
  BI8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"""")"),"Workshop Respec
  Lab Level:      1 / 1 (Max)
  Next Level:    
  Max Level:     0d  3h 52m")</f>
        <v>Workshop Respec
  Lab Level:      1 / 1 (Max)
  Next Level:    
  Max Level:     0d  3h 52m</v>
      </c>
      <c r="BL8" s="1252" t="str">
        <f>IFERROR(__xludf.DUMMYFUNCTION("""COMPUTED_VALUE"""),"Required for devo strategies and almost mandatory for legend league tournaments. If blender and not in legend it's nice to make the buy workshop upgrades mission cheaper")</f>
        <v>Required for devo strategies and almost mandatory for legend league tournaments. If blender and not in legend it's nice to make the buy workshop upgrades mission cheaper</v>
      </c>
      <c r="BM8" s="1252" t="str">
        <f>IFERROR(__xludf.DUMMYFUNCTION("""COMPUTED_VALUE"""),"More Round Stats
  Lab Level:      1 / 1 (Max)
  Next Level:    
  Max Level:     0d  0h 45m")</f>
        <v>More Round Stats
  Lab Level:      1 / 1 (Max)
  Next Level:    
  Max Level:     0d  0h 45m</v>
      </c>
      <c r="BN8" s="1222"/>
      <c r="BO8" s="1261"/>
    </row>
    <row r="9">
      <c r="A9" s="1222"/>
      <c r="B9" s="1257"/>
      <c r="C9" s="1266" t="s">
        <v>238</v>
      </c>
      <c r="D9" s="1242" t="str">
        <f>VLOOKUP(C9,'Remote Tier List'!A:D, 2, FALSE)</f>
        <v>S</v>
      </c>
      <c r="E9" s="1243" t="str">
        <f>VLOOKUP(C9,'Remote Tier List'!A:D, 3, FALSE)</f>
        <v>A</v>
      </c>
      <c r="F9" s="1258" t="str">
        <f>VLOOKUP(C9,'Remote Tier List'!A:D, 4, FALSE)</f>
        <v>S tier until level 50; very long after. Should be slotted in whenever a lab slot is not occupied by a high priority lab</v>
      </c>
      <c r="G9" s="1245" t="b">
        <f t="shared" si="10"/>
        <v>1</v>
      </c>
      <c r="H9" s="1265" t="str">
        <f t="array" ref="H9:I9">LET(
  Lab, $C9,
  Mode, $AD$1,
  Level, VLOOKUP(Lab, MS_Labs_Array, 2, FALSE),
  Target, VLOOKUP(Lab, MS_Labs_Array, 3, FALSE),
  Max, VLOOKUP(Lab, MS_Labs_Array, 4, FALSE),
  Result,
    IF(
      AND(
        Mode &lt;&gt; "Never",
        Level &gt;= IF(OR(Target = "", Mode = "Max"), Max, Target)
      ),
      "Completed",
      ""
    ),
  HSTACK(
    IF(Result &lt;&gt; "", Result, $D9),
    IF(Result &lt;&gt; "", Result, IF($E9 = "", $D9, $E9))
  )
)</f>
        <v>S</v>
      </c>
      <c r="I9" s="1265" t="s">
        <v>545</v>
      </c>
      <c r="J9" s="1248" t="str">
        <f t="shared" si="11"/>
        <v>S tier until level 50; very long after. Should be slotted in whenever a lab slot is not occupied by a high priority lab</v>
      </c>
      <c r="K9" s="1229"/>
      <c r="L9" s="1249"/>
      <c r="M9" s="1249"/>
      <c r="N9" s="1250" t="str">
        <f>IFERROR(__xludf.DUMMYFUNCTION("if(M9 &lt;&gt; """", 
  LET( 
    TargetLevel, VLOOKUP(M9,MS_Labs_Array,3,false),
    MaxLevel, VLOOKUP(M9,MS_Labs_Array,4,false),
    MaxOrTarget, IF(OR(TargetLevel = """",$AD$1 &lt;&gt; ""Target""), MaxLevel, TargetLevel),
    LabLevel, VLOOKUP(M9,MS_Labs_Array,2,F"&amp;"alse),
    Levelprogress, LabLevel / MaxOrTarget,
    DVTColumn, MATCH(M9,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O9" s="1251" t="str">
        <f>IFERROR(__xludf.DUMMYFUNCTION("if(M9 &lt;&gt; """", 
  LET(
    TargetLevel, VLOOKUP(M9,MS_Labs_Array,3,false),
    LabSpeed, (1 * REGEXEXTRACT($BH$1, ""[\d.-]+"")) * {IF(M9 =""Labs Speed"", 1+'Master Sheet'!$BK$5, LAB_SPEED_TOTAL())},
    MaxLevel, VLOOKUP(M9,MS_Labs_Array,4,false),
    Max"&amp;"OrTarget, IF(OR(TargetLevel = """",$AD$1 &lt;&gt; ""Target""), MaxLevel, TargetLevel),
    LabLevel, VLOOKUP(M9,MS_Labs_Array,2,False),
    DVTColumn, MATCH(M9, DVT_Laboratory!$A$1:BO$1, 0),
    xextTime, INDIRECT(""DVT_Laboratory!"" &amp; ADDRESS(LabLevel+3, DVTCo"&amp;"lumn)) / LabSpeed,
    remainingTime, SUM(INDIRECT(""DVT_Laboratory!"" &amp; ADDRESS(LabLevel+3, DVTColumn) &amp; "":"" &amp; ADDRESS(MaxOrTarget+2, DVTColumn))) / LabSpeed,
  M9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f>
        <v/>
      </c>
      <c r="P9" s="1249"/>
      <c r="Q9" s="1249"/>
      <c r="R9" s="1249" t="str">
        <f>IFERROR(__xludf.DUMMYFUNCTION("""COMPUTED_VALUE"""),"Inner Mine Stun")</f>
        <v>Inner Mine Stun</v>
      </c>
      <c r="S9" s="1249"/>
      <c r="T9" s="1250" t="str">
        <f>IFERROR(__xludf.DUMMYFUNCTION("if(S9 &lt;&gt; """", 
  LET( 
    TargetLevel, VLOOKUP(S9,MS_Labs_Array,3,false),
    MaxLevel, VLOOKUP(S9,MS_Labs_Array,4,false),
    MaxOrTarget, IF(OR(TargetLevel = """",$AD$1 &lt;&gt; ""Target""), MaxLevel, TargetLevel),
    LabLevel, VLOOKUP(S9,MS_Labs_Array,2,F"&amp;"alse),
    Levelprogress, LabLevel / MaxOrTarget,
    DVTColumn, MATCH(S9,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U9" s="1251" t="str">
        <f>IFERROR(__xludf.DUMMYFUNCTION("if(S9 &lt;&gt; """", 
  LET(
    TargetLevel, VLOOKUP(S9,MS_Labs_Array,3,false),
    LabSpeed, (1 * REGEXEXTRACT($BH$1, ""[\d.-]+"")) * {IF(S9 =""Labs Speed"", 1+'Master Sheet'!$BK$5, LAB_SPEED_TOTAL())},
    MaxLevel, VLOOKUP(S9,MS_Labs_Array,4,false),
    Max"&amp;"OrTarget, IF(OR(TargetLevel = """",$AD$1 &lt;&gt; ""Target""), MaxLevel, TargetLevel),
    LabLevel, VLOOKUP(S9,MS_Labs_Array,2,False),
    DVTColumn, MATCH(S9, DVT_Laboratory!$A$1:BO$1, 0),
    xextTime, INDIRECT(""DVT_Laboratory!"" &amp; ADDRESS(LabLevel+3, DVTCo"&amp;"lumn)) / LabSpeed,
    remainingTime, SUM(INDIRECT(""DVT_Laboratory!"" &amp; ADDRESS(LabLevel+3, DVTColumn) &amp; "":"" &amp; ADDRESS(MaxOrTarget+2, DVTColumn))) / LabSpeed,
  S9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f>
        <v/>
      </c>
      <c r="V9" s="1249"/>
      <c r="W9" s="1249" t="str">
        <f>IFERROR(__xludf.DUMMYFUNCTION("""COMPUTED_VALUE"""),"Turns ILM into a CC machine when combined with Rotation")</f>
        <v>Turns ILM into a CC machine when combined with Rotation</v>
      </c>
      <c r="X9" s="1249" t="str">
        <f>IFERROR(__xludf.DUMMYFUNCTION("""COMPUTED_VALUE"""),"Attack Speed")</f>
        <v>Attack Speed</v>
      </c>
      <c r="Y9" s="1249" t="str">
        <f>IFERROR(__xludf.DUMMYFUNCTION("""COMPUTED_VALUE"""),"Health Regen")</f>
        <v>Health Regen</v>
      </c>
      <c r="Z9" s="1250" t="str">
        <f>IFERROR(__xludf.DUMMYFUNCTION("if(Y9 &lt;&gt; """", 
  LET( 
    TargetLevel, VLOOKUP(Y9,MS_Labs_Array,3,false),
    MaxLevel, VLOOKUP(Y9,MS_Labs_Array,4,false),
    MaxOrTarget, IF(OR(TargetLevel = """",$AD$1 &lt;&gt; ""Target""), MaxLevel, TargetLevel),
    LabLevel, VLOOKUP(Y9,MS_Labs_Array,2,F"&amp;"alse),
    Levelprogress, LabLevel / MaxOrTarget,
    DVTColumn, MATCH(Y9,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AA9" s="1251" t="str">
        <f>IFERROR(__xludf.DUMMYFUNCTION("if(Y9 &lt;&gt; """", 
  LET(
    TargetLevel, VLOOKUP(Y9,MS_Labs_Array,3,false),
    LabSpeed, (1 * REGEXEXTRACT($BH$1, ""[\d.-]+"")) * {IF(Y9 =""Labs Speed"", 1+'Master Sheet'!$BK$5, LAB_SPEED_TOTAL())},
    MaxLevel, VLOOKUP(Y9,MS_Labs_Array,4,false),
    Max"&amp;"OrTarget, IF(OR(TargetLevel = """",$AD$1 &lt;&gt; ""Target""), MaxLevel, TargetLevel),
    LabLevel, VLOOKUP(Y9,MS_Labs_Array,2,False),
    DVTColumn, MATCH(Y9, DVT_Laboratory!$A$1:BO$1, 0),
    xextTime, INDIRECT(""DVT_Laboratory!"" &amp; ADDRESS(LabLevel+3, DVTCo"&amp;"lumn)) / LabSpeed,
    remainingTime, SUM(INDIRECT(""DVT_Laboratory!"" &amp; ADDRESS(LabLevel+3, DVTColumn) &amp; "":"" &amp; ADDRESS(MaxOrTarget+2, DVTColumn))) / LabSpeed,
  Y9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"""")"),"Health Regen
  Lab Level:      68 / 100 (Max)
  Next Level:    1d  7h 15m
  Max Level:     69d  9h 51m")</f>
        <v>Health Regen
  Lab Level:      68 / 100 (Max)
  Next Level:    1d  7h 15m
  Max Level:     69d  9h 51m</v>
      </c>
      <c r="AB9" s="1249" t="str">
        <f>IFERROR(__xludf.DUMMYFUNCTION("""COMPUTED_VALUE"""),"Crucial for eHp, useless before owning WHR or Wall and for Glass Cannon builds")</f>
        <v>Crucial for eHp, useless before owning WHR or Wall and for Glass Cannon builds</v>
      </c>
      <c r="AC9" s="1249" t="str">
        <f>IFERROR(__xludf.DUMMYFUNCTION("""COMPUTED_VALUE"""),"Very good lab for increasing both damage and CC, gets very long towards the end")</f>
        <v>Very good lab for increasing both damage and CC, gets very long towards the end</v>
      </c>
      <c r="AD9" s="1249" t="str">
        <f>IFERROR(__xludf.DUMMYFUNCTION("""COMPUTED_VALUE"""),"Health")</f>
        <v>Health</v>
      </c>
      <c r="AE9" s="1249" t="str">
        <f>IFERROR(__xludf.DUMMYFUNCTION("""COMPUTED_VALUE"""),"Missile Radius")</f>
        <v>Missile Radius</v>
      </c>
      <c r="AF9" s="1250" t="str">
        <f>IFERROR(__xludf.DUMMYFUNCTION("if(AE9 &lt;&gt; """", 
  LET( 
    TargetLevel, VLOOKUP(AE9,MS_Labs_Array,3,false),
    MaxLevel, VLOOKUP(AE9,MS_Labs_Array,4,false),
    MaxOrTarget, IF(OR(TargetLevel = """",$AD$1 &lt;&gt; ""Target""), MaxLevel, TargetLevel),
    LabLevel, VLOOKUP(AE9,MS_Labs_Array"&amp;",2,False),
    Levelprogress, LabLevel / MaxOrTarget,
    DVTColumn, MATCH(AE9,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G9" s="1251" t="str">
        <f>IFERROR(__xludf.DUMMYFUNCTION("if(AE9 &lt;&gt; """", 
  LET(
    TargetLevel, VLOOKUP(AE9,MS_Labs_Array,3,false),
    LabSpeed, (1 * REGEXEXTRACT($BH$1, ""[\d.-]+"")) * {IF(AE9 =""Labs Speed"", 1+'Master Sheet'!$BK$5, LAB_SPEED_TOTAL())},
    MaxLevel, VLOOKUP(AE9,MS_Labs_Array,4,false),
   "&amp;" MaxOrTarget, IF(OR(TargetLevel = """",$AD$1 &lt;&gt; ""Target""), MaxLevel, TargetLevel),
    LabLevel, VLOOKUP(AE9,MS_Labs_Array,2,False),
    DVTColumn, MATCH(AE9, DVT_Laboratory!$A$1:BO$1, 0),
    xextTime, INDIRECT(""DVT_Laboratory!"" &amp; ADDRESS(LabLevel+3,"&amp;" DVTColumn)) / LabSpeed,
    remainingTime, SUM(INDIRECT(""DVT_Laboratory!"" &amp; ADDRESS(LabLevel+3, DVTColumn) &amp; "":"" &amp; ADDRESS(MaxOrTarget+2, DVTColumn))) / LabSpeed,
  AE9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"""")"),"Missile Radius
  Lab Level:      0 / 20 (Max)
  Next Level:    0d  2h 28m
  Max Level:     11d  0h 41m")</f>
        <v>Missile Radius
  Lab Level:      0 / 20 (Max)
  Next Level:    0d  2h 28m
  Max Level:     11d  0h 41m</v>
      </c>
      <c r="AH9" s="1249" t="str">
        <f>IFERROR(__xludf.DUMMYFUNCTION("""COMPUTED_VALUE"""),"Adds crucial splash damage to Missiles")</f>
        <v>Adds crucial splash damage to Missiles</v>
      </c>
      <c r="AI9" s="1249" t="str">
        <f>IFERROR(__xludf.DUMMYFUNCTION("""COMPUTED_VALUE"""),"Good, but not game changing lab")</f>
        <v>Good, but not game changing lab</v>
      </c>
      <c r="AJ9" s="1249" t="str">
        <f>IFERROR(__xludf.DUMMYFUNCTION("""COMPUTED_VALUE"""),"Super Crit Multi")</f>
        <v>Super Crit Multi</v>
      </c>
      <c r="AK9" s="1249" t="str">
        <f>IFERROR(__xludf.DUMMYFUNCTION("""COMPUTED_VALUE"""),"Max Interest")</f>
        <v>Max Interest</v>
      </c>
      <c r="AL9" s="1250" t="str">
        <f>IFERROR(__xludf.DUMMYFUNCTION("if(AK9 &lt;&gt; """", 
  LET( 
    TargetLevel, VLOOKUP(AK9,MS_Labs_Array,3,false),
    MaxLevel, VLOOKUP(AK9,MS_Labs_Array,4,false),
    MaxOrTarget, IF(OR(TargetLevel = """",$AD$1 &lt;&gt; ""Target""), MaxLevel, TargetLevel),
    LabLevel, VLOOKUP(AK9,MS_Labs_Array"&amp;",2,False),
    Levelprogress, LabLevel / MaxOrTarget,
    DVTColumn, MATCH(AK9,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M9" s="1251" t="str">
        <f>IFERROR(__xludf.DUMMYFUNCTION("if(AK9 &lt;&gt; """", 
  LET(
    TargetLevel, VLOOKUP(AK9,MS_Labs_Array,3,false),
    LabSpeed, (1 * REGEXEXTRACT($BH$1, ""[\d.-]+"")) * {IF(AK9 =""Labs Speed"", 1+'Master Sheet'!$BK$5, LAB_SPEED_TOTAL())},
    MaxLevel, VLOOKUP(AK9,MS_Labs_Array,4,false),
   "&amp;" MaxOrTarget, IF(OR(TargetLevel = """",$AD$1 &lt;&gt; ""Target""), MaxLevel, TargetLevel),
    LabLevel, VLOOKUP(AK9,MS_Labs_Array,2,False),
    DVTColumn, MATCH(AK9, DVT_Laboratory!$A$1:BO$1, 0),
    xextTime, INDIRECT(""DVT_Laboratory!"" &amp; ADDRESS(LabLevel+3,"&amp;" DVTColumn)) / LabSpeed,
    remainingTime, SUM(INDIRECT(""DVT_Laboratory!"" &amp; ADDRESS(LabLevel+3, DVTColumn) &amp; "":"" &amp; ADDRESS(MaxOrTarget+2, DVTColumn))) / LabSpeed,
  AK9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"""")"),"Max Interest
  Lab Level:      8 / 15 (Max)
  Next Level:    0d  5h 55m
  Max Level:     6d  2h 30m")</f>
        <v>Max Interest
  Lab Level:      8 / 15 (Max)
  Next Level:    0d  5h 55m
  Max Level:     6d  2h 30m</v>
      </c>
      <c r="AN9" s="1249" t="str">
        <f>IFERROR(__xludf.DUMMYFUNCTION("""COMPUTED_VALUE"""),"Useful for early cash purchases, good for weak/no GT")</f>
        <v>Useful for early cash purchases, good for weak/no GT</v>
      </c>
      <c r="AO9" s="1249" t="str">
        <f>IFERROR(__xludf.DUMMYFUNCTION("""COMPUTED_VALUE"""),"Gets VERY long for little benefit")</f>
        <v>Gets VERY long for little benefit</v>
      </c>
      <c r="AP9" s="1249" t="str">
        <f>IFERROR(__xludf.DUMMYFUNCTION("""COMPUTED_VALUE"""),"Labs Coin Discount")</f>
        <v>Labs Coin Discount</v>
      </c>
      <c r="AQ9" s="1249" t="str">
        <f>IFERROR(__xludf.DUMMYFUNCTION("""COMPUTED_VALUE"""),"Wall Rebuild")</f>
        <v>Wall Rebuild</v>
      </c>
      <c r="AR9" s="1250" t="str">
        <f>IFERROR(__xludf.DUMMYFUNCTION("if(AQ9 &lt;&gt; """", 
  LET( 
    TargetLevel, VLOOKUP(AQ9,MS_Labs_Array,3,false),
    MaxLevel, VLOOKUP(AQ9,MS_Labs_Array,4,false),
    MaxOrTarget, IF(OR(TargetLevel = """",$AD$1 &lt;&gt; ""Target""), MaxLevel, TargetLevel),
    LabLevel, VLOOKUP(AQ9,MS_Labs_Array"&amp;",2,False),
    Levelprogress, LabLevel / MaxOrTarget,
    DVTColumn, MATCH(AQ9,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S9" s="1251" t="str">
        <f>IFERROR(__xludf.DUMMYFUNCTION("if(AQ9 &lt;&gt; """", 
  LET(
    TargetLevel, VLOOKUP(AQ9,MS_Labs_Array,3,false),
    LabSpeed, (1 * REGEXEXTRACT($BH$1, ""[\d.-]+"")) * {IF(AQ9 =""Labs Speed"", 1+'Master Sheet'!$BK$5, LAB_SPEED_TOTAL())},
    MaxLevel, VLOOKUP(AQ9,MS_Labs_Array,4,false),
   "&amp;" MaxOrTarget, IF(OR(TargetLevel = """",$AD$1 &lt;&gt; ""Target""), MaxLevel, TargetLevel),
    LabLevel, VLOOKUP(AQ9,MS_Labs_Array,2,False),
    DVTColumn, MATCH(AQ9, DVT_Laboratory!$A$1:BO$1, 0),
    xextTime, INDIRECT(""DVT_Laboratory!"" &amp; ADDRESS(LabLevel+3,"&amp;" DVTColumn)) / LabSpeed,
    remainingTime, SUM(INDIRECT(""DVT_Laboratory!"" &amp; ADDRESS(LabLevel+3, DVTColumn) &amp; "":"" &amp; ADDRESS(MaxOrTarget+2, DVTColumn))) / LabSpeed,
  AQ9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"""")"),"Wall Rebuild
  Lab Level:      9 / 20 (Max)
  Next Level:    0d 10h 36m
  Max Level:     14d  7h 51m")</f>
        <v>Wall Rebuild
  Lab Level:      9 / 20 (Max)
  Next Level:    0d 10h 36m
  Max Level:     14d  7h 51m</v>
      </c>
      <c r="AT9" s="1249" t="str">
        <f>IFERROR(__xludf.DUMMYFUNCTION("""COMPUTED_VALUE"""),"Mostly useless unless you're using a Glass Cannon build")</f>
        <v>Mostly useless unless you're using a Glass Cannon build</v>
      </c>
      <c r="AU9" s="1249" t="str">
        <f>IFERROR(__xludf.DUMMYFUNCTION("""COMPUTED_VALUE"""),"A few early levels are useful, however actual econ labs are much better until Card Masteries or assists/BC labs")</f>
        <v>A few early levels are useful, however actual econ labs are much better until Card Masteries or assists/BC labs</v>
      </c>
      <c r="AV9" s="1249" t="str">
        <f>IFERROR(__xludf.DUMMYFUNCTION("""COMPUTED_VALUE"""),"Defense %")</f>
        <v>Defense %</v>
      </c>
      <c r="AW9" s="1249" t="str">
        <f>IFERROR(__xludf.DUMMYFUNCTION("""COMPUTED_VALUE"""),"Coins / Wave")</f>
        <v>Coins / Wave</v>
      </c>
      <c r="AX9" s="1250" t="str">
        <f>IFERROR(__xludf.DUMMYFUNCTION("if(AW9 &lt;&gt; """", 
  LET( 
    TargetLevel, VLOOKUP(AW9,MS_Labs_Array,3,false),
    MaxLevel, VLOOKUP(AW9,MS_Labs_Array,4,false),
    MaxOrTarget, IF(OR(TargetLevel = """",$AD$1 &lt;&gt; ""Target""), MaxLevel, TargetLevel),
    LabLevel, VLOOKUP(AW9,MS_Labs_Array"&amp;",2,False),
    Levelprogress, LabLevel / MaxOrTarget,
    DVTColumn, MATCH(AW9,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Y9" s="1251" t="str">
        <f>IFERROR(__xludf.DUMMYFUNCTION("if(AW9 &lt;&gt; """", 
  LET(
    TargetLevel, VLOOKUP(AW9,MS_Labs_Array,3,false),
    LabSpeed, (1 * REGEXEXTRACT($BH$1, ""[\d.-]+"")) * {IF(AW9 =""Labs Speed"", 1+'Master Sheet'!$BK$5, LAB_SPEED_TOTAL())},
    MaxLevel, VLOOKUP(AW9,MS_Labs_Array,4,false),
   "&amp;" MaxOrTarget, IF(OR(TargetLevel = """",$AD$1 &lt;&gt; ""Target""), MaxLevel, TargetLevel),
    LabLevel, VLOOKUP(AW9,MS_Labs_Array,2,False),
    DVTColumn, MATCH(AW9, DVT_Laboratory!$A$1:BO$1, 0),
    xextTime, INDIRECT(""DVT_Laboratory!"" &amp; ADDRESS(LabLevel+3,"&amp;" DVTColumn)) / LabSpeed,
    remainingTime, SUM(INDIRECT(""DVT_Laboratory!"" &amp; ADDRESS(LabLevel+3, DVTColumn) &amp; "":"" &amp; ADDRESS(MaxOrTarget+2, DVTColumn))) / LabSpeed,
  AW9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"""")"),"Coins / Wave
  Lab Level:      6 / 99 (Max)
  Next Level:    0d  0h  7m
  Max Level:     91d 19h 41m")</f>
        <v>Coins / Wave
  Lab Level:      6 / 99 (Max)
  Next Level:    0d  0h  7m
  Max Level:     91d 19h 41m</v>
      </c>
      <c r="AZ9" s="1249" t="str">
        <f>IFERROR(__xludf.DUMMYFUNCTION("""COMPUTED_VALUE"""),"Coins from enemies quickly become the only coins that matter")</f>
        <v>Coins from enemies quickly become the only coins that matter</v>
      </c>
      <c r="BA9" s="1249" t="str">
        <f>IFERROR(__xludf.DUMMYFUNCTION("""COMPUTED_VALUE"""),"Helps reach the 98% hard cap on defense. Without relics and after fulfilling other requirements only needs 23 levels (5 levels less can be done per def% from relics, alternatively can be used to reach 98% with lower rarity substats)")</f>
        <v>Helps reach the 98% hard cap on defense. Without relics and after fulfilling other requirements only needs 23 levels (5 levels less can be done per def% from relics, alternatively can be used to reach 98% with lower rarity substats)</v>
      </c>
      <c r="BB9" s="1249"/>
      <c r="BC9" s="1249"/>
      <c r="BD9" s="1250" t="str">
        <f>IFERROR(__xludf.DUMMYFUNCTION("if(BC9 &lt;&gt; """", 
  LET( 
    TargetLevel, VLOOKUP(BC9,MS_Labs_Array,3,false),
    MaxLevel, VLOOKUP(BC9,MS_Labs_Array,4,false),
    MaxOrTarget, IF(OR(TargetLevel = """",$AD$1 &lt;&gt; ""Target""), MaxLevel, TargetLevel),
    LabLevel, VLOOKUP(BC9,MS_Labs_Array"&amp;",2,False),
    Levelprogress, LabLevel / MaxOrTarget,
    DVTColumn, MATCH(BC9,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BE9" s="1251" t="str">
        <f>IFERROR(__xludf.DUMMYFUNCTION("if(BC9 &lt;&gt; """", 
  LET(
    TargetLevel, VLOOKUP(BC9,MS_Labs_Array,3,false),
    LabSpeed, (1 * REGEXEXTRACT($BH$1, ""[\d.-]+"")) * {IF(BC9 =""Labs Speed"", 1+'Master Sheet'!$BK$5, LAB_SPEED_TOTAL())},
    MaxLevel, VLOOKUP(BC9,MS_Labs_Array,4,false),
   "&amp;" MaxOrTarget, IF(OR(TargetLevel = """",$AD$1 &lt;&gt; ""Target""), MaxLevel, TargetLevel),
    LabLevel, VLOOKUP(BC9,MS_Labs_Array,2,False),
    DVTColumn, MATCH(BC9, DVT_Laboratory!$A$1:BO$1, 0),
    xextTime, INDIRECT(""DVT_Laboratory!"" &amp; ADDRESS(LabLevel+3,"&amp;" DVTColumn)) / LabSpeed,
    remainingTime, SUM(INDIRECT(""DVT_Laboratory!"" &amp; ADDRESS(LabLevel+3, DVTColumn) &amp; "":"" &amp; ADDRESS(MaxOrTarget+2, DVTColumn))) / LabSpeed,
  BC9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BF9" s="1249"/>
      <c r="BG9" s="1249"/>
      <c r="BH9" s="1260" t="str">
        <f>IFERROR(__xludf.DUMMYFUNCTION("""COMPUTED_VALUE"""),"Target Priority")</f>
        <v>Target Priority</v>
      </c>
      <c r="BI9" s="1252" t="str">
        <f>IFERROR(__xludf.DUMMYFUNCTION("""COMPUTED_VALUE"""),"Reroll Daily Mission")</f>
        <v>Reroll Daily Mission</v>
      </c>
      <c r="BJ9" s="1253" t="str">
        <f>IFERROR(__xludf.DUMMYFUNCTION("if(BI9 &lt;&gt; """", 
  LET( 
    TargetLevel, VLOOKUP(BI9,MS_Labs_Array,3,false),
    MaxLevel, VLOOKUP(BI9,MS_Labs_Array,4,false),
    MaxOrTarget, IF(OR(TargetLevel = """",$AD$1 &lt;&gt; ""Target""), MaxLevel, TargetLevel),
    LabLevel, VLOOKUP(BI9,MS_Labs_Array"&amp;",2,False),
    Levelprogress, IF(LabLevel &gt;= MaxOrTarget, 1, LabLevel / MaxOrTarget),
    DVTColumn, MATCH(BI9, DVT_Laboratory!$A$1:BO$1, 0),
    investedTime, SUM(INDIRECT(""DVT_Laboratory!"" &amp; ADDRESS(3, DVTColumn) &amp; "":"" &amp; ADDRESS(LabLevel+2, DVTColum"&amp;"n))),
    totalTime, SUM(INDIRECT(""DVT_Laboratory!"" &amp; ADDRESS(3, DVTColumn) &amp; "":"" &amp; ADDRESS(MaxOrTarget+2, DVTColumn))),
    timeProgress, IF(LabLevel &gt;= MaxOrTarget, 1, investedTime / totalTime),
SPARKLINE(IF(OR($BB$1 &lt;&gt; ""Time"", LabLevel = 0),Level"&amp;"progress, timeProgress), {""charttype"",""bar"";""max"",1;""min"",0;""color1"", ""#00ff00""})), """")"),"")</f>
        <v/>
      </c>
      <c r="BK9" s="1254" t="str">
        <f>IFERROR(__xludf.DUMMYFUNCTION("if(BI9 &lt;&gt; """", 
  LET(
    TargetLevel, VLOOKUP(BI9,MS_Labs_Array,3,false),
    LabSpeed, (1 * REGEXEXTRACT($BH$1, ""[\d.-]+"")) * {IF(BI9 =""Labs Speed"", 1+'Master Sheet'!$BK$5, LAB_SPEED_TOTAL())},
    MaxLevel, VLOOKUP(BI9,MS_Labs_Array,4,false),
   "&amp;" MaxOrTarget, IF(OR(TargetLevel = """",$AD$1 &lt;&gt; ""Target""), MaxLevel, TargetLevel),
    LabLevel, VLOOKUP(BI9,MS_Labs_Array,2,False),
    DVTColumn, MATCH(BI9, DVT_Laboratory!$A$1:BO$1, 0),
    xextTime, INDIRECT(""DVT_Laboratory!"" &amp; ADDRESS(LabLevel+3,"&amp;" DVTColumn)) / LabSpeed,
    remainingTime, SUM(INDIRECT(""DVT_Laboratory!"" &amp; ADDRESS(LabLevel+3, DVTColumn) &amp; "":"" &amp; ADDRESS(MaxOrTarget+2, DVTColumn))) / LabSpeed,
  BI9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"""")"),"Reroll Daily Mission
  Lab Level:      1 / 1 (Max)
  Next Level:    
  Max Level:     0d  2h 32m")</f>
        <v>Reroll Daily Mission
  Lab Level:      1 / 1 (Max)
  Next Level:    
  Max Level:     0d  2h 32m</v>
      </c>
      <c r="BL9" s="1252" t="str">
        <f>IFERROR(__xludf.DUMMYFUNCTION("""COMPUTED_VALUE"""),"Costs 5 gems to use")</f>
        <v>Costs 5 gems to use</v>
      </c>
      <c r="BM9" s="1252" t="str">
        <f>IFERROR(__xludf.DUMMYFUNCTION("""COMPUTED_VALUE"""),"Required for every devo strategy. Useful for blender and tournaments")</f>
        <v>Required for every devo strategy. Useful for blender and tournaments</v>
      </c>
      <c r="BN9" s="1222"/>
      <c r="BO9" s="1261"/>
    </row>
    <row r="10" ht="7.5" customHeight="1">
      <c r="A10" s="1222"/>
      <c r="B10" s="1262" t="s">
        <v>553</v>
      </c>
      <c r="C10" s="1266" t="s">
        <v>249</v>
      </c>
      <c r="D10" s="1242" t="str">
        <f>VLOOKUP(C10,'Remote Tier List'!A:D, 2, FALSE)</f>
        <v>QOL</v>
      </c>
      <c r="E10" s="1243" t="str">
        <f>VLOOKUP(C10,'Remote Tier List'!A:D, 3, FALSE)</f>
        <v/>
      </c>
      <c r="F10" s="1258" t="str">
        <f>VLOOKUP(C10,'Remote Tier List'!A:D, 4, FALSE)</f>
        <v>More necessary the more you respec to avoid carpal tunnel, also nice for buying large amounts of things in runs</v>
      </c>
      <c r="G10" s="1245" t="b">
        <f t="shared" si="10"/>
        <v>1</v>
      </c>
      <c r="H10" s="1246" t="str">
        <f t="array" ref="H10:I10">LET(
  Lab, $C10,
  Mode, $AD$1,
  Level, VLOOKUP(Lab, MS_Labs_Array, 2, FALSE),
  Target, VLOOKUP(Lab, MS_Labs_Array, 3, FALSE),
  Max, VLOOKUP(Lab, MS_Labs_Array, 4, FALSE),
  Result,
    IF(
      AND(
        Mode &lt;&gt; "Never",
        Level &gt;= IF(OR(Target = "", Mode = "Max"), Max, Target)
      ),
      "Completed",
      ""
    ),
  HSTACK(
    IF(Result &lt;&gt; "", Result, $D10),
    IF(Result &lt;&gt; "", Result, IF($E10 = "", $D10, $E10))
  )
)</f>
        <v>Completed</v>
      </c>
      <c r="I10" s="1247" t="s">
        <v>551</v>
      </c>
      <c r="J10" s="1248" t="str">
        <f t="shared" si="11"/>
        <v>More necessary the more you respec to avoid carpal tunnel, also nice for buying large amounts of things in runs</v>
      </c>
      <c r="K10" s="1229"/>
      <c r="L10" s="1249" t="str">
        <f>IFERROR(__xludf.DUMMYFUNCTION("""COMPUTED_VALUE"""),"")</f>
        <v/>
      </c>
      <c r="M10" s="1249"/>
      <c r="N10" s="1250" t="str">
        <f>IFERROR(__xludf.DUMMYFUNCTION("if(M10 &lt;&gt; """", 
  LET( 
    TargetLevel, VLOOKUP(M10,MS_Labs_Array,3,false),
    MaxLevel, VLOOKUP(M10,MS_Labs_Array,4,false),
    MaxOrTarget, IF(OR(TargetLevel = """",$AD$1 &lt;&gt; ""Target""), MaxLevel, TargetLevel),
    LabLevel, VLOOKUP(M10,MS_Labs_Array"&amp;",2,False),
    Levelprogress, LabLevel / MaxOrTarget,
    DVTColumn, MATCH(M10,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0" s="1251" t="str">
        <f>IFERROR(__xludf.DUMMYFUNCTION("if(M10 &lt;&gt; """", 
  LET(
    TargetLevel, VLOOKUP(M10,MS_Labs_Array,3,false),
    LabSpeed, (1 * REGEXEXTRACT($BH$1, ""[\d.-]+"")) * {IF(M10 =""Labs Speed"", 1+'Master Sheet'!$BK$5, LAB_SPEED_TOTAL())},
    MaxLevel, VLOOKUP(M10,MS_Labs_Array,4,false),
   "&amp;" MaxOrTarget, IF(OR(TargetLevel = """",$AD$1 &lt;&gt; ""Target""), MaxLevel, TargetLevel),
    LabLevel, VLOOKUP(M10,MS_Labs_Array,2,False),
    DVTColumn, MATCH(M10, DVT_Laboratory!$A$1:BO$1, 0),
    xextTime, INDIRECT(""DVT_Laboratory!"" &amp; ADDRESS(LabLevel+3,"&amp;" DVTColumn)) / LabSpeed,
    remainingTime, SUM(INDIRECT(""DVT_Laboratory!"" &amp; ADDRESS(LabLevel+3, DVTColumn) &amp; "":"" &amp; ADDRESS(MaxOrTarget+2, DVTColumn))) / LabSpeed,
  M10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0" s="1249"/>
      <c r="Q10" s="1249" t="str">
        <f>IFERROR(__xludf.DUMMYFUNCTION("""COMPUTED_VALUE"""),"")</f>
        <v/>
      </c>
      <c r="R10" s="1249" t="str">
        <f>IFERROR(__xludf.DUMMYFUNCTION("""COMPUTED_VALUE"""),"")</f>
        <v/>
      </c>
      <c r="S10" s="1249"/>
      <c r="T10" s="1250" t="str">
        <f>IFERROR(__xludf.DUMMYFUNCTION("if(S10 &lt;&gt; """", 
  LET( 
    TargetLevel, VLOOKUP(S10,MS_Labs_Array,3,false),
    MaxLevel, VLOOKUP(S10,MS_Labs_Array,4,false),
    MaxOrTarget, IF(OR(TargetLevel = """",$AD$1 &lt;&gt; ""Target""), MaxLevel, TargetLevel),
    LabLevel, VLOOKUP(S10,MS_Labs_Array"&amp;",2,False),
    Levelprogress, LabLevel / MaxOrTarget,
    DVTColumn, MATCH(S10,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0" s="1251" t="str">
        <f>IFERROR(__xludf.DUMMYFUNCTION("if(S10 &lt;&gt; """", 
  LET(
    TargetLevel, VLOOKUP(S10,MS_Labs_Array,3,false),
    LabSpeed, (1 * REGEXEXTRACT($BH$1, ""[\d.-]+"")) * {IF(S10 =""Labs Speed"", 1+'Master Sheet'!$BK$5, LAB_SPEED_TOTAL())},
    MaxLevel, VLOOKUP(S10,MS_Labs_Array,4,false),
   "&amp;" MaxOrTarget, IF(OR(TargetLevel = """",$AD$1 &lt;&gt; ""Target""), MaxLevel, TargetLevel),
    LabLevel, VLOOKUP(S10,MS_Labs_Array,2,False),
    DVTColumn, MATCH(S10, DVT_Laboratory!$A$1:BO$1, 0),
    xextTime, INDIRECT(""DVT_Laboratory!"" &amp; ADDRESS(LabLevel+3,"&amp;" DVTColumn)) / LabSpeed,
    remainingTime, SUM(INDIRECT(""DVT_Laboratory!"" &amp; ADDRESS(LabLevel+3, DVTColumn) &amp; "":"" &amp; ADDRESS(MaxOrTarget+2, DVTColumn))) / LabSpeed,
  S10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0" s="1249"/>
      <c r="W10" s="1249" t="str">
        <f>IFERROR(__xludf.DUMMYFUNCTION("""COMPUTED_VALUE"""),"Inner Mine Stun
  Lab Level:      0 / 1 (Max)
  Next Level:    0d 21h 10m
  Max Level:     0d 21h 10m")</f>
        <v>Inner Mine Stun
  Lab Level:      0 / 1 (Max)
  Next Level:    0d 21h 10m
  Max Level:     0d 21h 10m</v>
      </c>
      <c r="X10" s="1249" t="str">
        <f>IFERROR(__xludf.DUMMYFUNCTION("""COMPUTED_VALUE"""),"")</f>
        <v/>
      </c>
      <c r="Y10" s="1249" t="str">
        <f>IFERROR(__xludf.DUMMYFUNCTION("""COMPUTED_VALUE"""),"Wall Rebuild")</f>
        <v>Wall Rebuild</v>
      </c>
      <c r="Z10" s="1250" t="str">
        <f>IFERROR(__xludf.DUMMYFUNCTION("if(Y10 &lt;&gt; """", 
  LET( 
    TargetLevel, VLOOKUP(Y10,MS_Labs_Array,3,false),
    MaxLevel, VLOOKUP(Y10,MS_Labs_Array,4,false),
    MaxOrTarget, IF(OR(TargetLevel = """",$AD$1 &lt;&gt; ""Target""), MaxLevel, TargetLevel),
    LabLevel, VLOOKUP(Y10,MS_Labs_Array"&amp;",2,False),
    Levelprogress, LabLevel / MaxOrTarget,
    DVTColumn, MATCH(Y10,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0" s="1251" t="str">
        <f>IFERROR(__xludf.DUMMYFUNCTION("if(Y10 &lt;&gt; """", 
  LET(
    TargetLevel, VLOOKUP(Y10,MS_Labs_Array,3,false),
    LabSpeed, (1 * REGEXEXTRACT($BH$1, ""[\d.-]+"")) * {IF(Y10 =""Labs Speed"", 1+'Master Sheet'!$BK$5, LAB_SPEED_TOTAL())},
    MaxLevel, VLOOKUP(Y10,MS_Labs_Array,4,false),
   "&amp;" MaxOrTarget, IF(OR(TargetLevel = """",$AD$1 &lt;&gt; ""Target""), MaxLevel, TargetLevel),
    LabLevel, VLOOKUP(Y10,MS_Labs_Array,2,False),
    DVTColumn, MATCH(Y10, DVT_Laboratory!$A$1:BO$1, 0),
    xextTime, INDIRECT(""DVT_Laboratory!"" &amp; ADDRESS(LabLevel+3,"&amp;" DVTColumn)) / LabSpeed,
    remainingTime, SUM(INDIRECT(""DVT_Laboratory!"" &amp; ADDRESS(LabLevel+3, DVTColumn) &amp; "":"" &amp; ADDRESS(MaxOrTarget+2, DVTColumn))) / LabSpeed,
  Y10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"""")"),"Wall Rebuild
  Lab Level:      9 / 20 (Max)
  Next Level:    0d 10h 36m
  Max Level:     14d  7h 51m")</f>
        <v>Wall Rebuild
  Lab Level:      9 / 20 (Max)
  Next Level:    0d 10h 36m
  Max Level:     14d  7h 51m</v>
      </c>
      <c r="AB10" s="1249" t="str">
        <f>IFERROR(__xludf.DUMMYFUNCTION("""COMPUTED_VALUE"""),"Mostly useless unless you're using a Glass Cannon build")</f>
        <v>Mostly useless unless you're using a Glass Cannon build</v>
      </c>
      <c r="AC10" s="1249" t="str">
        <f>IFERROR(__xludf.DUMMYFUNCTION("""COMPUTED_VALUE"""),"Attack Speed
  Lab Level:      75 / 99 (Max)
  Next Level:    1d 15h 29m
  Max Level:     56d  2h 22m")</f>
        <v>Attack Speed
  Lab Level:      75 / 99 (Max)
  Next Level:    1d 15h 29m
  Max Level:     56d  2h 22m</v>
      </c>
      <c r="AD10" s="1249" t="str">
        <f>IFERROR(__xludf.DUMMYFUNCTION("""COMPUTED_VALUE"""),"")</f>
        <v/>
      </c>
      <c r="AE10" s="1249" t="str">
        <f>IFERROR(__xludf.DUMMYFUNCTION("""COMPUTED_VALUE"""),"Golden Tower Bonus")</f>
        <v>Golden Tower Bonus</v>
      </c>
      <c r="AF10" s="1250" t="str">
        <f>IFERROR(__xludf.DUMMYFUNCTION("if(AE10 &lt;&gt; """", 
  LET( 
    TargetLevel, VLOOKUP(AE10,MS_Labs_Array,3,false),
    MaxLevel, VLOOKUP(AE10,MS_Labs_Array,4,false),
    MaxOrTarget, IF(OR(TargetLevel = """",$AD$1 &lt;&gt; ""Target""), MaxLevel, TargetLevel),
    LabLevel, VLOOKUP(AE10,MS_Labs_A"&amp;"rray,2,False),
    Levelprogress, LabLevel / MaxOrTarget,
    DVTColumn, MATCH(AE10,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0" s="1251" t="str">
        <f>IFERROR(__xludf.DUMMYFUNCTION("if(AE10 &lt;&gt; """", 
  LET(
    TargetLevel, VLOOKUP(AE10,MS_Labs_Array,3,false),
    LabSpeed, (1 * REGEXEXTRACT($BH$1, ""[\d.-]+"")) * {IF(AE10 =""Labs Speed"", 1+'Master Sheet'!$BK$5, LAB_SPEED_TOTAL())},
    MaxLevel, VLOOKUP(AE10,MS_Labs_Array,4,false),"&amp;"
    MaxOrTarget, IF(OR(TargetLevel = """",$AD$1 &lt;&gt; ""Target""), MaxLevel, TargetLevel),
    LabLevel, VLOOKUP(AE10,MS_Labs_Array,2,False),
    DVTColumn, MATCH(AE10, DVT_Laboratory!$A$1:BO$1, 0),
    xextTime, INDIRECT(""DVT_Laboratory!"" &amp; ADDRESS(LabLe"&amp;"vel+3, DVTColumn)) / LabSpeed,
    remainingTime, SUM(INDIRECT(""DVT_Laboratory!"" &amp; ADDRESS(LabLevel+3, DVTColumn) &amp; "":"" &amp; ADDRESS(MaxOrTarget+2, DVTColumn))) / LabSpeed,
  AE10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"""")"),"Golden Tower Bonus
  Lab Level:      22 / 25 (Max)
  Next Level:    3d  3h 54m
  Max Level:     10d 21h 40m")</f>
        <v>Golden Tower Bonus
  Lab Level:      22 / 25 (Max)
  Next Level:    3d  3h 54m
  Max Level:     10d 21h 40m</v>
      </c>
      <c r="AH10" s="1249" t="str">
        <f>IFERROR(__xludf.DUMMYFUNCTION("""COMPUTED_VALUE"""),"One of the last econ labs to do")</f>
        <v>One of the last econ labs to do</v>
      </c>
      <c r="AI10" s="1249" t="str">
        <f>IFERROR(__xludf.DUMMYFUNCTION("""COMPUTED_VALUE"""),"Health
  Lab Level:      68 / 100 (Max)
  Next Level:    1d  7h 15m
  Max Level:     69d  9h 51m")</f>
        <v>Health
  Lab Level:      68 / 100 (Max)
  Next Level:    1d  7h 15m
  Max Level:     69d  9h 51m</v>
      </c>
      <c r="AJ10" s="1249" t="str">
        <f>IFERROR(__xludf.DUMMYFUNCTION("""COMPUTED_VALUE"""),"")</f>
        <v/>
      </c>
      <c r="AK10" s="1249" t="str">
        <f>IFERROR(__xludf.DUMMYFUNCTION("""COMPUTED_VALUE"""),"Chrono Field Reduction %")</f>
        <v>Chrono Field Reduction %</v>
      </c>
      <c r="AL10" s="1250" t="str">
        <f>IFERROR(__xludf.DUMMYFUNCTION("if(AK10 &lt;&gt; """", 
  LET( 
    TargetLevel, VLOOKUP(AK10,MS_Labs_Array,3,false),
    MaxLevel, VLOOKUP(AK10,MS_Labs_Array,4,false),
    MaxOrTarget, IF(OR(TargetLevel = """",$AD$1 &lt;&gt; ""Target""), MaxLevel, TargetLevel),
    LabLevel, VLOOKUP(AK10,MS_Labs_A"&amp;"rray,2,False),
    Levelprogress, LabLevel / MaxOrTarget,
    DVTColumn, MATCH(AK10,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0" s="1251" t="str">
        <f>IFERROR(__xludf.DUMMYFUNCTION("if(AK10 &lt;&gt; """", 
  LET(
    TargetLevel, VLOOKUP(AK10,MS_Labs_Array,3,false),
    LabSpeed, (1 * REGEXEXTRACT($BH$1, ""[\d.-]+"")) * {IF(AK10 =""Labs Speed"", 1+'Master Sheet'!$BK$5, LAB_SPEED_TOTAL())},
    MaxLevel, VLOOKUP(AK10,MS_Labs_Array,4,false),"&amp;"
    MaxOrTarget, IF(OR(TargetLevel = """",$AD$1 &lt;&gt; ""Target""), MaxLevel, TargetLevel),
    LabLevel, VLOOKUP(AK10,MS_Labs_Array,2,False),
    DVTColumn, MATCH(AK10, DVT_Laboratory!$A$1:BO$1, 0),
    xextTime, INDIRECT(""DVT_Laboratory!"" &amp; ADDRESS(LabLe"&amp;"vel+3, DVTColumn)) / LabSpeed,
    remainingTime, SUM(INDIRECT(""DVT_Laboratory!"" &amp; ADDRESS(LabLevel+3, DVTColumn) &amp; "":"" &amp; ADDRESS(MaxOrTarget+2, DVTColumn))) / LabSpeed,
  AK10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"""")"),"Chrono Field Reduction %
  Lab Level:      20 / 30 (Max)
  Next Level:    2d  1h 42m
  Max Level:     42d 10h 15m")</f>
        <v>Chrono Field Reduction %
  Lab Level:      20 / 30 (Max)
  Next Level:    2d  1h 42m
  Max Level:     42d 10h 15m</v>
      </c>
      <c r="AN10" s="1249" t="str">
        <f>IFERROR(__xludf.DUMMYFUNCTION("""COMPUTED_VALUE"""),"Very long for any benefit past a certan point")</f>
        <v>Very long for any benefit past a certan point</v>
      </c>
      <c r="AO10" s="1249" t="str">
        <f>IFERROR(__xludf.DUMMYFUNCTION("""COMPUTED_VALUE"""),"Super Crit Multi
  Lab Level:      13 / 40 (Max)
  Next Level:    2d  0h 31m
  Max Level:     1014d  7h 59m")</f>
        <v>Super Crit Multi
  Lab Level:      13 / 40 (Max)
  Next Level:    2d  0h 31m
  Max Level:     1014d  7h 59m</v>
      </c>
      <c r="AP10" s="1267" t="str">
        <f>IFERROR(__xludf.DUMMYFUNCTION("""COMPUTED_VALUE"""),"")</f>
        <v/>
      </c>
      <c r="AQ10" s="1249" t="str">
        <f>IFERROR(__xludf.DUMMYFUNCTION("""COMPUTED_VALUE"""),"Wall Invincibility")</f>
        <v>Wall Invincibility</v>
      </c>
      <c r="AR10" s="1250" t="str">
        <f>IFERROR(__xludf.DUMMYFUNCTION("if(AQ10 &lt;&gt; """", 
  LET( 
    TargetLevel, VLOOKUP(AQ10,MS_Labs_Array,3,false),
    MaxLevel, VLOOKUP(AQ10,MS_Labs_Array,4,false),
    MaxOrTarget, IF(OR(TargetLevel = """",$AD$1 &lt;&gt; ""Target""), MaxLevel, TargetLevel),
    LabLevel, VLOOKUP(AQ10,MS_Labs_A"&amp;"rray,2,False),
    Levelprogress, LabLevel / MaxOrTarget,
    DVTColumn, MATCH(AQ10,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0" s="1251" t="str">
        <f>IFERROR(__xludf.DUMMYFUNCTION("if(AQ10 &lt;&gt; """", 
  LET(
    TargetLevel, VLOOKUP(AQ10,MS_Labs_Array,3,false),
    LabSpeed, (1 * REGEXEXTRACT($BH$1, ""[\d.-]+"")) * {IF(AQ10 =""Labs Speed"", 1+'Master Sheet'!$BK$5, LAB_SPEED_TOTAL())},
    MaxLevel, VLOOKUP(AQ10,MS_Labs_Array,4,false),"&amp;"
    MaxOrTarget, IF(OR(TargetLevel = """",$AD$1 &lt;&gt; ""Target""), MaxLevel, TargetLevel),
    LabLevel, VLOOKUP(AQ10,MS_Labs_Array,2,False),
    DVTColumn, MATCH(AQ10, DVT_Laboratory!$A$1:BO$1, 0),
    xextTime, INDIRECT(""DVT_Laboratory!"" &amp; ADDRESS(LabLe"&amp;"vel+3, DVTColumn)) / LabSpeed,
    remainingTime, SUM(INDIRECT(""DVT_Laboratory!"" &amp; ADDRESS(LabLevel+3, DVTColumn) &amp; "":"" &amp; ADDRESS(MaxOrTarget+2, DVTColumn))) / LabSpeed,
  AQ10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"""")"),"Wall Invincibility
  Lab Level:      0 / 10 (Max)
  Next Level:    0d  5h 17m
  Max Level:     5d  7h 44m")</f>
        <v>Wall Invincibility
  Lab Level:      0 / 10 (Max)
  Next Level:    0d  5h 17m
  Max Level:     5d  7h 44m</v>
      </c>
      <c r="AT10" s="1249" t="str">
        <f>IFERROR(__xludf.DUMMYFUNCTION("""COMPUTED_VALUE"""),"Same as Wall Rebuild")</f>
        <v>Same as Wall Rebuild</v>
      </c>
      <c r="AU10" s="1249" t="str">
        <f>IFERROR(__xludf.DUMMYFUNCTION("""COMPUTED_VALUE"""),"Labs Coin Discount
  Lab Level:      68 / 99 (Max)
  Next Level:    2d 10h 47m
  Max Level:     128d 18h  7m")</f>
        <v>Labs Coin Discount
  Lab Level:      68 / 99 (Max)
  Next Level:    2d 10h 47m
  Max Level:     128d 18h  7m</v>
      </c>
      <c r="AV10" s="1249" t="str">
        <f>IFERROR(__xludf.DUMMYFUNCTION("""COMPUTED_VALUE"""),"")</f>
        <v/>
      </c>
      <c r="AW10" s="1249" t="str">
        <f>IFERROR(__xludf.DUMMYFUNCTION("""COMPUTED_VALUE"""),"Interest")</f>
        <v>Interest</v>
      </c>
      <c r="AX10" s="1250" t="str">
        <f>IFERROR(__xludf.DUMMYFUNCTION("if(AW10 &lt;&gt; """", 
  LET( 
    TargetLevel, VLOOKUP(AW10,MS_Labs_Array,3,false),
    MaxLevel, VLOOKUP(AW10,MS_Labs_Array,4,false),
    MaxOrTarget, IF(OR(TargetLevel = """",$AD$1 &lt;&gt; ""Target""), MaxLevel, TargetLevel),
    LabLevel, VLOOKUP(AW10,MS_Labs_A"&amp;"rray,2,False),
    Levelprogress, LabLevel / MaxOrTarget,
    DVTColumn, MATCH(AW10,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0" s="1251" t="str">
        <f>IFERROR(__xludf.DUMMYFUNCTION("if(AW10 &lt;&gt; """", 
  LET(
    TargetLevel, VLOOKUP(AW10,MS_Labs_Array,3,false),
    LabSpeed, (1 * REGEXEXTRACT($BH$1, ""[\d.-]+"")) * {IF(AW10 =""Labs Speed"", 1+'Master Sheet'!$BK$5, LAB_SPEED_TOTAL())},
    MaxLevel, VLOOKUP(AW10,MS_Labs_Array,4,false),"&amp;"
    MaxOrTarget, IF(OR(TargetLevel = """",$AD$1 &lt;&gt; ""Target""), MaxLevel, TargetLevel),
    LabLevel, VLOOKUP(AW10,MS_Labs_Array,2,False),
    DVTColumn, MATCH(AW10, DVT_Laboratory!$A$1:BO$1, 0),
    xextTime, INDIRECT(""DVT_Laboratory!"" &amp; ADDRESS(LabLe"&amp;"vel+3, DVTColumn)) / LabSpeed,
    remainingTime, SUM(INDIRECT(""DVT_Laboratory!"" &amp; ADDRESS(LabLevel+3, DVTColumn) &amp; "":"" &amp; ADDRESS(MaxOrTarget+2, DVTColumn))) / LabSpeed,
  AW10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"""")"),"Interest
  Lab Level:      11 / 99 (Max)
  Next Level:    0d  0h 43m
  Max Level:     216d  8h 32m")</f>
        <v>Interest
  Lab Level:      11 / 99 (Max)
  Next Level:    0d  0h 43m
  Max Level:     216d  8h 32m</v>
      </c>
      <c r="AZ10" s="1249" t="str">
        <f>IFERROR(__xludf.DUMMYFUNCTION("""COMPUTED_VALUE"""),"Only helps to reach the max which is very easy regardless")</f>
        <v>Only helps to reach the max which is very easy regardless</v>
      </c>
      <c r="BA10" s="1249" t="str">
        <f>IFERROR(__xludf.DUMMYFUNCTION("""COMPUTED_VALUE"""),"Defense %
  Lab Level:      28 / 28 (Target)
  Next Level:    3d  3h 15m
  Target Level: 5d 22h  7m")</f>
        <v>Defense %
  Lab Level:      28 / 28 (Target)
  Next Level:    3d  3h 15m
  Target Level: 5d 22h  7m</v>
      </c>
      <c r="BB10" s="1249" t="str">
        <f>IFERROR(__xludf.DUMMYFUNCTION("""COMPUTED_VALUE"""),"")</f>
        <v/>
      </c>
      <c r="BC10" s="1249"/>
      <c r="BD10" s="1250" t="str">
        <f>IFERROR(__xludf.DUMMYFUNCTION("if(BC10 &lt;&gt; """", 
  LET( 
    TargetLevel, VLOOKUP(BC10,MS_Labs_Array,3,false),
    MaxLevel, VLOOKUP(BC10,MS_Labs_Array,4,false),
    MaxOrTarget, IF(OR(TargetLevel = """",$AD$1 &lt;&gt; ""Target""), MaxLevel, TargetLevel),
    LabLevel, VLOOKUP(BC10,MS_Labs_A"&amp;"rray,2,False),
    Levelprogress, LabLevel / MaxOrTarget,
    DVTColumn, MATCH(BC10,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0" s="1251" t="str">
        <f>IFERROR(__xludf.DUMMYFUNCTION("if(BC10 &lt;&gt; """", 
  LET(
    TargetLevel, VLOOKUP(BC10,MS_Labs_Array,3,false),
    LabSpeed, (1 * REGEXEXTRACT($BH$1, ""[\d.-]+"")) * {IF(BC10 =""Labs Speed"", 1+'Master Sheet'!$BK$5, LAB_SPEED_TOTAL())},
    MaxLevel, VLOOKUP(BC10,MS_Labs_Array,4,false),"&amp;"
    MaxOrTarget, IF(OR(TargetLevel = """",$AD$1 &lt;&gt; ""Target""), MaxLevel, TargetLevel),
    LabLevel, VLOOKUP(BC10,MS_Labs_Array,2,False),
    DVTColumn, MATCH(BC10, DVT_Laboratory!$A$1:BO$1, 0),
    xextTime, INDIRECT(""DVT_Laboratory!"" &amp; ADDRESS(LabLe"&amp;"vel+3, DVTColumn)) / LabSpeed,
    remainingTime, SUM(INDIRECT(""DVT_Laboratory!"" &amp; ADDRESS(LabLevel+3, DVTColumn) &amp; "":"" &amp; ADDRESS(MaxOrTarget+2, DVTColumn))) / LabSpeed,
  BC10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0" s="1249"/>
      <c r="BG10" s="1249" t="str">
        <f>IFERROR(__xludf.DUMMYFUNCTION("""COMPUTED_VALUE"""),"")</f>
        <v/>
      </c>
      <c r="BH10" s="1260" t="str">
        <f>IFERROR(__xludf.DUMMYFUNCTION("""COMPUTED_VALUE"""),"")</f>
        <v/>
      </c>
      <c r="BI10" s="1252" t="str">
        <f>IFERROR(__xludf.DUMMYFUNCTION("""COMPUTED_VALUE"""),"Workshop Enhancements")</f>
        <v>Workshop Enhancements</v>
      </c>
      <c r="BJ10" s="1253" t="str">
        <f>IFERROR(__xludf.DUMMYFUNCTION("if(BI10 &lt;&gt; """", 
  LET( 
    TargetLevel, VLOOKUP(BI10,MS_Labs_Array,3,false),
    MaxLevel, VLOOKUP(BI10,MS_Labs_Array,4,false),
    MaxOrTarget, IF(OR(TargetLevel = """",$AD$1 &lt;&gt; ""Target""), MaxLevel, TargetLevel),
    LabLevel, VLOOKUP(BI10,MS_Labs_A"&amp;"rray,2,False),
    Levelprogress, IF(LabLevel &gt;= MaxOrTarget, 1, LabLevel / MaxOrTarget),
    DVTColumn, MATCH(BI10,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0" s="1254" t="str">
        <f>IFERROR(__xludf.DUMMYFUNCTION("if(BI10 &lt;&gt; """", 
  LET(
    TargetLevel, VLOOKUP(BI10,MS_Labs_Array,3,false),
    LabSpeed, (1 * REGEXEXTRACT($BH$1, ""[\d.-]+"")) * {IF(BI10 =""Labs Speed"", 1+'Master Sheet'!$BK$5, LAB_SPEED_TOTAL())},
    MaxLevel, VLOOKUP(BI10,MS_Labs_Array,4,false),"&amp;"
    MaxOrTarget, IF(OR(TargetLevel = """",$AD$1 &lt;&gt; ""Target""), MaxLevel, TargetLevel),
    LabLevel, VLOOKUP(BI10,MS_Labs_Array,2,False),
    DVTColumn, MATCH(BI10, DVT_Laboratory!$A$1:BO$1, 0),
    xextTime, INDIRECT(""DVT_Laboratory!"" &amp; ADDRESS(LabLe"&amp;"vel+3, DVTColumn)) / LabSpeed,
    remainingTime, SUM(INDIRECT(""DVT_Laboratory!"" &amp; ADDRESS(LabLevel+3, DVTColumn) &amp; "":"" &amp; ADDRESS(MaxOrTarget+2, DVTColumn))) / LabSpeed,
  BI10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"""")"),"Workshop Enhancements
  Lab Level:      1 / 1 (Max)
  Next Level:    
  Max Level:     0d 10h 10m")</f>
        <v>Workshop Enhancements
  Lab Level:      1 / 1 (Max)
  Next Level:    
  Max Level:     0d 10h 10m</v>
      </c>
      <c r="BL10" s="1252" t="str">
        <f>IFERROR(__xludf.DUMMYFUNCTION("""COMPUTED_VALUE"""),"becomes required to progress after 1T~ LTC")</f>
        <v>becomes required to progress after 1T~ LTC</v>
      </c>
      <c r="BM10" s="1252" t="str">
        <f>IFERROR(__xludf.DUMMYFUNCTION("""COMPUTED_VALUE"""),"Target Priority
  Lab Level:      2 / 2 (Max)
  Next Level:    
  Max Level:     0d 12h 12m")</f>
        <v>Target Priority
  Lab Level:      2 / 2 (Max)
  Next Level:    
  Max Level:     0d 12h 12m</v>
      </c>
      <c r="BN10" s="1222"/>
      <c r="BO10" s="1261"/>
    </row>
    <row r="11">
      <c r="A11" s="1222"/>
      <c r="B11" s="1262" t="s">
        <v>552</v>
      </c>
      <c r="C11" s="1241" t="s">
        <v>260</v>
      </c>
      <c r="D11" s="1242" t="str">
        <f>VLOOKUP(C11,'Remote Tier List'!A:D, 2, FALSE)</f>
        <v>QOL</v>
      </c>
      <c r="E11" s="1243" t="str">
        <f>VLOOKUP(C11,'Remote Tier List'!A:D, 3, FALSE)</f>
        <v/>
      </c>
      <c r="F11" s="1258" t="str">
        <f>VLOOKUP(C11,'Remote Tier List'!A:D, 4, FALSE)</f>
        <v>Useful data to track progress</v>
      </c>
      <c r="G11" s="1245" t="b">
        <f t="shared" si="10"/>
        <v>1</v>
      </c>
      <c r="H11" s="1246" t="str">
        <f t="array" ref="H11:I11">LET(
  Lab, $C11,
  Mode, $AD$1,
  Level, VLOOKUP(Lab, MS_Labs_Array, 2, FALSE),
  Target, VLOOKUP(Lab, MS_Labs_Array, 3, FALSE),
  Max, VLOOKUP(Lab, MS_Labs_Array, 4, FALSE),
  Result,
    IF(
      AND(
        Mode &lt;&gt; "Never",
        Level &gt;= IF(OR(Target = "", Mode = "Max"), Max, Target)
      ),
      "Completed",
      ""
    ),
  HSTACK(
    IF(Result &lt;&gt; "", Result, $D11),
    IF(Result &lt;&gt; "", Result, IF($E11 = "", $D11, $E11))
  )
)</f>
        <v>Completed</v>
      </c>
      <c r="I11" s="1247" t="s">
        <v>551</v>
      </c>
      <c r="J11" s="1248" t="str">
        <f t="shared" si="11"/>
        <v>Useful data to track progress</v>
      </c>
      <c r="K11" s="1229"/>
      <c r="L11" s="1249"/>
      <c r="M11" s="1249"/>
      <c r="N11" s="1250" t="str">
        <f>IFERROR(__xludf.DUMMYFUNCTION("if(M11 &lt;&gt; """", 
  LET( 
    TargetLevel, VLOOKUP(M11,MS_Labs_Array,3,false),
    MaxLevel, VLOOKUP(M11,MS_Labs_Array,4,false),
    MaxOrTarget, IF(OR(TargetLevel = """",$AD$1 &lt;&gt; ""Target""), MaxLevel, TargetLevel),
    LabLevel, VLOOKUP(M11,MS_Labs_Array"&amp;",2,False),
    Levelprogress, LabLevel / MaxOrTarget,
    DVTColumn, MATCH(M11,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1" s="1251" t="str">
        <f>IFERROR(__xludf.DUMMYFUNCTION("if(M11 &lt;&gt; """", 
  LET(
    TargetLevel, VLOOKUP(M11,MS_Labs_Array,3,false),
    LabSpeed, (1 * REGEXEXTRACT($BH$1, ""[\d.-]+"")) * {IF(M11 =""Labs Speed"", 1+'Master Sheet'!$BK$5, LAB_SPEED_TOTAL())},
    MaxLevel, VLOOKUP(M11,MS_Labs_Array,4,false),
   "&amp;" MaxOrTarget, IF(OR(TargetLevel = """",$AD$1 &lt;&gt; ""Target""), MaxLevel, TargetLevel),
    LabLevel, VLOOKUP(M11,MS_Labs_Array,2,False),
    DVTColumn, MATCH(M11, DVT_Laboratory!$A$1:BO$1, 0),
    xextTime, INDIRECT(""DVT_Laboratory!"" &amp; ADDRESS(LabLevel+3,"&amp;" DVTColumn)) / LabSpeed,
    remainingTime, SUM(INDIRECT(""DVT_Laboratory!"" &amp; ADDRESS(LabLevel+3, DVTColumn) &amp; "":"" &amp; ADDRESS(MaxOrTarget+2, DVTColumn))) / LabSpeed,
  M11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1" s="1249"/>
      <c r="Q11" s="1249"/>
      <c r="R11" s="1249" t="str">
        <f>IFERROR(__xludf.DUMMYFUNCTION("""COMPUTED_VALUE"""),"Assist Module Substats - Generator")</f>
        <v>Assist Module Substats - Generator</v>
      </c>
      <c r="S11" s="1249"/>
      <c r="T11" s="1250" t="str">
        <f>IFERROR(__xludf.DUMMYFUNCTION("if(S11 &lt;&gt; """", 
  LET( 
    TargetLevel, VLOOKUP(S11,MS_Labs_Array,3,false),
    MaxLevel, VLOOKUP(S11,MS_Labs_Array,4,false),
    MaxOrTarget, IF(OR(TargetLevel = """",$AD$1 &lt;&gt; ""Target""), MaxLevel, TargetLevel),
    LabLevel, VLOOKUP(S11,MS_Labs_Array"&amp;",2,False),
    Levelprogress, LabLevel / MaxOrTarget,
    DVTColumn, MATCH(S11,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1" s="1251" t="str">
        <f>IFERROR(__xludf.DUMMYFUNCTION("if(S11 &lt;&gt; """", 
  LET(
    TargetLevel, VLOOKUP(S11,MS_Labs_Array,3,false),
    LabSpeed, (1 * REGEXEXTRACT($BH$1, ""[\d.-]+"")) * {IF(S11 =""Labs Speed"", 1+'Master Sheet'!$BK$5, LAB_SPEED_TOTAL())},
    MaxLevel, VLOOKUP(S11,MS_Labs_Array,4,false),
   "&amp;" MaxOrTarget, IF(OR(TargetLevel = """",$AD$1 &lt;&gt; ""Target""), MaxLevel, TargetLevel),
    LabLevel, VLOOKUP(S11,MS_Labs_Array,2,False),
    DVTColumn, MATCH(S11, DVT_Laboratory!$A$1:BO$1, 0),
    xextTime, INDIRECT(""DVT_Laboratory!"" &amp; ADDRESS(LabLevel+3,"&amp;" DVTColumn)) / LabSpeed,
    remainingTime, SUM(INDIRECT(""DVT_Laboratory!"" &amp; ADDRESS(LabLevel+3, DVTColumn) &amp; "":"" &amp; ADDRESS(MaxOrTarget+2, DVTColumn))) / LabSpeed,
  S11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1" s="1249"/>
      <c r="W11" s="1249"/>
      <c r="X11" s="1249" t="str">
        <f>IFERROR(__xludf.DUMMYFUNCTION("""COMPUTED_VALUE"""),"Critical Factor")</f>
        <v>Critical Factor</v>
      </c>
      <c r="Y11" s="1249" t="str">
        <f>IFERROR(__xludf.DUMMYFUNCTION("""COMPUTED_VALUE"""),"Wall Regen")</f>
        <v>Wall Regen</v>
      </c>
      <c r="Z11" s="1250" t="str">
        <f>IFERROR(__xludf.DUMMYFUNCTION("if(Y11 &lt;&gt; """", 
  LET( 
    TargetLevel, VLOOKUP(Y11,MS_Labs_Array,3,false),
    MaxLevel, VLOOKUP(Y11,MS_Labs_Array,4,false),
    MaxOrTarget, IF(OR(TargetLevel = """",$AD$1 &lt;&gt; ""Target""), MaxLevel, TargetLevel),
    LabLevel, VLOOKUP(Y11,MS_Labs_Array"&amp;",2,False),
    Levelprogress, LabLevel / MaxOrTarget,
    DVTColumn, MATCH(Y11,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1" s="1251" t="str">
        <f>IFERROR(__xludf.DUMMYFUNCTION("if(Y11 &lt;&gt; """", 
  LET(
    TargetLevel, VLOOKUP(Y11,MS_Labs_Array,3,false),
    LabSpeed, (1 * REGEXEXTRACT($BH$1, ""[\d.-]+"")) * {IF(Y11 =""Labs Speed"", 1+'Master Sheet'!$BK$5, LAB_SPEED_TOTAL())},
    MaxLevel, VLOOKUP(Y11,MS_Labs_Array,4,false),
   "&amp;" MaxOrTarget, IF(OR(TargetLevel = """",$AD$1 &lt;&gt; ""Target""), MaxLevel, TargetLevel),
    LabLevel, VLOOKUP(Y11,MS_Labs_Array,2,False),
    DVTColumn, MATCH(Y11, DVT_Laboratory!$A$1:BO$1, 0),
    xextTime, INDIRECT(""DVT_Laboratory!"" &amp; ADDRESS(LabLevel+3,"&amp;" DVTColumn)) / LabSpeed,
    remainingTime, SUM(INDIRECT(""DVT_Laboratory!"" &amp; ADDRESS(LabLevel+3, DVTColumn) &amp; "":"" &amp; ADDRESS(MaxOrTarget+2, DVTColumn))) / LabSpeed,
  Y11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"""")"),"Wall Regen
  Lab Level:      21 / 30 (Max)
  Next Level:    5d 19h 20m
  Max Level:     97d 11h  1m")</f>
        <v>Wall Regen
  Lab Level:      21 / 30 (Max)
  Next Level:    5d 19h 20m
  Max Level:     97d 11h  1m</v>
      </c>
      <c r="AB11" s="1249" t="str">
        <f>IFERROR(__xludf.DUMMYFUNCTION("""COMPUTED_VALUE"""),"Best eHP tool in the game because Vamps don't turn it off; do at least 10 levels")</f>
        <v>Best eHP tool in the game because Vamps don't turn it off; do at least 10 levels</v>
      </c>
      <c r="AC11" s="1249" t="str">
        <f>IFERROR(__xludf.DUMMYFUNCTION("""COMPUTED_VALUE"""),"Same as Damage although more significant per level, even more so when using the Ultimate Crit card")</f>
        <v>Same as Damage although more significant per level, even more so when using the Ultimate Crit card</v>
      </c>
      <c r="AD11" s="1249" t="str">
        <f>IFERROR(__xludf.DUMMYFUNCTION("""COMPUTED_VALUE"""),"Shockwave Size")</f>
        <v>Shockwave Size</v>
      </c>
      <c r="AE11" s="1249" t="str">
        <f>IFERROR(__xludf.DUMMYFUNCTION("""COMPUTED_VALUE"""),"Inner Mine Blast Radius")</f>
        <v>Inner Mine Blast Radius</v>
      </c>
      <c r="AF11" s="1250" t="str">
        <f>IFERROR(__xludf.DUMMYFUNCTION("if(AE11 &lt;&gt; """", 
  LET( 
    TargetLevel, VLOOKUP(AE11,MS_Labs_Array,3,false),
    MaxLevel, VLOOKUP(AE11,MS_Labs_Array,4,false),
    MaxOrTarget, IF(OR(TargetLevel = """",$AD$1 &lt;&gt; ""Target""), MaxLevel, TargetLevel),
    LabLevel, VLOOKUP(AE11,MS_Labs_A"&amp;"rray,2,False),
    Levelprogress, LabLevel / MaxOrTarget,
    DVTColumn, MATCH(AE11,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1" s="1251" t="str">
        <f>IFERROR(__xludf.DUMMYFUNCTION("if(AE11 &lt;&gt; """", 
  LET(
    TargetLevel, VLOOKUP(AE11,MS_Labs_Array,3,false),
    LabSpeed, (1 * REGEXEXTRACT($BH$1, ""[\d.-]+"")) * {IF(AE11 =""Labs Speed"", 1+'Master Sheet'!$BK$5, LAB_SPEED_TOTAL())},
    MaxLevel, VLOOKUP(AE11,MS_Labs_Array,4,false),"&amp;"
    MaxOrTarget, IF(OR(TargetLevel = """",$AD$1 &lt;&gt; ""Target""), MaxLevel, TargetLevel),
    LabLevel, VLOOKUP(AE11,MS_Labs_Array,2,False),
    DVTColumn, MATCH(AE11, DVT_Laboratory!$A$1:BO$1, 0),
    xextTime, INDIRECT(""DVT_Laboratory!"" &amp; ADDRESS(LabLe"&amp;"vel+3, DVTColumn)) / LabSpeed,
    remainingTime, SUM(INDIRECT(""DVT_Laboratory!"" &amp; ADDRESS(LabLevel+3, DVTColumn) &amp; "":"" &amp; ADDRESS(MaxOrTarget+2, DVTColumn))) / LabSpeed,
  AE11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"""")"),"Inner Mine Blast Radius
  Lab Level:      0 / 20 (Max)
  Next Level:    0d  1h 16m
  Max Level:     12d 13h  3m")</f>
        <v>Inner Mine Blast Radius
  Lab Level:      0 / 20 (Max)
  Next Level:    0d  1h 16m
  Max Level:     12d 13h  3m</v>
      </c>
      <c r="AH11" s="1249" t="str">
        <f>IFERROR(__xludf.DUMMYFUNCTION("""COMPUTED_VALUE"""),"More radius enables more stuns")</f>
        <v>More radius enables more stuns</v>
      </c>
      <c r="AI11" s="1249" t="str">
        <f>IFERROR(__xludf.DUMMYFUNCTION("""COMPUTED_VALUE"""),"Damage builds that use ACP can use this lab to tune their shockwave size to only hit things at tower range line now that the lab has a slider")</f>
        <v>Damage builds that use ACP can use this lab to tune their shockwave size to only hit things at tower range line now that the lab has a slider</v>
      </c>
      <c r="AJ11" s="1249" t="str">
        <f>IFERROR(__xludf.DUMMYFUNCTION("""COMPUTED_VALUE"""),"Max Rend Armor Multiplier")</f>
        <v>Max Rend Armor Multiplier</v>
      </c>
      <c r="AK11" s="1249" t="str">
        <f>IFERROR(__xludf.DUMMYFUNCTION("""COMPUTED_VALUE"""),"Chain Thunder")</f>
        <v>Chain Thunder</v>
      </c>
      <c r="AL11" s="1250" t="str">
        <f>IFERROR(__xludf.DUMMYFUNCTION("if(AK11 &lt;&gt; """", 
  LET( 
    TargetLevel, VLOOKUP(AK11,MS_Labs_Array,3,false),
    MaxLevel, VLOOKUP(AK11,MS_Labs_Array,4,false),
    MaxOrTarget, IF(OR(TargetLevel = """",$AD$1 &lt;&gt; ""Target""), MaxLevel, TargetLevel),
    LabLevel, VLOOKUP(AK11,MS_Labs_A"&amp;"rray,2,False),
    Levelprogress, LabLevel / MaxOrTarget,
    DVTColumn, MATCH(AK11,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1" s="1251" t="str">
        <f>IFERROR(__xludf.DUMMYFUNCTION("if(AK11 &lt;&gt; """", 
  LET(
    TargetLevel, VLOOKUP(AK11,MS_Labs_Array,3,false),
    LabSpeed, (1 * REGEXEXTRACT($BH$1, ""[\d.-]+"")) * {IF(AK11 =""Labs Speed"", 1+'Master Sheet'!$BK$5, LAB_SPEED_TOTAL())},
    MaxLevel, VLOOKUP(AK11,MS_Labs_Array,4,false),"&amp;"
    MaxOrTarget, IF(OR(TargetLevel = """",$AD$1 &lt;&gt; ""Target""), MaxLevel, TargetLevel),
    LabLevel, VLOOKUP(AK11,MS_Labs_Array,2,False),
    DVTColumn, MATCH(AK11, DVT_Laboratory!$A$1:BO$1, 0),
    xextTime, INDIRECT(""DVT_Laboratory!"" &amp; ADDRESS(LabLe"&amp;"vel+3, DVTColumn)) / LabSpeed,
    remainingTime, SUM(INDIRECT(""DVT_Laboratory!"" &amp; ADDRESS(LabLevel+3, DVTColumn) &amp; "":"" &amp; ADDRESS(MaxOrTarget+2, DVTColumn))) / LabSpeed,
  AK11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"""")"),"Chain Thunder
  Lab Level:      12 / 30 (Max)
  Next Level:    2d  1h 31m
  Max Level:     115d  0h 36m")</f>
        <v>Chain Thunder
  Lab Level:      12 / 30 (Max)
  Next Level:    2d  1h 31m
  Max Level:     115d  0h 36m</v>
      </c>
      <c r="AN11" s="1249" t="str">
        <f>IFERROR(__xludf.DUMMYFUNCTION("""COMPUTED_VALUE"""),"Extremely good at what it does; however the effect of it is not that desirable by the time you unlock it. Basically requires CL+, costs 40q coins to max")</f>
        <v>Extremely good at what it does; however the effect of it is not that desirable by the time you unlock it. Basically requires CL+, costs 40q coins to max</v>
      </c>
      <c r="AO11" s="1249" t="str">
        <f>IFERROR(__xludf.DUMMYFUNCTION("""COMPUTED_VALUE"""),"Decent for extending bullet orbless, helps bullet damage together with AD or HB. Great to pair together with Swamp Rend to further increase its damage potential")</f>
        <v>Decent for extending bullet orbless, helps bullet damage together with AD or HB. Great to pair together with Swamp Rend to further increase its damage potential</v>
      </c>
      <c r="AP11" s="1259" t="str">
        <f>IFERROR(__xludf.DUMMYFUNCTION("""COMPUTED_VALUE"""),"Range")</f>
        <v>Range</v>
      </c>
      <c r="AQ11" s="1249" t="str">
        <f>IFERROR(__xludf.DUMMYFUNCTION("""COMPUTED_VALUE"""),"Missile Barrage")</f>
        <v>Missile Barrage</v>
      </c>
      <c r="AR11" s="1250" t="str">
        <f>IFERROR(__xludf.DUMMYFUNCTION("if(AQ11 &lt;&gt; """", 
  LET( 
    TargetLevel, VLOOKUP(AQ11,MS_Labs_Array,3,false),
    MaxLevel, VLOOKUP(AQ11,MS_Labs_Array,4,false),
    MaxOrTarget, IF(OR(TargetLevel = """",$AD$1 &lt;&gt; ""Target""), MaxLevel, TargetLevel),
    LabLevel, VLOOKUP(AQ11,MS_Labs_A"&amp;"rray,2,False),
    Levelprogress, LabLevel / MaxOrTarget,
    DVTColumn, MATCH(AQ11,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1" s="1251" t="str">
        <f>IFERROR(__xludf.DUMMYFUNCTION("if(AQ11 &lt;&gt; """", 
  LET(
    TargetLevel, VLOOKUP(AQ11,MS_Labs_Array,3,false),
    LabSpeed, (1 * REGEXEXTRACT($BH$1, ""[\d.-]+"")) * {IF(AQ11 =""Labs Speed"", 1+'Master Sheet'!$BK$5, LAB_SPEED_TOTAL())},
    MaxLevel, VLOOKUP(AQ11,MS_Labs_Array,4,false),"&amp;"
    MaxOrTarget, IF(OR(TargetLevel = """",$AD$1 &lt;&gt; ""Target""), MaxLevel, TargetLevel),
    LabLevel, VLOOKUP(AQ11,MS_Labs_Array,2,False),
    DVTColumn, MATCH(AQ11, DVT_Laboratory!$A$1:BO$1, 0),
    xextTime, INDIRECT(""DVT_Laboratory!"" &amp; ADDRESS(LabLe"&amp;"vel+3, DVTColumn)) / LabSpeed,
    remainingTime, SUM(INDIRECT(""DVT_Laboratory!"" &amp; ADDRESS(LabLevel+3, DVTColumn) &amp; "":"" &amp; ADDRESS(MaxOrTarget+2, DVTColumn))) / LabSpeed,
  AQ11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"""")"),"Missile Barrage
  Lab Level:      0 / 1 (Max)
  Next Level:    0d 10h 10m
  Max Level:     0d 10h 10m")</f>
        <v>Missile Barrage
  Lab Level:      0 / 1 (Max)
  Next Level:    0d 10h 10m
  Max Level:     0d 10h 10m</v>
      </c>
      <c r="AT11" s="1249" t="str">
        <f>IFERROR(__xludf.DUMMYFUNCTION("""COMPUTED_VALUE"""),"SM based Panic Button. Helpful with ""SM hits"" event mission")</f>
        <v>SM based Panic Button. Helpful with "SM hits" event mission</v>
      </c>
      <c r="AU11" s="1249" t="str">
        <f>IFERROR(__xludf.DUMMYFUNCTION("""COMPUTED_VALUE"""),"Detrimental in farms if too high. Useful for orb placement in some cases. Helps out in tournaments under some BCs, has a slider to revert the effect")</f>
        <v>Detrimental in farms if too high. Useful for orb placement in some cases. Helps out in tournaments under some BCs, has a slider to revert the effect</v>
      </c>
      <c r="AV11" s="1249" t="str">
        <f>IFERROR(__xludf.DUMMYFUNCTION("""COMPUTED_VALUE"""),"Land Mine Decay")</f>
        <v>Land Mine Decay</v>
      </c>
      <c r="AW11" s="1249" t="str">
        <f>IFERROR(__xludf.DUMMYFUNCTION("""COMPUTED_VALUE"""),"Recovery Package Amount")</f>
        <v>Recovery Package Amount</v>
      </c>
      <c r="AX11" s="1250" t="str">
        <f>IFERROR(__xludf.DUMMYFUNCTION("if(AW11 &lt;&gt; """", 
  LET( 
    TargetLevel, VLOOKUP(AW11,MS_Labs_Array,3,false),
    MaxLevel, VLOOKUP(AW11,MS_Labs_Array,4,false),
    MaxOrTarget, IF(OR(TargetLevel = """",$AD$1 &lt;&gt; ""Target""), MaxLevel, TargetLevel),
    LabLevel, VLOOKUP(AW11,MS_Labs_A"&amp;"rray,2,False),
    Levelprogress, LabLevel / MaxOrTarget,
    DVTColumn, MATCH(AW11,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1" s="1251" t="str">
        <f>IFERROR(__xludf.DUMMYFUNCTION("if(AW11 &lt;&gt; """", 
  LET(
    TargetLevel, VLOOKUP(AW11,MS_Labs_Array,3,false),
    LabSpeed, (1 * REGEXEXTRACT($BH$1, ""[\d.-]+"")) * {IF(AW11 =""Labs Speed"", 1+'Master Sheet'!$BK$5, LAB_SPEED_TOTAL())},
    MaxLevel, VLOOKUP(AW11,MS_Labs_Array,4,false),"&amp;"
    MaxOrTarget, IF(OR(TargetLevel = """",$AD$1 &lt;&gt; ""Target""), MaxLevel, TargetLevel),
    LabLevel, VLOOKUP(AW11,MS_Labs_Array,2,False),
    DVTColumn, MATCH(AW11, DVT_Laboratory!$A$1:BO$1, 0),
    xextTime, INDIRECT(""DVT_Laboratory!"" &amp; ADDRESS(LabLe"&amp;"vel+3, DVTColumn)) / LabSpeed,
    remainingTime, SUM(INDIRECT(""DVT_Laboratory!"" &amp; ADDRESS(LabLevel+3, DVTColumn) &amp; "":"" &amp; ADDRESS(MaxOrTarget+2, DVTColumn))) / LabSpeed,
  AW11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"""")"),"Recovery Package Amount
  Lab Level:      0 / 20 (Max)
  Next Level:    0d  3h 31m
  Max Level:     16d 17h 38m")</f>
        <v>Recovery Package Amount
  Lab Level:      0 / 20 (Max)
  Next Level:    0d  3h 31m
  Max Level:     16d 17h 38m</v>
      </c>
      <c r="AZ11" s="1249" t="str">
        <f>IFERROR(__xludf.DUMMYFUNCTION("""COMPUTED_VALUE"""),"Packages become insignificant after wall, very little value per level")</f>
        <v>Packages become insignificant after wall, very little value per level</v>
      </c>
      <c r="BA11" s="1249" t="str">
        <f>IFERROR(__xludf.DUMMYFUNCTION("""COMPUTED_VALUE"""),"Landmines usually explode before having a chance to decay")</f>
        <v>Landmines usually explode before having a chance to decay</v>
      </c>
      <c r="BB11" s="1249"/>
      <c r="BC11" s="1249"/>
      <c r="BD11" s="1250" t="str">
        <f>IFERROR(__xludf.DUMMYFUNCTION("if(BC11 &lt;&gt; """", 
  LET( 
    TargetLevel, VLOOKUP(BC11,MS_Labs_Array,3,false),
    MaxLevel, VLOOKUP(BC11,MS_Labs_Array,4,false),
    MaxOrTarget, IF(OR(TargetLevel = """",$AD$1 &lt;&gt; ""Target""), MaxLevel, TargetLevel),
    LabLevel, VLOOKUP(BC11,MS_Labs_A"&amp;"rray,2,False),
    Levelprogress, LabLevel / MaxOrTarget,
    DVTColumn, MATCH(BC11,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1" s="1251" t="str">
        <f>IFERROR(__xludf.DUMMYFUNCTION("if(BC11 &lt;&gt; """", 
  LET(
    TargetLevel, VLOOKUP(BC11,MS_Labs_Array,3,false),
    LabSpeed, (1 * REGEXEXTRACT($BH$1, ""[\d.-]+"")) * {IF(BC11 =""Labs Speed"", 1+'Master Sheet'!$BK$5, LAB_SPEED_TOTAL())},
    MaxLevel, VLOOKUP(BC11,MS_Labs_Array,4,false),"&amp;"
    MaxOrTarget, IF(OR(TargetLevel = """",$AD$1 &lt;&gt; ""Target""), MaxLevel, TargetLevel),
    LabLevel, VLOOKUP(BC11,MS_Labs_Array,2,False),
    DVTColumn, MATCH(BC11, DVT_Laboratory!$A$1:BO$1, 0),
    xextTime, INDIRECT(""DVT_Laboratory!"" &amp; ADDRESS(LabLe"&amp;"vel+3, DVTColumn)) / LabSpeed,
    remainingTime, SUM(INDIRECT(""DVT_Laboratory!"" &amp; ADDRESS(LabLevel+3, DVTColumn) &amp; "":"" &amp; ADDRESS(MaxOrTarget+2, DVTColumn))) / LabSpeed,
  BC11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1" s="1249"/>
      <c r="BG11" s="1249"/>
      <c r="BH11" s="1260" t="str">
        <f>IFERROR(__xludf.DUMMYFUNCTION("""COMPUTED_VALUE"""),"Card Presets")</f>
        <v>Card Presets</v>
      </c>
      <c r="BI11" s="1252" t="str">
        <f>IFERROR(__xludf.DUMMYFUNCTION("""COMPUTED_VALUE"""),"Light Speed Shots")</f>
        <v>Light Speed Shots</v>
      </c>
      <c r="BJ11" s="1253" t="str">
        <f>IFERROR(__xludf.DUMMYFUNCTION("if(BI11 &lt;&gt; """", 
  LET( 
    TargetLevel, VLOOKUP(BI11,MS_Labs_Array,3,false),
    MaxLevel, VLOOKUP(BI11,MS_Labs_Array,4,false),
    MaxOrTarget, IF(OR(TargetLevel = """",$AD$1 &lt;&gt; ""Target""), MaxLevel, TargetLevel),
    LabLevel, VLOOKUP(BI11,MS_Labs_A"&amp;"rray,2,False),
    Levelprogress, IF(LabLevel &gt;= MaxOrTarget, 1, LabLevel / MaxOrTarget),
    DVTColumn, MATCH(BI11,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1" s="1254" t="str">
        <f>IFERROR(__xludf.DUMMYFUNCTION("if(BI11 &lt;&gt; """", 
  LET(
    TargetLevel, VLOOKUP(BI11,MS_Labs_Array,3,false),
    LabSpeed, (1 * REGEXEXTRACT($BH$1, ""[\d.-]+"")) * {IF(BI11 =""Labs Speed"", 1+'Master Sheet'!$BK$5, LAB_SPEED_TOTAL())},
    MaxLevel, VLOOKUP(BI11,MS_Labs_Array,4,false),"&amp;"
    MaxOrTarget, IF(OR(TargetLevel = """",$AD$1 &lt;&gt; ""Target""), MaxLevel, TargetLevel),
    LabLevel, VLOOKUP(BI11,MS_Labs_Array,2,False),
    DVTColumn, MATCH(BI11, DVT_Laboratory!$A$1:BO$1, 0),
    xextTime, INDIRECT(""DVT_Laboratory!"" &amp; ADDRESS(LabLe"&amp;"vel+3, DVTColumn)) / LabSpeed,
    remainingTime, SUM(INDIRECT(""DVT_Laboratory!"" &amp; ADDRESS(LabLevel+3, DVTColumn) &amp; "":"" &amp; ADDRESS(MaxOrTarget+2, DVTColumn))) / LabSpeed,
  BI11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"""")"),"Light Speed Shots
  Lab Level:      1 / 1 (Max)
  Next Level:    
  Max Level:     0d  1h 16m")</f>
        <v>Light Speed Shots
  Lab Level:      1 / 1 (Max)
  Next Level:    
  Max Level:     0d  1h 16m</v>
      </c>
      <c r="BL11" s="1252" t="str">
        <f>IFERROR(__xludf.DUMMYFUNCTION("""COMPUTED_VALUE"""),"Keeps enemies at tower range much better")</f>
        <v>Keeps enemies at tower range much better</v>
      </c>
      <c r="BM11" s="1252" t="str">
        <f>IFERROR(__xludf.DUMMYFUNCTION("""COMPUTED_VALUE"""),"Most useful for having different cards for farm, tourney, and various missions")</f>
        <v>Most useful for having different cards for farm, tourney, and various missions</v>
      </c>
      <c r="BN11" s="1222"/>
      <c r="BO11" s="1261"/>
    </row>
    <row r="12" ht="7.5" customHeight="1">
      <c r="A12" s="1222"/>
      <c r="B12" s="1262" t="s">
        <v>554</v>
      </c>
      <c r="C12" s="1241" t="s">
        <v>270</v>
      </c>
      <c r="D12" s="1242" t="str">
        <f>VLOOKUP(C12,'Remote Tier List'!A:D, 2, FALSE)</f>
        <v>A</v>
      </c>
      <c r="E12" s="1243" t="str">
        <f>VLOOKUP(C12,'Remote Tier List'!A:D, 3, FALSE)</f>
        <v/>
      </c>
      <c r="F12" s="1258" t="str">
        <f>VLOOKUP(C12,'Remote Tier List'!A:D, 4, FALSE)</f>
        <v>Required for every devo strategy. Useful for blender and tournaments</v>
      </c>
      <c r="G12" s="1245" t="b">
        <f t="shared" si="10"/>
        <v>1</v>
      </c>
      <c r="H12" s="1246" t="str">
        <f t="array" ref="H12:I12">LET(
  Lab, $C12,
  Mode, $AD$1,
  Level, VLOOKUP(Lab, MS_Labs_Array, 2, FALSE),
  Target, VLOOKUP(Lab, MS_Labs_Array, 3, FALSE),
  Max, VLOOKUP(Lab, MS_Labs_Array, 4, FALSE),
  Result,
    IF(
      AND(
        Mode &lt;&gt; "Never",
        Level &gt;= IF(OR(Target = "", Mode = "Max"), Max, Target)
      ),
      "Completed",
      ""
    ),
  HSTACK(
    IF(Result &lt;&gt; "", Result, $D12),
    IF(Result &lt;&gt; "", Result, IF($E12 = "", $D12, $E12))
  )
)</f>
        <v>Completed</v>
      </c>
      <c r="I12" s="1247" t="s">
        <v>551</v>
      </c>
      <c r="J12" s="1248" t="str">
        <f t="shared" si="11"/>
        <v>Required for every devo strategy. Useful for blender and tournaments</v>
      </c>
      <c r="K12" s="1229"/>
      <c r="L12" s="1249" t="str">
        <f>IFERROR(__xludf.DUMMYFUNCTION("""COMPUTED_VALUE"""),"")</f>
        <v/>
      </c>
      <c r="M12" s="1249"/>
      <c r="N12" s="1250" t="str">
        <f>IFERROR(__xludf.DUMMYFUNCTION("if(M12 &lt;&gt; """", 
  LET( 
    TargetLevel, VLOOKUP(M12,MS_Labs_Array,3,false),
    MaxLevel, VLOOKUP(M12,MS_Labs_Array,4,false),
    MaxOrTarget, IF(OR(TargetLevel = """",$AD$1 &lt;&gt; ""Target""), MaxLevel, TargetLevel),
    LabLevel, VLOOKUP(M12,MS_Labs_Array"&amp;",2,False),
    Levelprogress, LabLevel / MaxOrTarget,
    DVTColumn, MATCH(M12,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2" s="1251" t="str">
        <f>IFERROR(__xludf.DUMMYFUNCTION("if(M12 &lt;&gt; """", 
  LET(
    TargetLevel, VLOOKUP(M12,MS_Labs_Array,3,false),
    LabSpeed, (1 * REGEXEXTRACT($BH$1, ""[\d.-]+"")) * {IF(M12 =""Labs Speed"", 1+'Master Sheet'!$BK$5, LAB_SPEED_TOTAL())},
    MaxLevel, VLOOKUP(M12,MS_Labs_Array,4,false),
   "&amp;" MaxOrTarget, IF(OR(TargetLevel = """",$AD$1 &lt;&gt; ""Target""), MaxLevel, TargetLevel),
    LabLevel, VLOOKUP(M12,MS_Labs_Array,2,False),
    DVTColumn, MATCH(M12, DVT_Laboratory!$A$1:BO$1, 0),
    xextTime, INDIRECT(""DVT_Laboratory!"" &amp; ADDRESS(LabLevel+3,"&amp;" DVTColumn)) / LabSpeed,
    remainingTime, SUM(INDIRECT(""DVT_Laboratory!"" &amp; ADDRESS(LabLevel+3, DVTColumn) &amp; "":"" &amp; ADDRESS(MaxOrTarget+2, DVTColumn))) / LabSpeed,
  M12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2" s="1249"/>
      <c r="Q12" s="1249" t="str">
        <f>IFERROR(__xludf.DUMMYFUNCTION("""COMPUTED_VALUE"""),"")</f>
        <v/>
      </c>
      <c r="R12" s="1249" t="str">
        <f>IFERROR(__xludf.DUMMYFUNCTION("""COMPUTED_VALUE"""),"")</f>
        <v/>
      </c>
      <c r="S12" s="1249"/>
      <c r="T12" s="1250" t="str">
        <f>IFERROR(__xludf.DUMMYFUNCTION("if(S12 &lt;&gt; """", 
  LET( 
    TargetLevel, VLOOKUP(S12,MS_Labs_Array,3,false),
    MaxLevel, VLOOKUP(S12,MS_Labs_Array,4,false),
    MaxOrTarget, IF(OR(TargetLevel = """",$AD$1 &lt;&gt; ""Target""), MaxLevel, TargetLevel),
    LabLevel, VLOOKUP(S12,MS_Labs_Array"&amp;",2,False),
    Levelprogress, LabLevel / MaxOrTarget,
    DVTColumn, MATCH(S12,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2" s="1251" t="str">
        <f>IFERROR(__xludf.DUMMYFUNCTION("if(S12 &lt;&gt; """", 
  LET(
    TargetLevel, VLOOKUP(S12,MS_Labs_Array,3,false),
    LabSpeed, (1 * REGEXEXTRACT($BH$1, ""[\d.-]+"")) * {IF(S12 =""Labs Speed"", 1+'Master Sheet'!$BK$5, LAB_SPEED_TOTAL())},
    MaxLevel, VLOOKUP(S12,MS_Labs_Array,4,false),
   "&amp;" MaxOrTarget, IF(OR(TargetLevel = """",$AD$1 &lt;&gt; ""Target""), MaxLevel, TargetLevel),
    LabLevel, VLOOKUP(S12,MS_Labs_Array,2,False),
    DVTColumn, MATCH(S12, DVT_Laboratory!$A$1:BO$1, 0),
    xextTime, INDIRECT(""DVT_Laboratory!"" &amp; ADDRESS(LabLevel+3,"&amp;" DVTColumn)) / LabSpeed,
    remainingTime, SUM(INDIRECT(""DVT_Laboratory!"" &amp; ADDRESS(LabLevel+3, DVTColumn) &amp; "":"" &amp; ADDRESS(MaxOrTarget+2, DVTColumn))) / LabSpeed,
  S12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2" s="1249"/>
      <c r="W12" s="1249" t="str">
        <f>IFERROR(__xludf.DUMMYFUNCTION("""COMPUTED_VALUE"""),"Assist Module Substats - Generator
  Lab Level:      0 / 30 (Max)
  Next Level:    0d 16h 28m
  Max Level:     319d  3h 13m")</f>
        <v>Assist Module Substats - Generator
  Lab Level:      0 / 30 (Max)
  Next Level:    0d 16h 28m
  Max Level:     319d  3h 13m</v>
      </c>
      <c r="X12" s="1249" t="str">
        <f>IFERROR(__xludf.DUMMYFUNCTION("""COMPUTED_VALUE"""),"")</f>
        <v/>
      </c>
      <c r="Y12" s="1249" t="str">
        <f>IFERROR(__xludf.DUMMYFUNCTION("""COMPUTED_VALUE"""),"Wall Invincibility")</f>
        <v>Wall Invincibility</v>
      </c>
      <c r="Z12" s="1250" t="str">
        <f>IFERROR(__xludf.DUMMYFUNCTION("if(Y12 &lt;&gt; """", 
  LET( 
    TargetLevel, VLOOKUP(Y12,MS_Labs_Array,3,false),
    MaxLevel, VLOOKUP(Y12,MS_Labs_Array,4,false),
    MaxOrTarget, IF(OR(TargetLevel = """",$AD$1 &lt;&gt; ""Target""), MaxLevel, TargetLevel),
    LabLevel, VLOOKUP(Y12,MS_Labs_Array"&amp;",2,False),
    Levelprogress, LabLevel / MaxOrTarget,
    DVTColumn, MATCH(Y12,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2" s="1251" t="str">
        <f>IFERROR(__xludf.DUMMYFUNCTION("if(Y12 &lt;&gt; """", 
  LET(
    TargetLevel, VLOOKUP(Y12,MS_Labs_Array,3,false),
    LabSpeed, (1 * REGEXEXTRACT($BH$1, ""[\d.-]+"")) * {IF(Y12 =""Labs Speed"", 1+'Master Sheet'!$BK$5, LAB_SPEED_TOTAL())},
    MaxLevel, VLOOKUP(Y12,MS_Labs_Array,4,false),
   "&amp;" MaxOrTarget, IF(OR(TargetLevel = """",$AD$1 &lt;&gt; ""Target""), MaxLevel, TargetLevel),
    LabLevel, VLOOKUP(Y12,MS_Labs_Array,2,False),
    DVTColumn, MATCH(Y12, DVT_Laboratory!$A$1:BO$1, 0),
    xextTime, INDIRECT(""DVT_Laboratory!"" &amp; ADDRESS(LabLevel+3,"&amp;" DVTColumn)) / LabSpeed,
    remainingTime, SUM(INDIRECT(""DVT_Laboratory!"" &amp; ADDRESS(LabLevel+3, DVTColumn) &amp; "":"" &amp; ADDRESS(MaxOrTarget+2, DVTColumn))) / LabSpeed,
  Y12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"""")"),"Wall Invincibility
  Lab Level:      0 / 10 (Max)
  Next Level:    0d  5h 17m
  Max Level:     5d  7h 44m")</f>
        <v>Wall Invincibility
  Lab Level:      0 / 10 (Max)
  Next Level:    0d  5h 17m
  Max Level:     5d  7h 44m</v>
      </c>
      <c r="AB12" s="1249" t="str">
        <f>IFERROR(__xludf.DUMMYFUNCTION("""COMPUTED_VALUE"""),"Same as Wall Rebuild")</f>
        <v>Same as Wall Rebuild</v>
      </c>
      <c r="AC12" s="1249" t="str">
        <f>IFERROR(__xludf.DUMMYFUNCTION("""COMPUTED_VALUE"""),"Critical Factor
  Lab Level:      83 / 99 (Max)
  Next Level:    2d  2h 17m
  Max Level:     41d  9h 40m")</f>
        <v>Critical Factor
  Lab Level:      83 / 99 (Max)
  Next Level:    2d  2h 17m
  Max Level:     41d  9h 40m</v>
      </c>
      <c r="AD12" s="1249" t="str">
        <f>IFERROR(__xludf.DUMMYFUNCTION("""COMPUTED_VALUE"""),"")</f>
        <v/>
      </c>
      <c r="AE12" s="1249" t="str">
        <f>IFERROR(__xludf.DUMMYFUNCTION("""COMPUTED_VALUE"""),"Chrono Field Range")</f>
        <v>Chrono Field Range</v>
      </c>
      <c r="AF12" s="1250" t="str">
        <f>IFERROR(__xludf.DUMMYFUNCTION("if(AE12 &lt;&gt; """", 
  LET( 
    TargetLevel, VLOOKUP(AE12,MS_Labs_Array,3,false),
    MaxLevel, VLOOKUP(AE12,MS_Labs_Array,4,false),
    MaxOrTarget, IF(OR(TargetLevel = """",$AD$1 &lt;&gt; ""Target""), MaxLevel, TargetLevel),
    LabLevel, VLOOKUP(AE12,MS_Labs_A"&amp;"rray,2,False),
    Levelprogress, LabLevel / MaxOrTarget,
    DVTColumn, MATCH(AE12,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2" s="1251" t="str">
        <f>IFERROR(__xludf.DUMMYFUNCTION("if(AE12 &lt;&gt; """", 
  LET(
    TargetLevel, VLOOKUP(AE12,MS_Labs_Array,3,false),
    LabSpeed, (1 * REGEXEXTRACT($BH$1, ""[\d.-]+"")) * {IF(AE12 =""Labs Speed"", 1+'Master Sheet'!$BK$5, LAB_SPEED_TOTAL())},
    MaxLevel, VLOOKUP(AE12,MS_Labs_Array,4,false),"&amp;"
    MaxOrTarget, IF(OR(TargetLevel = """",$AD$1 &lt;&gt; ""Target""), MaxLevel, TargetLevel),
    LabLevel, VLOOKUP(AE12,MS_Labs_Array,2,False),
    DVTColumn, MATCH(AE12, DVT_Laboratory!$A$1:BO$1, 0),
    xextTime, INDIRECT(""DVT_Laboratory!"" &amp; ADDRESS(LabLe"&amp;"vel+3, DVTColumn)) / LabSpeed,
    remainingTime, SUM(INDIRECT(""DVT_Laboratory!"" &amp; ADDRESS(LabLevel+3, DVTColumn) &amp; "":"" &amp; ADDRESS(MaxOrTarget+2, DVTColumn))) / LabSpeed,
  AE12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"""")"),"Chrono Field Range
  Lab Level:      17 / 20 (Max)
  Next Level:    1d 11h 18m
  Max Level:     5d  4h 57m")</f>
        <v>Chrono Field Range
  Lab Level:      17 / 20 (Max)
  Next Level:    1d 11h 18m
  Max Level:     5d  4h 57m</v>
      </c>
      <c r="AH12" s="1249" t="str">
        <f>IFERROR(__xludf.DUMMYFUNCTION("""COMPUTED_VALUE"""),"The more the better however be wary as it can be harmful without perma CF")</f>
        <v>The more the better however be wary as it can be harmful without perma CF</v>
      </c>
      <c r="AI12" s="1249" t="str">
        <f>IFERROR(__xludf.DUMMYFUNCTION("""COMPUTED_VALUE"""),"Shockwave Size
  Lab Level:      10 / 20 (Max)
  Next Level:    0d  8h 10m
  Max Level:     12d  4h 44m")</f>
        <v>Shockwave Size
  Lab Level:      10 / 20 (Max)
  Next Level:    0d  8h 10m
  Max Level:     12d  4h 44m</v>
      </c>
      <c r="AJ12" s="1249" t="str">
        <f>IFERROR(__xludf.DUMMYFUNCTION("""COMPUTED_VALUE"""),"")</f>
        <v/>
      </c>
      <c r="AK12" s="1249" t="str">
        <f>IFERROR(__xludf.DUMMYFUNCTION("""COMPUTED_VALUE"""),"Thunder Bot - Cooldown")</f>
        <v>Thunder Bot - Cooldown</v>
      </c>
      <c r="AL12" s="1250" t="str">
        <f>IFERROR(__xludf.DUMMYFUNCTION("if(AK12 &lt;&gt; """", 
  LET( 
    TargetLevel, VLOOKUP(AK12,MS_Labs_Array,3,false),
    MaxLevel, VLOOKUP(AK12,MS_Labs_Array,4,false),
    MaxOrTarget, IF(OR(TargetLevel = """",$AD$1 &lt;&gt; ""Target""), MaxLevel, TargetLevel),
    LabLevel, VLOOKUP(AK12,MS_Labs_A"&amp;"rray,2,False),
    Levelprogress, LabLevel / MaxOrTarget,
    DVTColumn, MATCH(AK12,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2" s="1251" t="str">
        <f>IFERROR(__xludf.DUMMYFUNCTION("if(AK12 &lt;&gt; """", 
  LET(
    TargetLevel, VLOOKUP(AK12,MS_Labs_Array,3,false),
    LabSpeed, (1 * REGEXEXTRACT($BH$1, ""[\d.-]+"")) * {IF(AK12 =""Labs Speed"", 1+'Master Sheet'!$BK$5, LAB_SPEED_TOTAL())},
    MaxLevel, VLOOKUP(AK12,MS_Labs_Array,4,false),"&amp;"
    MaxOrTarget, IF(OR(TargetLevel = """",$AD$1 &lt;&gt; ""Target""), MaxLevel, TargetLevel),
    LabLevel, VLOOKUP(AK12,MS_Labs_Array,2,False),
    DVTColumn, MATCH(AK12, DVT_Laboratory!$A$1:BO$1, 0),
    xextTime, INDIRECT(""DVT_Laboratory!"" &amp; ADDRESS(LabLe"&amp;"vel+3, DVTColumn)) / LabSpeed,
    remainingTime, SUM(INDIRECT(""DVT_Laboratory!"" &amp; ADDRESS(LabLevel+3, DVTColumn) &amp; "":"" &amp; ADDRESS(MaxOrTarget+2, DVTColumn))) / LabSpeed,
  AK12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"""")"),"Thunder Bot - Cooldown
  Lab Level:      0 / 25 (Max)
  Next Level:    0d  2h 28m
  Max Level:     36d 15h 32m")</f>
        <v>Thunder Bot - Cooldown
  Lab Level:      0 / 25 (Max)
  Next Level:    0d  2h 28m
  Max Level:     36d 15h 32m</v>
      </c>
      <c r="AN12" s="1249" t="str">
        <f>IFERROR(__xludf.DUMMYFUNCTION("""COMPUTED_VALUE"""),"Improves overall CC potential")</f>
        <v>Improves overall CC potential</v>
      </c>
      <c r="AO12" s="1249" t="str">
        <f>IFERROR(__xludf.DUMMYFUNCTION("""COMPUTED_VALUE"""),"Max Rend Armor Multiplier
  Lab Level:      0 / 30 (Max)
  Next Level:    0d  5h 17m
  Max Level:     23d 10h 18m")</f>
        <v>Max Rend Armor Multiplier
  Lab Level:      0 / 30 (Max)
  Next Level:    0d  5h 17m
  Max Level:     23d 10h 18m</v>
      </c>
      <c r="AP12" s="1249" t="str">
        <f>IFERROR(__xludf.DUMMYFUNCTION("""COMPUTED_VALUE"""),"")</f>
        <v/>
      </c>
      <c r="AQ12" s="1249" t="str">
        <f>IFERROR(__xludf.DUMMYFUNCTION("""COMPUTED_VALUE"""),"Missile Barrage Quantity")</f>
        <v>Missile Barrage Quantity</v>
      </c>
      <c r="AR12" s="1250" t="str">
        <f>IFERROR(__xludf.DUMMYFUNCTION("if(AQ12 &lt;&gt; """", 
  LET( 
    TargetLevel, VLOOKUP(AQ12,MS_Labs_Array,3,false),
    MaxLevel, VLOOKUP(AQ12,MS_Labs_Array,4,false),
    MaxOrTarget, IF(OR(TargetLevel = """",$AD$1 &lt;&gt; ""Target""), MaxLevel, TargetLevel),
    LabLevel, VLOOKUP(AQ12,MS_Labs_A"&amp;"rray,2,False),
    Levelprogress, LabLevel / MaxOrTarget,
    DVTColumn, MATCH(AQ12,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2" s="1251" t="str">
        <f>IFERROR(__xludf.DUMMYFUNCTION("if(AQ12 &lt;&gt; """", 
  LET(
    TargetLevel, VLOOKUP(AQ12,MS_Labs_Array,3,false),
    LabSpeed, (1 * REGEXEXTRACT($BH$1, ""[\d.-]+"")) * {IF(AQ12 =""Labs Speed"", 1+'Master Sheet'!$BK$5, LAB_SPEED_TOTAL())},
    MaxLevel, VLOOKUP(AQ12,MS_Labs_Array,4,false),"&amp;"
    MaxOrTarget, IF(OR(TargetLevel = """",$AD$1 &lt;&gt; ""Target""), MaxLevel, TargetLevel),
    LabLevel, VLOOKUP(AQ12,MS_Labs_Array,2,False),
    DVTColumn, MATCH(AQ12, DVT_Laboratory!$A$1:BO$1, 0),
    xextTime, INDIRECT(""DVT_Laboratory!"" &amp; ADDRESS(LabLe"&amp;"vel+3, DVTColumn)) / LabSpeed,
    remainingTime, SUM(INDIRECT(""DVT_Laboratory!"" &amp; ADDRESS(LabLevel+3, DVTColumn) &amp; "":"" &amp; ADDRESS(MaxOrTarget+2, DVTColumn))) / LabSpeed,
  AQ12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"""")"),"Missile Barrage Quantity
  Lab Level:      0 / 6 (Max)
  Next Level:    0d  1h 16m
  Max Level:     1d  6h 12m")</f>
        <v>Missile Barrage Quantity
  Lab Level:      0 / 6 (Max)
  Next Level:    0d  1h 16m
  Max Level:     1d  6h 12m</v>
      </c>
      <c r="AT12" s="1249" t="str">
        <f>IFERROR(__xludf.DUMMYFUNCTION("""COMPUTED_VALUE"""),"Panic Button gains more missiles")</f>
        <v>Panic Button gains more missiles</v>
      </c>
      <c r="AU12" s="1249" t="str">
        <f>IFERROR(__xludf.DUMMYFUNCTION("""COMPUTED_VALUE"""),"Range
  Lab Level:      33 / 80 (Max)
  Next Level:    0d  5h 37m
  Max Level:     42d  6h 51m")</f>
        <v>Range
  Lab Level:      33 / 80 (Max)
  Next Level:    0d  5h 37m
  Max Level:     42d  6h 51m</v>
      </c>
      <c r="AV12" s="1249" t="str">
        <f>IFERROR(__xludf.DUMMYFUNCTION("""COMPUTED_VALUE"""),"")</f>
        <v/>
      </c>
      <c r="AW12" s="1249" t="str">
        <f>IFERROR(__xludf.DUMMYFUNCTION("""COMPUTED_VALUE"""),"Recovery Package Max")</f>
        <v>Recovery Package Max</v>
      </c>
      <c r="AX12" s="1250" t="str">
        <f>IFERROR(__xludf.DUMMYFUNCTION("if(AW12 &lt;&gt; """", 
  LET( 
    TargetLevel, VLOOKUP(AW12,MS_Labs_Array,3,false),
    MaxLevel, VLOOKUP(AW12,MS_Labs_Array,4,false),
    MaxOrTarget, IF(OR(TargetLevel = """",$AD$1 &lt;&gt; ""Target""), MaxLevel, TargetLevel),
    LabLevel, VLOOKUP(AW12,MS_Labs_A"&amp;"rray,2,False),
    Levelprogress, LabLevel / MaxOrTarget,
    DVTColumn, MATCH(AW12,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2" s="1251" t="str">
        <f>IFERROR(__xludf.DUMMYFUNCTION("if(AW12 &lt;&gt; """", 
  LET(
    TargetLevel, VLOOKUP(AW12,MS_Labs_Array,3,false),
    LabSpeed, (1 * REGEXEXTRACT($BH$1, ""[\d.-]+"")) * {IF(AW12 =""Labs Speed"", 1+'Master Sheet'!$BK$5, LAB_SPEED_TOTAL())},
    MaxLevel, VLOOKUP(AW12,MS_Labs_Array,4,false),"&amp;"
    MaxOrTarget, IF(OR(TargetLevel = """",$AD$1 &lt;&gt; ""Target""), MaxLevel, TargetLevel),
    LabLevel, VLOOKUP(AW12,MS_Labs_Array,2,False),
    DVTColumn, MATCH(AW12, DVT_Laboratory!$A$1:BO$1, 0),
    xextTime, INDIRECT(""DVT_Laboratory!"" &amp; ADDRESS(LabLe"&amp;"vel+3, DVTColumn)) / LabSpeed,
    remainingTime, SUM(INDIRECT(""DVT_Laboratory!"" &amp; ADDRESS(LabLevel+3, DVTColumn) &amp; "":"" &amp; ADDRESS(MaxOrTarget+2, DVTColumn))) / LabSpeed,
  AW12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"""")"),"Recovery Package Max
  Lab Level:      0 / 20 (Max)
  Next Level:    0d  3h 31m
  Max Level:     16d 17h 38m")</f>
        <v>Recovery Package Max
  Lab Level:      0 / 20 (Max)
  Next Level:    0d  3h 31m
  Max Level:     16d 17h 38m</v>
      </c>
      <c r="AZ12" s="1249" t="str">
        <f>IFERROR(__xludf.DUMMYFUNCTION("""COMPUTED_VALUE"""),"Packages become insignificant after wall, very little value per level")</f>
        <v>Packages become insignificant after wall, very little value per level</v>
      </c>
      <c r="BA12" s="1249" t="str">
        <f>IFERROR(__xludf.DUMMYFUNCTION("""COMPUTED_VALUE"""),"Land Mine Decay
  Lab Level:      13 / 35 (Max)
  Next Level:    0d 12h 38m
  Max Level:     98d 19h 58m")</f>
        <v>Land Mine Decay
  Lab Level:      13 / 35 (Max)
  Next Level:    0d 12h 38m
  Max Level:     98d 19h 58m</v>
      </c>
      <c r="BB12" s="1249" t="str">
        <f>IFERROR(__xludf.DUMMYFUNCTION("""COMPUTED_VALUE"""),"")</f>
        <v/>
      </c>
      <c r="BC12" s="1249"/>
      <c r="BD12" s="1250" t="str">
        <f>IFERROR(__xludf.DUMMYFUNCTION("if(BC12 &lt;&gt; """", 
  LET( 
    TargetLevel, VLOOKUP(BC12,MS_Labs_Array,3,false),
    MaxLevel, VLOOKUP(BC12,MS_Labs_Array,4,false),
    MaxOrTarget, IF(OR(TargetLevel = """",$AD$1 &lt;&gt; ""Target""), MaxLevel, TargetLevel),
    LabLevel, VLOOKUP(BC12,MS_Labs_A"&amp;"rray,2,False),
    Levelprogress, LabLevel / MaxOrTarget,
    DVTColumn, MATCH(BC12,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2" s="1251" t="str">
        <f>IFERROR(__xludf.DUMMYFUNCTION("if(BC12 &lt;&gt; """", 
  LET(
    TargetLevel, VLOOKUP(BC12,MS_Labs_Array,3,false),
    LabSpeed, (1 * REGEXEXTRACT($BH$1, ""[\d.-]+"")) * {IF(BC12 =""Labs Speed"", 1+'Master Sheet'!$BK$5, LAB_SPEED_TOTAL())},
    MaxLevel, VLOOKUP(BC12,MS_Labs_Array,4,false),"&amp;"
    MaxOrTarget, IF(OR(TargetLevel = """",$AD$1 &lt;&gt; ""Target""), MaxLevel, TargetLevel),
    LabLevel, VLOOKUP(BC12,MS_Labs_Array,2,False),
    DVTColumn, MATCH(BC12, DVT_Laboratory!$A$1:BO$1, 0),
    xextTime, INDIRECT(""DVT_Laboratory!"" &amp; ADDRESS(LabLe"&amp;"vel+3, DVTColumn)) / LabSpeed,
    remainingTime, SUM(INDIRECT(""DVT_Laboratory!"" &amp; ADDRESS(LabLevel+3, DVTColumn) &amp; "":"" &amp; ADDRESS(MaxOrTarget+2, DVTColumn))) / LabSpeed,
  BC12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2" s="1249"/>
      <c r="BG12" s="1249" t="str">
        <f>IFERROR(__xludf.DUMMYFUNCTION("""COMPUTED_VALUE"""),"")</f>
        <v/>
      </c>
      <c r="BH12" s="1260" t="str">
        <f>IFERROR(__xludf.DUMMYFUNCTION("""COMPUTED_VALUE"""),"")</f>
        <v/>
      </c>
      <c r="BI12" s="1252" t="str">
        <f>IFERROR(__xludf.DUMMYFUNCTION("""COMPUTED_VALUE"""),"Defense Absolute")</f>
        <v>Defense Absolute</v>
      </c>
      <c r="BJ12" s="1253" t="str">
        <f>IFERROR(__xludf.DUMMYFUNCTION("if(BI12 &lt;&gt; """", 
  LET( 
    TargetLevel, VLOOKUP(BI12,MS_Labs_Array,3,false),
    MaxLevel, VLOOKUP(BI12,MS_Labs_Array,4,false),
    MaxOrTarget, IF(OR(TargetLevel = """",$AD$1 &lt;&gt; ""Target""), MaxLevel, TargetLevel),
    LabLevel, VLOOKUP(BI12,MS_Labs_A"&amp;"rray,2,False),
    Levelprogress, IF(LabLevel &gt;= MaxOrTarget, 1, LabLevel / MaxOrTarget),
    DVTColumn, MATCH(BI12,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2" s="1254" t="str">
        <f>IFERROR(__xludf.DUMMYFUNCTION("if(BI12 &lt;&gt; """", 
  LET(
    TargetLevel, VLOOKUP(BI12,MS_Labs_Array,3,false),
    LabSpeed, (1 * REGEXEXTRACT($BH$1, ""[\d.-]+"")) * {IF(BI12 =""Labs Speed"", 1+'Master Sheet'!$BK$5, LAB_SPEED_TOTAL())},
    MaxLevel, VLOOKUP(BI12,MS_Labs_Array,4,false),"&amp;"
    MaxOrTarget, IF(OR(TargetLevel = """",$AD$1 &lt;&gt; ""Target""), MaxLevel, TargetLevel),
    LabLevel, VLOOKUP(BI12,MS_Labs_Array,2,False),
    DVTColumn, MATCH(BI12, DVT_Laboratory!$A$1:BO$1, 0),
    xextTime, INDIRECT(""DVT_Laboratory!"" &amp; ADDRESS(LabLe"&amp;"vel+3, DVTColumn)) / LabSpeed,
    remainingTime, SUM(INDIRECT(""DVT_Laboratory!"" &amp; ADDRESS(LabLevel+3, DVTColumn) &amp; "":"" &amp; ADDRESS(MaxOrTarget+2, DVTColumn))) / LabSpeed,
  BI12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"""")"),"Defense Absolute
  Lab Level:      14 / 14 (Target)
  Next Level:    0d  0h 46m
  Target Level: 0d  1h 25m")</f>
        <v>Defense Absolute
  Lab Level:      14 / 14 (Target)
  Next Level:    0d  0h 46m
  Target Level: 0d  1h 25m</v>
      </c>
      <c r="BL12" s="1252" t="str">
        <f>IFERROR(__xludf.DUMMYFUNCTION("""COMPUTED_VALUE"""),"Dabs scales horribly past tier 1")</f>
        <v>Dabs scales horribly past tier 1</v>
      </c>
      <c r="BM12" s="1252" t="str">
        <f>IFERROR(__xludf.DUMMYFUNCTION("""COMPUTED_VALUE"""),"Card Presets
  Lab Level:      1 / 1 (Max)
  Next Level:    
  Max Level:     0d  0h 52m")</f>
        <v>Card Presets
  Lab Level:      1 / 1 (Max)
  Next Level:    
  Max Level:     0d  0h 52m</v>
      </c>
      <c r="BN12" s="1222"/>
      <c r="BO12" s="1261"/>
    </row>
    <row r="13">
      <c r="A13" s="1222"/>
      <c r="B13" s="1262" t="s">
        <v>552</v>
      </c>
      <c r="C13" s="1241" t="s">
        <v>278</v>
      </c>
      <c r="D13" s="1242" t="str">
        <f>VLOOKUP(C13,'Remote Tier List'!A:D, 2, FALSE)</f>
        <v>QOL</v>
      </c>
      <c r="E13" s="1243" t="str">
        <f>VLOOKUP(C13,'Remote Tier List'!A:D, 3, FALSE)</f>
        <v/>
      </c>
      <c r="F13" s="1258" t="str">
        <f>VLOOKUP(C13,'Remote Tier List'!A:D, 4, FALSE)</f>
        <v>Most useful for having different cards for farm, tourney, and various missions</v>
      </c>
      <c r="G13" s="1245" t="b">
        <f t="shared" si="10"/>
        <v>1</v>
      </c>
      <c r="H13" s="1246" t="str">
        <f t="array" ref="H13:I13">LET(
  Lab, $C13,
  Mode, $AD$1,
  Level, VLOOKUP(Lab, MS_Labs_Array, 2, FALSE),
  Target, VLOOKUP(Lab, MS_Labs_Array, 3, FALSE),
  Max, VLOOKUP(Lab, MS_Labs_Array, 4, FALSE),
  Result,
    IF(
      AND(
        Mode &lt;&gt; "Never",
        Level &gt;= IF(OR(Target = "", Mode = "Max"), Max, Target)
      ),
      "Completed",
      ""
    ),
  HSTACK(
    IF(Result &lt;&gt; "", Result, $D13),
    IF(Result &lt;&gt; "", Result, IF($E13 = "", $D13, $E13))
  )
)</f>
        <v>Completed</v>
      </c>
      <c r="I13" s="1247" t="s">
        <v>551</v>
      </c>
      <c r="J13" s="1248" t="str">
        <f t="shared" si="11"/>
        <v>Most useful for having different cards for farm, tourney, and various missions</v>
      </c>
      <c r="K13" s="1229"/>
      <c r="L13" s="1249"/>
      <c r="M13" s="1249"/>
      <c r="N13" s="1250" t="str">
        <f>IFERROR(__xludf.DUMMYFUNCTION("if(M13 &lt;&gt; """", 
  LET( 
    TargetLevel, VLOOKUP(M13,MS_Labs_Array,3,false),
    MaxLevel, VLOOKUP(M13,MS_Labs_Array,4,false),
    MaxOrTarget, IF(OR(TargetLevel = """",$AD$1 &lt;&gt; ""Target""), MaxLevel, TargetLevel),
    LabLevel, VLOOKUP(M13,MS_Labs_Array"&amp;",2,False),
    Levelprogress, LabLevel / MaxOrTarget,
    DVTColumn, MATCH(M13,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3" s="1251" t="str">
        <f>IFERROR(__xludf.DUMMYFUNCTION("if(M13 &lt;&gt; """", 
  LET(
    TargetLevel, VLOOKUP(M13,MS_Labs_Array,3,false),
    LabSpeed, (1 * REGEXEXTRACT($BH$1, ""[\d.-]+"")) * {IF(M13 =""Labs Speed"", 1+'Master Sheet'!$BK$5, LAB_SPEED_TOTAL())},
    MaxLevel, VLOOKUP(M13,MS_Labs_Array,4,false),
   "&amp;" MaxOrTarget, IF(OR(TargetLevel = """",$AD$1 &lt;&gt; ""Target""), MaxLevel, TargetLevel),
    LabLevel, VLOOKUP(M13,MS_Labs_Array,2,False),
    DVTColumn, MATCH(M13, DVT_Laboratory!$A$1:BO$1, 0),
    xextTime, INDIRECT(""DVT_Laboratory!"" &amp; ADDRESS(LabLevel+3,"&amp;" DVTColumn)) / LabSpeed,
    remainingTime, SUM(INDIRECT(""DVT_Laboratory!"" &amp; ADDRESS(LabLevel+3, DVTColumn) &amp; "":"" &amp; ADDRESS(MaxOrTarget+2, DVTColumn))) / LabSpeed,
  M13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3" s="1249"/>
      <c r="Q13" s="1249"/>
      <c r="R13" s="1249" t="str">
        <f>IFERROR(__xludf.DUMMYFUNCTION("""COMPUTED_VALUE"""),"Assist Module Substats - Core")</f>
        <v>Assist Module Substats - Core</v>
      </c>
      <c r="S13" s="1249"/>
      <c r="T13" s="1250" t="str">
        <f>IFERROR(__xludf.DUMMYFUNCTION("if(S13 &lt;&gt; """", 
  LET( 
    TargetLevel, VLOOKUP(S13,MS_Labs_Array,3,false),
    MaxLevel, VLOOKUP(S13,MS_Labs_Array,4,false),
    MaxOrTarget, IF(OR(TargetLevel = """",$AD$1 &lt;&gt; ""Target""), MaxLevel, TargetLevel),
    LabLevel, VLOOKUP(S13,MS_Labs_Array"&amp;",2,False),
    Levelprogress, LabLevel / MaxOrTarget,
    DVTColumn, MATCH(S13,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3" s="1251" t="str">
        <f>IFERROR(__xludf.DUMMYFUNCTION("if(S13 &lt;&gt; """", 
  LET(
    TargetLevel, VLOOKUP(S13,MS_Labs_Array,3,false),
    LabSpeed, (1 * REGEXEXTRACT($BH$1, ""[\d.-]+"")) * {IF(S13 =""Labs Speed"", 1+'Master Sheet'!$BK$5, LAB_SPEED_TOTAL())},
    MaxLevel, VLOOKUP(S13,MS_Labs_Array,4,false),
   "&amp;" MaxOrTarget, IF(OR(TargetLevel = """",$AD$1 &lt;&gt; ""Target""), MaxLevel, TargetLevel),
    LabLevel, VLOOKUP(S13,MS_Labs_Array,2,False),
    DVTColumn, MATCH(S13, DVT_Laboratory!$A$1:BO$1, 0),
    xextTime, INDIRECT(""DVT_Laboratory!"" &amp; ADDRESS(LabLevel+3,"&amp;" DVTColumn)) / LabSpeed,
    remainingTime, SUM(INDIRECT(""DVT_Laboratory!"" &amp; ADDRESS(LabLevel+3, DVTColumn) &amp; "":"" &amp; ADDRESS(MaxOrTarget+2, DVTColumn))) / LabSpeed,
  S13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3" s="1249"/>
      <c r="W13" s="1249"/>
      <c r="X13" s="1249" t="str">
        <f>IFERROR(__xludf.DUMMYFUNCTION("""COMPUTED_VALUE"""),"Damage / Meter")</f>
        <v>Damage / Meter</v>
      </c>
      <c r="Y13" s="1249" t="str">
        <f>IFERROR(__xludf.DUMMYFUNCTION("""COMPUTED_VALUE"""),"Wall Fortification")</f>
        <v>Wall Fortification</v>
      </c>
      <c r="Z13" s="1250" t="str">
        <f>IFERROR(__xludf.DUMMYFUNCTION("if(Y13 &lt;&gt; """", 
  LET( 
    TargetLevel, VLOOKUP(Y13,MS_Labs_Array,3,false),
    MaxLevel, VLOOKUP(Y13,MS_Labs_Array,4,false),
    MaxOrTarget, IF(OR(TargetLevel = """",$AD$1 &lt;&gt; ""Target""), MaxLevel, TargetLevel),
    LabLevel, VLOOKUP(Y13,MS_Labs_Array"&amp;",2,False),
    Levelprogress, LabLevel / MaxOrTarget,
    DVTColumn, MATCH(Y13,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3" s="1251" t="str">
        <f>IFERROR(__xludf.DUMMYFUNCTION("if(Y13 &lt;&gt; """", 
  LET(
    TargetLevel, VLOOKUP(Y13,MS_Labs_Array,3,false),
    LabSpeed, (1 * REGEXEXTRACT($BH$1, ""[\d.-]+"")) * {IF(Y13 =""Labs Speed"", 1+'Master Sheet'!$BK$5, LAB_SPEED_TOTAL())},
    MaxLevel, VLOOKUP(Y13,MS_Labs_Array,4,false),
   "&amp;" MaxOrTarget, IF(OR(TargetLevel = """",$AD$1 &lt;&gt; ""Target""), MaxLevel, TargetLevel),
    LabLevel, VLOOKUP(Y13,MS_Labs_Array,2,False),
    DVTColumn, MATCH(Y13, DVT_Laboratory!$A$1:BO$1, 0),
    xextTime, INDIRECT(""DVT_Laboratory!"" &amp; ADDRESS(LabLevel+3,"&amp;" DVTColumn)) / LabSpeed,
    remainingTime, SUM(INDIRECT(""DVT_Laboratory!"" &amp; ADDRESS(LabLevel+3, DVTColumn) &amp; "":"" &amp; ADDRESS(MaxOrTarget+2, DVTColumn))) / LabSpeed,
  Y13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"""")"),"Wall Fortification
  Lab Level:      47 / 60 (Max)
  Next Level:    2d  3h 24m
  Max Level:     37d  2h 27m")</f>
        <v>Wall Fortification
  Lab Level:      47 / 60 (Max)
  Next Level:    2d  3h 24m
  Max Level:     37d  2h 27m</v>
      </c>
      <c r="AB13" s="1249" t="str">
        <f>IFERROR(__xludf.DUMMYFUNCTION("""COMPUTED_VALUE"""),"Enables Wall Regen to be the best eHp tool in the game")</f>
        <v>Enables Wall Regen to be the best eHp tool in the game</v>
      </c>
      <c r="AC13" s="1249" t="str">
        <f>IFERROR(__xludf.DUMMYFUNCTION("""COMPUTED_VALUE"""),"Useless until SL+, very helpful with it while also pairing well with Range mastery")</f>
        <v>Useless until SL+, very helpful with it while also pairing well with Range mastery</v>
      </c>
      <c r="AD13" s="1249" t="str">
        <f>IFERROR(__xludf.DUMMYFUNCTION("""COMPUTED_VALUE"""),"Cash Bonus")</f>
        <v>Cash Bonus</v>
      </c>
      <c r="AE13" s="1249" t="str">
        <f>IFERROR(__xludf.DUMMYFUNCTION("""COMPUTED_VALUE"""),"Missile Amplifier")</f>
        <v>Missile Amplifier</v>
      </c>
      <c r="AF13" s="1250" t="str">
        <f>IFERROR(__xludf.DUMMYFUNCTION("if(AE13 &lt;&gt; """", 
  LET( 
    TargetLevel, VLOOKUP(AE13,MS_Labs_Array,3,false),
    MaxLevel, VLOOKUP(AE13,MS_Labs_Array,4,false),
    MaxOrTarget, IF(OR(TargetLevel = """",$AD$1 &lt;&gt; ""Target""), MaxLevel, TargetLevel),
    LabLevel, VLOOKUP(AE13,MS_Labs_A"&amp;"rray,2,False),
    Levelprogress, LabLevel / MaxOrTarget,
    DVTColumn, MATCH(AE13,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3" s="1251" t="str">
        <f>IFERROR(__xludf.DUMMYFUNCTION("if(AE13 &lt;&gt; """", 
  LET(
    TargetLevel, VLOOKUP(AE13,MS_Labs_Array,3,false),
    LabSpeed, (1 * REGEXEXTRACT($BH$1, ""[\d.-]+"")) * {IF(AE13 =""Labs Speed"", 1+'Master Sheet'!$BK$5, LAB_SPEED_TOTAL())},
    MaxLevel, VLOOKUP(AE13,MS_Labs_Array,4,false),"&amp;"
    MaxOrTarget, IF(OR(TargetLevel = """",$AD$1 &lt;&gt; ""Target""), MaxLevel, TargetLevel),
    LabLevel, VLOOKUP(AE13,MS_Labs_Array,2,False),
    DVTColumn, MATCH(AE13, DVT_Laboratory!$A$1:BO$1, 0),
    xextTime, INDIRECT(""DVT_Laboratory!"" &amp; ADDRESS(LabLe"&amp;"vel+3, DVTColumn)) / LabSpeed,
    remainingTime, SUM(INDIRECT(""DVT_Laboratory!"" &amp; ADDRESS(LabLevel+3, DVTColumn) &amp; "":"" &amp; ADDRESS(MaxOrTarget+2, DVTColumn))) / LabSpeed,
  AE13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"""")"),"Missile Amplifier
  Lab Level:      0 / 25 (Max)
  Next Level:    0d  1h 16m
  Max Level:     28d  7h 49m")</f>
        <v>Missile Amplifier
  Lab Level:      0 / 25 (Max)
  Next Level:    0d  1h 16m
  Max Level:     28d  7h 49m</v>
      </c>
      <c r="AH13" s="1249" t="str">
        <f>IFERROR(__xludf.DUMMYFUNCTION("""COMPUTED_VALUE"""),"Adds an essential SM-only damage multiplier")</f>
        <v>Adds an essential SM-only damage multiplier</v>
      </c>
      <c r="AI13" s="1249" t="str">
        <f>IFERROR(__xludf.DUMMYFUNCTION("""COMPUTED_VALUE"""),"Cash has limited usability")</f>
        <v>Cash has limited usability</v>
      </c>
      <c r="AJ13" s="1249" t="str">
        <f>IFERROR(__xludf.DUMMYFUNCTION("""COMPUTED_VALUE"""),"Wall Thorns")</f>
        <v>Wall Thorns</v>
      </c>
      <c r="AK13" s="1249" t="str">
        <f>IFERROR(__xludf.DUMMYFUNCTION("""COMPUTED_VALUE"""),"Fast Enemy Speed")</f>
        <v>Fast Enemy Speed</v>
      </c>
      <c r="AL13" s="1250" t="str">
        <f>IFERROR(__xludf.DUMMYFUNCTION("if(AK13 &lt;&gt; """", 
  LET( 
    TargetLevel, VLOOKUP(AK13,MS_Labs_Array,3,false),
    MaxLevel, VLOOKUP(AK13,MS_Labs_Array,4,false),
    MaxOrTarget, IF(OR(TargetLevel = """",$AD$1 &lt;&gt; ""Target""), MaxLevel, TargetLevel),
    LabLevel, VLOOKUP(AK13,MS_Labs_A"&amp;"rray,2,False),
    Levelprogress, LabLevel / MaxOrTarget,
    DVTColumn, MATCH(AK13,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3" s="1251" t="str">
        <f>IFERROR(__xludf.DUMMYFUNCTION("if(AK13 &lt;&gt; """", 
  LET(
    TargetLevel, VLOOKUP(AK13,MS_Labs_Array,3,false),
    LabSpeed, (1 * REGEXEXTRACT($BH$1, ""[\d.-]+"")) * {IF(AK13 =""Labs Speed"", 1+'Master Sheet'!$BK$5, LAB_SPEED_TOTAL())},
    MaxLevel, VLOOKUP(AK13,MS_Labs_Array,4,false),"&amp;"
    MaxOrTarget, IF(OR(TargetLevel = """",$AD$1 &lt;&gt; ""Target""), MaxLevel, TargetLevel),
    LabLevel, VLOOKUP(AK13,MS_Labs_Array,2,False),
    DVTColumn, MATCH(AK13, DVT_Laboratory!$A$1:BO$1, 0),
    xextTime, INDIRECT(""DVT_Laboratory!"" &amp; ADDRESS(LabLe"&amp;"vel+3, DVTColumn)) / LabSpeed,
    remainingTime, SUM(INDIRECT(""DVT_Laboratory!"" &amp; ADDRESS(LabLevel+3, DVTColumn) &amp; "":"" &amp; ADDRESS(MaxOrTarget+2, DVTColumn))) / LabSpeed,
  AK13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"""")"),"Fast Enemy Speed
  Lab Level:      0 / 30 (Max)
  Next Level:    0d  4h 14m
  Max Level:     79d 10h 14m")</f>
        <v>Fast Enemy Speed
  Lab Level:      0 / 30 (Max)
  Next Level:    0d  4h 14m
  Max Level:     79d 10h 14m</v>
      </c>
      <c r="AN13"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O13" s="1249" t="str">
        <f>IFERROR(__xludf.DUMMYFUNCTION("""COMPUTED_VALUE"""),"Helps kill enemies with wall quicker, useful percentage damage; get to at least 11 ")</f>
        <v>Helps kill enemies with wall quicker, useful percentage damage; get to at least 11 </v>
      </c>
      <c r="AP13" s="1249" t="str">
        <f>IFERROR(__xludf.DUMMYFUNCTION("""COMPUTED_VALUE"""),"Land Mine Damage")</f>
        <v>Land Mine Damage</v>
      </c>
      <c r="AQ13" s="1249" t="str">
        <f>IFERROR(__xludf.DUMMYFUNCTION("""COMPUTED_VALUE"""),"Spotlight Missiles")</f>
        <v>Spotlight Missiles</v>
      </c>
      <c r="AR13" s="1250" t="str">
        <f>IFERROR(__xludf.DUMMYFUNCTION("if(AQ13 &lt;&gt; """", 
  LET( 
    TargetLevel, VLOOKUP(AQ13,MS_Labs_Array,3,false),
    MaxLevel, VLOOKUP(AQ13,MS_Labs_Array,4,false),
    MaxOrTarget, IF(OR(TargetLevel = """",$AD$1 &lt;&gt; ""Target""), MaxLevel, TargetLevel),
    LabLevel, VLOOKUP(AQ13,MS_Labs_A"&amp;"rray,2,False),
    Levelprogress, LabLevel / MaxOrTarget,
    DVTColumn, MATCH(AQ13,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3" s="1251" t="str">
        <f>IFERROR(__xludf.DUMMYFUNCTION("if(AQ13 &lt;&gt; """", 
  LET(
    TargetLevel, VLOOKUP(AQ13,MS_Labs_Array,3,false),
    LabSpeed, (1 * REGEXEXTRACT($BH$1, ""[\d.-]+"")) * {IF(AQ13 =""Labs Speed"", 1+'Master Sheet'!$BK$5, LAB_SPEED_TOTAL())},
    MaxLevel, VLOOKUP(AQ13,MS_Labs_Array,4,false),"&amp;"
    MaxOrTarget, IF(OR(TargetLevel = """",$AD$1 &lt;&gt; ""Target""), MaxLevel, TargetLevel),
    LabLevel, VLOOKUP(AQ13,MS_Labs_Array,2,False),
    DVTColumn, MATCH(AQ13, DVT_Laboratory!$A$1:BO$1, 0),
    xextTime, INDIRECT(""DVT_Laboratory!"" &amp; ADDRESS(LabLe"&amp;"vel+3, DVTColumn)) / LabSpeed,
    remainingTime, SUM(INDIRECT(""DVT_Laboratory!"" &amp; ADDRESS(LabLevel+3, DVTColumn) &amp; "":"" &amp; ADDRESS(MaxOrTarget+2, DVTColumn))) / LabSpeed,
  AQ13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"""")"),"Spotlight Missiles
  Lab Level:      1 / 18 (Max)
  Next Level:    0d 10h 41m
  Max Level:     15d  1h 22m")</f>
        <v>Spotlight Missiles
  Lab Level:      1 / 18 (Max)
  Next Level:    0d 10h 41m
  Max Level:     15d  1h 22m</v>
      </c>
      <c r="AT13" s="1249" t="str">
        <f>IFERROR(__xludf.DUMMYFUNCTION("""COMPUTED_VALUE"""),"Basically useless prior to owning SM other than for an event mission, enables SLM Orbless with SM")</f>
        <v>Basically useless prior to owning SM other than for an event mission, enables SLM Orbless with SM</v>
      </c>
      <c r="AU13" s="1249" t="str">
        <f>IFERROR(__xludf.DUMMYFUNCTION("""COMPUTED_VALUE"""),"Can help with orbless farms")</f>
        <v>Can help with orbless farms</v>
      </c>
      <c r="AV13" s="1249" t="str">
        <f>IFERROR(__xludf.DUMMYFUNCTION("""COMPUTED_VALUE"""),"Cash / Wave")</f>
        <v>Cash / Wave</v>
      </c>
      <c r="AW13" s="1249" t="str">
        <f>IFERROR(__xludf.DUMMYFUNCTION("""COMPUTED_VALUE"""),"Missile Despawn Time")</f>
        <v>Missile Despawn Time</v>
      </c>
      <c r="AX13" s="1250" t="str">
        <f>IFERROR(__xludf.DUMMYFUNCTION("if(AW13 &lt;&gt; """", 
  LET( 
    TargetLevel, VLOOKUP(AW13,MS_Labs_Array,3,false),
    MaxLevel, VLOOKUP(AW13,MS_Labs_Array,4,false),
    MaxOrTarget, IF(OR(TargetLevel = """",$AD$1 &lt;&gt; ""Target""), MaxLevel, TargetLevel),
    LabLevel, VLOOKUP(AW13,MS_Labs_A"&amp;"rray,2,False),
    Levelprogress, LabLevel / MaxOrTarget,
    DVTColumn, MATCH(AW13,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3" s="1251" t="str">
        <f>IFERROR(__xludf.DUMMYFUNCTION("if(AW13 &lt;&gt; """", 
  LET(
    TargetLevel, VLOOKUP(AW13,MS_Labs_Array,3,false),
    LabSpeed, (1 * REGEXEXTRACT($BH$1, ""[\d.-]+"")) * {IF(AW13 =""Labs Speed"", 1+'Master Sheet'!$BK$5, LAB_SPEED_TOTAL())},
    MaxLevel, VLOOKUP(AW13,MS_Labs_Array,4,false),"&amp;"
    MaxOrTarget, IF(OR(TargetLevel = """",$AD$1 &lt;&gt; ""Target""), MaxLevel, TargetLevel),
    LabLevel, VLOOKUP(AW13,MS_Labs_Array,2,False),
    DVTColumn, MATCH(AW13, DVT_Laboratory!$A$1:BO$1, 0),
    xextTime, INDIRECT(""DVT_Laboratory!"" &amp; ADDRESS(LabLe"&amp;"vel+3, DVTColumn)) / LabSpeed,
    remainingTime, SUM(INDIRECT(""DVT_Laboratory!"" &amp; ADDRESS(LabLevel+3, DVTColumn) &amp; "":"" &amp; ADDRESS(MaxOrTarget+2, DVTColumn))) / LabSpeed,
  AW13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"""")"),"Missile Despawn Time
  Lab Level:      0 / 20 (Max)
  Next Level:    0d  1h 16m
  Max Level:     10d  0h 41m")</f>
        <v>Missile Despawn Time
  Lab Level:      0 / 20 (Max)
  Next Level:    0d  1h 16m
  Max Level:     10d  0h 41m</v>
      </c>
      <c r="AZ13" s="1249" t="str">
        <f>IFERROR(__xludf.DUMMYFUNCTION("""COMPUTED_VALUE"""),"Useless; if a missile lives long enough for this to matter it was not needed")</f>
        <v>Useless; if a missile lives long enough for this to matter it was not needed</v>
      </c>
      <c r="BA13" s="1249" t="str">
        <f>IFERROR(__xludf.DUMMYFUNCTION("""COMPUTED_VALUE"""),"Kills from enemies matter a lot more")</f>
        <v>Kills from enemies matter a lot more</v>
      </c>
      <c r="BB13" s="1249"/>
      <c r="BC13" s="1249"/>
      <c r="BD13" s="1250" t="str">
        <f>IFERROR(__xludf.DUMMYFUNCTION("if(BC13 &lt;&gt; """", 
  LET( 
    TargetLevel, VLOOKUP(BC13,MS_Labs_Array,3,false),
    MaxLevel, VLOOKUP(BC13,MS_Labs_Array,4,false),
    MaxOrTarget, IF(OR(TargetLevel = """",$AD$1 &lt;&gt; ""Target""), MaxLevel, TargetLevel),
    LabLevel, VLOOKUP(BC13,MS_Labs_A"&amp;"rray,2,False),
    Levelprogress, LabLevel / MaxOrTarget,
    DVTColumn, MATCH(BC13,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3" s="1251" t="str">
        <f>IFERROR(__xludf.DUMMYFUNCTION("if(BC13 &lt;&gt; """", 
  LET(
    TargetLevel, VLOOKUP(BC13,MS_Labs_Array,3,false),
    LabSpeed, (1 * REGEXEXTRACT($BH$1, ""[\d.-]+"")) * {IF(BC13 =""Labs Speed"", 1+'Master Sheet'!$BK$5, LAB_SPEED_TOTAL())},
    MaxLevel, VLOOKUP(BC13,MS_Labs_Array,4,false),"&amp;"
    MaxOrTarget, IF(OR(TargetLevel = """",$AD$1 &lt;&gt; ""Target""), MaxLevel, TargetLevel),
    LabLevel, VLOOKUP(BC13,MS_Labs_Array,2,False),
    DVTColumn, MATCH(BC13, DVT_Laboratory!$A$1:BO$1, 0),
    xextTime, INDIRECT(""DVT_Laboratory!"" &amp; ADDRESS(LabLe"&amp;"vel+3, DVTColumn)) / LabSpeed,
    remainingTime, SUM(INDIRECT(""DVT_Laboratory!"" &amp; ADDRESS(LabLevel+3, DVTColumn) &amp; "":"" &amp; ADDRESS(MaxOrTarget+2, DVTColumn))) / LabSpeed,
  BC13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3" s="1249"/>
      <c r="BG13" s="1249"/>
      <c r="BH13" s="1260" t="str">
        <f>IFERROR(__xludf.DUMMYFUNCTION("""COMPUTED_VALUE"""),"Workshop Respec")</f>
        <v>Workshop Respec</v>
      </c>
      <c r="BI13" s="1252" t="str">
        <f>IFERROR(__xludf.DUMMYFUNCTION("""COMPUTED_VALUE"""),"Orbs Speed")</f>
        <v>Orbs Speed</v>
      </c>
      <c r="BJ13" s="1253" t="str">
        <f>IFERROR(__xludf.DUMMYFUNCTION("if(BI13 &lt;&gt; """", 
  LET( 
    TargetLevel, VLOOKUP(BI13,MS_Labs_Array,3,false),
    MaxLevel, VLOOKUP(BI13,MS_Labs_Array,4,false),
    MaxOrTarget, IF(OR(TargetLevel = """",$AD$1 &lt;&gt; ""Target""), MaxLevel, TargetLevel),
    LabLevel, VLOOKUP(BI13,MS_Labs_A"&amp;"rray,2,False),
    Levelprogress, IF(LabLevel &gt;= MaxOrTarget, 1, LabLevel / MaxOrTarget),
    DVTColumn, MATCH(BI13,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3" s="1254" t="str">
        <f>IFERROR(__xludf.DUMMYFUNCTION("if(BI13 &lt;&gt; """", 
  LET(
    TargetLevel, VLOOKUP(BI13,MS_Labs_Array,3,false),
    LabSpeed, (1 * REGEXEXTRACT($BH$1, ""[\d.-]+"")) * {IF(BI13 =""Labs Speed"", 1+'Master Sheet'!$BK$5, LAB_SPEED_TOTAL())},
    MaxLevel, VLOOKUP(BI13,MS_Labs_Array,4,false),"&amp;"
    MaxOrTarget, IF(OR(TargetLevel = """",$AD$1 &lt;&gt; ""Target""), MaxLevel, TargetLevel),
    LabLevel, VLOOKUP(BI13,MS_Labs_Array,2,False),
    DVTColumn, MATCH(BI13, DVT_Laboratory!$A$1:BO$1, 0),
    xextTime, INDIRECT(""DVT_Laboratory!"" &amp; ADDRESS(LabLe"&amp;"vel+3, DVTColumn)) / LabSpeed,
    remainingTime, SUM(INDIRECT(""DVT_Laboratory!"" &amp; ADDRESS(LabLevel+3, DVTColumn) &amp; "":"" &amp; ADDRESS(MaxOrTarget+2, DVTColumn))) / LabSpeed,
  BI13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"""")"),"Orbs Speed
  Lab Level:      20 / 20 (Max)
  Next Level:    
  Max Level:     1d  5h 37m")</f>
        <v>Orbs Speed
  Lab Level:      20 / 20 (Max)
  Next Level:    
  Max Level:     1d  5h 37m</v>
      </c>
      <c r="BL13" s="1252" t="str">
        <f>IFERROR(__xludf.DUMMYFUNCTION("""COMPUTED_VALUE"""),"Decent to help with orbs clearing enemies better, later good to get more Orb mastery or Orb Boss Hit procs")</f>
        <v>Decent to help with orbs clearing enemies better, later good to get more Orb mastery or Orb Boss Hit procs</v>
      </c>
      <c r="BM13" s="1252" t="str">
        <f>IFERROR(__xludf.DUMMYFUNCTION("""COMPUTED_VALUE"""),"Required for devo strategies and almost mandatory for legend league tournaments. If blender and not in legend it's nice to make the buy workshop upgrades mission cheaper")</f>
        <v>Required for devo strategies and almost mandatory for legend league tournaments. If blender and not in legend it's nice to make the buy workshop upgrades mission cheaper</v>
      </c>
      <c r="BN13" s="1222"/>
      <c r="BO13" s="1261"/>
    </row>
    <row r="14" ht="7.5" customHeight="1">
      <c r="A14" s="1222"/>
      <c r="B14" s="1262" t="s">
        <v>554</v>
      </c>
      <c r="C14" s="1241" t="s">
        <v>286</v>
      </c>
      <c r="D14" s="1242" t="str">
        <f>VLOOKUP(C14,'Remote Tier List'!A:D, 2, FALSE)</f>
        <v>QOL</v>
      </c>
      <c r="E14" s="1243" t="str">
        <f>VLOOKUP(C14,'Remote Tier List'!A:D, 3, FALSE)</f>
        <v>S</v>
      </c>
      <c r="F14" s="1258" t="str">
        <f>VLOOKUP(C14,'Remote Tier List'!A:D, 4, FALSE)</f>
        <v>Required for devo strategies and almost mandatory for legend league tournaments. If blender and not in legend it's nice to make the buy workshop upgrades mission cheaper</v>
      </c>
      <c r="G14" s="1245" t="b">
        <f t="shared" si="10"/>
        <v>1</v>
      </c>
      <c r="H14" s="1265" t="str">
        <f t="array" ref="H14:I14">LET(
  Lab, $C14,
  Mode, $AD$1,
  Level, VLOOKUP(Lab, MS_Labs_Array, 2, FALSE),
  Target, VLOOKUP(Lab, MS_Labs_Array, 3, FALSE),
  Max, VLOOKUP(Lab, MS_Labs_Array, 4, FALSE),
  Result,
    IF(
      AND(
        Mode &lt;&gt; "Never",
        Level &gt;= IF(OR(Target = "", Mode = "Max"), Max, Target)
      ),
      "Completed",
      ""
    ),
  HSTACK(
    IF(Result &lt;&gt; "", Result, $D14),
    IF(Result &lt;&gt; "", Result, IF($E14 = "", $D14, $E14))
  )
)</f>
        <v>Completed</v>
      </c>
      <c r="I14" s="1265" t="s">
        <v>551</v>
      </c>
      <c r="J14" s="1248" t="str">
        <f t="shared" si="11"/>
        <v>Required for devo strategies and almost mandatory for legend league tournaments. If blender and not in legend it's nice to make the buy workshop upgrades mission cheaper</v>
      </c>
      <c r="K14" s="1229"/>
      <c r="L14" s="1249" t="str">
        <f>IFERROR(__xludf.DUMMYFUNCTION("""COMPUTED_VALUE"""),"")</f>
        <v/>
      </c>
      <c r="M14" s="1249"/>
      <c r="N14" s="1250" t="str">
        <f>IFERROR(__xludf.DUMMYFUNCTION("if(M14 &lt;&gt; """", 
  LET( 
    TargetLevel, VLOOKUP(M14,MS_Labs_Array,3,false),
    MaxLevel, VLOOKUP(M14,MS_Labs_Array,4,false),
    MaxOrTarget, IF(OR(TargetLevel = """",$AD$1 &lt;&gt; ""Target""), MaxLevel, TargetLevel),
    LabLevel, VLOOKUP(M14,MS_Labs_Array"&amp;",2,False),
    Levelprogress, LabLevel / MaxOrTarget,
    DVTColumn, MATCH(M14,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4" s="1251" t="str">
        <f>IFERROR(__xludf.DUMMYFUNCTION("if(M14 &lt;&gt; """", 
  LET(
    TargetLevel, VLOOKUP(M14,MS_Labs_Array,3,false),
    LabSpeed, (1 * REGEXEXTRACT($BH$1, ""[\d.-]+"")) * {IF(M14 =""Labs Speed"", 1+'Master Sheet'!$BK$5, LAB_SPEED_TOTAL())},
    MaxLevel, VLOOKUP(M14,MS_Labs_Array,4,false),
   "&amp;" MaxOrTarget, IF(OR(TargetLevel = """",$AD$1 &lt;&gt; ""Target""), MaxLevel, TargetLevel),
    LabLevel, VLOOKUP(M14,MS_Labs_Array,2,False),
    DVTColumn, MATCH(M14, DVT_Laboratory!$A$1:BO$1, 0),
    xextTime, INDIRECT(""DVT_Laboratory!"" &amp; ADDRESS(LabLevel+3,"&amp;" DVTColumn)) / LabSpeed,
    remainingTime, SUM(INDIRECT(""DVT_Laboratory!"" &amp; ADDRESS(LabLevel+3, DVTColumn) &amp; "":"" &amp; ADDRESS(MaxOrTarget+2, DVTColumn))) / LabSpeed,
  M14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4" s="1249"/>
      <c r="Q14" s="1249" t="str">
        <f>IFERROR(__xludf.DUMMYFUNCTION("""COMPUTED_VALUE"""),"")</f>
        <v/>
      </c>
      <c r="R14" s="1249" t="str">
        <f>IFERROR(__xludf.DUMMYFUNCTION("""COMPUTED_VALUE"""),"")</f>
        <v/>
      </c>
      <c r="S14" s="1249"/>
      <c r="T14" s="1250" t="str">
        <f>IFERROR(__xludf.DUMMYFUNCTION("if(S14 &lt;&gt; """", 
  LET( 
    TargetLevel, VLOOKUP(S14,MS_Labs_Array,3,false),
    MaxLevel, VLOOKUP(S14,MS_Labs_Array,4,false),
    MaxOrTarget, IF(OR(TargetLevel = """",$AD$1 &lt;&gt; ""Target""), MaxLevel, TargetLevel),
    LabLevel, VLOOKUP(S14,MS_Labs_Array"&amp;",2,False),
    Levelprogress, LabLevel / MaxOrTarget,
    DVTColumn, MATCH(S14,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4" s="1251" t="str">
        <f>IFERROR(__xludf.DUMMYFUNCTION("if(S14 &lt;&gt; """", 
  LET(
    TargetLevel, VLOOKUP(S14,MS_Labs_Array,3,false),
    LabSpeed, (1 * REGEXEXTRACT($BH$1, ""[\d.-]+"")) * {IF(S14 =""Labs Speed"", 1+'Master Sheet'!$BK$5, LAB_SPEED_TOTAL())},
    MaxLevel, VLOOKUP(S14,MS_Labs_Array,4,false),
   "&amp;" MaxOrTarget, IF(OR(TargetLevel = """",$AD$1 &lt;&gt; ""Target""), MaxLevel, TargetLevel),
    LabLevel, VLOOKUP(S14,MS_Labs_Array,2,False),
    DVTColumn, MATCH(S14, DVT_Laboratory!$A$1:BO$1, 0),
    xextTime, INDIRECT(""DVT_Laboratory!"" &amp; ADDRESS(LabLevel+3,"&amp;" DVTColumn)) / LabSpeed,
    remainingTime, SUM(INDIRECT(""DVT_Laboratory!"" &amp; ADDRESS(LabLevel+3, DVTColumn) &amp; "":"" &amp; ADDRESS(MaxOrTarget+2, DVTColumn))) / LabSpeed,
  S14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4" s="1249"/>
      <c r="W14" s="1249" t="str">
        <f>IFERROR(__xludf.DUMMYFUNCTION("""COMPUTED_VALUE"""),"Assist Module Substats - Core
  Lab Level:      0 / 30 (Max)
  Next Level:    0d 16h 28m
  Max Level:     319d  3h 13m")</f>
        <v>Assist Module Substats - Core
  Lab Level:      0 / 30 (Max)
  Next Level:    0d 16h 28m
  Max Level:     319d  3h 13m</v>
      </c>
      <c r="X14" s="1249" t="str">
        <f>IFERROR(__xludf.DUMMYFUNCTION("""COMPUTED_VALUE"""),"")</f>
        <v/>
      </c>
      <c r="Y14" s="1249" t="str">
        <f>IFERROR(__xludf.DUMMYFUNCTION("""COMPUTED_VALUE"""),"Coins / Kill Bonus")</f>
        <v>Coins / Kill Bonus</v>
      </c>
      <c r="Z14" s="1250" t="str">
        <f>IFERROR(__xludf.DUMMYFUNCTION("if(Y14 &lt;&gt; """", 
  LET( 
    TargetLevel, VLOOKUP(Y14,MS_Labs_Array,3,false),
    MaxLevel, VLOOKUP(Y14,MS_Labs_Array,4,false),
    MaxOrTarget, IF(OR(TargetLevel = """",$AD$1 &lt;&gt; ""Target""), MaxLevel, TargetLevel),
    LabLevel, VLOOKUP(Y14,MS_Labs_Array"&amp;",2,False),
    Levelprogress, LabLevel / MaxOrTarget,
    DVTColumn, MATCH(Y14,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4" s="1251" t="str">
        <f>IFERROR(__xludf.DUMMYFUNCTION("if(Y14 &lt;&gt; """", 
  LET(
    TargetLevel, VLOOKUP(Y14,MS_Labs_Array,3,false),
    LabSpeed, (1 * REGEXEXTRACT($BH$1, ""[\d.-]+"")) * {IF(Y14 =""Labs Speed"", 1+'Master Sheet'!$BK$5, LAB_SPEED_TOTAL())},
    MaxLevel, VLOOKUP(Y14,MS_Labs_Array,4,false),
   "&amp;" MaxOrTarget, IF(OR(TargetLevel = """",$AD$1 &lt;&gt; ""Target""), MaxLevel, TargetLevel),
    LabLevel, VLOOKUP(Y14,MS_Labs_Array,2,False),
    DVTColumn, MATCH(Y14, DVT_Laboratory!$A$1:BO$1, 0),
    xextTime, INDIRECT(""DVT_Laboratory!"" &amp; ADDRESS(LabLevel+3,"&amp;" DVTColumn)) / LabSpeed,
    remainingTime, SUM(INDIRECT(""DVT_Laboratory!"" &amp; ADDRESS(LabLevel+3, DVTColumn) &amp; "":"" &amp; ADDRESS(MaxOrTarget+2, DVTColumn))) / LabSpeed,
  Y14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"""")"),"Coins / Kill Bonus
  Lab Level:      87 / 99 (Max)
  Next Level:    2d  8h 16m
  Max Level:     32d 15h 38m")</f>
        <v>Coins / Kill Bonus
  Lab Level:      87 / 99 (Max)
  Next Level:    2d  8h 16m
  Max Level:     32d 15h 38m</v>
      </c>
      <c r="AB14" s="1249" t="str">
        <f>IFERROR(__xludf.DUMMYFUNCTION("""COMPUTED_VALUE"""),"Excellent lab, eventually max it, but balance it with UW econ labs")</f>
        <v>Excellent lab, eventually max it, but balance it with UW econ labs</v>
      </c>
      <c r="AC14" s="1249" t="str">
        <f>IFERROR(__xludf.DUMMYFUNCTION("""COMPUTED_VALUE"""),"Damage / Meter
  Lab Level:      16 / 99 (Max)
  Next Level:    0d  1h  2m
  Max Level:     91d 15h 12m")</f>
        <v>Damage / Meter
  Lab Level:      16 / 99 (Max)
  Next Level:    0d  1h  2m
  Max Level:     91d 15h 12m</v>
      </c>
      <c r="AD14" s="1249" t="str">
        <f>IFERROR(__xludf.DUMMYFUNCTION("""COMPUTED_VALUE"""),"")</f>
        <v/>
      </c>
      <c r="AE14" s="1249" t="str">
        <f>IFERROR(__xludf.DUMMYFUNCTION("""COMPUTED_VALUE"""),"Swamp Rend")</f>
        <v>Swamp Rend</v>
      </c>
      <c r="AF14" s="1250" t="str">
        <f>IFERROR(__xludf.DUMMYFUNCTION("if(AE14 &lt;&gt; """", 
  LET( 
    TargetLevel, VLOOKUP(AE14,MS_Labs_Array,3,false),
    MaxLevel, VLOOKUP(AE14,MS_Labs_Array,4,false),
    MaxOrTarget, IF(OR(TargetLevel = """",$AD$1 &lt;&gt; ""Target""), MaxLevel, TargetLevel),
    LabLevel, VLOOKUP(AE14,MS_Labs_A"&amp;"rray,2,False),
    Levelprogress, LabLevel / MaxOrTarget,
    DVTColumn, MATCH(AE14,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4" s="1251" t="str">
        <f>IFERROR(__xludf.DUMMYFUNCTION("if(AE14 &lt;&gt; """", 
  LET(
    TargetLevel, VLOOKUP(AE14,MS_Labs_Array,3,false),
    LabSpeed, (1 * REGEXEXTRACT($BH$1, ""[\d.-]+"")) * {IF(AE14 =""Labs Speed"", 1+'Master Sheet'!$BK$5, LAB_SPEED_TOTAL())},
    MaxLevel, VLOOKUP(AE14,MS_Labs_Array,4,false),"&amp;"
    MaxOrTarget, IF(OR(TargetLevel = """",$AD$1 &lt;&gt; ""Target""), MaxLevel, TargetLevel),
    LabLevel, VLOOKUP(AE14,MS_Labs_Array,2,False),
    DVTColumn, MATCH(AE14, DVT_Laboratory!$A$1:BO$1, 0),
    xextTime, INDIRECT(""DVT_Laboratory!"" &amp; ADDRESS(LabLe"&amp;"vel+3, DVTColumn)) / LabSpeed,
    remainingTime, SUM(INDIRECT(""DVT_Laboratory!"" &amp; ADDRESS(LabLevel+3, DVTColumn) &amp; "":"" &amp; ADDRESS(MaxOrTarget+2, DVTColumn))) / LabSpeed,
  AE14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"""")"),"Swamp Rend
  Lab Level:      0 / 30 (Max)
  Next Level:    0d 12h 42m
  Max Level:     127d 19h 20m")</f>
        <v>Swamp Rend
  Lab Level:      0 / 30 (Max)
  Next Level:    0d 12h 42m
  Max Level:     127d 19h 20m</v>
      </c>
      <c r="AH14" s="1249" t="str">
        <f>IFERROR(__xludf.DUMMYFUNCTION("""COMPUTED_VALUE"""),"An important part in making PS damage matter and even strong. Great against Ultimate Tanks")</f>
        <v>An important part in making PS damage matter and even strong. Great against Ultimate Tanks</v>
      </c>
      <c r="AI14" s="1249" t="str">
        <f>IFERROR(__xludf.DUMMYFUNCTION("""COMPUTED_VALUE"""),"Cash Bonus
  Lab Level:      33 / 99 (Max)
  Next Level:    0d  5h 37m
  Max Level:     89d 14h 54m")</f>
        <v>Cash Bonus
  Lab Level:      33 / 99 (Max)
  Next Level:    0d  5h 37m
  Max Level:     89d 14h 54m</v>
      </c>
      <c r="AJ14" s="1249" t="str">
        <f>IFERROR(__xludf.DUMMYFUNCTION("""COMPUTED_VALUE"""),"")</f>
        <v/>
      </c>
      <c r="AK14" s="1249" t="str">
        <f>IFERROR(__xludf.DUMMYFUNCTION("""COMPUTED_VALUE"""),"Boss Health")</f>
        <v>Boss Health</v>
      </c>
      <c r="AL14" s="1250" t="str">
        <f>IFERROR(__xludf.DUMMYFUNCTION("if(AK14 &lt;&gt; """", 
  LET( 
    TargetLevel, VLOOKUP(AK14,MS_Labs_Array,3,false),
    MaxLevel, VLOOKUP(AK14,MS_Labs_Array,4,false),
    MaxOrTarget, IF(OR(TargetLevel = """",$AD$1 &lt;&gt; ""Target""), MaxLevel, TargetLevel),
    LabLevel, VLOOKUP(AK14,MS_Labs_A"&amp;"rray,2,False),
    Levelprogress, LabLevel / MaxOrTarget,
    DVTColumn, MATCH(AK14,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4" s="1251" t="str">
        <f>IFERROR(__xludf.DUMMYFUNCTION("if(AK14 &lt;&gt; """", 
  LET(
    TargetLevel, VLOOKUP(AK14,MS_Labs_Array,3,false),
    LabSpeed, (1 * REGEXEXTRACT($BH$1, ""[\d.-]+"")) * {IF(AK14 =""Labs Speed"", 1+'Master Sheet'!$BK$5, LAB_SPEED_TOTAL())},
    MaxLevel, VLOOKUP(AK14,MS_Labs_Array,4,false),"&amp;"
    MaxOrTarget, IF(OR(TargetLevel = """",$AD$1 &lt;&gt; ""Target""), MaxLevel, TargetLevel),
    LabLevel, VLOOKUP(AK14,MS_Labs_Array,2,False),
    DVTColumn, MATCH(AK14, DVT_Laboratory!$A$1:BO$1, 0),
    xextTime, INDIRECT(""DVT_Laboratory!"" &amp; ADDRESS(LabLe"&amp;"vel+3, DVTColumn)) / LabSpeed,
    remainingTime, SUM(INDIRECT(""DVT_Laboratory!"" &amp; ADDRESS(LabLevel+3, DVTColumn) &amp; "":"" &amp; ADDRESS(MaxOrTarget+2, DVTColumn))) / LabSpeed,
  AK14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"""")"),"Boss Health
  Lab Level:      0 / 30 (Max)
  Next Level:    0d  3h 31m
  Max Level:     78d 13h  3m")</f>
        <v>Boss Health
  Lab Level:      0 / 30 (Max)
  Next Level:    0d  3h 31m
  Max Level:     78d 13h  3m</v>
      </c>
      <c r="AN14"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O14" s="1249" t="str">
        <f>IFERROR(__xludf.DUMMYFUNCTION("""COMPUTED_VALUE"""),"Wall Thorns
  Lab Level:      15 / 20 (Max)
  Next Level:    6d  6h 40m
  Max Level:     55d  0h 35m")</f>
        <v>Wall Thorns
  Lab Level:      15 / 20 (Max)
  Next Level:    6d  6h 40m
  Max Level:     55d  0h 35m</v>
      </c>
      <c r="AP14" s="1249" t="str">
        <f>IFERROR(__xludf.DUMMYFUNCTION("""COMPUTED_VALUE"""),"")</f>
        <v/>
      </c>
      <c r="AQ14" s="1249" t="str">
        <f>IFERROR(__xludf.DUMMYFUNCTION("""COMPUTED_VALUE"""),"Death Wave Damage Amplifier")</f>
        <v>Death Wave Damage Amplifier</v>
      </c>
      <c r="AR14" s="1250" t="str">
        <f>IFERROR(__xludf.DUMMYFUNCTION("if(AQ14 &lt;&gt; """", 
  LET( 
    TargetLevel, VLOOKUP(AQ14,MS_Labs_Array,3,false),
    MaxLevel, VLOOKUP(AQ14,MS_Labs_Array,4,false),
    MaxOrTarget, IF(OR(TargetLevel = """",$AD$1 &lt;&gt; ""Target""), MaxLevel, TargetLevel),
    LabLevel, VLOOKUP(AQ14,MS_Labs_A"&amp;"rray,2,False),
    Levelprogress, LabLevel / MaxOrTarget,
    DVTColumn, MATCH(AQ14,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4" s="1251" t="str">
        <f>IFERROR(__xludf.DUMMYFUNCTION("if(AQ14 &lt;&gt; """", 
  LET(
    TargetLevel, VLOOKUP(AQ14,MS_Labs_Array,3,false),
    LabSpeed, (1 * REGEXEXTRACT($BH$1, ""[\d.-]+"")) * {IF(AQ14 =""Labs Speed"", 1+'Master Sheet'!$BK$5, LAB_SPEED_TOTAL())},
    MaxLevel, VLOOKUP(AQ14,MS_Labs_Array,4,false),"&amp;"
    MaxOrTarget, IF(OR(TargetLevel = """",$AD$1 &lt;&gt; ""Target""), MaxLevel, TargetLevel),
    LabLevel, VLOOKUP(AQ14,MS_Labs_Array,2,False),
    DVTColumn, MATCH(AQ14, DVT_Laboratory!$A$1:BO$1, 0),
    xextTime, INDIRECT(""DVT_Laboratory!"" &amp; ADDRESS(LabLe"&amp;"vel+3, DVTColumn)) / LabSpeed,
    remainingTime, SUM(INDIRECT(""DVT_Laboratory!"" &amp; ADDRESS(LabLevel+3, DVTColumn) &amp; "":"" &amp; ADDRESS(MaxOrTarget+2, DVTColumn))) / LabSpeed,
  AQ14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"""")"),"Death Wave Damage Amplifier
  Lab Level:      2 / 30 (Max)
  Next Level:    0d 15h 56m
  Max Level:     126d 16h 58m")</f>
        <v>Death Wave Damage Amplifier
  Lab Level:      2 / 30 (Max)
  Next Level:    0d 15h 56m
  Max Level:     126d 16h 58m</v>
      </c>
      <c r="AT14" s="1249" t="str">
        <f>IFERROR(__xludf.DUMMYFUNCTION("""COMPUTED_VALUE"""),"Niche use with Ring or Max Devo farming. Decent for bosses with DW+")</f>
        <v>Niche use with Ring or Max Devo farming. Decent for bosses with DW+</v>
      </c>
      <c r="AU14" s="1249" t="str">
        <f>IFERROR(__xludf.DUMMYFUNCTION("""COMPUTED_VALUE"""),"Land Mine Damage
  Lab Level:      0 / 20 (Max)
  Next Level:    0d  0h  6m
  Max Level:     9d  1h 22m")</f>
        <v>Land Mine Damage
  Lab Level:      0 / 20 (Max)
  Next Level:    0d  0h  6m
  Max Level:     9d  1h 22m</v>
      </c>
      <c r="AV14" s="1249" t="str">
        <f>IFERROR(__xludf.DUMMYFUNCTION("""COMPUTED_VALUE"""),"")</f>
        <v/>
      </c>
      <c r="AW14" s="1249" t="str">
        <f>IFERROR(__xludf.DUMMYFUNCTION("""COMPUTED_VALUE"""),"Swamp Radius")</f>
        <v>Swamp Radius</v>
      </c>
      <c r="AX14" s="1250" t="str">
        <f>IFERROR(__xludf.DUMMYFUNCTION("if(AW14 &lt;&gt; """", 
  LET( 
    TargetLevel, VLOOKUP(AW14,MS_Labs_Array,3,false),
    MaxLevel, VLOOKUP(AW14,MS_Labs_Array,4,false),
    MaxOrTarget, IF(OR(TargetLevel = """",$AD$1 &lt;&gt; ""Target""), MaxLevel, TargetLevel),
    LabLevel, VLOOKUP(AW14,MS_Labs_A"&amp;"rray,2,False),
    Levelprogress, LabLevel / MaxOrTarget,
    DVTColumn, MATCH(AW14,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4" s="1251" t="str">
        <f>IFERROR(__xludf.DUMMYFUNCTION("if(AW14 &lt;&gt; """", 
  LET(
    TargetLevel, VLOOKUP(AW14,MS_Labs_Array,3,false),
    LabSpeed, (1 * REGEXEXTRACT($BH$1, ""[\d.-]+"")) * {IF(AW14 =""Labs Speed"", 1+'Master Sheet'!$BK$5, LAB_SPEED_TOTAL())},
    MaxLevel, VLOOKUP(AW14,MS_Labs_Array,4,false),"&amp;"
    MaxOrTarget, IF(OR(TargetLevel = """",$AD$1 &lt;&gt; ""Target""), MaxLevel, TargetLevel),
    LabLevel, VLOOKUP(AW14,MS_Labs_Array,2,False),
    DVTColumn, MATCH(AW14, DVT_Laboratory!$A$1:BO$1, 0),
    xextTime, INDIRECT(""DVT_Laboratory!"" &amp; ADDRESS(LabLe"&amp;"vel+3, DVTColumn)) / LabSpeed,
    remainingTime, SUM(INDIRECT(""DVT_Laboratory!"" &amp; ADDRESS(LabLevel+3, DVTColumn) &amp; "":"" &amp; ADDRESS(MaxOrTarget+2, DVTColumn))) / LabSpeed,
  AW14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"""")"),"Swamp Radius
  Lab Level:      0 / 30 (Max)
  Next Level:    0d  1h 16m
  Max Level:     52d 10h 56m")</f>
        <v>Swamp Radius
  Lab Level:      0 / 30 (Max)
  Next Level:    0d  1h 16m
  Max Level:     52d 10h 56m</v>
      </c>
      <c r="AZ14" s="1249" t="str">
        <f>IFERROR(__xludf.DUMMYFUNCTION("""COMPUTED_VALUE"""),"Potential footgun regarding where the enemy gets stunned. Proceed with caution. Can be partly counteracted by using a higher range")</f>
        <v>Potential footgun regarding where the enemy gets stunned. Proceed with caution. Can be partly counteracted by using a higher range</v>
      </c>
      <c r="BA14" s="1249" t="str">
        <f>IFERROR(__xludf.DUMMYFUNCTION("""COMPUTED_VALUE"""),"Cash / Wave
  Lab Level:      8 / 99 (Max)
  Next Level:    0d  0h 13m
  Max Level:     91d 19h 24m")</f>
        <v>Cash / Wave
  Lab Level:      8 / 99 (Max)
  Next Level:    0d  0h 13m
  Max Level:     91d 19h 24m</v>
      </c>
      <c r="BB14" s="1249" t="str">
        <f>IFERROR(__xludf.DUMMYFUNCTION("""COMPUTED_VALUE"""),"")</f>
        <v/>
      </c>
      <c r="BC14" s="1249"/>
      <c r="BD14" s="1250" t="str">
        <f>IFERROR(__xludf.DUMMYFUNCTION("if(BC14 &lt;&gt; """", 
  LET( 
    TargetLevel, VLOOKUP(BC14,MS_Labs_Array,3,false),
    MaxLevel, VLOOKUP(BC14,MS_Labs_Array,4,false),
    MaxOrTarget, IF(OR(TargetLevel = """",$AD$1 &lt;&gt; ""Target""), MaxLevel, TargetLevel),
    LabLevel, VLOOKUP(BC14,MS_Labs_A"&amp;"rray,2,False),
    Levelprogress, LabLevel / MaxOrTarget,
    DVTColumn, MATCH(BC14,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4" s="1251" t="str">
        <f>IFERROR(__xludf.DUMMYFUNCTION("if(BC14 &lt;&gt; """", 
  LET(
    TargetLevel, VLOOKUP(BC14,MS_Labs_Array,3,false),
    LabSpeed, (1 * REGEXEXTRACT($BH$1, ""[\d.-]+"")) * {IF(BC14 =""Labs Speed"", 1+'Master Sheet'!$BK$5, LAB_SPEED_TOTAL())},
    MaxLevel, VLOOKUP(BC14,MS_Labs_Array,4,false),"&amp;"
    MaxOrTarget, IF(OR(TargetLevel = """",$AD$1 &lt;&gt; ""Target""), MaxLevel, TargetLevel),
    LabLevel, VLOOKUP(BC14,MS_Labs_Array,2,False),
    DVTColumn, MATCH(BC14, DVT_Laboratory!$A$1:BO$1, 0),
    xextTime, INDIRECT(""DVT_Laboratory!"" &amp; ADDRESS(LabLe"&amp;"vel+3, DVTColumn)) / LabSpeed,
    remainingTime, SUM(INDIRECT(""DVT_Laboratory!"" &amp; ADDRESS(LabLevel+3, DVTColumn) &amp; "":"" &amp; ADDRESS(MaxOrTarget+2, DVTColumn))) / LabSpeed,
  BC14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4" s="1249"/>
      <c r="BG14" s="1249" t="str">
        <f>IFERROR(__xludf.DUMMYFUNCTION("""COMPUTED_VALUE"""),"")</f>
        <v/>
      </c>
      <c r="BH14" s="1260" t="str">
        <f>IFERROR(__xludf.DUMMYFUNCTION("""COMPUTED_VALUE"""),"")</f>
        <v/>
      </c>
      <c r="BI14" s="1252" t="str">
        <f>IFERROR(__xludf.DUMMYFUNCTION("""COMPUTED_VALUE"""),"Orb Boss Hit")</f>
        <v>Orb Boss Hit</v>
      </c>
      <c r="BJ14" s="1253" t="str">
        <f>IFERROR(__xludf.DUMMYFUNCTION("if(BI14 &lt;&gt; """", 
  LET( 
    TargetLevel, VLOOKUP(BI14,MS_Labs_Array,3,false),
    MaxLevel, VLOOKUP(BI14,MS_Labs_Array,4,false),
    MaxOrTarget, IF(OR(TargetLevel = """",$AD$1 &lt;&gt; ""Target""), MaxLevel, TargetLevel),
    LabLevel, VLOOKUP(BI14,MS_Labs_A"&amp;"rray,2,False),
    Levelprogress, IF(LabLevel &gt;= MaxOrTarget, 1, LabLevel / MaxOrTarget),
    DVTColumn, MATCH(BI14,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4" s="1254" t="str">
        <f>IFERROR(__xludf.DUMMYFUNCTION("if(BI14 &lt;&gt; """", 
  LET(
    TargetLevel, VLOOKUP(BI14,MS_Labs_Array,3,false),
    LabSpeed, (1 * REGEXEXTRACT($BH$1, ""[\d.-]+"")) * {IF(BI14 =""Labs Speed"", 1+'Master Sheet'!$BK$5, LAB_SPEED_TOTAL())},
    MaxLevel, VLOOKUP(BI14,MS_Labs_Array,4,false),"&amp;"
    MaxOrTarget, IF(OR(TargetLevel = """",$AD$1 &lt;&gt; ""Target""), MaxLevel, TargetLevel),
    LabLevel, VLOOKUP(BI14,MS_Labs_Array,2,False),
    DVTColumn, MATCH(BI14, DVT_Laboratory!$A$1:BO$1, 0),
    xextTime, INDIRECT(""DVT_Laboratory!"" &amp; ADDRESS(LabLe"&amp;"vel+3, DVTColumn)) / LabSpeed,
    remainingTime, SUM(INDIRECT(""DVT_Laboratory!"" &amp; ADDRESS(LabLevel+3, DVTColumn) &amp; "":"" &amp; ADDRESS(MaxOrTarget+2, DVTColumn))) / LabSpeed,
  BI14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"""")"),"Orb Boss Hit
  Lab Level:      10 / 10 (Max)
  Next Level:    
  Max Level:     0d  9h 53m")</f>
        <v>Orb Boss Hit
  Lab Level:      10 / 10 (Max)
  Next Level:    
  Max Level:     0d  9h 53m</v>
      </c>
      <c r="BL14" s="1252" t="str">
        <f>IFERROR(__xludf.DUMMYFUNCTION("""COMPUTED_VALUE"""),"Mostly useless until you have developed CC to force bosses to stay in orb line longer")</f>
        <v>Mostly useless until you have developed CC to force bosses to stay in orb line longer</v>
      </c>
      <c r="BM14" s="1252" t="str">
        <f>IFERROR(__xludf.DUMMYFUNCTION("""COMPUTED_VALUE"""),"Workshop Respec
  Lab Level:      1 / 1 (Max)
  Next Level:    
  Max Level:     0d  3h 52m")</f>
        <v>Workshop Respec
  Lab Level:      1 / 1 (Max)
  Next Level:    
  Max Level:     0d  3h 52m</v>
      </c>
      <c r="BN14" s="1222"/>
      <c r="BO14" s="1261"/>
    </row>
    <row r="15">
      <c r="A15" s="1222"/>
      <c r="B15" s="1257"/>
      <c r="C15" s="1241" t="s">
        <v>294</v>
      </c>
      <c r="D15" s="1242" t="str">
        <f>VLOOKUP(C15,'Remote Tier List'!A:D, 2, FALSE)</f>
        <v>QOL</v>
      </c>
      <c r="E15" s="1243" t="str">
        <f>VLOOKUP(C15,'Remote Tier List'!A:D, 3, FALSE)</f>
        <v/>
      </c>
      <c r="F15" s="1258" t="str">
        <f>VLOOKUP(C15,'Remote Tier List'!A:D, 4, FALSE)</f>
        <v>Costs 5 gems to use</v>
      </c>
      <c r="G15" s="1245" t="b">
        <f t="shared" si="10"/>
        <v>1</v>
      </c>
      <c r="H15" s="1246" t="str">
        <f t="array" ref="H15:I15">LET(
  Lab, $C15,
  Mode, $AD$1,
  Level, VLOOKUP(Lab, MS_Labs_Array, 2, FALSE),
  Target, VLOOKUP(Lab, MS_Labs_Array, 3, FALSE),
  Max, VLOOKUP(Lab, MS_Labs_Array, 4, FALSE),
  Result,
    IF(
      AND(
        Mode &lt;&gt; "Never",
        Level &gt;= IF(OR(Target = "", Mode = "Max"), Max, Target)
      ),
      "Completed",
      ""
    ),
  HSTACK(
    IF(Result &lt;&gt; "", Result, $D15),
    IF(Result &lt;&gt; "", Result, IF($E15 = "", $D15, $E15))
  )
)</f>
        <v>Completed</v>
      </c>
      <c r="I15" s="1247" t="s">
        <v>551</v>
      </c>
      <c r="J15" s="1248" t="str">
        <f t="shared" si="11"/>
        <v>Costs 5 gems to use</v>
      </c>
      <c r="K15" s="1229"/>
      <c r="L15" s="1249"/>
      <c r="M15" s="1249"/>
      <c r="N15" s="1250" t="str">
        <f>IFERROR(__xludf.DUMMYFUNCTION("if(M15 &lt;&gt; """", 
  LET( 
    TargetLevel, VLOOKUP(M15,MS_Labs_Array,3,false),
    MaxLevel, VLOOKUP(M15,MS_Labs_Array,4,false),
    MaxOrTarget, IF(OR(TargetLevel = """",$AD$1 &lt;&gt; ""Target""), MaxLevel, TargetLevel),
    LabLevel, VLOOKUP(M15,MS_Labs_Array"&amp;",2,False),
    Levelprogress, LabLevel / MaxOrTarget,
    DVTColumn, MATCH(M15,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5" s="1251" t="str">
        <f>IFERROR(__xludf.DUMMYFUNCTION("if(M15 &lt;&gt; """", 
  LET(
    TargetLevel, VLOOKUP(M15,MS_Labs_Array,3,false),
    LabSpeed, (1 * REGEXEXTRACT($BH$1, ""[\d.-]+"")) * {IF(M15 =""Labs Speed"", 1+'Master Sheet'!$BK$5, LAB_SPEED_TOTAL())},
    MaxLevel, VLOOKUP(M15,MS_Labs_Array,4,false),
   "&amp;" MaxOrTarget, IF(OR(TargetLevel = """",$AD$1 &lt;&gt; ""Target""), MaxLevel, TargetLevel),
    LabLevel, VLOOKUP(M15,MS_Labs_Array,2,False),
    DVTColumn, MATCH(M15, DVT_Laboratory!$A$1:BO$1, 0),
    xextTime, INDIRECT(""DVT_Laboratory!"" &amp; ADDRESS(LabLevel+3,"&amp;" DVTColumn)) / LabSpeed,
    remainingTime, SUM(INDIRECT(""DVT_Laboratory!"" &amp; ADDRESS(LabLevel+3, DVTColumn) &amp; "":"" &amp; ADDRESS(MaxOrTarget+2, DVTColumn))) / LabSpeed,
  M15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5" s="1249"/>
      <c r="Q15" s="1249"/>
      <c r="R15" s="1249"/>
      <c r="S15" s="1249"/>
      <c r="T15" s="1250" t="str">
        <f>IFERROR(__xludf.DUMMYFUNCTION("if(S15 &lt;&gt; """", 
  LET( 
    TargetLevel, VLOOKUP(S15,MS_Labs_Array,3,false),
    MaxLevel, VLOOKUP(S15,MS_Labs_Array,4,false),
    MaxOrTarget, IF(OR(TargetLevel = """",$AD$1 &lt;&gt; ""Target""), MaxLevel, TargetLevel),
    LabLevel, VLOOKUP(S15,MS_Labs_Array"&amp;",2,False),
    Levelprogress, LabLevel / MaxOrTarget,
    DVTColumn, MATCH(S15,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5" s="1251" t="str">
        <f>IFERROR(__xludf.DUMMYFUNCTION("if(S15 &lt;&gt; """", 
  LET(
    TargetLevel, VLOOKUP(S15,MS_Labs_Array,3,false),
    LabSpeed, (1 * REGEXEXTRACT($BH$1, ""[\d.-]+"")) * {IF(S15 =""Labs Speed"", 1+'Master Sheet'!$BK$5, LAB_SPEED_TOTAL())},
    MaxLevel, VLOOKUP(S15,MS_Labs_Array,4,false),
   "&amp;" MaxOrTarget, IF(OR(TargetLevel = """",$AD$1 &lt;&gt; ""Target""), MaxLevel, TargetLevel),
    LabLevel, VLOOKUP(S15,MS_Labs_Array,2,False),
    DVTColumn, MATCH(S15, DVT_Laboratory!$A$1:BO$1, 0),
    xextTime, INDIRECT(""DVT_Laboratory!"" &amp; ADDRESS(LabLevel+3,"&amp;" DVTColumn)) / LabSpeed,
    remainingTime, SUM(INDIRECT(""DVT_Laboratory!"" &amp; ADDRESS(LabLevel+3, DVTColumn) &amp; "":"" &amp; ADDRESS(MaxOrTarget+2, DVTColumn))) / LabSpeed,
  S15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5" s="1249"/>
      <c r="W15" s="1249"/>
      <c r="X15" s="1249" t="str">
        <f>IFERROR(__xludf.DUMMYFUNCTION("""COMPUTED_VALUE"""),"Health Regen")</f>
        <v>Health Regen</v>
      </c>
      <c r="Y15" s="1249" t="str">
        <f>IFERROR(__xludf.DUMMYFUNCTION("""COMPUTED_VALUE"""),"Missiles Explosion")</f>
        <v>Missiles Explosion</v>
      </c>
      <c r="Z15" s="1250" t="str">
        <f>IFERROR(__xludf.DUMMYFUNCTION("if(Y15 &lt;&gt; """", 
  LET( 
    TargetLevel, VLOOKUP(Y15,MS_Labs_Array,3,false),
    MaxLevel, VLOOKUP(Y15,MS_Labs_Array,4,false),
    MaxOrTarget, IF(OR(TargetLevel = """",$AD$1 &lt;&gt; ""Target""), MaxLevel, TargetLevel),
    LabLevel, VLOOKUP(Y15,MS_Labs_Array"&amp;",2,False),
    Levelprogress, LabLevel / MaxOrTarget,
    DVTColumn, MATCH(Y15,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5" s="1251" t="str">
        <f>IFERROR(__xludf.DUMMYFUNCTION("if(Y15 &lt;&gt; """", 
  LET(
    TargetLevel, VLOOKUP(Y15,MS_Labs_Array,3,false),
    LabSpeed, (1 * REGEXEXTRACT($BH$1, ""[\d.-]+"")) * {IF(Y15 =""Labs Speed"", 1+'Master Sheet'!$BK$5, LAB_SPEED_TOTAL())},
    MaxLevel, VLOOKUP(Y15,MS_Labs_Array,4,false),
   "&amp;" MaxOrTarget, IF(OR(TargetLevel = """",$AD$1 &lt;&gt; ""Target""), MaxLevel, TargetLevel),
    LabLevel, VLOOKUP(Y15,MS_Labs_Array,2,False),
    DVTColumn, MATCH(Y15, DVT_Laboratory!$A$1:BO$1, 0),
    xextTime, INDIRECT(""DVT_Laboratory!"" &amp; ADDRESS(LabLevel+3,"&amp;" DVTColumn)) / LabSpeed,
    remainingTime, SUM(INDIRECT(""DVT_Laboratory!"" &amp; ADDRESS(LabLevel+3, DVTColumn) &amp; "":"" &amp; ADDRESS(MaxOrTarget+2, DVTColumn))) / LabSpeed,
  Y15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"""")"),"Missiles Explosion
  Lab Level:      0 / 1 (Max)
  Next Level:    0d  1h 25m
  Max Level:     0d  1h 25m")</f>
        <v>Missiles Explosion
  Lab Level:      0 / 1 (Max)
  Next Level:    0d  1h 25m
  Max Level:     0d  1h 25m</v>
      </c>
      <c r="AB15" s="1249" t="str">
        <f>IFERROR(__xludf.DUMMYFUNCTION("""COMPUTED_VALUE"""),"Adds crucial splash damage to Missiles")</f>
        <v>Adds crucial splash damage to Missiles</v>
      </c>
      <c r="AC15" s="1249" t="str">
        <f>IFERROR(__xludf.DUMMYFUNCTION("""COMPUTED_VALUE"""),"Crucial for eHp, useless before owning WHR or Wall and for Glass Cannon builds")</f>
        <v>Crucial for eHp, useless before owning WHR or Wall and for Glass Cannon builds</v>
      </c>
      <c r="AD15" s="1249" t="str">
        <f>IFERROR(__xludf.DUMMYFUNCTION("""COMPUTED_VALUE"""),"Missile Radius")</f>
        <v>Missile Radius</v>
      </c>
      <c r="AE15" s="1249" t="str">
        <f>IFERROR(__xludf.DUMMYFUNCTION("""COMPUTED_VALUE"""),"Swamp Rend - Additional Enemies")</f>
        <v>Swamp Rend - Additional Enemies</v>
      </c>
      <c r="AF15" s="1250" t="str">
        <f>IFERROR(__xludf.DUMMYFUNCTION("if(AE15 &lt;&gt; """", 
  LET( 
    TargetLevel, VLOOKUP(AE15,MS_Labs_Array,3,false),
    MaxLevel, VLOOKUP(AE15,MS_Labs_Array,4,false),
    MaxOrTarget, IF(OR(TargetLevel = """",$AD$1 &lt;&gt; ""Target""), MaxLevel, TargetLevel),
    LabLevel, VLOOKUP(AE15,MS_Labs_A"&amp;"rray,2,False),
    Levelprogress, LabLevel / MaxOrTarget,
    DVTColumn, MATCH(AE15,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5" s="1251" t="str">
        <f>IFERROR(__xludf.DUMMYFUNCTION("if(AE15 &lt;&gt; """", 
  LET(
    TargetLevel, VLOOKUP(AE15,MS_Labs_Array,3,false),
    LabSpeed, (1 * REGEXEXTRACT($BH$1, ""[\d.-]+"")) * {IF(AE15 =""Labs Speed"", 1+'Master Sheet'!$BK$5, LAB_SPEED_TOTAL())},
    MaxLevel, VLOOKUP(AE15,MS_Labs_Array,4,false),"&amp;"
    MaxOrTarget, IF(OR(TargetLevel = """",$AD$1 &lt;&gt; ""Target""), MaxLevel, TargetLevel),
    LabLevel, VLOOKUP(AE15,MS_Labs_Array,2,False),
    DVTColumn, MATCH(AE15, DVT_Laboratory!$A$1:BO$1, 0),
    xextTime, INDIRECT(""DVT_Laboratory!"" &amp; ADDRESS(LabLe"&amp;"vel+3, DVTColumn)) / LabSpeed,
    remainingTime, SUM(INDIRECT(""DVT_Laboratory!"" &amp; ADDRESS(LabLevel+3, DVTColumn) &amp; "":"" &amp; ADDRESS(MaxOrTarget+2, DVTColumn))) / LabSpeed,
  AE15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"""")"),"Swamp Rend - Additional Enemies
  Lab Level:      0 / 6 (Max)
  Next Level:    0d 12h 42m
  Max Level:     4d  7h  8m")</f>
        <v>Swamp Rend - Additional Enemies
  Lab Level:      0 / 6 (Max)
  Next Level:    0d 12h 42m
  Max Level:     4d  7h  8m</v>
      </c>
      <c r="AH15" s="1249" t="str">
        <f>IFERROR(__xludf.DUMMYFUNCTION("""COMPUTED_VALUE"""),"When PS has any use in damage, good to make the multiplier affect everything")</f>
        <v>When PS has any use in damage, good to make the multiplier affect everything</v>
      </c>
      <c r="AI15" s="1249" t="str">
        <f>IFERROR(__xludf.DUMMYFUNCTION("""COMPUTED_VALUE"""),"Adds crucial splash damage to Missiles")</f>
        <v>Adds crucial splash damage to Missiles</v>
      </c>
      <c r="AJ15" s="1249" t="str">
        <f>IFERROR(__xludf.DUMMYFUNCTION("""COMPUTED_VALUE"""),"Max Interest")</f>
        <v>Max Interest</v>
      </c>
      <c r="AK15" s="1249" t="str">
        <f>IFERROR(__xludf.DUMMYFUNCTION("""COMPUTED_VALUE"""),"Protector Health")</f>
        <v>Protector Health</v>
      </c>
      <c r="AL15" s="1250" t="str">
        <f>IFERROR(__xludf.DUMMYFUNCTION("if(AK15 &lt;&gt; """", 
  LET( 
    TargetLevel, VLOOKUP(AK15,MS_Labs_Array,3,false),
    MaxLevel, VLOOKUP(AK15,MS_Labs_Array,4,false),
    MaxOrTarget, IF(OR(TargetLevel = """",$AD$1 &lt;&gt; ""Target""), MaxLevel, TargetLevel),
    LabLevel, VLOOKUP(AK15,MS_Labs_A"&amp;"rray,2,False),
    Levelprogress, LabLevel / MaxOrTarget,
    DVTColumn, MATCH(AK15,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5" s="1251" t="str">
        <f>IFERROR(__xludf.DUMMYFUNCTION("if(AK15 &lt;&gt; """", 
  LET(
    TargetLevel, VLOOKUP(AK15,MS_Labs_Array,3,false),
    LabSpeed, (1 * REGEXEXTRACT($BH$1, ""[\d.-]+"")) * {IF(AK15 =""Labs Speed"", 1+'Master Sheet'!$BK$5, LAB_SPEED_TOTAL())},
    MaxLevel, VLOOKUP(AK15,MS_Labs_Array,4,false),"&amp;"
    MaxOrTarget, IF(OR(TargetLevel = """",$AD$1 &lt;&gt; ""Target""), MaxLevel, TargetLevel),
    LabLevel, VLOOKUP(AK15,MS_Labs_Array,2,False),
    DVTColumn, MATCH(AK15, DVT_Laboratory!$A$1:BO$1, 0),
    xextTime, INDIRECT(""DVT_Laboratory!"" &amp; ADDRESS(LabLe"&amp;"vel+3, DVTColumn)) / LabSpeed,
    remainingTime, SUM(INDIRECT(""DVT_Laboratory!"" &amp; ADDRESS(LabLevel+3, DVTColumn) &amp; "":"" &amp; ADDRESS(MaxOrTarget+2, DVTColumn))) / LabSpeed,
  AK15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"""")"),"Protector Health
  Lab Level:      0 / 30 (Max)
  Next Level:    0d  3h 31m
  Max Level:     78d 13h  3m")</f>
        <v>Protector Health
  Lab Level:      0 / 30 (Max)
  Next Level:    0d  3h 31m
  Max Level:     78d 13h  3m</v>
      </c>
      <c r="AN15" s="1249" t="str">
        <f>IFERROR(__xludf.DUMMYFUNCTION("""COMPUTED_VALUE"""),"Good with high level CL+ to fully kill protectors with percentage damage")</f>
        <v>Good with high level CL+ to fully kill protectors with percentage damage</v>
      </c>
      <c r="AO15" s="1249" t="str">
        <f>IFERROR(__xludf.DUMMYFUNCTION("""COMPUTED_VALUE"""),"Useful for early cash purchases, good for weak/no GT")</f>
        <v>Useful for early cash purchases, good for weak/no GT</v>
      </c>
      <c r="AP15" s="1249" t="str">
        <f>IFERROR(__xludf.DUMMYFUNCTION("""COMPUTED_VALUE"""),"Wall Rebuild")</f>
        <v>Wall Rebuild</v>
      </c>
      <c r="AQ15" s="1249" t="str">
        <f>IFERROR(__xludf.DUMMYFUNCTION("""COMPUTED_VALUE"""),"Double Death Ray")</f>
        <v>Double Death Ray</v>
      </c>
      <c r="AR15" s="1250" t="str">
        <f>IFERROR(__xludf.DUMMYFUNCTION("if(AQ15 &lt;&gt; """", 
  LET( 
    TargetLevel, VLOOKUP(AQ15,MS_Labs_Array,3,false),
    MaxLevel, VLOOKUP(AQ15,MS_Labs_Array,4,false),
    MaxOrTarget, IF(OR(TargetLevel = """",$AD$1 &lt;&gt; ""Target""), MaxLevel, TargetLevel),
    LabLevel, VLOOKUP(AQ15,MS_Labs_A"&amp;"rray,2,False),
    Levelprogress, LabLevel / MaxOrTarget,
    DVTColumn, MATCH(AQ15,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5" s="1251" t="str">
        <f>IFERROR(__xludf.DUMMYFUNCTION("if(AQ15 &lt;&gt; """", 
  LET(
    TargetLevel, VLOOKUP(AQ15,MS_Labs_Array,3,false),
    LabSpeed, (1 * REGEXEXTRACT($BH$1, ""[\d.-]+"")) * {IF(AQ15 =""Labs Speed"", 1+'Master Sheet'!$BK$5, LAB_SPEED_TOTAL())},
    MaxLevel, VLOOKUP(AQ15,MS_Labs_Array,4,false),"&amp;"
    MaxOrTarget, IF(OR(TargetLevel = """",$AD$1 &lt;&gt; ""Target""), MaxLevel, TargetLevel),
    LabLevel, VLOOKUP(AQ15,MS_Labs_Array,2,False),
    DVTColumn, MATCH(AQ15, DVT_Laboratory!$A$1:BO$1, 0),
    xextTime, INDIRECT(""DVT_Laboratory!"" &amp; ADDRESS(LabLe"&amp;"vel+3, DVTColumn)) / LabSpeed,
    remainingTime, SUM(INDIRECT(""DVT_Laboratory!"" &amp; ADDRESS(LabLevel+3, DVTColumn) &amp; "":"" &amp; ADDRESS(MaxOrTarget+2, DVTColumn))) / LabSpeed,
  AQ15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"""")"),"Double Death Ray
  Lab Level:      6 / 30 (Max)
  Next Level:    0d  3h 53m
  Max Level:     56d  8h  2m")</f>
        <v>Double Death Ray
  Lab Level:      6 / 30 (Max)
  Next Level:    0d  3h 53m
  Max Level:     56d  8h  2m</v>
      </c>
      <c r="AT15" s="1249" t="str">
        <f>IFERROR(__xludf.DUMMYFUNCTION("""COMPUTED_VALUE"""),"Chance too low to be significant value for the lab time")</f>
        <v>Chance too low to be significant value for the lab time</v>
      </c>
      <c r="AU15" s="1249" t="str">
        <f>IFERROR(__xludf.DUMMYFUNCTION("""COMPUTED_VALUE"""),"Mostly useless unless you're using a Glass Cannon build")</f>
        <v>Mostly useless unless you're using a Glass Cannon build</v>
      </c>
      <c r="AV15" s="1249" t="str">
        <f>IFERROR(__xludf.DUMMYFUNCTION("""COMPUTED_VALUE"""),"Coins / Wave")</f>
        <v>Coins / Wave</v>
      </c>
      <c r="AW15" s="1249" t="str">
        <f>IFERROR(__xludf.DUMMYFUNCTION("""COMPUTED_VALUE"""),"Recharge Missile Barrage")</f>
        <v>Recharge Missile Barrage</v>
      </c>
      <c r="AX15" s="1250" t="str">
        <f>IFERROR(__xludf.DUMMYFUNCTION("if(AW15 &lt;&gt; """", 
  LET( 
    TargetLevel, VLOOKUP(AW15,MS_Labs_Array,3,false),
    MaxLevel, VLOOKUP(AW15,MS_Labs_Array,4,false),
    MaxOrTarget, IF(OR(TargetLevel = """",$AD$1 &lt;&gt; ""Target""), MaxLevel, TargetLevel),
    LabLevel, VLOOKUP(AW15,MS_Labs_A"&amp;"rray,2,False),
    Levelprogress, LabLevel / MaxOrTarget,
    DVTColumn, MATCH(AW15,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5" s="1251" t="str">
        <f>IFERROR(__xludf.DUMMYFUNCTION("if(AW15 &lt;&gt; """", 
  LET(
    TargetLevel, VLOOKUP(AW15,MS_Labs_Array,3,false),
    LabSpeed, (1 * REGEXEXTRACT($BH$1, ""[\d.-]+"")) * {IF(AW15 =""Labs Speed"", 1+'Master Sheet'!$BK$5, LAB_SPEED_TOTAL())},
    MaxLevel, VLOOKUP(AW15,MS_Labs_Array,4,false),"&amp;"
    MaxOrTarget, IF(OR(TargetLevel = """",$AD$1 &lt;&gt; ""Target""), MaxLevel, TargetLevel),
    LabLevel, VLOOKUP(AW15,MS_Labs_Array,2,False),
    DVTColumn, MATCH(AW15, DVT_Laboratory!$A$1:BO$1, 0),
    xextTime, INDIRECT(""DVT_Laboratory!"" &amp; ADDRESS(LabLe"&amp;"vel+3, DVTColumn)) / LabSpeed,
    remainingTime, SUM(INDIRECT(""DVT_Laboratory!"" &amp; ADDRESS(LabLevel+3, DVTColumn) &amp; "":"" &amp; ADDRESS(MaxOrTarget+2, DVTColumn))) / LabSpeed,
  AW15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"""")"),"Recharge Missile Barrage
  Lab Level:      0 / 7 (Max)
  Next Level:    0d  7h 56m
  Max Level:     7d 15h  5m")</f>
        <v>Recharge Missile Barrage
  Lab Level:      0 / 7 (Max)
  Next Level:    0d  7h 56m
  Max Level:     7d 15h  5m</v>
      </c>
      <c r="AZ15" s="1249" t="str">
        <f>IFERROR(__xludf.DUMMYFUNCTION("""COMPUTED_VALUE"""),"Panic Button can be reused, however the cooldown is too long to matter on top of being a lackluster ability")</f>
        <v>Panic Button can be reused, however the cooldown is too long to matter on top of being a lackluster ability</v>
      </c>
      <c r="BA15" s="1249" t="str">
        <f>IFERROR(__xludf.DUMMYFUNCTION("""COMPUTED_VALUE"""),"Coins from enemies quickly become the only coins that matter")</f>
        <v>Coins from enemies quickly become the only coins that matter</v>
      </c>
      <c r="BB15" s="1249"/>
      <c r="BC15" s="1249"/>
      <c r="BD15" s="1250" t="str">
        <f>IFERROR(__xludf.DUMMYFUNCTION("if(BC15 &lt;&gt; """", 
  LET( 
    TargetLevel, VLOOKUP(BC15,MS_Labs_Array,3,false),
    MaxLevel, VLOOKUP(BC15,MS_Labs_Array,4,false),
    MaxOrTarget, IF(OR(TargetLevel = """",$AD$1 &lt;&gt; ""Target""), MaxLevel, TargetLevel),
    LabLevel, VLOOKUP(BC15,MS_Labs_A"&amp;"rray,2,False),
    Levelprogress, LabLevel / MaxOrTarget,
    DVTColumn, MATCH(BC15,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5" s="1251" t="str">
        <f>IFERROR(__xludf.DUMMYFUNCTION("if(BC15 &lt;&gt; """", 
  LET(
    TargetLevel, VLOOKUP(BC15,MS_Labs_Array,3,false),
    LabSpeed, (1 * REGEXEXTRACT($BH$1, ""[\d.-]+"")) * {IF(BC15 =""Labs Speed"", 1+'Master Sheet'!$BK$5, LAB_SPEED_TOTAL())},
    MaxLevel, VLOOKUP(BC15,MS_Labs_Array,4,false),"&amp;"
    MaxOrTarget, IF(OR(TargetLevel = """",$AD$1 &lt;&gt; ""Target""), MaxLevel, TargetLevel),
    LabLevel, VLOOKUP(BC15,MS_Labs_Array,2,False),
    DVTColumn, MATCH(BC15, DVT_Laboratory!$A$1:BO$1, 0),
    xextTime, INDIRECT(""DVT_Laboratory!"" &amp; ADDRESS(LabLe"&amp;"vel+3, DVTColumn)) / LabSpeed,
    remainingTime, SUM(INDIRECT(""DVT_Laboratory!"" &amp; ADDRESS(LabLevel+3, DVTColumn) &amp; "":"" &amp; ADDRESS(MaxOrTarget+2, DVTColumn))) / LabSpeed,
  BC15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5" s="1249"/>
      <c r="BG15" s="1249"/>
      <c r="BH15" s="1260" t="str">
        <f>IFERROR(__xludf.DUMMYFUNCTION("""COMPUTED_VALUE"""),"Reroll Daily Mission")</f>
        <v>Reroll Daily Mission</v>
      </c>
      <c r="BI15" s="1252" t="str">
        <f>IFERROR(__xludf.DUMMYFUNCTION("""COMPUTED_VALUE"""),"Wall Health")</f>
        <v>Wall Health</v>
      </c>
      <c r="BJ15" s="1253" t="str">
        <f>IFERROR(__xludf.DUMMYFUNCTION("if(BI15 &lt;&gt; """", 
  LET( 
    TargetLevel, VLOOKUP(BI15,MS_Labs_Array,3,false),
    MaxLevel, VLOOKUP(BI15,MS_Labs_Array,4,false),
    MaxOrTarget, IF(OR(TargetLevel = """",$AD$1 &lt;&gt; ""Target""), MaxLevel, TargetLevel),
    LabLevel, VLOOKUP(BI15,MS_Labs_A"&amp;"rray,2,False),
    Levelprogress, IF(LabLevel &gt;= MaxOrTarget, 1, LabLevel / MaxOrTarget),
    DVTColumn, MATCH(BI15,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5" s="1254" t="str">
        <f>IFERROR(__xludf.DUMMYFUNCTION("if(BI15 &lt;&gt; """", 
  LET(
    TargetLevel, VLOOKUP(BI15,MS_Labs_Array,3,false),
    LabSpeed, (1 * REGEXEXTRACT($BH$1, ""[\d.-]+"")) * {IF(BI15 =""Labs Speed"", 1+'Master Sheet'!$BK$5, LAB_SPEED_TOTAL())},
    MaxLevel, VLOOKUP(BI15,MS_Labs_Array,4,false),"&amp;"
    MaxOrTarget, IF(OR(TargetLevel = """",$AD$1 &lt;&gt; ""Target""), MaxLevel, TargetLevel),
    LabLevel, VLOOKUP(BI15,MS_Labs_Array,2,False),
    DVTColumn, MATCH(BI15, DVT_Laboratory!$A$1:BO$1, 0),
    xextTime, INDIRECT(""DVT_Laboratory!"" &amp; ADDRESS(LabLe"&amp;"vel+3, DVTColumn)) / LabSpeed,
    remainingTime, SUM(INDIRECT(""DVT_Laboratory!"" &amp; ADDRESS(LabLevel+3, DVTColumn) &amp; "":"" &amp; ADDRESS(MaxOrTarget+2, DVTColumn))) / LabSpeed,
  BI15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"""")"),"Wall Health
  Lab Level:      50 / 50 (Max)
  Next Level:    
  Max Level:     0d 14h 35m")</f>
        <v>Wall Health
  Lab Level:      50 / 50 (Max)
  Next Level:    
  Max Level:     0d 14h 35m</v>
      </c>
      <c r="BL15" s="1252" t="str">
        <f>IFERROR(__xludf.DUMMYFUNCTION("""COMPUTED_VALUE"""),"Another health lab")</f>
        <v>Another health lab</v>
      </c>
      <c r="BM15" s="1252" t="str">
        <f>IFERROR(__xludf.DUMMYFUNCTION("""COMPUTED_VALUE"""),"Costs 5 gems to use")</f>
        <v>Costs 5 gems to use</v>
      </c>
      <c r="BN15" s="1222"/>
      <c r="BO15" s="1261"/>
    </row>
    <row r="16" ht="7.5" customHeight="1">
      <c r="A16" s="1222"/>
      <c r="B16" s="1268" t="s">
        <v>555</v>
      </c>
      <c r="C16" s="1241" t="s">
        <v>301</v>
      </c>
      <c r="D16" s="1242" t="str">
        <f>VLOOKUP(C16,'Remote Tier List'!A:D, 2, FALSE)</f>
        <v>B</v>
      </c>
      <c r="E16" s="1243" t="str">
        <f>VLOOKUP(C16,'Remote Tier List'!A:D, 3, FALSE)</f>
        <v>S</v>
      </c>
      <c r="F16" s="1258" t="str">
        <f>VLOOKUP(C16,'Remote Tier List'!A:D, 4, FALSE)</f>
        <v>becomes required to progress after 1T~ LTC</v>
      </c>
      <c r="G16" s="1245" t="b">
        <f t="shared" si="10"/>
        <v>1</v>
      </c>
      <c r="H16" s="1265" t="str">
        <f t="array" ref="H16:I16">LET(
  Lab, $C16,
  Mode, $AD$1,
  Level, VLOOKUP(Lab, MS_Labs_Array, 2, FALSE),
  Target, VLOOKUP(Lab, MS_Labs_Array, 3, FALSE),
  Max, VLOOKUP(Lab, MS_Labs_Array, 4, FALSE),
  Result,
    IF(
      AND(
        Mode &lt;&gt; "Never",
        Level &gt;= IF(OR(Target = "", Mode = "Max"), Max, Target)
      ),
      "Completed",
      ""
    ),
  HSTACK(
    IF(Result &lt;&gt; "", Result, $D16),
    IF(Result &lt;&gt; "", Result, IF($E16 = "", $D16, $E16))
  )
)</f>
        <v>Completed</v>
      </c>
      <c r="I16" s="1265" t="s">
        <v>551</v>
      </c>
      <c r="J16" s="1248" t="str">
        <f t="shared" si="11"/>
        <v>becomes required to progress after 1T~ LTC</v>
      </c>
      <c r="K16" s="1229"/>
      <c r="L16" s="1249" t="str">
        <f>IFERROR(__xludf.DUMMYFUNCTION("""COMPUTED_VALUE"""),"")</f>
        <v/>
      </c>
      <c r="M16" s="1249"/>
      <c r="N16" s="1250" t="str">
        <f>IFERROR(__xludf.DUMMYFUNCTION("if(M16 &lt;&gt; """", 
  LET( 
    TargetLevel, VLOOKUP(M16,MS_Labs_Array,3,false),
    MaxLevel, VLOOKUP(M16,MS_Labs_Array,4,false),
    MaxOrTarget, IF(OR(TargetLevel = """",$AD$1 &lt;&gt; ""Target""), MaxLevel, TargetLevel),
    LabLevel, VLOOKUP(M16,MS_Labs_Array"&amp;",2,False),
    Levelprogress, LabLevel / MaxOrTarget,
    DVTColumn, MATCH(M16,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6" s="1251" t="str">
        <f>IFERROR(__xludf.DUMMYFUNCTION("if(M16 &lt;&gt; """", 
  LET(
    TargetLevel, VLOOKUP(M16,MS_Labs_Array,3,false),
    LabSpeed, (1 * REGEXEXTRACT($BH$1, ""[\d.-]+"")) * {IF(M16 =""Labs Speed"", 1+'Master Sheet'!$BK$5, LAB_SPEED_TOTAL())},
    MaxLevel, VLOOKUP(M16,MS_Labs_Array,4,false),
   "&amp;" MaxOrTarget, IF(OR(TargetLevel = """",$AD$1 &lt;&gt; ""Target""), MaxLevel, TargetLevel),
    LabLevel, VLOOKUP(M16,MS_Labs_Array,2,False),
    DVTColumn, MATCH(M16, DVT_Laboratory!$A$1:BO$1, 0),
    xextTime, INDIRECT(""DVT_Laboratory!"" &amp; ADDRESS(LabLevel+3,"&amp;" DVTColumn)) / LabSpeed,
    remainingTime, SUM(INDIRECT(""DVT_Laboratory!"" &amp; ADDRESS(LabLevel+3, DVTColumn) &amp; "":"" &amp; ADDRESS(MaxOrTarget+2, DVTColumn))) / LabSpeed,
  M16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6" s="1249"/>
      <c r="Q16" s="1249" t="str">
        <f>IFERROR(__xludf.DUMMYFUNCTION("""COMPUTED_VALUE"""),"")</f>
        <v/>
      </c>
      <c r="R16" s="1249" t="str">
        <f>IFERROR(__xludf.DUMMYFUNCTION("""COMPUTED_VALUE"""),"")</f>
        <v/>
      </c>
      <c r="S16" s="1249"/>
      <c r="T16" s="1250" t="str">
        <f>IFERROR(__xludf.DUMMYFUNCTION("if(S16 &lt;&gt; """", 
  LET( 
    TargetLevel, VLOOKUP(S16,MS_Labs_Array,3,false),
    MaxLevel, VLOOKUP(S16,MS_Labs_Array,4,false),
    MaxOrTarget, IF(OR(TargetLevel = """",$AD$1 &lt;&gt; ""Target""), MaxLevel, TargetLevel),
    LabLevel, VLOOKUP(S16,MS_Labs_Array"&amp;",2,False),
    Levelprogress, LabLevel / MaxOrTarget,
    DVTColumn, MATCH(S16,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6" s="1251" t="str">
        <f>IFERROR(__xludf.DUMMYFUNCTION("if(S16 &lt;&gt; """", 
  LET(
    TargetLevel, VLOOKUP(S16,MS_Labs_Array,3,false),
    LabSpeed, (1 * REGEXEXTRACT($BH$1, ""[\d.-]+"")) * {IF(S16 =""Labs Speed"", 1+'Master Sheet'!$BK$5, LAB_SPEED_TOTAL())},
    MaxLevel, VLOOKUP(S16,MS_Labs_Array,4,false),
   "&amp;" MaxOrTarget, IF(OR(TargetLevel = """",$AD$1 &lt;&gt; ""Target""), MaxLevel, TargetLevel),
    LabLevel, VLOOKUP(S16,MS_Labs_Array,2,False),
    DVTColumn, MATCH(S16, DVT_Laboratory!$A$1:BO$1, 0),
    xextTime, INDIRECT(""DVT_Laboratory!"" &amp; ADDRESS(LabLevel+3,"&amp;" DVTColumn)) / LabSpeed,
    remainingTime, SUM(INDIRECT(""DVT_Laboratory!"" &amp; ADDRESS(LabLevel+3, DVTColumn) &amp; "":"" &amp; ADDRESS(MaxOrTarget+2, DVTColumn))) / LabSpeed,
  S16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6" s="1249"/>
      <c r="W16" s="1249" t="str">
        <f>IFERROR(__xludf.DUMMYFUNCTION("""COMPUTED_VALUE"""),"")</f>
        <v/>
      </c>
      <c r="X16" s="1249" t="str">
        <f>IFERROR(__xludf.DUMMYFUNCTION("""COMPUTED_VALUE"""),"")</f>
        <v/>
      </c>
      <c r="Y16" s="1249" t="str">
        <f>IFERROR(__xludf.DUMMYFUNCTION("""COMPUTED_VALUE"""),"Swamp Radius")</f>
        <v>Swamp Radius</v>
      </c>
      <c r="Z16" s="1250" t="str">
        <f>IFERROR(__xludf.DUMMYFUNCTION("if(Y16 &lt;&gt; """", 
  LET( 
    TargetLevel, VLOOKUP(Y16,MS_Labs_Array,3,false),
    MaxLevel, VLOOKUP(Y16,MS_Labs_Array,4,false),
    MaxOrTarget, IF(OR(TargetLevel = """",$AD$1 &lt;&gt; ""Target""), MaxLevel, TargetLevel),
    LabLevel, VLOOKUP(Y16,MS_Labs_Array"&amp;",2,False),
    Levelprogress, LabLevel / MaxOrTarget,
    DVTColumn, MATCH(Y16,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6" s="1251" t="str">
        <f>IFERROR(__xludf.DUMMYFUNCTION("if(Y16 &lt;&gt; """", 
  LET(
    TargetLevel, VLOOKUP(Y16,MS_Labs_Array,3,false),
    LabSpeed, (1 * REGEXEXTRACT($BH$1, ""[\d.-]+"")) * {IF(Y16 =""Labs Speed"", 1+'Master Sheet'!$BK$5, LAB_SPEED_TOTAL())},
    MaxLevel, VLOOKUP(Y16,MS_Labs_Array,4,false),
   "&amp;" MaxOrTarget, IF(OR(TargetLevel = """",$AD$1 &lt;&gt; ""Target""), MaxLevel, TargetLevel),
    LabLevel, VLOOKUP(Y16,MS_Labs_Array,2,False),
    DVTColumn, MATCH(Y16, DVT_Laboratory!$A$1:BO$1, 0),
    xextTime, INDIRECT(""DVT_Laboratory!"" &amp; ADDRESS(LabLevel+3,"&amp;" DVTColumn)) / LabSpeed,
    remainingTime, SUM(INDIRECT(""DVT_Laboratory!"" &amp; ADDRESS(LabLevel+3, DVTColumn) &amp; "":"" &amp; ADDRESS(MaxOrTarget+2, DVTColumn))) / LabSpeed,
  Y16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"""")"),"Swamp Radius
  Lab Level:      0 / 30 (Max)
  Next Level:    0d  1h 16m
  Max Level:     52d 10h 56m")</f>
        <v>Swamp Radius
  Lab Level:      0 / 30 (Max)
  Next Level:    0d  1h 16m
  Max Level:     52d 10h 56m</v>
      </c>
      <c r="AB16" s="1249" t="str">
        <f>IFERROR(__xludf.DUMMYFUNCTION("""COMPUTED_VALUE"""),"Potential footgun regarding where the enemy gets stunned. Proceed with caution. Can be partly counteracted by using a higher range")</f>
        <v>Potential footgun regarding where the enemy gets stunned. Proceed with caution. Can be partly counteracted by using a higher range</v>
      </c>
      <c r="AC16" s="1249" t="str">
        <f>IFERROR(__xludf.DUMMYFUNCTION("""COMPUTED_VALUE"""),"Health Regen
  Lab Level:      68 / 100 (Max)
  Next Level:    1d  7h 15m
  Max Level:     69d  9h 51m")</f>
        <v>Health Regen
  Lab Level:      68 / 100 (Max)
  Next Level:    1d  7h 15m
  Max Level:     69d  9h 51m</v>
      </c>
      <c r="AD16" s="1249" t="str">
        <f>IFERROR(__xludf.DUMMYFUNCTION("""COMPUTED_VALUE"""),"")</f>
        <v/>
      </c>
      <c r="AE16" s="1249" t="str">
        <f>IFERROR(__xludf.DUMMYFUNCTION("""COMPUTED_VALUE"""),"Lightning Amplifier - Scatter")</f>
        <v>Lightning Amplifier - Scatter</v>
      </c>
      <c r="AF16" s="1250" t="str">
        <f>IFERROR(__xludf.DUMMYFUNCTION("if(AE16 &lt;&gt; """", 
  LET( 
    TargetLevel, VLOOKUP(AE16,MS_Labs_Array,3,false),
    MaxLevel, VLOOKUP(AE16,MS_Labs_Array,4,false),
    MaxOrTarget, IF(OR(TargetLevel = """",$AD$1 &lt;&gt; ""Target""), MaxLevel, TargetLevel),
    LabLevel, VLOOKUP(AE16,MS_Labs_A"&amp;"rray,2,False),
    Levelprogress, LabLevel / MaxOrTarget,
    DVTColumn, MATCH(AE16,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6" s="1251" t="str">
        <f>IFERROR(__xludf.DUMMYFUNCTION("if(AE16 &lt;&gt; """", 
  LET(
    TargetLevel, VLOOKUP(AE16,MS_Labs_Array,3,false),
    LabSpeed, (1 * REGEXEXTRACT($BH$1, ""[\d.-]+"")) * {IF(AE16 =""Labs Speed"", 1+'Master Sheet'!$BK$5, LAB_SPEED_TOTAL())},
    MaxLevel, VLOOKUP(AE16,MS_Labs_Array,4,false),"&amp;"
    MaxOrTarget, IF(OR(TargetLevel = """",$AD$1 &lt;&gt; ""Target""), MaxLevel, TargetLevel),
    LabLevel, VLOOKUP(AE16,MS_Labs_Array,2,False),
    DVTColumn, MATCH(AE16, DVT_Laboratory!$A$1:BO$1, 0),
    xextTime, INDIRECT(""DVT_Laboratory!"" &amp; ADDRESS(LabLe"&amp;"vel+3, DVTColumn)) / LabSpeed,
    remainingTime, SUM(INDIRECT(""DVT_Laboratory!"" &amp; ADDRESS(LabLevel+3, DVTColumn) &amp; "":"" &amp; ADDRESS(MaxOrTarget+2, DVTColumn))) / LabSpeed,
  AE16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"""")"),"Lightning Amplifier - Scatter
  Lab Level:      9 / 30 (Max)
  Next Level:    1d 11h 14m
  Max Level:     119d 23h 32m")</f>
        <v>Lightning Amplifier - Scatter
  Lab Level:      9 / 30 (Max)
  Next Level:    1d 11h 14m
  Max Level:     119d 23h 32m</v>
      </c>
      <c r="AH16" s="1249" t="str">
        <f>IFERROR(__xludf.DUMMYFUNCTION("""COMPUTED_VALUE"""),"A few levels solve scatters for the most part. More levels should solve the problem if they ever become a danger again")</f>
        <v>A few levels solve scatters for the most part. More levels should solve the problem if they ever become a danger again</v>
      </c>
      <c r="AI16" s="1249" t="str">
        <f>IFERROR(__xludf.DUMMYFUNCTION("""COMPUTED_VALUE"""),"Missile Radius
  Lab Level:      0 / 20 (Max)
  Next Level:    0d  2h 28m
  Max Level:     11d  0h 41m")</f>
        <v>Missile Radius
  Lab Level:      0 / 20 (Max)
  Next Level:    0d  2h 28m
  Max Level:     11d  0h 41m</v>
      </c>
      <c r="AJ16" s="1249" t="str">
        <f>IFERROR(__xludf.DUMMYFUNCTION("""COMPUTED_VALUE"""),"")</f>
        <v/>
      </c>
      <c r="AK16" s="1249" t="str">
        <f>IFERROR(__xludf.DUMMYFUNCTION("""COMPUTED_VALUE"""),"Protector Radius")</f>
        <v>Protector Radius</v>
      </c>
      <c r="AL16" s="1250" t="str">
        <f>IFERROR(__xludf.DUMMYFUNCTION("if(AK16 &lt;&gt; """", 
  LET( 
    TargetLevel, VLOOKUP(AK16,MS_Labs_Array,3,false),
    MaxLevel, VLOOKUP(AK16,MS_Labs_Array,4,false),
    MaxOrTarget, IF(OR(TargetLevel = """",$AD$1 &lt;&gt; ""Target""), MaxLevel, TargetLevel),
    LabLevel, VLOOKUP(AK16,MS_Labs_A"&amp;"rray,2,False),
    Levelprogress, LabLevel / MaxOrTarget,
    DVTColumn, MATCH(AK16,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6" s="1251" t="str">
        <f>IFERROR(__xludf.DUMMYFUNCTION("if(AK16 &lt;&gt; """", 
  LET(
    TargetLevel, VLOOKUP(AK16,MS_Labs_Array,3,false),
    LabSpeed, (1 * REGEXEXTRACT($BH$1, ""[\d.-]+"")) * {IF(AK16 =""Labs Speed"", 1+'Master Sheet'!$BK$5, LAB_SPEED_TOTAL())},
    MaxLevel, VLOOKUP(AK16,MS_Labs_Array,4,false),"&amp;"
    MaxOrTarget, IF(OR(TargetLevel = """",$AD$1 &lt;&gt; ""Target""), MaxLevel, TargetLevel),
    LabLevel, VLOOKUP(AK16,MS_Labs_Array,2,False),
    DVTColumn, MATCH(AK16, DVT_Laboratory!$A$1:BO$1, 0),
    xextTime, INDIRECT(""DVT_Laboratory!"" &amp; ADDRESS(LabLe"&amp;"vel+3, DVTColumn)) / LabSpeed,
    remainingTime, SUM(INDIRECT(""DVT_Laboratory!"" &amp; ADDRESS(LabLevel+3, DVTColumn) &amp; "":"" &amp; ADDRESS(MaxOrTarget+2, DVTColumn))) / LabSpeed,
  AK16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"""")"),"Protector Radius
  Lab Level:      0 / 30 (Max)
  Next Level:    0d  3h 31m
  Max Level:     78d 13h  3m")</f>
        <v>Protector Radius
  Lab Level:      0 / 30 (Max)
  Next Level:    0d  3h 31m
  Max Level:     78d 13h  3m</v>
      </c>
      <c r="AN16" s="1249" t="str">
        <f>IFERROR(__xludf.DUMMYFUNCTION("""COMPUTED_VALUE"""),"Decent value for the lower levels")</f>
        <v>Decent value for the lower levels</v>
      </c>
      <c r="AO16" s="1249" t="str">
        <f>IFERROR(__xludf.DUMMYFUNCTION("""COMPUTED_VALUE"""),"Max Interest
  Lab Level:      8 / 15 (Max)
  Next Level:    0d  5h 55m
  Max Level:     6d  2h 30m")</f>
        <v>Max Interest
  Lab Level:      8 / 15 (Max)
  Next Level:    0d  5h 55m
  Max Level:     6d  2h 30m</v>
      </c>
      <c r="AP16" s="1249" t="str">
        <f>IFERROR(__xludf.DUMMYFUNCTION("""COMPUTED_VALUE"""),"")</f>
        <v/>
      </c>
      <c r="AQ16" s="1249" t="str">
        <f>IFERROR(__xludf.DUMMYFUNCTION("""COMPUTED_VALUE"""),"Super Tower Bonus")</f>
        <v>Super Tower Bonus</v>
      </c>
      <c r="AR16" s="1250" t="str">
        <f>IFERROR(__xludf.DUMMYFUNCTION("if(AQ16 &lt;&gt; """", 
  LET( 
    TargetLevel, VLOOKUP(AQ16,MS_Labs_Array,3,false),
    MaxLevel, VLOOKUP(AQ16,MS_Labs_Array,4,false),
    MaxOrTarget, IF(OR(TargetLevel = """",$AD$1 &lt;&gt; ""Target""), MaxLevel, TargetLevel),
    LabLevel, VLOOKUP(AQ16,MS_Labs_A"&amp;"rray,2,False),
    Levelprogress, LabLevel / MaxOrTarget,
    DVTColumn, MATCH(AQ16,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6" s="1251" t="str">
        <f>IFERROR(__xludf.DUMMYFUNCTION("if(AQ16 &lt;&gt; """", 
  LET(
    TargetLevel, VLOOKUP(AQ16,MS_Labs_Array,3,false),
    LabSpeed, (1 * REGEXEXTRACT($BH$1, ""[\d.-]+"")) * {IF(AQ16 =""Labs Speed"", 1+'Master Sheet'!$BK$5, LAB_SPEED_TOTAL())},
    MaxLevel, VLOOKUP(AQ16,MS_Labs_Array,4,false),"&amp;"
    MaxOrTarget, IF(OR(TargetLevel = """",$AD$1 &lt;&gt; ""Target""), MaxLevel, TargetLevel),
    LabLevel, VLOOKUP(AQ16,MS_Labs_Array,2,False),
    DVTColumn, MATCH(AQ16, DVT_Laboratory!$A$1:BO$1, 0),
    xextTime, INDIRECT(""DVT_Laboratory!"" &amp; ADDRESS(LabLe"&amp;"vel+3, DVTColumn)) / LabSpeed,
    remainingTime, SUM(INDIRECT(""DVT_Laboratory!"" &amp; ADDRESS(LabLevel+3, DVTColumn) &amp; "":"" &amp; ADDRESS(MaxOrTarget+2, DVTColumn))) / LabSpeed,
  AQ16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"""")"),"Super Tower Bonus
  Lab Level:      0 / 30 (Max)
  Next Level:    0d  0h 19m
  Max Level:     57d  0h 33m")</f>
        <v>Super Tower Bonus
  Lab Level:      0 / 30 (Max)
  Next Level:    0d  0h 19m
  Max Level:     57d  0h 33m</v>
      </c>
      <c r="AT16" s="1249" t="str">
        <f>IFERROR(__xludf.DUMMYFUNCTION("""COMPUTED_VALUE"""),"Super Tower is a bullet only damage multiplier until you unlock its mastery. Great damage multipler after doing so")</f>
        <v>Super Tower is a bullet only damage multiplier until you unlock its mastery. Great damage multipler after doing so</v>
      </c>
      <c r="AU16" s="1249" t="str">
        <f>IFERROR(__xludf.DUMMYFUNCTION("""COMPUTED_VALUE"""),"Wall Rebuild
  Lab Level:      9 / 20 (Max)
  Next Level:    0d 10h 36m
  Max Level:     14d  7h 51m")</f>
        <v>Wall Rebuild
  Lab Level:      9 / 20 (Max)
  Next Level:    0d 10h 36m
  Max Level:     14d  7h 51m</v>
      </c>
      <c r="AV16" s="1249" t="str">
        <f>IFERROR(__xludf.DUMMYFUNCTION("""COMPUTED_VALUE"""),"")</f>
        <v/>
      </c>
      <c r="AW16" s="1249" t="str">
        <f>IFERROR(__xludf.DUMMYFUNCTION("""COMPUTED_VALUE"""),"Chain Thunder")</f>
        <v>Chain Thunder</v>
      </c>
      <c r="AX16" s="1250" t="str">
        <f>IFERROR(__xludf.DUMMYFUNCTION("if(AW16 &lt;&gt; """", 
  LET( 
    TargetLevel, VLOOKUP(AW16,MS_Labs_Array,3,false),
    MaxLevel, VLOOKUP(AW16,MS_Labs_Array,4,false),
    MaxOrTarget, IF(OR(TargetLevel = """",$AD$1 &lt;&gt; ""Target""), MaxLevel, TargetLevel),
    LabLevel, VLOOKUP(AW16,MS_Labs_A"&amp;"rray,2,False),
    Levelprogress, LabLevel / MaxOrTarget,
    DVTColumn, MATCH(AW16,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6" s="1251" t="str">
        <f>IFERROR(__xludf.DUMMYFUNCTION("if(AW16 &lt;&gt; """", 
  LET(
    TargetLevel, VLOOKUP(AW16,MS_Labs_Array,3,false),
    LabSpeed, (1 * REGEXEXTRACT($BH$1, ""[\d.-]+"")) * {IF(AW16 =""Labs Speed"", 1+'Master Sheet'!$BK$5, LAB_SPEED_TOTAL())},
    MaxLevel, VLOOKUP(AW16,MS_Labs_Array,4,false),"&amp;"
    MaxOrTarget, IF(OR(TargetLevel = """",$AD$1 &lt;&gt; ""Target""), MaxLevel, TargetLevel),
    LabLevel, VLOOKUP(AW16,MS_Labs_Array,2,False),
    DVTColumn, MATCH(AW16, DVT_Laboratory!$A$1:BO$1, 0),
    xextTime, INDIRECT(""DVT_Laboratory!"" &amp; ADDRESS(LabLe"&amp;"vel+3, DVTColumn)) / LabSpeed,
    remainingTime, SUM(INDIRECT(""DVT_Laboratory!"" &amp; ADDRESS(LabLevel+3, DVTColumn) &amp; "":"" &amp; ADDRESS(MaxOrTarget+2, DVTColumn))) / LabSpeed,
  AW16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"""")"),"Chain Thunder
  Lab Level:      12 / 30 (Max)
  Next Level:    2d  1h 31m
  Max Level:     115d  0h 36m")</f>
        <v>Chain Thunder
  Lab Level:      12 / 30 (Max)
  Next Level:    2d  1h 31m
  Max Level:     115d  0h 36m</v>
      </c>
      <c r="AZ16" s="1249" t="str">
        <f>IFERROR(__xludf.DUMMYFUNCTION("""COMPUTED_VALUE"""),"Extremely good at what it does; however the effect of it is not that desirable by the time you unlock it. Basically requires CL+, costs 40q coins to max")</f>
        <v>Extremely good at what it does; however the effect of it is not that desirable by the time you unlock it. Basically requires CL+, costs 40q coins to max</v>
      </c>
      <c r="BA16" s="1249" t="str">
        <f>IFERROR(__xludf.DUMMYFUNCTION("""COMPUTED_VALUE"""),"Coins / Wave
  Lab Level:      6 / 99 (Max)
  Next Level:    0d  0h  7m
  Max Level:     91d 19h 41m")</f>
        <v>Coins / Wave
  Lab Level:      6 / 99 (Max)
  Next Level:    0d  0h  7m
  Max Level:     91d 19h 41m</v>
      </c>
      <c r="BB16" s="1249" t="str">
        <f>IFERROR(__xludf.DUMMYFUNCTION("""COMPUTED_VALUE"""),"")</f>
        <v/>
      </c>
      <c r="BC16" s="1249"/>
      <c r="BD16" s="1250" t="str">
        <f>IFERROR(__xludf.DUMMYFUNCTION("if(BC16 &lt;&gt; """", 
  LET( 
    TargetLevel, VLOOKUP(BC16,MS_Labs_Array,3,false),
    MaxLevel, VLOOKUP(BC16,MS_Labs_Array,4,false),
    MaxOrTarget, IF(OR(TargetLevel = """",$AD$1 &lt;&gt; ""Target""), MaxLevel, TargetLevel),
    LabLevel, VLOOKUP(BC16,MS_Labs_A"&amp;"rray,2,False),
    Levelprogress, LabLevel / MaxOrTarget,
    DVTColumn, MATCH(BC16,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6" s="1251" t="str">
        <f>IFERROR(__xludf.DUMMYFUNCTION("if(BC16 &lt;&gt; """", 
  LET(
    TargetLevel, VLOOKUP(BC16,MS_Labs_Array,3,false),
    LabSpeed, (1 * REGEXEXTRACT($BH$1, ""[\d.-]+"")) * {IF(BC16 =""Labs Speed"", 1+'Master Sheet'!$BK$5, LAB_SPEED_TOTAL())},
    MaxLevel, VLOOKUP(BC16,MS_Labs_Array,4,false),"&amp;"
    MaxOrTarget, IF(OR(TargetLevel = """",$AD$1 &lt;&gt; ""Target""), MaxLevel, TargetLevel),
    LabLevel, VLOOKUP(BC16,MS_Labs_Array,2,False),
    DVTColumn, MATCH(BC16, DVT_Laboratory!$A$1:BO$1, 0),
    xextTime, INDIRECT(""DVT_Laboratory!"" &amp; ADDRESS(LabLe"&amp;"vel+3, DVTColumn)) / LabSpeed,
    remainingTime, SUM(INDIRECT(""DVT_Laboratory!"" &amp; ADDRESS(LabLevel+3, DVTColumn) &amp; "":"" &amp; ADDRESS(MaxOrTarget+2, DVTColumn))) / LabSpeed,
  BC16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6" s="1249"/>
      <c r="BG16" s="1249" t="str">
        <f>IFERROR(__xludf.DUMMYFUNCTION("""COMPUTED_VALUE"""),"")</f>
        <v/>
      </c>
      <c r="BH16" s="1260" t="str">
        <f>IFERROR(__xludf.DUMMYFUNCTION("""COMPUTED_VALUE"""),"")</f>
        <v/>
      </c>
      <c r="BI16" s="1252" t="str">
        <f>IFERROR(__xludf.DUMMYFUNCTION("""COMPUTED_VALUE"""),"Garlic Thorns")</f>
        <v>Garlic Thorns</v>
      </c>
      <c r="BJ16" s="1253" t="str">
        <f>IFERROR(__xludf.DUMMYFUNCTION("if(BI16 &lt;&gt; """", 
  LET( 
    TargetLevel, VLOOKUP(BI16,MS_Labs_Array,3,false),
    MaxLevel, VLOOKUP(BI16,MS_Labs_Array,4,false),
    MaxOrTarget, IF(OR(TargetLevel = """",$AD$1 &lt;&gt; ""Target""), MaxLevel, TargetLevel),
    LabLevel, VLOOKUP(BI16,MS_Labs_A"&amp;"rray,2,False),
    Levelprogress, IF(LabLevel &gt;= MaxOrTarget, 1, LabLevel / MaxOrTarget),
    DVTColumn, MATCH(BI16,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6" s="1254" t="str">
        <f>IFERROR(__xludf.DUMMYFUNCTION("if(BI16 &lt;&gt; """", 
  LET(
    TargetLevel, VLOOKUP(BI16,MS_Labs_Array,3,false),
    LabSpeed, (1 * REGEXEXTRACT($BH$1, ""[\d.-]+"")) * {IF(BI16 =""Labs Speed"", 1+'Master Sheet'!$BK$5, LAB_SPEED_TOTAL())},
    MaxLevel, VLOOKUP(BI16,MS_Labs_Array,4,false),"&amp;"
    MaxOrTarget, IF(OR(TargetLevel = """",$AD$1 &lt;&gt; ""Target""), MaxLevel, TargetLevel),
    LabLevel, VLOOKUP(BI16,MS_Labs_Array,2,False),
    DVTColumn, MATCH(BI16, DVT_Laboratory!$A$1:BO$1, 0),
    xextTime, INDIRECT(""DVT_Laboratory!"" &amp; ADDRESS(LabLe"&amp;"vel+3, DVTColumn)) / LabSpeed,
    remainingTime, SUM(INDIRECT(""DVT_Laboratory!"" &amp; ADDRESS(LabLevel+3, DVTColumn) &amp; "":"" &amp; ADDRESS(MaxOrTarget+2, DVTColumn))) / LabSpeed,
  BI16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"""")"),"Garlic Thorns
  Lab Level:      10 / 10 (Max)
  Next Level:    
  Max Level:     0d  7h 54m")</f>
        <v>Garlic Thorns
  Lab Level:      10 / 10 (Max)
  Next Level:    
  Max Level:     0d  7h 54m</v>
      </c>
      <c r="BL16" s="1252" t="str">
        <f>IFERROR(__xludf.DUMMYFUNCTION("""COMPUTED_VALUE"""),"Solves the vampire problem better than a wooden stake to the heart, if you don't have a problem with vampires you can wait to start/finish this lab")</f>
        <v>Solves the vampire problem better than a wooden stake to the heart, if you don't have a problem with vampires you can wait to start/finish this lab</v>
      </c>
      <c r="BM16" s="1252" t="str">
        <f>IFERROR(__xludf.DUMMYFUNCTION("""COMPUTED_VALUE"""),"Reroll Daily Mission
  Lab Level:      1 / 1 (Max)
  Next Level:    
  Max Level:     0d  2h 32m")</f>
        <v>Reroll Daily Mission
  Lab Level:      1 / 1 (Max)
  Next Level:    
  Max Level:     0d  2h 32m</v>
      </c>
      <c r="BN16" s="1222"/>
      <c r="BO16" s="1261"/>
    </row>
    <row r="17">
      <c r="A17" s="1222"/>
      <c r="B17" s="1269" t="s">
        <v>556</v>
      </c>
      <c r="C17" s="1270" t="s">
        <v>308</v>
      </c>
      <c r="D17" s="1242" t="str">
        <f>VLOOKUP(C17,'Remote Tier List'!A:D, 2, FALSE)</f>
        <v>B</v>
      </c>
      <c r="E17" s="1243" t="str">
        <f>VLOOKUP(C17,'Remote Tier List'!A:D, 3, FALSE)</f>
        <v/>
      </c>
      <c r="F17" s="1258" t="str">
        <f>VLOOKUP(C17,'Remote Tier List'!A:D, 4, FALSE)</f>
        <v>ASPD+ is really good to get cheaper, alongisde the damage that's required by the time this lab is unlocked</v>
      </c>
      <c r="G17" s="1245" t="b">
        <f t="shared" si="10"/>
        <v>0</v>
      </c>
      <c r="H17" s="1246" t="str">
        <f t="array" ref="H17:I17">LET(
  Lab, $C17,
  Mode, $AD$1,
  Level, VLOOKUP(Lab, MS_Labs_Array, 2, FALSE),
  Target, VLOOKUP(Lab, MS_Labs_Array, 3, FALSE),
  Max, VLOOKUP(Lab, MS_Labs_Array, 4, FALSE),
  Result,
    IF(
      AND(
        Mode &lt;&gt; "Never",
        Level &gt;= IF(OR(Target = "", Mode = "Max"), Max, Target)
      ),
      "Completed",
      ""
    ),
  HSTACK(
    IF(Result &lt;&gt; "", Result, $D17),
    IF(Result &lt;&gt; "", Result, IF($E17 = "", $D17, $E17))
  )
)</f>
        <v>B</v>
      </c>
      <c r="I17" s="1247" t="s">
        <v>546</v>
      </c>
      <c r="J17" s="1248" t="str">
        <f t="shared" si="11"/>
        <v>ASPD+ is really good to get cheaper, alongisde the damage that's required by the time this lab is unlocked</v>
      </c>
      <c r="K17" s="1229"/>
      <c r="L17" s="1249"/>
      <c r="M17" s="1249"/>
      <c r="N17" s="1250" t="str">
        <f>IFERROR(__xludf.DUMMYFUNCTION("if(M17 &lt;&gt; """", 
  LET( 
    TargetLevel, VLOOKUP(M17,MS_Labs_Array,3,false),
    MaxLevel, VLOOKUP(M17,MS_Labs_Array,4,false),
    MaxOrTarget, IF(OR(TargetLevel = """",$AD$1 &lt;&gt; ""Target""), MaxLevel, TargetLevel),
    LabLevel, VLOOKUP(M17,MS_Labs_Array"&amp;",2,False),
    Levelprogress, LabLevel / MaxOrTarget,
    DVTColumn, MATCH(M17,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7" s="1251" t="str">
        <f>IFERROR(__xludf.DUMMYFUNCTION("if(M17 &lt;&gt; """", 
  LET(
    TargetLevel, VLOOKUP(M17,MS_Labs_Array,3,false),
    LabSpeed, (1 * REGEXEXTRACT($BH$1, ""[\d.-]+"")) * {IF(M17 =""Labs Speed"", 1+'Master Sheet'!$BK$5, LAB_SPEED_TOTAL())},
    MaxLevel, VLOOKUP(M17,MS_Labs_Array,4,false),
   "&amp;" MaxOrTarget, IF(OR(TargetLevel = """",$AD$1 &lt;&gt; ""Target""), MaxLevel, TargetLevel),
    LabLevel, VLOOKUP(M17,MS_Labs_Array,2,False),
    DVTColumn, MATCH(M17, DVT_Laboratory!$A$1:BO$1, 0),
    xextTime, INDIRECT(""DVT_Laboratory!"" &amp; ADDRESS(LabLevel+3,"&amp;" DVTColumn)) / LabSpeed,
    remainingTime, SUM(INDIRECT(""DVT_Laboratory!"" &amp; ADDRESS(LabLevel+3, DVTColumn) &amp; "":"" &amp; ADDRESS(MaxOrTarget+2, DVTColumn))) / LabSpeed,
  M17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7" s="1249"/>
      <c r="Q17" s="1249"/>
      <c r="R17" s="1249"/>
      <c r="S17" s="1249"/>
      <c r="T17" s="1250" t="str">
        <f>IFERROR(__xludf.DUMMYFUNCTION("if(S17 &lt;&gt; """", 
  LET( 
    TargetLevel, VLOOKUP(S17,MS_Labs_Array,3,false),
    MaxLevel, VLOOKUP(S17,MS_Labs_Array,4,false),
    MaxOrTarget, IF(OR(TargetLevel = """",$AD$1 &lt;&gt; ""Target""), MaxLevel, TargetLevel),
    LabLevel, VLOOKUP(S17,MS_Labs_Array"&amp;",2,False),
    Levelprogress, LabLevel / MaxOrTarget,
    DVTColumn, MATCH(S17,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7" s="1251" t="str">
        <f>IFERROR(__xludf.DUMMYFUNCTION("if(S17 &lt;&gt; """", 
  LET(
    TargetLevel, VLOOKUP(S17,MS_Labs_Array,3,false),
    LabSpeed, (1 * REGEXEXTRACT($BH$1, ""[\d.-]+"")) * {IF(S17 =""Labs Speed"", 1+'Master Sheet'!$BK$5, LAB_SPEED_TOTAL())},
    MaxLevel, VLOOKUP(S17,MS_Labs_Array,4,false),
   "&amp;" MaxOrTarget, IF(OR(TargetLevel = """",$AD$1 &lt;&gt; ""Target""), MaxLevel, TargetLevel),
    LabLevel, VLOOKUP(S17,MS_Labs_Array,2,False),
    DVTColumn, MATCH(S17, DVT_Laboratory!$A$1:BO$1, 0),
    xextTime, INDIRECT(""DVT_Laboratory!"" &amp; ADDRESS(LabLevel+3,"&amp;" DVTColumn)) / LabSpeed,
    remainingTime, SUM(INDIRECT(""DVT_Laboratory!"" &amp; ADDRESS(LabLevel+3, DVTColumn) &amp; "":"" &amp; ADDRESS(MaxOrTarget+2, DVTColumn))) / LabSpeed,
  S17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7" s="1249"/>
      <c r="W17" s="1249"/>
      <c r="X17" s="1249" t="str">
        <f>IFERROR(__xludf.DUMMYFUNCTION("""COMPUTED_VALUE"""),"Wall Rebuild")</f>
        <v>Wall Rebuild</v>
      </c>
      <c r="Y17" s="1249" t="str">
        <f>IFERROR(__xludf.DUMMYFUNCTION("""COMPUTED_VALUE"""),"Swamp Stun")</f>
        <v>Swamp Stun</v>
      </c>
      <c r="Z17" s="1250" t="str">
        <f>IFERROR(__xludf.DUMMYFUNCTION("if(Y17 &lt;&gt; """", 
  LET( 
    TargetLevel, VLOOKUP(Y17,MS_Labs_Array,3,false),
    MaxLevel, VLOOKUP(Y17,MS_Labs_Array,4,false),
    MaxOrTarget, IF(OR(TargetLevel = """",$AD$1 &lt;&gt; ""Target""), MaxLevel, TargetLevel),
    LabLevel, VLOOKUP(Y17,MS_Labs_Array"&amp;",2,False),
    Levelprogress, LabLevel / MaxOrTarget,
    DVTColumn, MATCH(Y17,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7" s="1251" t="str">
        <f>IFERROR(__xludf.DUMMYFUNCTION("if(Y17 &lt;&gt; """", 
  LET(
    TargetLevel, VLOOKUP(Y17,MS_Labs_Array,3,false),
    LabSpeed, (1 * REGEXEXTRACT($BH$1, ""[\d.-]+"")) * {IF(Y17 =""Labs Speed"", 1+'Master Sheet'!$BK$5, LAB_SPEED_TOTAL())},
    MaxLevel, VLOOKUP(Y17,MS_Labs_Array,4,false),
   "&amp;" MaxOrTarget, IF(OR(TargetLevel = """",$AD$1 &lt;&gt; ""Target""), MaxLevel, TargetLevel),
    LabLevel, VLOOKUP(Y17,MS_Labs_Array,2,False),
    DVTColumn, MATCH(Y17, DVT_Laboratory!$A$1:BO$1, 0),
    xextTime, INDIRECT(""DVT_Laboratory!"" &amp; ADDRESS(LabLevel+3,"&amp;" DVTColumn)) / LabSpeed,
    remainingTime, SUM(INDIRECT(""DVT_Laboratory!"" &amp; ADDRESS(LabLevel+3, DVTColumn) &amp; "":"" &amp; ADDRESS(MaxOrTarget+2, DVTColumn))) / LabSpeed,
  Y17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"""")"),"Swamp Stun
  Lab Level:      0 / 1 (Max)
  Next Level:    0d  1h 16m
  Max Level:     0d  1h 16m")</f>
        <v>Swamp Stun
  Lab Level:      0 / 1 (Max)
  Next Level:    0d  1h 16m
  Max Level:     0d  1h 16m</v>
      </c>
      <c r="AB17" s="1249" t="str">
        <f>IFERROR(__xludf.DUMMYFUNCTION("""COMPUTED_VALUE"""),"Great complementary source of crowd control")</f>
        <v>Great complementary source of crowd control</v>
      </c>
      <c r="AC17" s="1249" t="str">
        <f>IFERROR(__xludf.DUMMYFUNCTION("""COMPUTED_VALUE"""),"Mostly useless unless you're using a Glass Cannon build")</f>
        <v>Mostly useless unless you're using a Glass Cannon build</v>
      </c>
      <c r="AD17" s="1249" t="str">
        <f>IFERROR(__xludf.DUMMYFUNCTION("""COMPUTED_VALUE"""),"Golden Tower Bonus")</f>
        <v>Golden Tower Bonus</v>
      </c>
      <c r="AE17" s="1249" t="str">
        <f>IFERROR(__xludf.DUMMYFUNCTION("""COMPUTED_VALUE"""),"Inner Land Mine - Chrono Jump")</f>
        <v>Inner Land Mine - Chrono Jump</v>
      </c>
      <c r="AF17" s="1250" t="str">
        <f>IFERROR(__xludf.DUMMYFUNCTION("if(AE17 &lt;&gt; """", 
  LET( 
    TargetLevel, VLOOKUP(AE17,MS_Labs_Array,3,false),
    MaxLevel, VLOOKUP(AE17,MS_Labs_Array,4,false),
    MaxOrTarget, IF(OR(TargetLevel = """",$AD$1 &lt;&gt; ""Target""), MaxLevel, TargetLevel),
    LabLevel, VLOOKUP(AE17,MS_Labs_A"&amp;"rray,2,False),
    Levelprogress, LabLevel / MaxOrTarget,
    DVTColumn, MATCH(AE17,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7" s="1251" t="str">
        <f>IFERROR(__xludf.DUMMYFUNCTION("if(AE17 &lt;&gt; """", 
  LET(
    TargetLevel, VLOOKUP(AE17,MS_Labs_Array,3,false),
    LabSpeed, (1 * REGEXEXTRACT($BH$1, ""[\d.-]+"")) * {IF(AE17 =""Labs Speed"", 1+'Master Sheet'!$BK$5, LAB_SPEED_TOTAL())},
    MaxLevel, VLOOKUP(AE17,MS_Labs_Array,4,false),"&amp;"
    MaxOrTarget, IF(OR(TargetLevel = """",$AD$1 &lt;&gt; ""Target""), MaxLevel, TargetLevel),
    LabLevel, VLOOKUP(AE17,MS_Labs_Array,2,False),
    DVTColumn, MATCH(AE17, DVT_Laboratory!$A$1:BO$1, 0),
    xextTime, INDIRECT(""DVT_Laboratory!"" &amp; ADDRESS(LabLe"&amp;"vel+3, DVTColumn)) / LabSpeed,
    remainingTime, SUM(INDIRECT(""DVT_Laboratory!"" &amp; ADDRESS(LabLevel+3, DVTColumn) &amp; "":"" &amp; ADDRESS(MaxOrTarget+2, DVTColumn))) / LabSpeed,
  AE17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"""")"),"Inner Land Mine - Chrono Jump
  Lab Level:      0 / 10 (Max)
  Next Level:    1d  1h 25m
  Max Level:     58d  6h  6m")</f>
        <v>Inner Land Mine - Chrono Jump
  Lab Level:      0 / 10 (Max)
  Next Level:    1d  1h 25m
  Max Level:     58d  6h  6m</v>
      </c>
      <c r="AH17" s="1249" t="str">
        <f>IFERROR(__xludf.DUMMYFUNCTION("""COMPUTED_VALUE"""),"Essential in allowing the full potential of the UW+, leading to being a favourable second damage UW built")</f>
        <v>Essential in allowing the full potential of the UW+, leading to being a favourable second damage UW built</v>
      </c>
      <c r="AI17" s="1249" t="str">
        <f>IFERROR(__xludf.DUMMYFUNCTION("""COMPUTED_VALUE"""),"One of the last econ labs to do")</f>
        <v>One of the last econ labs to do</v>
      </c>
      <c r="AJ17" s="1249" t="str">
        <f>IFERROR(__xludf.DUMMYFUNCTION("""COMPUTED_VALUE"""),"Chrono Field Reduction %")</f>
        <v>Chrono Field Reduction %</v>
      </c>
      <c r="AK17" s="1249" t="str">
        <f>IFERROR(__xludf.DUMMYFUNCTION("""COMPUTED_VALUE"""),"Ranged Enemy Range")</f>
        <v>Ranged Enemy Range</v>
      </c>
      <c r="AL17" s="1250" t="str">
        <f>IFERROR(__xludf.DUMMYFUNCTION("if(AK17 &lt;&gt; """", 
  LET( 
    TargetLevel, VLOOKUP(AK17,MS_Labs_Array,3,false),
    MaxLevel, VLOOKUP(AK17,MS_Labs_Array,4,false),
    MaxOrTarget, IF(OR(TargetLevel = """",$AD$1 &lt;&gt; ""Target""), MaxLevel, TargetLevel),
    LabLevel, VLOOKUP(AK17,MS_Labs_A"&amp;"rray,2,False),
    Levelprogress, LabLevel / MaxOrTarget,
    DVTColumn, MATCH(AK17,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7" s="1251" t="str">
        <f>IFERROR(__xludf.DUMMYFUNCTION("if(AK17 &lt;&gt; """", 
  LET(
    TargetLevel, VLOOKUP(AK17,MS_Labs_Array,3,false),
    LabSpeed, (1 * REGEXEXTRACT($BH$1, ""[\d.-]+"")) * {IF(AK17 =""Labs Speed"", 1+'Master Sheet'!$BK$5, LAB_SPEED_TOTAL())},
    MaxLevel, VLOOKUP(AK17,MS_Labs_Array,4,false),"&amp;"
    MaxOrTarget, IF(OR(TargetLevel = """",$AD$1 &lt;&gt; ""Target""), MaxLevel, TargetLevel),
    LabLevel, VLOOKUP(AK17,MS_Labs_Array,2,False),
    DVTColumn, MATCH(AK17, DVT_Laboratory!$A$1:BO$1, 0),
    xextTime, INDIRECT(""DVT_Laboratory!"" &amp; ADDRESS(LabLe"&amp;"vel+3, DVTColumn)) / LabSpeed,
    remainingTime, SUM(INDIRECT(""DVT_Laboratory!"" &amp; ADDRESS(LabLevel+3, DVTColumn) &amp; "":"" &amp; ADDRESS(MaxOrTarget+2, DVTColumn))) / LabSpeed,
  AK17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"""")"),"Ranged Enemy Range
  Lab Level:      0 / 30 (Max)
  Next Level:    0d  4h  7m
  Max Level:     79d 18h 47m")</f>
        <v>Ranged Enemy Range
  Lab Level:      0 / 30 (Max)
  Next Level:    0d  4h  7m
  Max Level:     79d 18h 47m</v>
      </c>
      <c r="AN17" s="1249" t="str">
        <f>IFERROR(__xludf.DUMMYFUNCTION("""COMPUTED_VALUE"""),"Good to reduce ranged chips")</f>
        <v>Good to reduce ranged chips</v>
      </c>
      <c r="AO17" s="1249" t="str">
        <f>IFERROR(__xludf.DUMMYFUNCTION("""COMPUTED_VALUE"""),"Very long for any benefit past a certan point")</f>
        <v>Very long for any benefit past a certan point</v>
      </c>
      <c r="AP17" s="1249" t="str">
        <f>IFERROR(__xludf.DUMMYFUNCTION("""COMPUTED_VALUE"""),"Wall Invincibility")</f>
        <v>Wall Invincibility</v>
      </c>
      <c r="AQ17" s="1249" t="str">
        <f>IFERROR(__xludf.DUMMYFUNCTION("""COMPUTED_VALUE"""),"Recharge Nuke")</f>
        <v>Recharge Nuke</v>
      </c>
      <c r="AR17" s="1250" t="str">
        <f>IFERROR(__xludf.DUMMYFUNCTION("if(AQ17 &lt;&gt; """", 
  LET( 
    TargetLevel, VLOOKUP(AQ17,MS_Labs_Array,3,false),
    MaxLevel, VLOOKUP(AQ17,MS_Labs_Array,4,false),
    MaxOrTarget, IF(OR(TargetLevel = """",$AD$1 &lt;&gt; ""Target""), MaxLevel, TargetLevel),
    LabLevel, VLOOKUP(AQ17,MS_Labs_A"&amp;"rray,2,False),
    Levelprogress, LabLevel / MaxOrTarget,
    DVTColumn, MATCH(AQ17,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7" s="1251" t="str">
        <f>IFERROR(__xludf.DUMMYFUNCTION("if(AQ17 &lt;&gt; """", 
  LET(
    TargetLevel, VLOOKUP(AQ17,MS_Labs_Array,3,false),
    LabSpeed, (1 * REGEXEXTRACT($BH$1, ""[\d.-]+"")) * {IF(AQ17 =""Labs Speed"", 1+'Master Sheet'!$BK$5, LAB_SPEED_TOTAL())},
    MaxLevel, VLOOKUP(AQ17,MS_Labs_Array,4,false),"&amp;"
    MaxOrTarget, IF(OR(TargetLevel = """",$AD$1 &lt;&gt; ""Target""), MaxLevel, TargetLevel),
    LabLevel, VLOOKUP(AQ17,MS_Labs_Array,2,False),
    DVTColumn, MATCH(AQ17, DVT_Laboratory!$A$1:BO$1, 0),
    xextTime, INDIRECT(""DVT_Laboratory!"" &amp; ADDRESS(LabLe"&amp;"vel+3, DVTColumn)) / LabSpeed,
    remainingTime, SUM(INDIRECT(""DVT_Laboratory!"" &amp; ADDRESS(LabLevel+3, DVTColumn) &amp; "":"" &amp; ADDRESS(MaxOrTarget+2, DVTColumn))) / LabSpeed,
  AQ17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"""")"),"Recharge Nuke
  Lab Level:      2 / 7 (Max)
  Next Level:    0d 12h 15m
  Max Level:     6d 21h  5m")</f>
        <v>Recharge Nuke
  Lab Level:      2 / 7 (Max)
  Next Level:    0d 12h 15m
  Max Level:     6d 21h  5m</v>
      </c>
      <c r="AT17" s="1249" t="str">
        <f>IFERROR(__xludf.DUMMYFUNCTION("""COMPUTED_VALUE"""),"Okay for the event mission when high level, essential to keep the effect of mastery going past 300 waves")</f>
        <v>Okay for the event mission when high level, essential to keep the effect of mastery going past 300 waves</v>
      </c>
      <c r="AU17" s="1249" t="str">
        <f>IFERROR(__xludf.DUMMYFUNCTION("""COMPUTED_VALUE"""),"Same as Wall Rebuild")</f>
        <v>Same as Wall Rebuild</v>
      </c>
      <c r="AV17" s="1249" t="str">
        <f>IFERROR(__xludf.DUMMYFUNCTION("""COMPUTED_VALUE"""),"Interest")</f>
        <v>Interest</v>
      </c>
      <c r="AW17" s="1249" t="str">
        <f>IFERROR(__xludf.DUMMYFUNCTION("""COMPUTED_VALUE"""),"Death Wave Armor Stripping")</f>
        <v>Death Wave Armor Stripping</v>
      </c>
      <c r="AX17" s="1250" t="str">
        <f>IFERROR(__xludf.DUMMYFUNCTION("if(AW17 &lt;&gt; """", 
  LET( 
    TargetLevel, VLOOKUP(AW17,MS_Labs_Array,3,false),
    MaxLevel, VLOOKUP(AW17,MS_Labs_Array,4,false),
    MaxOrTarget, IF(OR(TargetLevel = """",$AD$1 &lt;&gt; ""Target""), MaxLevel, TargetLevel),
    LabLevel, VLOOKUP(AW17,MS_Labs_A"&amp;"rray,2,False),
    Levelprogress, LabLevel / MaxOrTarget,
    DVTColumn, MATCH(AW17,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7" s="1251" t="str">
        <f>IFERROR(__xludf.DUMMYFUNCTION("if(AW17 &lt;&gt; """", 
  LET(
    TargetLevel, VLOOKUP(AW17,MS_Labs_Array,3,false),
    LabSpeed, (1 * REGEXEXTRACT($BH$1, ""[\d.-]+"")) * {IF(AW17 =""Labs Speed"", 1+'Master Sheet'!$BK$5, LAB_SPEED_TOTAL())},
    MaxLevel, VLOOKUP(AW17,MS_Labs_Array,4,false),"&amp;"
    MaxOrTarget, IF(OR(TargetLevel = """",$AD$1 &lt;&gt; ""Target""), MaxLevel, TargetLevel),
    LabLevel, VLOOKUP(AW17,MS_Labs_Array,2,False),
    DVTColumn, MATCH(AW17, DVT_Laboratory!$A$1:BO$1, 0),
    xextTime, INDIRECT(""DVT_Laboratory!"" &amp; ADDRESS(LabLe"&amp;"vel+3, DVTColumn)) / LabSpeed,
    remainingTime, SUM(INDIRECT(""DVT_Laboratory!"" &amp; ADDRESS(LabLevel+3, DVTColumn) &amp; "":"" &amp; ADDRESS(MaxOrTarget+2, DVTColumn))) / LabSpeed,
  AW17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"""")"),"Death Wave Armor Stripping
  Lab Level:      0 / 10 (Max)
  Next Level:    0d 12h 42m
  Max Level:     18d  0h  2m")</f>
        <v>Death Wave Armor Stripping
  Lab Level:      0 / 10 (Max)
  Next Level:    0d 12h 42m
  Max Level:     18d  0h  2m</v>
      </c>
      <c r="AZ17" s="1249" t="str">
        <f>IFERROR(__xludf.DUMMYFUNCTION("""COMPUTED_VALUE"""),"Not important, potential footgun regarding killing too far out")</f>
        <v>Not important, potential footgun regarding killing too far out</v>
      </c>
      <c r="BA17" s="1249" t="str">
        <f>IFERROR(__xludf.DUMMYFUNCTION("""COMPUTED_VALUE"""),"Only helps to reach the max which is very easy regardless")</f>
        <v>Only helps to reach the max which is very easy regardless</v>
      </c>
      <c r="BB17" s="1249"/>
      <c r="BC17" s="1249"/>
      <c r="BD17" s="1250" t="str">
        <f>IFERROR(__xludf.DUMMYFUNCTION("if(BC17 &lt;&gt; """", 
  LET( 
    TargetLevel, VLOOKUP(BC17,MS_Labs_Array,3,false),
    MaxLevel, VLOOKUP(BC17,MS_Labs_Array,4,false),
    MaxOrTarget, IF(OR(TargetLevel = """",$AD$1 &lt;&gt; ""Target""), MaxLevel, TargetLevel),
    LabLevel, VLOOKUP(BC17,MS_Labs_A"&amp;"rray,2,False),
    Levelprogress, LabLevel / MaxOrTarget,
    DVTColumn, MATCH(BC17,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7" s="1251" t="str">
        <f>IFERROR(__xludf.DUMMYFUNCTION("if(BC17 &lt;&gt; """", 
  LET(
    TargetLevel, VLOOKUP(BC17,MS_Labs_Array,3,false),
    LabSpeed, (1 * REGEXEXTRACT($BH$1, ""[\d.-]+"")) * {IF(BC17 =""Labs Speed"", 1+'Master Sheet'!$BK$5, LAB_SPEED_TOTAL())},
    MaxLevel, VLOOKUP(BC17,MS_Labs_Array,4,false),"&amp;"
    MaxOrTarget, IF(OR(TargetLevel = """",$AD$1 &lt;&gt; ""Target""), MaxLevel, TargetLevel),
    LabLevel, VLOOKUP(BC17,MS_Labs_Array,2,False),
    DVTColumn, MATCH(BC17, DVT_Laboratory!$A$1:BO$1, 0),
    xextTime, INDIRECT(""DVT_Laboratory!"" &amp; ADDRESS(LabLe"&amp;"vel+3, DVTColumn)) / LabSpeed,
    remainingTime, SUM(INDIRECT(""DVT_Laboratory!"" &amp; ADDRESS(LabLevel+3, DVTColumn) &amp; "":"" &amp; ADDRESS(MaxOrTarget+2, DVTColumn))) / LabSpeed,
  BC17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7" s="1249"/>
      <c r="BG17" s="1249"/>
      <c r="BH17" s="1260" t="str">
        <f>IFERROR(__xludf.DUMMYFUNCTION("""COMPUTED_VALUE"""),"Workshop Enhancements")</f>
        <v>Workshop Enhancements</v>
      </c>
      <c r="BI17" s="1252" t="str">
        <f>IFERROR(__xludf.DUMMYFUNCTION("""COMPUTED_VALUE"""),"Package After Boss")</f>
        <v>Package After Boss</v>
      </c>
      <c r="BJ17" s="1253" t="str">
        <f>IFERROR(__xludf.DUMMYFUNCTION("if(BI17 &lt;&gt; """", 
  LET( 
    TargetLevel, VLOOKUP(BI17,MS_Labs_Array,3,false),
    MaxLevel, VLOOKUP(BI17,MS_Labs_Array,4,false),
    MaxOrTarget, IF(OR(TargetLevel = """",$AD$1 &lt;&gt; ""Target""), MaxLevel, TargetLevel),
    LabLevel, VLOOKUP(BI17,MS_Labs_A"&amp;"rray,2,False),
    Levelprogress, IF(LabLevel &gt;= MaxOrTarget, 1, LabLevel / MaxOrTarget),
    DVTColumn, MATCH(BI17,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7" s="1254" t="str">
        <f>IFERROR(__xludf.DUMMYFUNCTION("if(BI17 &lt;&gt; """", 
  LET(
    TargetLevel, VLOOKUP(BI17,MS_Labs_Array,3,false),
    LabSpeed, (1 * REGEXEXTRACT($BH$1, ""[\d.-]+"")) * {IF(BI17 =""Labs Speed"", 1+'Master Sheet'!$BK$5, LAB_SPEED_TOTAL())},
    MaxLevel, VLOOKUP(BI17,MS_Labs_Array,4,false),"&amp;"
    MaxOrTarget, IF(OR(TargetLevel = """",$AD$1 &lt;&gt; ""Target""), MaxLevel, TargetLevel),
    LabLevel, VLOOKUP(BI17,MS_Labs_Array,2,False),
    DVTColumn, MATCH(BI17, DVT_Laboratory!$A$1:BO$1, 0),
    xextTime, INDIRECT(""DVT_Laboratory!"" &amp; ADDRESS(LabLe"&amp;"vel+3, DVTColumn)) / LabSpeed,
    remainingTime, SUM(INDIRECT(""DVT_Laboratory!"" &amp; ADDRESS(LabLevel+3, DVTColumn) &amp; "":"" &amp; ADDRESS(MaxOrTarget+2, DVTColumn))) / LabSpeed,
  BI17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"""")"),"Package After Boss
  Lab Level:      1 / 1 (Max)
  Next Level:    
  Max Level:     0d 12h 21m")</f>
        <v>Package After Boss
  Lab Level:      1 / 1 (Max)
  Next Level:    
  Max Level:     0d 12h 21m</v>
      </c>
      <c r="BL17" s="1252" t="str">
        <f>IFERROR(__xludf.DUMMYFUNCTION("""COMPUTED_VALUE"""),"Decreases variability of packages, very good for early towers without WHR or Wall and Gcomp users")</f>
        <v>Decreases variability of packages, very good for early towers without WHR or Wall and Gcomp users</v>
      </c>
      <c r="BM17" s="1252" t="str">
        <f>IFERROR(__xludf.DUMMYFUNCTION("""COMPUTED_VALUE"""),"becomes required to progress after 1T~ LTC")</f>
        <v>becomes required to progress after 1T~ LTC</v>
      </c>
      <c r="BN17" s="1222"/>
      <c r="BO17" s="1261"/>
    </row>
    <row r="18" ht="7.5" customHeight="1">
      <c r="A18" s="1222"/>
      <c r="B18" s="1257"/>
      <c r="C18" s="1270" t="s">
        <v>315</v>
      </c>
      <c r="D18" s="1242" t="str">
        <f>VLOOKUP(C18,'Remote Tier List'!A:D, 2, FALSE)</f>
        <v>B</v>
      </c>
      <c r="E18" s="1243" t="str">
        <f>VLOOKUP(C18,'Remote Tier List'!A:D, 3, FALSE)</f>
        <v/>
      </c>
      <c r="F18" s="1258" t="str">
        <f>VLOOKUP(C18,'Remote Tier List'!A:D, 4, FALSE)</f>
        <v>The 500T unlock is Orb Size, the least useful of the three</v>
      </c>
      <c r="G18" s="1245" t="b">
        <f t="shared" si="10"/>
        <v>0</v>
      </c>
      <c r="H18" s="1246" t="str">
        <f t="array" ref="H18:I18">LET(
  Lab, $C18,
  Mode, $AD$1,
  Level, VLOOKUP(Lab, MS_Labs_Array, 2, FALSE),
  Target, VLOOKUP(Lab, MS_Labs_Array, 3, FALSE),
  Max, VLOOKUP(Lab, MS_Labs_Array, 4, FALSE),
  Result,
    IF(
      AND(
        Mode &lt;&gt; "Never",
        Level &gt;= IF(OR(Target = "", Mode = "Max"), Max, Target)
      ),
      "Completed",
      ""
    ),
  HSTACK(
    IF(Result &lt;&gt; "", Result, $D18),
    IF(Result &lt;&gt; "", Result, IF($E18 = "", $D18, $E18))
  )
)</f>
        <v>B</v>
      </c>
      <c r="I18" s="1247" t="s">
        <v>546</v>
      </c>
      <c r="J18" s="1248" t="str">
        <f t="shared" si="11"/>
        <v>The 500T unlock is Orb Size, the least useful of the three</v>
      </c>
      <c r="K18" s="1229"/>
      <c r="L18" s="1249" t="str">
        <f>IFERROR(__xludf.DUMMYFUNCTION("""COMPUTED_VALUE"""),"")</f>
        <v/>
      </c>
      <c r="M18" s="1249"/>
      <c r="N18" s="1250" t="str">
        <f>IFERROR(__xludf.DUMMYFUNCTION("if(M18 &lt;&gt; """", 
  LET( 
    TargetLevel, VLOOKUP(M18,MS_Labs_Array,3,false),
    MaxLevel, VLOOKUP(M18,MS_Labs_Array,4,false),
    MaxOrTarget, IF(OR(TargetLevel = """",$AD$1 &lt;&gt; ""Target""), MaxLevel, TargetLevel),
    LabLevel, VLOOKUP(M18,MS_Labs_Array"&amp;",2,False),
    Levelprogress, LabLevel / MaxOrTarget,
    DVTColumn, MATCH(M18,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8" s="1251" t="str">
        <f>IFERROR(__xludf.DUMMYFUNCTION("if(M18 &lt;&gt; """", 
  LET(
    TargetLevel, VLOOKUP(M18,MS_Labs_Array,3,false),
    LabSpeed, (1 * REGEXEXTRACT($BH$1, ""[\d.-]+"")) * {IF(M18 =""Labs Speed"", 1+'Master Sheet'!$BK$5, LAB_SPEED_TOTAL())},
    MaxLevel, VLOOKUP(M18,MS_Labs_Array,4,false),
   "&amp;" MaxOrTarget, IF(OR(TargetLevel = """",$AD$1 &lt;&gt; ""Target""), MaxLevel, TargetLevel),
    LabLevel, VLOOKUP(M18,MS_Labs_Array,2,False),
    DVTColumn, MATCH(M18, DVT_Laboratory!$A$1:BO$1, 0),
    xextTime, INDIRECT(""DVT_Laboratory!"" &amp; ADDRESS(LabLevel+3,"&amp;" DVTColumn)) / LabSpeed,
    remainingTime, SUM(INDIRECT(""DVT_Laboratory!"" &amp; ADDRESS(LabLevel+3, DVTColumn) &amp; "":"" &amp; ADDRESS(MaxOrTarget+2, DVTColumn))) / LabSpeed,
  M18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8" s="1249"/>
      <c r="Q18" s="1249" t="str">
        <f>IFERROR(__xludf.DUMMYFUNCTION("""COMPUTED_VALUE"""),"")</f>
        <v/>
      </c>
      <c r="R18" s="1249" t="str">
        <f>IFERROR(__xludf.DUMMYFUNCTION("""COMPUTED_VALUE"""),"")</f>
        <v/>
      </c>
      <c r="S18" s="1249"/>
      <c r="T18" s="1250" t="str">
        <f>IFERROR(__xludf.DUMMYFUNCTION("if(S18 &lt;&gt; """", 
  LET( 
    TargetLevel, VLOOKUP(S18,MS_Labs_Array,3,false),
    MaxLevel, VLOOKUP(S18,MS_Labs_Array,4,false),
    MaxOrTarget, IF(OR(TargetLevel = """",$AD$1 &lt;&gt; ""Target""), MaxLevel, TargetLevel),
    LabLevel, VLOOKUP(S18,MS_Labs_Array"&amp;",2,False),
    Levelprogress, LabLevel / MaxOrTarget,
    DVTColumn, MATCH(S18,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8" s="1251" t="str">
        <f>IFERROR(__xludf.DUMMYFUNCTION("if(S18 &lt;&gt; """", 
  LET(
    TargetLevel, VLOOKUP(S18,MS_Labs_Array,3,false),
    LabSpeed, (1 * REGEXEXTRACT($BH$1, ""[\d.-]+"")) * {IF(S18 =""Labs Speed"", 1+'Master Sheet'!$BK$5, LAB_SPEED_TOTAL())},
    MaxLevel, VLOOKUP(S18,MS_Labs_Array,4,false),
   "&amp;" MaxOrTarget, IF(OR(TargetLevel = """",$AD$1 &lt;&gt; ""Target""), MaxLevel, TargetLevel),
    LabLevel, VLOOKUP(S18,MS_Labs_Array,2,False),
    DVTColumn, MATCH(S18, DVT_Laboratory!$A$1:BO$1, 0),
    xextTime, INDIRECT(""DVT_Laboratory!"" &amp; ADDRESS(LabLevel+3,"&amp;" DVTColumn)) / LabSpeed,
    remainingTime, SUM(INDIRECT(""DVT_Laboratory!"" &amp; ADDRESS(LabLevel+3, DVTColumn) &amp; "":"" &amp; ADDRESS(MaxOrTarget+2, DVTColumn))) / LabSpeed,
  S18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8" s="1249"/>
      <c r="W18" s="1249" t="str">
        <f>IFERROR(__xludf.DUMMYFUNCTION("""COMPUTED_VALUE"""),"")</f>
        <v/>
      </c>
      <c r="X18" s="1249" t="str">
        <f>IFERROR(__xludf.DUMMYFUNCTION("""COMPUTED_VALUE"""),"")</f>
        <v/>
      </c>
      <c r="Y18" s="1249" t="str">
        <f>IFERROR(__xludf.DUMMYFUNCTION("""COMPUTED_VALUE"""),"Swamp Stun Chance")</f>
        <v>Swamp Stun Chance</v>
      </c>
      <c r="Z18" s="1250" t="str">
        <f>IFERROR(__xludf.DUMMYFUNCTION("if(Y18 &lt;&gt; """", 
  LET( 
    TargetLevel, VLOOKUP(Y18,MS_Labs_Array,3,false),
    MaxLevel, VLOOKUP(Y18,MS_Labs_Array,4,false),
    MaxOrTarget, IF(OR(TargetLevel = """",$AD$1 &lt;&gt; ""Target""), MaxLevel, TargetLevel),
    LabLevel, VLOOKUP(Y18,MS_Labs_Array"&amp;",2,False),
    Levelprogress, LabLevel / MaxOrTarget,
    DVTColumn, MATCH(Y18,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8" s="1251" t="str">
        <f>IFERROR(__xludf.DUMMYFUNCTION("if(Y18 &lt;&gt; """", 
  LET(
    TargetLevel, VLOOKUP(Y18,MS_Labs_Array,3,false),
    LabSpeed, (1 * REGEXEXTRACT($BH$1, ""[\d.-]+"")) * {IF(Y18 =""Labs Speed"", 1+'Master Sheet'!$BK$5, LAB_SPEED_TOTAL())},
    MaxLevel, VLOOKUP(Y18,MS_Labs_Array,4,false),
   "&amp;" MaxOrTarget, IF(OR(TargetLevel = """",$AD$1 &lt;&gt; ""Target""), MaxLevel, TargetLevel),
    LabLevel, VLOOKUP(Y18,MS_Labs_Array,2,False),
    DVTColumn, MATCH(Y18, DVT_Laboratory!$A$1:BO$1, 0),
    xextTime, INDIRECT(""DVT_Laboratory!"" &amp; ADDRESS(LabLevel+3,"&amp;" DVTColumn)) / LabSpeed,
    remainingTime, SUM(INDIRECT(""DVT_Laboratory!"" &amp; ADDRESS(LabLevel+3, DVTColumn) &amp; "":"" &amp; ADDRESS(MaxOrTarget+2, DVTColumn))) / LabSpeed,
  Y18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"""")"),"Swamp Stun Chance
  Lab Level:      0 / 30 (Max)
  Next Level:    0d  1h 16m
  Max Level:     52d 10h 56m")</f>
        <v>Swamp Stun Chance
  Lab Level:      0 / 30 (Max)
  Next Level:    0d  1h 16m
  Max Level:     52d 10h 56m</v>
      </c>
      <c r="AB18" s="1249" t="str">
        <f>IFERROR(__xludf.DUMMYFUNCTION("""COMPUTED_VALUE"""),"Great complementary source of crowd control")</f>
        <v>Great complementary source of crowd control</v>
      </c>
      <c r="AC18" s="1249" t="str">
        <f>IFERROR(__xludf.DUMMYFUNCTION("""COMPUTED_VALUE"""),"Wall Rebuild
  Lab Level:      9 / 20 (Max)
  Next Level:    0d 10h 36m
  Max Level:     14d  7h 51m")</f>
        <v>Wall Rebuild
  Lab Level:      9 / 20 (Max)
  Next Level:    0d 10h 36m
  Max Level:     14d  7h 51m</v>
      </c>
      <c r="AD18" s="1249" t="str">
        <f>IFERROR(__xludf.DUMMYFUNCTION("""COMPUTED_VALUE"""),"")</f>
        <v/>
      </c>
      <c r="AE18" s="1249" t="str">
        <f>IFERROR(__xludf.DUMMYFUNCTION("""COMPUTED_VALUE"""),"Gold Bot - Duration")</f>
        <v>Gold Bot - Duration</v>
      </c>
      <c r="AF18" s="1250" t="str">
        <f>IFERROR(__xludf.DUMMYFUNCTION("if(AE18 &lt;&gt; """", 
  LET( 
    TargetLevel, VLOOKUP(AE18,MS_Labs_Array,3,false),
    MaxLevel, VLOOKUP(AE18,MS_Labs_Array,4,false),
    MaxOrTarget, IF(OR(TargetLevel = """",$AD$1 &lt;&gt; ""Target""), MaxLevel, TargetLevel),
    LabLevel, VLOOKUP(AE18,MS_Labs_A"&amp;"rray,2,False),
    Levelprogress, LabLevel / MaxOrTarget,
    DVTColumn, MATCH(AE18,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8" s="1251" t="str">
        <f>IFERROR(__xludf.DUMMYFUNCTION("if(AE18 &lt;&gt; """", 
  LET(
    TargetLevel, VLOOKUP(AE18,MS_Labs_Array,3,false),
    LabSpeed, (1 * REGEXEXTRACT($BH$1, ""[\d.-]+"")) * {IF(AE18 =""Labs Speed"", 1+'Master Sheet'!$BK$5, LAB_SPEED_TOTAL())},
    MaxLevel, VLOOKUP(AE18,MS_Labs_Array,4,false),"&amp;"
    MaxOrTarget, IF(OR(TargetLevel = """",$AD$1 &lt;&gt; ""Target""), MaxLevel, TargetLevel),
    LabLevel, VLOOKUP(AE18,MS_Labs_Array,2,False),
    DVTColumn, MATCH(AE18, DVT_Laboratory!$A$1:BO$1, 0),
    xextTime, INDIRECT(""DVT_Laboratory!"" &amp; ADDRESS(LabLe"&amp;"vel+3, DVTColumn)) / LabSpeed,
    remainingTime, SUM(INDIRECT(""DVT_Laboratory!"" &amp; ADDRESS(LabLevel+3, DVTColumn) &amp; "":"" &amp; ADDRESS(MaxOrTarget+2, DVTColumn))) / LabSpeed,
  AE18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"""")"),"Gold Bot - Duration
  Lab Level:      12 / 20 (Max)
  Next Level:    2d 20h  0m
  Max Level:     38d 21h 26m")</f>
        <v>Gold Bot - Duration
  Lab Level:      12 / 20 (Max)
  Next Level:    2d 20h  0m
  Max Level:     38d 21h 26m</v>
      </c>
      <c r="AH18" s="1249" t="str">
        <f>IFERROR(__xludf.DUMMYFUNCTION("""COMPUTED_VALUE"""),"Great but long lab")</f>
        <v>Great but long lab</v>
      </c>
      <c r="AI18" s="1249" t="str">
        <f>IFERROR(__xludf.DUMMYFUNCTION("""COMPUTED_VALUE"""),"Golden Tower Bonus
  Lab Level:      22 / 25 (Max)
  Next Level:    3d  3h 54m
  Max Level:     10d 21h 40m")</f>
        <v>Golden Tower Bonus
  Lab Level:      22 / 25 (Max)
  Next Level:    3d  3h 54m
  Max Level:     10d 21h 40m</v>
      </c>
      <c r="AJ18" s="1249" t="str">
        <f>IFERROR(__xludf.DUMMYFUNCTION("""COMPUTED_VALUE"""),"")</f>
        <v/>
      </c>
      <c r="AK18" s="1249" t="str">
        <f>IFERROR(__xludf.DUMMYFUNCTION("""COMPUTED_VALUE"""),"Cannon Effect Bans")</f>
        <v>Cannon Effect Bans</v>
      </c>
      <c r="AL18" s="1250" t="str">
        <f>IFERROR(__xludf.DUMMYFUNCTION("if(AK18 &lt;&gt; """", 
  LET( 
    TargetLevel, VLOOKUP(AK18,MS_Labs_Array,3,false),
    MaxLevel, VLOOKUP(AK18,MS_Labs_Array,4,false),
    MaxOrTarget, IF(OR(TargetLevel = """",$AD$1 &lt;&gt; ""Target""), MaxLevel, TargetLevel),
    LabLevel, VLOOKUP(AK18,MS_Labs_A"&amp;"rray,2,False),
    Levelprogress, LabLevel / MaxOrTarget,
    DVTColumn, MATCH(AK18,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8" s="1251" t="str">
        <f>IFERROR(__xludf.DUMMYFUNCTION("if(AK18 &lt;&gt; """", 
  LET(
    TargetLevel, VLOOKUP(AK18,MS_Labs_Array,3,false),
    LabSpeed, (1 * REGEXEXTRACT($BH$1, ""[\d.-]+"")) * {IF(AK18 =""Labs Speed"", 1+'Master Sheet'!$BK$5, LAB_SPEED_TOTAL())},
    MaxLevel, VLOOKUP(AK18,MS_Labs_Array,4,false),"&amp;"
    MaxOrTarget, IF(OR(TargetLevel = """",$AD$1 &lt;&gt; ""Target""), MaxLevel, TargetLevel),
    LabLevel, VLOOKUP(AK18,MS_Labs_Array,2,False),
    DVTColumn, MATCH(AK18, DVT_Laboratory!$A$1:BO$1, 0),
    xextTime, INDIRECT(""DVT_Laboratory!"" &amp; ADDRESS(LabLe"&amp;"vel+3, DVTColumn)) / LabSpeed,
    remainingTime, SUM(INDIRECT(""DVT_Laboratory!"" &amp; ADDRESS(LabLevel+3, DVTColumn) &amp; "":"" &amp; ADDRESS(MaxOrTarget+2, DVTColumn))) / LabSpeed,
  AK18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"""")"),"Cannon Effect Bans
  Lab Level:      0 / 4 (Max)
  Next Level:    2d  9h 11m
  Max Level:     31d 12h 14m")</f>
        <v>Cannon Effect Bans
  Lab Level:      0 / 4 (Max)
  Next Level:    2d  9h 11m
  Max Level:     31d 12h 14m</v>
      </c>
      <c r="AN18" s="1249" t="str">
        <f>IFERROR(__xludf.DUMMYFUNCTION("""COMPUTED_VALUE"""),"Basically another reroll shards lab but arguably worse")</f>
        <v>Basically another reroll shards lab but arguably worse</v>
      </c>
      <c r="AO18" s="1249" t="str">
        <f>IFERROR(__xludf.DUMMYFUNCTION("""COMPUTED_VALUE"""),"Chrono Field Reduction %
  Lab Level:      20 / 30 (Max)
  Next Level:    2d  1h 42m
  Max Level:     42d 10h 15m")</f>
        <v>Chrono Field Reduction %
  Lab Level:      20 / 30 (Max)
  Next Level:    2d  1h 42m
  Max Level:     42d 10h 15m</v>
      </c>
      <c r="AP18" s="1249" t="str">
        <f>IFERROR(__xludf.DUMMYFUNCTION("""COMPUTED_VALUE"""),"")</f>
        <v/>
      </c>
      <c r="AQ18" s="1249" t="str">
        <f>IFERROR(__xludf.DUMMYFUNCTION("""COMPUTED_VALUE"""),"Amp Bot - Cooldown")</f>
        <v>Amp Bot - Cooldown</v>
      </c>
      <c r="AR18" s="1250" t="str">
        <f>IFERROR(__xludf.DUMMYFUNCTION("if(AQ18 &lt;&gt; """", 
  LET( 
    TargetLevel, VLOOKUP(AQ18,MS_Labs_Array,3,false),
    MaxLevel, VLOOKUP(AQ18,MS_Labs_Array,4,false),
    MaxOrTarget, IF(OR(TargetLevel = """",$AD$1 &lt;&gt; ""Target""), MaxLevel, TargetLevel),
    LabLevel, VLOOKUP(AQ18,MS_Labs_A"&amp;"rray,2,False),
    Levelprogress, LabLevel / MaxOrTarget,
    DVTColumn, MATCH(AQ18,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8" s="1251" t="str">
        <f>IFERROR(__xludf.DUMMYFUNCTION("if(AQ18 &lt;&gt; """", 
  LET(
    TargetLevel, VLOOKUP(AQ18,MS_Labs_Array,3,false),
    LabSpeed, (1 * REGEXEXTRACT($BH$1, ""[\d.-]+"")) * {IF(AQ18 =""Labs Speed"", 1+'Master Sheet'!$BK$5, LAB_SPEED_TOTAL())},
    MaxLevel, VLOOKUP(AQ18,MS_Labs_Array,4,false),"&amp;"
    MaxOrTarget, IF(OR(TargetLevel = """",$AD$1 &lt;&gt; ""Target""), MaxLevel, TargetLevel),
    LabLevel, VLOOKUP(AQ18,MS_Labs_Array,2,False),
    DVTColumn, MATCH(AQ18, DVT_Laboratory!$A$1:BO$1, 0),
    xextTime, INDIRECT(""DVT_Laboratory!"" &amp; ADDRESS(LabLe"&amp;"vel+3, DVTColumn)) / LabSpeed,
    remainingTime, SUM(INDIRECT(""DVT_Laboratory!"" &amp; ADDRESS(LabLevel+3, DVTColumn) &amp; "":"" &amp; ADDRESS(MaxOrTarget+2, DVTColumn))) / LabSpeed,
  AQ18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"""")"),"Amp Bot - Cooldown
  Lab Level:      0 / 25 (Max)
  Next Level:    0d  2h 28m
  Max Level:     36d 15h 32m")</f>
        <v>Amp Bot - Cooldown
  Lab Level:      0 / 25 (Max)
  Next Level:    0d  2h 28m
  Max Level:     36d 15h 32m</v>
      </c>
      <c r="AT18" s="1249" t="str">
        <f>IFERROR(__xludf.DUMMYFUNCTION("""COMPUTED_VALUE"""),"Syncing the bot may be beneficial in some cases, improves consistency")</f>
        <v>Syncing the bot may be beneficial in some cases, improves consistency</v>
      </c>
      <c r="AU18" s="1249" t="str">
        <f>IFERROR(__xludf.DUMMYFUNCTION("""COMPUTED_VALUE"""),"Wall Invincibility
  Lab Level:      0 / 10 (Max)
  Next Level:    0d  5h 17m
  Max Level:     5d  7h 44m")</f>
        <v>Wall Invincibility
  Lab Level:      0 / 10 (Max)
  Next Level:    0d  5h 17m
  Max Level:     5d  7h 44m</v>
      </c>
      <c r="AV18" s="1249" t="str">
        <f>IFERROR(__xludf.DUMMYFUNCTION("""COMPUTED_VALUE"""),"")</f>
        <v/>
      </c>
      <c r="AW18" s="1249" t="str">
        <f>IFERROR(__xludf.DUMMYFUNCTION("""COMPUTED_VALUE"""),"Waves Required")</f>
        <v>Waves Required</v>
      </c>
      <c r="AX18" s="1250" t="str">
        <f>IFERROR(__xludf.DUMMYFUNCTION("if(AW18 &lt;&gt; """", 
  LET( 
    TargetLevel, VLOOKUP(AW18,MS_Labs_Array,3,false),
    MaxLevel, VLOOKUP(AW18,MS_Labs_Array,4,false),
    MaxOrTarget, IF(OR(TargetLevel = """",$AD$1 &lt;&gt; ""Target""), MaxLevel, TargetLevel),
    LabLevel, VLOOKUP(AW18,MS_Labs_A"&amp;"rray,2,False),
    Levelprogress, LabLevel / MaxOrTarget,
    DVTColumn, MATCH(AW18,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8" s="1251" t="str">
        <f>IFERROR(__xludf.DUMMYFUNCTION("if(AW18 &lt;&gt; """", 
  LET(
    TargetLevel, VLOOKUP(AW18,MS_Labs_Array,3,false),
    LabSpeed, (1 * REGEXEXTRACT($BH$1, ""[\d.-]+"")) * {IF(AW18 =""Labs Speed"", 1+'Master Sheet'!$BK$5, LAB_SPEED_TOTAL())},
    MaxLevel, VLOOKUP(AW18,MS_Labs_Array,4,false),"&amp;"
    MaxOrTarget, IF(OR(TargetLevel = """",$AD$1 &lt;&gt; ""Target""), MaxLevel, TargetLevel),
    LabLevel, VLOOKUP(AW18,MS_Labs_Array,2,False),
    DVTColumn, MATCH(AW18, DVT_Laboratory!$A$1:BO$1, 0),
    xextTime, INDIRECT(""DVT_Laboratory!"" &amp; ADDRESS(LabLe"&amp;"vel+3, DVTColumn)) / LabSpeed,
    remainingTime, SUM(INDIRECT(""DVT_Laboratory!"" &amp; ADDRESS(LabLevel+3, DVTColumn) &amp; "":"" &amp; ADDRESS(MaxOrTarget+2, DVTColumn))) / LabSpeed,
  AW18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"""")"),"Waves Required
  Lab Level:      13 / 17 (Target)
  Next Level:    0d 12h 38m
  Target Level: 2d 23h 34m")</f>
        <v>Waves Required
  Lab Level:      13 / 17 (Target)
  Next Level:    0d 12h 38m
  Target Level: 2d 23h 34m</v>
      </c>
      <c r="AZ18" s="1249" t="str">
        <f>IFERROR(__xludf.DUMMYFUNCTION("""COMPUTED_VALUE"""),"Long lab that is almost entirely overshadowed by the Perk wave requirement perk")</f>
        <v>Long lab that is almost entirely overshadowed by the Perk wave requirement perk</v>
      </c>
      <c r="BA18" s="1249" t="str">
        <f>IFERROR(__xludf.DUMMYFUNCTION("""COMPUTED_VALUE"""),"Interest
  Lab Level:      11 / 99 (Max)
  Next Level:    0d  0h 43m
  Max Level:     216d  8h 32m")</f>
        <v>Interest
  Lab Level:      11 / 99 (Max)
  Next Level:    0d  0h 43m
  Max Level:     216d  8h 32m</v>
      </c>
      <c r="BB18" s="1249" t="str">
        <f>IFERROR(__xludf.DUMMYFUNCTION("""COMPUTED_VALUE"""),"")</f>
        <v/>
      </c>
      <c r="BC18" s="1249"/>
      <c r="BD18" s="1250" t="str">
        <f>IFERROR(__xludf.DUMMYFUNCTION("if(BC18 &lt;&gt; """", 
  LET( 
    TargetLevel, VLOOKUP(BC18,MS_Labs_Array,3,false),
    MaxLevel, VLOOKUP(BC18,MS_Labs_Array,4,false),
    MaxOrTarget, IF(OR(TargetLevel = """",$AD$1 &lt;&gt; ""Target""), MaxLevel, TargetLevel),
    LabLevel, VLOOKUP(BC18,MS_Labs_A"&amp;"rray,2,False),
    Levelprogress, LabLevel / MaxOrTarget,
    DVTColumn, MATCH(BC18,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8" s="1251" t="str">
        <f>IFERROR(__xludf.DUMMYFUNCTION("if(BC18 &lt;&gt; """", 
  LET(
    TargetLevel, VLOOKUP(BC18,MS_Labs_Array,3,false),
    LabSpeed, (1 * REGEXEXTRACT($BH$1, ""[\d.-]+"")) * {IF(BC18 =""Labs Speed"", 1+'Master Sheet'!$BK$5, LAB_SPEED_TOTAL())},
    MaxLevel, VLOOKUP(BC18,MS_Labs_Array,4,false),"&amp;"
    MaxOrTarget, IF(OR(TargetLevel = """",$AD$1 &lt;&gt; ""Target""), MaxLevel, TargetLevel),
    LabLevel, VLOOKUP(BC18,MS_Labs_Array,2,False),
    DVTColumn, MATCH(BC18, DVT_Laboratory!$A$1:BO$1, 0),
    xextTime, INDIRECT(""DVT_Laboratory!"" &amp; ADDRESS(LabLe"&amp;"vel+3, DVTColumn)) / LabSpeed,
    remainingTime, SUM(INDIRECT(""DVT_Laboratory!"" &amp; ADDRESS(LabLevel+3, DVTColumn) &amp; "":"" &amp; ADDRESS(MaxOrTarget+2, DVTColumn))) / LabSpeed,
  BC18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8" s="1249"/>
      <c r="BG18" s="1249" t="str">
        <f>IFERROR(__xludf.DUMMYFUNCTION("""COMPUTED_VALUE"""),"")</f>
        <v/>
      </c>
      <c r="BH18" s="1260" t="str">
        <f>IFERROR(__xludf.DUMMYFUNCTION("""COMPUTED_VALUE"""),"")</f>
        <v/>
      </c>
      <c r="BI18" s="1252" t="str">
        <f>IFERROR(__xludf.DUMMYFUNCTION("""COMPUTED_VALUE"""),"Recovery Package Chance")</f>
        <v>Recovery Package Chance</v>
      </c>
      <c r="BJ18" s="1253" t="str">
        <f>IFERROR(__xludf.DUMMYFUNCTION("if(BI18 &lt;&gt; """", 
  LET( 
    TargetLevel, VLOOKUP(BI18,MS_Labs_Array,3,false),
    MaxLevel, VLOOKUP(BI18,MS_Labs_Array,4,false),
    MaxOrTarget, IF(OR(TargetLevel = """",$AD$1 &lt;&gt; ""Target""), MaxLevel, TargetLevel),
    LabLevel, VLOOKUP(BI18,MS_Labs_A"&amp;"rray,2,False),
    Levelprogress, IF(LabLevel &gt;= MaxOrTarget, 1, LabLevel / MaxOrTarget),
    DVTColumn, MATCH(BI18,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8" s="1254" t="str">
        <f>IFERROR(__xludf.DUMMYFUNCTION("if(BI18 &lt;&gt; """", 
  LET(
    TargetLevel, VLOOKUP(BI18,MS_Labs_Array,3,false),
    LabSpeed, (1 * REGEXEXTRACT($BH$1, ""[\d.-]+"")) * {IF(BI18 =""Labs Speed"", 1+'Master Sheet'!$BK$5, LAB_SPEED_TOTAL())},
    MaxLevel, VLOOKUP(BI18,MS_Labs_Array,4,false),"&amp;"
    MaxOrTarget, IF(OR(TargetLevel = """",$AD$1 &lt;&gt; ""Target""), MaxLevel, TargetLevel),
    LabLevel, VLOOKUP(BI18,MS_Labs_Array,2,False),
    DVTColumn, MATCH(BI18, DVT_Laboratory!$A$1:BO$1, 0),
    xextTime, INDIRECT(""DVT_Laboratory!"" &amp; ADDRESS(LabLe"&amp;"vel+3, DVTColumn)) / LabSpeed,
    remainingTime, SUM(INDIRECT(""DVT_Laboratory!"" &amp; ADDRESS(LabLevel+3, DVTColumn) &amp; "":"" &amp; ADDRESS(MaxOrTarget+2, DVTColumn))) / LabSpeed,
  BI18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"""")"),"Recovery Package Chance
  Lab Level:      20 / 20 (Max)
  Next Level:    
  Max Level:     2d 15h 11m")</f>
        <v>Recovery Package Chance
  Lab Level:      20 / 20 (Max)
  Next Level:    
  Max Level:     2d 15h 11m</v>
      </c>
      <c r="BL18" s="1252" t="str">
        <f>IFERROR(__xludf.DUMMYFUNCTION("""COMPUTED_VALUE"""),"Good with GComp and for getting extra shards out of RPC mastery")</f>
        <v>Good with GComp and for getting extra shards out of RPC mastery</v>
      </c>
      <c r="BM18" s="1252" t="str">
        <f>IFERROR(__xludf.DUMMYFUNCTION("""COMPUTED_VALUE"""),"Workshop Enhancements
  Lab Level:      1 / 1 (Max)
  Next Level:    
  Max Level:     0d 10h 10m")</f>
        <v>Workshop Enhancements
  Lab Level:      1 / 1 (Max)
  Next Level:    
  Max Level:     0d 10h 10m</v>
      </c>
      <c r="BN18" s="1222"/>
      <c r="BO18" s="1261"/>
    </row>
    <row r="19">
      <c r="A19" s="1222"/>
      <c r="B19" s="1271"/>
      <c r="C19" s="1272" t="s">
        <v>322</v>
      </c>
      <c r="D19" s="1242" t="str">
        <f>VLOOKUP(C19,'Remote Tier List'!A:D, 2, FALSE)</f>
        <v>A</v>
      </c>
      <c r="E19" s="1243" t="str">
        <f>VLOOKUP(C19,'Remote Tier List'!A:D, 3, FALSE)</f>
        <v/>
      </c>
      <c r="F19" s="1273" t="str">
        <f>VLOOKUP(C19,'Remote Tier List'!A:D, 4, FALSE)</f>
        <v>ELS+ and Coin+ are some of the strongest enchancements in the game</v>
      </c>
      <c r="G19" s="1245" t="b">
        <f t="shared" si="10"/>
        <v>0</v>
      </c>
      <c r="H19" s="1246" t="str">
        <f t="array" ref="H19:I19">LET(
  Lab, $C19,
  Mode, $AD$1,
  Level, VLOOKUP(Lab, MS_Labs_Array, 2, FALSE),
  Target, VLOOKUP(Lab, MS_Labs_Array, 3, FALSE),
  Max, VLOOKUP(Lab, MS_Labs_Array, 4, FALSE),
  Result,
    IF(
      AND(
        Mode &lt;&gt; "Never",
        Level &gt;= IF(OR(Target = "", Mode = "Max"), Max, Target)
      ),
      "Completed",
      ""
    ),
  HSTACK(
    IF(Result &lt;&gt; "", Result, $D19),
    IF(Result &lt;&gt; "", Result, IF($E19 = "", $D19, $E19))
  )
)</f>
        <v>A</v>
      </c>
      <c r="I19" s="1247" t="s">
        <v>545</v>
      </c>
      <c r="J19" s="1248" t="str">
        <f t="shared" si="11"/>
        <v>ELS+ and Coin+ are some of the strongest enchancements in the game</v>
      </c>
      <c r="K19" s="1229"/>
      <c r="L19" s="1249"/>
      <c r="M19" s="1249"/>
      <c r="N19" s="1250" t="str">
        <f>IFERROR(__xludf.DUMMYFUNCTION("if(M19 &lt;&gt; """", 
  LET( 
    TargetLevel, VLOOKUP(M19,MS_Labs_Array,3,false),
    MaxLevel, VLOOKUP(M19,MS_Labs_Array,4,false),
    MaxOrTarget, IF(OR(TargetLevel = """",$AD$1 &lt;&gt; ""Target""), MaxLevel, TargetLevel),
    LabLevel, VLOOKUP(M19,MS_Labs_Array"&amp;",2,False),
    Levelprogress, LabLevel / MaxOrTarget,
    DVTColumn, MATCH(M19,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9" s="1251" t="str">
        <f>IFERROR(__xludf.DUMMYFUNCTION("if(M19 &lt;&gt; """", 
  LET(
    TargetLevel, VLOOKUP(M19,MS_Labs_Array,3,false),
    LabSpeed, (1 * REGEXEXTRACT($BH$1, ""[\d.-]+"")) * {IF(M19 =""Labs Speed"", 1+'Master Sheet'!$BK$5, LAB_SPEED_TOTAL())},
    MaxLevel, VLOOKUP(M19,MS_Labs_Array,4,false),
   "&amp;" MaxOrTarget, IF(OR(TargetLevel = """",$AD$1 &lt;&gt; ""Target""), MaxLevel, TargetLevel),
    LabLevel, VLOOKUP(M19,MS_Labs_Array,2,False),
    DVTColumn, MATCH(M19, DVT_Laboratory!$A$1:BO$1, 0),
    xextTime, INDIRECT(""DVT_Laboratory!"" &amp; ADDRESS(LabLevel+3,"&amp;" DVTColumn)) / LabSpeed,
    remainingTime, SUM(INDIRECT(""DVT_Laboratory!"" &amp; ADDRESS(LabLevel+3, DVTColumn) &amp; "":"" &amp; ADDRESS(MaxOrTarget+2, DVTColumn))) / LabSpeed,
  M19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9" s="1249"/>
      <c r="Q19" s="1249"/>
      <c r="R19" s="1249"/>
      <c r="S19" s="1249"/>
      <c r="T19" s="1250" t="str">
        <f>IFERROR(__xludf.DUMMYFUNCTION("if(S19 &lt;&gt; """", 
  LET( 
    TargetLevel, VLOOKUP(S19,MS_Labs_Array,3,false),
    MaxLevel, VLOOKUP(S19,MS_Labs_Array,4,false),
    MaxOrTarget, IF(OR(TargetLevel = """",$AD$1 &lt;&gt; ""Target""), MaxLevel, TargetLevel),
    LabLevel, VLOOKUP(S19,MS_Labs_Array"&amp;",2,False),
    Levelprogress, LabLevel / MaxOrTarget,
    DVTColumn, MATCH(S19,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9" s="1251" t="str">
        <f>IFERROR(__xludf.DUMMYFUNCTION("if(S19 &lt;&gt; """", 
  LET(
    TargetLevel, VLOOKUP(S19,MS_Labs_Array,3,false),
    LabSpeed, (1 * REGEXEXTRACT($BH$1, ""[\d.-]+"")) * {IF(S19 =""Labs Speed"", 1+'Master Sheet'!$BK$5, LAB_SPEED_TOTAL())},
    MaxLevel, VLOOKUP(S19,MS_Labs_Array,4,false),
   "&amp;" MaxOrTarget, IF(OR(TargetLevel = """",$AD$1 &lt;&gt; ""Target""), MaxLevel, TargetLevel),
    LabLevel, VLOOKUP(S19,MS_Labs_Array,2,False),
    DVTColumn, MATCH(S19, DVT_Laboratory!$A$1:BO$1, 0),
    xextTime, INDIRECT(""DVT_Laboratory!"" &amp; ADDRESS(LabLevel+3,"&amp;" DVTColumn)) / LabSpeed,
    remainingTime, SUM(INDIRECT(""DVT_Laboratory!"" &amp; ADDRESS(LabLevel+3, DVTColumn) &amp; "":"" &amp; ADDRESS(MaxOrTarget+2, DVTColumn))) / LabSpeed,
  S19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9" s="1249"/>
      <c r="W19" s="1249"/>
      <c r="X19" s="1249" t="str">
        <f>IFERROR(__xludf.DUMMYFUNCTION("""COMPUTED_VALUE"""),"Wall Regen")</f>
        <v>Wall Regen</v>
      </c>
      <c r="Y19" s="1249" t="str">
        <f>IFERROR(__xludf.DUMMYFUNCTION("""COMPUTED_VALUE"""),"Swamp Stun Time")</f>
        <v>Swamp Stun Time</v>
      </c>
      <c r="Z19" s="1250" t="str">
        <f>IFERROR(__xludf.DUMMYFUNCTION("if(Y19 &lt;&gt; """", 
  LET( 
    TargetLevel, VLOOKUP(Y19,MS_Labs_Array,3,false),
    MaxLevel, VLOOKUP(Y19,MS_Labs_Array,4,false),
    MaxOrTarget, IF(OR(TargetLevel = """",$AD$1 &lt;&gt; ""Target""), MaxLevel, TargetLevel),
    LabLevel, VLOOKUP(Y19,MS_Labs_Array"&amp;",2,False),
    Levelprogress, LabLevel / MaxOrTarget,
    DVTColumn, MATCH(Y19,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9" s="1251" t="str">
        <f>IFERROR(__xludf.DUMMYFUNCTION("if(Y19 &lt;&gt; """", 
  LET(
    TargetLevel, VLOOKUP(Y19,MS_Labs_Array,3,false),
    LabSpeed, (1 * REGEXEXTRACT($BH$1, ""[\d.-]+"")) * {IF(Y19 =""Labs Speed"", 1+'Master Sheet'!$BK$5, LAB_SPEED_TOTAL())},
    MaxLevel, VLOOKUP(Y19,MS_Labs_Array,4,false),
   "&amp;" MaxOrTarget, IF(OR(TargetLevel = """",$AD$1 &lt;&gt; ""Target""), MaxLevel, TargetLevel),
    LabLevel, VLOOKUP(Y19,MS_Labs_Array,2,False),
    DVTColumn, MATCH(Y19, DVT_Laboratory!$A$1:BO$1, 0),
    xextTime, INDIRECT(""DVT_Laboratory!"" &amp; ADDRESS(LabLevel+3,"&amp;" DVTColumn)) / LabSpeed,
    remainingTime, SUM(INDIRECT(""DVT_Laboratory!"" &amp; ADDRESS(LabLevel+3, DVTColumn) &amp; "":"" &amp; ADDRESS(MaxOrTarget+2, DVTColumn))) / LabSpeed,
  Y19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"""")"),"Swamp Stun Time
  Lab Level:      0 / 30 (Max)
  Next Level:    0d  1h 16m
  Max Level:     52d 10h 56m")</f>
        <v>Swamp Stun Time
  Lab Level:      0 / 30 (Max)
  Next Level:    0d  1h 16m
  Max Level:     52d 10h 56m</v>
      </c>
      <c r="AB19" s="1249" t="str">
        <f>IFERROR(__xludf.DUMMYFUNCTION("""COMPUTED_VALUE"""),"Great complementary source of crowd control")</f>
        <v>Great complementary source of crowd control</v>
      </c>
      <c r="AC19" s="1249" t="str">
        <f>IFERROR(__xludf.DUMMYFUNCTION("""COMPUTED_VALUE"""),"Best eHP tool in the game because Vamps don't turn it off; do at least 10 levels")</f>
        <v>Best eHP tool in the game because Vamps don't turn it off; do at least 10 levels</v>
      </c>
      <c r="AD19" s="1249" t="str">
        <f>IFERROR(__xludf.DUMMYFUNCTION("""COMPUTED_VALUE"""),"Inner Mine Blast Radius")</f>
        <v>Inner Mine Blast Radius</v>
      </c>
      <c r="AE19" s="1249" t="str">
        <f>IFERROR(__xludf.DUMMYFUNCTION("""COMPUTED_VALUE"""),"Amp Bot - Duration")</f>
        <v>Amp Bot - Duration</v>
      </c>
      <c r="AF19" s="1250" t="str">
        <f>IFERROR(__xludf.DUMMYFUNCTION("if(AE19 &lt;&gt; """", 
  LET( 
    TargetLevel, VLOOKUP(AE19,MS_Labs_Array,3,false),
    MaxLevel, VLOOKUP(AE19,MS_Labs_Array,4,false),
    MaxOrTarget, IF(OR(TargetLevel = """",$AD$1 &lt;&gt; ""Target""), MaxLevel, TargetLevel),
    LabLevel, VLOOKUP(AE19,MS_Labs_A"&amp;"rray,2,False),
    Levelprogress, LabLevel / MaxOrTarget,
    DVTColumn, MATCH(AE19,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9" s="1251" t="str">
        <f>IFERROR(__xludf.DUMMYFUNCTION("if(AE19 &lt;&gt; """", 
  LET(
    TargetLevel, VLOOKUP(AE19,MS_Labs_Array,3,false),
    LabSpeed, (1 * REGEXEXTRACT($BH$1, ""[\d.-]+"")) * {IF(AE19 =""Labs Speed"", 1+'Master Sheet'!$BK$5, LAB_SPEED_TOTAL())},
    MaxLevel, VLOOKUP(AE19,MS_Labs_Array,4,false),"&amp;"
    MaxOrTarget, IF(OR(TargetLevel = """",$AD$1 &lt;&gt; ""Target""), MaxLevel, TargetLevel),
    LabLevel, VLOOKUP(AE19,MS_Labs_Array,2,False),
    DVTColumn, MATCH(AE19, DVT_Laboratory!$A$1:BO$1, 0),
    xextTime, INDIRECT(""DVT_Laboratory!"" &amp; ADDRESS(LabLe"&amp;"vel+3, DVTColumn)) / LabSpeed,
    remainingTime, SUM(INDIRECT(""DVT_Laboratory!"" &amp; ADDRESS(LabLevel+3, DVTColumn) &amp; "":"" &amp; ADDRESS(MaxOrTarget+2, DVTColumn))) / LabSpeed,
  AE19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"""")"),"Amp Bot - Duration
  Lab Level:      0 / 20 (Max)
  Next Level:    0d 12h 42m
  Max Level:     54d  6h  3m")</f>
        <v>Amp Bot - Duration
  Lab Level:      0 / 20 (Max)
  Next Level:    0d 12h 42m
  Max Level:     54d  6h  3m</v>
      </c>
      <c r="AH19" s="1249" t="str">
        <f>IFERROR(__xludf.DUMMYFUNCTION("""COMPUTED_VALUE"""),"Improves overall damage and its consistency")</f>
        <v>Improves overall damage and its consistency</v>
      </c>
      <c r="AI19" s="1249" t="str">
        <f>IFERROR(__xludf.DUMMYFUNCTION("""COMPUTED_VALUE"""),"More radius enables more stuns")</f>
        <v>More radius enables more stuns</v>
      </c>
      <c r="AJ19" s="1249" t="str">
        <f>IFERROR(__xludf.DUMMYFUNCTION("""COMPUTED_VALUE"""),"Chain Thunder")</f>
        <v>Chain Thunder</v>
      </c>
      <c r="AK19" s="1249" t="str">
        <f>IFERROR(__xludf.DUMMYFUNCTION("""COMPUTED_VALUE"""),"Armor Effect Bans")</f>
        <v>Armor Effect Bans</v>
      </c>
      <c r="AL19" s="1250" t="str">
        <f>IFERROR(__xludf.DUMMYFUNCTION("if(AK19 &lt;&gt; """", 
  LET( 
    TargetLevel, VLOOKUP(AK19,MS_Labs_Array,3,false),
    MaxLevel, VLOOKUP(AK19,MS_Labs_Array,4,false),
    MaxOrTarget, IF(OR(TargetLevel = """",$AD$1 &lt;&gt; ""Target""), MaxLevel, TargetLevel),
    LabLevel, VLOOKUP(AK19,MS_Labs_A"&amp;"rray,2,False),
    Levelprogress, LabLevel / MaxOrTarget,
    DVTColumn, MATCH(AK19,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9" s="1251" t="str">
        <f>IFERROR(__xludf.DUMMYFUNCTION("if(AK19 &lt;&gt; """", 
  LET(
    TargetLevel, VLOOKUP(AK19,MS_Labs_Array,3,false),
    LabSpeed, (1 * REGEXEXTRACT($BH$1, ""[\d.-]+"")) * {IF(AK19 =""Labs Speed"", 1+'Master Sheet'!$BK$5, LAB_SPEED_TOTAL())},
    MaxLevel, VLOOKUP(AK19,MS_Labs_Array,4,false),"&amp;"
    MaxOrTarget, IF(OR(TargetLevel = """",$AD$1 &lt;&gt; ""Target""), MaxLevel, TargetLevel),
    LabLevel, VLOOKUP(AK19,MS_Labs_Array,2,False),
    DVTColumn, MATCH(AK19, DVT_Laboratory!$A$1:BO$1, 0),
    xextTime, INDIRECT(""DVT_Laboratory!"" &amp; ADDRESS(LabLe"&amp;"vel+3, DVTColumn)) / LabSpeed,
    remainingTime, SUM(INDIRECT(""DVT_Laboratory!"" &amp; ADDRESS(LabLevel+3, DVTColumn) &amp; "":"" &amp; ADDRESS(MaxOrTarget+2, DVTColumn))) / LabSpeed,
  AK19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"""")"),"Armor Effect Bans
  Lab Level:      2 / 4 (Max)
  Next Level:    10d  7h 50m
  Max Level:     23d  7h 14m")</f>
        <v>Armor Effect Bans
  Lab Level:      2 / 4 (Max)
  Next Level:    10d  7h 50m
  Max Level:     23d  7h 14m</v>
      </c>
      <c r="AN19" s="1249" t="str">
        <f>IFERROR(__xludf.DUMMYFUNCTION("""COMPUTED_VALUE"""),"Basically another reroll shards lab but arguably worse")</f>
        <v>Basically another reroll shards lab but arguably worse</v>
      </c>
      <c r="AO19" s="1249" t="str">
        <f>IFERROR(__xludf.DUMMYFUNCTION("""COMPUTED_VALUE"""),"Extremely good at what it does; however the effect of it is not that desirable by the time you unlock it. Basically requires CL+, costs 40q coins to max")</f>
        <v>Extremely good at what it does; however the effect of it is not that desirable by the time you unlock it. Basically requires CL+, costs 40q coins to max</v>
      </c>
      <c r="AP19" s="1249" t="str">
        <f>IFERROR(__xludf.DUMMYFUNCTION("""COMPUTED_VALUE"""),"Missile Barrage")</f>
        <v>Missile Barrage</v>
      </c>
      <c r="AQ19" s="1249" t="str">
        <f>IFERROR(__xludf.DUMMYFUNCTION("""COMPUTED_VALUE"""),"Thunder Bot - Linger Time")</f>
        <v>Thunder Bot - Linger Time</v>
      </c>
      <c r="AR19" s="1250" t="str">
        <f>IFERROR(__xludf.DUMMYFUNCTION("if(AQ19 &lt;&gt; """", 
  LET( 
    TargetLevel, VLOOKUP(AQ19,MS_Labs_Array,3,false),
    MaxLevel, VLOOKUP(AQ19,MS_Labs_Array,4,false),
    MaxOrTarget, IF(OR(TargetLevel = """",$AD$1 &lt;&gt; ""Target""), MaxLevel, TargetLevel),
    LabLevel, VLOOKUP(AQ19,MS_Labs_A"&amp;"rray,2,False),
    Levelprogress, LabLevel / MaxOrTarget,
    DVTColumn, MATCH(AQ19,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9" s="1251" t="str">
        <f>IFERROR(__xludf.DUMMYFUNCTION("if(AQ19 &lt;&gt; """", 
  LET(
    TargetLevel, VLOOKUP(AQ19,MS_Labs_Array,3,false),
    LabSpeed, (1 * REGEXEXTRACT($BH$1, ""[\d.-]+"")) * {IF(AQ19 =""Labs Speed"", 1+'Master Sheet'!$BK$5, LAB_SPEED_TOTAL())},
    MaxLevel, VLOOKUP(AQ19,MS_Labs_Array,4,false),"&amp;"
    MaxOrTarget, IF(OR(TargetLevel = """",$AD$1 &lt;&gt; ""Target""), MaxLevel, TargetLevel),
    LabLevel, VLOOKUP(AQ19,MS_Labs_Array,2,False),
    DVTColumn, MATCH(AQ19, DVT_Laboratory!$A$1:BO$1, 0),
    xextTime, INDIRECT(""DVT_Laboratory!"" &amp; ADDRESS(LabLe"&amp;"vel+3, DVTColumn)) / LabSpeed,
    remainingTime, SUM(INDIRECT(""DVT_Laboratory!"" &amp; ADDRESS(LabLevel+3, DVTColumn) &amp; "":"" &amp; ADDRESS(MaxOrTarget+2, DVTColumn))) / LabSpeed,
  AQ19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"""")"),"Thunder Bot - Linger Time
  Lab Level:      0 / 20 (Max)
  Next Level:    0d 12h 42m
  Max Level:     54d  6h  3m")</f>
        <v>Thunder Bot - Linger Time
  Lab Level:      0 / 20 (Max)
  Next Level:    0d 12h 42m
  Max Level:     54d  6h  3m</v>
      </c>
      <c r="AT19" s="1249" t="str">
        <f>IFERROR(__xludf.DUMMYFUNCTION("""COMPUTED_VALUE"""),"Only good if you have the bot")</f>
        <v>Only good if you have the bot</v>
      </c>
      <c r="AU19" s="1249" t="str">
        <f>IFERROR(__xludf.DUMMYFUNCTION("""COMPUTED_VALUE"""),"SM based Panic Button. Helpful with ""SM hits"" event mission")</f>
        <v>SM based Panic Button. Helpful with "SM hits" event mission</v>
      </c>
      <c r="AV19" s="1249" t="str">
        <f>IFERROR(__xludf.DUMMYFUNCTION("""COMPUTED_VALUE"""),"Recovery Package Amount")</f>
        <v>Recovery Package Amount</v>
      </c>
      <c r="AW19" s="1249" t="str">
        <f>IFERROR(__xludf.DUMMYFUNCTION("""COMPUTED_VALUE"""),"Gold Bot - Cooldown")</f>
        <v>Gold Bot - Cooldown</v>
      </c>
      <c r="AX19" s="1250" t="str">
        <f>IFERROR(__xludf.DUMMYFUNCTION("if(AW19 &lt;&gt; """", 
  LET( 
    TargetLevel, VLOOKUP(AW19,MS_Labs_Array,3,false),
    MaxLevel, VLOOKUP(AW19,MS_Labs_Array,4,false),
    MaxOrTarget, IF(OR(TargetLevel = """",$AD$1 &lt;&gt; ""Target""), MaxLevel, TargetLevel),
    LabLevel, VLOOKUP(AW19,MS_Labs_A"&amp;"rray,2,False),
    Levelprogress, LabLevel / MaxOrTarget,
    DVTColumn, MATCH(AW19,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9" s="1251" t="str">
        <f>IFERROR(__xludf.DUMMYFUNCTION("if(AW19 &lt;&gt; """", 
  LET(
    TargetLevel, VLOOKUP(AW19,MS_Labs_Array,3,false),
    LabSpeed, (1 * REGEXEXTRACT($BH$1, ""[\d.-]+"")) * {IF(AW19 =""Labs Speed"", 1+'Master Sheet'!$BK$5, LAB_SPEED_TOTAL())},
    MaxLevel, VLOOKUP(AW19,MS_Labs_Array,4,false),"&amp;"
    MaxOrTarget, IF(OR(TargetLevel = """",$AD$1 &lt;&gt; ""Target""), MaxLevel, TargetLevel),
    LabLevel, VLOOKUP(AW19,MS_Labs_Array,2,False),
    DVTColumn, MATCH(AW19, DVT_Laboratory!$A$1:BO$1, 0),
    xextTime, INDIRECT(""DVT_Laboratory!"" &amp; ADDRESS(LabLe"&amp;"vel+3, DVTColumn)) / LabSpeed,
    remainingTime, SUM(INDIRECT(""DVT_Laboratory!"" &amp; ADDRESS(LabLevel+3, DVTColumn) &amp; "":"" &amp; ADDRESS(MaxOrTarget+2, DVTColumn))) / LabSpeed,
  AW19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"""")"),"Gold Bot - Cooldown
  Lab Level:      21 / 25 (Max)
  Next Level:    3d 12h 41m
  Max Level:     17d 18h 22m")</f>
        <v>Gold Bot - Cooldown
  Lab Level:      21 / 25 (Max)
  Next Level:    3d 12h 41m
  Max Level:     17d 18h 22m</v>
      </c>
      <c r="AZ19" s="1249" t="str">
        <f>IFERROR(__xludf.DUMMYFUNCTION("""COMPUTED_VALUE"""),"Can hinder syncing with UWs at certain higher times, best to sync 1:1 ")</f>
        <v>Can hinder syncing with UWs at certain higher times, best to sync 1:1 </v>
      </c>
      <c r="BA19" s="1249" t="str">
        <f>IFERROR(__xludf.DUMMYFUNCTION("""COMPUTED_VALUE"""),"Packages become insignificant after wall, very little value per level")</f>
        <v>Packages become insignificant after wall, very little value per level</v>
      </c>
      <c r="BB19" s="1249"/>
      <c r="BC19" s="1249"/>
      <c r="BD19" s="1250" t="str">
        <f>IFERROR(__xludf.DUMMYFUNCTION("if(BC19 &lt;&gt; """", 
  LET( 
    TargetLevel, VLOOKUP(BC19,MS_Labs_Array,3,false),
    MaxLevel, VLOOKUP(BC19,MS_Labs_Array,4,false),
    MaxOrTarget, IF(OR(TargetLevel = """",$AD$1 &lt;&gt; ""Target""), MaxLevel, TargetLevel),
    LabLevel, VLOOKUP(BC19,MS_Labs_A"&amp;"rray,2,False),
    Levelprogress, LabLevel / MaxOrTarget,
    DVTColumn, MATCH(BC19,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9" s="1251" t="str">
        <f>IFERROR(__xludf.DUMMYFUNCTION("if(BC19 &lt;&gt; """", 
  LET(
    TargetLevel, VLOOKUP(BC19,MS_Labs_Array,3,false),
    LabSpeed, (1 * REGEXEXTRACT($BH$1, ""[\d.-]+"")) * {IF(BC19 =""Labs Speed"", 1+'Master Sheet'!$BK$5, LAB_SPEED_TOTAL())},
    MaxLevel, VLOOKUP(BC19,MS_Labs_Array,4,false),"&amp;"
    MaxOrTarget, IF(OR(TargetLevel = """",$AD$1 &lt;&gt; ""Target""), MaxLevel, TargetLevel),
    LabLevel, VLOOKUP(BC19,MS_Labs_Array,2,False),
    DVTColumn, MATCH(BC19, DVT_Laboratory!$A$1:BO$1, 0),
    xextTime, INDIRECT(""DVT_Laboratory!"" &amp; ADDRESS(LabLe"&amp;"vel+3, DVTColumn)) / LabSpeed,
    remainingTime, SUM(INDIRECT(""DVT_Laboratory!"" &amp; ADDRESS(LabLevel+3, DVTColumn) &amp; "":"" &amp; ADDRESS(MaxOrTarget+2, DVTColumn))) / LabSpeed,
  BC19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9" s="1249"/>
      <c r="BG19" s="1249"/>
      <c r="BH19" s="1260" t="str">
        <f>IFERROR(__xludf.DUMMYFUNCTION("""COMPUTED_VALUE"""),"Light Speed Shots")</f>
        <v>Light Speed Shots</v>
      </c>
      <c r="BI19" s="1252" t="str">
        <f>IFERROR(__xludf.DUMMYFUNCTION("""COMPUTED_VALUE"""),"Enemy Attack Level Skip")</f>
        <v>Enemy Attack Level Skip</v>
      </c>
      <c r="BJ19" s="1253" t="str">
        <f>IFERROR(__xludf.DUMMYFUNCTION("if(BI19 &lt;&gt; """", 
  LET( 
    TargetLevel, VLOOKUP(BI19,MS_Labs_Array,3,false),
    MaxLevel, VLOOKUP(BI19,MS_Labs_Array,4,false),
    MaxOrTarget, IF(OR(TargetLevel = """",$AD$1 &lt;&gt; ""Target""), MaxLevel, TargetLevel),
    LabLevel, VLOOKUP(BI19,MS_Labs_A"&amp;"rray,2,False),
    Levelprogress, IF(LabLevel &gt;= MaxOrTarget, 1, LabLevel / MaxOrTarget),
    DVTColumn, MATCH(BI19,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9" s="1254" t="str">
        <f>IFERROR(__xludf.DUMMYFUNCTION("if(BI19 &lt;&gt; """", 
  LET(
    TargetLevel, VLOOKUP(BI19,MS_Labs_Array,3,false),
    LabSpeed, (1 * REGEXEXTRACT($BH$1, ""[\d.-]+"")) * {IF(BI19 =""Labs Speed"", 1+'Master Sheet'!$BK$5, LAB_SPEED_TOTAL())},
    MaxLevel, VLOOKUP(BI19,MS_Labs_Array,4,false),"&amp;"
    MaxOrTarget, IF(OR(TargetLevel = """",$AD$1 &lt;&gt; ""Target""), MaxLevel, TargetLevel),
    LabLevel, VLOOKUP(BI19,MS_Labs_Array,2,False),
    DVTColumn, MATCH(BI19, DVT_Laboratory!$A$1:BO$1, 0),
    xextTime, INDIRECT(""DVT_Laboratory!"" &amp; ADDRESS(LabLe"&amp;"vel+3, DVTColumn)) / LabSpeed,
    remainingTime, SUM(INDIRECT(""DVT_Laboratory!"" &amp; ADDRESS(LabLevel+3, DVTColumn) &amp; "":"" &amp; ADDRESS(MaxOrTarget+2, DVTColumn))) / LabSpeed,
  BI19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"""")"),"Enemy Attack Level Skip
  Lab Level:      20 / 20 (Max)
  Next Level:    
  Max Level:     1d  2h 23m")</f>
        <v>Enemy Attack Level Skip
  Lab Level:      20 / 20 (Max)
  Next Level:    
  Max Level:     1d  2h 23m</v>
      </c>
      <c r="BL19" s="1252" t="str">
        <f>IFERROR(__xludf.DUMMYFUNCTION("""COMPUTED_VALUE"""),"More ELS is always good, especially when the lab is less expensive than the WS or WS+ upgrades")</f>
        <v>More ELS is always good, especially when the lab is less expensive than the WS or WS+ upgrades</v>
      </c>
      <c r="BM19" s="1252" t="str">
        <f>IFERROR(__xludf.DUMMYFUNCTION("""COMPUTED_VALUE"""),"Keeps enemies at tower range much better")</f>
        <v>Keeps enemies at tower range much better</v>
      </c>
      <c r="BN19" s="1222"/>
      <c r="BO19" s="1261"/>
    </row>
    <row r="20" ht="7.5" customHeight="1">
      <c r="A20" s="1222"/>
      <c r="B20" s="1274"/>
      <c r="C20" s="1275"/>
      <c r="D20" s="1276"/>
      <c r="E20" s="1276"/>
      <c r="F20" s="1276"/>
      <c r="G20" s="1277"/>
      <c r="H20" s="1278"/>
      <c r="I20" s="1278"/>
      <c r="J20" s="1248"/>
      <c r="K20" s="1229"/>
      <c r="L20" s="1249" t="str">
        <f>IFERROR(__xludf.DUMMYFUNCTION("""COMPUTED_VALUE"""),"")</f>
        <v/>
      </c>
      <c r="M20" s="1249"/>
      <c r="N20" s="1250" t="str">
        <f>IFERROR(__xludf.DUMMYFUNCTION("if(M20 &lt;&gt; """", 
  LET( 
    TargetLevel, VLOOKUP(M20,MS_Labs_Array,3,false),
    MaxLevel, VLOOKUP(M20,MS_Labs_Array,4,false),
    MaxOrTarget, IF(OR(TargetLevel = """",$AD$1 &lt;&gt; ""Target""), MaxLevel, TargetLevel),
    LabLevel, VLOOKUP(M20,MS_Labs_Array"&amp;",2,False),
    Levelprogress, LabLevel / MaxOrTarget,
    DVTColumn, MATCH(M20,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0" s="1251" t="str">
        <f>IFERROR(__xludf.DUMMYFUNCTION("if(M20 &lt;&gt; """", 
  LET(
    TargetLevel, VLOOKUP(M20,MS_Labs_Array,3,false),
    LabSpeed, (1 * REGEXEXTRACT($BH$1, ""[\d.-]+"")) * {IF(M20 =""Labs Speed"", 1+'Master Sheet'!$BK$5, LAB_SPEED_TOTAL())},
    MaxLevel, VLOOKUP(M20,MS_Labs_Array,4,false),
   "&amp;" MaxOrTarget, IF(OR(TargetLevel = """",$AD$1 &lt;&gt; ""Target""), MaxLevel, TargetLevel),
    LabLevel, VLOOKUP(M20,MS_Labs_Array,2,False),
    DVTColumn, MATCH(M20, DVT_Laboratory!$A$1:BO$1, 0),
    xextTime, INDIRECT(""DVT_Laboratory!"" &amp; ADDRESS(LabLevel+3,"&amp;" DVTColumn)) / LabSpeed,
    remainingTime, SUM(INDIRECT(""DVT_Laboratory!"" &amp; ADDRESS(LabLevel+3, DVTColumn) &amp; "":"" &amp; ADDRESS(MaxOrTarget+2, DVTColumn))) / LabSpeed,
  M20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0" s="1249"/>
      <c r="Q20" s="1249" t="str">
        <f>IFERROR(__xludf.DUMMYFUNCTION("""COMPUTED_VALUE"""),"")</f>
        <v/>
      </c>
      <c r="R20" s="1249" t="str">
        <f>IFERROR(__xludf.DUMMYFUNCTION("""COMPUTED_VALUE"""),"")</f>
        <v/>
      </c>
      <c r="S20" s="1249"/>
      <c r="T20" s="1250" t="str">
        <f>IFERROR(__xludf.DUMMYFUNCTION("if(S20 &lt;&gt; """", 
  LET( 
    TargetLevel, VLOOKUP(S20,MS_Labs_Array,3,false),
    MaxLevel, VLOOKUP(S20,MS_Labs_Array,4,false),
    MaxOrTarget, IF(OR(TargetLevel = """",$AD$1 &lt;&gt; ""Target""), MaxLevel, TargetLevel),
    LabLevel, VLOOKUP(S20,MS_Labs_Array"&amp;",2,False),
    Levelprogress, LabLevel / MaxOrTarget,
    DVTColumn, MATCH(S20,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0" s="1251" t="str">
        <f>IFERROR(__xludf.DUMMYFUNCTION("if(S20 &lt;&gt; """", 
  LET(
    TargetLevel, VLOOKUP(S20,MS_Labs_Array,3,false),
    LabSpeed, (1 * REGEXEXTRACT($BH$1, ""[\d.-]+"")) * {IF(S20 =""Labs Speed"", 1+'Master Sheet'!$BK$5, LAB_SPEED_TOTAL())},
    MaxLevel, VLOOKUP(S20,MS_Labs_Array,4,false),
   "&amp;" MaxOrTarget, IF(OR(TargetLevel = """",$AD$1 &lt;&gt; ""Target""), MaxLevel, TargetLevel),
    LabLevel, VLOOKUP(S20,MS_Labs_Array,2,False),
    DVTColumn, MATCH(S20, DVT_Laboratory!$A$1:BO$1, 0),
    xextTime, INDIRECT(""DVT_Laboratory!"" &amp; ADDRESS(LabLevel+3,"&amp;" DVTColumn)) / LabSpeed,
    remainingTime, SUM(INDIRECT(""DVT_Laboratory!"" &amp; ADDRESS(LabLevel+3, DVTColumn) &amp; "":"" &amp; ADDRESS(MaxOrTarget+2, DVTColumn))) / LabSpeed,
  S20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0" s="1249"/>
      <c r="W20" s="1249" t="str">
        <f>IFERROR(__xludf.DUMMYFUNCTION("""COMPUTED_VALUE"""),"")</f>
        <v/>
      </c>
      <c r="X20" s="1249" t="str">
        <f>IFERROR(__xludf.DUMMYFUNCTION("""COMPUTED_VALUE"""),"")</f>
        <v/>
      </c>
      <c r="Y20" s="1249" t="str">
        <f>IFERROR(__xludf.DUMMYFUNCTION("""COMPUTED_VALUE"""),"Shock Chance")</f>
        <v>Shock Chance</v>
      </c>
      <c r="Z20" s="1250" t="str">
        <f>IFERROR(__xludf.DUMMYFUNCTION("if(Y20 &lt;&gt; """", 
  LET( 
    TargetLevel, VLOOKUP(Y20,MS_Labs_Array,3,false),
    MaxLevel, VLOOKUP(Y20,MS_Labs_Array,4,false),
    MaxOrTarget, IF(OR(TargetLevel = """",$AD$1 &lt;&gt; ""Target""), MaxLevel, TargetLevel),
    LabLevel, VLOOKUP(Y20,MS_Labs_Array"&amp;",2,False),
    Levelprogress, LabLevel / MaxOrTarget,
    DVTColumn, MATCH(Y20,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0" s="1251" t="str">
        <f>IFERROR(__xludf.DUMMYFUNCTION("if(Y20 &lt;&gt; """", 
  LET(
    TargetLevel, VLOOKUP(Y20,MS_Labs_Array,3,false),
    LabSpeed, (1 * REGEXEXTRACT($BH$1, ""[\d.-]+"")) * {IF(Y20 =""Labs Speed"", 1+'Master Sheet'!$BK$5, LAB_SPEED_TOTAL())},
    MaxLevel, VLOOKUP(Y20,MS_Labs_Array,4,false),
   "&amp;" MaxOrTarget, IF(OR(TargetLevel = """",$AD$1 &lt;&gt; ""Target""), MaxLevel, TargetLevel),
    LabLevel, VLOOKUP(Y20,MS_Labs_Array,2,False),
    DVTColumn, MATCH(Y20, DVT_Laboratory!$A$1:BO$1, 0),
    xextTime, INDIRECT(""DVT_Laboratory!"" &amp; ADDRESS(LabLevel+3,"&amp;" DVTColumn)) / LabSpeed,
    remainingTime, SUM(INDIRECT(""DVT_Laboratory!"" &amp; ADDRESS(LabLevel+3, DVTColumn) &amp; "":"" &amp; ADDRESS(MaxOrTarget+2, DVTColumn))) / LabSpeed,
  Y20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"""")"),"Shock Chance
  Lab Level:      14 / 30 (Max)
  Next Level:    0d 21h 22m
  Max Level:     54d  1h 47m")</f>
        <v>Shock Chance
  Lab Level:      14 / 30 (Max)
  Next Level:    0d 21h 22m
  Max Level:     54d  1h 47m</v>
      </c>
      <c r="AB20" s="1249" t="str">
        <f>IFERROR(__xludf.DUMMYFUNCTION("""COMPUTED_VALUE"""),"Shock will stack faster; no need to max, attack speed should handle maxing fast")</f>
        <v>Shock will stack faster; no need to max, attack speed should handle maxing fast</v>
      </c>
      <c r="AC20" s="1249" t="str">
        <f>IFERROR(__xludf.DUMMYFUNCTION("""COMPUTED_VALUE"""),"Wall Regen
  Lab Level:      21 / 30 (Max)
  Next Level:    5d 19h 20m
  Max Level:     97d 11h  1m")</f>
        <v>Wall Regen
  Lab Level:      21 / 30 (Max)
  Next Level:    5d 19h 20m
  Max Level:     97d 11h  1m</v>
      </c>
      <c r="AD20" s="1249" t="str">
        <f>IFERROR(__xludf.DUMMYFUNCTION("""COMPUTED_VALUE"""),"")</f>
        <v/>
      </c>
      <c r="AE20" s="1249" t="str">
        <f>IFERROR(__xludf.DUMMYFUNCTION("""COMPUTED_VALUE"""),"Module Coin Cost")</f>
        <v>Module Coin Cost</v>
      </c>
      <c r="AF20" s="1250" t="str">
        <f>IFERROR(__xludf.DUMMYFUNCTION("if(AE20 &lt;&gt; """", 
  LET( 
    TargetLevel, VLOOKUP(AE20,MS_Labs_Array,3,false),
    MaxLevel, VLOOKUP(AE20,MS_Labs_Array,4,false),
    MaxOrTarget, IF(OR(TargetLevel = """",$AD$1 &lt;&gt; ""Target""), MaxLevel, TargetLevel),
    LabLevel, VLOOKUP(AE20,MS_Labs_A"&amp;"rray,2,False),
    Levelprogress, LabLevel / MaxOrTarget,
    DVTColumn, MATCH(AE20,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0" s="1251" t="str">
        <f>IFERROR(__xludf.DUMMYFUNCTION("if(AE20 &lt;&gt; """", 
  LET(
    TargetLevel, VLOOKUP(AE20,MS_Labs_Array,3,false),
    LabSpeed, (1 * REGEXEXTRACT($BH$1, ""[\d.-]+"")) * {IF(AE20 =""Labs Speed"", 1+'Master Sheet'!$BK$5, LAB_SPEED_TOTAL())},
    MaxLevel, VLOOKUP(AE20,MS_Labs_Array,4,false),"&amp;"
    MaxOrTarget, IF(OR(TargetLevel = """",$AD$1 &lt;&gt; ""Target""), MaxLevel, TargetLevel),
    LabLevel, VLOOKUP(AE20,MS_Labs_Array,2,False),
    DVTColumn, MATCH(AE20, DVT_Laboratory!$A$1:BO$1, 0),
    xextTime, INDIRECT(""DVT_Laboratory!"" &amp; ADDRESS(LabLe"&amp;"vel+3, DVTColumn)) / LabSpeed,
    remainingTime, SUM(INDIRECT(""DVT_Laboratory!"" &amp; ADDRESS(LabLevel+3, DVTColumn) &amp; "":"" &amp; ADDRESS(MaxOrTarget+2, DVTColumn))) / LabSpeed,
  AE20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"""")"),"Module Coin Cost
  Lab Level:      23 / 30 (Max)
  Next Level:    0d 22h  3m
  Max Level:     7d 16h 13m")</f>
        <v>Module Coin Cost
  Lab Level:      23 / 30 (Max)
  Next Level:    0d 22h  3m
  Max Level:     7d 16h 13m</v>
      </c>
      <c r="AH20" s="1249" t="str">
        <f>IFERROR(__xludf.DUMMYFUNCTION("""COMPUTED_VALUE"""),"Useless until level 161+ when costs go into trillions and quadrillions. Retroactive")</f>
        <v>Useless until level 161+ when costs go into trillions and quadrillions. Retroactive</v>
      </c>
      <c r="AI20" s="1249" t="str">
        <f>IFERROR(__xludf.DUMMYFUNCTION("""COMPUTED_VALUE"""),"Inner Mine Blast Radius
  Lab Level:      0 / 20 (Max)
  Next Level:    0d  1h 16m
  Max Level:     12d 13h  3m")</f>
        <v>Inner Mine Blast Radius
  Lab Level:      0 / 20 (Max)
  Next Level:    0d  1h 16m
  Max Level:     12d 13h  3m</v>
      </c>
      <c r="AJ20" s="1249" t="str">
        <f>IFERROR(__xludf.DUMMYFUNCTION("""COMPUTED_VALUE"""),"")</f>
        <v/>
      </c>
      <c r="AK20" s="1249" t="str">
        <f>IFERROR(__xludf.DUMMYFUNCTION("""COMPUTED_VALUE"""),"Generator Effect Bans")</f>
        <v>Generator Effect Bans</v>
      </c>
      <c r="AL20" s="1250" t="str">
        <f>IFERROR(__xludf.DUMMYFUNCTION("if(AK20 &lt;&gt; """", 
  LET( 
    TargetLevel, VLOOKUP(AK20,MS_Labs_Array,3,false),
    MaxLevel, VLOOKUP(AK20,MS_Labs_Array,4,false),
    MaxOrTarget, IF(OR(TargetLevel = """",$AD$1 &lt;&gt; ""Target""), MaxLevel, TargetLevel),
    LabLevel, VLOOKUP(AK20,MS_Labs_A"&amp;"rray,2,False),
    Levelprogress, LabLevel / MaxOrTarget,
    DVTColumn, MATCH(AK20,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0" s="1251" t="str">
        <f>IFERROR(__xludf.DUMMYFUNCTION("if(AK20 &lt;&gt; """", 
  LET(
    TargetLevel, VLOOKUP(AK20,MS_Labs_Array,3,false),
    LabSpeed, (1 * REGEXEXTRACT($BH$1, ""[\d.-]+"")) * {IF(AK20 =""Labs Speed"", 1+'Master Sheet'!$BK$5, LAB_SPEED_TOTAL())},
    MaxLevel, VLOOKUP(AK20,MS_Labs_Array,4,false),"&amp;"
    MaxOrTarget, IF(OR(TargetLevel = """",$AD$1 &lt;&gt; ""Target""), MaxLevel, TargetLevel),
    LabLevel, VLOOKUP(AK20,MS_Labs_Array,2,False),
    DVTColumn, MATCH(AK20, DVT_Laboratory!$A$1:BO$1, 0),
    xextTime, INDIRECT(""DVT_Laboratory!"" &amp; ADDRESS(LabLe"&amp;"vel+3, DVTColumn)) / LabSpeed,
    remainingTime, SUM(INDIRECT(""DVT_Laboratory!"" &amp; ADDRESS(LabLevel+3, DVTColumn) &amp; "":"" &amp; ADDRESS(MaxOrTarget+2, DVTColumn))) / LabSpeed,
  AK20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"""")"),"Generator Effect Bans
  Lab Level:      1 / 3 (Max)
  Next Level:    10d  7h 50m
  Max Level:     23d  7h 14m")</f>
        <v>Generator Effect Bans
  Lab Level:      1 / 3 (Max)
  Next Level:    10d  7h 50m
  Max Level:     23d  7h 14m</v>
      </c>
      <c r="AN20" s="1249" t="str">
        <f>IFERROR(__xludf.DUMMYFUNCTION("""COMPUTED_VALUE"""),"Basically another reroll shards lab but arguably worse")</f>
        <v>Basically another reroll shards lab but arguably worse</v>
      </c>
      <c r="AO20" s="1249" t="str">
        <f>IFERROR(__xludf.DUMMYFUNCTION("""COMPUTED_VALUE"""),"Chain Thunder
  Lab Level:      12 / 30 (Max)
  Next Level:    2d  1h 31m
  Max Level:     115d  0h 36m")</f>
        <v>Chain Thunder
  Lab Level:      12 / 30 (Max)
  Next Level:    2d  1h 31m
  Max Level:     115d  0h 36m</v>
      </c>
      <c r="AP20" s="1249" t="str">
        <f>IFERROR(__xludf.DUMMYFUNCTION("""COMPUTED_VALUE"""),"")</f>
        <v/>
      </c>
      <c r="AQ20" s="1249" t="str">
        <f>IFERROR(__xludf.DUMMYFUNCTION("""COMPUTED_VALUE"""),"Common Enemy Health")</f>
        <v>Common Enemy Health</v>
      </c>
      <c r="AR20" s="1250" t="str">
        <f>IFERROR(__xludf.DUMMYFUNCTION("if(AQ20 &lt;&gt; """", 
  LET( 
    TargetLevel, VLOOKUP(AQ20,MS_Labs_Array,3,false),
    MaxLevel, VLOOKUP(AQ20,MS_Labs_Array,4,false),
    MaxOrTarget, IF(OR(TargetLevel = """",$AD$1 &lt;&gt; ""Target""), MaxLevel, TargetLevel),
    LabLevel, VLOOKUP(AQ20,MS_Labs_A"&amp;"rray,2,False),
    Levelprogress, LabLevel / MaxOrTarget,
    DVTColumn, MATCH(AQ20,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0" s="1251" t="str">
        <f>IFERROR(__xludf.DUMMYFUNCTION("if(AQ20 &lt;&gt; """", 
  LET(
    TargetLevel, VLOOKUP(AQ20,MS_Labs_Array,3,false),
    LabSpeed, (1 * REGEXEXTRACT($BH$1, ""[\d.-]+"")) * {IF(AQ20 =""Labs Speed"", 1+'Master Sheet'!$BK$5, LAB_SPEED_TOTAL())},
    MaxLevel, VLOOKUP(AQ20,MS_Labs_Array,4,false),"&amp;"
    MaxOrTarget, IF(OR(TargetLevel = """",$AD$1 &lt;&gt; ""Target""), MaxLevel, TargetLevel),
    LabLevel, VLOOKUP(AQ20,MS_Labs_Array,2,False),
    DVTColumn, MATCH(AQ20, DVT_Laboratory!$A$1:BO$1, 0),
    xextTime, INDIRECT(""DVT_Laboratory!"" &amp; ADDRESS(LabLe"&amp;"vel+3, DVTColumn)) / LabSpeed,
    remainingTime, SUM(INDIRECT(""DVT_Laboratory!"" &amp; ADDRESS(LabLevel+3, DVTColumn) &amp; "":"" &amp; ADDRESS(MaxOrTarget+2, DVTColumn))) / LabSpeed,
  AQ20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"""")"),"Common Enemy Health
  Lab Level:      0 / 30 (Max)
  Next Level:    0d  3h 31m
  Max Level:     78d 13h  3m")</f>
        <v>Common Enemy Health
  Lab Level:      0 / 30 (Max)
  Next Level:    0d  3h 31m
  Max Level:     78d 13h  3m</v>
      </c>
      <c r="AT20"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U20" s="1249" t="str">
        <f>IFERROR(__xludf.DUMMYFUNCTION("""COMPUTED_VALUE"""),"Missile Barrage
  Lab Level:      0 / 1 (Max)
  Next Level:    0d 10h 10m
  Max Level:     0d 10h 10m")</f>
        <v>Missile Barrage
  Lab Level:      0 / 1 (Max)
  Next Level:    0d 10h 10m
  Max Level:     0d 10h 10m</v>
      </c>
      <c r="AV20" s="1249" t="str">
        <f>IFERROR(__xludf.DUMMYFUNCTION("""COMPUTED_VALUE"""),"")</f>
        <v/>
      </c>
      <c r="AW20" s="1249" t="str">
        <f>IFERROR(__xludf.DUMMYFUNCTION("""COMPUTED_VALUE"""),"Amp Bot - Cooldown")</f>
        <v>Amp Bot - Cooldown</v>
      </c>
      <c r="AX20" s="1250" t="str">
        <f>IFERROR(__xludf.DUMMYFUNCTION("if(AW20 &lt;&gt; """", 
  LET( 
    TargetLevel, VLOOKUP(AW20,MS_Labs_Array,3,false),
    MaxLevel, VLOOKUP(AW20,MS_Labs_Array,4,false),
    MaxOrTarget, IF(OR(TargetLevel = """",$AD$1 &lt;&gt; ""Target""), MaxLevel, TargetLevel),
    LabLevel, VLOOKUP(AW20,MS_Labs_A"&amp;"rray,2,False),
    Levelprogress, LabLevel / MaxOrTarget,
    DVTColumn, MATCH(AW20,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0" s="1251" t="str">
        <f>IFERROR(__xludf.DUMMYFUNCTION("if(AW20 &lt;&gt; """", 
  LET(
    TargetLevel, VLOOKUP(AW20,MS_Labs_Array,3,false),
    LabSpeed, (1 * REGEXEXTRACT($BH$1, ""[\d.-]+"")) * {IF(AW20 =""Labs Speed"", 1+'Master Sheet'!$BK$5, LAB_SPEED_TOTAL())},
    MaxLevel, VLOOKUP(AW20,MS_Labs_Array,4,false),"&amp;"
    MaxOrTarget, IF(OR(TargetLevel = """",$AD$1 &lt;&gt; ""Target""), MaxLevel, TargetLevel),
    LabLevel, VLOOKUP(AW20,MS_Labs_Array,2,False),
    DVTColumn, MATCH(AW20, DVT_Laboratory!$A$1:BO$1, 0),
    xextTime, INDIRECT(""DVT_Laboratory!"" &amp; ADDRESS(LabLe"&amp;"vel+3, DVTColumn)) / LabSpeed,
    remainingTime, SUM(INDIRECT(""DVT_Laboratory!"" &amp; ADDRESS(LabLevel+3, DVTColumn) &amp; "":"" &amp; ADDRESS(MaxOrTarget+2, DVTColumn))) / LabSpeed,
  AW20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"""")"),"Amp Bot - Cooldown
  Lab Level:      0 / 25 (Max)
  Next Level:    0d  2h 28m
  Max Level:     36d 15h 32m")</f>
        <v>Amp Bot - Cooldown
  Lab Level:      0 / 25 (Max)
  Next Level:    0d  2h 28m
  Max Level:     36d 15h 32m</v>
      </c>
      <c r="AZ20" s="1249" t="str">
        <f>IFERROR(__xludf.DUMMYFUNCTION("""COMPUTED_VALUE"""),"Syncing the bot may be beneficial in some cases, improves consistency")</f>
        <v>Syncing the bot may be beneficial in some cases, improves consistency</v>
      </c>
      <c r="BA20" s="1249" t="str">
        <f>IFERROR(__xludf.DUMMYFUNCTION("""COMPUTED_VALUE"""),"Recovery Package Amount
  Lab Level:      0 / 20 (Max)
  Next Level:    0d  3h 31m
  Max Level:     16d 17h 38m")</f>
        <v>Recovery Package Amount
  Lab Level:      0 / 20 (Max)
  Next Level:    0d  3h 31m
  Max Level:     16d 17h 38m</v>
      </c>
      <c r="BB20" s="1249" t="str">
        <f>IFERROR(__xludf.DUMMYFUNCTION("""COMPUTED_VALUE"""),"")</f>
        <v/>
      </c>
      <c r="BC20" s="1249"/>
      <c r="BD20" s="1250" t="str">
        <f>IFERROR(__xludf.DUMMYFUNCTION("if(BC20 &lt;&gt; """", 
  LET( 
    TargetLevel, VLOOKUP(BC20,MS_Labs_Array,3,false),
    MaxLevel, VLOOKUP(BC20,MS_Labs_Array,4,false),
    MaxOrTarget, IF(OR(TargetLevel = """",$AD$1 &lt;&gt; ""Target""), MaxLevel, TargetLevel),
    LabLevel, VLOOKUP(BC20,MS_Labs_A"&amp;"rray,2,False),
    Levelprogress, LabLevel / MaxOrTarget,
    DVTColumn, MATCH(BC20,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0" s="1251" t="str">
        <f>IFERROR(__xludf.DUMMYFUNCTION("if(BC20 &lt;&gt; """", 
  LET(
    TargetLevel, VLOOKUP(BC20,MS_Labs_Array,3,false),
    LabSpeed, (1 * REGEXEXTRACT($BH$1, ""[\d.-]+"")) * {IF(BC20 =""Labs Speed"", 1+'Master Sheet'!$BK$5, LAB_SPEED_TOTAL())},
    MaxLevel, VLOOKUP(BC20,MS_Labs_Array,4,false),"&amp;"
    MaxOrTarget, IF(OR(TargetLevel = """",$AD$1 &lt;&gt; ""Target""), MaxLevel, TargetLevel),
    LabLevel, VLOOKUP(BC20,MS_Labs_Array,2,False),
    DVTColumn, MATCH(BC20, DVT_Laboratory!$A$1:BO$1, 0),
    xextTime, INDIRECT(""DVT_Laboratory!"" &amp; ADDRESS(LabLe"&amp;"vel+3, DVTColumn)) / LabSpeed,
    remainingTime, SUM(INDIRECT(""DVT_Laboratory!"" &amp; ADDRESS(LabLevel+3, DVTColumn) &amp; "":"" &amp; ADDRESS(MaxOrTarget+2, DVTColumn))) / LabSpeed,
  BC20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0" s="1249"/>
      <c r="BG20" s="1249" t="str">
        <f>IFERROR(__xludf.DUMMYFUNCTION("""COMPUTED_VALUE"""),"")</f>
        <v/>
      </c>
      <c r="BH20" s="1260" t="str">
        <f>IFERROR(__xludf.DUMMYFUNCTION("""COMPUTED_VALUE"""),"")</f>
        <v/>
      </c>
      <c r="BI20" s="1252" t="str">
        <f>IFERROR(__xludf.DUMMYFUNCTION("""COMPUTED_VALUE"""),"Enemy Health Level Skip")</f>
        <v>Enemy Health Level Skip</v>
      </c>
      <c r="BJ20" s="1253" t="str">
        <f>IFERROR(__xludf.DUMMYFUNCTION("if(BI20 &lt;&gt; """", 
  LET( 
    TargetLevel, VLOOKUP(BI20,MS_Labs_Array,3,false),
    MaxLevel, VLOOKUP(BI20,MS_Labs_Array,4,false),
    MaxOrTarget, IF(OR(TargetLevel = """",$AD$1 &lt;&gt; ""Target""), MaxLevel, TargetLevel),
    LabLevel, VLOOKUP(BI20,MS_Labs_A"&amp;"rray,2,False),
    Levelprogress, IF(LabLevel &gt;= MaxOrTarget, 1, LabLevel / MaxOrTarget),
    DVTColumn, MATCH(BI20,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0" s="1254" t="str">
        <f>IFERROR(__xludf.DUMMYFUNCTION("if(BI20 &lt;&gt; """", 
  LET(
    TargetLevel, VLOOKUP(BI20,MS_Labs_Array,3,false),
    LabSpeed, (1 * REGEXEXTRACT($BH$1, ""[\d.-]+"")) * {IF(BI20 =""Labs Speed"", 1+'Master Sheet'!$BK$5, LAB_SPEED_TOTAL())},
    MaxLevel, VLOOKUP(BI20,MS_Labs_Array,4,false),"&amp;"
    MaxOrTarget, IF(OR(TargetLevel = """",$AD$1 &lt;&gt; ""Target""), MaxLevel, TargetLevel),
    LabLevel, VLOOKUP(BI20,MS_Labs_Array,2,False),
    DVTColumn, MATCH(BI20, DVT_Laboratory!$A$1:BO$1, 0),
    xextTime, INDIRECT(""DVT_Laboratory!"" &amp; ADDRESS(LabLe"&amp;"vel+3, DVTColumn)) / LabSpeed,
    remainingTime, SUM(INDIRECT(""DVT_Laboratory!"" &amp; ADDRESS(LabLevel+3, DVTColumn) &amp; "":"" &amp; ADDRESS(MaxOrTarget+2, DVTColumn))) / LabSpeed,
  BI20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"""")"),"Enemy Health Level Skip
  Lab Level:      20 / 20 (Max)
  Next Level:    
  Max Level:     1d  2h 23m")</f>
        <v>Enemy Health Level Skip
  Lab Level:      20 / 20 (Max)
  Next Level:    
  Max Level:     1d  2h 23m</v>
      </c>
      <c r="BL20" s="1252" t="str">
        <f>IFERROR(__xludf.DUMMYFUNCTION("""COMPUTED_VALUE"""),"More ELS is always good, especially when the lab is less expensive than the WS or WS+ upgrades")</f>
        <v>More ELS is always good, especially when the lab is less expensive than the WS or WS+ upgrades</v>
      </c>
      <c r="BM20" s="1252" t="str">
        <f>IFERROR(__xludf.DUMMYFUNCTION("""COMPUTED_VALUE"""),"Light Speed Shots
  Lab Level:      1 / 1 (Max)
  Next Level:    
  Max Level:     0d  1h 16m")</f>
        <v>Light Speed Shots
  Lab Level:      1 / 1 (Max)
  Next Level:    
  Max Level:     0d  1h 16m</v>
      </c>
      <c r="BN20" s="1222"/>
      <c r="BO20" s="1261"/>
    </row>
    <row r="21">
      <c r="A21" s="1222"/>
      <c r="B21" s="1240" t="s">
        <v>552</v>
      </c>
      <c r="C21" s="1279" t="s">
        <v>155</v>
      </c>
      <c r="D21" s="1280" t="str">
        <f>VLOOKUP(C21,'Remote Tier List'!A:D, 2, FALSE)</f>
        <v>B</v>
      </c>
      <c r="E21" s="1281" t="str">
        <f>VLOOKUP(C21,'Remote Tier List'!A:D, 3, FALSE)</f>
        <v/>
      </c>
      <c r="F21" s="1282" t="str">
        <f>VLOOKUP(C21,'Remote Tier List'!A:D, 4, FALSE)</f>
        <v>Most useful after owning a damage UW like Chain Lightning, still retains some utility for early towers in tournaments or against protectors/elites</v>
      </c>
      <c r="G21" s="1245" t="b">
        <f t="shared" ref="G21:G29" si="12">LET(
  LabTierUnlock, DVT_LAB_UNLOCK_AT_TIER(C21),
  PlayerPbAtTier, IDS_PS_TIER_PB("Tier "&amp;LabTierUnlock),
  PlayerPb, "T"&amp;LabTierUnlock&amp;" "&amp;PlayerPbAtTier,
  DVT_HAS_LAB_UNLOCKED(C21, PlayerPb))</f>
        <v>1</v>
      </c>
      <c r="H21" s="1246" t="str">
        <f t="array" ref="H21:I21">LET(
  Lab, $C21,
  Mode, $AD$1,
  Level, VLOOKUP(Lab, MS_Labs_Array, 2, FALSE),
  Target, VLOOKUP(Lab, MS_Labs_Array, 3, FALSE),
  Max, VLOOKUP(Lab, MS_Labs_Array, 4, FALSE),
  Result,
    IF(
      AND(
        Mode &lt;&gt; "Never",
        Level &gt;= IF(OR(Target = "", Mode = "Max"), Max, Target)
      ),
      "Completed",
      ""
    ),
  HSTACK(
    IF(Result &lt;&gt; "", Result, $D21),
    IF(Result &lt;&gt; "", Result, IF($E21 = "", $D21, $E21))
  )
)</f>
        <v>B</v>
      </c>
      <c r="I21" s="1247" t="s">
        <v>546</v>
      </c>
      <c r="J21" s="1248" t="str">
        <f t="shared" ref="J21:J29" si="13">if(ISBLANK(F21),J20, F21)</f>
        <v>Most useful after owning a damage UW like Chain Lightning, still retains some utility for early towers in tournaments or against protectors/elites</v>
      </c>
      <c r="K21" s="1229"/>
      <c r="L21" s="1249"/>
      <c r="M21" s="1249"/>
      <c r="N21" s="1250" t="str">
        <f>IFERROR(__xludf.DUMMYFUNCTION("if(M21 &lt;&gt; """", 
  LET( 
    TargetLevel, VLOOKUP(M21,MS_Labs_Array,3,false),
    MaxLevel, VLOOKUP(M21,MS_Labs_Array,4,false),
    MaxOrTarget, IF(OR(TargetLevel = """",$AD$1 &lt;&gt; ""Target""), MaxLevel, TargetLevel),
    LabLevel, VLOOKUP(M21,MS_Labs_Array"&amp;",2,False),
    Levelprogress, LabLevel / MaxOrTarget,
    DVTColumn, MATCH(M21,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1" s="1251" t="str">
        <f>IFERROR(__xludf.DUMMYFUNCTION("if(M21 &lt;&gt; """", 
  LET(
    TargetLevel, VLOOKUP(M21,MS_Labs_Array,3,false),
    LabSpeed, (1 * REGEXEXTRACT($BH$1, ""[\d.-]+"")) * {IF(M21 =""Labs Speed"", 1+'Master Sheet'!$BK$5, LAB_SPEED_TOTAL())},
    MaxLevel, VLOOKUP(M21,MS_Labs_Array,4,false),
   "&amp;" MaxOrTarget, IF(OR(TargetLevel = """",$AD$1 &lt;&gt; ""Target""), MaxLevel, TargetLevel),
    LabLevel, VLOOKUP(M21,MS_Labs_Array,2,False),
    DVTColumn, MATCH(M21, DVT_Laboratory!$A$1:BO$1, 0),
    xextTime, INDIRECT(""DVT_Laboratory!"" &amp; ADDRESS(LabLevel+3,"&amp;" DVTColumn)) / LabSpeed,
    remainingTime, SUM(INDIRECT(""DVT_Laboratory!"" &amp; ADDRESS(LabLevel+3, DVTColumn) &amp; "":"" &amp; ADDRESS(MaxOrTarget+2, DVTColumn))) / LabSpeed,
  M21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1" s="1249"/>
      <c r="Q21" s="1249"/>
      <c r="R21" s="1249"/>
      <c r="S21" s="1249"/>
      <c r="T21" s="1250" t="str">
        <f>IFERROR(__xludf.DUMMYFUNCTION("if(S21 &lt;&gt; """", 
  LET( 
    TargetLevel, VLOOKUP(S21,MS_Labs_Array,3,false),
    MaxLevel, VLOOKUP(S21,MS_Labs_Array,4,false),
    MaxOrTarget, IF(OR(TargetLevel = """",$AD$1 &lt;&gt; ""Target""), MaxLevel, TargetLevel),
    LabLevel, VLOOKUP(S21,MS_Labs_Array"&amp;",2,False),
    Levelprogress, LabLevel / MaxOrTarget,
    DVTColumn, MATCH(S21,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1" s="1251" t="str">
        <f>IFERROR(__xludf.DUMMYFUNCTION("if(S21 &lt;&gt; """", 
  LET(
    TargetLevel, VLOOKUP(S21,MS_Labs_Array,3,false),
    LabSpeed, (1 * REGEXEXTRACT($BH$1, ""[\d.-]+"")) * {IF(S21 =""Labs Speed"", 1+'Master Sheet'!$BK$5, LAB_SPEED_TOTAL())},
    MaxLevel, VLOOKUP(S21,MS_Labs_Array,4,false),
   "&amp;" MaxOrTarget, IF(OR(TargetLevel = """",$AD$1 &lt;&gt; ""Target""), MaxLevel, TargetLevel),
    LabLevel, VLOOKUP(S21,MS_Labs_Array,2,False),
    DVTColumn, MATCH(S21, DVT_Laboratory!$A$1:BO$1, 0),
    xextTime, INDIRECT(""DVT_Laboratory!"" &amp; ADDRESS(LabLevel+3,"&amp;" DVTColumn)) / LabSpeed,
    remainingTime, SUM(INDIRECT(""DVT_Laboratory!"" &amp; ADDRESS(LabLevel+3, DVTColumn) &amp; "":"" &amp; ADDRESS(MaxOrTarget+2, DVTColumn))) / LabSpeed,
  S21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1" s="1249"/>
      <c r="W21" s="1249"/>
      <c r="X21" s="1249" t="str">
        <f>IFERROR(__xludf.DUMMYFUNCTION("""COMPUTED_VALUE"""),"Wall Invincibility")</f>
        <v>Wall Invincibility</v>
      </c>
      <c r="Y21" s="1249" t="str">
        <f>IFERROR(__xludf.DUMMYFUNCTION("""COMPUTED_VALUE"""),"Inner Mine Rotation Speed")</f>
        <v>Inner Mine Rotation Speed</v>
      </c>
      <c r="Z21" s="1250" t="str">
        <f>IFERROR(__xludf.DUMMYFUNCTION("if(Y21 &lt;&gt; """", 
  LET( 
    TargetLevel, VLOOKUP(Y21,MS_Labs_Array,3,false),
    MaxLevel, VLOOKUP(Y21,MS_Labs_Array,4,false),
    MaxOrTarget, IF(OR(TargetLevel = """",$AD$1 &lt;&gt; ""Target""), MaxLevel, TargetLevel),
    LabLevel, VLOOKUP(Y21,MS_Labs_Array"&amp;",2,False),
    Levelprogress, LabLevel / MaxOrTarget,
    DVTColumn, MATCH(Y21,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1" s="1251" t="str">
        <f>IFERROR(__xludf.DUMMYFUNCTION("if(Y21 &lt;&gt; """", 
  LET(
    TargetLevel, VLOOKUP(Y21,MS_Labs_Array,3,false),
    LabSpeed, (1 * REGEXEXTRACT($BH$1, ""[\d.-]+"")) * {IF(Y21 =""Labs Speed"", 1+'Master Sheet'!$BK$5, LAB_SPEED_TOTAL())},
    MaxLevel, VLOOKUP(Y21,MS_Labs_Array,4,false),
   "&amp;" MaxOrTarget, IF(OR(TargetLevel = """",$AD$1 &lt;&gt; ""Target""), MaxLevel, TargetLevel),
    LabLevel, VLOOKUP(Y21,MS_Labs_Array,2,False),
    DVTColumn, MATCH(Y21, DVT_Laboratory!$A$1:BO$1, 0),
    xextTime, INDIRECT(""DVT_Laboratory!"" &amp; ADDRESS(LabLevel+3,"&amp;" DVTColumn)) / LabSpeed,
    remainingTime, SUM(INDIRECT(""DVT_Laboratory!"" &amp; ADDRESS(LabLevel+3, DVTColumn) &amp; "":"" &amp; ADDRESS(MaxOrTarget+2, DVTColumn))) / LabSpeed,
  Y21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"""")"),"Inner Mine Rotation Speed
  Lab Level:      0 / 20 (Max)
  Next Level:    0d  1h 16m
  Max Level:     12d 13h  3m")</f>
        <v>Inner Mine Rotation Speed
  Lab Level:      0 / 20 (Max)
  Next Level:    0d  1h 16m
  Max Level:     12d 13h  3m</v>
      </c>
      <c r="AB21" s="1249" t="str">
        <f>IFERROR(__xludf.DUMMYFUNCTION("""COMPUTED_VALUE"""),"Helps with hitting bosses by multiple mines")</f>
        <v>Helps with hitting bosses by multiple mines</v>
      </c>
      <c r="AC21" s="1249" t="str">
        <f>IFERROR(__xludf.DUMMYFUNCTION("""COMPUTED_VALUE"""),"Same as Wall Rebuild")</f>
        <v>Same as Wall Rebuild</v>
      </c>
      <c r="AD21" s="1249" t="str">
        <f>IFERROR(__xludf.DUMMYFUNCTION("""COMPUTED_VALUE"""),"Chrono Field Range")</f>
        <v>Chrono Field Range</v>
      </c>
      <c r="AE21" s="1249" t="str">
        <f>IFERROR(__xludf.DUMMYFUNCTION("""COMPUTED_VALUE"""),"Assist Module Bonus - Cannon")</f>
        <v>Assist Module Bonus - Cannon</v>
      </c>
      <c r="AF21" s="1250" t="str">
        <f>IFERROR(__xludf.DUMMYFUNCTION("if(AE21 &lt;&gt; """", 
  LET( 
    TargetLevel, VLOOKUP(AE21,MS_Labs_Array,3,false),
    MaxLevel, VLOOKUP(AE21,MS_Labs_Array,4,false),
    MaxOrTarget, IF(OR(TargetLevel = """",$AD$1 &lt;&gt; ""Target""), MaxLevel, TargetLevel),
    LabLevel, VLOOKUP(AE21,MS_Labs_A"&amp;"rray,2,False),
    Levelprogress, LabLevel / MaxOrTarget,
    DVTColumn, MATCH(AE21,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1" s="1251" t="str">
        <f>IFERROR(__xludf.DUMMYFUNCTION("if(AE21 &lt;&gt; """", 
  LET(
    TargetLevel, VLOOKUP(AE21,MS_Labs_Array,3,false),
    LabSpeed, (1 * REGEXEXTRACT($BH$1, ""[\d.-]+"")) * {IF(AE21 =""Labs Speed"", 1+'Master Sheet'!$BK$5, LAB_SPEED_TOTAL())},
    MaxLevel, VLOOKUP(AE21,MS_Labs_Array,4,false),"&amp;"
    MaxOrTarget, IF(OR(TargetLevel = """",$AD$1 &lt;&gt; ""Target""), MaxLevel, TargetLevel),
    LabLevel, VLOOKUP(AE21,MS_Labs_Array,2,False),
    DVTColumn, MATCH(AE21, DVT_Laboratory!$A$1:BO$1, 0),
    xextTime, INDIRECT(""DVT_Laboratory!"" &amp; ADDRESS(LabLe"&amp;"vel+3, DVTColumn)) / LabSpeed,
    remainingTime, SUM(INDIRECT(""DVT_Laboratory!"" &amp; ADDRESS(LabLevel+3, DVTColumn) &amp; "":"" &amp; ADDRESS(MaxOrTarget+2, DVTColumn))) / LabSpeed,
  AE21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"""")"),"Assist Module Bonus - Cannon
  Lab Level:      0 / 30 (Max)
  Next Level:    0d 16h 28m
  Max Level:     319d  3h 13m")</f>
        <v>Assist Module Bonus - Cannon
  Lab Level:      0 / 30 (Max)
  Next Level:    0d 16h 28m
  Max Level:     319d  3h 13m</v>
      </c>
      <c r="AH21" s="1249"/>
      <c r="AI21" s="1249" t="str">
        <f>IFERROR(__xludf.DUMMYFUNCTION("""COMPUTED_VALUE"""),"The more the better however be wary as it can be harmful without perma CF")</f>
        <v>The more the better however be wary as it can be harmful without perma CF</v>
      </c>
      <c r="AJ21" s="1249" t="str">
        <f>IFERROR(__xludf.DUMMYFUNCTION("""COMPUTED_VALUE"""),"Thunder Bot - Cooldown")</f>
        <v>Thunder Bot - Cooldown</v>
      </c>
      <c r="AK21" s="1249" t="str">
        <f>IFERROR(__xludf.DUMMYFUNCTION("""COMPUTED_VALUE"""),"Core Effect Bans")</f>
        <v>Core Effect Bans</v>
      </c>
      <c r="AL21" s="1250" t="str">
        <f>IFERROR(__xludf.DUMMYFUNCTION("if(AK21 &lt;&gt; """", 
  LET( 
    TargetLevel, VLOOKUP(AK21,MS_Labs_Array,3,false),
    MaxLevel, VLOOKUP(AK21,MS_Labs_Array,4,false),
    MaxOrTarget, IF(OR(TargetLevel = """",$AD$1 &lt;&gt; ""Target""), MaxLevel, TargetLevel),
    LabLevel, VLOOKUP(AK21,MS_Labs_A"&amp;"rray,2,False),
    Levelprogress, LabLevel / MaxOrTarget,
    DVTColumn, MATCH(AK21,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1" s="1251" t="str">
        <f>IFERROR(__xludf.DUMMYFUNCTION("if(AK21 &lt;&gt; """", 
  LET(
    TargetLevel, VLOOKUP(AK21,MS_Labs_Array,3,false),
    LabSpeed, (1 * REGEXEXTRACT($BH$1, ""[\d.-]+"")) * {IF(AK21 =""Labs Speed"", 1+'Master Sheet'!$BK$5, LAB_SPEED_TOTAL())},
    MaxLevel, VLOOKUP(AK21,MS_Labs_Array,4,false),"&amp;"
    MaxOrTarget, IF(OR(TargetLevel = """",$AD$1 &lt;&gt; ""Target""), MaxLevel, TargetLevel),
    LabLevel, VLOOKUP(AK21,MS_Labs_Array,2,False),
    DVTColumn, MATCH(AK21, DVT_Laboratory!$A$1:BO$1, 0),
    xextTime, INDIRECT(""DVT_Laboratory!"" &amp; ADDRESS(LabLe"&amp;"vel+3, DVTColumn)) / LabSpeed,
    remainingTime, SUM(INDIRECT(""DVT_Laboratory!"" &amp; ADDRESS(LabLevel+3, DVTColumn) &amp; "":"" &amp; ADDRESS(MaxOrTarget+2, DVTColumn))) / LabSpeed,
  AK21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"""")"),"Core Effect Bans
  Lab Level:      4 / 7 (Max)
  Next Level:    10d  7h 50m
  Max Level:     39d  4h 32m")</f>
        <v>Core Effect Bans
  Lab Level:      4 / 7 (Max)
  Next Level:    10d  7h 50m
  Max Level:     39d  4h 32m</v>
      </c>
      <c r="AN21" s="1249" t="str">
        <f>IFERROR(__xludf.DUMMYFUNCTION("""COMPUTED_VALUE"""),"Basically another reroll shards lab but arguably worse")</f>
        <v>Basically another reroll shards lab but arguably worse</v>
      </c>
      <c r="AO21" s="1249" t="str">
        <f>IFERROR(__xludf.DUMMYFUNCTION("""COMPUTED_VALUE"""),"Improves overall CC potential")</f>
        <v>Improves overall CC potential</v>
      </c>
      <c r="AP21" s="1249" t="str">
        <f>IFERROR(__xludf.DUMMYFUNCTION("""COMPUTED_VALUE"""),"Missile Barrage Quantity")</f>
        <v>Missile Barrage Quantity</v>
      </c>
      <c r="AQ21" s="1249" t="str">
        <f>IFERROR(__xludf.DUMMYFUNCTION("""COMPUTED_VALUE"""),"Fast Enemy Health")</f>
        <v>Fast Enemy Health</v>
      </c>
      <c r="AR21" s="1250" t="str">
        <f>IFERROR(__xludf.DUMMYFUNCTION("if(AQ21 &lt;&gt; """", 
  LET( 
    TargetLevel, VLOOKUP(AQ21,MS_Labs_Array,3,false),
    MaxLevel, VLOOKUP(AQ21,MS_Labs_Array,4,false),
    MaxOrTarget, IF(OR(TargetLevel = """",$AD$1 &lt;&gt; ""Target""), MaxLevel, TargetLevel),
    LabLevel, VLOOKUP(AQ21,MS_Labs_A"&amp;"rray,2,False),
    Levelprogress, LabLevel / MaxOrTarget,
    DVTColumn, MATCH(AQ21,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1" s="1251" t="str">
        <f>IFERROR(__xludf.DUMMYFUNCTION("if(AQ21 &lt;&gt; """", 
  LET(
    TargetLevel, VLOOKUP(AQ21,MS_Labs_Array,3,false),
    LabSpeed, (1 * REGEXEXTRACT($BH$1, ""[\d.-]+"")) * {IF(AQ21 =""Labs Speed"", 1+'Master Sheet'!$BK$5, LAB_SPEED_TOTAL())},
    MaxLevel, VLOOKUP(AQ21,MS_Labs_Array,4,false),"&amp;"
    MaxOrTarget, IF(OR(TargetLevel = """",$AD$1 &lt;&gt; ""Target""), MaxLevel, TargetLevel),
    LabLevel, VLOOKUP(AQ21,MS_Labs_Array,2,False),
    DVTColumn, MATCH(AQ21, DVT_Laboratory!$A$1:BO$1, 0),
    xextTime, INDIRECT(""DVT_Laboratory!"" &amp; ADDRESS(LabLe"&amp;"vel+3, DVTColumn)) / LabSpeed,
    remainingTime, SUM(INDIRECT(""DVT_Laboratory!"" &amp; ADDRESS(LabLevel+3, DVTColumn) &amp; "":"" &amp; ADDRESS(MaxOrTarget+2, DVTColumn))) / LabSpeed,
  AQ21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"""")"),"Fast Enemy Health
  Lab Level:      0 / 30 (Max)
  Next Level:    0d  3h 31m
  Max Level:     78d 13h  3m")</f>
        <v>Fast Enemy Health
  Lab Level:      0 / 30 (Max)
  Next Level:    0d  3h 31m
  Max Level:     78d 13h  3m</v>
      </c>
      <c r="AT21"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U21" s="1249" t="str">
        <f>IFERROR(__xludf.DUMMYFUNCTION("""COMPUTED_VALUE"""),"Panic Button gains more missiles")</f>
        <v>Panic Button gains more missiles</v>
      </c>
      <c r="AV21" s="1249" t="str">
        <f>IFERROR(__xludf.DUMMYFUNCTION("""COMPUTED_VALUE"""),"Recovery Package Max")</f>
        <v>Recovery Package Max</v>
      </c>
      <c r="AW21" s="1249" t="str">
        <f>IFERROR(__xludf.DUMMYFUNCTION("""COMPUTED_VALUE"""),"Flame Bot - Burn Stack")</f>
        <v>Flame Bot - Burn Stack</v>
      </c>
      <c r="AX21" s="1250" t="str">
        <f>IFERROR(__xludf.DUMMYFUNCTION("if(AW21 &lt;&gt; """", 
  LET( 
    TargetLevel, VLOOKUP(AW21,MS_Labs_Array,3,false),
    MaxLevel, VLOOKUP(AW21,MS_Labs_Array,4,false),
    MaxOrTarget, IF(OR(TargetLevel = """",$AD$1 &lt;&gt; ""Target""), MaxLevel, TargetLevel),
    LabLevel, VLOOKUP(AW21,MS_Labs_A"&amp;"rray,2,False),
    Levelprogress, LabLevel / MaxOrTarget,
    DVTColumn, MATCH(AW21,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1" s="1251" t="str">
        <f>IFERROR(__xludf.DUMMYFUNCTION("if(AW21 &lt;&gt; """", 
  LET(
    TargetLevel, VLOOKUP(AW21,MS_Labs_Array,3,false),
    LabSpeed, (1 * REGEXEXTRACT($BH$1, ""[\d.-]+"")) * {IF(AW21 =""Labs Speed"", 1+'Master Sheet'!$BK$5, LAB_SPEED_TOTAL())},
    MaxLevel, VLOOKUP(AW21,MS_Labs_Array,4,false),"&amp;"
    MaxOrTarget, IF(OR(TargetLevel = """",$AD$1 &lt;&gt; ""Target""), MaxLevel, TargetLevel),
    LabLevel, VLOOKUP(AW21,MS_Labs_Array,2,False),
    DVTColumn, MATCH(AW21, DVT_Laboratory!$A$1:BO$1, 0),
    xextTime, INDIRECT(""DVT_Laboratory!"" &amp; ADDRESS(LabLe"&amp;"vel+3, DVTColumn)) / LabSpeed,
    remainingTime, SUM(INDIRECT(""DVT_Laboratory!"" &amp; ADDRESS(LabLevel+3, DVTColumn) &amp; "":"" &amp; ADDRESS(MaxOrTarget+2, DVTColumn))) / LabSpeed,
  AW21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"""")"),"Flame Bot - Burn Stack
  Lab Level:      0 / 5 (Max)
  Next Level:    2d 21h 35m
  Max Level:     19d 13h 11m")</f>
        <v>Flame Bot - Burn Stack
  Lab Level:      0 / 5 (Max)
  Next Level:    2d 21h 35m
  Max Level:     19d 13h 11m</v>
      </c>
      <c r="AZ21" s="1249" t="str">
        <f>IFERROR(__xludf.DUMMYFUNCTION("""COMPUTED_VALUE"""),"FB is not for damage; not needed")</f>
        <v>FB is not for damage; not needed</v>
      </c>
      <c r="BA21" s="1249" t="str">
        <f>IFERROR(__xludf.DUMMYFUNCTION("""COMPUTED_VALUE"""),"Packages become insignificant after wall, very little value per level")</f>
        <v>Packages become insignificant after wall, very little value per level</v>
      </c>
      <c r="BB21" s="1249"/>
      <c r="BC21" s="1249"/>
      <c r="BD21" s="1250" t="str">
        <f>IFERROR(__xludf.DUMMYFUNCTION("if(BC21 &lt;&gt; """", 
  LET( 
    TargetLevel, VLOOKUP(BC21,MS_Labs_Array,3,false),
    MaxLevel, VLOOKUP(BC21,MS_Labs_Array,4,false),
    MaxOrTarget, IF(OR(TargetLevel = """",$AD$1 &lt;&gt; ""Target""), MaxLevel, TargetLevel),
    LabLevel, VLOOKUP(BC21,MS_Labs_A"&amp;"rray,2,False),
    Levelprogress, LabLevel / MaxOrTarget,
    DVTColumn, MATCH(BC21,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1" s="1251" t="str">
        <f>IFERROR(__xludf.DUMMYFUNCTION("if(BC21 &lt;&gt; """", 
  LET(
    TargetLevel, VLOOKUP(BC21,MS_Labs_Array,3,false),
    LabSpeed, (1 * REGEXEXTRACT($BH$1, ""[\d.-]+"")) * {IF(BC21 =""Labs Speed"", 1+'Master Sheet'!$BK$5, LAB_SPEED_TOTAL())},
    MaxLevel, VLOOKUP(BC21,MS_Labs_Array,4,false),"&amp;"
    MaxOrTarget, IF(OR(TargetLevel = """",$AD$1 &lt;&gt; ""Target""), MaxLevel, TargetLevel),
    LabLevel, VLOOKUP(BC21,MS_Labs_Array,2,False),
    DVTColumn, MATCH(BC21, DVT_Laboratory!$A$1:BO$1, 0),
    xextTime, INDIRECT(""DVT_Laboratory!"" &amp; ADDRESS(LabLe"&amp;"vel+3, DVTColumn)) / LabSpeed,
    remainingTime, SUM(INDIRECT(""DVT_Laboratory!"" &amp; ADDRESS(LabLevel+3, DVTColumn) &amp; "":"" &amp; ADDRESS(MaxOrTarget+2, DVTColumn))) / LabSpeed,
  BC21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1" s="1249"/>
      <c r="BG21" s="1249"/>
      <c r="BH21" s="1260" t="str">
        <f>IFERROR(__xludf.DUMMYFUNCTION("""COMPUTED_VALUE"""),"Defense Absolute")</f>
        <v>Defense Absolute</v>
      </c>
      <c r="BI21" s="1252" t="str">
        <f>IFERROR(__xludf.DUMMYFUNCTION("""COMPUTED_VALUE"""),"Chrono Field Duration")</f>
        <v>Chrono Field Duration</v>
      </c>
      <c r="BJ21" s="1253" t="str">
        <f>IFERROR(__xludf.DUMMYFUNCTION("if(BI21 &lt;&gt; """", 
  LET( 
    TargetLevel, VLOOKUP(BI21,MS_Labs_Array,3,false),
    MaxLevel, VLOOKUP(BI21,MS_Labs_Array,4,false),
    MaxOrTarget, IF(OR(TargetLevel = """",$AD$1 &lt;&gt; ""Target""), MaxLevel, TargetLevel),
    LabLevel, VLOOKUP(BI21,MS_Labs_A"&amp;"rray,2,False),
    Levelprogress, IF(LabLevel &gt;= MaxOrTarget, 1, LabLevel / MaxOrTarget),
    DVTColumn, MATCH(BI21,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1" s="1254" t="str">
        <f>IFERROR(__xludf.DUMMYFUNCTION("if(BI21 &lt;&gt; """", 
  LET(
    TargetLevel, VLOOKUP(BI21,MS_Labs_Array,3,false),
    LabSpeed, (1 * REGEXEXTRACT($BH$1, ""[\d.-]+"")) * {IF(BI21 =""Labs Speed"", 1+'Master Sheet'!$BK$5, LAB_SPEED_TOTAL())},
    MaxLevel, VLOOKUP(BI21,MS_Labs_Array,4,false),"&amp;"
    MaxOrTarget, IF(OR(TargetLevel = """",$AD$1 &lt;&gt; ""Target""), MaxLevel, TargetLevel),
    LabLevel, VLOOKUP(BI21,MS_Labs_Array,2,False),
    DVTColumn, MATCH(BI21, DVT_Laboratory!$A$1:BO$1, 0),
    xextTime, INDIRECT(""DVT_Laboratory!"" &amp; ADDRESS(LabLe"&amp;"vel+3, DVTColumn)) / LabSpeed,
    remainingTime, SUM(INDIRECT(""DVT_Laboratory!"" &amp; ADDRESS(LabLevel+3, DVTColumn) &amp; "":"" &amp; ADDRESS(MaxOrTarget+2, DVTColumn))) / LabSpeed,
  BI21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"""")"),"Chrono Field Duration
  Lab Level:      30 / 30 (Max)
  Next Level:    
  Max Level:     7d  1h 42m")</f>
        <v>Chrono Field Duration
  Lab Level:      30 / 30 (Max)
  Next Level:    
  Max Level:     7d  1h 42m</v>
      </c>
      <c r="BL21" s="1252" t="str">
        <f>IFERROR(__xludf.DUMMYFUNCTION("""COMPUTED_VALUE"""),"Only research with intention to go for permanent CF")</f>
        <v>Only research with intention to go for permanent CF</v>
      </c>
      <c r="BM21" s="1252" t="str">
        <f>IFERROR(__xludf.DUMMYFUNCTION("""COMPUTED_VALUE"""),"Dabs scales horribly past tier 1")</f>
        <v>Dabs scales horribly past tier 1</v>
      </c>
      <c r="BN21" s="1222"/>
      <c r="BO21" s="1261"/>
    </row>
    <row r="22" ht="7.5" customHeight="1">
      <c r="A22" s="1222"/>
      <c r="B22" s="1257"/>
      <c r="C22" s="1283" t="s">
        <v>170</v>
      </c>
      <c r="D22" s="1280" t="str">
        <f>VLOOKUP(C22,'Remote Tier List'!A:D, 2, FALSE)</f>
        <v>A</v>
      </c>
      <c r="E22" s="1281" t="str">
        <f>VLOOKUP(C22,'Remote Tier List'!A:D, 3, FALSE)</f>
        <v/>
      </c>
      <c r="F22" s="1284" t="str">
        <f>VLOOKUP(C22,'Remote Tier List'!A:D, 4, FALSE)</f>
        <v>Very good lab for increasing both damage and CC, gets very long towards the end</v>
      </c>
      <c r="G22" s="1245" t="b">
        <f t="shared" si="12"/>
        <v>1</v>
      </c>
      <c r="H22" s="1246" t="str">
        <f t="array" ref="H22:I22">LET(
  Lab, $C22,
  Mode, $AD$1,
  Level, VLOOKUP(Lab, MS_Labs_Array, 2, FALSE),
  Target, VLOOKUP(Lab, MS_Labs_Array, 3, FALSE),
  Max, VLOOKUP(Lab, MS_Labs_Array, 4, FALSE),
  Result,
    IF(
      AND(
        Mode &lt;&gt; "Never",
        Level &gt;= IF(OR(Target = "", Mode = "Max"), Max, Target)
      ),
      "Completed",
      ""
    ),
  HSTACK(
    IF(Result &lt;&gt; "", Result, $D22),
    IF(Result &lt;&gt; "", Result, IF($E22 = "", $D22, $E22))
  )
)</f>
        <v>A</v>
      </c>
      <c r="I22" s="1247" t="s">
        <v>545</v>
      </c>
      <c r="J22" s="1248" t="str">
        <f t="shared" si="13"/>
        <v>Very good lab for increasing both damage and CC, gets very long towards the end</v>
      </c>
      <c r="K22" s="1229"/>
      <c r="L22" s="1249" t="str">
        <f>IFERROR(__xludf.DUMMYFUNCTION("""COMPUTED_VALUE"""),"")</f>
        <v/>
      </c>
      <c r="M22" s="1249"/>
      <c r="N22" s="1250" t="str">
        <f>IFERROR(__xludf.DUMMYFUNCTION("if(M22 &lt;&gt; """", 
  LET( 
    TargetLevel, VLOOKUP(M22,MS_Labs_Array,3,false),
    MaxLevel, VLOOKUP(M22,MS_Labs_Array,4,false),
    MaxOrTarget, IF(OR(TargetLevel = """",$AD$1 &lt;&gt; ""Target""), MaxLevel, TargetLevel),
    LabLevel, VLOOKUP(M22,MS_Labs_Array"&amp;",2,False),
    Levelprogress, LabLevel / MaxOrTarget,
    DVTColumn, MATCH(M22,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2" s="1251" t="str">
        <f>IFERROR(__xludf.DUMMYFUNCTION("if(M22 &lt;&gt; """", 
  LET(
    TargetLevel, VLOOKUP(M22,MS_Labs_Array,3,false),
    LabSpeed, (1 * REGEXEXTRACT($BH$1, ""[\d.-]+"")) * {IF(M22 =""Labs Speed"", 1+'Master Sheet'!$BK$5, LAB_SPEED_TOTAL())},
    MaxLevel, VLOOKUP(M22,MS_Labs_Array,4,false),
   "&amp;" MaxOrTarget, IF(OR(TargetLevel = """",$AD$1 &lt;&gt; ""Target""), MaxLevel, TargetLevel),
    LabLevel, VLOOKUP(M22,MS_Labs_Array,2,False),
    DVTColumn, MATCH(M22, DVT_Laboratory!$A$1:BO$1, 0),
    xextTime, INDIRECT(""DVT_Laboratory!"" &amp; ADDRESS(LabLevel+3,"&amp;" DVTColumn)) / LabSpeed,
    remainingTime, SUM(INDIRECT(""DVT_Laboratory!"" &amp; ADDRESS(LabLevel+3, DVTColumn) &amp; "":"" &amp; ADDRESS(MaxOrTarget+2, DVTColumn))) / LabSpeed,
  M22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2" s="1249"/>
      <c r="Q22" s="1249" t="str">
        <f>IFERROR(__xludf.DUMMYFUNCTION("""COMPUTED_VALUE"""),"")</f>
        <v/>
      </c>
      <c r="R22" s="1249" t="str">
        <f>IFERROR(__xludf.DUMMYFUNCTION("""COMPUTED_VALUE"""),"")</f>
        <v/>
      </c>
      <c r="S22" s="1249"/>
      <c r="T22" s="1250" t="str">
        <f>IFERROR(__xludf.DUMMYFUNCTION("if(S22 &lt;&gt; """", 
  LET( 
    TargetLevel, VLOOKUP(S22,MS_Labs_Array,3,false),
    MaxLevel, VLOOKUP(S22,MS_Labs_Array,4,false),
    MaxOrTarget, IF(OR(TargetLevel = """",$AD$1 &lt;&gt; ""Target""), MaxLevel, TargetLevel),
    LabLevel, VLOOKUP(S22,MS_Labs_Array"&amp;",2,False),
    Levelprogress, LabLevel / MaxOrTarget,
    DVTColumn, MATCH(S22,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2" s="1251" t="str">
        <f>IFERROR(__xludf.DUMMYFUNCTION("if(S22 &lt;&gt; """", 
  LET(
    TargetLevel, VLOOKUP(S22,MS_Labs_Array,3,false),
    LabSpeed, (1 * REGEXEXTRACT($BH$1, ""[\d.-]+"")) * {IF(S22 =""Labs Speed"", 1+'Master Sheet'!$BK$5, LAB_SPEED_TOTAL())},
    MaxLevel, VLOOKUP(S22,MS_Labs_Array,4,false),
   "&amp;" MaxOrTarget, IF(OR(TargetLevel = """",$AD$1 &lt;&gt; ""Target""), MaxLevel, TargetLevel),
    LabLevel, VLOOKUP(S22,MS_Labs_Array,2,False),
    DVTColumn, MATCH(S22, DVT_Laboratory!$A$1:BO$1, 0),
    xextTime, INDIRECT(""DVT_Laboratory!"" &amp; ADDRESS(LabLevel+3,"&amp;" DVTColumn)) / LabSpeed,
    remainingTime, SUM(INDIRECT(""DVT_Laboratory!"" &amp; ADDRESS(LabLevel+3, DVTColumn) &amp; "":"" &amp; ADDRESS(MaxOrTarget+2, DVTColumn))) / LabSpeed,
  S22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2" s="1249"/>
      <c r="W22" s="1249" t="str">
        <f>IFERROR(__xludf.DUMMYFUNCTION("""COMPUTED_VALUE"""),"")</f>
        <v/>
      </c>
      <c r="X22" s="1249" t="str">
        <f>IFERROR(__xludf.DUMMYFUNCTION("""COMPUTED_VALUE"""),"")</f>
        <v/>
      </c>
      <c r="Y22" s="1249" t="str">
        <f>IFERROR(__xludf.DUMMYFUNCTION("""COMPUTED_VALUE"""),"Spotlight Missiles")</f>
        <v>Spotlight Missiles</v>
      </c>
      <c r="Z22" s="1250" t="str">
        <f>IFERROR(__xludf.DUMMYFUNCTION("if(Y22 &lt;&gt; """", 
  LET( 
    TargetLevel, VLOOKUP(Y22,MS_Labs_Array,3,false),
    MaxLevel, VLOOKUP(Y22,MS_Labs_Array,4,false),
    MaxOrTarget, IF(OR(TargetLevel = """",$AD$1 &lt;&gt; ""Target""), MaxLevel, TargetLevel),
    LabLevel, VLOOKUP(Y22,MS_Labs_Array"&amp;",2,False),
    Levelprogress, LabLevel / MaxOrTarget,
    DVTColumn, MATCH(Y22,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2" s="1251" t="str">
        <f>IFERROR(__xludf.DUMMYFUNCTION("if(Y22 &lt;&gt; """", 
  LET(
    TargetLevel, VLOOKUP(Y22,MS_Labs_Array,3,false),
    LabSpeed, (1 * REGEXEXTRACT($BH$1, ""[\d.-]+"")) * {IF(Y22 =""Labs Speed"", 1+'Master Sheet'!$BK$5, LAB_SPEED_TOTAL())},
    MaxLevel, VLOOKUP(Y22,MS_Labs_Array,4,false),
   "&amp;" MaxOrTarget, IF(OR(TargetLevel = """",$AD$1 &lt;&gt; ""Target""), MaxLevel, TargetLevel),
    LabLevel, VLOOKUP(Y22,MS_Labs_Array,2,False),
    DVTColumn, MATCH(Y22, DVT_Laboratory!$A$1:BO$1, 0),
    xextTime, INDIRECT(""DVT_Laboratory!"" &amp; ADDRESS(LabLevel+3,"&amp;" DVTColumn)) / LabSpeed,
    remainingTime, SUM(INDIRECT(""DVT_Laboratory!"" &amp; ADDRESS(LabLevel+3, DVTColumn) &amp; "":"" &amp; ADDRESS(MaxOrTarget+2, DVTColumn))) / LabSpeed,
  Y22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"""")"),"Spotlight Missiles
  Lab Level:      1 / 18 (Max)
  Next Level:    0d 10h 41m
  Max Level:     15d  1h 22m")</f>
        <v>Spotlight Missiles
  Lab Level:      1 / 18 (Max)
  Next Level:    0d 10h 41m
  Max Level:     15d  1h 22m</v>
      </c>
      <c r="AB22" s="1249" t="str">
        <f>IFERROR(__xludf.DUMMYFUNCTION("""COMPUTED_VALUE"""),"Basically useless prior to owning SM other than for an event mission, enables SLM Orbless with SM")</f>
        <v>Basically useless prior to owning SM other than for an event mission, enables SLM Orbless with SM</v>
      </c>
      <c r="AC22" s="1249" t="str">
        <f>IFERROR(__xludf.DUMMYFUNCTION("""COMPUTED_VALUE"""),"Wall Invincibility
  Lab Level:      0 / 10 (Max)
  Next Level:    0d  5h 17m
  Max Level:     5d  7h 44m")</f>
        <v>Wall Invincibility
  Lab Level:      0 / 10 (Max)
  Next Level:    0d  5h 17m
  Max Level:     5d  7h 44m</v>
      </c>
      <c r="AD22" s="1249" t="str">
        <f>IFERROR(__xludf.DUMMYFUNCTION("""COMPUTED_VALUE"""),"")</f>
        <v/>
      </c>
      <c r="AE22" s="1249" t="str">
        <f>IFERROR(__xludf.DUMMYFUNCTION("""COMPUTED_VALUE"""),"Assist Module Bonus - Core")</f>
        <v>Assist Module Bonus - Core</v>
      </c>
      <c r="AF22" s="1250" t="str">
        <f>IFERROR(__xludf.DUMMYFUNCTION("if(AE22 &lt;&gt; """", 
  LET( 
    TargetLevel, VLOOKUP(AE22,MS_Labs_Array,3,false),
    MaxLevel, VLOOKUP(AE22,MS_Labs_Array,4,false),
    MaxOrTarget, IF(OR(TargetLevel = """",$AD$1 &lt;&gt; ""Target""), MaxLevel, TargetLevel),
    LabLevel, VLOOKUP(AE22,MS_Labs_A"&amp;"rray,2,False),
    Levelprogress, LabLevel / MaxOrTarget,
    DVTColumn, MATCH(AE22,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2" s="1251" t="str">
        <f>IFERROR(__xludf.DUMMYFUNCTION("if(AE22 &lt;&gt; """", 
  LET(
    TargetLevel, VLOOKUP(AE22,MS_Labs_Array,3,false),
    LabSpeed, (1 * REGEXEXTRACT($BH$1, ""[\d.-]+"")) * {IF(AE22 =""Labs Speed"", 1+'Master Sheet'!$BK$5, LAB_SPEED_TOTAL())},
    MaxLevel, VLOOKUP(AE22,MS_Labs_Array,4,false),"&amp;"
    MaxOrTarget, IF(OR(TargetLevel = """",$AD$1 &lt;&gt; ""Target""), MaxLevel, TargetLevel),
    LabLevel, VLOOKUP(AE22,MS_Labs_Array,2,False),
    DVTColumn, MATCH(AE22, DVT_Laboratory!$A$1:BO$1, 0),
    xextTime, INDIRECT(""DVT_Laboratory!"" &amp; ADDRESS(LabLe"&amp;"vel+3, DVTColumn)) / LabSpeed,
    remainingTime, SUM(INDIRECT(""DVT_Laboratory!"" &amp; ADDRESS(LabLevel+3, DVTColumn) &amp; "":"" &amp; ADDRESS(MaxOrTarget+2, DVTColumn))) / LabSpeed,
  AE22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"""")"),"Assist Module Bonus - Core
  Lab Level:      0 / 30 (Max)
  Next Level:    0d 16h 28m
  Max Level:     319d  3h 13m")</f>
        <v>Assist Module Bonus - Core
  Lab Level:      0 / 30 (Max)
  Next Level:    0d 16h 28m
  Max Level:     319d  3h 13m</v>
      </c>
      <c r="AH22" s="1249"/>
      <c r="AI22" s="1249" t="str">
        <f>IFERROR(__xludf.DUMMYFUNCTION("""COMPUTED_VALUE"""),"Chrono Field Range
  Lab Level:      17 / 20 (Max)
  Next Level:    1d 11h 18m
  Max Level:     5d  4h 57m")</f>
        <v>Chrono Field Range
  Lab Level:      17 / 20 (Max)
  Next Level:    1d 11h 18m
  Max Level:     5d  4h 57m</v>
      </c>
      <c r="AJ22" s="1249" t="str">
        <f>IFERROR(__xludf.DUMMYFUNCTION("""COMPUTED_VALUE"""),"")</f>
        <v/>
      </c>
      <c r="AK22" s="1249" t="str">
        <f>IFERROR(__xludf.DUMMYFUNCTION("""COMPUTED_VALUE"""),"Assist Module Bonus - Armor")</f>
        <v>Assist Module Bonus - Armor</v>
      </c>
      <c r="AL22" s="1250" t="str">
        <f>IFERROR(__xludf.DUMMYFUNCTION("if(AK22 &lt;&gt; """", 
  LET( 
    TargetLevel, VLOOKUP(AK22,MS_Labs_Array,3,false),
    MaxLevel, VLOOKUP(AK22,MS_Labs_Array,4,false),
    MaxOrTarget, IF(OR(TargetLevel = """",$AD$1 &lt;&gt; ""Target""), MaxLevel, TargetLevel),
    LabLevel, VLOOKUP(AK22,MS_Labs_A"&amp;"rray,2,False),
    Levelprogress, LabLevel / MaxOrTarget,
    DVTColumn, MATCH(AK22,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2" s="1251" t="str">
        <f>IFERROR(__xludf.DUMMYFUNCTION("if(AK22 &lt;&gt; """", 
  LET(
    TargetLevel, VLOOKUP(AK22,MS_Labs_Array,3,false),
    LabSpeed, (1 * REGEXEXTRACT($BH$1, ""[\d.-]+"")) * {IF(AK22 =""Labs Speed"", 1+'Master Sheet'!$BK$5, LAB_SPEED_TOTAL())},
    MaxLevel, VLOOKUP(AK22,MS_Labs_Array,4,false),"&amp;"
    MaxOrTarget, IF(OR(TargetLevel = """",$AD$1 &lt;&gt; ""Target""), MaxLevel, TargetLevel),
    LabLevel, VLOOKUP(AK22,MS_Labs_Array,2,False),
    DVTColumn, MATCH(AK22, DVT_Laboratory!$A$1:BO$1, 0),
    xextTime, INDIRECT(""DVT_Laboratory!"" &amp; ADDRESS(LabLe"&amp;"vel+3, DVTColumn)) / LabSpeed,
    remainingTime, SUM(INDIRECT(""DVT_Laboratory!"" &amp; ADDRESS(LabLevel+3, DVTColumn) &amp; "":"" &amp; ADDRESS(MaxOrTarget+2, DVTColumn))) / LabSpeed,
  AK22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"""")"),"Assist Module Bonus - Armor
  Lab Level:      0 / 30 (Max)
  Next Level:    0d 16h 28m
  Max Level:     319d  3h 13m")</f>
        <v>Assist Module Bonus - Armor
  Lab Level:      0 / 30 (Max)
  Next Level:    0d 16h 28m
  Max Level:     319d  3h 13m</v>
      </c>
      <c r="AN22" s="1249"/>
      <c r="AO22" s="1249" t="str">
        <f>IFERROR(__xludf.DUMMYFUNCTION("""COMPUTED_VALUE"""),"Thunder Bot - Cooldown
  Lab Level:      0 / 25 (Max)
  Next Level:    0d  2h 28m
  Max Level:     36d 15h 32m")</f>
        <v>Thunder Bot - Cooldown
  Lab Level:      0 / 25 (Max)
  Next Level:    0d  2h 28m
  Max Level:     36d 15h 32m</v>
      </c>
      <c r="AP22" s="1249" t="str">
        <f>IFERROR(__xludf.DUMMYFUNCTION("""COMPUTED_VALUE"""),"")</f>
        <v/>
      </c>
      <c r="AQ22" s="1249" t="str">
        <f>IFERROR(__xludf.DUMMYFUNCTION("""COMPUTED_VALUE"""),"Tank Enemy Health")</f>
        <v>Tank Enemy Health</v>
      </c>
      <c r="AR22" s="1250" t="str">
        <f>IFERROR(__xludf.DUMMYFUNCTION("if(AQ22 &lt;&gt; """", 
  LET( 
    TargetLevel, VLOOKUP(AQ22,MS_Labs_Array,3,false),
    MaxLevel, VLOOKUP(AQ22,MS_Labs_Array,4,false),
    MaxOrTarget, IF(OR(TargetLevel = """",$AD$1 &lt;&gt; ""Target""), MaxLevel, TargetLevel),
    LabLevel, VLOOKUP(AQ22,MS_Labs_A"&amp;"rray,2,False),
    Levelprogress, LabLevel / MaxOrTarget,
    DVTColumn, MATCH(AQ22,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2" s="1251" t="str">
        <f>IFERROR(__xludf.DUMMYFUNCTION("if(AQ22 &lt;&gt; """", 
  LET(
    TargetLevel, VLOOKUP(AQ22,MS_Labs_Array,3,false),
    LabSpeed, (1 * REGEXEXTRACT($BH$1, ""[\d.-]+"")) * {IF(AQ22 =""Labs Speed"", 1+'Master Sheet'!$BK$5, LAB_SPEED_TOTAL())},
    MaxLevel, VLOOKUP(AQ22,MS_Labs_Array,4,false),"&amp;"
    MaxOrTarget, IF(OR(TargetLevel = """",$AD$1 &lt;&gt; ""Target""), MaxLevel, TargetLevel),
    LabLevel, VLOOKUP(AQ22,MS_Labs_Array,2,False),
    DVTColumn, MATCH(AQ22, DVT_Laboratory!$A$1:BO$1, 0),
    xextTime, INDIRECT(""DVT_Laboratory!"" &amp; ADDRESS(LabLe"&amp;"vel+3, DVTColumn)) / LabSpeed,
    remainingTime, SUM(INDIRECT(""DVT_Laboratory!"" &amp; ADDRESS(LabLevel+3, DVTColumn) &amp; "":"" &amp; ADDRESS(MaxOrTarget+2, DVTColumn))) / LabSpeed,
  AQ22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"""")"),"Tank Enemy Health
  Lab Level:      0 / 30 (Max)
  Next Level:    0d  3h 31m
  Max Level:     78d 13h  3m")</f>
        <v>Tank Enemy Health
  Lab Level:      0 / 30 (Max)
  Next Level:    0d  3h 31m
  Max Level:     78d 13h  3m</v>
      </c>
      <c r="AT22"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U22" s="1249" t="str">
        <f>IFERROR(__xludf.DUMMYFUNCTION("""COMPUTED_VALUE"""),"Missile Barrage Quantity
  Lab Level:      0 / 6 (Max)
  Next Level:    0d  1h 16m
  Max Level:     1d  6h 12m")</f>
        <v>Missile Barrage Quantity
  Lab Level:      0 / 6 (Max)
  Next Level:    0d  1h 16m
  Max Level:     1d  6h 12m</v>
      </c>
      <c r="AV22" s="1249" t="str">
        <f>IFERROR(__xludf.DUMMYFUNCTION("""COMPUTED_VALUE"""),"")</f>
        <v/>
      </c>
      <c r="AW22" s="1249" t="str">
        <f>IFERROR(__xludf.DUMMYFUNCTION("""COMPUTED_VALUE"""),"Common Enemy Attack")</f>
        <v>Common Enemy Attack</v>
      </c>
      <c r="AX22" s="1250" t="str">
        <f>IFERROR(__xludf.DUMMYFUNCTION("if(AW22 &lt;&gt; """", 
  LET( 
    TargetLevel, VLOOKUP(AW22,MS_Labs_Array,3,false),
    MaxLevel, VLOOKUP(AW22,MS_Labs_Array,4,false),
    MaxOrTarget, IF(OR(TargetLevel = """",$AD$1 &lt;&gt; ""Target""), MaxLevel, TargetLevel),
    LabLevel, VLOOKUP(AW22,MS_Labs_A"&amp;"rray,2,False),
    Levelprogress, LabLevel / MaxOrTarget,
    DVTColumn, MATCH(AW22,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2" s="1251" t="str">
        <f>IFERROR(__xludf.DUMMYFUNCTION("if(AW22 &lt;&gt; """", 
  LET(
    TargetLevel, VLOOKUP(AW22,MS_Labs_Array,3,false),
    LabSpeed, (1 * REGEXEXTRACT($BH$1, ""[\d.-]+"")) * {IF(AW22 =""Labs Speed"", 1+'Master Sheet'!$BK$5, LAB_SPEED_TOTAL())},
    MaxLevel, VLOOKUP(AW22,MS_Labs_Array,4,false),"&amp;"
    MaxOrTarget, IF(OR(TargetLevel = """",$AD$1 &lt;&gt; ""Target""), MaxLevel, TargetLevel),
    LabLevel, VLOOKUP(AW22,MS_Labs_Array,2,False),
    DVTColumn, MATCH(AW22, DVT_Laboratory!$A$1:BO$1, 0),
    xextTime, INDIRECT(""DVT_Laboratory!"" &amp; ADDRESS(LabLe"&amp;"vel+3, DVTColumn)) / LabSpeed,
    remainingTime, SUM(INDIRECT(""DVT_Laboratory!"" &amp; ADDRESS(LabLevel+3, DVTColumn) &amp; "":"" &amp; ADDRESS(MaxOrTarget+2, DVTColumn))) / LabSpeed,
  AW22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"""")"),"Common Enemy Attack
  Lab Level:      0 / 30 (Max)
  Next Level:    0d  3h 31m
  Max Level:     78d 13h  3m")</f>
        <v>Common Enemy Attack
  Lab Level:      0 / 30 (Max)
  Next Level:    0d  3h 31m
  Max Level:     78d 13h  3m</v>
      </c>
      <c r="AZ22"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A22" s="1249" t="str">
        <f>IFERROR(__xludf.DUMMYFUNCTION("""COMPUTED_VALUE"""),"Recovery Package Max
  Lab Level:      0 / 20 (Max)
  Next Level:    0d  3h 31m
  Max Level:     16d 17h 38m")</f>
        <v>Recovery Package Max
  Lab Level:      0 / 20 (Max)
  Next Level:    0d  3h 31m
  Max Level:     16d 17h 38m</v>
      </c>
      <c r="BB22" s="1249" t="str">
        <f>IFERROR(__xludf.DUMMYFUNCTION("""COMPUTED_VALUE"""),"")</f>
        <v/>
      </c>
      <c r="BC22" s="1249"/>
      <c r="BD22" s="1250" t="str">
        <f>IFERROR(__xludf.DUMMYFUNCTION("if(BC22 &lt;&gt; """", 
  LET( 
    TargetLevel, VLOOKUP(BC22,MS_Labs_Array,3,false),
    MaxLevel, VLOOKUP(BC22,MS_Labs_Array,4,false),
    MaxOrTarget, IF(OR(TargetLevel = """",$AD$1 &lt;&gt; ""Target""), MaxLevel, TargetLevel),
    LabLevel, VLOOKUP(BC22,MS_Labs_A"&amp;"rray,2,False),
    Levelprogress, LabLevel / MaxOrTarget,
    DVTColumn, MATCH(BC22,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2" s="1251" t="str">
        <f>IFERROR(__xludf.DUMMYFUNCTION("if(BC22 &lt;&gt; """", 
  LET(
    TargetLevel, VLOOKUP(BC22,MS_Labs_Array,3,false),
    LabSpeed, (1 * REGEXEXTRACT($BH$1, ""[\d.-]+"")) * {IF(BC22 =""Labs Speed"", 1+'Master Sheet'!$BK$5, LAB_SPEED_TOTAL())},
    MaxLevel, VLOOKUP(BC22,MS_Labs_Array,4,false),"&amp;"
    MaxOrTarget, IF(OR(TargetLevel = """",$AD$1 &lt;&gt; ""Target""), MaxLevel, TargetLevel),
    LabLevel, VLOOKUP(BC22,MS_Labs_Array,2,False),
    DVTColumn, MATCH(BC22, DVT_Laboratory!$A$1:BO$1, 0),
    xextTime, INDIRECT(""DVT_Laboratory!"" &amp; ADDRESS(LabLe"&amp;"vel+3, DVTColumn)) / LabSpeed,
    remainingTime, SUM(INDIRECT(""DVT_Laboratory!"" &amp; ADDRESS(LabLevel+3, DVTColumn) &amp; "":"" &amp; ADDRESS(MaxOrTarget+2, DVTColumn))) / LabSpeed,
  BC22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2" s="1249"/>
      <c r="BG22" s="1249" t="str">
        <f>IFERROR(__xludf.DUMMYFUNCTION("""COMPUTED_VALUE"""),"")</f>
        <v/>
      </c>
      <c r="BH22" s="1260" t="str">
        <f>IFERROR(__xludf.DUMMYFUNCTION("""COMPUTED_VALUE"""),"")</f>
        <v/>
      </c>
      <c r="BI22" s="1252" t="str">
        <f>IFERROR(__xludf.DUMMYFUNCTION("""COMPUTED_VALUE"""),"Chrono Field Damage Reduction")</f>
        <v>Chrono Field Damage Reduction</v>
      </c>
      <c r="BJ22" s="1253" t="str">
        <f>IFERROR(__xludf.DUMMYFUNCTION("if(BI22 &lt;&gt; """", 
  LET( 
    TargetLevel, VLOOKUP(BI22,MS_Labs_Array,3,false),
    MaxLevel, VLOOKUP(BI22,MS_Labs_Array,4,false),
    MaxOrTarget, IF(OR(TargetLevel = """",$AD$1 &lt;&gt; ""Target""), MaxLevel, TargetLevel),
    LabLevel, VLOOKUP(BI22,MS_Labs_A"&amp;"rray,2,False),
    Levelprogress, IF(LabLevel &gt;= MaxOrTarget, 1, LabLevel / MaxOrTarget),
    DVTColumn, MATCH(BI22,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2" s="1254" t="str">
        <f>IFERROR(__xludf.DUMMYFUNCTION("if(BI22 &lt;&gt; """", 
  LET(
    TargetLevel, VLOOKUP(BI22,MS_Labs_Array,3,false),
    LabSpeed, (1 * REGEXEXTRACT($BH$1, ""[\d.-]+"")) * {IF(BI22 =""Labs Speed"", 1+'Master Sheet'!$BK$5, LAB_SPEED_TOTAL())},
    MaxLevel, VLOOKUP(BI22,MS_Labs_Array,4,false),"&amp;"
    MaxOrTarget, IF(OR(TargetLevel = """",$AD$1 &lt;&gt; ""Target""), MaxLevel, TargetLevel),
    LabLevel, VLOOKUP(BI22,MS_Labs_Array,2,False),
    DVTColumn, MATCH(BI22, DVT_Laboratory!$A$1:BO$1, 0),
    xextTime, INDIRECT(""DVT_Laboratory!"" &amp; ADDRESS(LabLe"&amp;"vel+3, DVTColumn)) / LabSpeed,
    remainingTime, SUM(INDIRECT(""DVT_Laboratory!"" &amp; ADDRESS(LabLevel+3, DVTColumn) &amp; "":"" &amp; ADDRESS(MaxOrTarget+2, DVTColumn))) / LabSpeed,
  BI22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"""")"),"Chrono Field Damage Reduction
  Lab Level:      1 / 1 (Max)
  Next Level:    
  Max Level:     0d  1h  3m")</f>
        <v>Chrono Field Damage Reduction
  Lab Level:      1 / 1 (Max)
  Next Level:    
  Max Level:     0d  1h  3m</v>
      </c>
      <c r="BL22" s="1252" t="str">
        <f>IFERROR(__xludf.DUMMYFUNCTION("""COMPUTED_VALUE"""),"Very long for any benefit past a certan point")</f>
        <v>Very long for any benefit past a certan point</v>
      </c>
      <c r="BM22" s="1252" t="str">
        <f>IFERROR(__xludf.DUMMYFUNCTION("""COMPUTED_VALUE"""),"Defense Absolute
  Lab Level:      14 / 14 (Target)
  Next Level:    0d  0h 46m
  Target Level: 0d  1h 25m")</f>
        <v>Defense Absolute
  Lab Level:      14 / 14 (Target)
  Next Level:    0d  0h 46m
  Target Level: 0d  1h 25m</v>
      </c>
      <c r="BN22" s="1222"/>
      <c r="BO22" s="1261"/>
    </row>
    <row r="23">
      <c r="A23" s="1222"/>
      <c r="B23" s="1257"/>
      <c r="C23" s="1283" t="s">
        <v>181</v>
      </c>
      <c r="D23" s="1280" t="str">
        <f>VLOOKUP(C23,'Remote Tier List'!A:D, 2, FALSE)</f>
        <v>A</v>
      </c>
      <c r="E23" s="1281" t="str">
        <f>VLOOKUP(C23,'Remote Tier List'!A:D, 3, FALSE)</f>
        <v/>
      </c>
      <c r="F23" s="1284" t="str">
        <f>VLOOKUP(C23,'Remote Tier List'!A:D, 4, FALSE)</f>
        <v>Same as Damage although more significant per level, even more so when using the Ultimate Crit card</v>
      </c>
      <c r="G23" s="1245" t="b">
        <f t="shared" si="12"/>
        <v>1</v>
      </c>
      <c r="H23" s="1246" t="str">
        <f t="array" ref="H23:I23">LET(
  Lab, $C23,
  Mode, $AD$1,
  Level, VLOOKUP(Lab, MS_Labs_Array, 2, FALSE),
  Target, VLOOKUP(Lab, MS_Labs_Array, 3, FALSE),
  Max, VLOOKUP(Lab, MS_Labs_Array, 4, FALSE),
  Result,
    IF(
      AND(
        Mode &lt;&gt; "Never",
        Level &gt;= IF(OR(Target = "", Mode = "Max"), Max, Target)
      ),
      "Completed",
      ""
    ),
  HSTACK(
    IF(Result &lt;&gt; "", Result, $D23),
    IF(Result &lt;&gt; "", Result, IF($E23 = "", $D23, $E23))
  )
)</f>
        <v>A</v>
      </c>
      <c r="I23" s="1247" t="s">
        <v>545</v>
      </c>
      <c r="J23" s="1248" t="str">
        <f t="shared" si="13"/>
        <v>Same as Damage although more significant per level, even more so when using the Ultimate Crit card</v>
      </c>
      <c r="K23" s="1229"/>
      <c r="L23" s="1249"/>
      <c r="M23" s="1249"/>
      <c r="N23" s="1250" t="str">
        <f>IFERROR(__xludf.DUMMYFUNCTION("if(M23 &lt;&gt; """", 
  LET( 
    TargetLevel, VLOOKUP(M23,MS_Labs_Array,3,false),
    MaxLevel, VLOOKUP(M23,MS_Labs_Array,4,false),
    MaxOrTarget, IF(OR(TargetLevel = """",$AD$1 &lt;&gt; ""Target""), MaxLevel, TargetLevel),
    LabLevel, VLOOKUP(M23,MS_Labs_Array"&amp;",2,False),
    Levelprogress, LabLevel / MaxOrTarget,
    DVTColumn, MATCH(M23,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3" s="1251" t="str">
        <f>IFERROR(__xludf.DUMMYFUNCTION("if(M23 &lt;&gt; """", 
  LET(
    TargetLevel, VLOOKUP(M23,MS_Labs_Array,3,false),
    LabSpeed, (1 * REGEXEXTRACT($BH$1, ""[\d.-]+"")) * {IF(M23 =""Labs Speed"", 1+'Master Sheet'!$BK$5, LAB_SPEED_TOTAL())},
    MaxLevel, VLOOKUP(M23,MS_Labs_Array,4,false),
   "&amp;" MaxOrTarget, IF(OR(TargetLevel = """",$AD$1 &lt;&gt; ""Target""), MaxLevel, TargetLevel),
    LabLevel, VLOOKUP(M23,MS_Labs_Array,2,False),
    DVTColumn, MATCH(M23, DVT_Laboratory!$A$1:BO$1, 0),
    xextTime, INDIRECT(""DVT_Laboratory!"" &amp; ADDRESS(LabLevel+3,"&amp;" DVTColumn)) / LabSpeed,
    remainingTime, SUM(INDIRECT(""DVT_Laboratory!"" &amp; ADDRESS(LabLevel+3, DVTColumn) &amp; "":"" &amp; ADDRESS(MaxOrTarget+2, DVTColumn))) / LabSpeed,
  M23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3" s="1249"/>
      <c r="Q23" s="1249"/>
      <c r="R23" s="1249"/>
      <c r="S23" s="1249"/>
      <c r="T23" s="1250" t="str">
        <f>IFERROR(__xludf.DUMMYFUNCTION("if(S23 &lt;&gt; """", 
  LET( 
    TargetLevel, VLOOKUP(S23,MS_Labs_Array,3,false),
    MaxLevel, VLOOKUP(S23,MS_Labs_Array,4,false),
    MaxOrTarget, IF(OR(TargetLevel = """",$AD$1 &lt;&gt; ""Target""), MaxLevel, TargetLevel),
    LabLevel, VLOOKUP(S23,MS_Labs_Array"&amp;",2,False),
    Levelprogress, LabLevel / MaxOrTarget,
    DVTColumn, MATCH(S23,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3" s="1251" t="str">
        <f>IFERROR(__xludf.DUMMYFUNCTION("if(S23 &lt;&gt; """", 
  LET(
    TargetLevel, VLOOKUP(S23,MS_Labs_Array,3,false),
    LabSpeed, (1 * REGEXEXTRACT($BH$1, ""[\d.-]+"")) * {IF(S23 =""Labs Speed"", 1+'Master Sheet'!$BK$5, LAB_SPEED_TOTAL())},
    MaxLevel, VLOOKUP(S23,MS_Labs_Array,4,false),
   "&amp;" MaxOrTarget, IF(OR(TargetLevel = """",$AD$1 &lt;&gt; ""Target""), MaxLevel, TargetLevel),
    LabLevel, VLOOKUP(S23,MS_Labs_Array,2,False),
    DVTColumn, MATCH(S23, DVT_Laboratory!$A$1:BO$1, 0),
    xextTime, INDIRECT(""DVT_Laboratory!"" &amp; ADDRESS(LabLevel+3,"&amp;" DVTColumn)) / LabSpeed,
    remainingTime, SUM(INDIRECT(""DVT_Laboratory!"" &amp; ADDRESS(LabLevel+3, DVTColumn) &amp; "":"" &amp; ADDRESS(MaxOrTarget+2, DVTColumn))) / LabSpeed,
  S23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3" s="1249"/>
      <c r="W23" s="1249"/>
      <c r="X23" s="1249" t="str">
        <f>IFERROR(__xludf.DUMMYFUNCTION("""COMPUTED_VALUE"""),"Wall Fortification")</f>
        <v>Wall Fortification</v>
      </c>
      <c r="Y23" s="1249" t="str">
        <f>IFERROR(__xludf.DUMMYFUNCTION("""COMPUTED_VALUE"""),"Super Tower Bonus")</f>
        <v>Super Tower Bonus</v>
      </c>
      <c r="Z23" s="1250" t="str">
        <f>IFERROR(__xludf.DUMMYFUNCTION("if(Y23 &lt;&gt; """", 
  LET( 
    TargetLevel, VLOOKUP(Y23,MS_Labs_Array,3,false),
    MaxLevel, VLOOKUP(Y23,MS_Labs_Array,4,false),
    MaxOrTarget, IF(OR(TargetLevel = """",$AD$1 &lt;&gt; ""Target""), MaxLevel, TargetLevel),
    LabLevel, VLOOKUP(Y23,MS_Labs_Array"&amp;",2,False),
    Levelprogress, LabLevel / MaxOrTarget,
    DVTColumn, MATCH(Y23,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3" s="1251" t="str">
        <f>IFERROR(__xludf.DUMMYFUNCTION("if(Y23 &lt;&gt; """", 
  LET(
    TargetLevel, VLOOKUP(Y23,MS_Labs_Array,3,false),
    LabSpeed, (1 * REGEXEXTRACT($BH$1, ""[\d.-]+"")) * {IF(Y23 =""Labs Speed"", 1+'Master Sheet'!$BK$5, LAB_SPEED_TOTAL())},
    MaxLevel, VLOOKUP(Y23,MS_Labs_Array,4,false),
   "&amp;" MaxOrTarget, IF(OR(TargetLevel = """",$AD$1 &lt;&gt; ""Target""), MaxLevel, TargetLevel),
    LabLevel, VLOOKUP(Y23,MS_Labs_Array,2,False),
    DVTColumn, MATCH(Y23, DVT_Laboratory!$A$1:BO$1, 0),
    xextTime, INDIRECT(""DVT_Laboratory!"" &amp; ADDRESS(LabLevel+3,"&amp;" DVTColumn)) / LabSpeed,
    remainingTime, SUM(INDIRECT(""DVT_Laboratory!"" &amp; ADDRESS(LabLevel+3, DVTColumn) &amp; "":"" &amp; ADDRESS(MaxOrTarget+2, DVTColumn))) / LabSpeed,
  Y23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"""")"),"Super Tower Bonus
  Lab Level:      0 / 30 (Max)
  Next Level:    0d  0h 19m
  Max Level:     57d  0h 33m")</f>
        <v>Super Tower Bonus
  Lab Level:      0 / 30 (Max)
  Next Level:    0d  0h 19m
  Max Level:     57d  0h 33m</v>
      </c>
      <c r="AB23" s="1249" t="str">
        <f>IFERROR(__xludf.DUMMYFUNCTION("""COMPUTED_VALUE"""),"Super Tower is a bullet only damage multiplier until you unlock its mastery. Great damage multipler after doing so")</f>
        <v>Super Tower is a bullet only damage multiplier until you unlock its mastery. Great damage multipler after doing so</v>
      </c>
      <c r="AC23" s="1249" t="str">
        <f>IFERROR(__xludf.DUMMYFUNCTION("""COMPUTED_VALUE"""),"Enables Wall Regen to be the best eHp tool in the game")</f>
        <v>Enables Wall Regen to be the best eHp tool in the game</v>
      </c>
      <c r="AD23" s="1249" t="str">
        <f>IFERROR(__xludf.DUMMYFUNCTION("""COMPUTED_VALUE"""),"Missile Amplifier")</f>
        <v>Missile Amplifier</v>
      </c>
      <c r="AE23" s="1249"/>
      <c r="AF23" s="1250" t="str">
        <f>IFERROR(__xludf.DUMMYFUNCTION("if(AE23 &lt;&gt; """", 
  LET( 
    TargetLevel, VLOOKUP(AE23,MS_Labs_Array,3,false),
    MaxLevel, VLOOKUP(AE23,MS_Labs_Array,4,false),
    MaxOrTarget, IF(OR(TargetLevel = """",$AD$1 &lt;&gt; ""Target""), MaxLevel, TargetLevel),
    LabLevel, VLOOKUP(AE23,MS_Labs_A"&amp;"rray,2,False),
    Levelprogress, LabLevel / MaxOrTarget,
    DVTColumn, MATCH(AE23,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3" s="1251" t="str">
        <f>IFERROR(__xludf.DUMMYFUNCTION("if(AE23 &lt;&gt; """", 
  LET(
    TargetLevel, VLOOKUP(AE23,MS_Labs_Array,3,false),
    LabSpeed, (1 * REGEXEXTRACT($BH$1, ""[\d.-]+"")) * {IF(AE23 =""Labs Speed"", 1+'Master Sheet'!$BK$5, LAB_SPEED_TOTAL())},
    MaxLevel, VLOOKUP(AE23,MS_Labs_Array,4,false),"&amp;"
    MaxOrTarget, IF(OR(TargetLevel = """",$AD$1 &lt;&gt; ""Target""), MaxLevel, TargetLevel),
    LabLevel, VLOOKUP(AE23,MS_Labs_Array,2,False),
    DVTColumn, MATCH(AE23, DVT_Laboratory!$A$1:BO$1, 0),
    xextTime, INDIRECT(""DVT_Laboratory!"" &amp; ADDRESS(LabLe"&amp;"vel+3, DVTColumn)) / LabSpeed,
    remainingTime, SUM(INDIRECT(""DVT_Laboratory!"" &amp; ADDRESS(LabLevel+3, DVTColumn) &amp; "":"" &amp; ADDRESS(MaxOrTarget+2, DVTColumn))) / LabSpeed,
  AE23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3" s="1249"/>
      <c r="AI23" s="1249" t="str">
        <f>IFERROR(__xludf.DUMMYFUNCTION("""COMPUTED_VALUE"""),"Adds an essential SM-only damage multiplier")</f>
        <v>Adds an essential SM-only damage multiplier</v>
      </c>
      <c r="AJ23" s="1249" t="str">
        <f>IFERROR(__xludf.DUMMYFUNCTION("""COMPUTED_VALUE"""),"Fast Enemy Speed")</f>
        <v>Fast Enemy Speed</v>
      </c>
      <c r="AK23" s="1249" t="str">
        <f>IFERROR(__xludf.DUMMYFUNCTION("""COMPUTED_VALUE"""),"Knockback Resistance")</f>
        <v>Knockback Resistance</v>
      </c>
      <c r="AL23" s="1250" t="str">
        <f>IFERROR(__xludf.DUMMYFUNCTION("if(AK23 &lt;&gt; """", 
  LET( 
    TargetLevel, VLOOKUP(AK23,MS_Labs_Array,3,false),
    MaxLevel, VLOOKUP(AK23,MS_Labs_Array,4,false),
    MaxOrTarget, IF(OR(TargetLevel = """",$AD$1 &lt;&gt; ""Target""), MaxLevel, TargetLevel),
    LabLevel, VLOOKUP(AK23,MS_Labs_A"&amp;"rray,2,False),
    Levelprogress, LabLevel / MaxOrTarget,
    DVTColumn, MATCH(AK23,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3" s="1251" t="str">
        <f>IFERROR(__xludf.DUMMYFUNCTION("if(AK23 &lt;&gt; """", 
  LET(
    TargetLevel, VLOOKUP(AK23,MS_Labs_Array,3,false),
    LabSpeed, (1 * REGEXEXTRACT($BH$1, ""[\d.-]+"")) * {IF(AK23 =""Labs Speed"", 1+'Master Sheet'!$BK$5, LAB_SPEED_TOTAL())},
    MaxLevel, VLOOKUP(AK23,MS_Labs_Array,4,false),"&amp;"
    MaxOrTarget, IF(OR(TargetLevel = """",$AD$1 &lt;&gt; ""Target""), MaxLevel, TargetLevel),
    LabLevel, VLOOKUP(AK23,MS_Labs_Array,2,False),
    DVTColumn, MATCH(AK23, DVT_Laboratory!$A$1:BO$1, 0),
    xextTime, INDIRECT(""DVT_Laboratory!"" &amp; ADDRESS(LabLe"&amp;"vel+3, DVTColumn)) / LabSpeed,
    remainingTime, SUM(INDIRECT(""DVT_Laboratory!"" &amp; ADDRESS(LabLevel+3, DVTColumn) &amp; "":"" &amp; ADDRESS(MaxOrTarget+2, DVTColumn))) / LabSpeed,
  AK23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"""")"),"Knockback Resistance
  Lab Level:      0 / 20 (Max)
  Next Level:    0d 20h 35m
  Max Level:     180d  3h 45m")</f>
        <v>Knockback Resistance
  Lab Level:      0 / 20 (Max)
  Next Level:    0d 20h 35m
  Max Level:     180d  3h 45m</v>
      </c>
      <c r="AN23" s="1249" t="str">
        <f>IFERROR(__xludf.DUMMYFUNCTION("""COMPUTED_VALUE"""),"Resistances get far weaker than most battle conditions with how they substract the effect")</f>
        <v>Resistances get far weaker than most battle conditions with how they substract the effect</v>
      </c>
      <c r="AO23"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P23" s="1249" t="str">
        <f>IFERROR(__xludf.DUMMYFUNCTION("""COMPUTED_VALUE"""),"Spotlight Missiles")</f>
        <v>Spotlight Missiles</v>
      </c>
      <c r="AQ23" s="1249" t="str">
        <f>IFERROR(__xludf.DUMMYFUNCTION("""COMPUTED_VALUE"""),"Ranged Enemy Health")</f>
        <v>Ranged Enemy Health</v>
      </c>
      <c r="AR23" s="1250" t="str">
        <f>IFERROR(__xludf.DUMMYFUNCTION("if(AQ23 &lt;&gt; """", 
  LET( 
    TargetLevel, VLOOKUP(AQ23,MS_Labs_Array,3,false),
    MaxLevel, VLOOKUP(AQ23,MS_Labs_Array,4,false),
    MaxOrTarget, IF(OR(TargetLevel = """",$AD$1 &lt;&gt; ""Target""), MaxLevel, TargetLevel),
    LabLevel, VLOOKUP(AQ23,MS_Labs_A"&amp;"rray,2,False),
    Levelprogress, LabLevel / MaxOrTarget,
    DVTColumn, MATCH(AQ23,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3" s="1251" t="str">
        <f>IFERROR(__xludf.DUMMYFUNCTION("if(AQ23 &lt;&gt; """", 
  LET(
    TargetLevel, VLOOKUP(AQ23,MS_Labs_Array,3,false),
    LabSpeed, (1 * REGEXEXTRACT($BH$1, ""[\d.-]+"")) * {IF(AQ23 =""Labs Speed"", 1+'Master Sheet'!$BK$5, LAB_SPEED_TOTAL())},
    MaxLevel, VLOOKUP(AQ23,MS_Labs_Array,4,false),"&amp;"
    MaxOrTarget, IF(OR(TargetLevel = """",$AD$1 &lt;&gt; ""Target""), MaxLevel, TargetLevel),
    LabLevel, VLOOKUP(AQ23,MS_Labs_Array,2,False),
    DVTColumn, MATCH(AQ23, DVT_Laboratory!$A$1:BO$1, 0),
    xextTime, INDIRECT(""DVT_Laboratory!"" &amp; ADDRESS(LabLe"&amp;"vel+3, DVTColumn)) / LabSpeed,
    remainingTime, SUM(INDIRECT(""DVT_Laboratory!"" &amp; ADDRESS(LabLevel+3, DVTColumn) &amp; "":"" &amp; ADDRESS(MaxOrTarget+2, DVTColumn))) / LabSpeed,
  AQ23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"""")"),"Ranged Enemy Health
  Lab Level:      0 / 30 (Max)
  Next Level:    0d  3h 31m
  Max Level:     78d 13h  3m")</f>
        <v>Ranged Enemy Health
  Lab Level:      0 / 30 (Max)
  Next Level:    0d  3h 31m
  Max Level:     78d 13h  3m</v>
      </c>
      <c r="AT23"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U23" s="1249" t="str">
        <f>IFERROR(__xludf.DUMMYFUNCTION("""COMPUTED_VALUE"""),"Basically useless prior to owning SM other than for an event mission, enables SLM Orbless with SM")</f>
        <v>Basically useless prior to owning SM other than for an event mission, enables SLM Orbless with SM</v>
      </c>
      <c r="AV23" s="1249" t="str">
        <f>IFERROR(__xludf.DUMMYFUNCTION("""COMPUTED_VALUE"""),"Missile Despawn Time")</f>
        <v>Missile Despawn Time</v>
      </c>
      <c r="AW23" s="1249" t="str">
        <f>IFERROR(__xludf.DUMMYFUNCTION("""COMPUTED_VALUE"""),"Fast Enemy Attack")</f>
        <v>Fast Enemy Attack</v>
      </c>
      <c r="AX23" s="1250" t="str">
        <f>IFERROR(__xludf.DUMMYFUNCTION("if(AW23 &lt;&gt; """", 
  LET( 
    TargetLevel, VLOOKUP(AW23,MS_Labs_Array,3,false),
    MaxLevel, VLOOKUP(AW23,MS_Labs_Array,4,false),
    MaxOrTarget, IF(OR(TargetLevel = """",$AD$1 &lt;&gt; ""Target""), MaxLevel, TargetLevel),
    LabLevel, VLOOKUP(AW23,MS_Labs_A"&amp;"rray,2,False),
    Levelprogress, LabLevel / MaxOrTarget,
    DVTColumn, MATCH(AW23,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3" s="1251" t="str">
        <f>IFERROR(__xludf.DUMMYFUNCTION("if(AW23 &lt;&gt; """", 
  LET(
    TargetLevel, VLOOKUP(AW23,MS_Labs_Array,3,false),
    LabSpeed, (1 * REGEXEXTRACT($BH$1, ""[\d.-]+"")) * {IF(AW23 =""Labs Speed"", 1+'Master Sheet'!$BK$5, LAB_SPEED_TOTAL())},
    MaxLevel, VLOOKUP(AW23,MS_Labs_Array,4,false),"&amp;"
    MaxOrTarget, IF(OR(TargetLevel = """",$AD$1 &lt;&gt; ""Target""), MaxLevel, TargetLevel),
    LabLevel, VLOOKUP(AW23,MS_Labs_Array,2,False),
    DVTColumn, MATCH(AW23, DVT_Laboratory!$A$1:BO$1, 0),
    xextTime, INDIRECT(""DVT_Laboratory!"" &amp; ADDRESS(LabLe"&amp;"vel+3, DVTColumn)) / LabSpeed,
    remainingTime, SUM(INDIRECT(""DVT_Laboratory!"" &amp; ADDRESS(LabLevel+3, DVTColumn) &amp; "":"" &amp; ADDRESS(MaxOrTarget+2, DVTColumn))) / LabSpeed,
  AW23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"""")"),"Fast Enemy Attack
  Lab Level:      0 / 30 (Max)
  Next Level:    0d  3h 31m
  Max Level:     78d 13h  3m")</f>
        <v>Fast Enemy Attack
  Lab Level:      0 / 30 (Max)
  Next Level:    0d  3h 31m
  Max Level:     78d 13h  3m</v>
      </c>
      <c r="AZ23"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A23" s="1249" t="str">
        <f>IFERROR(__xludf.DUMMYFUNCTION("""COMPUTED_VALUE"""),"Useless; if a missile lives long enough for this to matter it was not needed")</f>
        <v>Useless; if a missile lives long enough for this to matter it was not needed</v>
      </c>
      <c r="BB23" s="1249"/>
      <c r="BC23" s="1249"/>
      <c r="BD23" s="1250" t="str">
        <f>IFERROR(__xludf.DUMMYFUNCTION("if(BC23 &lt;&gt; """", 
  LET( 
    TargetLevel, VLOOKUP(BC23,MS_Labs_Array,3,false),
    MaxLevel, VLOOKUP(BC23,MS_Labs_Array,4,false),
    MaxOrTarget, IF(OR(TargetLevel = """",$AD$1 &lt;&gt; ""Target""), MaxLevel, TargetLevel),
    LabLevel, VLOOKUP(BC23,MS_Labs_A"&amp;"rray,2,False),
    Levelprogress, LabLevel / MaxOrTarget,
    DVTColumn, MATCH(BC23,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3" s="1251" t="str">
        <f>IFERROR(__xludf.DUMMYFUNCTION("if(BC23 &lt;&gt; """", 
  LET(
    TargetLevel, VLOOKUP(BC23,MS_Labs_Array,3,false),
    LabSpeed, (1 * REGEXEXTRACT($BH$1, ""[\d.-]+"")) * {IF(BC23 =""Labs Speed"", 1+'Master Sheet'!$BK$5, LAB_SPEED_TOTAL())},
    MaxLevel, VLOOKUP(BC23,MS_Labs_Array,4,false),"&amp;"
    MaxOrTarget, IF(OR(TargetLevel = """",$AD$1 &lt;&gt; ""Target""), MaxLevel, TargetLevel),
    LabLevel, VLOOKUP(BC23,MS_Labs_Array,2,False),
    DVTColumn, MATCH(BC23, DVT_Laboratory!$A$1:BO$1, 0),
    xextTime, INDIRECT(""DVT_Laboratory!"" &amp; ADDRESS(LabLe"&amp;"vel+3, DVTColumn)) / LabSpeed,
    remainingTime, SUM(INDIRECT(""DVT_Laboratory!"" &amp; ADDRESS(LabLevel+3, DVTColumn) &amp; "":"" &amp; ADDRESS(MaxOrTarget+2, DVTColumn))) / LabSpeed,
  BC23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3" s="1249"/>
      <c r="BG23" s="1249"/>
      <c r="BH23" s="1260" t="str">
        <f>IFERROR(__xludf.DUMMYFUNCTION("""COMPUTED_VALUE"""),"Orbs Speed")</f>
        <v>Orbs Speed</v>
      </c>
      <c r="BI23" s="1252" t="str">
        <f>IFERROR(__xludf.DUMMYFUNCTION("""COMPUTED_VALUE"""),"Chain Lightning Shock")</f>
        <v>Chain Lightning Shock</v>
      </c>
      <c r="BJ23" s="1253" t="str">
        <f>IFERROR(__xludf.DUMMYFUNCTION("if(BI23 &lt;&gt; """", 
  LET( 
    TargetLevel, VLOOKUP(BI23,MS_Labs_Array,3,false),
    MaxLevel, VLOOKUP(BI23,MS_Labs_Array,4,false),
    MaxOrTarget, IF(OR(TargetLevel = """",$AD$1 &lt;&gt; ""Target""), MaxLevel, TargetLevel),
    LabLevel, VLOOKUP(BI23,MS_Labs_A"&amp;"rray,2,False),
    Levelprogress, IF(LabLevel &gt;= MaxOrTarget, 1, LabLevel / MaxOrTarget),
    DVTColumn, MATCH(BI23,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3" s="1254" t="str">
        <f>IFERROR(__xludf.DUMMYFUNCTION("if(BI23 &lt;&gt; """", 
  LET(
    TargetLevel, VLOOKUP(BI23,MS_Labs_Array,3,false),
    LabSpeed, (1 * REGEXEXTRACT($BH$1, ""[\d.-]+"")) * {IF(BI23 =""Labs Speed"", 1+'Master Sheet'!$BK$5, LAB_SPEED_TOTAL())},
    MaxLevel, VLOOKUP(BI23,MS_Labs_Array,4,false),"&amp;"
    MaxOrTarget, IF(OR(TargetLevel = """",$AD$1 &lt;&gt; ""Target""), MaxLevel, TargetLevel),
    LabLevel, VLOOKUP(BI23,MS_Labs_Array,2,False),
    DVTColumn, MATCH(BI23, DVT_Laboratory!$A$1:BO$1, 0),
    xextTime, INDIRECT(""DVT_Laboratory!"" &amp; ADDRESS(LabLe"&amp;"vel+3, DVTColumn)) / LabSpeed,
    remainingTime, SUM(INDIRECT(""DVT_Laboratory!"" &amp; ADDRESS(LabLevel+3, DVTColumn) &amp; "":"" &amp; ADDRESS(MaxOrTarget+2, DVTColumn))) / LabSpeed,
  BI23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"""")"),"Chain Lightning Shock
  Lab Level:      1 / 1 (Max)
  Next Level:    
  Max Level:     0d  1h 31m")</f>
        <v>Chain Lightning Shock
  Lab Level:      1 / 1 (Max)
  Next Level:    
  Max Level:     0d  1h 31m</v>
      </c>
      <c r="BL23" s="1252" t="str">
        <f>IFERROR(__xludf.DUMMYFUNCTION("""COMPUTED_VALUE"""),"Adds a global damage multiplier to CL")</f>
        <v>Adds a global damage multiplier to CL</v>
      </c>
      <c r="BM23" s="1252" t="str">
        <f>IFERROR(__xludf.DUMMYFUNCTION("""COMPUTED_VALUE"""),"Decent to help with orbs clearing enemies better, later good to get more Orb mastery or Orb Boss Hit procs")</f>
        <v>Decent to help with orbs clearing enemies better, later good to get more Orb mastery or Orb Boss Hit procs</v>
      </c>
      <c r="BN23" s="1222"/>
      <c r="BO23" s="1261"/>
    </row>
    <row r="24" ht="7.5" customHeight="1">
      <c r="A24" s="1222"/>
      <c r="B24" s="1262" t="s">
        <v>553</v>
      </c>
      <c r="C24" s="1283" t="s">
        <v>195</v>
      </c>
      <c r="D24" s="1280" t="str">
        <f>VLOOKUP(C24,'Remote Tier List'!A:D, 2, FALSE)</f>
        <v>D</v>
      </c>
      <c r="E24" s="1281" t="str">
        <f>VLOOKUP(C24,'Remote Tier List'!A:D, 3, FALSE)</f>
        <v>C</v>
      </c>
      <c r="F24" s="1284" t="str">
        <f>VLOOKUP(C24,'Remote Tier List'!A:D, 4, FALSE)</f>
        <v>Detrimental in farms if too high. Useful for orb placement in some cases. Helps out in tournaments under some BCs, has a slider to revert the effect</v>
      </c>
      <c r="G24" s="1245" t="b">
        <f t="shared" si="12"/>
        <v>1</v>
      </c>
      <c r="H24" s="1265" t="str">
        <f t="array" ref="H24:I24">LET(
  Lab, $C24,
  Mode, $AD$1,
  Level, VLOOKUP(Lab, MS_Labs_Array, 2, FALSE),
  Target, VLOOKUP(Lab, MS_Labs_Array, 3, FALSE),
  Max, VLOOKUP(Lab, MS_Labs_Array, 4, FALSE),
  Result,
    IF(
      AND(
        Mode &lt;&gt; "Never",
        Level &gt;= IF(OR(Target = "", Mode = "Max"), Max, Target)
      ),
      "Completed",
      ""
    ),
  HSTACK(
    IF(Result &lt;&gt; "", Result, $D24),
    IF(Result &lt;&gt; "", Result, IF($E24 = "", $D24, $E24))
  )
)</f>
        <v>D</v>
      </c>
      <c r="I24" s="1265" t="s">
        <v>547</v>
      </c>
      <c r="J24" s="1248" t="str">
        <f t="shared" si="13"/>
        <v>Detrimental in farms if too high. Useful for orb placement in some cases. Helps out in tournaments under some BCs, has a slider to revert the effect</v>
      </c>
      <c r="K24" s="1229"/>
      <c r="L24" s="1249" t="str">
        <f>IFERROR(__xludf.DUMMYFUNCTION("""COMPUTED_VALUE"""),"")</f>
        <v/>
      </c>
      <c r="M24" s="1249"/>
      <c r="N24" s="1250" t="str">
        <f>IFERROR(__xludf.DUMMYFUNCTION("if(M24 &lt;&gt; """", 
  LET( 
    TargetLevel, VLOOKUP(M24,MS_Labs_Array,3,false),
    MaxLevel, VLOOKUP(M24,MS_Labs_Array,4,false),
    MaxOrTarget, IF(OR(TargetLevel = """",$AD$1 &lt;&gt; ""Target""), MaxLevel, TargetLevel),
    LabLevel, VLOOKUP(M24,MS_Labs_Array"&amp;",2,False),
    Levelprogress, LabLevel / MaxOrTarget,
    DVTColumn, MATCH(M24,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4" s="1251" t="str">
        <f>IFERROR(__xludf.DUMMYFUNCTION("if(M24 &lt;&gt; """", 
  LET(
    TargetLevel, VLOOKUP(M24,MS_Labs_Array,3,false),
    LabSpeed, (1 * REGEXEXTRACT($BH$1, ""[\d.-]+"")) * {IF(M24 =""Labs Speed"", 1+'Master Sheet'!$BK$5, LAB_SPEED_TOTAL())},
    MaxLevel, VLOOKUP(M24,MS_Labs_Array,4,false),
   "&amp;" MaxOrTarget, IF(OR(TargetLevel = """",$AD$1 &lt;&gt; ""Target""), MaxLevel, TargetLevel),
    LabLevel, VLOOKUP(M24,MS_Labs_Array,2,False),
    DVTColumn, MATCH(M24, DVT_Laboratory!$A$1:BO$1, 0),
    xextTime, INDIRECT(""DVT_Laboratory!"" &amp; ADDRESS(LabLevel+3,"&amp;" DVTColumn)) / LabSpeed,
    remainingTime, SUM(INDIRECT(""DVT_Laboratory!"" &amp; ADDRESS(LabLevel+3, DVTColumn) &amp; "":"" &amp; ADDRESS(MaxOrTarget+2, DVTColumn))) / LabSpeed,
  M24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4" s="1249"/>
      <c r="Q24" s="1249" t="str">
        <f>IFERROR(__xludf.DUMMYFUNCTION("""COMPUTED_VALUE"""),"")</f>
        <v/>
      </c>
      <c r="R24" s="1249" t="str">
        <f>IFERROR(__xludf.DUMMYFUNCTION("""COMPUTED_VALUE"""),"")</f>
        <v/>
      </c>
      <c r="S24" s="1249"/>
      <c r="T24" s="1250" t="str">
        <f>IFERROR(__xludf.DUMMYFUNCTION("if(S24 &lt;&gt; """", 
  LET( 
    TargetLevel, VLOOKUP(S24,MS_Labs_Array,3,false),
    MaxLevel, VLOOKUP(S24,MS_Labs_Array,4,false),
    MaxOrTarget, IF(OR(TargetLevel = """",$AD$1 &lt;&gt; ""Target""), MaxLevel, TargetLevel),
    LabLevel, VLOOKUP(S24,MS_Labs_Array"&amp;",2,False),
    Levelprogress, LabLevel / MaxOrTarget,
    DVTColumn, MATCH(S24,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4" s="1251" t="str">
        <f>IFERROR(__xludf.DUMMYFUNCTION("if(S24 &lt;&gt; """", 
  LET(
    TargetLevel, VLOOKUP(S24,MS_Labs_Array,3,false),
    LabSpeed, (1 * REGEXEXTRACT($BH$1, ""[\d.-]+"")) * {IF(S24 =""Labs Speed"", 1+'Master Sheet'!$BK$5, LAB_SPEED_TOTAL())},
    MaxLevel, VLOOKUP(S24,MS_Labs_Array,4,false),
   "&amp;" MaxOrTarget, IF(OR(TargetLevel = """",$AD$1 &lt;&gt; ""Target""), MaxLevel, TargetLevel),
    LabLevel, VLOOKUP(S24,MS_Labs_Array,2,False),
    DVTColumn, MATCH(S24, DVT_Laboratory!$A$1:BO$1, 0),
    xextTime, INDIRECT(""DVT_Laboratory!"" &amp; ADDRESS(LabLevel+3,"&amp;" DVTColumn)) / LabSpeed,
    remainingTime, SUM(INDIRECT(""DVT_Laboratory!"" &amp; ADDRESS(LabLevel+3, DVTColumn) &amp; "":"" &amp; ADDRESS(MaxOrTarget+2, DVTColumn))) / LabSpeed,
  S24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4" s="1249"/>
      <c r="W24" s="1249" t="str">
        <f>IFERROR(__xludf.DUMMYFUNCTION("""COMPUTED_VALUE"""),"")</f>
        <v/>
      </c>
      <c r="X24" s="1249" t="str">
        <f>IFERROR(__xludf.DUMMYFUNCTION("""COMPUTED_VALUE"""),"")</f>
        <v/>
      </c>
      <c r="Y24" s="1249" t="str">
        <f>IFERROR(__xludf.DUMMYFUNCTION("""COMPUTED_VALUE"""),"Recharge Demon Mode")</f>
        <v>Recharge Demon Mode</v>
      </c>
      <c r="Z24" s="1250" t="str">
        <f>IFERROR(__xludf.DUMMYFUNCTION("if(Y24 &lt;&gt; """", 
  LET( 
    TargetLevel, VLOOKUP(Y24,MS_Labs_Array,3,false),
    MaxLevel, VLOOKUP(Y24,MS_Labs_Array,4,false),
    MaxOrTarget, IF(OR(TargetLevel = """",$AD$1 &lt;&gt; ""Target""), MaxLevel, TargetLevel),
    LabLevel, VLOOKUP(Y24,MS_Labs_Array"&amp;",2,False),
    Levelprogress, LabLevel / MaxOrTarget,
    DVTColumn, MATCH(Y24,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4" s="1251" t="str">
        <f>IFERROR(__xludf.DUMMYFUNCTION("if(Y24 &lt;&gt; """", 
  LET(
    TargetLevel, VLOOKUP(Y24,MS_Labs_Array,3,false),
    LabSpeed, (1 * REGEXEXTRACT($BH$1, ""[\d.-]+"")) * {IF(Y24 =""Labs Speed"", 1+'Master Sheet'!$BK$5, LAB_SPEED_TOTAL())},
    MaxLevel, VLOOKUP(Y24,MS_Labs_Array,4,false),
   "&amp;" MaxOrTarget, IF(OR(TargetLevel = """",$AD$1 &lt;&gt; ""Target""), MaxLevel, TargetLevel),
    LabLevel, VLOOKUP(Y24,MS_Labs_Array,2,False),
    DVTColumn, MATCH(Y24, DVT_Laboratory!$A$1:BO$1, 0),
    xextTime, INDIRECT(""DVT_Laboratory!"" &amp; ADDRESS(LabLevel+3,"&amp;" DVTColumn)) / LabSpeed,
    remainingTime, SUM(INDIRECT(""DVT_Laboratory!"" &amp; ADDRESS(LabLevel+3, DVTColumn) &amp; "":"" &amp; ADDRESS(MaxOrTarget+2, DVTColumn))) / LabSpeed,
  Y24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"""")"),"Recharge Demon Mode
  Lab Level:      4 / 7 (Max)
  Next Level:    0d 21h 28m
  Max Level:     5d 17h 37m")</f>
        <v>Recharge Demon Mode
  Lab Level:      4 / 7 (Max)
  Next Level:    0d 21h 28m
  Max Level:     5d 17h 37m</v>
      </c>
      <c r="AB24" s="1249" t="str">
        <f>IFERROR(__xludf.DUMMYFUNCTION("""COMPUTED_VALUE"""),"Great for the event mission, essential to keep the effect of mastery going past 300 waves")</f>
        <v>Great for the event mission, essential to keep the effect of mastery going past 300 waves</v>
      </c>
      <c r="AC24" s="1249" t="str">
        <f>IFERROR(__xludf.DUMMYFUNCTION("""COMPUTED_VALUE"""),"Wall Fortification
  Lab Level:      47 / 60 (Max)
  Next Level:    2d  3h 24m
  Max Level:     37d  2h 27m")</f>
        <v>Wall Fortification
  Lab Level:      47 / 60 (Max)
  Next Level:    2d  3h 24m
  Max Level:     37d  2h 27m</v>
      </c>
      <c r="AD24" s="1249" t="str">
        <f>IFERROR(__xludf.DUMMYFUNCTION("""COMPUTED_VALUE"""),"")</f>
        <v/>
      </c>
      <c r="AE24" s="1249"/>
      <c r="AF24" s="1250" t="str">
        <f>IFERROR(__xludf.DUMMYFUNCTION("if(AE24 &lt;&gt; """", 
  LET( 
    TargetLevel, VLOOKUP(AE24,MS_Labs_Array,3,false),
    MaxLevel, VLOOKUP(AE24,MS_Labs_Array,4,false),
    MaxOrTarget, IF(OR(TargetLevel = """",$AD$1 &lt;&gt; ""Target""), MaxLevel, TargetLevel),
    LabLevel, VLOOKUP(AE24,MS_Labs_A"&amp;"rray,2,False),
    Levelprogress, LabLevel / MaxOrTarget,
    DVTColumn, MATCH(AE24,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4" s="1251" t="str">
        <f>IFERROR(__xludf.DUMMYFUNCTION("if(AE24 &lt;&gt; """", 
  LET(
    TargetLevel, VLOOKUP(AE24,MS_Labs_Array,3,false),
    LabSpeed, (1 * REGEXEXTRACT($BH$1, ""[\d.-]+"")) * {IF(AE24 =""Labs Speed"", 1+'Master Sheet'!$BK$5, LAB_SPEED_TOTAL())},
    MaxLevel, VLOOKUP(AE24,MS_Labs_Array,4,false),"&amp;"
    MaxOrTarget, IF(OR(TargetLevel = """",$AD$1 &lt;&gt; ""Target""), MaxLevel, TargetLevel),
    LabLevel, VLOOKUP(AE24,MS_Labs_Array,2,False),
    DVTColumn, MATCH(AE24, DVT_Laboratory!$A$1:BO$1, 0),
    xextTime, INDIRECT(""DVT_Laboratory!"" &amp; ADDRESS(LabLe"&amp;"vel+3, DVTColumn)) / LabSpeed,
    remainingTime, SUM(INDIRECT(""DVT_Laboratory!"" &amp; ADDRESS(LabLevel+3, DVTColumn) &amp; "":"" &amp; ADDRESS(MaxOrTarget+2, DVTColumn))) / LabSpeed,
  AE24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4" s="1249"/>
      <c r="AI24" s="1249" t="str">
        <f>IFERROR(__xludf.DUMMYFUNCTION("""COMPUTED_VALUE"""),"Missile Amplifier
  Lab Level:      0 / 25 (Max)
  Next Level:    0d  1h 16m
  Max Level:     28d  7h 49m")</f>
        <v>Missile Amplifier
  Lab Level:      0 / 25 (Max)
  Next Level:    0d  1h 16m
  Max Level:     28d  7h 49m</v>
      </c>
      <c r="AJ24" s="1249" t="str">
        <f>IFERROR(__xludf.DUMMYFUNCTION("""COMPUTED_VALUE"""),"")</f>
        <v/>
      </c>
      <c r="AK24" s="1249" t="str">
        <f>IFERROR(__xludf.DUMMYFUNCTION("""COMPUTED_VALUE"""),"Thorns Resistance")</f>
        <v>Thorns Resistance</v>
      </c>
      <c r="AL24" s="1250" t="str">
        <f>IFERROR(__xludf.DUMMYFUNCTION("if(AK24 &lt;&gt; """", 
  LET( 
    TargetLevel, VLOOKUP(AK24,MS_Labs_Array,3,false),
    MaxLevel, VLOOKUP(AK24,MS_Labs_Array,4,false),
    MaxOrTarget, IF(OR(TargetLevel = """",$AD$1 &lt;&gt; ""Target""), MaxLevel, TargetLevel),
    LabLevel, VLOOKUP(AK24,MS_Labs_A"&amp;"rray,2,False),
    Levelprogress, LabLevel / MaxOrTarget,
    DVTColumn, MATCH(AK24,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4" s="1251" t="str">
        <f>IFERROR(__xludf.DUMMYFUNCTION("if(AK24 &lt;&gt; """", 
  LET(
    TargetLevel, VLOOKUP(AK24,MS_Labs_Array,3,false),
    LabSpeed, (1 * REGEXEXTRACT($BH$1, ""[\d.-]+"")) * {IF(AK24 =""Labs Speed"", 1+'Master Sheet'!$BK$5, LAB_SPEED_TOTAL())},
    MaxLevel, VLOOKUP(AK24,MS_Labs_Array,4,false),"&amp;"
    MaxOrTarget, IF(OR(TargetLevel = """",$AD$1 &lt;&gt; ""Target""), MaxLevel, TargetLevel),
    LabLevel, VLOOKUP(AK24,MS_Labs_Array,2,False),
    DVTColumn, MATCH(AK24, DVT_Laboratory!$A$1:BO$1, 0),
    xextTime, INDIRECT(""DVT_Laboratory!"" &amp; ADDRESS(LabLe"&amp;"vel+3, DVTColumn)) / LabSpeed,
    remainingTime, SUM(INDIRECT(""DVT_Laboratory!"" &amp; ADDRESS(LabLevel+3, DVTColumn) &amp; "":"" &amp; ADDRESS(MaxOrTarget+2, DVTColumn))) / LabSpeed,
  AK24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"""")"),"Thorns Resistance
  Lab Level:      0 / 20 (Max)
  Next Level:    0d 20h 35m
  Max Level:     180d  3h 45m")</f>
        <v>Thorns Resistance
  Lab Level:      0 / 20 (Max)
  Next Level:    0d 20h 35m
  Max Level:     180d  3h 45m</v>
      </c>
      <c r="AN24" s="1249" t="str">
        <f>IFERROR(__xludf.DUMMYFUNCTION("""COMPUTED_VALUE"""),"Resistances get far weaker than most battle conditions with how they substract the effect")</f>
        <v>Resistances get far weaker than most battle conditions with how they substract the effect</v>
      </c>
      <c r="AO24" s="1249" t="str">
        <f>IFERROR(__xludf.DUMMYFUNCTION("""COMPUTED_VALUE"""),"Fast Enemy Speed
  Lab Level:      0 / 30 (Max)
  Next Level:    0d  4h 14m
  Max Level:     79d 10h 14m")</f>
        <v>Fast Enemy Speed
  Lab Level:      0 / 30 (Max)
  Next Level:    0d  4h 14m
  Max Level:     79d 10h 14m</v>
      </c>
      <c r="AP24" s="1249" t="str">
        <f>IFERROR(__xludf.DUMMYFUNCTION("""COMPUTED_VALUE"""),"")</f>
        <v/>
      </c>
      <c r="AQ24" s="1249" t="str">
        <f>IFERROR(__xludf.DUMMYFUNCTION("""COMPUTED_VALUE"""),"Protector Damage Reduction")</f>
        <v>Protector Damage Reduction</v>
      </c>
      <c r="AR24" s="1250" t="str">
        <f>IFERROR(__xludf.DUMMYFUNCTION("if(AQ24 &lt;&gt; """", 
  LET( 
    TargetLevel, VLOOKUP(AQ24,MS_Labs_Array,3,false),
    MaxLevel, VLOOKUP(AQ24,MS_Labs_Array,4,false),
    MaxOrTarget, IF(OR(TargetLevel = """",$AD$1 &lt;&gt; ""Target""), MaxLevel, TargetLevel),
    LabLevel, VLOOKUP(AQ24,MS_Labs_A"&amp;"rray,2,False),
    Levelprogress, LabLevel / MaxOrTarget,
    DVTColumn, MATCH(AQ24,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4" s="1251" t="str">
        <f>IFERROR(__xludf.DUMMYFUNCTION("if(AQ24 &lt;&gt; """", 
  LET(
    TargetLevel, VLOOKUP(AQ24,MS_Labs_Array,3,false),
    LabSpeed, (1 * REGEXEXTRACT($BH$1, ""[\d.-]+"")) * {IF(AQ24 =""Labs Speed"", 1+'Master Sheet'!$BK$5, LAB_SPEED_TOTAL())},
    MaxLevel, VLOOKUP(AQ24,MS_Labs_Array,4,false),"&amp;"
    MaxOrTarget, IF(OR(TargetLevel = """",$AD$1 &lt;&gt; ""Target""), MaxLevel, TargetLevel),
    LabLevel, VLOOKUP(AQ24,MS_Labs_Array,2,False),
    DVTColumn, MATCH(AQ24, DVT_Laboratory!$A$1:BO$1, 0),
    xextTime, INDIRECT(""DVT_Laboratory!"" &amp; ADDRESS(LabLe"&amp;"vel+3, DVTColumn)) / LabSpeed,
    remainingTime, SUM(INDIRECT(""DVT_Laboratory!"" &amp; ADDRESS(LabLevel+3, DVTColumn) &amp; "":"" &amp; ADDRESS(MaxOrTarget+2, DVTColumn))) / LabSpeed,
  AQ24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"""")"),"Protector Damage Reduction
  Lab Level:      0 / 20 (Max)
  Next Level:    0d  4h 14m
  Max Level:     17d  7h 45m")</f>
        <v>Protector Damage Reduction
  Lab Level:      0 / 20 (Max)
  Next Level:    0d  4h 14m
  Max Level:     17d  7h 45m</v>
      </c>
      <c r="AT24" s="1249"/>
      <c r="AU24" s="1249" t="str">
        <f>IFERROR(__xludf.DUMMYFUNCTION("""COMPUTED_VALUE"""),"Spotlight Missiles
  Lab Level:      1 / 18 (Max)
  Next Level:    0d 10h 41m
  Max Level:     15d  1h 22m")</f>
        <v>Spotlight Missiles
  Lab Level:      1 / 18 (Max)
  Next Level:    0d 10h 41m
  Max Level:     15d  1h 22m</v>
      </c>
      <c r="AV24" s="1249" t="str">
        <f>IFERROR(__xludf.DUMMYFUNCTION("""COMPUTED_VALUE"""),"")</f>
        <v/>
      </c>
      <c r="AW24" s="1249" t="str">
        <f>IFERROR(__xludf.DUMMYFUNCTION("""COMPUTED_VALUE"""),"Tank Enemy Attack")</f>
        <v>Tank Enemy Attack</v>
      </c>
      <c r="AX24" s="1250" t="str">
        <f>IFERROR(__xludf.DUMMYFUNCTION("if(AW24 &lt;&gt; """", 
  LET( 
    TargetLevel, VLOOKUP(AW24,MS_Labs_Array,3,false),
    MaxLevel, VLOOKUP(AW24,MS_Labs_Array,4,false),
    MaxOrTarget, IF(OR(TargetLevel = """",$AD$1 &lt;&gt; ""Target""), MaxLevel, TargetLevel),
    LabLevel, VLOOKUP(AW24,MS_Labs_A"&amp;"rray,2,False),
    Levelprogress, LabLevel / MaxOrTarget,
    DVTColumn, MATCH(AW24,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4" s="1251" t="str">
        <f>IFERROR(__xludf.DUMMYFUNCTION("if(AW24 &lt;&gt; """", 
  LET(
    TargetLevel, VLOOKUP(AW24,MS_Labs_Array,3,false),
    LabSpeed, (1 * REGEXEXTRACT($BH$1, ""[\d.-]+"")) * {IF(AW24 =""Labs Speed"", 1+'Master Sheet'!$BK$5, LAB_SPEED_TOTAL())},
    MaxLevel, VLOOKUP(AW24,MS_Labs_Array,4,false),"&amp;"
    MaxOrTarget, IF(OR(TargetLevel = """",$AD$1 &lt;&gt; ""Target""), MaxLevel, TargetLevel),
    LabLevel, VLOOKUP(AW24,MS_Labs_Array,2,False),
    DVTColumn, MATCH(AW24, DVT_Laboratory!$A$1:BO$1, 0),
    xextTime, INDIRECT(""DVT_Laboratory!"" &amp; ADDRESS(LabLe"&amp;"vel+3, DVTColumn)) / LabSpeed,
    remainingTime, SUM(INDIRECT(""DVT_Laboratory!"" &amp; ADDRESS(LabLevel+3, DVTColumn) &amp; "":"" &amp; ADDRESS(MaxOrTarget+2, DVTColumn))) / LabSpeed,
  AW24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"""")"),"Tank Enemy Attack
  Lab Level:      0 / 30 (Max)
  Next Level:    0d  3h 31m
  Max Level:     78d 13h  3m")</f>
        <v>Tank Enemy Attack
  Lab Level:      0 / 30 (Max)
  Next Level:    0d  3h 31m
  Max Level:     78d 13h  3m</v>
      </c>
      <c r="AZ24"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A24" s="1249" t="str">
        <f>IFERROR(__xludf.DUMMYFUNCTION("""COMPUTED_VALUE"""),"Missile Despawn Time
  Lab Level:      0 / 20 (Max)
  Next Level:    0d  1h 16m
  Max Level:     10d  0h 41m")</f>
        <v>Missile Despawn Time
  Lab Level:      0 / 20 (Max)
  Next Level:    0d  1h 16m
  Max Level:     10d  0h 41m</v>
      </c>
      <c r="BB24" s="1249" t="str">
        <f>IFERROR(__xludf.DUMMYFUNCTION("""COMPUTED_VALUE"""),"")</f>
        <v/>
      </c>
      <c r="BC24" s="1249"/>
      <c r="BD24" s="1250" t="str">
        <f>IFERROR(__xludf.DUMMYFUNCTION("if(BC24 &lt;&gt; """", 
  LET( 
    TargetLevel, VLOOKUP(BC24,MS_Labs_Array,3,false),
    MaxLevel, VLOOKUP(BC24,MS_Labs_Array,4,false),
    MaxOrTarget, IF(OR(TargetLevel = """",$AD$1 &lt;&gt; ""Target""), MaxLevel, TargetLevel),
    LabLevel, VLOOKUP(BC24,MS_Labs_A"&amp;"rray,2,False),
    Levelprogress, LabLevel / MaxOrTarget,
    DVTColumn, MATCH(BC24,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4" s="1251" t="str">
        <f>IFERROR(__xludf.DUMMYFUNCTION("if(BC24 &lt;&gt; """", 
  LET(
    TargetLevel, VLOOKUP(BC24,MS_Labs_Array,3,false),
    LabSpeed, (1 * REGEXEXTRACT($BH$1, ""[\d.-]+"")) * {IF(BC24 =""Labs Speed"", 1+'Master Sheet'!$BK$5, LAB_SPEED_TOTAL())},
    MaxLevel, VLOOKUP(BC24,MS_Labs_Array,4,false),"&amp;"
    MaxOrTarget, IF(OR(TargetLevel = """",$AD$1 &lt;&gt; ""Target""), MaxLevel, TargetLevel),
    LabLevel, VLOOKUP(BC24,MS_Labs_Array,2,False),
    DVTColumn, MATCH(BC24, DVT_Laboratory!$A$1:BO$1, 0),
    xextTime, INDIRECT(""DVT_Laboratory!"" &amp; ADDRESS(LabLe"&amp;"vel+3, DVTColumn)) / LabSpeed,
    remainingTime, SUM(INDIRECT(""DVT_Laboratory!"" &amp; ADDRESS(LabLevel+3, DVTColumn) &amp; "":"" &amp; ADDRESS(MaxOrTarget+2, DVTColumn))) / LabSpeed,
  BC24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4" s="1249"/>
      <c r="BG24" s="1249" t="str">
        <f>IFERROR(__xludf.DUMMYFUNCTION("""COMPUTED_VALUE"""),"")</f>
        <v/>
      </c>
      <c r="BH24" s="1260" t="str">
        <f>IFERROR(__xludf.DUMMYFUNCTION("""COMPUTED_VALUE"""),"")</f>
        <v/>
      </c>
      <c r="BI24" s="1252" t="str">
        <f>IFERROR(__xludf.DUMMYFUNCTION("""COMPUTED_VALUE"""),"Shock Multiplier")</f>
        <v>Shock Multiplier</v>
      </c>
      <c r="BJ24" s="1253" t="str">
        <f>IFERROR(__xludf.DUMMYFUNCTION("if(BI24 &lt;&gt; """", 
  LET( 
    TargetLevel, VLOOKUP(BI24,MS_Labs_Array,3,false),
    MaxLevel, VLOOKUP(BI24,MS_Labs_Array,4,false),
    MaxOrTarget, IF(OR(TargetLevel = """",$AD$1 &lt;&gt; ""Target""), MaxLevel, TargetLevel),
    LabLevel, VLOOKUP(BI24,MS_Labs_A"&amp;"rray,2,False),
    Levelprogress, IF(LabLevel &gt;= MaxOrTarget, 1, LabLevel / MaxOrTarget),
    DVTColumn, MATCH(BI24,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4" s="1254" t="str">
        <f>IFERROR(__xludf.DUMMYFUNCTION("if(BI24 &lt;&gt; """", 
  LET(
    TargetLevel, VLOOKUP(BI24,MS_Labs_Array,3,false),
    LabSpeed, (1 * REGEXEXTRACT($BH$1, ""[\d.-]+"")) * {IF(BI24 =""Labs Speed"", 1+'Master Sheet'!$BK$5, LAB_SPEED_TOTAL())},
    MaxLevel, VLOOKUP(BI24,MS_Labs_Array,4,false),"&amp;"
    MaxOrTarget, IF(OR(TargetLevel = """",$AD$1 &lt;&gt; ""Target""), MaxLevel, TargetLevel),
    LabLevel, VLOOKUP(BI24,MS_Labs_Array,2,False),
    DVTColumn, MATCH(BI24, DVT_Laboratory!$A$1:BO$1, 0),
    xextTime, INDIRECT(""DVT_Laboratory!"" &amp; ADDRESS(LabLe"&amp;"vel+3, DVTColumn)) / LabSpeed,
    remainingTime, SUM(INDIRECT(""DVT_Laboratory!"" &amp; ADDRESS(LabLevel+3, DVTColumn) &amp; "":"" &amp; ADDRESS(MaxOrTarget+2, DVTColumn))) / LabSpeed,
  BI24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"""")"),"Shock Multiplier
  Lab Level:      14 / 14 (Max)
  Next Level:    
  Max Level:     0d 17h 56m")</f>
        <v>Shock Multiplier
  Lab Level:      14 / 14 (Max)
  Next Level:    
  Max Level:     0d 17h 56m</v>
      </c>
      <c r="BL24" s="1252" t="str">
        <f>IFERROR(__xludf.DUMMYFUNCTION("""COMPUTED_VALUE"""),"Shock will stack higher; good to max")</f>
        <v>Shock will stack higher; good to max</v>
      </c>
      <c r="BM24" s="1252" t="str">
        <f>IFERROR(__xludf.DUMMYFUNCTION("""COMPUTED_VALUE"""),"Orbs Speed
  Lab Level:      20 / 20 (Max)
  Next Level:    
  Max Level:     1d  5h 37m")</f>
        <v>Orbs Speed
  Lab Level:      20 / 20 (Max)
  Next Level:    
  Max Level:     1d  5h 37m</v>
      </c>
      <c r="BN24" s="1222"/>
      <c r="BO24" s="1261"/>
    </row>
    <row r="25">
      <c r="A25" s="1222"/>
      <c r="B25" s="1262" t="s">
        <v>557</v>
      </c>
      <c r="C25" s="1283" t="s">
        <v>216</v>
      </c>
      <c r="D25" s="1280" t="str">
        <f>VLOOKUP(C25,'Remote Tier List'!A:D, 2, FALSE)</f>
        <v>F</v>
      </c>
      <c r="E25" s="1281" t="str">
        <f>VLOOKUP(C25,'Remote Tier List'!A:D, 3, FALSE)</f>
        <v>A</v>
      </c>
      <c r="F25" s="1284" t="str">
        <f>VLOOKUP(C25,'Remote Tier List'!A:D, 4, FALSE)</f>
        <v>Useless until SL+, very helpful with it while also pairing well with Range mastery</v>
      </c>
      <c r="G25" s="1245" t="b">
        <f t="shared" si="12"/>
        <v>1</v>
      </c>
      <c r="H25" s="1265" t="str">
        <f t="array" ref="H25:I25">LET(
  Lab, $C25,
  Mode, $AD$1,
  Level, VLOOKUP(Lab, MS_Labs_Array, 2, FALSE),
  Target, VLOOKUP(Lab, MS_Labs_Array, 3, FALSE),
  Max, VLOOKUP(Lab, MS_Labs_Array, 4, FALSE),
  Result,
    IF(
      AND(
        Mode &lt;&gt; "Never",
        Level &gt;= IF(OR(Target = "", Mode = "Max"), Max, Target)
      ),
      "Completed",
      ""
    ),
  HSTACK(
    IF(Result &lt;&gt; "", Result, $D25),
    IF(Result &lt;&gt; "", Result, IF($E25 = "", $D25, $E25))
  )
)</f>
        <v>F</v>
      </c>
      <c r="I25" s="1265" t="s">
        <v>545</v>
      </c>
      <c r="J25" s="1248" t="str">
        <f t="shared" si="13"/>
        <v>Useless until SL+, very helpful with it while also pairing well with Range mastery</v>
      </c>
      <c r="K25" s="1229"/>
      <c r="L25" s="1249"/>
      <c r="M25" s="1249"/>
      <c r="N25" s="1250" t="str">
        <f>IFERROR(__xludf.DUMMYFUNCTION("if(M25 &lt;&gt; """", 
  LET( 
    TargetLevel, VLOOKUP(M25,MS_Labs_Array,3,false),
    MaxLevel, VLOOKUP(M25,MS_Labs_Array,4,false),
    MaxOrTarget, IF(OR(TargetLevel = """",$AD$1 &lt;&gt; ""Target""), MaxLevel, TargetLevel),
    LabLevel, VLOOKUP(M25,MS_Labs_Array"&amp;",2,False),
    Levelprogress, LabLevel / MaxOrTarget,
    DVTColumn, MATCH(M25,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5" s="1251" t="str">
        <f>IFERROR(__xludf.DUMMYFUNCTION("if(M25 &lt;&gt; """", 
  LET(
    TargetLevel, VLOOKUP(M25,MS_Labs_Array,3,false),
    LabSpeed, (1 * REGEXEXTRACT($BH$1, ""[\d.-]+"")) * {IF(M25 =""Labs Speed"", 1+'Master Sheet'!$BK$5, LAB_SPEED_TOTAL())},
    MaxLevel, VLOOKUP(M25,MS_Labs_Array,4,false),
   "&amp;" MaxOrTarget, IF(OR(TargetLevel = """",$AD$1 &lt;&gt; ""Target""), MaxLevel, TargetLevel),
    LabLevel, VLOOKUP(M25,MS_Labs_Array,2,False),
    DVTColumn, MATCH(M25, DVT_Laboratory!$A$1:BO$1, 0),
    xextTime, INDIRECT(""DVT_Laboratory!"" &amp; ADDRESS(LabLevel+3,"&amp;" DVTColumn)) / LabSpeed,
    remainingTime, SUM(INDIRECT(""DVT_Laboratory!"" &amp; ADDRESS(LabLevel+3, DVTColumn) &amp; "":"" &amp; ADDRESS(MaxOrTarget+2, DVTColumn))) / LabSpeed,
  M25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5" s="1249"/>
      <c r="Q25" s="1249"/>
      <c r="R25" s="1249"/>
      <c r="S25" s="1249"/>
      <c r="T25" s="1250" t="str">
        <f>IFERROR(__xludf.DUMMYFUNCTION("if(S25 &lt;&gt; """", 
  LET( 
    TargetLevel, VLOOKUP(S25,MS_Labs_Array,3,false),
    MaxLevel, VLOOKUP(S25,MS_Labs_Array,4,false),
    MaxOrTarget, IF(OR(TargetLevel = """",$AD$1 &lt;&gt; ""Target""), MaxLevel, TargetLevel),
    LabLevel, VLOOKUP(S25,MS_Labs_Array"&amp;",2,False),
    Levelprogress, LabLevel / MaxOrTarget,
    DVTColumn, MATCH(S25,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5" s="1251" t="str">
        <f>IFERROR(__xludf.DUMMYFUNCTION("if(S25 &lt;&gt; """", 
  LET(
    TargetLevel, VLOOKUP(S25,MS_Labs_Array,3,false),
    LabSpeed, (1 * REGEXEXTRACT($BH$1, ""[\d.-]+"")) * {IF(S25 =""Labs Speed"", 1+'Master Sheet'!$BK$5, LAB_SPEED_TOTAL())},
    MaxLevel, VLOOKUP(S25,MS_Labs_Array,4,false),
   "&amp;" MaxOrTarget, IF(OR(TargetLevel = """",$AD$1 &lt;&gt; ""Target""), MaxLevel, TargetLevel),
    LabLevel, VLOOKUP(S25,MS_Labs_Array,2,False),
    DVTColumn, MATCH(S25, DVT_Laboratory!$A$1:BO$1, 0),
    xextTime, INDIRECT(""DVT_Laboratory!"" &amp; ADDRESS(LabLevel+3,"&amp;" DVTColumn)) / LabSpeed,
    remainingTime, SUM(INDIRECT(""DVT_Laboratory!"" &amp; ADDRESS(LabLevel+3, DVTColumn) &amp; "":"" &amp; ADDRESS(MaxOrTarget+2, DVTColumn))) / LabSpeed,
  S25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5" s="1249"/>
      <c r="W25" s="1249"/>
      <c r="X25" s="1249" t="str">
        <f>IFERROR(__xludf.DUMMYFUNCTION("""COMPUTED_VALUE"""),"Coins / Kill Bonus")</f>
        <v>Coins / Kill Bonus</v>
      </c>
      <c r="Y25" s="1249" t="str">
        <f>IFERROR(__xludf.DUMMYFUNCTION("""COMPUTED_VALUE"""),"Recharge Nuke")</f>
        <v>Recharge Nuke</v>
      </c>
      <c r="Z25" s="1250" t="str">
        <f>IFERROR(__xludf.DUMMYFUNCTION("if(Y25 &lt;&gt; """", 
  LET( 
    TargetLevel, VLOOKUP(Y25,MS_Labs_Array,3,false),
    MaxLevel, VLOOKUP(Y25,MS_Labs_Array,4,false),
    MaxOrTarget, IF(OR(TargetLevel = """",$AD$1 &lt;&gt; ""Target""), MaxLevel, TargetLevel),
    LabLevel, VLOOKUP(Y25,MS_Labs_Array"&amp;",2,False),
    Levelprogress, LabLevel / MaxOrTarget,
    DVTColumn, MATCH(Y25,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5" s="1251" t="str">
        <f>IFERROR(__xludf.DUMMYFUNCTION("if(Y25 &lt;&gt; """", 
  LET(
    TargetLevel, VLOOKUP(Y25,MS_Labs_Array,3,false),
    LabSpeed, (1 * REGEXEXTRACT($BH$1, ""[\d.-]+"")) * {IF(Y25 =""Labs Speed"", 1+'Master Sheet'!$BK$5, LAB_SPEED_TOTAL())},
    MaxLevel, VLOOKUP(Y25,MS_Labs_Array,4,false),
   "&amp;" MaxOrTarget, IF(OR(TargetLevel = """",$AD$1 &lt;&gt; ""Target""), MaxLevel, TargetLevel),
    LabLevel, VLOOKUP(Y25,MS_Labs_Array,2,False),
    DVTColumn, MATCH(Y25, DVT_Laboratory!$A$1:BO$1, 0),
    xextTime, INDIRECT(""DVT_Laboratory!"" &amp; ADDRESS(LabLevel+3,"&amp;" DVTColumn)) / LabSpeed,
    remainingTime, SUM(INDIRECT(""DVT_Laboratory!"" &amp; ADDRESS(LabLevel+3, DVTColumn) &amp; "":"" &amp; ADDRESS(MaxOrTarget+2, DVTColumn))) / LabSpeed,
  Y25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"""")"),"Recharge Nuke
  Lab Level:      2 / 7 (Max)
  Next Level:    0d 12h 15m
  Max Level:     6d 21h  5m")</f>
        <v>Recharge Nuke
  Lab Level:      2 / 7 (Max)
  Next Level:    0d 12h 15m
  Max Level:     6d 21h  5m</v>
      </c>
      <c r="AB25" s="1249" t="str">
        <f>IFERROR(__xludf.DUMMYFUNCTION("""COMPUTED_VALUE"""),"Okay for the event mission when high level, essential to keep the effect of mastery going past 300 waves")</f>
        <v>Okay for the event mission when high level, essential to keep the effect of mastery going past 300 waves</v>
      </c>
      <c r="AC25" s="1249" t="str">
        <f>IFERROR(__xludf.DUMMYFUNCTION("""COMPUTED_VALUE"""),"Excellent lab, eventually max it, but balance it with UW econ labs")</f>
        <v>Excellent lab, eventually max it, but balance it with UW econ labs</v>
      </c>
      <c r="AD25" s="1249" t="str">
        <f>IFERROR(__xludf.DUMMYFUNCTION("""COMPUTED_VALUE"""),"Swamp Rend")</f>
        <v>Swamp Rend</v>
      </c>
      <c r="AE25" s="1249"/>
      <c r="AF25" s="1250" t="str">
        <f>IFERROR(__xludf.DUMMYFUNCTION("if(AE25 &lt;&gt; """", 
  LET( 
    TargetLevel, VLOOKUP(AE25,MS_Labs_Array,3,false),
    MaxLevel, VLOOKUP(AE25,MS_Labs_Array,4,false),
    MaxOrTarget, IF(OR(TargetLevel = """",$AD$1 &lt;&gt; ""Target""), MaxLevel, TargetLevel),
    LabLevel, VLOOKUP(AE25,MS_Labs_A"&amp;"rray,2,False),
    Levelprogress, LabLevel / MaxOrTarget,
    DVTColumn, MATCH(AE25,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5" s="1251" t="str">
        <f>IFERROR(__xludf.DUMMYFUNCTION("if(AE25 &lt;&gt; """", 
  LET(
    TargetLevel, VLOOKUP(AE25,MS_Labs_Array,3,false),
    LabSpeed, (1 * REGEXEXTRACT($BH$1, ""[\d.-]+"")) * {IF(AE25 =""Labs Speed"", 1+'Master Sheet'!$BK$5, LAB_SPEED_TOTAL())},
    MaxLevel, VLOOKUP(AE25,MS_Labs_Array,4,false),"&amp;"
    MaxOrTarget, IF(OR(TargetLevel = """",$AD$1 &lt;&gt; ""Target""), MaxLevel, TargetLevel),
    LabLevel, VLOOKUP(AE25,MS_Labs_Array,2,False),
    DVTColumn, MATCH(AE25, DVT_Laboratory!$A$1:BO$1, 0),
    xextTime, INDIRECT(""DVT_Laboratory!"" &amp; ADDRESS(LabLe"&amp;"vel+3, DVTColumn)) / LabSpeed,
    remainingTime, SUM(INDIRECT(""DVT_Laboratory!"" &amp; ADDRESS(LabLevel+3, DVTColumn) &amp; "":"" &amp; ADDRESS(MaxOrTarget+2, DVTColumn))) / LabSpeed,
  AE25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5" s="1249"/>
      <c r="AI25" s="1249" t="str">
        <f>IFERROR(__xludf.DUMMYFUNCTION("""COMPUTED_VALUE"""),"An important part in making PS damage matter and even strong. Great against Ultimate Tanks")</f>
        <v>An important part in making PS damage matter and even strong. Great against Ultimate Tanks</v>
      </c>
      <c r="AJ25" s="1249" t="str">
        <f>IFERROR(__xludf.DUMMYFUNCTION("""COMPUTED_VALUE"""),"Boss Health")</f>
        <v>Boss Health</v>
      </c>
      <c r="AK25" s="1249" t="str">
        <f>IFERROR(__xludf.DUMMYFUNCTION("""COMPUTED_VALUE"""),"Orb Resistance")</f>
        <v>Orb Resistance</v>
      </c>
      <c r="AL25" s="1250" t="str">
        <f>IFERROR(__xludf.DUMMYFUNCTION("if(AK25 &lt;&gt; """", 
  LET( 
    TargetLevel, VLOOKUP(AK25,MS_Labs_Array,3,false),
    MaxLevel, VLOOKUP(AK25,MS_Labs_Array,4,false),
    MaxOrTarget, IF(OR(TargetLevel = """",$AD$1 &lt;&gt; ""Target""), MaxLevel, TargetLevel),
    LabLevel, VLOOKUP(AK25,MS_Labs_A"&amp;"rray,2,False),
    Levelprogress, LabLevel / MaxOrTarget,
    DVTColumn, MATCH(AK25,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5" s="1251" t="str">
        <f>IFERROR(__xludf.DUMMYFUNCTION("if(AK25 &lt;&gt; """", 
  LET(
    TargetLevel, VLOOKUP(AK25,MS_Labs_Array,3,false),
    LabSpeed, (1 * REGEXEXTRACT($BH$1, ""[\d.-]+"")) * {IF(AK25 =""Labs Speed"", 1+'Master Sheet'!$BK$5, LAB_SPEED_TOTAL())},
    MaxLevel, VLOOKUP(AK25,MS_Labs_Array,4,false),"&amp;"
    MaxOrTarget, IF(OR(TargetLevel = """",$AD$1 &lt;&gt; ""Target""), MaxLevel, TargetLevel),
    LabLevel, VLOOKUP(AK25,MS_Labs_Array,2,False),
    DVTColumn, MATCH(AK25, DVT_Laboratory!$A$1:BO$1, 0),
    xextTime, INDIRECT(""DVT_Laboratory!"" &amp; ADDRESS(LabLe"&amp;"vel+3, DVTColumn)) / LabSpeed,
    remainingTime, SUM(INDIRECT(""DVT_Laboratory!"" &amp; ADDRESS(LabLevel+3, DVTColumn) &amp; "":"" &amp; ADDRESS(MaxOrTarget+2, DVTColumn))) / LabSpeed,
  AK25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"""")"),"Orb Resistance
  Lab Level:      0 / 20 (Max)
  Next Level:    0d 20h 35m
  Max Level:     180d  3h 45m")</f>
        <v>Orb Resistance
  Lab Level:      0 / 20 (Max)
  Next Level:    0d 20h 35m
  Max Level:     180d  3h 45m</v>
      </c>
      <c r="AN25" s="1249" t="str">
        <f>IFERROR(__xludf.DUMMYFUNCTION("""COMPUTED_VALUE"""),"Resistances get far weaker than most battle conditions with how they substract the effect")</f>
        <v>Resistances get far weaker than most battle conditions with how they substract the effect</v>
      </c>
      <c r="AO25"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P25" s="1249" t="str">
        <f>IFERROR(__xludf.DUMMYFUNCTION("""COMPUTED_VALUE"""),"Death Wave Damage Amplifier")</f>
        <v>Death Wave Damage Amplifier</v>
      </c>
      <c r="AQ25" s="1249" t="str">
        <f>IFERROR(__xludf.DUMMYFUNCTION("""COMPUTED_VALUE"""),"Ray Enemy Attack")</f>
        <v>Ray Enemy Attack</v>
      </c>
      <c r="AR25" s="1250" t="str">
        <f>IFERROR(__xludf.DUMMYFUNCTION("if(AQ25 &lt;&gt; """", 
  LET( 
    TargetLevel, VLOOKUP(AQ25,MS_Labs_Array,3,false),
    MaxLevel, VLOOKUP(AQ25,MS_Labs_Array,4,false),
    MaxOrTarget, IF(OR(TargetLevel = """",$AD$1 &lt;&gt; ""Target""), MaxLevel, TargetLevel),
    LabLevel, VLOOKUP(AQ25,MS_Labs_A"&amp;"rray,2,False),
    Levelprogress, LabLevel / MaxOrTarget,
    DVTColumn, MATCH(AQ25,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5" s="1251" t="str">
        <f>IFERROR(__xludf.DUMMYFUNCTION("if(AQ25 &lt;&gt; """", 
  LET(
    TargetLevel, VLOOKUP(AQ25,MS_Labs_Array,3,false),
    LabSpeed, (1 * REGEXEXTRACT($BH$1, ""[\d.-]+"")) * {IF(AQ25 =""Labs Speed"", 1+'Master Sheet'!$BK$5, LAB_SPEED_TOTAL())},
    MaxLevel, VLOOKUP(AQ25,MS_Labs_Array,4,false),"&amp;"
    MaxOrTarget, IF(OR(TargetLevel = """",$AD$1 &lt;&gt; ""Target""), MaxLevel, TargetLevel),
    LabLevel, VLOOKUP(AQ25,MS_Labs_Array,2,False),
    DVTColumn, MATCH(AQ25, DVT_Laboratory!$A$1:BO$1, 0),
    xextTime, INDIRECT(""DVT_Laboratory!"" &amp; ADDRESS(LabLe"&amp;"vel+3, DVTColumn)) / LabSpeed,
    remainingTime, SUM(INDIRECT(""DVT_Laboratory!"" &amp; ADDRESS(LabLevel+3, DVTColumn) &amp; "":"" &amp; ADDRESS(MaxOrTarget+2, DVTColumn))) / LabSpeed,
  AQ25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"""")"),"Ray Enemy Attack
  Lab Level:      0 / 30 (Max)
  Next Level:    0d 16h 28m
  Max Level:     319d  3h 13m")</f>
        <v>Ray Enemy Attack
  Lab Level:      0 / 30 (Max)
  Next Level:    0d 16h 28m
  Max Level:     319d  3h 13m</v>
      </c>
      <c r="AT25" s="1249"/>
      <c r="AU25" s="1249" t="str">
        <f>IFERROR(__xludf.DUMMYFUNCTION("""COMPUTED_VALUE"""),"Niche use with Ring or Max Devo farming. Decent for bosses with DW+")</f>
        <v>Niche use with Ring or Max Devo farming. Decent for bosses with DW+</v>
      </c>
      <c r="AV25" s="1249" t="str">
        <f>IFERROR(__xludf.DUMMYFUNCTION("""COMPUTED_VALUE"""),"Swamp Radius")</f>
        <v>Swamp Radius</v>
      </c>
      <c r="AW25" s="1249" t="str">
        <f>IFERROR(__xludf.DUMMYFUNCTION("""COMPUTED_VALUE"""),"Ranged Enemy Attack")</f>
        <v>Ranged Enemy Attack</v>
      </c>
      <c r="AX25" s="1250" t="str">
        <f>IFERROR(__xludf.DUMMYFUNCTION("if(AW25 &lt;&gt; """", 
  LET( 
    TargetLevel, VLOOKUP(AW25,MS_Labs_Array,3,false),
    MaxLevel, VLOOKUP(AW25,MS_Labs_Array,4,false),
    MaxOrTarget, IF(OR(TargetLevel = """",$AD$1 &lt;&gt; ""Target""), MaxLevel, TargetLevel),
    LabLevel, VLOOKUP(AW25,MS_Labs_A"&amp;"rray,2,False),
    Levelprogress, LabLevel / MaxOrTarget,
    DVTColumn, MATCH(AW25,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5" s="1251" t="str">
        <f>IFERROR(__xludf.DUMMYFUNCTION("if(AW25 &lt;&gt; """", 
  LET(
    TargetLevel, VLOOKUP(AW25,MS_Labs_Array,3,false),
    LabSpeed, (1 * REGEXEXTRACT($BH$1, ""[\d.-]+"")) * {IF(AW25 =""Labs Speed"", 1+'Master Sheet'!$BK$5, LAB_SPEED_TOTAL())},
    MaxLevel, VLOOKUP(AW25,MS_Labs_Array,4,false),"&amp;"
    MaxOrTarget, IF(OR(TargetLevel = """",$AD$1 &lt;&gt; ""Target""), MaxLevel, TargetLevel),
    LabLevel, VLOOKUP(AW25,MS_Labs_Array,2,False),
    DVTColumn, MATCH(AW25, DVT_Laboratory!$A$1:BO$1, 0),
    xextTime, INDIRECT(""DVT_Laboratory!"" &amp; ADDRESS(LabLe"&amp;"vel+3, DVTColumn)) / LabSpeed,
    remainingTime, SUM(INDIRECT(""DVT_Laboratory!"" &amp; ADDRESS(LabLevel+3, DVTColumn) &amp; "":"" &amp; ADDRESS(MaxOrTarget+2, DVTColumn))) / LabSpeed,
  AW25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"""")"),"Ranged Enemy Attack
  Lab Level:      0 / 30 (Max)
  Next Level:    0d  3h 31m
  Max Level:     78d 13h  3m")</f>
        <v>Ranged Enemy Attack
  Lab Level:      0 / 30 (Max)
  Next Level:    0d  3h 31m
  Max Level:     78d 13h  3m</v>
      </c>
      <c r="AZ25"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A25" s="1249" t="str">
        <f>IFERROR(__xludf.DUMMYFUNCTION("""COMPUTED_VALUE"""),"Potential footgun regarding where the enemy gets stunned. Proceed with caution. Can be partly counteracted by using a higher range")</f>
        <v>Potential footgun regarding where the enemy gets stunned. Proceed with caution. Can be partly counteracted by using a higher range</v>
      </c>
      <c r="BB25" s="1249"/>
      <c r="BC25" s="1249"/>
      <c r="BD25" s="1250" t="str">
        <f>IFERROR(__xludf.DUMMYFUNCTION("if(BC25 &lt;&gt; """", 
  LET( 
    TargetLevel, VLOOKUP(BC25,MS_Labs_Array,3,false),
    MaxLevel, VLOOKUP(BC25,MS_Labs_Array,4,false),
    MaxOrTarget, IF(OR(TargetLevel = """",$AD$1 &lt;&gt; ""Target""), MaxLevel, TargetLevel),
    LabLevel, VLOOKUP(BC25,MS_Labs_A"&amp;"rray,2,False),
    Levelprogress, LabLevel / MaxOrTarget,
    DVTColumn, MATCH(BC25,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5" s="1251" t="str">
        <f>IFERROR(__xludf.DUMMYFUNCTION("if(BC25 &lt;&gt; """", 
  LET(
    TargetLevel, VLOOKUP(BC25,MS_Labs_Array,3,false),
    LabSpeed, (1 * REGEXEXTRACT($BH$1, ""[\d.-]+"")) * {IF(BC25 =""Labs Speed"", 1+'Master Sheet'!$BK$5, LAB_SPEED_TOTAL())},
    MaxLevel, VLOOKUP(BC25,MS_Labs_Array,4,false),"&amp;"
    MaxOrTarget, IF(OR(TargetLevel = """",$AD$1 &lt;&gt; ""Target""), MaxLevel, TargetLevel),
    LabLevel, VLOOKUP(BC25,MS_Labs_Array,2,False),
    DVTColumn, MATCH(BC25, DVT_Laboratory!$A$1:BO$1, 0),
    xextTime, INDIRECT(""DVT_Laboratory!"" &amp; ADDRESS(LabLe"&amp;"vel+3, DVTColumn)) / LabSpeed,
    remainingTime, SUM(INDIRECT(""DVT_Laboratory!"" &amp; ADDRESS(LabLevel+3, DVTColumn) &amp; "":"" &amp; ADDRESS(MaxOrTarget+2, DVTColumn))) / LabSpeed,
  BC25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5" s="1249"/>
      <c r="BG25" s="1249"/>
      <c r="BH25" s="1260" t="str">
        <f>IFERROR(__xludf.DUMMYFUNCTION("""COMPUTED_VALUE"""),"Orb Boss Hit")</f>
        <v>Orb Boss Hit</v>
      </c>
      <c r="BI25" s="1252" t="str">
        <f>IFERROR(__xludf.DUMMYFUNCTION("""COMPUTED_VALUE"""),"Death Wave Health")</f>
        <v>Death Wave Health</v>
      </c>
      <c r="BJ25" s="1253" t="str">
        <f>IFERROR(__xludf.DUMMYFUNCTION("if(BI25 &lt;&gt; """", 
  LET( 
    TargetLevel, VLOOKUP(BI25,MS_Labs_Array,3,false),
    MaxLevel, VLOOKUP(BI25,MS_Labs_Array,4,false),
    MaxOrTarget, IF(OR(TargetLevel = """",$AD$1 &lt;&gt; ""Target""), MaxLevel, TargetLevel),
    LabLevel, VLOOKUP(BI25,MS_Labs_A"&amp;"rray,2,False),
    Levelprogress, IF(LabLevel &gt;= MaxOrTarget, 1, LabLevel / MaxOrTarget),
    DVTColumn, MATCH(BI25,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5" s="1254" t="str">
        <f>IFERROR(__xludf.DUMMYFUNCTION("if(BI25 &lt;&gt; """", 
  LET(
    TargetLevel, VLOOKUP(BI25,MS_Labs_Array,3,false),
    LabSpeed, (1 * REGEXEXTRACT($BH$1, ""[\d.-]+"")) * {IF(BI25 =""Labs Speed"", 1+'Master Sheet'!$BK$5, LAB_SPEED_TOTAL())},
    MaxLevel, VLOOKUP(BI25,MS_Labs_Array,4,false),"&amp;"
    MaxOrTarget, IF(OR(TargetLevel = """",$AD$1 &lt;&gt; ""Target""), MaxLevel, TargetLevel),
    LabLevel, VLOOKUP(BI25,MS_Labs_Array,2,False),
    DVTColumn, MATCH(BI25, DVT_Laboratory!$A$1:BO$1, 0),
    xextTime, INDIRECT(""DVT_Laboratory!"" &amp; ADDRESS(LabLe"&amp;"vel+3, DVTColumn)) / LabSpeed,
    remainingTime, SUM(INDIRECT(""DVT_Laboratory!"" &amp; ADDRESS(LabLevel+3, DVTColumn) &amp; "":"" &amp; ADDRESS(MaxOrTarget+2, DVTColumn))) / LabSpeed,
  BI25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"""")"),"Death Wave Health
  Lab Level:      30 / 30 (Max)
  Next Level:    
  Max Level:     1d  2h 15m")</f>
        <v>Death Wave Health
  Lab Level:      30 / 30 (Max)
  Next Level:    
  Max Level:     1d  2h 15m</v>
      </c>
      <c r="BL25" s="1252" t="str">
        <f>IFERROR(__xludf.DUMMYFUNCTION("""COMPUTED_VALUE"""),"Very good for farm, dubious use in tourney")</f>
        <v>Very good for farm, dubious use in tourney</v>
      </c>
      <c r="BM25" s="1252" t="str">
        <f>IFERROR(__xludf.DUMMYFUNCTION("""COMPUTED_VALUE"""),"Mostly useless until you have developed CC to force bosses to stay in orb line longer")</f>
        <v>Mostly useless until you have developed CC to force bosses to stay in orb line longer</v>
      </c>
      <c r="BN25" s="1222"/>
      <c r="BO25" s="1261"/>
    </row>
    <row r="26" ht="7.5" customHeight="1">
      <c r="A26" s="1222"/>
      <c r="B26" s="1262" t="s">
        <v>558</v>
      </c>
      <c r="C26" s="1283" t="s">
        <v>228</v>
      </c>
      <c r="D26" s="1280" t="str">
        <f>VLOOKUP(C26,'Remote Tier List'!A:D, 2, FALSE)</f>
        <v>C</v>
      </c>
      <c r="E26" s="1281" t="str">
        <f>VLOOKUP(C26,'Remote Tier List'!A:D, 3, FALSE)</f>
        <v/>
      </c>
      <c r="F26" s="1284" t="str">
        <f>VLOOKUP(C26,'Remote Tier List'!A:D, 4, FALSE)</f>
        <v>Gets VERY long for little benefit</v>
      </c>
      <c r="G26" s="1245" t="b">
        <f t="shared" si="12"/>
        <v>1</v>
      </c>
      <c r="H26" s="1246" t="str">
        <f t="array" ref="H26:I26">LET(
  Lab, $C26,
  Mode, $AD$1,
  Level, VLOOKUP(Lab, MS_Labs_Array, 2, FALSE),
  Target, VLOOKUP(Lab, MS_Labs_Array, 3, FALSE),
  Max, VLOOKUP(Lab, MS_Labs_Array, 4, FALSE),
  Result,
    IF(
      AND(
        Mode &lt;&gt; "Never",
        Level &gt;= IF(OR(Target = "", Mode = "Max"), Max, Target)
      ),
      "Completed",
      ""
    ),
  HSTACK(
    IF(Result &lt;&gt; "", Result, $D26),
    IF(Result &lt;&gt; "", Result, IF($E26 = "", $D26, $E26))
  )
)</f>
        <v>C</v>
      </c>
      <c r="I26" s="1247" t="s">
        <v>547</v>
      </c>
      <c r="J26" s="1248" t="str">
        <f t="shared" si="13"/>
        <v>Gets VERY long for little benefit</v>
      </c>
      <c r="K26" s="1229"/>
      <c r="L26" s="1249" t="str">
        <f>IFERROR(__xludf.DUMMYFUNCTION("""COMPUTED_VALUE"""),"")</f>
        <v/>
      </c>
      <c r="M26" s="1249"/>
      <c r="N26" s="1250" t="str">
        <f>IFERROR(__xludf.DUMMYFUNCTION("if(M26 &lt;&gt; """", 
  LET( 
    TargetLevel, VLOOKUP(M26,MS_Labs_Array,3,false),
    MaxLevel, VLOOKUP(M26,MS_Labs_Array,4,false),
    MaxOrTarget, IF(OR(TargetLevel = """",$AD$1 &lt;&gt; ""Target""), MaxLevel, TargetLevel),
    LabLevel, VLOOKUP(M26,MS_Labs_Array"&amp;",2,False),
    Levelprogress, LabLevel / MaxOrTarget,
    DVTColumn, MATCH(M26,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6" s="1251" t="str">
        <f>IFERROR(__xludf.DUMMYFUNCTION("if(M26 &lt;&gt; """", 
  LET(
    TargetLevel, VLOOKUP(M26,MS_Labs_Array,3,false),
    LabSpeed, (1 * REGEXEXTRACT($BH$1, ""[\d.-]+"")) * {IF(M26 =""Labs Speed"", 1+'Master Sheet'!$BK$5, LAB_SPEED_TOTAL())},
    MaxLevel, VLOOKUP(M26,MS_Labs_Array,4,false),
   "&amp;" MaxOrTarget, IF(OR(TargetLevel = """",$AD$1 &lt;&gt; ""Target""), MaxLevel, TargetLevel),
    LabLevel, VLOOKUP(M26,MS_Labs_Array,2,False),
    DVTColumn, MATCH(M26, DVT_Laboratory!$A$1:BO$1, 0),
    xextTime, INDIRECT(""DVT_Laboratory!"" &amp; ADDRESS(LabLevel+3,"&amp;" DVTColumn)) / LabSpeed,
    remainingTime, SUM(INDIRECT(""DVT_Laboratory!"" &amp; ADDRESS(LabLevel+3, DVTColumn) &amp; "":"" &amp; ADDRESS(MaxOrTarget+2, DVTColumn))) / LabSpeed,
  M26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6" s="1249"/>
      <c r="Q26" s="1249" t="str">
        <f>IFERROR(__xludf.DUMMYFUNCTION("""COMPUTED_VALUE"""),"")</f>
        <v/>
      </c>
      <c r="R26" s="1249" t="str">
        <f>IFERROR(__xludf.DUMMYFUNCTION("""COMPUTED_VALUE"""),"")</f>
        <v/>
      </c>
      <c r="S26" s="1249"/>
      <c r="T26" s="1250" t="str">
        <f>IFERROR(__xludf.DUMMYFUNCTION("if(S26 &lt;&gt; """", 
  LET( 
    TargetLevel, VLOOKUP(S26,MS_Labs_Array,3,false),
    MaxLevel, VLOOKUP(S26,MS_Labs_Array,4,false),
    MaxOrTarget, IF(OR(TargetLevel = """",$AD$1 &lt;&gt; ""Target""), MaxLevel, TargetLevel),
    LabLevel, VLOOKUP(S26,MS_Labs_Array"&amp;",2,False),
    Levelprogress, LabLevel / MaxOrTarget,
    DVTColumn, MATCH(S26,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6" s="1251" t="str">
        <f>IFERROR(__xludf.DUMMYFUNCTION("if(S26 &lt;&gt; """", 
  LET(
    TargetLevel, VLOOKUP(S26,MS_Labs_Array,3,false),
    LabSpeed, (1 * REGEXEXTRACT($BH$1, ""[\d.-]+"")) * {IF(S26 =""Labs Speed"", 1+'Master Sheet'!$BK$5, LAB_SPEED_TOTAL())},
    MaxLevel, VLOOKUP(S26,MS_Labs_Array,4,false),
   "&amp;" MaxOrTarget, IF(OR(TargetLevel = """",$AD$1 &lt;&gt; ""Target""), MaxLevel, TargetLevel),
    LabLevel, VLOOKUP(S26,MS_Labs_Array,2,False),
    DVTColumn, MATCH(S26, DVT_Laboratory!$A$1:BO$1, 0),
    xextTime, INDIRECT(""DVT_Laboratory!"" &amp; ADDRESS(LabLevel+3,"&amp;" DVTColumn)) / LabSpeed,
    remainingTime, SUM(INDIRECT(""DVT_Laboratory!"" &amp; ADDRESS(LabLevel+3, DVTColumn) &amp; "":"" &amp; ADDRESS(MaxOrTarget+2, DVTColumn))) / LabSpeed,
  S26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6" s="1249"/>
      <c r="W26" s="1249" t="str">
        <f>IFERROR(__xludf.DUMMYFUNCTION("""COMPUTED_VALUE"""),"")</f>
        <v/>
      </c>
      <c r="X26" s="1249" t="str">
        <f>IFERROR(__xludf.DUMMYFUNCTION("""COMPUTED_VALUE"""),"")</f>
        <v/>
      </c>
      <c r="Y26" s="1249" t="str">
        <f>IFERROR(__xludf.DUMMYFUNCTION("""COMPUTED_VALUE"""),"Ban Perks")</f>
        <v>Ban Perks</v>
      </c>
      <c r="Z26" s="1250" t="str">
        <f>IFERROR(__xludf.DUMMYFUNCTION("if(Y26 &lt;&gt; """", 
  LET( 
    TargetLevel, VLOOKUP(Y26,MS_Labs_Array,3,false),
    MaxLevel, VLOOKUP(Y26,MS_Labs_Array,4,false),
    MaxOrTarget, IF(OR(TargetLevel = """",$AD$1 &lt;&gt; ""Target""), MaxLevel, TargetLevel),
    LabLevel, VLOOKUP(Y26,MS_Labs_Array"&amp;",2,False),
    Levelprogress, LabLevel / MaxOrTarget,
    DVTColumn, MATCH(Y26,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6" s="1251" t="str">
        <f>IFERROR(__xludf.DUMMYFUNCTION("if(Y26 &lt;&gt; """", 
  LET(
    TargetLevel, VLOOKUP(Y26,MS_Labs_Array,3,false),
    LabSpeed, (1 * REGEXEXTRACT($BH$1, ""[\d.-]+"")) * {IF(Y26 =""Labs Speed"", 1+'Master Sheet'!$BK$5, LAB_SPEED_TOTAL())},
    MaxLevel, VLOOKUP(Y26,MS_Labs_Array,4,false),
   "&amp;" MaxOrTarget, IF(OR(TargetLevel = """",$AD$1 &lt;&gt; ""Target""), MaxLevel, TargetLevel),
    LabLevel, VLOOKUP(Y26,MS_Labs_Array,2,False),
    DVTColumn, MATCH(Y26, DVT_Laboratory!$A$1:BO$1, 0),
    xextTime, INDIRECT(""DVT_Laboratory!"" &amp; ADDRESS(LabLevel+3,"&amp;" DVTColumn)) / LabSpeed,
    remainingTime, SUM(INDIRECT(""DVT_Laboratory!"" &amp; ADDRESS(LabLevel+3, DVTColumn) &amp; "":"" &amp; ADDRESS(MaxOrTarget+2, DVTColumn))) / LabSpeed,
  Y26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"""")"),"Ban Perks
  Lab Level:      6 / 8 (Max)
  Next Level:    10d 14h 12m
  Max Level:     31d 18h 36m")</f>
        <v>Ban Perks
  Lab Level:      6 / 8 (Max)
  Next Level:    10d 14h 12m
  Max Level:     31d 18h 36m</v>
      </c>
      <c r="AB26" s="1249" t="str">
        <f>IFERROR(__xludf.DUMMYFUNCTION("""COMPUTED_VALUE"""),"Allows you to ban perks that are useless or detrimental to your runs, do not ban Coin Trade Off")</f>
        <v>Allows you to ban perks that are useless or detrimental to your runs, do not ban Coin Trade Off</v>
      </c>
      <c r="AC26" s="1249" t="str">
        <f>IFERROR(__xludf.DUMMYFUNCTION("""COMPUTED_VALUE"""),"Coins / Kill Bonus
  Lab Level:      87 / 99 (Max)
  Next Level:    2d  8h 16m
  Max Level:     32d 15h 38m")</f>
        <v>Coins / Kill Bonus
  Lab Level:      87 / 99 (Max)
  Next Level:    2d  8h 16m
  Max Level:     32d 15h 38m</v>
      </c>
      <c r="AD26" s="1249" t="str">
        <f>IFERROR(__xludf.DUMMYFUNCTION("""COMPUTED_VALUE"""),"")</f>
        <v/>
      </c>
      <c r="AE26" s="1249"/>
      <c r="AF26" s="1250" t="str">
        <f>IFERROR(__xludf.DUMMYFUNCTION("if(AE26 &lt;&gt; """", 
  LET( 
    TargetLevel, VLOOKUP(AE26,MS_Labs_Array,3,false),
    MaxLevel, VLOOKUP(AE26,MS_Labs_Array,4,false),
    MaxOrTarget, IF(OR(TargetLevel = """",$AD$1 &lt;&gt; ""Target""), MaxLevel, TargetLevel),
    LabLevel, VLOOKUP(AE26,MS_Labs_A"&amp;"rray,2,False),
    Levelprogress, LabLevel / MaxOrTarget,
    DVTColumn, MATCH(AE26,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6" s="1251" t="str">
        <f>IFERROR(__xludf.DUMMYFUNCTION("if(AE26 &lt;&gt; """", 
  LET(
    TargetLevel, VLOOKUP(AE26,MS_Labs_Array,3,false),
    LabSpeed, (1 * REGEXEXTRACT($BH$1, ""[\d.-]+"")) * {IF(AE26 =""Labs Speed"", 1+'Master Sheet'!$BK$5, LAB_SPEED_TOTAL())},
    MaxLevel, VLOOKUP(AE26,MS_Labs_Array,4,false),"&amp;"
    MaxOrTarget, IF(OR(TargetLevel = """",$AD$1 &lt;&gt; ""Target""), MaxLevel, TargetLevel),
    LabLevel, VLOOKUP(AE26,MS_Labs_Array,2,False),
    DVTColumn, MATCH(AE26, DVT_Laboratory!$A$1:BO$1, 0),
    xextTime, INDIRECT(""DVT_Laboratory!"" &amp; ADDRESS(LabLe"&amp;"vel+3, DVTColumn)) / LabSpeed,
    remainingTime, SUM(INDIRECT(""DVT_Laboratory!"" &amp; ADDRESS(LabLevel+3, DVTColumn) &amp; "":"" &amp; ADDRESS(MaxOrTarget+2, DVTColumn))) / LabSpeed,
  AE26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6" s="1249"/>
      <c r="AI26" s="1249" t="str">
        <f>IFERROR(__xludf.DUMMYFUNCTION("""COMPUTED_VALUE"""),"Swamp Rend
  Lab Level:      0 / 30 (Max)
  Next Level:    0d 12h 42m
  Max Level:     127d 19h 20m")</f>
        <v>Swamp Rend
  Lab Level:      0 / 30 (Max)
  Next Level:    0d 12h 42m
  Max Level:     127d 19h 20m</v>
      </c>
      <c r="AJ26" s="1249" t="str">
        <f>IFERROR(__xludf.DUMMYFUNCTION("""COMPUTED_VALUE"""),"")</f>
        <v/>
      </c>
      <c r="AK26" s="1249" t="str">
        <f>IFERROR(__xludf.DUMMYFUNCTION("""COMPUTED_VALUE"""),"Plasma Cannon Resistance")</f>
        <v>Plasma Cannon Resistance</v>
      </c>
      <c r="AL26" s="1250" t="str">
        <f>IFERROR(__xludf.DUMMYFUNCTION("if(AK26 &lt;&gt; """", 
  LET( 
    TargetLevel, VLOOKUP(AK26,MS_Labs_Array,3,false),
    MaxLevel, VLOOKUP(AK26,MS_Labs_Array,4,false),
    MaxOrTarget, IF(OR(TargetLevel = """",$AD$1 &lt;&gt; ""Target""), MaxLevel, TargetLevel),
    LabLevel, VLOOKUP(AK26,MS_Labs_A"&amp;"rray,2,False),
    Levelprogress, LabLevel / MaxOrTarget,
    DVTColumn, MATCH(AK26,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6" s="1251" t="str">
        <f>IFERROR(__xludf.DUMMYFUNCTION("if(AK26 &lt;&gt; """", 
  LET(
    TargetLevel, VLOOKUP(AK26,MS_Labs_Array,3,false),
    LabSpeed, (1 * REGEXEXTRACT($BH$1, ""[\d.-]+"")) * {IF(AK26 =""Labs Speed"", 1+'Master Sheet'!$BK$5, LAB_SPEED_TOTAL())},
    MaxLevel, VLOOKUP(AK26,MS_Labs_Array,4,false),"&amp;"
    MaxOrTarget, IF(OR(TargetLevel = """",$AD$1 &lt;&gt; ""Target""), MaxLevel, TargetLevel),
    LabLevel, VLOOKUP(AK26,MS_Labs_Array,2,False),
    DVTColumn, MATCH(AK26, DVT_Laboratory!$A$1:BO$1, 0),
    xextTime, INDIRECT(""DVT_Laboratory!"" &amp; ADDRESS(LabLe"&amp;"vel+3, DVTColumn)) / LabSpeed,
    remainingTime, SUM(INDIRECT(""DVT_Laboratory!"" &amp; ADDRESS(LabLevel+3, DVTColumn) &amp; "":"" &amp; ADDRESS(MaxOrTarget+2, DVTColumn))) / LabSpeed,
  AK26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"""")"),"Plasma Cannon Resistance
  Lab Level:      0 / 20 (Max)
  Next Level:    0d 20h 35m
  Max Level:     180d  3h 45m")</f>
        <v>Plasma Cannon Resistance
  Lab Level:      0 / 20 (Max)
  Next Level:    0d 20h 35m
  Max Level:     180d  3h 45m</v>
      </c>
      <c r="AN26" s="1249" t="str">
        <f>IFERROR(__xludf.DUMMYFUNCTION("""COMPUTED_VALUE"""),"Resistances get far weaker than most battle conditions with how they substract the effect")</f>
        <v>Resistances get far weaker than most battle conditions with how they substract the effect</v>
      </c>
      <c r="AO26" s="1249" t="str">
        <f>IFERROR(__xludf.DUMMYFUNCTION("""COMPUTED_VALUE"""),"Boss Health
  Lab Level:      0 / 30 (Max)
  Next Level:    0d  3h 31m
  Max Level:     78d 13h  3m")</f>
        <v>Boss Health
  Lab Level:      0 / 30 (Max)
  Next Level:    0d  3h 31m
  Max Level:     78d 13h  3m</v>
      </c>
      <c r="AP26" s="1249" t="str">
        <f>IFERROR(__xludf.DUMMYFUNCTION("""COMPUTED_VALUE"""),"")</f>
        <v/>
      </c>
      <c r="AQ26" s="1249" t="str">
        <f>IFERROR(__xludf.DUMMYFUNCTION("""COMPUTED_VALUE"""),"Scatter Enemy Attack")</f>
        <v>Scatter Enemy Attack</v>
      </c>
      <c r="AR26" s="1250" t="str">
        <f>IFERROR(__xludf.DUMMYFUNCTION("if(AQ26 &lt;&gt; """", 
  LET( 
    TargetLevel, VLOOKUP(AQ26,MS_Labs_Array,3,false),
    MaxLevel, VLOOKUP(AQ26,MS_Labs_Array,4,false),
    MaxOrTarget, IF(OR(TargetLevel = """",$AD$1 &lt;&gt; ""Target""), MaxLevel, TargetLevel),
    LabLevel, VLOOKUP(AQ26,MS_Labs_A"&amp;"rray,2,False),
    Levelprogress, LabLevel / MaxOrTarget,
    DVTColumn, MATCH(AQ26,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6" s="1251" t="str">
        <f>IFERROR(__xludf.DUMMYFUNCTION("if(AQ26 &lt;&gt; """", 
  LET(
    TargetLevel, VLOOKUP(AQ26,MS_Labs_Array,3,false),
    LabSpeed, (1 * REGEXEXTRACT($BH$1, ""[\d.-]+"")) * {IF(AQ26 =""Labs Speed"", 1+'Master Sheet'!$BK$5, LAB_SPEED_TOTAL())},
    MaxLevel, VLOOKUP(AQ26,MS_Labs_Array,4,false),"&amp;"
    MaxOrTarget, IF(OR(TargetLevel = """",$AD$1 &lt;&gt; ""Target""), MaxLevel, TargetLevel),
    LabLevel, VLOOKUP(AQ26,MS_Labs_Array,2,False),
    DVTColumn, MATCH(AQ26, DVT_Laboratory!$A$1:BO$1, 0),
    xextTime, INDIRECT(""DVT_Laboratory!"" &amp; ADDRESS(LabLe"&amp;"vel+3, DVTColumn)) / LabSpeed,
    remainingTime, SUM(INDIRECT(""DVT_Laboratory!"" &amp; ADDRESS(LabLevel+3, DVTColumn) &amp; "":"" &amp; ADDRESS(MaxOrTarget+2, DVTColumn))) / LabSpeed,
  AQ26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"""")"),"Scatter Enemy Attack
  Lab Level:      0 / 30 (Max)
  Next Level:    0d 16h 28m
  Max Level:     319d  3h 13m")</f>
        <v>Scatter Enemy Attack
  Lab Level:      0 / 30 (Max)
  Next Level:    0d 16h 28m
  Max Level:     319d  3h 13m</v>
      </c>
      <c r="AT26" s="1249"/>
      <c r="AU26" s="1249" t="str">
        <f>IFERROR(__xludf.DUMMYFUNCTION("""COMPUTED_VALUE"""),"Death Wave Damage Amplifier
  Lab Level:      2 / 30 (Max)
  Next Level:    0d 15h 56m
  Max Level:     126d 16h 58m")</f>
        <v>Death Wave Damage Amplifier
  Lab Level:      2 / 30 (Max)
  Next Level:    0d 15h 56m
  Max Level:     126d 16h 58m</v>
      </c>
      <c r="AV26" s="1249" t="str">
        <f>IFERROR(__xludf.DUMMYFUNCTION("""COMPUTED_VALUE"""),"")</f>
        <v/>
      </c>
      <c r="AW26" s="1249" t="str">
        <f>IFERROR(__xludf.DUMMYFUNCTION("""COMPUTED_VALUE"""),"Boss Attack")</f>
        <v>Boss Attack</v>
      </c>
      <c r="AX26" s="1250" t="str">
        <f>IFERROR(__xludf.DUMMYFUNCTION("if(AW26 &lt;&gt; """", 
  LET( 
    TargetLevel, VLOOKUP(AW26,MS_Labs_Array,3,false),
    MaxLevel, VLOOKUP(AW26,MS_Labs_Array,4,false),
    MaxOrTarget, IF(OR(TargetLevel = """",$AD$1 &lt;&gt; ""Target""), MaxLevel, TargetLevel),
    LabLevel, VLOOKUP(AW26,MS_Labs_A"&amp;"rray,2,False),
    Levelprogress, LabLevel / MaxOrTarget,
    DVTColumn, MATCH(AW26,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6" s="1251" t="str">
        <f>IFERROR(__xludf.DUMMYFUNCTION("if(AW26 &lt;&gt; """", 
  LET(
    TargetLevel, VLOOKUP(AW26,MS_Labs_Array,3,false),
    LabSpeed, (1 * REGEXEXTRACT($BH$1, ""[\d.-]+"")) * {IF(AW26 =""Labs Speed"", 1+'Master Sheet'!$BK$5, LAB_SPEED_TOTAL())},
    MaxLevel, VLOOKUP(AW26,MS_Labs_Array,4,false),"&amp;"
    MaxOrTarget, IF(OR(TargetLevel = """",$AD$1 &lt;&gt; ""Target""), MaxLevel, TargetLevel),
    LabLevel, VLOOKUP(AW26,MS_Labs_Array,2,False),
    DVTColumn, MATCH(AW26, DVT_Laboratory!$A$1:BO$1, 0),
    xextTime, INDIRECT(""DVT_Laboratory!"" &amp; ADDRESS(LabLe"&amp;"vel+3, DVTColumn)) / LabSpeed,
    remainingTime, SUM(INDIRECT(""DVT_Laboratory!"" &amp; ADDRESS(LabLevel+3, DVTColumn) &amp; "":"" &amp; ADDRESS(MaxOrTarget+2, DVTColumn))) / LabSpeed,
  AW26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"""")"),"Boss Attack
  Lab Level:      0 / 30 (Max)
  Next Level:    0d  3h 31m
  Max Level:     78d 13h  3m")</f>
        <v>Boss Attack
  Lab Level:      0 / 30 (Max)
  Next Level:    0d  3h 31m
  Max Level:     78d 13h  3m</v>
      </c>
      <c r="AZ26"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A26" s="1249" t="str">
        <f>IFERROR(__xludf.DUMMYFUNCTION("""COMPUTED_VALUE"""),"Swamp Radius
  Lab Level:      0 / 30 (Max)
  Next Level:    0d  1h 16m
  Max Level:     52d 10h 56m")</f>
        <v>Swamp Radius
  Lab Level:      0 / 30 (Max)
  Next Level:    0d  1h 16m
  Max Level:     52d 10h 56m</v>
      </c>
      <c r="BB26" s="1249" t="str">
        <f>IFERROR(__xludf.DUMMYFUNCTION("""COMPUTED_VALUE"""),"")</f>
        <v/>
      </c>
      <c r="BC26" s="1249"/>
      <c r="BD26" s="1250" t="str">
        <f>IFERROR(__xludf.DUMMYFUNCTION("if(BC26 &lt;&gt; """", 
  LET( 
    TargetLevel, VLOOKUP(BC26,MS_Labs_Array,3,false),
    MaxLevel, VLOOKUP(BC26,MS_Labs_Array,4,false),
    MaxOrTarget, IF(OR(TargetLevel = """",$AD$1 &lt;&gt; ""Target""), MaxLevel, TargetLevel),
    LabLevel, VLOOKUP(BC26,MS_Labs_A"&amp;"rray,2,False),
    Levelprogress, LabLevel / MaxOrTarget,
    DVTColumn, MATCH(BC26,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6" s="1251" t="str">
        <f>IFERROR(__xludf.DUMMYFUNCTION("if(BC26 &lt;&gt; """", 
  LET(
    TargetLevel, VLOOKUP(BC26,MS_Labs_Array,3,false),
    LabSpeed, (1 * REGEXEXTRACT($BH$1, ""[\d.-]+"")) * {IF(BC26 =""Labs Speed"", 1+'Master Sheet'!$BK$5, LAB_SPEED_TOTAL())},
    MaxLevel, VLOOKUP(BC26,MS_Labs_Array,4,false),"&amp;"
    MaxOrTarget, IF(OR(TargetLevel = """",$AD$1 &lt;&gt; ""Target""), MaxLevel, TargetLevel),
    LabLevel, VLOOKUP(BC26,MS_Labs_Array,2,False),
    DVTColumn, MATCH(BC26, DVT_Laboratory!$A$1:BO$1, 0),
    xextTime, INDIRECT(""DVT_Laboratory!"" &amp; ADDRESS(LabLe"&amp;"vel+3, DVTColumn)) / LabSpeed,
    remainingTime, SUM(INDIRECT(""DVT_Laboratory!"" &amp; ADDRESS(LabLevel+3, DVTColumn) &amp; "":"" &amp; ADDRESS(MaxOrTarget+2, DVTColumn))) / LabSpeed,
  BC26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6" s="1249"/>
      <c r="BG26" s="1249" t="str">
        <f>IFERROR(__xludf.DUMMYFUNCTION("""COMPUTED_VALUE"""),"")</f>
        <v/>
      </c>
      <c r="BH26" s="1260" t="str">
        <f>IFERROR(__xludf.DUMMYFUNCTION("""COMPUTED_VALUE"""),"")</f>
        <v/>
      </c>
      <c r="BI26" s="1252" t="str">
        <f>IFERROR(__xludf.DUMMYFUNCTION("""COMPUTED_VALUE"""),"Death Wave Coin Bonus")</f>
        <v>Death Wave Coin Bonus</v>
      </c>
      <c r="BJ26" s="1253" t="str">
        <f>IFERROR(__xludf.DUMMYFUNCTION("if(BI26 &lt;&gt; """", 
  LET( 
    TargetLevel, VLOOKUP(BI26,MS_Labs_Array,3,false),
    MaxLevel, VLOOKUP(BI26,MS_Labs_Array,4,false),
    MaxOrTarget, IF(OR(TargetLevel = """",$AD$1 &lt;&gt; ""Target""), MaxLevel, TargetLevel),
    LabLevel, VLOOKUP(BI26,MS_Labs_A"&amp;"rray,2,False),
    Levelprogress, IF(LabLevel &gt;= MaxOrTarget, 1, LabLevel / MaxOrTarget),
    DVTColumn, MATCH(BI26,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6" s="1254" t="str">
        <f>IFERROR(__xludf.DUMMYFUNCTION("if(BI26 &lt;&gt; """", 
  LET(
    TargetLevel, VLOOKUP(BI26,MS_Labs_Array,3,false),
    LabSpeed, (1 * REGEXEXTRACT($BH$1, ""[\d.-]+"")) * {IF(BI26 =""Labs Speed"", 1+'Master Sheet'!$BK$5, LAB_SPEED_TOTAL())},
    MaxLevel, VLOOKUP(BI26,MS_Labs_Array,4,false),"&amp;"
    MaxOrTarget, IF(OR(TargetLevel = """",$AD$1 &lt;&gt; ""Target""), MaxLevel, TargetLevel),
    LabLevel, VLOOKUP(BI26,MS_Labs_Array,2,False),
    DVTColumn, MATCH(BI26, DVT_Laboratory!$A$1:BO$1, 0),
    xextTime, INDIRECT(""DVT_Laboratory!"" &amp; ADDRESS(LabLe"&amp;"vel+3, DVTColumn)) / LabSpeed,
    remainingTime, SUM(INDIRECT(""DVT_Laboratory!"" &amp; ADDRESS(LabLevel+3, DVTColumn) &amp; "":"" &amp; ADDRESS(MaxOrTarget+2, DVTColumn))) / LabSpeed,
  BI26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"""")"),"Death Wave Coin Bonus
  Lab Level:      20 / 20 (Max)
  Next Level:    
  Max Level:     2d  0h 16m")</f>
        <v>Death Wave Coin Bonus
  Lab Level:      20 / 20 (Max)
  Next Level:    
  Max Level:     2d  0h 16m</v>
      </c>
      <c r="BL26" s="1252" t="str">
        <f>IFERROR(__xludf.DUMMYFUNCTION("""COMPUTED_VALUE"""),"More econ always good")</f>
        <v>More econ always good</v>
      </c>
      <c r="BM26" s="1252" t="str">
        <f>IFERROR(__xludf.DUMMYFUNCTION("""COMPUTED_VALUE"""),"Orb Boss Hit
  Lab Level:      10 / 10 (Max)
  Next Level:    
  Max Level:     0d  9h 53m")</f>
        <v>Orb Boss Hit
  Lab Level:      10 / 10 (Max)
  Next Level:    
  Max Level:     0d  9h 53m</v>
      </c>
      <c r="BN26" s="1222"/>
      <c r="BO26" s="1261"/>
    </row>
    <row r="27">
      <c r="A27" s="1222"/>
      <c r="B27" s="1257"/>
      <c r="C27" s="1283" t="s">
        <v>239</v>
      </c>
      <c r="D27" s="1280" t="str">
        <f>VLOOKUP(C27,'Remote Tier List'!A:D, 2, FALSE)</f>
        <v>C</v>
      </c>
      <c r="E27" s="1281" t="str">
        <f>VLOOKUP(C27,'Remote Tier List'!A:D, 3, FALSE)</f>
        <v/>
      </c>
      <c r="F27" s="1285"/>
      <c r="G27" s="1245" t="b">
        <f t="shared" si="12"/>
        <v>1</v>
      </c>
      <c r="H27" s="1246" t="str">
        <f t="array" ref="H27:I27">LET(
  Lab, $C27,
  Mode, $AD$1,
  Level, VLOOKUP(Lab, MS_Labs_Array, 2, FALSE),
  Target, VLOOKUP(Lab, MS_Labs_Array, 3, FALSE),
  Max, VLOOKUP(Lab, MS_Labs_Array, 4, FALSE),
  Result,
    IF(
      AND(
        Mode &lt;&gt; "Never",
        Level &gt;= IF(OR(Target = "", Mode = "Max"), Max, Target)
      ),
      "Completed",
      ""
    ),
  HSTACK(
    IF(Result &lt;&gt; "", Result, $D27),
    IF(Result &lt;&gt; "", Result, IF($E27 = "", $D27, $E27))
  )
)</f>
        <v>C</v>
      </c>
      <c r="I27" s="1247" t="s">
        <v>547</v>
      </c>
      <c r="J27" s="1248" t="str">
        <f t="shared" si="13"/>
        <v>Gets VERY long for little benefit</v>
      </c>
      <c r="K27" s="1229"/>
      <c r="L27" s="1249"/>
      <c r="M27" s="1249"/>
      <c r="N27" s="1250" t="str">
        <f>IFERROR(__xludf.DUMMYFUNCTION("if(M27 &lt;&gt; """", 
  LET( 
    TargetLevel, VLOOKUP(M27,MS_Labs_Array,3,false),
    MaxLevel, VLOOKUP(M27,MS_Labs_Array,4,false),
    MaxOrTarget, IF(OR(TargetLevel = """",$AD$1 &lt;&gt; ""Target""), MaxLevel, TargetLevel),
    LabLevel, VLOOKUP(M27,MS_Labs_Array"&amp;",2,False),
    Levelprogress, LabLevel / MaxOrTarget,
    DVTColumn, MATCH(M27,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7" s="1251" t="str">
        <f>IFERROR(__xludf.DUMMYFUNCTION("if(M27 &lt;&gt; """", 
  LET(
    TargetLevel, VLOOKUP(M27,MS_Labs_Array,3,false),
    LabSpeed, (1 * REGEXEXTRACT($BH$1, ""[\d.-]+"")) * {IF(M27 =""Labs Speed"", 1+'Master Sheet'!$BK$5, LAB_SPEED_TOTAL())},
    MaxLevel, VLOOKUP(M27,MS_Labs_Array,4,false),
   "&amp;" MaxOrTarget, IF(OR(TargetLevel = """",$AD$1 &lt;&gt; ""Target""), MaxLevel, TargetLevel),
    LabLevel, VLOOKUP(M27,MS_Labs_Array,2,False),
    DVTColumn, MATCH(M27, DVT_Laboratory!$A$1:BO$1, 0),
    xextTime, INDIRECT(""DVT_Laboratory!"" &amp; ADDRESS(LabLevel+3,"&amp;" DVTColumn)) / LabSpeed,
    remainingTime, SUM(INDIRECT(""DVT_Laboratory!"" &amp; ADDRESS(LabLevel+3, DVTColumn) &amp; "":"" &amp; ADDRESS(MaxOrTarget+2, DVTColumn))) / LabSpeed,
  M27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7" s="1249"/>
      <c r="Q27" s="1249"/>
      <c r="R27" s="1249"/>
      <c r="S27" s="1249"/>
      <c r="T27" s="1250" t="str">
        <f>IFERROR(__xludf.DUMMYFUNCTION("if(S27 &lt;&gt; """", 
  LET( 
    TargetLevel, VLOOKUP(S27,MS_Labs_Array,3,false),
    MaxLevel, VLOOKUP(S27,MS_Labs_Array,4,false),
    MaxOrTarget, IF(OR(TargetLevel = """",$AD$1 &lt;&gt; ""Target""), MaxLevel, TargetLevel),
    LabLevel, VLOOKUP(S27,MS_Labs_Array"&amp;",2,False),
    Levelprogress, LabLevel / MaxOrTarget,
    DVTColumn, MATCH(S27,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7" s="1251" t="str">
        <f>IFERROR(__xludf.DUMMYFUNCTION("if(S27 &lt;&gt; """", 
  LET(
    TargetLevel, VLOOKUP(S27,MS_Labs_Array,3,false),
    LabSpeed, (1 * REGEXEXTRACT($BH$1, ""[\d.-]+"")) * {IF(S27 =""Labs Speed"", 1+'Master Sheet'!$BK$5, LAB_SPEED_TOTAL())},
    MaxLevel, VLOOKUP(S27,MS_Labs_Array,4,false),
   "&amp;" MaxOrTarget, IF(OR(TargetLevel = """",$AD$1 &lt;&gt; ""Target""), MaxLevel, TargetLevel),
    LabLevel, VLOOKUP(S27,MS_Labs_Array,2,False),
    DVTColumn, MATCH(S27, DVT_Laboratory!$A$1:BO$1, 0),
    xextTime, INDIRECT(""DVT_Laboratory!"" &amp; ADDRESS(LabLevel+3,"&amp;" DVTColumn)) / LabSpeed,
    remainingTime, SUM(INDIRECT(""DVT_Laboratory!"" &amp; ADDRESS(LabLevel+3, DVTColumn) &amp; "":"" &amp; ADDRESS(MaxOrTarget+2, DVTColumn))) / LabSpeed,
  S27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7" s="1249"/>
      <c r="W27" s="1249"/>
      <c r="X27" s="1249" t="str">
        <f>IFERROR(__xludf.DUMMYFUNCTION("""COMPUTED_VALUE"""),"Missiles Explosion")</f>
        <v>Missiles Explosion</v>
      </c>
      <c r="Y27" s="1249" t="str">
        <f>IFERROR(__xludf.DUMMYFUNCTION("""COMPUTED_VALUE"""),"Gold Bot - Cooldown")</f>
        <v>Gold Bot - Cooldown</v>
      </c>
      <c r="Z27" s="1250" t="str">
        <f>IFERROR(__xludf.DUMMYFUNCTION("if(Y27 &lt;&gt; """", 
  LET( 
    TargetLevel, VLOOKUP(Y27,MS_Labs_Array,3,false),
    MaxLevel, VLOOKUP(Y27,MS_Labs_Array,4,false),
    MaxOrTarget, IF(OR(TargetLevel = """",$AD$1 &lt;&gt; ""Target""), MaxLevel, TargetLevel),
    LabLevel, VLOOKUP(Y27,MS_Labs_Array"&amp;",2,False),
    Levelprogress, LabLevel / MaxOrTarget,
    DVTColumn, MATCH(Y27,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7" s="1251" t="str">
        <f>IFERROR(__xludf.DUMMYFUNCTION("if(Y27 &lt;&gt; """", 
  LET(
    TargetLevel, VLOOKUP(Y27,MS_Labs_Array,3,false),
    LabSpeed, (1 * REGEXEXTRACT($BH$1, ""[\d.-]+"")) * {IF(Y27 =""Labs Speed"", 1+'Master Sheet'!$BK$5, LAB_SPEED_TOTAL())},
    MaxLevel, VLOOKUP(Y27,MS_Labs_Array,4,false),
   "&amp;" MaxOrTarget, IF(OR(TargetLevel = """",$AD$1 &lt;&gt; ""Target""), MaxLevel, TargetLevel),
    LabLevel, VLOOKUP(Y27,MS_Labs_Array,2,False),
    DVTColumn, MATCH(Y27, DVT_Laboratory!$A$1:BO$1, 0),
    xextTime, INDIRECT(""DVT_Laboratory!"" &amp; ADDRESS(LabLevel+3,"&amp;" DVTColumn)) / LabSpeed,
    remainingTime, SUM(INDIRECT(""DVT_Laboratory!"" &amp; ADDRESS(LabLevel+3, DVTColumn) &amp; "":"" &amp; ADDRESS(MaxOrTarget+2, DVTColumn))) / LabSpeed,
  Y27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"""")"),"Gold Bot - Cooldown
  Lab Level:      21 / 25 (Max)
  Next Level:    3d 12h 41m
  Max Level:     17d 18h 22m")</f>
        <v>Gold Bot - Cooldown
  Lab Level:      21 / 25 (Max)
  Next Level:    3d 12h 41m
  Max Level:     17d 18h 22m</v>
      </c>
      <c r="AB27" s="1249" t="str">
        <f>IFERROR(__xludf.DUMMYFUNCTION("""COMPUTED_VALUE"""),"Can hinder syncing with UWs at certain higher times, best to sync 1:1 ")</f>
        <v>Can hinder syncing with UWs at certain higher times, best to sync 1:1 </v>
      </c>
      <c r="AC27" s="1249" t="str">
        <f>IFERROR(__xludf.DUMMYFUNCTION("""COMPUTED_VALUE"""),"Adds crucial splash damage to Missiles")</f>
        <v>Adds crucial splash damage to Missiles</v>
      </c>
      <c r="AD27" s="1249" t="str">
        <f>IFERROR(__xludf.DUMMYFUNCTION("""COMPUTED_VALUE"""),"Swamp Rend - Additional Enemies")</f>
        <v>Swamp Rend - Additional Enemies</v>
      </c>
      <c r="AE27" s="1249"/>
      <c r="AF27" s="1250" t="str">
        <f>IFERROR(__xludf.DUMMYFUNCTION("if(AE27 &lt;&gt; """", 
  LET( 
    TargetLevel, VLOOKUP(AE27,MS_Labs_Array,3,false),
    MaxLevel, VLOOKUP(AE27,MS_Labs_Array,4,false),
    MaxOrTarget, IF(OR(TargetLevel = """",$AD$1 &lt;&gt; ""Target""), MaxLevel, TargetLevel),
    LabLevel, VLOOKUP(AE27,MS_Labs_A"&amp;"rray,2,False),
    Levelprogress, LabLevel / MaxOrTarget,
    DVTColumn, MATCH(AE27,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7" s="1251" t="str">
        <f>IFERROR(__xludf.DUMMYFUNCTION("if(AE27 &lt;&gt; """", 
  LET(
    TargetLevel, VLOOKUP(AE27,MS_Labs_Array,3,false),
    LabSpeed, (1 * REGEXEXTRACT($BH$1, ""[\d.-]+"")) * {IF(AE27 =""Labs Speed"", 1+'Master Sheet'!$BK$5, LAB_SPEED_TOTAL())},
    MaxLevel, VLOOKUP(AE27,MS_Labs_Array,4,false),"&amp;"
    MaxOrTarget, IF(OR(TargetLevel = """",$AD$1 &lt;&gt; ""Target""), MaxLevel, TargetLevel),
    LabLevel, VLOOKUP(AE27,MS_Labs_Array,2,False),
    DVTColumn, MATCH(AE27, DVT_Laboratory!$A$1:BO$1, 0),
    xextTime, INDIRECT(""DVT_Laboratory!"" &amp; ADDRESS(LabLe"&amp;"vel+3, DVTColumn)) / LabSpeed,
    remainingTime, SUM(INDIRECT(""DVT_Laboratory!"" &amp; ADDRESS(LabLevel+3, DVTColumn) &amp; "":"" &amp; ADDRESS(MaxOrTarget+2, DVTColumn))) / LabSpeed,
  AE27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7" s="1249"/>
      <c r="AI27" s="1249" t="str">
        <f>IFERROR(__xludf.DUMMYFUNCTION("""COMPUTED_VALUE"""),"When PS has any use in damage, good to make the multiplier affect everything")</f>
        <v>When PS has any use in damage, good to make the multiplier affect everything</v>
      </c>
      <c r="AJ27" s="1249" t="str">
        <f>IFERROR(__xludf.DUMMYFUNCTION("""COMPUTED_VALUE"""),"Protector Health")</f>
        <v>Protector Health</v>
      </c>
      <c r="AK27" s="1249" t="str">
        <f>IFERROR(__xludf.DUMMYFUNCTION("""COMPUTED_VALUE"""),"Death Ray Resistance")</f>
        <v>Death Ray Resistance</v>
      </c>
      <c r="AL27" s="1250" t="str">
        <f>IFERROR(__xludf.DUMMYFUNCTION("if(AK27 &lt;&gt; """", 
  LET( 
    TargetLevel, VLOOKUP(AK27,MS_Labs_Array,3,false),
    MaxLevel, VLOOKUP(AK27,MS_Labs_Array,4,false),
    MaxOrTarget, IF(OR(TargetLevel = """",$AD$1 &lt;&gt; ""Target""), MaxLevel, TargetLevel),
    LabLevel, VLOOKUP(AK27,MS_Labs_A"&amp;"rray,2,False),
    Levelprogress, LabLevel / MaxOrTarget,
    DVTColumn, MATCH(AK27,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7" s="1251" t="str">
        <f>IFERROR(__xludf.DUMMYFUNCTION("if(AK27 &lt;&gt; """", 
  LET(
    TargetLevel, VLOOKUP(AK27,MS_Labs_Array,3,false),
    LabSpeed, (1 * REGEXEXTRACT($BH$1, ""[\d.-]+"")) * {IF(AK27 =""Labs Speed"", 1+'Master Sheet'!$BK$5, LAB_SPEED_TOTAL())},
    MaxLevel, VLOOKUP(AK27,MS_Labs_Array,4,false),"&amp;"
    MaxOrTarget, IF(OR(TargetLevel = """",$AD$1 &lt;&gt; ""Target""), MaxLevel, TargetLevel),
    LabLevel, VLOOKUP(AK27,MS_Labs_Array,2,False),
    DVTColumn, MATCH(AK27, DVT_Laboratory!$A$1:BO$1, 0),
    xextTime, INDIRECT(""DVT_Laboratory!"" &amp; ADDRESS(LabLe"&amp;"vel+3, DVTColumn)) / LabSpeed,
    remainingTime, SUM(INDIRECT(""DVT_Laboratory!"" &amp; ADDRESS(LabLevel+3, DVTColumn) &amp; "":"" &amp; ADDRESS(MaxOrTarget+2, DVTColumn))) / LabSpeed,
  AK27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"""")"),"Death Ray Resistance
  Lab Level:      0 / 20 (Max)
  Next Level:    0d 20h 35m
  Max Level:     180d  3h 45m")</f>
        <v>Death Ray Resistance
  Lab Level:      0 / 20 (Max)
  Next Level:    0d 20h 35m
  Max Level:     180d  3h 45m</v>
      </c>
      <c r="AN27" s="1249" t="str">
        <f>IFERROR(__xludf.DUMMYFUNCTION("""COMPUTED_VALUE"""),"Resistances get far weaker than most battle conditions with how they substract the effect")</f>
        <v>Resistances get far weaker than most battle conditions with how they substract the effect</v>
      </c>
      <c r="AO27" s="1249" t="str">
        <f>IFERROR(__xludf.DUMMYFUNCTION("""COMPUTED_VALUE"""),"Good with high level CL+ to fully kill protectors with percentage damage")</f>
        <v>Good with high level CL+ to fully kill protectors with percentage damage</v>
      </c>
      <c r="AP27" s="1249" t="str">
        <f>IFERROR(__xludf.DUMMYFUNCTION("""COMPUTED_VALUE"""),"Double Death Ray")</f>
        <v>Double Death Ray</v>
      </c>
      <c r="AQ27" s="1249" t="str">
        <f>IFERROR(__xludf.DUMMYFUNCTION("""COMPUTED_VALUE"""),"Scatter Enemy Health")</f>
        <v>Scatter Enemy Health</v>
      </c>
      <c r="AR27" s="1250" t="str">
        <f>IFERROR(__xludf.DUMMYFUNCTION("if(AQ27 &lt;&gt; """", 
  LET( 
    TargetLevel, VLOOKUP(AQ27,MS_Labs_Array,3,false),
    MaxLevel, VLOOKUP(AQ27,MS_Labs_Array,4,false),
    MaxOrTarget, IF(OR(TargetLevel = """",$AD$1 &lt;&gt; ""Target""), MaxLevel, TargetLevel),
    LabLevel, VLOOKUP(AQ27,MS_Labs_A"&amp;"rray,2,False),
    Levelprogress, LabLevel / MaxOrTarget,
    DVTColumn, MATCH(AQ27,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7" s="1251" t="str">
        <f>IFERROR(__xludf.DUMMYFUNCTION("if(AQ27 &lt;&gt; """", 
  LET(
    TargetLevel, VLOOKUP(AQ27,MS_Labs_Array,3,false),
    LabSpeed, (1 * REGEXEXTRACT($BH$1, ""[\d.-]+"")) * {IF(AQ27 =""Labs Speed"", 1+'Master Sheet'!$BK$5, LAB_SPEED_TOTAL())},
    MaxLevel, VLOOKUP(AQ27,MS_Labs_Array,4,false),"&amp;"
    MaxOrTarget, IF(OR(TargetLevel = """",$AD$1 &lt;&gt; ""Target""), MaxLevel, TargetLevel),
    LabLevel, VLOOKUP(AQ27,MS_Labs_Array,2,False),
    DVTColumn, MATCH(AQ27, DVT_Laboratory!$A$1:BO$1, 0),
    xextTime, INDIRECT(""DVT_Laboratory!"" &amp; ADDRESS(LabLe"&amp;"vel+3, DVTColumn)) / LabSpeed,
    remainingTime, SUM(INDIRECT(""DVT_Laboratory!"" &amp; ADDRESS(LabLevel+3, DVTColumn) &amp; "":"" &amp; ADDRESS(MaxOrTarget+2, DVTColumn))) / LabSpeed,
  AQ27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"""")"),"Scatter Enemy Health
  Lab Level:      0 / 30 (Max)
  Next Level:    0d 16h 28m
  Max Level:     319d  3h 13m")</f>
        <v>Scatter Enemy Health
  Lab Level:      0 / 30 (Max)
  Next Level:    0d 16h 28m
  Max Level:     319d  3h 13m</v>
      </c>
      <c r="AT27" s="1249"/>
      <c r="AU27" s="1249" t="str">
        <f>IFERROR(__xludf.DUMMYFUNCTION("""COMPUTED_VALUE"""),"Chance too low to be significant value for the lab time")</f>
        <v>Chance too low to be significant value for the lab time</v>
      </c>
      <c r="AV27" s="1249" t="str">
        <f>IFERROR(__xludf.DUMMYFUNCTION("""COMPUTED_VALUE"""),"Recharge Missile Barrage")</f>
        <v>Recharge Missile Barrage</v>
      </c>
      <c r="AW27" s="1249" t="str">
        <f>IFERROR(__xludf.DUMMYFUNCTION("""COMPUTED_VALUE"""),"Vampire Enemy Attack")</f>
        <v>Vampire Enemy Attack</v>
      </c>
      <c r="AX27" s="1250" t="str">
        <f>IFERROR(__xludf.DUMMYFUNCTION("if(AW27 &lt;&gt; """", 
  LET( 
    TargetLevel, VLOOKUP(AW27,MS_Labs_Array,3,false),
    MaxLevel, VLOOKUP(AW27,MS_Labs_Array,4,false),
    MaxOrTarget, IF(OR(TargetLevel = """",$AD$1 &lt;&gt; ""Target""), MaxLevel, TargetLevel),
    LabLevel, VLOOKUP(AW27,MS_Labs_A"&amp;"rray,2,False),
    Levelprogress, LabLevel / MaxOrTarget,
    DVTColumn, MATCH(AW27,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7" s="1251" t="str">
        <f>IFERROR(__xludf.DUMMYFUNCTION("if(AW27 &lt;&gt; """", 
  LET(
    TargetLevel, VLOOKUP(AW27,MS_Labs_Array,3,false),
    LabSpeed, (1 * REGEXEXTRACT($BH$1, ""[\d.-]+"")) * {IF(AW27 =""Labs Speed"", 1+'Master Sheet'!$BK$5, LAB_SPEED_TOTAL())},
    MaxLevel, VLOOKUP(AW27,MS_Labs_Array,4,false),"&amp;"
    MaxOrTarget, IF(OR(TargetLevel = """",$AD$1 &lt;&gt; ""Target""), MaxLevel, TargetLevel),
    LabLevel, VLOOKUP(AW27,MS_Labs_Array,2,False),
    DVTColumn, MATCH(AW27, DVT_Laboratory!$A$1:BO$1, 0),
    xextTime, INDIRECT(""DVT_Laboratory!"" &amp; ADDRESS(LabLe"&amp;"vel+3, DVTColumn)) / LabSpeed,
    remainingTime, SUM(INDIRECT(""DVT_Laboratory!"" &amp; ADDRESS(LabLevel+3, DVTColumn) &amp; "":"" &amp; ADDRESS(MaxOrTarget+2, DVTColumn))) / LabSpeed,
  AW27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"""")"),"Vampire Enemy Attack
  Lab Level:      0 / 30 (Max)
  Next Level:    0d 16h 28m
  Max Level:     319d  3h 13m")</f>
        <v>Vampire Enemy Attack
  Lab Level:      0 / 30 (Max)
  Next Level:    0d 16h 28m
  Max Level:     319d  3h 13m</v>
      </c>
      <c r="AZ27" s="1249" t="str">
        <f>IFERROR(__xludf.DUMMYFUNCTION("""COMPUTED_VALUE"""),"Vamps with garlic thorns, wall and package+ are a non threat anyway")</f>
        <v>Vamps with garlic thorns, wall and package+ are a non threat anyway</v>
      </c>
      <c r="BA27" s="1249" t="str">
        <f>IFERROR(__xludf.DUMMYFUNCTION("""COMPUTED_VALUE"""),"Panic Button can be reused, however the cooldown is too long to matter on top of being a lackluster ability")</f>
        <v>Panic Button can be reused, however the cooldown is too long to matter on top of being a lackluster ability</v>
      </c>
      <c r="BB27" s="1249"/>
      <c r="BC27" s="1249"/>
      <c r="BD27" s="1250" t="str">
        <f>IFERROR(__xludf.DUMMYFUNCTION("if(BC27 &lt;&gt; """", 
  LET( 
    TargetLevel, VLOOKUP(BC27,MS_Labs_Array,3,false),
    MaxLevel, VLOOKUP(BC27,MS_Labs_Array,4,false),
    MaxOrTarget, IF(OR(TargetLevel = """",$AD$1 &lt;&gt; ""Target""), MaxLevel, TargetLevel),
    LabLevel, VLOOKUP(BC27,MS_Labs_A"&amp;"rray,2,False),
    Levelprogress, LabLevel / MaxOrTarget,
    DVTColumn, MATCH(BC27,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7" s="1251" t="str">
        <f>IFERROR(__xludf.DUMMYFUNCTION("if(BC27 &lt;&gt; """", 
  LET(
    TargetLevel, VLOOKUP(BC27,MS_Labs_Array,3,false),
    LabSpeed, (1 * REGEXEXTRACT($BH$1, ""[\d.-]+"")) * {IF(BC27 =""Labs Speed"", 1+'Master Sheet'!$BK$5, LAB_SPEED_TOTAL())},
    MaxLevel, VLOOKUP(BC27,MS_Labs_Array,4,false),"&amp;"
    MaxOrTarget, IF(OR(TargetLevel = """",$AD$1 &lt;&gt; ""Target""), MaxLevel, TargetLevel),
    LabLevel, VLOOKUP(BC27,MS_Labs_Array,2,False),
    DVTColumn, MATCH(BC27, DVT_Laboratory!$A$1:BO$1, 0),
    xextTime, INDIRECT(""DVT_Laboratory!"" &amp; ADDRESS(LabLe"&amp;"vel+3, DVTColumn)) / LabSpeed,
    remainingTime, SUM(INDIRECT(""DVT_Laboratory!"" &amp; ADDRESS(LabLevel+3, DVTColumn) &amp; "":"" &amp; ADDRESS(MaxOrTarget+2, DVTColumn))) / LabSpeed,
  BC27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7" s="1249"/>
      <c r="BG27" s="1249"/>
      <c r="BH27" s="1260" t="str">
        <f>IFERROR(__xludf.DUMMYFUNCTION("""COMPUTED_VALUE"""),"Wall Health")</f>
        <v>Wall Health</v>
      </c>
      <c r="BI27" s="1252" t="str">
        <f>IFERROR(__xludf.DUMMYFUNCTION("""COMPUTED_VALUE"""),"Black Hole Damage")</f>
        <v>Black Hole Damage</v>
      </c>
      <c r="BJ27" s="1253" t="str">
        <f>IFERROR(__xludf.DUMMYFUNCTION("if(BI27 &lt;&gt; """", 
  LET( 
    TargetLevel, VLOOKUP(BI27,MS_Labs_Array,3,false),
    MaxLevel, VLOOKUP(BI27,MS_Labs_Array,4,false),
    MaxOrTarget, IF(OR(TargetLevel = """",$AD$1 &lt;&gt; ""Target""), MaxLevel, TargetLevel),
    LabLevel, VLOOKUP(BI27,MS_Labs_A"&amp;"rray,2,False),
    Levelprogress, IF(LabLevel &gt;= MaxOrTarget, 1, LabLevel / MaxOrTarget),
    DVTColumn, MATCH(BI27,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7" s="1254" t="str">
        <f>IFERROR(__xludf.DUMMYFUNCTION("if(BI27 &lt;&gt; """", 
  LET(
    TargetLevel, VLOOKUP(BI27,MS_Labs_Array,3,false),
    LabSpeed, (1 * REGEXEXTRACT($BH$1, ""[\d.-]+"")) * {IF(BI27 =""Labs Speed"", 1+'Master Sheet'!$BK$5, LAB_SPEED_TOTAL())},
    MaxLevel, VLOOKUP(BI27,MS_Labs_Array,4,false),"&amp;"
    MaxOrTarget, IF(OR(TargetLevel = """",$AD$1 &lt;&gt; ""Target""), MaxLevel, TargetLevel),
    LabLevel, VLOOKUP(BI27,MS_Labs_Array,2,False),
    DVTColumn, MATCH(BI27, DVT_Laboratory!$A$1:BO$1, 0),
    xextTime, INDIRECT(""DVT_Laboratory!"" &amp; ADDRESS(LabLe"&amp;"vel+3, DVTColumn)) / LabSpeed,
    remainingTime, SUM(INDIRECT(""DVT_Laboratory!"" &amp; ADDRESS(LabLevel+3, DVTColumn) &amp; "":"" &amp; ADDRESS(MaxOrTarget+2, DVTColumn))) / LabSpeed,
  BI27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"""")"),"Black Hole Damage
  Lab Level:      10 / 10 (Max)
  Next Level:    
  Max Level:     0d 10h  0m")</f>
        <v>Black Hole Damage
  Lab Level:      10 / 10 (Max)
  Next Level:    
  Max Level:     0d 10h  0m</v>
      </c>
      <c r="BL27" s="1252" t="str">
        <f>IFERROR(__xludf.DUMMYFUNCTION("""COMPUTED_VALUE"""),"Does a % of max enemy health every second they are inside BH, the go to protector killer for early towers")</f>
        <v>Does a % of max enemy health every second they are inside BH, the go to protector killer for early towers</v>
      </c>
      <c r="BM27" s="1252" t="str">
        <f>IFERROR(__xludf.DUMMYFUNCTION("""COMPUTED_VALUE"""),"Another health lab")</f>
        <v>Another health lab</v>
      </c>
      <c r="BN27" s="1222"/>
      <c r="BO27" s="1261"/>
    </row>
    <row r="28" ht="7.5" customHeight="1">
      <c r="A28" s="1222"/>
      <c r="B28" s="1268" t="s">
        <v>559</v>
      </c>
      <c r="C28" s="1283" t="s">
        <v>250</v>
      </c>
      <c r="D28" s="1280" t="str">
        <f>VLOOKUP(C28,'Remote Tier List'!A:D, 2, FALSE)</f>
        <v>C</v>
      </c>
      <c r="E28" s="1281" t="str">
        <f>VLOOKUP(C28,'Remote Tier List'!A:D, 3, FALSE)</f>
        <v/>
      </c>
      <c r="F28" s="1284" t="str">
        <f>VLOOKUP(C28,'Remote Tier List'!A:D, 4, FALSE)</f>
        <v>Decent for extending bullet orbless, helps bullet damage together with AD or HB. Great to pair together with Swamp Rend to further increase its damage potential</v>
      </c>
      <c r="G28" s="1245" t="b">
        <f t="shared" si="12"/>
        <v>1</v>
      </c>
      <c r="H28" s="1246" t="str">
        <f t="array" ref="H28:I28">LET(
  Lab, $C28,
  Mode, $AD$1,
  Level, VLOOKUP(Lab, MS_Labs_Array, 2, FALSE),
  Target, VLOOKUP(Lab, MS_Labs_Array, 3, FALSE),
  Max, VLOOKUP(Lab, MS_Labs_Array, 4, FALSE),
  Result,
    IF(
      AND(
        Mode &lt;&gt; "Never",
        Level &gt;= IF(OR(Target = "", Mode = "Max"), Max, Target)
      ),
      "Completed",
      ""
    ),
  HSTACK(
    IF(Result &lt;&gt; "", Result, $D28),
    IF(Result &lt;&gt; "", Result, IF($E28 = "", $D28, $E28))
  )
)</f>
        <v>C</v>
      </c>
      <c r="I28" s="1247" t="s">
        <v>547</v>
      </c>
      <c r="J28" s="1248" t="str">
        <f t="shared" si="13"/>
        <v>Decent for extending bullet orbless, helps bullet damage together with AD or HB. Great to pair together with Swamp Rend to further increase its damage potential</v>
      </c>
      <c r="K28" s="1229"/>
      <c r="L28" s="1249" t="str">
        <f>IFERROR(__xludf.DUMMYFUNCTION("""COMPUTED_VALUE"""),"")</f>
        <v/>
      </c>
      <c r="M28" s="1249"/>
      <c r="N28" s="1250" t="str">
        <f>IFERROR(__xludf.DUMMYFUNCTION("if(M28 &lt;&gt; """", 
  LET( 
    TargetLevel, VLOOKUP(M28,MS_Labs_Array,3,false),
    MaxLevel, VLOOKUP(M28,MS_Labs_Array,4,false),
    MaxOrTarget, IF(OR(TargetLevel = """",$AD$1 &lt;&gt; ""Target""), MaxLevel, TargetLevel),
    LabLevel, VLOOKUP(M28,MS_Labs_Array"&amp;",2,False),
    Levelprogress, LabLevel / MaxOrTarget,
    DVTColumn, MATCH(M28,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8" s="1251" t="str">
        <f>IFERROR(__xludf.DUMMYFUNCTION("if(M28 &lt;&gt; """", 
  LET(
    TargetLevel, VLOOKUP(M28,MS_Labs_Array,3,false),
    LabSpeed, (1 * REGEXEXTRACT($BH$1, ""[\d.-]+"")) * {IF(M28 =""Labs Speed"", 1+'Master Sheet'!$BK$5, LAB_SPEED_TOTAL())},
    MaxLevel, VLOOKUP(M28,MS_Labs_Array,4,false),
   "&amp;" MaxOrTarget, IF(OR(TargetLevel = """",$AD$1 &lt;&gt; ""Target""), MaxLevel, TargetLevel),
    LabLevel, VLOOKUP(M28,MS_Labs_Array,2,False),
    DVTColumn, MATCH(M28, DVT_Laboratory!$A$1:BO$1, 0),
    xextTime, INDIRECT(""DVT_Laboratory!"" &amp; ADDRESS(LabLevel+3,"&amp;" DVTColumn)) / LabSpeed,
    remainingTime, SUM(INDIRECT(""DVT_Laboratory!"" &amp; ADDRESS(LabLevel+3, DVTColumn) &amp; "":"" &amp; ADDRESS(MaxOrTarget+2, DVTColumn))) / LabSpeed,
  M28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8" s="1249"/>
      <c r="Q28" s="1249" t="str">
        <f>IFERROR(__xludf.DUMMYFUNCTION("""COMPUTED_VALUE"""),"")</f>
        <v/>
      </c>
      <c r="R28" s="1249" t="str">
        <f>IFERROR(__xludf.DUMMYFUNCTION("""COMPUTED_VALUE"""),"")</f>
        <v/>
      </c>
      <c r="S28" s="1249"/>
      <c r="T28" s="1250" t="str">
        <f>IFERROR(__xludf.DUMMYFUNCTION("if(S28 &lt;&gt; """", 
  LET( 
    TargetLevel, VLOOKUP(S28,MS_Labs_Array,3,false),
    MaxLevel, VLOOKUP(S28,MS_Labs_Array,4,false),
    MaxOrTarget, IF(OR(TargetLevel = """",$AD$1 &lt;&gt; ""Target""), MaxLevel, TargetLevel),
    LabLevel, VLOOKUP(S28,MS_Labs_Array"&amp;",2,False),
    Levelprogress, LabLevel / MaxOrTarget,
    DVTColumn, MATCH(S28,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8" s="1251" t="str">
        <f>IFERROR(__xludf.DUMMYFUNCTION("if(S28 &lt;&gt; """", 
  LET(
    TargetLevel, VLOOKUP(S28,MS_Labs_Array,3,false),
    LabSpeed, (1 * REGEXEXTRACT($BH$1, ""[\d.-]+"")) * {IF(S28 =""Labs Speed"", 1+'Master Sheet'!$BK$5, LAB_SPEED_TOTAL())},
    MaxLevel, VLOOKUP(S28,MS_Labs_Array,4,false),
   "&amp;" MaxOrTarget, IF(OR(TargetLevel = """",$AD$1 &lt;&gt; ""Target""), MaxLevel, TargetLevel),
    LabLevel, VLOOKUP(S28,MS_Labs_Array,2,False),
    DVTColumn, MATCH(S28, DVT_Laboratory!$A$1:BO$1, 0),
    xextTime, INDIRECT(""DVT_Laboratory!"" &amp; ADDRESS(LabLevel+3,"&amp;" DVTColumn)) / LabSpeed,
    remainingTime, SUM(INDIRECT(""DVT_Laboratory!"" &amp; ADDRESS(LabLevel+3, DVTColumn) &amp; "":"" &amp; ADDRESS(MaxOrTarget+2, DVTColumn))) / LabSpeed,
  S28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8" s="1249"/>
      <c r="W28" s="1249" t="str">
        <f>IFERROR(__xludf.DUMMYFUNCTION("""COMPUTED_VALUE"""),"")</f>
        <v/>
      </c>
      <c r="X28" s="1249" t="str">
        <f>IFERROR(__xludf.DUMMYFUNCTION("""COMPUTED_VALUE"""),"")</f>
        <v/>
      </c>
      <c r="Y28" s="1249" t="str">
        <f>IFERROR(__xludf.DUMMYFUNCTION("""COMPUTED_VALUE"""),"Ray Enemy Health")</f>
        <v>Ray Enemy Health</v>
      </c>
      <c r="Z28" s="1250" t="str">
        <f>IFERROR(__xludf.DUMMYFUNCTION("if(Y28 &lt;&gt; """", 
  LET( 
    TargetLevel, VLOOKUP(Y28,MS_Labs_Array,3,false),
    MaxLevel, VLOOKUP(Y28,MS_Labs_Array,4,false),
    MaxOrTarget, IF(OR(TargetLevel = """",$AD$1 &lt;&gt; ""Target""), MaxLevel, TargetLevel),
    LabLevel, VLOOKUP(Y28,MS_Labs_Array"&amp;",2,False),
    Levelprogress, LabLevel / MaxOrTarget,
    DVTColumn, MATCH(Y28,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8" s="1251" t="str">
        <f>IFERROR(__xludf.DUMMYFUNCTION("if(Y28 &lt;&gt; """", 
  LET(
    TargetLevel, VLOOKUP(Y28,MS_Labs_Array,3,false),
    LabSpeed, (1 * REGEXEXTRACT($BH$1, ""[\d.-]+"")) * {IF(Y28 =""Labs Speed"", 1+'Master Sheet'!$BK$5, LAB_SPEED_TOTAL())},
    MaxLevel, VLOOKUP(Y28,MS_Labs_Array,4,false),
   "&amp;" MaxOrTarget, IF(OR(TargetLevel = """",$AD$1 &lt;&gt; ""Target""), MaxLevel, TargetLevel),
    LabLevel, VLOOKUP(Y28,MS_Labs_Array,2,False),
    DVTColumn, MATCH(Y28, DVT_Laboratory!$A$1:BO$1, 0),
    xextTime, INDIRECT(""DVT_Laboratory!"" &amp; ADDRESS(LabLevel+3,"&amp;" DVTColumn)) / LabSpeed,
    remainingTime, SUM(INDIRECT(""DVT_Laboratory!"" &amp; ADDRESS(LabLevel+3, DVTColumn) &amp; "":"" &amp; ADDRESS(MaxOrTarget+2, DVTColumn))) / LabSpeed,
  Y28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"""")"),"Ray Enemy Health
  Lab Level:      0 / 30 (Max)
  Next Level:    0d 16h 28m
  Max Level:     319d  3h 13m")</f>
        <v>Ray Enemy Health
  Lab Level:      0 / 30 (Max)
  Next Level:    0d 16h 28m
  Max Level:     319d  3h 13m</v>
      </c>
      <c r="AB28" s="1249" t="str">
        <f>IFERROR(__xludf.DUMMYFUNCTION("""COMPUTED_VALUE"""),"Alongisde CL+ and PC mastery, can leave Rays at only 4.24% hp")</f>
        <v>Alongisde CL+ and PC mastery, can leave Rays at only 4.24% hp</v>
      </c>
      <c r="AC28" s="1249" t="str">
        <f>IFERROR(__xludf.DUMMYFUNCTION("""COMPUTED_VALUE"""),"Missiles Explosion
  Lab Level:      0 / 1 (Max)
  Next Level:    0d  1h 25m
  Max Level:     0d  1h 25m")</f>
        <v>Missiles Explosion
  Lab Level:      0 / 1 (Max)
  Next Level:    0d  1h 25m
  Max Level:     0d  1h 25m</v>
      </c>
      <c r="AD28" s="1249" t="str">
        <f>IFERROR(__xludf.DUMMYFUNCTION("""COMPUTED_VALUE"""),"")</f>
        <v/>
      </c>
      <c r="AE28" s="1249"/>
      <c r="AF28" s="1250" t="str">
        <f>IFERROR(__xludf.DUMMYFUNCTION("if(AE28 &lt;&gt; """", 
  LET( 
    TargetLevel, VLOOKUP(AE28,MS_Labs_Array,3,false),
    MaxLevel, VLOOKUP(AE28,MS_Labs_Array,4,false),
    MaxOrTarget, IF(OR(TargetLevel = """",$AD$1 &lt;&gt; ""Target""), MaxLevel, TargetLevel),
    LabLevel, VLOOKUP(AE28,MS_Labs_A"&amp;"rray,2,False),
    Levelprogress, LabLevel / MaxOrTarget,
    DVTColumn, MATCH(AE28,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8" s="1251" t="str">
        <f>IFERROR(__xludf.DUMMYFUNCTION("if(AE28 &lt;&gt; """", 
  LET(
    TargetLevel, VLOOKUP(AE28,MS_Labs_Array,3,false),
    LabSpeed, (1 * REGEXEXTRACT($BH$1, ""[\d.-]+"")) * {IF(AE28 =""Labs Speed"", 1+'Master Sheet'!$BK$5, LAB_SPEED_TOTAL())},
    MaxLevel, VLOOKUP(AE28,MS_Labs_Array,4,false),"&amp;"
    MaxOrTarget, IF(OR(TargetLevel = """",$AD$1 &lt;&gt; ""Target""), MaxLevel, TargetLevel),
    LabLevel, VLOOKUP(AE28,MS_Labs_Array,2,False),
    DVTColumn, MATCH(AE28, DVT_Laboratory!$A$1:BO$1, 0),
    xextTime, INDIRECT(""DVT_Laboratory!"" &amp; ADDRESS(LabLe"&amp;"vel+3, DVTColumn)) / LabSpeed,
    remainingTime, SUM(INDIRECT(""DVT_Laboratory!"" &amp; ADDRESS(LabLevel+3, DVTColumn) &amp; "":"" &amp; ADDRESS(MaxOrTarget+2, DVTColumn))) / LabSpeed,
  AE28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8" s="1249"/>
      <c r="AI28" s="1249" t="str">
        <f>IFERROR(__xludf.DUMMYFUNCTION("""COMPUTED_VALUE"""),"Swamp Rend - Additional Enemies
  Lab Level:      0 / 6 (Max)
  Next Level:    0d 12h 42m
  Max Level:     4d  7h  8m")</f>
        <v>Swamp Rend - Additional Enemies
  Lab Level:      0 / 6 (Max)
  Next Level:    0d 12h 42m
  Max Level:     4d  7h  8m</v>
      </c>
      <c r="AJ28" s="1249" t="str">
        <f>IFERROR(__xludf.DUMMYFUNCTION("""COMPUTED_VALUE"""),"")</f>
        <v/>
      </c>
      <c r="AK28" s="1249" t="str">
        <f>IFERROR(__xludf.DUMMYFUNCTION("""COMPUTED_VALUE"""),"Armored Enemies")</f>
        <v>Armored Enemies</v>
      </c>
      <c r="AL28" s="1250" t="str">
        <f>IFERROR(__xludf.DUMMYFUNCTION("if(AK28 &lt;&gt; """", 
  LET( 
    TargetLevel, VLOOKUP(AK28,MS_Labs_Array,3,false),
    MaxLevel, VLOOKUP(AK28,MS_Labs_Array,4,false),
    MaxOrTarget, IF(OR(TargetLevel = """",$AD$1 &lt;&gt; ""Target""), MaxLevel, TargetLevel),
    LabLevel, VLOOKUP(AK28,MS_Labs_A"&amp;"rray,2,False),
    Levelprogress, LabLevel / MaxOrTarget,
    DVTColumn, MATCH(AK28,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8" s="1251" t="str">
        <f>IFERROR(__xludf.DUMMYFUNCTION("if(AK28 &lt;&gt; """", 
  LET(
    TargetLevel, VLOOKUP(AK28,MS_Labs_Array,3,false),
    LabSpeed, (1 * REGEXEXTRACT($BH$1, ""[\d.-]+"")) * {IF(AK28 =""Labs Speed"", 1+'Master Sheet'!$BK$5, LAB_SPEED_TOTAL())},
    MaxLevel, VLOOKUP(AK28,MS_Labs_Array,4,false),"&amp;"
    MaxOrTarget, IF(OR(TargetLevel = """",$AD$1 &lt;&gt; ""Target""), MaxLevel, TargetLevel),
    LabLevel, VLOOKUP(AK28,MS_Labs_Array,2,False),
    DVTColumn, MATCH(AK28, DVT_Laboratory!$A$1:BO$1, 0),
    xextTime, INDIRECT(""DVT_Laboratory!"" &amp; ADDRESS(LabLe"&amp;"vel+3, DVTColumn)) / LabSpeed,
    remainingTime, SUM(INDIRECT(""DVT_Laboratory!"" &amp; ADDRESS(LabLevel+3, DVTColumn) &amp; "":"" &amp; ADDRESS(MaxOrTarget+2, DVTColumn))) / LabSpeed,
  AK28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"""")"),"Armored Enemies
  Lab Level:      0 / 20 (Max)
  Next Level:    1d  0h 42m
  Max Level:     216d  4h 30m")</f>
        <v>Armored Enemies
  Lab Level:      0 / 20 (Max)
  Next Level:    1d  0h 42m
  Max Level:     216d  4h 30m</v>
      </c>
      <c r="AN28" s="1249" t="str">
        <f>IFERROR(__xludf.DUMMYFUNCTION("""COMPUTED_VALUE"""),"Helps avoid losing CL+ damage")</f>
        <v>Helps avoid losing CL+ damage</v>
      </c>
      <c r="AO28" s="1249" t="str">
        <f>IFERROR(__xludf.DUMMYFUNCTION("""COMPUTED_VALUE"""),"Protector Health
  Lab Level:      0 / 30 (Max)
  Next Level:    0d  3h 31m
  Max Level:     78d 13h  3m")</f>
        <v>Protector Health
  Lab Level:      0 / 30 (Max)
  Next Level:    0d  3h 31m
  Max Level:     78d 13h  3m</v>
      </c>
      <c r="AP28" s="1249" t="str">
        <f>IFERROR(__xludf.DUMMYFUNCTION("""COMPUTED_VALUE"""),"")</f>
        <v/>
      </c>
      <c r="AQ28" s="1249" t="str">
        <f>IFERROR(__xludf.DUMMYFUNCTION("""COMPUTED_VALUE"""),"Module Coin Cost")</f>
        <v>Module Coin Cost</v>
      </c>
      <c r="AR28" s="1250" t="str">
        <f>IFERROR(__xludf.DUMMYFUNCTION("if(AQ28 &lt;&gt; """", 
  LET( 
    TargetLevel, VLOOKUP(AQ28,MS_Labs_Array,3,false),
    MaxLevel, VLOOKUP(AQ28,MS_Labs_Array,4,false),
    MaxOrTarget, IF(OR(TargetLevel = """",$AD$1 &lt;&gt; ""Target""), MaxLevel, TargetLevel),
    LabLevel, VLOOKUP(AQ28,MS_Labs_A"&amp;"rray,2,False),
    Levelprogress, LabLevel / MaxOrTarget,
    DVTColumn, MATCH(AQ28,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8" s="1251" t="str">
        <f>IFERROR(__xludf.DUMMYFUNCTION("if(AQ28 &lt;&gt; """", 
  LET(
    TargetLevel, VLOOKUP(AQ28,MS_Labs_Array,3,false),
    LabSpeed, (1 * REGEXEXTRACT($BH$1, ""[\d.-]+"")) * {IF(AQ28 =""Labs Speed"", 1+'Master Sheet'!$BK$5, LAB_SPEED_TOTAL())},
    MaxLevel, VLOOKUP(AQ28,MS_Labs_Array,4,false),"&amp;"
    MaxOrTarget, IF(OR(TargetLevel = """",$AD$1 &lt;&gt; ""Target""), MaxLevel, TargetLevel),
    LabLevel, VLOOKUP(AQ28,MS_Labs_Array,2,False),
    DVTColumn, MATCH(AQ28, DVT_Laboratory!$A$1:BO$1, 0),
    xextTime, INDIRECT(""DVT_Laboratory!"" &amp; ADDRESS(LabLe"&amp;"vel+3, DVTColumn)) / LabSpeed,
    remainingTime, SUM(INDIRECT(""DVT_Laboratory!"" &amp; ADDRESS(LabLevel+3, DVTColumn) &amp; "":"" &amp; ADDRESS(MaxOrTarget+2, DVTColumn))) / LabSpeed,
  AQ28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"""")"),"Module Coin Cost
  Lab Level:      23 / 30 (Max)
  Next Level:    0d 22h  3m
  Max Level:     7d 16h 13m")</f>
        <v>Module Coin Cost
  Lab Level:      23 / 30 (Max)
  Next Level:    0d 22h  3m
  Max Level:     7d 16h 13m</v>
      </c>
      <c r="AT28" s="1249" t="str">
        <f>IFERROR(__xludf.DUMMYFUNCTION("""COMPUTED_VALUE"""),"Useless until level 161+ when costs go into trillions and quadrillions. Retroactive")</f>
        <v>Useless until level 161+ when costs go into trillions and quadrillions. Retroactive</v>
      </c>
      <c r="AU28" s="1249" t="str">
        <f>IFERROR(__xludf.DUMMYFUNCTION("""COMPUTED_VALUE"""),"Double Death Ray
  Lab Level:      6 / 30 (Max)
  Next Level:    0d  3h 53m
  Max Level:     56d  8h  2m")</f>
        <v>Double Death Ray
  Lab Level:      6 / 30 (Max)
  Next Level:    0d  3h 53m
  Max Level:     56d  8h  2m</v>
      </c>
      <c r="AV28" s="1249" t="str">
        <f>IFERROR(__xludf.DUMMYFUNCTION("""COMPUTED_VALUE"""),"")</f>
        <v/>
      </c>
      <c r="AW28" s="1249" t="str">
        <f>IFERROR(__xludf.DUMMYFUNCTION("""COMPUTED_VALUE"""),"Vampire Enemy Health")</f>
        <v>Vampire Enemy Health</v>
      </c>
      <c r="AX28" s="1250" t="str">
        <f>IFERROR(__xludf.DUMMYFUNCTION("if(AW28 &lt;&gt; """", 
  LET( 
    TargetLevel, VLOOKUP(AW28,MS_Labs_Array,3,false),
    MaxLevel, VLOOKUP(AW28,MS_Labs_Array,4,false),
    MaxOrTarget, IF(OR(TargetLevel = """",$AD$1 &lt;&gt; ""Target""), MaxLevel, TargetLevel),
    LabLevel, VLOOKUP(AW28,MS_Labs_A"&amp;"rray,2,False),
    Levelprogress, LabLevel / MaxOrTarget,
    DVTColumn, MATCH(AW28,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8" s="1251" t="str">
        <f>IFERROR(__xludf.DUMMYFUNCTION("if(AW28 &lt;&gt; """", 
  LET(
    TargetLevel, VLOOKUP(AW28,MS_Labs_Array,3,false),
    LabSpeed, (1 * REGEXEXTRACT($BH$1, ""[\d.-]+"")) * {IF(AW28 =""Labs Speed"", 1+'Master Sheet'!$BK$5, LAB_SPEED_TOTAL())},
    MaxLevel, VLOOKUP(AW28,MS_Labs_Array,4,false),"&amp;"
    MaxOrTarget, IF(OR(TargetLevel = """",$AD$1 &lt;&gt; ""Target""), MaxLevel, TargetLevel),
    LabLevel, VLOOKUP(AW28,MS_Labs_Array,2,False),
    DVTColumn, MATCH(AW28, DVT_Laboratory!$A$1:BO$1, 0),
    xextTime, INDIRECT(""DVT_Laboratory!"" &amp; ADDRESS(LabLe"&amp;"vel+3, DVTColumn)) / LabSpeed,
    remainingTime, SUM(INDIRECT(""DVT_Laboratory!"" &amp; ADDRESS(LabLevel+3, DVTColumn) &amp; "":"" &amp; ADDRESS(MaxOrTarget+2, DVTColumn))) / LabSpeed,
  AW28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"""")"),"Vampire Enemy Health
  Lab Level:      0 / 30 (Max)
  Next Level:    0d 16h 28m
  Max Level:     319d  3h 13m")</f>
        <v>Vampire Enemy Health
  Lab Level:      0 / 30 (Max)
  Next Level:    0d 16h 28m
  Max Level:     319d  3h 13m</v>
      </c>
      <c r="AZ28" s="1249" t="str">
        <f>IFERROR(__xludf.DUMMYFUNCTION("""COMPUTED_VALUE"""),"Vamps with garlic thorns, wall and package+ are a non threat anyway")</f>
        <v>Vamps with garlic thorns, wall and package+ are a non threat anyway</v>
      </c>
      <c r="BA28" s="1249" t="str">
        <f>IFERROR(__xludf.DUMMYFUNCTION("""COMPUTED_VALUE"""),"Recharge Missile Barrage
  Lab Level:      0 / 7 (Max)
  Next Level:    0d  7h 56m
  Max Level:     7d 15h  5m")</f>
        <v>Recharge Missile Barrage
  Lab Level:      0 / 7 (Max)
  Next Level:    0d  7h 56m
  Max Level:     7d 15h  5m</v>
      </c>
      <c r="BB28" s="1249" t="str">
        <f>IFERROR(__xludf.DUMMYFUNCTION("""COMPUTED_VALUE"""),"")</f>
        <v/>
      </c>
      <c r="BC28" s="1249"/>
      <c r="BD28" s="1250" t="str">
        <f>IFERROR(__xludf.DUMMYFUNCTION("if(BC28 &lt;&gt; """", 
  LET( 
    TargetLevel, VLOOKUP(BC28,MS_Labs_Array,3,false),
    MaxLevel, VLOOKUP(BC28,MS_Labs_Array,4,false),
    MaxOrTarget, IF(OR(TargetLevel = """",$AD$1 &lt;&gt; ""Target""), MaxLevel, TargetLevel),
    LabLevel, VLOOKUP(BC28,MS_Labs_A"&amp;"rray,2,False),
    Levelprogress, LabLevel / MaxOrTarget,
    DVTColumn, MATCH(BC28,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8" s="1251" t="str">
        <f>IFERROR(__xludf.DUMMYFUNCTION("if(BC28 &lt;&gt; """", 
  LET(
    TargetLevel, VLOOKUP(BC28,MS_Labs_Array,3,false),
    LabSpeed, (1 * REGEXEXTRACT($BH$1, ""[\d.-]+"")) * {IF(BC28 =""Labs Speed"", 1+'Master Sheet'!$BK$5, LAB_SPEED_TOTAL())},
    MaxLevel, VLOOKUP(BC28,MS_Labs_Array,4,false),"&amp;"
    MaxOrTarget, IF(OR(TargetLevel = """",$AD$1 &lt;&gt; ""Target""), MaxLevel, TargetLevel),
    LabLevel, VLOOKUP(BC28,MS_Labs_Array,2,False),
    DVTColumn, MATCH(BC28, DVT_Laboratory!$A$1:BO$1, 0),
    xextTime, INDIRECT(""DVT_Laboratory!"" &amp; ADDRESS(LabLe"&amp;"vel+3, DVTColumn)) / LabSpeed,
    remainingTime, SUM(INDIRECT(""DVT_Laboratory!"" &amp; ADDRESS(LabLevel+3, DVTColumn) &amp; "":"" &amp; ADDRESS(MaxOrTarget+2, DVTColumn))) / LabSpeed,
  BC28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8" s="1249"/>
      <c r="BG28" s="1249" t="str">
        <f>IFERROR(__xludf.DUMMYFUNCTION("""COMPUTED_VALUE"""),"")</f>
        <v/>
      </c>
      <c r="BH28" s="1260" t="str">
        <f>IFERROR(__xludf.DUMMYFUNCTION("""COMPUTED_VALUE"""),"")</f>
        <v/>
      </c>
      <c r="BI28" s="1252" t="str">
        <f>IFERROR(__xludf.DUMMYFUNCTION("""COMPUTED_VALUE"""),"Extra Black Hole")</f>
        <v>Extra Black Hole</v>
      </c>
      <c r="BJ28" s="1253" t="str">
        <f>IFERROR(__xludf.DUMMYFUNCTION("if(BI28 &lt;&gt; """", 
  LET( 
    TargetLevel, VLOOKUP(BI28,MS_Labs_Array,3,false),
    MaxLevel, VLOOKUP(BI28,MS_Labs_Array,4,false),
    MaxOrTarget, IF(OR(TargetLevel = """",$AD$1 &lt;&gt; ""Target""), MaxLevel, TargetLevel),
    LabLevel, VLOOKUP(BI28,MS_Labs_A"&amp;"rray,2,False),
    Levelprogress, IF(LabLevel &gt;= MaxOrTarget, 1, LabLevel / MaxOrTarget),
    DVTColumn, MATCH(BI28,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8" s="1254" t="str">
        <f>IFERROR(__xludf.DUMMYFUNCTION("if(BI28 &lt;&gt; """", 
  LET(
    TargetLevel, VLOOKUP(BI28,MS_Labs_Array,3,false),
    LabSpeed, (1 * REGEXEXTRACT($BH$1, ""[\d.-]+"")) * {IF(BI28 =""Labs Speed"", 1+'Master Sheet'!$BK$5, LAB_SPEED_TOTAL())},
    MaxLevel, VLOOKUP(BI28,MS_Labs_Array,4,false),"&amp;"
    MaxOrTarget, IF(OR(TargetLevel = """",$AD$1 &lt;&gt; ""Target""), MaxLevel, TargetLevel),
    LabLevel, VLOOKUP(BI28,MS_Labs_Array,2,False),
    DVTColumn, MATCH(BI28, DVT_Laboratory!$A$1:BO$1, 0),
    xextTime, INDIRECT(""DVT_Laboratory!"" &amp; ADDRESS(LabLe"&amp;"vel+3, DVTColumn)) / LabSpeed,
    remainingTime, SUM(INDIRECT(""DVT_Laboratory!"" &amp; ADDRESS(LabLevel+3, DVTColumn) &amp; "":"" &amp; ADDRESS(MaxOrTarget+2, DVTColumn))) / LabSpeed,
  BI28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"""")"),"Extra Black Hole
  Lab Level:      1 / 1 (Max)
  Next Level:    
  Max Level:     1d  2h 28m")</f>
        <v>Extra Black Hole
  Lab Level:      1 / 1 (Max)
  Next Level:    
  Max Level:     1d  2h 28m</v>
      </c>
      <c r="BL28" s="1252" t="str">
        <f>IFERROR(__xludf.DUMMYFUNCTION("""COMPUTED_VALUE"""),"Self explanatory. Probably the only lab to consider rushing before ancestral modules")</f>
        <v>Self explanatory. Probably the only lab to consider rushing before ancestral modules</v>
      </c>
      <c r="BM28" s="1252" t="str">
        <f>IFERROR(__xludf.DUMMYFUNCTION("""COMPUTED_VALUE"""),"Wall Health
  Lab Level:      50 / 50 (Max)
  Next Level:    
  Max Level:     0d 14h 35m")</f>
        <v>Wall Health
  Lab Level:      50 / 50 (Max)
  Next Level:    
  Max Level:     0d 14h 35m</v>
      </c>
      <c r="BN28" s="1222"/>
      <c r="BO28" s="1261"/>
    </row>
    <row r="29">
      <c r="A29" s="1222"/>
      <c r="B29" s="1286" t="s">
        <v>560</v>
      </c>
      <c r="C29" s="1287" t="s">
        <v>261</v>
      </c>
      <c r="D29" s="1280" t="str">
        <f>VLOOKUP(C29,'Remote Tier List'!A:D, 2, FALSE)</f>
        <v>S</v>
      </c>
      <c r="E29" s="1281" t="str">
        <f>VLOOKUP(C29,'Remote Tier List'!A:D, 3, FALSE)</f>
        <v/>
      </c>
      <c r="F29" s="1288" t="str">
        <f>VLOOKUP(C29,'Remote Tier List'!A:D, 4, FALSE)</f>
        <v>Keeps enemies at tower range much better</v>
      </c>
      <c r="G29" s="1245" t="b">
        <f t="shared" si="12"/>
        <v>1</v>
      </c>
      <c r="H29" s="1246" t="str">
        <f t="array" ref="H29:I29">LET(
  Lab, $C29,
  Mode, $AD$1,
  Level, VLOOKUP(Lab, MS_Labs_Array, 2, FALSE),
  Target, VLOOKUP(Lab, MS_Labs_Array, 3, FALSE),
  Max, VLOOKUP(Lab, MS_Labs_Array, 4, FALSE),
  Result,
    IF(
      AND(
        Mode &lt;&gt; "Never",
        Level &gt;= IF(OR(Target = "", Mode = "Max"), Max, Target)
      ),
      "Completed",
      ""
    ),
  HSTACK(
    IF(Result &lt;&gt; "", Result, $D29),
    IF(Result &lt;&gt; "", Result, IF($E29 = "", $D29, $E29))
  )
)</f>
        <v>Completed</v>
      </c>
      <c r="I29" s="1247" t="s">
        <v>551</v>
      </c>
      <c r="J29" s="1248" t="str">
        <f t="shared" si="13"/>
        <v>Keeps enemies at tower range much better</v>
      </c>
      <c r="K29" s="1229"/>
      <c r="L29" s="1249"/>
      <c r="M29" s="1249"/>
      <c r="N29" s="1250" t="str">
        <f>IFERROR(__xludf.DUMMYFUNCTION("if(M29 &lt;&gt; """", 
  LET( 
    TargetLevel, VLOOKUP(M29,MS_Labs_Array,3,false),
    MaxLevel, VLOOKUP(M29,MS_Labs_Array,4,false),
    MaxOrTarget, IF(OR(TargetLevel = """",$AD$1 &lt;&gt; ""Target""), MaxLevel, TargetLevel),
    LabLevel, VLOOKUP(M29,MS_Labs_Array"&amp;",2,False),
    Levelprogress, LabLevel / MaxOrTarget,
    DVTColumn, MATCH(M29,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9" s="1251" t="str">
        <f>IFERROR(__xludf.DUMMYFUNCTION("if(M29 &lt;&gt; """", 
  LET(
    TargetLevel, VLOOKUP(M29,MS_Labs_Array,3,false),
    LabSpeed, (1 * REGEXEXTRACT($BH$1, ""[\d.-]+"")) * {IF(M29 =""Labs Speed"", 1+'Master Sheet'!$BK$5, LAB_SPEED_TOTAL())},
    MaxLevel, VLOOKUP(M29,MS_Labs_Array,4,false),
   "&amp;" MaxOrTarget, IF(OR(TargetLevel = """",$AD$1 &lt;&gt; ""Target""), MaxLevel, TargetLevel),
    LabLevel, VLOOKUP(M29,MS_Labs_Array,2,False),
    DVTColumn, MATCH(M29, DVT_Laboratory!$A$1:BO$1, 0),
    xextTime, INDIRECT(""DVT_Laboratory!"" &amp; ADDRESS(LabLevel+3,"&amp;" DVTColumn)) / LabSpeed,
    remainingTime, SUM(INDIRECT(""DVT_Laboratory!"" &amp; ADDRESS(LabLevel+3, DVTColumn) &amp; "":"" &amp; ADDRESS(MaxOrTarget+2, DVTColumn))) / LabSpeed,
  M29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9" s="1249"/>
      <c r="Q29" s="1249"/>
      <c r="R29" s="1249"/>
      <c r="S29" s="1249"/>
      <c r="T29" s="1250" t="str">
        <f>IFERROR(__xludf.DUMMYFUNCTION("if(S29 &lt;&gt; """", 
  LET( 
    TargetLevel, VLOOKUP(S29,MS_Labs_Array,3,false),
    MaxLevel, VLOOKUP(S29,MS_Labs_Array,4,false),
    MaxOrTarget, IF(OR(TargetLevel = """",$AD$1 &lt;&gt; ""Target""), MaxLevel, TargetLevel),
    LabLevel, VLOOKUP(S29,MS_Labs_Array"&amp;",2,False),
    Levelprogress, LabLevel / MaxOrTarget,
    DVTColumn, MATCH(S29,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9" s="1251" t="str">
        <f>IFERROR(__xludf.DUMMYFUNCTION("if(S29 &lt;&gt; """", 
  LET(
    TargetLevel, VLOOKUP(S29,MS_Labs_Array,3,false),
    LabSpeed, (1 * REGEXEXTRACT($BH$1, ""[\d.-]+"")) * {IF(S29 =""Labs Speed"", 1+'Master Sheet'!$BK$5, LAB_SPEED_TOTAL())},
    MaxLevel, VLOOKUP(S29,MS_Labs_Array,4,false),
   "&amp;" MaxOrTarget, IF(OR(TargetLevel = """",$AD$1 &lt;&gt; ""Target""), MaxLevel, TargetLevel),
    LabLevel, VLOOKUP(S29,MS_Labs_Array,2,False),
    DVTColumn, MATCH(S29, DVT_Laboratory!$A$1:BO$1, 0),
    xextTime, INDIRECT(""DVT_Laboratory!"" &amp; ADDRESS(LabLevel+3,"&amp;" DVTColumn)) / LabSpeed,
    remainingTime, SUM(INDIRECT(""DVT_Laboratory!"" &amp; ADDRESS(LabLevel+3, DVTColumn) &amp; "":"" &amp; ADDRESS(MaxOrTarget+2, DVTColumn))) / LabSpeed,
  S29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9" s="1249"/>
      <c r="W29" s="1249"/>
      <c r="X29" s="1249" t="str">
        <f>IFERROR(__xludf.DUMMYFUNCTION("""COMPUTED_VALUE"""),"Swamp Radius")</f>
        <v>Swamp Radius</v>
      </c>
      <c r="Y29" s="1249" t="str">
        <f>IFERROR(__xludf.DUMMYFUNCTION("""COMPUTED_VALUE"""),"Assist Module Substats - Cannon")</f>
        <v>Assist Module Substats - Cannon</v>
      </c>
      <c r="Z29" s="1250" t="str">
        <f>IFERROR(__xludf.DUMMYFUNCTION("if(Y29 &lt;&gt; """", 
  LET( 
    TargetLevel, VLOOKUP(Y29,MS_Labs_Array,3,false),
    MaxLevel, VLOOKUP(Y29,MS_Labs_Array,4,false),
    MaxOrTarget, IF(OR(TargetLevel = """",$AD$1 &lt;&gt; ""Target""), MaxLevel, TargetLevel),
    LabLevel, VLOOKUP(Y29,MS_Labs_Array"&amp;",2,False),
    Levelprogress, LabLevel / MaxOrTarget,
    DVTColumn, MATCH(Y29,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9" s="1251" t="str">
        <f>IFERROR(__xludf.DUMMYFUNCTION("if(Y29 &lt;&gt; """", 
  LET(
    TargetLevel, VLOOKUP(Y29,MS_Labs_Array,3,false),
    LabSpeed, (1 * REGEXEXTRACT($BH$1, ""[\d.-]+"")) * {IF(Y29 =""Labs Speed"", 1+'Master Sheet'!$BK$5, LAB_SPEED_TOTAL())},
    MaxLevel, VLOOKUP(Y29,MS_Labs_Array,4,false),
   "&amp;" MaxOrTarget, IF(OR(TargetLevel = """",$AD$1 &lt;&gt; ""Target""), MaxLevel, TargetLevel),
    LabLevel, VLOOKUP(Y29,MS_Labs_Array,2,False),
    DVTColumn, MATCH(Y29, DVT_Laboratory!$A$1:BO$1, 0),
    xextTime, INDIRECT(""DVT_Laboratory!"" &amp; ADDRESS(LabLevel+3,"&amp;" DVTColumn)) / LabSpeed,
    remainingTime, SUM(INDIRECT(""DVT_Laboratory!"" &amp; ADDRESS(LabLevel+3, DVTColumn) &amp; "":"" &amp; ADDRESS(MaxOrTarget+2, DVTColumn))) / LabSpeed,
  Y29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"""")"),"Assist Module Substats - Cannon
  Lab Level:      0 / 30 (Max)
  Next Level:    0d 16h 28m
  Max Level:     319d  3h 13m")</f>
        <v>Assist Module Substats - Cannon
  Lab Level:      0 / 30 (Max)
  Next Level:    0d 16h 28m
  Max Level:     319d  3h 13m</v>
      </c>
      <c r="AB29" s="1249"/>
      <c r="AC29" s="1249" t="str">
        <f>IFERROR(__xludf.DUMMYFUNCTION("""COMPUTED_VALUE"""),"Potential footgun regarding where the enemy gets stunned. Proceed with caution. Can be partly counteracted by using a higher range")</f>
        <v>Potential footgun regarding where the enemy gets stunned. Proceed with caution. Can be partly counteracted by using a higher range</v>
      </c>
      <c r="AD29" s="1249" t="str">
        <f>IFERROR(__xludf.DUMMYFUNCTION("""COMPUTED_VALUE"""),"Lightning Amplifier - Scatter")</f>
        <v>Lightning Amplifier - Scatter</v>
      </c>
      <c r="AE29" s="1249"/>
      <c r="AF29" s="1250" t="str">
        <f>IFERROR(__xludf.DUMMYFUNCTION("if(AE29 &lt;&gt; """", 
  LET( 
    TargetLevel, VLOOKUP(AE29,MS_Labs_Array,3,false),
    MaxLevel, VLOOKUP(AE29,MS_Labs_Array,4,false),
    MaxOrTarget, IF(OR(TargetLevel = """",$AD$1 &lt;&gt; ""Target""), MaxLevel, TargetLevel),
    LabLevel, VLOOKUP(AE29,MS_Labs_A"&amp;"rray,2,False),
    Levelprogress, LabLevel / MaxOrTarget,
    DVTColumn, MATCH(AE29,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9" s="1251" t="str">
        <f>IFERROR(__xludf.DUMMYFUNCTION("if(AE29 &lt;&gt; """", 
  LET(
    TargetLevel, VLOOKUP(AE29,MS_Labs_Array,3,false),
    LabSpeed, (1 * REGEXEXTRACT($BH$1, ""[\d.-]+"")) * {IF(AE29 =""Labs Speed"", 1+'Master Sheet'!$BK$5, LAB_SPEED_TOTAL())},
    MaxLevel, VLOOKUP(AE29,MS_Labs_Array,4,false),"&amp;"
    MaxOrTarget, IF(OR(TargetLevel = """",$AD$1 &lt;&gt; ""Target""), MaxLevel, TargetLevel),
    LabLevel, VLOOKUP(AE29,MS_Labs_Array,2,False),
    DVTColumn, MATCH(AE29, DVT_Laboratory!$A$1:BO$1, 0),
    xextTime, INDIRECT(""DVT_Laboratory!"" &amp; ADDRESS(LabLe"&amp;"vel+3, DVTColumn)) / LabSpeed,
    remainingTime, SUM(INDIRECT(""DVT_Laboratory!"" &amp; ADDRESS(LabLevel+3, DVTColumn) &amp; "":"" &amp; ADDRESS(MaxOrTarget+2, DVTColumn))) / LabSpeed,
  AE29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9" s="1249"/>
      <c r="AI29" s="1249" t="str">
        <f>IFERROR(__xludf.DUMMYFUNCTION("""COMPUTED_VALUE"""),"A few levels solve scatters for the most part. More levels should solve the problem if they ever become a danger again")</f>
        <v>A few levels solve scatters for the most part. More levels should solve the problem if they ever become a danger again</v>
      </c>
      <c r="AJ29" s="1249" t="str">
        <f>IFERROR(__xludf.DUMMYFUNCTION("""COMPUTED_VALUE"""),"Protector Radius")</f>
        <v>Protector Radius</v>
      </c>
      <c r="AK29" s="1249" t="str">
        <f>IFERROR(__xludf.DUMMYFUNCTION("""COMPUTED_VALUE"""),"Enemy Attack Speed")</f>
        <v>Enemy Attack Speed</v>
      </c>
      <c r="AL29" s="1250" t="str">
        <f>IFERROR(__xludf.DUMMYFUNCTION("if(AK29 &lt;&gt; """", 
  LET( 
    TargetLevel, VLOOKUP(AK29,MS_Labs_Array,3,false),
    MaxLevel, VLOOKUP(AK29,MS_Labs_Array,4,false),
    MaxOrTarget, IF(OR(TargetLevel = """",$AD$1 &lt;&gt; ""Target""), MaxLevel, TargetLevel),
    LabLevel, VLOOKUP(AK29,MS_Labs_A"&amp;"rray,2,False),
    Levelprogress, LabLevel / MaxOrTarget,
    DVTColumn, MATCH(AK29,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9" s="1251" t="str">
        <f>IFERROR(__xludf.DUMMYFUNCTION("if(AK29 &lt;&gt; """", 
  LET(
    TargetLevel, VLOOKUP(AK29,MS_Labs_Array,3,false),
    LabSpeed, (1 * REGEXEXTRACT($BH$1, ""[\d.-]+"")) * {IF(AK29 =""Labs Speed"", 1+'Master Sheet'!$BK$5, LAB_SPEED_TOTAL())},
    MaxLevel, VLOOKUP(AK29,MS_Labs_Array,4,false),"&amp;"
    MaxOrTarget, IF(OR(TargetLevel = """",$AD$1 &lt;&gt; ""Target""), MaxLevel, TargetLevel),
    LabLevel, VLOOKUP(AK29,MS_Labs_Array,2,False),
    DVTColumn, MATCH(AK29, DVT_Laboratory!$A$1:BO$1, 0),
    xextTime, INDIRECT(""DVT_Laboratory!"" &amp; ADDRESS(LabLe"&amp;"vel+3, DVTColumn)) / LabSpeed,
    remainingTime, SUM(INDIRECT(""DVT_Laboratory!"" &amp; ADDRESS(LabLevel+3, DVTColumn) &amp; "":"" &amp; ADDRESS(MaxOrTarget+2, DVTColumn))) / LabSpeed,
  AK29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"""")"),"Enemy Attack Speed
  Lab Level:      0 / 20 (Max)
  Next Level:    1d  0h 42m
  Max Level:     216d  4h 30m")</f>
        <v>Enemy Attack Speed
  Lab Level:      0 / 20 (Max)
  Next Level:    1d  0h 42m
  Max Level:     216d  4h 30m</v>
      </c>
      <c r="AN29" s="1249"/>
      <c r="AO29" s="1249" t="str">
        <f>IFERROR(__xludf.DUMMYFUNCTION("""COMPUTED_VALUE"""),"Decent value for the lower levels")</f>
        <v>Decent value for the lower levels</v>
      </c>
      <c r="AP29" s="1249" t="str">
        <f>IFERROR(__xludf.DUMMYFUNCTION("""COMPUTED_VALUE"""),"Super Tower Bonus")</f>
        <v>Super Tower Bonus</v>
      </c>
      <c r="AQ29" s="1249" t="str">
        <f>IFERROR(__xludf.DUMMYFUNCTION("""COMPUTED_VALUE"""),"Boss's Ultimate")</f>
        <v>Boss's Ultimate</v>
      </c>
      <c r="AR29" s="1250" t="str">
        <f>IFERROR(__xludf.DUMMYFUNCTION("if(AQ29 &lt;&gt; """", 
  LET( 
    TargetLevel, VLOOKUP(AQ29,MS_Labs_Array,3,false),
    MaxLevel, VLOOKUP(AQ29,MS_Labs_Array,4,false),
    MaxOrTarget, IF(OR(TargetLevel = """",$AD$1 &lt;&gt; ""Target""), MaxLevel, TargetLevel),
    LabLevel, VLOOKUP(AQ29,MS_Labs_A"&amp;"rray,2,False),
    Levelprogress, LabLevel / MaxOrTarget,
    DVTColumn, MATCH(AQ29,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9" s="1251" t="str">
        <f>IFERROR(__xludf.DUMMYFUNCTION("if(AQ29 &lt;&gt; """", 
  LET(
    TargetLevel, VLOOKUP(AQ29,MS_Labs_Array,3,false),
    LabSpeed, (1 * REGEXEXTRACT($BH$1, ""[\d.-]+"")) * {IF(AQ29 =""Labs Speed"", 1+'Master Sheet'!$BK$5, LAB_SPEED_TOTAL())},
    MaxLevel, VLOOKUP(AQ29,MS_Labs_Array,4,false),"&amp;"
    MaxOrTarget, IF(OR(TargetLevel = """",$AD$1 &lt;&gt; ""Target""), MaxLevel, TargetLevel),
    LabLevel, VLOOKUP(AQ29,MS_Labs_Array,2,False),
    DVTColumn, MATCH(AQ29, DVT_Laboratory!$A$1:BO$1, 0),
    xextTime, INDIRECT(""DVT_Laboratory!"" &amp; ADDRESS(LabLe"&amp;"vel+3, DVTColumn)) / LabSpeed,
    remainingTime, SUM(INDIRECT(""DVT_Laboratory!"" &amp; ADDRESS(LabLevel+3, DVTColumn) &amp; "":"" &amp; ADDRESS(MaxOrTarget+2, DVTColumn))) / LabSpeed,
  AQ29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"""")"),"Boss's Ultimate
  Lab Level:      0 / 10 (Max)
  Next Level:    1d 17h 10m
  Max Level:     48d  0h 59m")</f>
        <v>Boss's Ultimate
  Lab Level:      0 / 10 (Max)
  Next Level:    1d 17h 10m
  Max Level:     48d  0h 59m</v>
      </c>
      <c r="AT29" s="1249"/>
      <c r="AU29" s="1249" t="str">
        <f>IFERROR(__xludf.DUMMYFUNCTION("""COMPUTED_VALUE"""),"Super Tower is a bullet only damage multiplier until you unlock its mastery. Great damage multipler after doing so")</f>
        <v>Super Tower is a bullet only damage multiplier until you unlock its mastery. Great damage multipler after doing so</v>
      </c>
      <c r="AV29" s="1249" t="str">
        <f>IFERROR(__xludf.DUMMYFUNCTION("""COMPUTED_VALUE"""),"Chain Thunder")</f>
        <v>Chain Thunder</v>
      </c>
      <c r="AW29" s="1249" t="str">
        <f>IFERROR(__xludf.DUMMYFUNCTION("""COMPUTED_VALUE"""),"Enemy Speed")</f>
        <v>Enemy Speed</v>
      </c>
      <c r="AX29" s="1250" t="str">
        <f>IFERROR(__xludf.DUMMYFUNCTION("if(AW29 &lt;&gt; """", 
  LET( 
    TargetLevel, VLOOKUP(AW29,MS_Labs_Array,3,false),
    MaxLevel, VLOOKUP(AW29,MS_Labs_Array,4,false),
    MaxOrTarget, IF(OR(TargetLevel = """",$AD$1 &lt;&gt; ""Target""), MaxLevel, TargetLevel),
    LabLevel, VLOOKUP(AW29,MS_Labs_A"&amp;"rray,2,False),
    Levelprogress, LabLevel / MaxOrTarget,
    DVTColumn, MATCH(AW29,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9" s="1251" t="str">
        <f>IFERROR(__xludf.DUMMYFUNCTION("if(AW29 &lt;&gt; """", 
  LET(
    TargetLevel, VLOOKUP(AW29,MS_Labs_Array,3,false),
    LabSpeed, (1 * REGEXEXTRACT($BH$1, ""[\d.-]+"")) * {IF(AW29 =""Labs Speed"", 1+'Master Sheet'!$BK$5, LAB_SPEED_TOTAL())},
    MaxLevel, VLOOKUP(AW29,MS_Labs_Array,4,false),"&amp;"
    MaxOrTarget, IF(OR(TargetLevel = """",$AD$1 &lt;&gt; ""Target""), MaxLevel, TargetLevel),
    LabLevel, VLOOKUP(AW29,MS_Labs_Array,2,False),
    DVTColumn, MATCH(AW29, DVT_Laboratory!$A$1:BO$1, 0),
    xextTime, INDIRECT(""DVT_Laboratory!"" &amp; ADDRESS(LabLe"&amp;"vel+3, DVTColumn)) / LabSpeed,
    remainingTime, SUM(INDIRECT(""DVT_Laboratory!"" &amp; ADDRESS(LabLevel+3, DVTColumn) &amp; "":"" &amp; ADDRESS(MaxOrTarget+2, DVTColumn))) / LabSpeed,
  AW29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"""")"),"Enemy Speed
  Lab Level:      0 / 20 (Max)
  Next Level:    1d  0h 42m
  Max Level:     216d  4h 30m")</f>
        <v>Enemy Speed
  Lab Level:      0 / 20 (Max)
  Next Level:    1d  0h 42m
  Max Level:     216d  4h 30m</v>
      </c>
      <c r="AZ29" s="1249"/>
      <c r="BA29" s="1249" t="str">
        <f>IFERROR(__xludf.DUMMYFUNCTION("""COMPUTED_VALUE"""),"Extremely good at what it does; however the effect of it is not that desirable by the time you unlock it. Basically requires CL+, costs 40q coins to max")</f>
        <v>Extremely good at what it does; however the effect of it is not that desirable by the time you unlock it. Basically requires CL+, costs 40q coins to max</v>
      </c>
      <c r="BB29" s="1249"/>
      <c r="BC29" s="1249"/>
      <c r="BD29" s="1250" t="str">
        <f>IFERROR(__xludf.DUMMYFUNCTION("if(BC29 &lt;&gt; """", 
  LET( 
    TargetLevel, VLOOKUP(BC29,MS_Labs_Array,3,false),
    MaxLevel, VLOOKUP(BC29,MS_Labs_Array,4,false),
    MaxOrTarget, IF(OR(TargetLevel = """",$AD$1 &lt;&gt; ""Target""), MaxLevel, TargetLevel),
    LabLevel, VLOOKUP(BC29,MS_Labs_A"&amp;"rray,2,False),
    Levelprogress, LabLevel / MaxOrTarget,
    DVTColumn, MATCH(BC29,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9" s="1251" t="str">
        <f>IFERROR(__xludf.DUMMYFUNCTION("if(BC29 &lt;&gt; """", 
  LET(
    TargetLevel, VLOOKUP(BC29,MS_Labs_Array,3,false),
    LabSpeed, (1 * REGEXEXTRACT($BH$1, ""[\d.-]+"")) * {IF(BC29 =""Labs Speed"", 1+'Master Sheet'!$BK$5, LAB_SPEED_TOTAL())},
    MaxLevel, VLOOKUP(BC29,MS_Labs_Array,4,false),"&amp;"
    MaxOrTarget, IF(OR(TargetLevel = """",$AD$1 &lt;&gt; ""Target""), MaxLevel, TargetLevel),
    LabLevel, VLOOKUP(BC29,MS_Labs_Array,2,False),
    DVTColumn, MATCH(BC29, DVT_Laboratory!$A$1:BO$1, 0),
    xextTime, INDIRECT(""DVT_Laboratory!"" &amp; ADDRESS(LabLe"&amp;"vel+3, DVTColumn)) / LabSpeed,
    remainingTime, SUM(INDIRECT(""DVT_Laboratory!"" &amp; ADDRESS(LabLevel+3, DVTColumn) &amp; "":"" &amp; ADDRESS(MaxOrTarget+2, DVTColumn))) / LabSpeed,
  BC29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9" s="1249"/>
      <c r="BG29" s="1249"/>
      <c r="BH29" s="1260" t="str">
        <f>IFERROR(__xludf.DUMMYFUNCTION("""COMPUTED_VALUE"""),"Garlic Thorns")</f>
        <v>Garlic Thorns</v>
      </c>
      <c r="BI29" s="1252" t="str">
        <f>IFERROR(__xludf.DUMMYFUNCTION("""COMPUTED_VALUE"""),"Black Hole Coin Bonus")</f>
        <v>Black Hole Coin Bonus</v>
      </c>
      <c r="BJ29" s="1253" t="str">
        <f>IFERROR(__xludf.DUMMYFUNCTION("if(BI29 &lt;&gt; """", 
  LET( 
    TargetLevel, VLOOKUP(BI29,MS_Labs_Array,3,false),
    MaxLevel, VLOOKUP(BI29,MS_Labs_Array,4,false),
    MaxOrTarget, IF(OR(TargetLevel = """",$AD$1 &lt;&gt; ""Target""), MaxLevel, TargetLevel),
    LabLevel, VLOOKUP(BI29,MS_Labs_A"&amp;"rray,2,False),
    Levelprogress, IF(LabLevel &gt;= MaxOrTarget, 1, LabLevel / MaxOrTarget),
    DVTColumn, MATCH(BI29,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9" s="1254" t="str">
        <f>IFERROR(__xludf.DUMMYFUNCTION("if(BI29 &lt;&gt; """", 
  LET(
    TargetLevel, VLOOKUP(BI29,MS_Labs_Array,3,false),
    LabSpeed, (1 * REGEXEXTRACT($BH$1, ""[\d.-]+"")) * {IF(BI29 =""Labs Speed"", 1+'Master Sheet'!$BK$5, LAB_SPEED_TOTAL())},
    MaxLevel, VLOOKUP(BI29,MS_Labs_Array,4,false),"&amp;"
    MaxOrTarget, IF(OR(TargetLevel = """",$AD$1 &lt;&gt; ""Target""), MaxLevel, TargetLevel),
    LabLevel, VLOOKUP(BI29,MS_Labs_Array,2,False),
    DVTColumn, MATCH(BI29, DVT_Laboratory!$A$1:BO$1, 0),
    xextTime, INDIRECT(""DVT_Laboratory!"" &amp; ADDRESS(LabLe"&amp;"vel+3, DVTColumn)) / LabSpeed,
    remainingTime, SUM(INDIRECT(""DVT_Laboratory!"" &amp; ADDRESS(LabLevel+3, DVTColumn) &amp; "":"" &amp; ADDRESS(MaxOrTarget+2, DVTColumn))) / LabSpeed,
  BI29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"""")"),"Black Hole Coin Bonus
  Lab Level:      20 / 20 (Max)
  Next Level:    
  Max Level:     2d  1h 32m")</f>
        <v>Black Hole Coin Bonus
  Lab Level:      20 / 20 (Max)
  Next Level:    
  Max Level:     2d  1h 32m</v>
      </c>
      <c r="BL29" s="1252" t="str">
        <f>IFERROR(__xludf.DUMMYFUNCTION("""COMPUTED_VALUE"""),"Best coin multiplier that isn't GT")</f>
        <v>Best coin multiplier that isn't GT</v>
      </c>
      <c r="BM29" s="1252" t="str">
        <f>IFERROR(__xludf.DUMMYFUNCTION("""COMPUTED_VALUE"""),"Solves the vampire problem better than a wooden stake to the heart, if you don't have a problem with vampires you can wait to start/finish this lab")</f>
        <v>Solves the vampire problem better than a wooden stake to the heart, if you don't have a problem with vampires you can wait to start/finish this lab</v>
      </c>
      <c r="BN29" s="1222"/>
      <c r="BO29" s="1261"/>
    </row>
    <row r="30" ht="7.5" customHeight="1">
      <c r="A30" s="1222"/>
      <c r="B30" s="1274"/>
      <c r="C30" s="1289"/>
      <c r="D30" s="1276"/>
      <c r="E30" s="1276"/>
      <c r="F30" s="1274"/>
      <c r="G30" s="1277"/>
      <c r="H30" s="1278"/>
      <c r="I30" s="1278"/>
      <c r="J30" s="1248"/>
      <c r="K30" s="1229"/>
      <c r="L30" s="1249" t="str">
        <f>IFERROR(__xludf.DUMMYFUNCTION("""COMPUTED_VALUE"""),"")</f>
        <v/>
      </c>
      <c r="M30" s="1249"/>
      <c r="N30" s="1250" t="str">
        <f>IFERROR(__xludf.DUMMYFUNCTION("if(M30 &lt;&gt; """", 
  LET( 
    TargetLevel, VLOOKUP(M30,MS_Labs_Array,3,false),
    MaxLevel, VLOOKUP(M30,MS_Labs_Array,4,false),
    MaxOrTarget, IF(OR(TargetLevel = """",$AD$1 &lt;&gt; ""Target""), MaxLevel, TargetLevel),
    LabLevel, VLOOKUP(M30,MS_Labs_Array"&amp;",2,False),
    Levelprogress, LabLevel / MaxOrTarget,
    DVTColumn, MATCH(M30,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0" s="1251" t="str">
        <f>IFERROR(__xludf.DUMMYFUNCTION("if(M30 &lt;&gt; """", 
  LET(
    TargetLevel, VLOOKUP(M30,MS_Labs_Array,3,false),
    LabSpeed, (1 * REGEXEXTRACT($BH$1, ""[\d.-]+"")) * {IF(M30 =""Labs Speed"", 1+'Master Sheet'!$BK$5, LAB_SPEED_TOTAL())},
    MaxLevel, VLOOKUP(M30,MS_Labs_Array,4,false),
   "&amp;" MaxOrTarget, IF(OR(TargetLevel = """",$AD$1 &lt;&gt; ""Target""), MaxLevel, TargetLevel),
    LabLevel, VLOOKUP(M30,MS_Labs_Array,2,False),
    DVTColumn, MATCH(M30, DVT_Laboratory!$A$1:BO$1, 0),
    xextTime, INDIRECT(""DVT_Laboratory!"" &amp; ADDRESS(LabLevel+3,"&amp;" DVTColumn)) / LabSpeed,
    remainingTime, SUM(INDIRECT(""DVT_Laboratory!"" &amp; ADDRESS(LabLevel+3, DVTColumn) &amp; "":"" &amp; ADDRESS(MaxOrTarget+2, DVTColumn))) / LabSpeed,
  M30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0" s="1249"/>
      <c r="Q30" s="1249" t="str">
        <f>IFERROR(__xludf.DUMMYFUNCTION("""COMPUTED_VALUE"""),"")</f>
        <v/>
      </c>
      <c r="R30" s="1249" t="str">
        <f>IFERROR(__xludf.DUMMYFUNCTION("""COMPUTED_VALUE"""),"")</f>
        <v/>
      </c>
      <c r="S30" s="1249"/>
      <c r="T30" s="1250" t="str">
        <f>IFERROR(__xludf.DUMMYFUNCTION("if(S30 &lt;&gt; """", 
  LET( 
    TargetLevel, VLOOKUP(S30,MS_Labs_Array,3,false),
    MaxLevel, VLOOKUP(S30,MS_Labs_Array,4,false),
    MaxOrTarget, IF(OR(TargetLevel = """",$AD$1 &lt;&gt; ""Target""), MaxLevel, TargetLevel),
    LabLevel, VLOOKUP(S30,MS_Labs_Array"&amp;",2,False),
    Levelprogress, LabLevel / MaxOrTarget,
    DVTColumn, MATCH(S30,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0" s="1251" t="str">
        <f>IFERROR(__xludf.DUMMYFUNCTION("if(S30 &lt;&gt; """", 
  LET(
    TargetLevel, VLOOKUP(S30,MS_Labs_Array,3,false),
    LabSpeed, (1 * REGEXEXTRACT($BH$1, ""[\d.-]+"")) * {IF(S30 =""Labs Speed"", 1+'Master Sheet'!$BK$5, LAB_SPEED_TOTAL())},
    MaxLevel, VLOOKUP(S30,MS_Labs_Array,4,false),
   "&amp;" MaxOrTarget, IF(OR(TargetLevel = """",$AD$1 &lt;&gt; ""Target""), MaxLevel, TargetLevel),
    LabLevel, VLOOKUP(S30,MS_Labs_Array,2,False),
    DVTColumn, MATCH(S30, DVT_Laboratory!$A$1:BO$1, 0),
    xextTime, INDIRECT(""DVT_Laboratory!"" &amp; ADDRESS(LabLevel+3,"&amp;" DVTColumn)) / LabSpeed,
    remainingTime, SUM(INDIRECT(""DVT_Laboratory!"" &amp; ADDRESS(LabLevel+3, DVTColumn) &amp; "":"" &amp; ADDRESS(MaxOrTarget+2, DVTColumn))) / LabSpeed,
  S30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0" s="1249"/>
      <c r="W30" s="1249" t="str">
        <f>IFERROR(__xludf.DUMMYFUNCTION("""COMPUTED_VALUE"""),"")</f>
        <v/>
      </c>
      <c r="X30" s="1249" t="str">
        <f>IFERROR(__xludf.DUMMYFUNCTION("""COMPUTED_VALUE"""),"")</f>
        <v/>
      </c>
      <c r="Y30" s="1249" t="str">
        <f>IFERROR(__xludf.DUMMYFUNCTION("""COMPUTED_VALUE"""),"Assist Module Substats - Armor")</f>
        <v>Assist Module Substats - Armor</v>
      </c>
      <c r="Z30" s="1250" t="str">
        <f>IFERROR(__xludf.DUMMYFUNCTION("if(Y30 &lt;&gt; """", 
  LET( 
    TargetLevel, VLOOKUP(Y30,MS_Labs_Array,3,false),
    MaxLevel, VLOOKUP(Y30,MS_Labs_Array,4,false),
    MaxOrTarget, IF(OR(TargetLevel = """",$AD$1 &lt;&gt; ""Target""), MaxLevel, TargetLevel),
    LabLevel, VLOOKUP(Y30,MS_Labs_Array"&amp;",2,False),
    Levelprogress, LabLevel / MaxOrTarget,
    DVTColumn, MATCH(Y30,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0" s="1251" t="str">
        <f>IFERROR(__xludf.DUMMYFUNCTION("if(Y30 &lt;&gt; """", 
  LET(
    TargetLevel, VLOOKUP(Y30,MS_Labs_Array,3,false),
    LabSpeed, (1 * REGEXEXTRACT($BH$1, ""[\d.-]+"")) * {IF(Y30 =""Labs Speed"", 1+'Master Sheet'!$BK$5, LAB_SPEED_TOTAL())},
    MaxLevel, VLOOKUP(Y30,MS_Labs_Array,4,false),
   "&amp;" MaxOrTarget, IF(OR(TargetLevel = """",$AD$1 &lt;&gt; ""Target""), MaxLevel, TargetLevel),
    LabLevel, VLOOKUP(Y30,MS_Labs_Array,2,False),
    DVTColumn, MATCH(Y30, DVT_Laboratory!$A$1:BO$1, 0),
    xextTime, INDIRECT(""DVT_Laboratory!"" &amp; ADDRESS(LabLevel+3,"&amp;" DVTColumn)) / LabSpeed,
    remainingTime, SUM(INDIRECT(""DVT_Laboratory!"" &amp; ADDRESS(LabLevel+3, DVTColumn) &amp; "":"" &amp; ADDRESS(MaxOrTarget+2, DVTColumn))) / LabSpeed,
  Y30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"""")"),"Assist Module Substats - Armor
  Lab Level:      0 / 30 (Max)
  Next Level:    0d 16h 28m
  Max Level:     319d  3h 13m")</f>
        <v>Assist Module Substats - Armor
  Lab Level:      0 / 30 (Max)
  Next Level:    0d 16h 28m
  Max Level:     319d  3h 13m</v>
      </c>
      <c r="AB30" s="1249"/>
      <c r="AC30" s="1249" t="str">
        <f>IFERROR(__xludf.DUMMYFUNCTION("""COMPUTED_VALUE"""),"Swamp Radius
  Lab Level:      0 / 30 (Max)
  Next Level:    0d  1h 16m
  Max Level:     52d 10h 56m")</f>
        <v>Swamp Radius
  Lab Level:      0 / 30 (Max)
  Next Level:    0d  1h 16m
  Max Level:     52d 10h 56m</v>
      </c>
      <c r="AD30" s="1249" t="str">
        <f>IFERROR(__xludf.DUMMYFUNCTION("""COMPUTED_VALUE"""),"")</f>
        <v/>
      </c>
      <c r="AE30" s="1249"/>
      <c r="AF30" s="1250" t="str">
        <f>IFERROR(__xludf.DUMMYFUNCTION("if(AE30 &lt;&gt; """", 
  LET( 
    TargetLevel, VLOOKUP(AE30,MS_Labs_Array,3,false),
    MaxLevel, VLOOKUP(AE30,MS_Labs_Array,4,false),
    MaxOrTarget, IF(OR(TargetLevel = """",$AD$1 &lt;&gt; ""Target""), MaxLevel, TargetLevel),
    LabLevel, VLOOKUP(AE30,MS_Labs_A"&amp;"rray,2,False),
    Levelprogress, LabLevel / MaxOrTarget,
    DVTColumn, MATCH(AE30,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0" s="1251" t="str">
        <f>IFERROR(__xludf.DUMMYFUNCTION("if(AE30 &lt;&gt; """", 
  LET(
    TargetLevel, VLOOKUP(AE30,MS_Labs_Array,3,false),
    LabSpeed, (1 * REGEXEXTRACT($BH$1, ""[\d.-]+"")) * {IF(AE30 =""Labs Speed"", 1+'Master Sheet'!$BK$5, LAB_SPEED_TOTAL())},
    MaxLevel, VLOOKUP(AE30,MS_Labs_Array,4,false),"&amp;"
    MaxOrTarget, IF(OR(TargetLevel = """",$AD$1 &lt;&gt; ""Target""), MaxLevel, TargetLevel),
    LabLevel, VLOOKUP(AE30,MS_Labs_Array,2,False),
    DVTColumn, MATCH(AE30, DVT_Laboratory!$A$1:BO$1, 0),
    xextTime, INDIRECT(""DVT_Laboratory!"" &amp; ADDRESS(LabLe"&amp;"vel+3, DVTColumn)) / LabSpeed,
    remainingTime, SUM(INDIRECT(""DVT_Laboratory!"" &amp; ADDRESS(LabLevel+3, DVTColumn) &amp; "":"" &amp; ADDRESS(MaxOrTarget+2, DVTColumn))) / LabSpeed,
  AE30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0" s="1249"/>
      <c r="AI30" s="1249" t="str">
        <f>IFERROR(__xludf.DUMMYFUNCTION("""COMPUTED_VALUE"""),"Lightning Amplifier - Scatter
  Lab Level:      9 / 30 (Max)
  Next Level:    1d 11h 14m
  Max Level:     119d 23h 32m")</f>
        <v>Lightning Amplifier - Scatter
  Lab Level:      9 / 30 (Max)
  Next Level:    1d 11h 14m
  Max Level:     119d 23h 32m</v>
      </c>
      <c r="AJ30" s="1249" t="str">
        <f>IFERROR(__xludf.DUMMYFUNCTION("""COMPUTED_VALUE"""),"")</f>
        <v/>
      </c>
      <c r="AK30" s="1249" t="str">
        <f>IFERROR(__xludf.DUMMYFUNCTION("""COMPUTED_VALUE"""),"Death Defy Down")</f>
        <v>Death Defy Down</v>
      </c>
      <c r="AL30" s="1250" t="str">
        <f>IFERROR(__xludf.DUMMYFUNCTION("if(AK30 &lt;&gt; """", 
  LET( 
    TargetLevel, VLOOKUP(AK30,MS_Labs_Array,3,false),
    MaxLevel, VLOOKUP(AK30,MS_Labs_Array,4,false),
    MaxOrTarget, IF(OR(TargetLevel = """",$AD$1 &lt;&gt; ""Target""), MaxLevel, TargetLevel),
    LabLevel, VLOOKUP(AK30,MS_Labs_A"&amp;"rray,2,False),
    Levelprogress, LabLevel / MaxOrTarget,
    DVTColumn, MATCH(AK30,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0" s="1251" t="str">
        <f>IFERROR(__xludf.DUMMYFUNCTION("if(AK30 &lt;&gt; """", 
  LET(
    TargetLevel, VLOOKUP(AK30,MS_Labs_Array,3,false),
    LabSpeed, (1 * REGEXEXTRACT($BH$1, ""[\d.-]+"")) * {IF(AK30 =""Labs Speed"", 1+'Master Sheet'!$BK$5, LAB_SPEED_TOTAL())},
    MaxLevel, VLOOKUP(AK30,MS_Labs_Array,4,false),"&amp;"
    MaxOrTarget, IF(OR(TargetLevel = """",$AD$1 &lt;&gt; ""Target""), MaxLevel, TargetLevel),
    LabLevel, VLOOKUP(AK30,MS_Labs_Array,2,False),
    DVTColumn, MATCH(AK30, DVT_Laboratory!$A$1:BO$1, 0),
    xextTime, INDIRECT(""DVT_Laboratory!"" &amp; ADDRESS(LabLe"&amp;"vel+3, DVTColumn)) / LabSpeed,
    remainingTime, SUM(INDIRECT(""DVT_Laboratory!"" &amp; ADDRESS(LabLevel+3, DVTColumn) &amp; "":"" &amp; ADDRESS(MaxOrTarget+2, DVTColumn))) / LabSpeed,
  AK30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"""")"),"Death Defy Down
  Lab Level:      0 / 10 (Max)
  Next Level:    1d 17h 10m
  Max Level:     68d  2h 47m")</f>
        <v>Death Defy Down
  Lab Level:      0 / 10 (Max)
  Next Level:    1d 17h 10m
  Max Level:     68d  2h 47m</v>
      </c>
      <c r="AN30" s="1249" t="str">
        <f>IFERROR(__xludf.DUMMYFUNCTION("""COMPUTED_VALUE"""),"Extra invincibility is always strong")</f>
        <v>Extra invincibility is always strong</v>
      </c>
      <c r="AO30" s="1249" t="str">
        <f>IFERROR(__xludf.DUMMYFUNCTION("""COMPUTED_VALUE"""),"Protector Radius
  Lab Level:      0 / 30 (Max)
  Next Level:    0d  3h 31m
  Max Level:     78d 13h  3m")</f>
        <v>Protector Radius
  Lab Level:      0 / 30 (Max)
  Next Level:    0d  3h 31m
  Max Level:     78d 13h  3m</v>
      </c>
      <c r="AP30" s="1249" t="str">
        <f>IFERROR(__xludf.DUMMYFUNCTION("""COMPUTED_VALUE"""),"")</f>
        <v/>
      </c>
      <c r="AQ30" s="1249" t="str">
        <f>IFERROR(__xludf.DUMMYFUNCTION("""COMPUTED_VALUE"""),"Tank's Ultimate")</f>
        <v>Tank's Ultimate</v>
      </c>
      <c r="AR30" s="1250" t="str">
        <f>IFERROR(__xludf.DUMMYFUNCTION("if(AQ30 &lt;&gt; """", 
  LET( 
    TargetLevel, VLOOKUP(AQ30,MS_Labs_Array,3,false),
    MaxLevel, VLOOKUP(AQ30,MS_Labs_Array,4,false),
    MaxOrTarget, IF(OR(TargetLevel = """",$AD$1 &lt;&gt; ""Target""), MaxLevel, TargetLevel),
    LabLevel, VLOOKUP(AQ30,MS_Labs_A"&amp;"rray,2,False),
    Levelprogress, LabLevel / MaxOrTarget,
    DVTColumn, MATCH(AQ30,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0" s="1251" t="str">
        <f>IFERROR(__xludf.DUMMYFUNCTION("if(AQ30 &lt;&gt; """", 
  LET(
    TargetLevel, VLOOKUP(AQ30,MS_Labs_Array,3,false),
    LabSpeed, (1 * REGEXEXTRACT($BH$1, ""[\d.-]+"")) * {IF(AQ30 =""Labs Speed"", 1+'Master Sheet'!$BK$5, LAB_SPEED_TOTAL())},
    MaxLevel, VLOOKUP(AQ30,MS_Labs_Array,4,false),"&amp;"
    MaxOrTarget, IF(OR(TargetLevel = """",$AD$1 &lt;&gt; ""Target""), MaxLevel, TargetLevel),
    LabLevel, VLOOKUP(AQ30,MS_Labs_Array,2,False),
    DVTColumn, MATCH(AQ30, DVT_Laboratory!$A$1:BO$1, 0),
    xextTime, INDIRECT(""DVT_Laboratory!"" &amp; ADDRESS(LabLe"&amp;"vel+3, DVTColumn)) / LabSpeed,
    remainingTime, SUM(INDIRECT(""DVT_Laboratory!"" &amp; ADDRESS(LabLevel+3, DVTColumn) &amp; "":"" &amp; ADDRESS(MaxOrTarget+2, DVTColumn))) / LabSpeed,
  AQ30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"""")"),"Tank's Ultimate
  Lab Level:      0 / 10 (Max)
  Next Level:    1d 17h 10m
  Max Level:     48d  0h 59m")</f>
        <v>Tank's Ultimate
  Lab Level:      0 / 10 (Max)
  Next Level:    1d 17h 10m
  Max Level:     48d  0h 59m</v>
      </c>
      <c r="AT30" s="1249" t="str">
        <f>IFERROR(__xludf.DUMMYFUNCTION("""COMPUTED_VALUE"""),"Cuts off a few seconds of duration, can sometimes help lower the danger")</f>
        <v>Cuts off a few seconds of duration, can sometimes help lower the danger</v>
      </c>
      <c r="AU30" s="1249" t="str">
        <f>IFERROR(__xludf.DUMMYFUNCTION("""COMPUTED_VALUE"""),"Super Tower Bonus
  Lab Level:      0 / 30 (Max)
  Next Level:    0d  0h 19m
  Max Level:     57d  0h 33m")</f>
        <v>Super Tower Bonus
  Lab Level:      0 / 30 (Max)
  Next Level:    0d  0h 19m
  Max Level:     57d  0h 33m</v>
      </c>
      <c r="AV30" s="1249" t="str">
        <f>IFERROR(__xludf.DUMMYFUNCTION("""COMPUTED_VALUE"""),"")</f>
        <v/>
      </c>
      <c r="AW30" s="1249" t="str">
        <f>IFERROR(__xludf.DUMMYFUNCTION("""COMPUTED_VALUE"""),"More Enemies")</f>
        <v>More Enemies</v>
      </c>
      <c r="AX30" s="1250" t="str">
        <f>IFERROR(__xludf.DUMMYFUNCTION("if(AW30 &lt;&gt; """", 
  LET( 
    TargetLevel, VLOOKUP(AW30,MS_Labs_Array,3,false),
    MaxLevel, VLOOKUP(AW30,MS_Labs_Array,4,false),
    MaxOrTarget, IF(OR(TargetLevel = """",$AD$1 &lt;&gt; ""Target""), MaxLevel, TargetLevel),
    LabLevel, VLOOKUP(AW30,MS_Labs_A"&amp;"rray,2,False),
    Levelprogress, LabLevel / MaxOrTarget,
    DVTColumn, MATCH(AW30,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0" s="1251" t="str">
        <f>IFERROR(__xludf.DUMMYFUNCTION("if(AW30 &lt;&gt; """", 
  LET(
    TargetLevel, VLOOKUP(AW30,MS_Labs_Array,3,false),
    LabSpeed, (1 * REGEXEXTRACT($BH$1, ""[\d.-]+"")) * {IF(AW30 =""Labs Speed"", 1+'Master Sheet'!$BK$5, LAB_SPEED_TOTAL())},
    MaxLevel, VLOOKUP(AW30,MS_Labs_Array,4,false),"&amp;"
    MaxOrTarget, IF(OR(TargetLevel = """",$AD$1 &lt;&gt; ""Target""), MaxLevel, TargetLevel),
    LabLevel, VLOOKUP(AW30,MS_Labs_Array,2,False),
    DVTColumn, MATCH(AW30, DVT_Laboratory!$A$1:BO$1, 0),
    xextTime, INDIRECT(""DVT_Laboratory!"" &amp; ADDRESS(LabLe"&amp;"vel+3, DVTColumn)) / LabSpeed,
    remainingTime, SUM(INDIRECT(""DVT_Laboratory!"" &amp; ADDRESS(LabLevel+3, DVTColumn) &amp; "":"" &amp; ADDRESS(MaxOrTarget+2, DVTColumn))) / LabSpeed,
  AW30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"""")"),"More Enemies
  Lab Level:      0 / 20 (Max)
  Next Level:    1d  0h 42m
  Max Level:     216d  4h 30m")</f>
        <v>More Enemies
  Lab Level:      0 / 20 (Max)
  Next Level:    1d  0h 42m
  Max Level:     216d  4h 30m</v>
      </c>
      <c r="AZ30" s="1249"/>
      <c r="BA30" s="1249" t="str">
        <f>IFERROR(__xludf.DUMMYFUNCTION("""COMPUTED_VALUE"""),"Chain Thunder
  Lab Level:      12 / 30 (Max)
  Next Level:    2d  1h 31m
  Max Level:     115d  0h 36m")</f>
        <v>Chain Thunder
  Lab Level:      12 / 30 (Max)
  Next Level:    2d  1h 31m
  Max Level:     115d  0h 36m</v>
      </c>
      <c r="BB30" s="1249" t="str">
        <f>IFERROR(__xludf.DUMMYFUNCTION("""COMPUTED_VALUE"""),"")</f>
        <v/>
      </c>
      <c r="BC30" s="1249"/>
      <c r="BD30" s="1250" t="str">
        <f>IFERROR(__xludf.DUMMYFUNCTION("if(BC30 &lt;&gt; """", 
  LET( 
    TargetLevel, VLOOKUP(BC30,MS_Labs_Array,3,false),
    MaxLevel, VLOOKUP(BC30,MS_Labs_Array,4,false),
    MaxOrTarget, IF(OR(TargetLevel = """",$AD$1 &lt;&gt; ""Target""), MaxLevel, TargetLevel),
    LabLevel, VLOOKUP(BC30,MS_Labs_A"&amp;"rray,2,False),
    Levelprogress, LabLevel / MaxOrTarget,
    DVTColumn, MATCH(BC30,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0" s="1251" t="str">
        <f>IFERROR(__xludf.DUMMYFUNCTION("if(BC30 &lt;&gt; """", 
  LET(
    TargetLevel, VLOOKUP(BC30,MS_Labs_Array,3,false),
    LabSpeed, (1 * REGEXEXTRACT($BH$1, ""[\d.-]+"")) * {IF(BC30 =""Labs Speed"", 1+'Master Sheet'!$BK$5, LAB_SPEED_TOTAL())},
    MaxLevel, VLOOKUP(BC30,MS_Labs_Array,4,false),"&amp;"
    MaxOrTarget, IF(OR(TargetLevel = """",$AD$1 &lt;&gt; ""Target""), MaxLevel, TargetLevel),
    LabLevel, VLOOKUP(BC30,MS_Labs_Array,2,False),
    DVTColumn, MATCH(BC30, DVT_Laboratory!$A$1:BO$1, 0),
    xextTime, INDIRECT(""DVT_Laboratory!"" &amp; ADDRESS(LabLe"&amp;"vel+3, DVTColumn)) / LabSpeed,
    remainingTime, SUM(INDIRECT(""DVT_Laboratory!"" &amp; ADDRESS(LabLevel+3, DVTColumn) &amp; "":"" &amp; ADDRESS(MaxOrTarget+2, DVTColumn))) / LabSpeed,
  BC30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0" s="1249"/>
      <c r="BG30" s="1249" t="str">
        <f>IFERROR(__xludf.DUMMYFUNCTION("""COMPUTED_VALUE"""),"")</f>
        <v/>
      </c>
      <c r="BH30" s="1260" t="str">
        <f>IFERROR(__xludf.DUMMYFUNCTION("""COMPUTED_VALUE"""),"")</f>
        <v/>
      </c>
      <c r="BI30" s="1252" t="str">
        <f>IFERROR(__xludf.DUMMYFUNCTION("""COMPUTED_VALUE"""),"Spotlight Coin Bonus")</f>
        <v>Spotlight Coin Bonus</v>
      </c>
      <c r="BJ30" s="1253" t="str">
        <f>IFERROR(__xludf.DUMMYFUNCTION("if(BI30 &lt;&gt; """", 
  LET( 
    TargetLevel, VLOOKUP(BI30,MS_Labs_Array,3,false),
    MaxLevel, VLOOKUP(BI30,MS_Labs_Array,4,false),
    MaxOrTarget, IF(OR(TargetLevel = """",$AD$1 &lt;&gt; ""Target""), MaxLevel, TargetLevel),
    LabLevel, VLOOKUP(BI30,MS_Labs_A"&amp;"rray,2,False),
    Levelprogress, IF(LabLevel &gt;= MaxOrTarget, 1, LabLevel / MaxOrTarget),
    DVTColumn, MATCH(BI30,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0" s="1254" t="str">
        <f>IFERROR(__xludf.DUMMYFUNCTION("if(BI30 &lt;&gt; """", 
  LET(
    TargetLevel, VLOOKUP(BI30,MS_Labs_Array,3,false),
    LabSpeed, (1 * REGEXEXTRACT($BH$1, ""[\d.-]+"")) * {IF(BI30 =""Labs Speed"", 1+'Master Sheet'!$BK$5, LAB_SPEED_TOTAL())},
    MaxLevel, VLOOKUP(BI30,MS_Labs_Array,4,false),"&amp;"
    MaxOrTarget, IF(OR(TargetLevel = """",$AD$1 &lt;&gt; ""Target""), MaxLevel, TargetLevel),
    LabLevel, VLOOKUP(BI30,MS_Labs_Array,2,False),
    DVTColumn, MATCH(BI30, DVT_Laboratory!$A$1:BO$1, 0),
    xextTime, INDIRECT(""DVT_Laboratory!"" &amp; ADDRESS(LabLe"&amp;"vel+3, DVTColumn)) / LabSpeed,
    remainingTime, SUM(INDIRECT(""DVT_Laboratory!"" &amp; ADDRESS(LabLevel+3, DVTColumn) &amp; "":"" &amp; ADDRESS(MaxOrTarget+2, DVTColumn))) / LabSpeed,
  BI30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"""")"),"Spotlight Coin Bonus
  Lab Level:      20 / 20 (Max)
  Next Level:    
  Max Level:     2d  1h 32m")</f>
        <v>Spotlight Coin Bonus
  Lab Level:      20 / 20 (Max)
  Next Level:    
  Max Level:     2d  1h 32m</v>
      </c>
      <c r="BL30" s="1252" t="str">
        <f>IFERROR(__xludf.DUMMYFUNCTION("""COMPUTED_VALUE"""),"Third best coin multiplier")</f>
        <v>Third best coin multiplier</v>
      </c>
      <c r="BM30" s="1252" t="str">
        <f>IFERROR(__xludf.DUMMYFUNCTION("""COMPUTED_VALUE"""),"Garlic Thorns
  Lab Level:      10 / 10 (Max)
  Next Level:    
  Max Level:     0d  7h 54m")</f>
        <v>Garlic Thorns
  Lab Level:      10 / 10 (Max)
  Next Level:    
  Max Level:     0d  7h 54m</v>
      </c>
      <c r="BN30" s="1222"/>
      <c r="BO30" s="1261"/>
    </row>
    <row r="31">
      <c r="A31" s="1222"/>
      <c r="B31" s="1240" t="s">
        <v>552</v>
      </c>
      <c r="C31" s="1290" t="s">
        <v>156</v>
      </c>
      <c r="D31" s="1280" t="str">
        <f>VLOOKUP(C31,'Remote Tier List'!A:D, 2, FALSE)</f>
        <v>B</v>
      </c>
      <c r="E31" s="1281" t="str">
        <f>VLOOKUP(C31,'Remote Tier List'!A:D, 3, FALSE)</f>
        <v/>
      </c>
      <c r="F31" s="1282" t="str">
        <f>VLOOKUP(C31,'Remote Tier List'!A:D, 4, FALSE)</f>
        <v>Good, but not game changing lab</v>
      </c>
      <c r="G31" s="1245" t="b">
        <f t="shared" ref="G31:G46" si="14">LET(
  LabTierUnlock, DVT_LAB_UNLOCK_AT_TIER(C31),
  PlayerPbAtTier, IDS_PS_TIER_PB("Tier "&amp;LabTierUnlock),
  PlayerPb, "T"&amp;LabTierUnlock&amp;" "&amp;PlayerPbAtTier,
  DVT_HAS_LAB_UNLOCKED(C31, PlayerPb))</f>
        <v>1</v>
      </c>
      <c r="H31" s="1246" t="str">
        <f t="array" ref="H31:I31">LET(
  Lab, $C31,
  Mode, $AD$1,
  Level, VLOOKUP(Lab, MS_Labs_Array, 2, FALSE),
  Target, VLOOKUP(Lab, MS_Labs_Array, 3, FALSE),
  Max, VLOOKUP(Lab, MS_Labs_Array, 4, FALSE),
  Result,
    IF(
      AND(
        Mode &lt;&gt; "Never",
        Level &gt;= IF(OR(Target = "", Mode = "Max"), Max, Target)
      ),
      "Completed",
      ""
    ),
  HSTACK(
    IF(Result &lt;&gt; "", Result, $D31),
    IF(Result &lt;&gt; "", Result, IF($E31 = "", $D31, $E31))
  )
)</f>
        <v>B</v>
      </c>
      <c r="I31" s="1247" t="s">
        <v>546</v>
      </c>
      <c r="J31" s="1248" t="str">
        <f t="shared" ref="J31:J46" si="15">if(ISBLANK(F31),J30, F31)</f>
        <v>Good, but not game changing lab</v>
      </c>
      <c r="K31" s="1229"/>
      <c r="L31" s="1249"/>
      <c r="M31" s="1249"/>
      <c r="N31" s="1250" t="str">
        <f>IFERROR(__xludf.DUMMYFUNCTION("if(M31 &lt;&gt; """", 
  LET( 
    TargetLevel, VLOOKUP(M31,MS_Labs_Array,3,false),
    MaxLevel, VLOOKUP(M31,MS_Labs_Array,4,false),
    MaxOrTarget, IF(OR(TargetLevel = """",$AD$1 &lt;&gt; ""Target""), MaxLevel, TargetLevel),
    LabLevel, VLOOKUP(M31,MS_Labs_Array"&amp;",2,False),
    Levelprogress, LabLevel / MaxOrTarget,
    DVTColumn, MATCH(M31,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1" s="1251" t="str">
        <f>IFERROR(__xludf.DUMMYFUNCTION("if(M31 &lt;&gt; """", 
  LET(
    TargetLevel, VLOOKUP(M31,MS_Labs_Array,3,false),
    LabSpeed, (1 * REGEXEXTRACT($BH$1, ""[\d.-]+"")) * {IF(M31 =""Labs Speed"", 1+'Master Sheet'!$BK$5, LAB_SPEED_TOTAL())},
    MaxLevel, VLOOKUP(M31,MS_Labs_Array,4,false),
   "&amp;" MaxOrTarget, IF(OR(TargetLevel = """",$AD$1 &lt;&gt; ""Target""), MaxLevel, TargetLevel),
    LabLevel, VLOOKUP(M31,MS_Labs_Array,2,False),
    DVTColumn, MATCH(M31, DVT_Laboratory!$A$1:BO$1, 0),
    xextTime, INDIRECT(""DVT_Laboratory!"" &amp; ADDRESS(LabLevel+3,"&amp;" DVTColumn)) / LabSpeed,
    remainingTime, SUM(INDIRECT(""DVT_Laboratory!"" &amp; ADDRESS(LabLevel+3, DVTColumn) &amp; "":"" &amp; ADDRESS(MaxOrTarget+2, DVTColumn))) / LabSpeed,
  M31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1" s="1249"/>
      <c r="Q31" s="1249"/>
      <c r="R31" s="1249"/>
      <c r="S31" s="1249"/>
      <c r="T31" s="1250" t="str">
        <f>IFERROR(__xludf.DUMMYFUNCTION("if(S31 &lt;&gt; """", 
  LET( 
    TargetLevel, VLOOKUP(S31,MS_Labs_Array,3,false),
    MaxLevel, VLOOKUP(S31,MS_Labs_Array,4,false),
    MaxOrTarget, IF(OR(TargetLevel = """",$AD$1 &lt;&gt; ""Target""), MaxLevel, TargetLevel),
    LabLevel, VLOOKUP(S31,MS_Labs_Array"&amp;",2,False),
    Levelprogress, LabLevel / MaxOrTarget,
    DVTColumn, MATCH(S31,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1" s="1251" t="str">
        <f>IFERROR(__xludf.DUMMYFUNCTION("if(S31 &lt;&gt; """", 
  LET(
    TargetLevel, VLOOKUP(S31,MS_Labs_Array,3,false),
    LabSpeed, (1 * REGEXEXTRACT($BH$1, ""[\d.-]+"")) * {IF(S31 =""Labs Speed"", 1+'Master Sheet'!$BK$5, LAB_SPEED_TOTAL())},
    MaxLevel, VLOOKUP(S31,MS_Labs_Array,4,false),
   "&amp;" MaxOrTarget, IF(OR(TargetLevel = """",$AD$1 &lt;&gt; ""Target""), MaxLevel, TargetLevel),
    LabLevel, VLOOKUP(S31,MS_Labs_Array,2,False),
    DVTColumn, MATCH(S31, DVT_Laboratory!$A$1:BO$1, 0),
    xextTime, INDIRECT(""DVT_Laboratory!"" &amp; ADDRESS(LabLevel+3,"&amp;" DVTColumn)) / LabSpeed,
    remainingTime, SUM(INDIRECT(""DVT_Laboratory!"" &amp; ADDRESS(LabLevel+3, DVTColumn) &amp; "":"" &amp; ADDRESS(MaxOrTarget+2, DVTColumn))) / LabSpeed,
  S31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1" s="1249"/>
      <c r="W31" s="1249"/>
      <c r="X31" s="1249" t="str">
        <f>IFERROR(__xludf.DUMMYFUNCTION("""COMPUTED_VALUE"""),"Swamp Stun")</f>
        <v>Swamp Stun</v>
      </c>
      <c r="Y31" s="1249" t="str">
        <f>IFERROR(__xludf.DUMMYFUNCTION("""COMPUTED_VALUE"""),"Assist Module Bonus - Generator")</f>
        <v>Assist Module Bonus - Generator</v>
      </c>
      <c r="Z31" s="1250" t="str">
        <f>IFERROR(__xludf.DUMMYFUNCTION("if(Y31 &lt;&gt; """", 
  LET( 
    TargetLevel, VLOOKUP(Y31,MS_Labs_Array,3,false),
    MaxLevel, VLOOKUP(Y31,MS_Labs_Array,4,false),
    MaxOrTarget, IF(OR(TargetLevel = """",$AD$1 &lt;&gt; ""Target""), MaxLevel, TargetLevel),
    LabLevel, VLOOKUP(Y31,MS_Labs_Array"&amp;",2,False),
    Levelprogress, LabLevel / MaxOrTarget,
    DVTColumn, MATCH(Y31,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1" s="1251" t="str">
        <f>IFERROR(__xludf.DUMMYFUNCTION("if(Y31 &lt;&gt; """", 
  LET(
    TargetLevel, VLOOKUP(Y31,MS_Labs_Array,3,false),
    LabSpeed, (1 * REGEXEXTRACT($BH$1, ""[\d.-]+"")) * {IF(Y31 =""Labs Speed"", 1+'Master Sheet'!$BK$5, LAB_SPEED_TOTAL())},
    MaxLevel, VLOOKUP(Y31,MS_Labs_Array,4,false),
   "&amp;" MaxOrTarget, IF(OR(TargetLevel = """",$AD$1 &lt;&gt; ""Target""), MaxLevel, TargetLevel),
    LabLevel, VLOOKUP(Y31,MS_Labs_Array,2,False),
    DVTColumn, MATCH(Y31, DVT_Laboratory!$A$1:BO$1, 0),
    xextTime, INDIRECT(""DVT_Laboratory!"" &amp; ADDRESS(LabLevel+3,"&amp;" DVTColumn)) / LabSpeed,
    remainingTime, SUM(INDIRECT(""DVT_Laboratory!"" &amp; ADDRESS(LabLevel+3, DVTColumn) &amp; "":"" &amp; ADDRESS(MaxOrTarget+2, DVTColumn))) / LabSpeed,
  Y31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"""")"),"Assist Module Bonus - Generator
  Lab Level:      0 / 30 (Max)
  Next Level:    0d 16h 28m
  Max Level:     319d  3h 13m")</f>
        <v>Assist Module Bonus - Generator
  Lab Level:      0 / 30 (Max)
  Next Level:    0d 16h 28m
  Max Level:     319d  3h 13m</v>
      </c>
      <c r="AB31" s="1249"/>
      <c r="AC31" s="1249" t="str">
        <f>IFERROR(__xludf.DUMMYFUNCTION("""COMPUTED_VALUE"""),"Great complementary source of crowd control")</f>
        <v>Great complementary source of crowd control</v>
      </c>
      <c r="AD31" s="1249" t="str">
        <f>IFERROR(__xludf.DUMMYFUNCTION("""COMPUTED_VALUE"""),"Inner Land Mine - Chrono Jump")</f>
        <v>Inner Land Mine - Chrono Jump</v>
      </c>
      <c r="AE31" s="1249"/>
      <c r="AF31" s="1250" t="str">
        <f>IFERROR(__xludf.DUMMYFUNCTION("if(AE31 &lt;&gt; """", 
  LET( 
    TargetLevel, VLOOKUP(AE31,MS_Labs_Array,3,false),
    MaxLevel, VLOOKUP(AE31,MS_Labs_Array,4,false),
    MaxOrTarget, IF(OR(TargetLevel = """",$AD$1 &lt;&gt; ""Target""), MaxLevel, TargetLevel),
    LabLevel, VLOOKUP(AE31,MS_Labs_A"&amp;"rray,2,False),
    Levelprogress, LabLevel / MaxOrTarget,
    DVTColumn, MATCH(AE31,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1" s="1251" t="str">
        <f>IFERROR(__xludf.DUMMYFUNCTION("if(AE31 &lt;&gt; """", 
  LET(
    TargetLevel, VLOOKUP(AE31,MS_Labs_Array,3,false),
    LabSpeed, (1 * REGEXEXTRACT($BH$1, ""[\d.-]+"")) * {IF(AE31 =""Labs Speed"", 1+'Master Sheet'!$BK$5, LAB_SPEED_TOTAL())},
    MaxLevel, VLOOKUP(AE31,MS_Labs_Array,4,false),"&amp;"
    MaxOrTarget, IF(OR(TargetLevel = """",$AD$1 &lt;&gt; ""Target""), MaxLevel, TargetLevel),
    LabLevel, VLOOKUP(AE31,MS_Labs_Array,2,False),
    DVTColumn, MATCH(AE31, DVT_Laboratory!$A$1:BO$1, 0),
    xextTime, INDIRECT(""DVT_Laboratory!"" &amp; ADDRESS(LabLe"&amp;"vel+3, DVTColumn)) / LabSpeed,
    remainingTime, SUM(INDIRECT(""DVT_Laboratory!"" &amp; ADDRESS(LabLevel+3, DVTColumn) &amp; "":"" &amp; ADDRESS(MaxOrTarget+2, DVTColumn))) / LabSpeed,
  AE31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1" s="1249"/>
      <c r="AI31" s="1249" t="str">
        <f>IFERROR(__xludf.DUMMYFUNCTION("""COMPUTED_VALUE"""),"Essential in allowing the full potential of the UW+, leading to being a favourable second damage UW built")</f>
        <v>Essential in allowing the full potential of the UW+, leading to being a favourable second damage UW built</v>
      </c>
      <c r="AJ31" s="1249" t="str">
        <f>IFERROR(__xludf.DUMMYFUNCTION("""COMPUTED_VALUE"""),"Ranged Enemy Range")</f>
        <v>Ranged Enemy Range</v>
      </c>
      <c r="AK31" s="1249" t="str">
        <f>IFERROR(__xludf.DUMMYFUNCTION("""COMPUTED_VALUE"""),"Energy Shields Down")</f>
        <v>Energy Shields Down</v>
      </c>
      <c r="AL31" s="1250" t="str">
        <f>IFERROR(__xludf.DUMMYFUNCTION("if(AK31 &lt;&gt; """", 
  LET( 
    TargetLevel, VLOOKUP(AK31,MS_Labs_Array,3,false),
    MaxLevel, VLOOKUP(AK31,MS_Labs_Array,4,false),
    MaxOrTarget, IF(OR(TargetLevel = """",$AD$1 &lt;&gt; ""Target""), MaxLevel, TargetLevel),
    LabLevel, VLOOKUP(AK31,MS_Labs_A"&amp;"rray,2,False),
    Levelprogress, LabLevel / MaxOrTarget,
    DVTColumn, MATCH(AK31,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1" s="1251" t="str">
        <f>IFERROR(__xludf.DUMMYFUNCTION("if(AK31 &lt;&gt; """", 
  LET(
    TargetLevel, VLOOKUP(AK31,MS_Labs_Array,3,false),
    LabSpeed, (1 * REGEXEXTRACT($BH$1, ""[\d.-]+"")) * {IF(AK31 =""Labs Speed"", 1+'Master Sheet'!$BK$5, LAB_SPEED_TOTAL())},
    MaxLevel, VLOOKUP(AK31,MS_Labs_Array,4,false),"&amp;"
    MaxOrTarget, IF(OR(TargetLevel = """",$AD$1 &lt;&gt; ""Target""), MaxLevel, TargetLevel),
    LabLevel, VLOOKUP(AK31,MS_Labs_Array,2,False),
    DVTColumn, MATCH(AK31, DVT_Laboratory!$A$1:BO$1, 0),
    xextTime, INDIRECT(""DVT_Laboratory!"" &amp; ADDRESS(LabLe"&amp;"vel+3, DVTColumn)) / LabSpeed,
    remainingTime, SUM(INDIRECT(""DVT_Laboratory!"" &amp; ADDRESS(LabLevel+3, DVTColumn) &amp; "":"" &amp; ADDRESS(MaxOrTarget+2, DVTColumn))) / LabSpeed,
  AK31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"""")"),"Energy Shields Down
  Lab Level:      0 / 10 (Max)
  Next Level:    1d 17h 10m
  Max Level:     68d  2h 47m")</f>
        <v>Energy Shields Down
  Lab Level:      0 / 10 (Max)
  Next Level:    1d 17h 10m
  Max Level:     68d  2h 47m</v>
      </c>
      <c r="AN31" s="1249" t="str">
        <f>IFERROR(__xludf.DUMMYFUNCTION("""COMPUTED_VALUE"""),"Extra invincibility is always strong")</f>
        <v>Extra invincibility is always strong</v>
      </c>
      <c r="AO31" s="1249" t="str">
        <f>IFERROR(__xludf.DUMMYFUNCTION("""COMPUTED_VALUE"""),"Good to reduce ranged chips")</f>
        <v>Good to reduce ranged chips</v>
      </c>
      <c r="AP31" s="1249" t="str">
        <f>IFERROR(__xludf.DUMMYFUNCTION("""COMPUTED_VALUE"""),"Recharge Nuke")</f>
        <v>Recharge Nuke</v>
      </c>
      <c r="AQ31" s="1249" t="str">
        <f>IFERROR(__xludf.DUMMYFUNCTION("""COMPUTED_VALUE"""),"Protector's Ultimate")</f>
        <v>Protector's Ultimate</v>
      </c>
      <c r="AR31" s="1250" t="str">
        <f>IFERROR(__xludf.DUMMYFUNCTION("if(AQ31 &lt;&gt; """", 
  LET( 
    TargetLevel, VLOOKUP(AQ31,MS_Labs_Array,3,false),
    MaxLevel, VLOOKUP(AQ31,MS_Labs_Array,4,false),
    MaxOrTarget, IF(OR(TargetLevel = """",$AD$1 &lt;&gt; ""Target""), MaxLevel, TargetLevel),
    LabLevel, VLOOKUP(AQ31,MS_Labs_A"&amp;"rray,2,False),
    Levelprogress, LabLevel / MaxOrTarget,
    DVTColumn, MATCH(AQ31,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1" s="1251" t="str">
        <f>IFERROR(__xludf.DUMMYFUNCTION("if(AQ31 &lt;&gt; """", 
  LET(
    TargetLevel, VLOOKUP(AQ31,MS_Labs_Array,3,false),
    LabSpeed, (1 * REGEXEXTRACT($BH$1, ""[\d.-]+"")) * {IF(AQ31 =""Labs Speed"", 1+'Master Sheet'!$BK$5, LAB_SPEED_TOTAL())},
    MaxLevel, VLOOKUP(AQ31,MS_Labs_Array,4,false),"&amp;"
    MaxOrTarget, IF(OR(TargetLevel = """",$AD$1 &lt;&gt; ""Target""), MaxLevel, TargetLevel),
    LabLevel, VLOOKUP(AQ31,MS_Labs_Array,2,False),
    DVTColumn, MATCH(AQ31, DVT_Laboratory!$A$1:BO$1, 0),
    xextTime, INDIRECT(""DVT_Laboratory!"" &amp; ADDRESS(LabLe"&amp;"vel+3, DVTColumn)) / LabSpeed,
    remainingTime, SUM(INDIRECT(""DVT_Laboratory!"" &amp; ADDRESS(LabLevel+3, DVTColumn) &amp; "":"" &amp; ADDRESS(MaxOrTarget+2, DVTColumn))) / LabSpeed,
  AQ31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"""")"),"Protector's Ultimate
  Lab Level:      0 / 10 (Max)
  Next Level:    1d 17h 10m
  Max Level:     48d  0h 59m")</f>
        <v>Protector's Ultimate
  Lab Level:      0 / 10 (Max)
  Next Level:    1d 17h 10m
  Max Level:     48d  0h 59m</v>
      </c>
      <c r="AT31" s="1249" t="str">
        <f>IFERROR(__xludf.DUMMYFUNCTION("""COMPUTED_VALUE"""),"Cuts off a few seconds of duration, can sometimes help lower the danger")</f>
        <v>Cuts off a few seconds of duration, can sometimes help lower the danger</v>
      </c>
      <c r="AU31" s="1249" t="str">
        <f>IFERROR(__xludf.DUMMYFUNCTION("""COMPUTED_VALUE"""),"Okay for the event mission when high level, essential to keep the effect of mastery going past 300 waves")</f>
        <v>Okay for the event mission when high level, essential to keep the effect of mastery going past 300 waves</v>
      </c>
      <c r="AV31" s="1249" t="str">
        <f>IFERROR(__xludf.DUMMYFUNCTION("""COMPUTED_VALUE"""),"Death Wave Armor Stripping")</f>
        <v>Death Wave Armor Stripping</v>
      </c>
      <c r="AW31" s="1249" t="str">
        <f>IFERROR(__xludf.DUMMYFUNCTION("""COMPUTED_VALUE"""),"Fast's Ultimate")</f>
        <v>Fast's Ultimate</v>
      </c>
      <c r="AX31" s="1250" t="str">
        <f>IFERROR(__xludf.DUMMYFUNCTION("if(AW31 &lt;&gt; """", 
  LET( 
    TargetLevel, VLOOKUP(AW31,MS_Labs_Array,3,false),
    MaxLevel, VLOOKUP(AW31,MS_Labs_Array,4,false),
    MaxOrTarget, IF(OR(TargetLevel = """",$AD$1 &lt;&gt; ""Target""), MaxLevel, TargetLevel),
    LabLevel, VLOOKUP(AW31,MS_Labs_A"&amp;"rray,2,False),
    Levelprogress, LabLevel / MaxOrTarget,
    DVTColumn, MATCH(AW31,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1" s="1251" t="str">
        <f>IFERROR(__xludf.DUMMYFUNCTION("if(AW31 &lt;&gt; """", 
  LET(
    TargetLevel, VLOOKUP(AW31,MS_Labs_Array,3,false),
    LabSpeed, (1 * REGEXEXTRACT($BH$1, ""[\d.-]+"")) * {IF(AW31 =""Labs Speed"", 1+'Master Sheet'!$BK$5, LAB_SPEED_TOTAL())},
    MaxLevel, VLOOKUP(AW31,MS_Labs_Array,4,false),"&amp;"
    MaxOrTarget, IF(OR(TargetLevel = """",$AD$1 &lt;&gt; ""Target""), MaxLevel, TargetLevel),
    LabLevel, VLOOKUP(AW31,MS_Labs_Array,2,False),
    DVTColumn, MATCH(AW31, DVT_Laboratory!$A$1:BO$1, 0),
    xextTime, INDIRECT(""DVT_Laboratory!"" &amp; ADDRESS(LabLe"&amp;"vel+3, DVTColumn)) / LabSpeed,
    remainingTime, SUM(INDIRECT(""DVT_Laboratory!"" &amp; ADDRESS(LabLevel+3, DVTColumn) &amp; "":"" &amp; ADDRESS(MaxOrTarget+2, DVTColumn))) / LabSpeed,
  AW31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"""")"),"Fast's Ultimate
  Lab Level:      0 / 10 (Max)
  Next Level:    1d 17h 10m
  Max Level:     48d  0h 59m")</f>
        <v>Fast's Ultimate
  Lab Level:      0 / 10 (Max)
  Next Level:    1d 17h 10m
  Max Level:     48d  0h 59m</v>
      </c>
      <c r="AZ31" s="1249"/>
      <c r="BA31" s="1249" t="str">
        <f>IFERROR(__xludf.DUMMYFUNCTION("""COMPUTED_VALUE"""),"Not important, potential footgun regarding killing too far out")</f>
        <v>Not important, potential footgun regarding killing too far out</v>
      </c>
      <c r="BB31" s="1249"/>
      <c r="BC31" s="1249"/>
      <c r="BD31" s="1250" t="str">
        <f>IFERROR(__xludf.DUMMYFUNCTION("if(BC31 &lt;&gt; """", 
  LET( 
    TargetLevel, VLOOKUP(BC31,MS_Labs_Array,3,false),
    MaxLevel, VLOOKUP(BC31,MS_Labs_Array,4,false),
    MaxOrTarget, IF(OR(TargetLevel = """",$AD$1 &lt;&gt; ""Target""), MaxLevel, TargetLevel),
    LabLevel, VLOOKUP(BC31,MS_Labs_A"&amp;"rray,2,False),
    Levelprogress, LabLevel / MaxOrTarget,
    DVTColumn, MATCH(BC31,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1" s="1251" t="str">
        <f>IFERROR(__xludf.DUMMYFUNCTION("if(BC31 &lt;&gt; """", 
  LET(
    TargetLevel, VLOOKUP(BC31,MS_Labs_Array,3,false),
    LabSpeed, (1 * REGEXEXTRACT($BH$1, ""[\d.-]+"")) * {IF(BC31 =""Labs Speed"", 1+'Master Sheet'!$BK$5, LAB_SPEED_TOTAL())},
    MaxLevel, VLOOKUP(BC31,MS_Labs_Array,4,false),"&amp;"
    MaxOrTarget, IF(OR(TargetLevel = """",$AD$1 &lt;&gt; ""Target""), MaxLevel, TargetLevel),
    LabLevel, VLOOKUP(BC31,MS_Labs_Array,2,False),
    DVTColumn, MATCH(BC31, DVT_Laboratory!$A$1:BO$1, 0),
    xextTime, INDIRECT(""DVT_Laboratory!"" &amp; ADDRESS(LabLe"&amp;"vel+3, DVTColumn)) / LabSpeed,
    remainingTime, SUM(INDIRECT(""DVT_Laboratory!"" &amp; ADDRESS(LabLevel+3, DVTColumn) &amp; "":"" &amp; ADDRESS(MaxOrTarget+2, DVTColumn))) / LabSpeed,
  BC31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1" s="1249"/>
      <c r="BG31" s="1249"/>
      <c r="BH31" s="1260" t="str">
        <f>IFERROR(__xludf.DUMMYFUNCTION("""COMPUTED_VALUE"""),"Package After Boss")</f>
        <v>Package After Boss</v>
      </c>
      <c r="BI31" s="1252" t="str">
        <f>IFERROR(__xludf.DUMMYFUNCTION("""COMPUTED_VALUE"""),"Black Hole Disable Ranged Enemies")</f>
        <v>Black Hole Disable Ranged Enemies</v>
      </c>
      <c r="BJ31" s="1253" t="str">
        <f>IFERROR(__xludf.DUMMYFUNCTION("if(BI31 &lt;&gt; """", 
  LET( 
    TargetLevel, VLOOKUP(BI31,MS_Labs_Array,3,false),
    MaxLevel, VLOOKUP(BI31,MS_Labs_Array,4,false),
    MaxOrTarget, IF(OR(TargetLevel = """",$AD$1 &lt;&gt; ""Target""), MaxLevel, TargetLevel),
    LabLevel, VLOOKUP(BI31,MS_Labs_A"&amp;"rray,2,False),
    Levelprogress, IF(LabLevel &gt;= MaxOrTarget, 1, LabLevel / MaxOrTarget),
    DVTColumn, MATCH(BI31,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1" s="1254" t="str">
        <f>IFERROR(__xludf.DUMMYFUNCTION("if(BI31 &lt;&gt; """", 
  LET(
    TargetLevel, VLOOKUP(BI31,MS_Labs_Array,3,false),
    LabSpeed, (1 * REGEXEXTRACT($BH$1, ""[\d.-]+"")) * {IF(BI31 =""Labs Speed"", 1+'Master Sheet'!$BK$5, LAB_SPEED_TOTAL())},
    MaxLevel, VLOOKUP(BI31,MS_Labs_Array,4,false),"&amp;"
    MaxOrTarget, IF(OR(TargetLevel = """",$AD$1 &lt;&gt; ""Target""), MaxLevel, TargetLevel),
    LabLevel, VLOOKUP(BI31,MS_Labs_Array,2,False),
    DVTColumn, MATCH(BI31, DVT_Laboratory!$A$1:BO$1, 0),
    xextTime, INDIRECT(""DVT_Laboratory!"" &amp; ADDRESS(LabLe"&amp;"vel+3, DVTColumn)) / LabSpeed,
    remainingTime, SUM(INDIRECT(""DVT_Laboratory!"" &amp; ADDRESS(LabLevel+3, DVTColumn) &amp; "":"" &amp; ADDRESS(MaxOrTarget+2, DVTColumn))) / LabSpeed,
  BI31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"""")"),"Black Hole Disable Ranged Enemies
  Lab Level:      1 / 1 (Max)
  Next Level:    
  Max Level:     1d 20h  7m")</f>
        <v>Black Hole Disable Ranged Enemies
  Lab Level:      1 / 1 (Max)
  Next Level:    
  Max Level:     1d 20h  7m</v>
      </c>
      <c r="BL31" s="1252" t="str">
        <f>IFERROR(__xludf.DUMMYFUNCTION("""COMPUTED_VALUE"""),"Mostly for perma BH")</f>
        <v>Mostly for perma BH</v>
      </c>
      <c r="BM31" s="1252" t="str">
        <f>IFERROR(__xludf.DUMMYFUNCTION("""COMPUTED_VALUE"""),"Decreases variability of packages, very good for early towers without WHR or Wall and Gcomp users")</f>
        <v>Decreases variability of packages, very good for early towers without WHR or Wall and Gcomp users</v>
      </c>
      <c r="BN31" s="1222"/>
      <c r="BO31" s="1261"/>
    </row>
    <row r="32" ht="7.5" customHeight="1">
      <c r="A32" s="1222"/>
      <c r="B32" s="1257"/>
      <c r="C32" s="1291" t="s">
        <v>171</v>
      </c>
      <c r="D32" s="1280" t="str">
        <f>VLOOKUP(C32,'Remote Tier List'!A:D, 2, FALSE)</f>
        <v>F</v>
      </c>
      <c r="E32" s="1281" t="str">
        <f>VLOOKUP(C32,'Remote Tier List'!A:D, 3, FALSE)</f>
        <v>A</v>
      </c>
      <c r="F32" s="1292" t="str">
        <f>VLOOKUP(C32,'Remote Tier List'!A:D, 4, FALSE)</f>
        <v>Crucial for eHp, useless before owning WHR or Wall and for Glass Cannon builds</v>
      </c>
      <c r="G32" s="1245" t="b">
        <f t="shared" si="14"/>
        <v>1</v>
      </c>
      <c r="H32" s="1265" t="str">
        <f t="array" ref="H32:I32">LET(
  Lab, $C32,
  Mode, $AD$1,
  Level, VLOOKUP(Lab, MS_Labs_Array, 2, FALSE),
  Target, VLOOKUP(Lab, MS_Labs_Array, 3, FALSE),
  Max, VLOOKUP(Lab, MS_Labs_Array, 4, FALSE),
  Result,
    IF(
      AND(
        Mode &lt;&gt; "Never",
        Level &gt;= IF(OR(Target = "", Mode = "Max"), Max, Target)
      ),
      "Completed",
      ""
    ),
  HSTACK(
    IF(Result &lt;&gt; "", Result, $D32),
    IF(Result &lt;&gt; "", Result, IF($E32 = "", $D32, $E32))
  )
)</f>
        <v>F</v>
      </c>
      <c r="I32" s="1265" t="s">
        <v>545</v>
      </c>
      <c r="J32" s="1248" t="str">
        <f t="shared" si="15"/>
        <v>Crucial for eHp, useless before owning WHR or Wall and for Glass Cannon builds</v>
      </c>
      <c r="K32" s="1229"/>
      <c r="L32" s="1249" t="str">
        <f>IFERROR(__xludf.DUMMYFUNCTION("""COMPUTED_VALUE"""),"")</f>
        <v/>
      </c>
      <c r="M32" s="1249"/>
      <c r="N32" s="1250" t="str">
        <f>IFERROR(__xludf.DUMMYFUNCTION("if(M32 &lt;&gt; """", 
  LET( 
    TargetLevel, VLOOKUP(M32,MS_Labs_Array,3,false),
    MaxLevel, VLOOKUP(M32,MS_Labs_Array,4,false),
    MaxOrTarget, IF(OR(TargetLevel = """",$AD$1 &lt;&gt; ""Target""), MaxLevel, TargetLevel),
    LabLevel, VLOOKUP(M32,MS_Labs_Array"&amp;",2,False),
    Levelprogress, LabLevel / MaxOrTarget,
    DVTColumn, MATCH(M32,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2" s="1251" t="str">
        <f>IFERROR(__xludf.DUMMYFUNCTION("if(M32 &lt;&gt; """", 
  LET(
    TargetLevel, VLOOKUP(M32,MS_Labs_Array,3,false),
    LabSpeed, (1 * REGEXEXTRACT($BH$1, ""[\d.-]+"")) * {IF(M32 =""Labs Speed"", 1+'Master Sheet'!$BK$5, LAB_SPEED_TOTAL())},
    MaxLevel, VLOOKUP(M32,MS_Labs_Array,4,false),
   "&amp;" MaxOrTarget, IF(OR(TargetLevel = """",$AD$1 &lt;&gt; ""Target""), MaxLevel, TargetLevel),
    LabLevel, VLOOKUP(M32,MS_Labs_Array,2,False),
    DVTColumn, MATCH(M32, DVT_Laboratory!$A$1:BO$1, 0),
    xextTime, INDIRECT(""DVT_Laboratory!"" &amp; ADDRESS(LabLevel+3,"&amp;" DVTColumn)) / LabSpeed,
    remainingTime, SUM(INDIRECT(""DVT_Laboratory!"" &amp; ADDRESS(LabLevel+3, DVTColumn) &amp; "":"" &amp; ADDRESS(MaxOrTarget+2, DVTColumn))) / LabSpeed,
  M32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2" s="1249"/>
      <c r="Q32" s="1249" t="str">
        <f>IFERROR(__xludf.DUMMYFUNCTION("""COMPUTED_VALUE"""),"")</f>
        <v/>
      </c>
      <c r="R32" s="1249" t="str">
        <f>IFERROR(__xludf.DUMMYFUNCTION("""COMPUTED_VALUE"""),"")</f>
        <v/>
      </c>
      <c r="S32" s="1249"/>
      <c r="T32" s="1250" t="str">
        <f>IFERROR(__xludf.DUMMYFUNCTION("if(S32 &lt;&gt; """", 
  LET( 
    TargetLevel, VLOOKUP(S32,MS_Labs_Array,3,false),
    MaxLevel, VLOOKUP(S32,MS_Labs_Array,4,false),
    MaxOrTarget, IF(OR(TargetLevel = """",$AD$1 &lt;&gt; ""Target""), MaxLevel, TargetLevel),
    LabLevel, VLOOKUP(S32,MS_Labs_Array"&amp;",2,False),
    Levelprogress, LabLevel / MaxOrTarget,
    DVTColumn, MATCH(S32,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2" s="1251" t="str">
        <f>IFERROR(__xludf.DUMMYFUNCTION("if(S32 &lt;&gt; """", 
  LET(
    TargetLevel, VLOOKUP(S32,MS_Labs_Array,3,false),
    LabSpeed, (1 * REGEXEXTRACT($BH$1, ""[\d.-]+"")) * {IF(S32 =""Labs Speed"", 1+'Master Sheet'!$BK$5, LAB_SPEED_TOTAL())},
    MaxLevel, VLOOKUP(S32,MS_Labs_Array,4,false),
   "&amp;" MaxOrTarget, IF(OR(TargetLevel = """",$AD$1 &lt;&gt; ""Target""), MaxLevel, TargetLevel),
    LabLevel, VLOOKUP(S32,MS_Labs_Array,2,False),
    DVTColumn, MATCH(S32, DVT_Laboratory!$A$1:BO$1, 0),
    xextTime, INDIRECT(""DVT_Laboratory!"" &amp; ADDRESS(LabLevel+3,"&amp;" DVTColumn)) / LabSpeed,
    remainingTime, SUM(INDIRECT(""DVT_Laboratory!"" &amp; ADDRESS(LabLevel+3, DVTColumn) &amp; "":"" &amp; ADDRESS(MaxOrTarget+2, DVTColumn))) / LabSpeed,
  S32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2" s="1249"/>
      <c r="W32" s="1249" t="str">
        <f>IFERROR(__xludf.DUMMYFUNCTION("""COMPUTED_VALUE"""),"")</f>
        <v/>
      </c>
      <c r="X32" s="1249" t="str">
        <f>IFERROR(__xludf.DUMMYFUNCTION("""COMPUTED_VALUE"""),"")</f>
        <v/>
      </c>
      <c r="Y32" s="1293" t="str">
        <f>IFERROR(__xludf.DUMMYFUNCTION("""COMPUTED_VALUE"""),"Enemy Level Skip Reduction")</f>
        <v>Enemy Level Skip Reduction</v>
      </c>
      <c r="Z32" s="1250" t="str">
        <f>IFERROR(__xludf.DUMMYFUNCTION("if(Y32 &lt;&gt; """", 
  LET( 
    TargetLevel, VLOOKUP(Y32,MS_Labs_Array,3,false),
    MaxLevel, VLOOKUP(Y32,MS_Labs_Array,4,false),
    MaxOrTarget, IF(OR(TargetLevel = """",$AD$1 &lt;&gt; ""Target""), MaxLevel, TargetLevel),
    LabLevel, VLOOKUP(Y32,MS_Labs_Array"&amp;",2,False),
    Levelprogress, LabLevel / MaxOrTarget,
    DVTColumn, MATCH(Y32,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2" s="1251" t="str">
        <f>IFERROR(__xludf.DUMMYFUNCTION("if(Y32 &lt;&gt; """", 
  LET(
    TargetLevel, VLOOKUP(Y32,MS_Labs_Array,3,false),
    LabSpeed, (1 * REGEXEXTRACT($BH$1, ""[\d.-]+"")) * {IF(Y32 =""Labs Speed"", 1+'Master Sheet'!$BK$5, LAB_SPEED_TOTAL())},
    MaxLevel, VLOOKUP(Y32,MS_Labs_Array,4,false),
   "&amp;" MaxOrTarget, IF(OR(TargetLevel = """",$AD$1 &lt;&gt; ""Target""), MaxLevel, TargetLevel),
    LabLevel, VLOOKUP(Y32,MS_Labs_Array,2,False),
    DVTColumn, MATCH(Y32, DVT_Laboratory!$A$1:BO$1, 0),
    xextTime, INDIRECT(""DVT_Laboratory!"" &amp; ADDRESS(LabLevel+3,"&amp;" DVTColumn)) / LabSpeed,
    remainingTime, SUM(INDIRECT(""DVT_Laboratory!"" &amp; ADDRESS(LabLevel+3, DVTColumn) &amp; "":"" &amp; ADDRESS(MaxOrTarget+2, DVTColumn))) / LabSpeed,
  Y32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"""")"),"Enemy Level Skip Reduction
  Lab Level:      0 / 10 (Max)
  Next Level:    1d 17h 10m
  Max Level:     68d  2h 47m")</f>
        <v>Enemy Level Skip Reduction
  Lab Level:      0 / 10 (Max)
  Next Level:    1d 17h 10m
  Max Level:     68d  2h 47m</v>
      </c>
      <c r="AB32" s="1249" t="str">
        <f>IFERROR(__xludf.DUMMYFUNCTION("""COMPUTED_VALUE"""),"Expensive and ELS is still very good in farm and milestones, mostly pointless for tourney with the way ELS BC works there")</f>
        <v>Expensive and ELS is still very good in farm and milestones, mostly pointless for tourney with the way ELS BC works there</v>
      </c>
      <c r="AC32" s="1249" t="str">
        <f>IFERROR(__xludf.DUMMYFUNCTION("""COMPUTED_VALUE"""),"Swamp Stun
  Lab Level:      0 / 1 (Max)
  Next Level:    0d  1h 16m
  Max Level:     0d  1h 16m")</f>
        <v>Swamp Stun
  Lab Level:      0 / 1 (Max)
  Next Level:    0d  1h 16m
  Max Level:     0d  1h 16m</v>
      </c>
      <c r="AD32" s="1249" t="str">
        <f>IFERROR(__xludf.DUMMYFUNCTION("""COMPUTED_VALUE"""),"")</f>
        <v/>
      </c>
      <c r="AE32" s="1249"/>
      <c r="AF32" s="1250" t="str">
        <f>IFERROR(__xludf.DUMMYFUNCTION("if(AE32 &lt;&gt; """", 
  LET( 
    TargetLevel, VLOOKUP(AE32,MS_Labs_Array,3,false),
    MaxLevel, VLOOKUP(AE32,MS_Labs_Array,4,false),
    MaxOrTarget, IF(OR(TargetLevel = """",$AD$1 &lt;&gt; ""Target""), MaxLevel, TargetLevel),
    LabLevel, VLOOKUP(AE32,MS_Labs_A"&amp;"rray,2,False),
    Levelprogress, LabLevel / MaxOrTarget,
    DVTColumn, MATCH(AE32,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2" s="1251" t="str">
        <f>IFERROR(__xludf.DUMMYFUNCTION("if(AE32 &lt;&gt; """", 
  LET(
    TargetLevel, VLOOKUP(AE32,MS_Labs_Array,3,false),
    LabSpeed, (1 * REGEXEXTRACT($BH$1, ""[\d.-]+"")) * {IF(AE32 =""Labs Speed"", 1+'Master Sheet'!$BK$5, LAB_SPEED_TOTAL())},
    MaxLevel, VLOOKUP(AE32,MS_Labs_Array,4,false),"&amp;"
    MaxOrTarget, IF(OR(TargetLevel = """",$AD$1 &lt;&gt; ""Target""), MaxLevel, TargetLevel),
    LabLevel, VLOOKUP(AE32,MS_Labs_Array,2,False),
    DVTColumn, MATCH(AE32, DVT_Laboratory!$A$1:BO$1, 0),
    xextTime, INDIRECT(""DVT_Laboratory!"" &amp; ADDRESS(LabLe"&amp;"vel+3, DVTColumn)) / LabSpeed,
    remainingTime, SUM(INDIRECT(""DVT_Laboratory!"" &amp; ADDRESS(LabLevel+3, DVTColumn) &amp; "":"" &amp; ADDRESS(MaxOrTarget+2, DVTColumn))) / LabSpeed,
  AE32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2" s="1249"/>
      <c r="AI32" s="1249" t="str">
        <f>IFERROR(__xludf.DUMMYFUNCTION("""COMPUTED_VALUE"""),"Inner Land Mine - Chrono Jump
  Lab Level:      0 / 10 (Max)
  Next Level:    1d  1h 25m
  Max Level:     58d  6h  6m")</f>
        <v>Inner Land Mine - Chrono Jump
  Lab Level:      0 / 10 (Max)
  Next Level:    1d  1h 25m
  Max Level:     58d  6h  6m</v>
      </c>
      <c r="AJ32" s="1249" t="str">
        <f>IFERROR(__xludf.DUMMYFUNCTION("""COMPUTED_VALUE"""),"")</f>
        <v/>
      </c>
      <c r="AK32" s="1249"/>
      <c r="AL32" s="1250" t="str">
        <f>IFERROR(__xludf.DUMMYFUNCTION("if(AK32 &lt;&gt; """", 
  LET( 
    TargetLevel, VLOOKUP(AK32,MS_Labs_Array,3,false),
    MaxLevel, VLOOKUP(AK32,MS_Labs_Array,4,false),
    MaxOrTarget, IF(OR(TargetLevel = """",$AD$1 &lt;&gt; ""Target""), MaxLevel, TargetLevel),
    LabLevel, VLOOKUP(AK32,MS_Labs_A"&amp;"rray,2,False),
    Levelprogress, LabLevel / MaxOrTarget,
    DVTColumn, MATCH(AK32,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2" s="1251" t="str">
        <f>IFERROR(__xludf.DUMMYFUNCTION("if(AK32 &lt;&gt; """", 
  LET(
    TargetLevel, VLOOKUP(AK32,MS_Labs_Array,3,false),
    LabSpeed, (1 * REGEXEXTRACT($BH$1, ""[\d.-]+"")) * {IF(AK32 =""Labs Speed"", 1+'Master Sheet'!$BK$5, LAB_SPEED_TOTAL())},
    MaxLevel, VLOOKUP(AK32,MS_Labs_Array,4,false),"&amp;"
    MaxOrTarget, IF(OR(TargetLevel = """",$AD$1 &lt;&gt; ""Target""), MaxLevel, TargetLevel),
    LabLevel, VLOOKUP(AK32,MS_Labs_Array,2,False),
    DVTColumn, MATCH(AK32, DVT_Laboratory!$A$1:BO$1, 0),
    xextTime, INDIRECT(""DVT_Laboratory!"" &amp; ADDRESS(LabLe"&amp;"vel+3, DVTColumn)) / LabSpeed,
    remainingTime, SUM(INDIRECT(""DVT_Laboratory!"" &amp; ADDRESS(LabLevel+3, DVTColumn) &amp; "":"" &amp; ADDRESS(MaxOrTarget+2, DVTColumn))) / LabSpeed,
  AK32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2" s="1249"/>
      <c r="AO32" s="1249" t="str">
        <f>IFERROR(__xludf.DUMMYFUNCTION("""COMPUTED_VALUE"""),"Ranged Enemy Range
  Lab Level:      0 / 30 (Max)
  Next Level:    0d  4h  7m
  Max Level:     79d 18h 47m")</f>
        <v>Ranged Enemy Range
  Lab Level:      0 / 30 (Max)
  Next Level:    0d  4h  7m
  Max Level:     79d 18h 47m</v>
      </c>
      <c r="AP32" s="1249" t="str">
        <f>IFERROR(__xludf.DUMMYFUNCTION("""COMPUTED_VALUE"""),"")</f>
        <v/>
      </c>
      <c r="AQ32" s="1249"/>
      <c r="AR32" s="1250" t="str">
        <f>IFERROR(__xludf.DUMMYFUNCTION("if(AQ32 &lt;&gt; """", 
  LET( 
    TargetLevel, VLOOKUP(AQ32,MS_Labs_Array,3,false),
    MaxLevel, VLOOKUP(AQ32,MS_Labs_Array,4,false),
    MaxOrTarget, IF(OR(TargetLevel = """",$AD$1 &lt;&gt; ""Target""), MaxLevel, TargetLevel),
    LabLevel, VLOOKUP(AQ32,MS_Labs_A"&amp;"rray,2,False),
    Levelprogress, LabLevel / MaxOrTarget,
    DVTColumn, MATCH(AQ32,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2" s="1251" t="str">
        <f>IFERROR(__xludf.DUMMYFUNCTION("if(AQ32 &lt;&gt; """", 
  LET(
    TargetLevel, VLOOKUP(AQ32,MS_Labs_Array,3,false),
    LabSpeed, (1 * REGEXEXTRACT($BH$1, ""[\d.-]+"")) * {IF(AQ32 =""Labs Speed"", 1+'Master Sheet'!$BK$5, LAB_SPEED_TOTAL())},
    MaxLevel, VLOOKUP(AQ32,MS_Labs_Array,4,false),"&amp;"
    MaxOrTarget, IF(OR(TargetLevel = """",$AD$1 &lt;&gt; ""Target""), MaxLevel, TargetLevel),
    LabLevel, VLOOKUP(AQ32,MS_Labs_Array,2,False),
    DVTColumn, MATCH(AQ32, DVT_Laboratory!$A$1:BO$1, 0),
    xextTime, INDIRECT(""DVT_Laboratory!"" &amp; ADDRESS(LabLe"&amp;"vel+3, DVTColumn)) / LabSpeed,
    remainingTime, SUM(INDIRECT(""DVT_Laboratory!"" &amp; ADDRESS(LabLevel+3, DVTColumn) &amp; "":"" &amp; ADDRESS(MaxOrTarget+2, DVTColumn))) / LabSpeed,
  AQ32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32" s="1249"/>
      <c r="AU32" s="1249" t="str">
        <f>IFERROR(__xludf.DUMMYFUNCTION("""COMPUTED_VALUE"""),"Recharge Nuke
  Lab Level:      2 / 7 (Max)
  Next Level:    0d 12h 15m
  Max Level:     6d 21h  5m")</f>
        <v>Recharge Nuke
  Lab Level:      2 / 7 (Max)
  Next Level:    0d 12h 15m
  Max Level:     6d 21h  5m</v>
      </c>
      <c r="AV32" s="1249" t="str">
        <f>IFERROR(__xludf.DUMMYFUNCTION("""COMPUTED_VALUE"""),"")</f>
        <v/>
      </c>
      <c r="AW32" s="1249" t="str">
        <f>IFERROR(__xludf.DUMMYFUNCTION("""COMPUTED_VALUE"""),"Ranged Ultimate")</f>
        <v>Ranged Ultimate</v>
      </c>
      <c r="AX32" s="1250" t="str">
        <f>IFERROR(__xludf.DUMMYFUNCTION("if(AW32 &lt;&gt; """", 
  LET( 
    TargetLevel, VLOOKUP(AW32,MS_Labs_Array,3,false),
    MaxLevel, VLOOKUP(AW32,MS_Labs_Array,4,false),
    MaxOrTarget, IF(OR(TargetLevel = """",$AD$1 &lt;&gt; ""Target""), MaxLevel, TargetLevel),
    LabLevel, VLOOKUP(AW32,MS_Labs_A"&amp;"rray,2,False),
    Levelprogress, LabLevel / MaxOrTarget,
    DVTColumn, MATCH(AW32,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2" s="1251" t="str">
        <f>IFERROR(__xludf.DUMMYFUNCTION("if(AW32 &lt;&gt; """", 
  LET(
    TargetLevel, VLOOKUP(AW32,MS_Labs_Array,3,false),
    LabSpeed, (1 * REGEXEXTRACT($BH$1, ""[\d.-]+"")) * {IF(AW32 =""Labs Speed"", 1+'Master Sheet'!$BK$5, LAB_SPEED_TOTAL())},
    MaxLevel, VLOOKUP(AW32,MS_Labs_Array,4,false),"&amp;"
    MaxOrTarget, IF(OR(TargetLevel = """",$AD$1 &lt;&gt; ""Target""), MaxLevel, TargetLevel),
    LabLevel, VLOOKUP(AW32,MS_Labs_Array,2,False),
    DVTColumn, MATCH(AW32, DVT_Laboratory!$A$1:BO$1, 0),
    xextTime, INDIRECT(""DVT_Laboratory!"" &amp; ADDRESS(LabLe"&amp;"vel+3, DVTColumn)) / LabSpeed,
    remainingTime, SUM(INDIRECT(""DVT_Laboratory!"" &amp; ADDRESS(LabLevel+3, DVTColumn) &amp; "":"" &amp; ADDRESS(MaxOrTarget+2, DVTColumn))) / LabSpeed,
  AW32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"""")"),"Ranged Ultimate
  Lab Level:      0 / 10 (Max)
  Next Level:    1d 17h 10m
  Max Level:     48d  0h 59m")</f>
        <v>Ranged Ultimate
  Lab Level:      0 / 10 (Max)
  Next Level:    1d 17h 10m
  Max Level:     48d  0h 59m</v>
      </c>
      <c r="AZ32" s="1249"/>
      <c r="BA32" s="1249" t="str">
        <f>IFERROR(__xludf.DUMMYFUNCTION("""COMPUTED_VALUE"""),"Death Wave Armor Stripping
  Lab Level:      0 / 10 (Max)
  Next Level:    0d 12h 42m
  Max Level:     18d  0h  2m")</f>
        <v>Death Wave Armor Stripping
  Lab Level:      0 / 10 (Max)
  Next Level:    0d 12h 42m
  Max Level:     18d  0h  2m</v>
      </c>
      <c r="BB32" s="1249" t="str">
        <f>IFERROR(__xludf.DUMMYFUNCTION("""COMPUTED_VALUE"""),"")</f>
        <v/>
      </c>
      <c r="BC32" s="1249"/>
      <c r="BD32" s="1250" t="str">
        <f>IFERROR(__xludf.DUMMYFUNCTION("if(BC32 &lt;&gt; """", 
  LET( 
    TargetLevel, VLOOKUP(BC32,MS_Labs_Array,3,false),
    MaxLevel, VLOOKUP(BC32,MS_Labs_Array,4,false),
    MaxOrTarget, IF(OR(TargetLevel = """",$AD$1 &lt;&gt; ""Target""), MaxLevel, TargetLevel),
    LabLevel, VLOOKUP(BC32,MS_Labs_A"&amp;"rray,2,False),
    Levelprogress, LabLevel / MaxOrTarget,
    DVTColumn, MATCH(BC32,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2" s="1251" t="str">
        <f>IFERROR(__xludf.DUMMYFUNCTION("if(BC32 &lt;&gt; """", 
  LET(
    TargetLevel, VLOOKUP(BC32,MS_Labs_Array,3,false),
    LabSpeed, (1 * REGEXEXTRACT($BH$1, ""[\d.-]+"")) * {IF(BC32 =""Labs Speed"", 1+'Master Sheet'!$BK$5, LAB_SPEED_TOTAL())},
    MaxLevel, VLOOKUP(BC32,MS_Labs_Array,4,false),"&amp;"
    MaxOrTarget, IF(OR(TargetLevel = """",$AD$1 &lt;&gt; ""Target""), MaxLevel, TargetLevel),
    LabLevel, VLOOKUP(BC32,MS_Labs_Array,2,False),
    DVTColumn, MATCH(BC32, DVT_Laboratory!$A$1:BO$1, 0),
    xextTime, INDIRECT(""DVT_Laboratory!"" &amp; ADDRESS(LabLe"&amp;"vel+3, DVTColumn)) / LabSpeed,
    remainingTime, SUM(INDIRECT(""DVT_Laboratory!"" &amp; ADDRESS(LabLevel+3, DVTColumn) &amp; "":"" &amp; ADDRESS(MaxOrTarget+2, DVTColumn))) / LabSpeed,
  BC32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2" s="1249"/>
      <c r="BG32" s="1249" t="str">
        <f>IFERROR(__xludf.DUMMYFUNCTION("""COMPUTED_VALUE"""),"")</f>
        <v/>
      </c>
      <c r="BH32" s="1260" t="str">
        <f>IFERROR(__xludf.DUMMYFUNCTION("""COMPUTED_VALUE"""),"")</f>
        <v/>
      </c>
      <c r="BI32" s="1252" t="str">
        <f>IFERROR(__xludf.DUMMYFUNCTION("""COMPUTED_VALUE"""),"Death Wave Cells Bonus")</f>
        <v>Death Wave Cells Bonus</v>
      </c>
      <c r="BJ32" s="1253" t="str">
        <f>IFERROR(__xludf.DUMMYFUNCTION("if(BI32 &lt;&gt; """", 
  LET( 
    TargetLevel, VLOOKUP(BI32,MS_Labs_Array,3,false),
    MaxLevel, VLOOKUP(BI32,MS_Labs_Array,4,false),
    MaxOrTarget, IF(OR(TargetLevel = """",$AD$1 &lt;&gt; ""Target""), MaxLevel, TargetLevel),
    LabLevel, VLOOKUP(BI32,MS_Labs_A"&amp;"rray,2,False),
    Levelprogress, IF(LabLevel &gt;= MaxOrTarget, 1, LabLevel / MaxOrTarget),
    DVTColumn, MATCH(BI32,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2" s="1254" t="str">
        <f>IFERROR(__xludf.DUMMYFUNCTION("if(BI32 &lt;&gt; """", 
  LET(
    TargetLevel, VLOOKUP(BI32,MS_Labs_Array,3,false),
    LabSpeed, (1 * REGEXEXTRACT($BH$1, ""[\d.-]+"")) * {IF(BI32 =""Labs Speed"", 1+'Master Sheet'!$BK$5, LAB_SPEED_TOTAL())},
    MaxLevel, VLOOKUP(BI32,MS_Labs_Array,4,false),"&amp;"
    MaxOrTarget, IF(OR(TargetLevel = """",$AD$1 &lt;&gt; ""Target""), MaxLevel, TargetLevel),
    LabLevel, VLOOKUP(BI32,MS_Labs_Array,2,False),
    DVTColumn, MATCH(BI32, DVT_Laboratory!$A$1:BO$1, 0),
    xextTime, INDIRECT(""DVT_Laboratory!"" &amp; ADDRESS(LabLe"&amp;"vel+3, DVTColumn)) / LabSpeed,
    remainingTime, SUM(INDIRECT(""DVT_Laboratory!"" &amp; ADDRESS(LabLevel+3, DVTColumn) &amp; "":"" &amp; ADDRESS(MaxOrTarget+2, DVTColumn))) / LabSpeed,
  BI32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"""")"),"Death Wave Cells Bonus
  Lab Level:      20 / 20 (Max)
  Next Level:    
  Max Level:     1d 18h  1m")</f>
        <v>Death Wave Cells Bonus
  Lab Level:      20 / 20 (Max)
  Next Level:    
  Max Level:     1d 18h  1m</v>
      </c>
      <c r="BL32" s="1252" t="str">
        <f>IFERROR(__xludf.DUMMYFUNCTION("""COMPUTED_VALUE"""),"The only Cell multiplier in the game outside of WS+")</f>
        <v>The only Cell multiplier in the game outside of WS+</v>
      </c>
      <c r="BM32" s="1252" t="str">
        <f>IFERROR(__xludf.DUMMYFUNCTION("""COMPUTED_VALUE"""),"Package After Boss
  Lab Level:      1 / 1 (Max)
  Next Level:    
  Max Level:     0d 12h 21m")</f>
        <v>Package After Boss
  Lab Level:      1 / 1 (Max)
  Next Level:    
  Max Level:     0d 12h 21m</v>
      </c>
      <c r="BN32" s="1222"/>
      <c r="BO32" s="1261"/>
    </row>
    <row r="33">
      <c r="A33" s="1222"/>
      <c r="B33" s="1257"/>
      <c r="C33" s="1291" t="s">
        <v>182</v>
      </c>
      <c r="D33" s="1280" t="str">
        <f>VLOOKUP(C33,'Remote Tier List'!A:D, 2, FALSE)</f>
        <v>F</v>
      </c>
      <c r="E33" s="1281" t="str">
        <f>VLOOKUP(C33,'Remote Tier List'!A:D, 3, FALSE)</f>
        <v/>
      </c>
      <c r="F33" s="1284" t="str">
        <f>VLOOKUP(C33,'Remote Tier List'!A:D, 4, FALSE)</f>
        <v>Dabs scales horribly past tier 1</v>
      </c>
      <c r="G33" s="1245" t="b">
        <f t="shared" si="14"/>
        <v>1</v>
      </c>
      <c r="H33" s="1246" t="str">
        <f t="array" ref="H33:I33">LET(
  Lab, $C33,
  Mode, $AD$1,
  Level, VLOOKUP(Lab, MS_Labs_Array, 2, FALSE),
  Target, VLOOKUP(Lab, MS_Labs_Array, 3, FALSE),
  Max, VLOOKUP(Lab, MS_Labs_Array, 4, FALSE),
  Result,
    IF(
      AND(
        Mode &lt;&gt; "Never",
        Level &gt;= IF(OR(Target = "", Mode = "Max"), Max, Target)
      ),
      "Completed",
      ""
    ),
  HSTACK(
    IF(Result &lt;&gt; "", Result, $D33),
    IF(Result &lt;&gt; "", Result, IF($E33 = "", $D33, $E33))
  )
)</f>
        <v>Completed</v>
      </c>
      <c r="I33" s="1247" t="s">
        <v>551</v>
      </c>
      <c r="J33" s="1248" t="str">
        <f t="shared" si="15"/>
        <v>Dabs scales horribly past tier 1</v>
      </c>
      <c r="K33" s="1229"/>
      <c r="L33" s="1249"/>
      <c r="M33" s="1249"/>
      <c r="N33" s="1250" t="str">
        <f>IFERROR(__xludf.DUMMYFUNCTION("if(M33 &lt;&gt; """", 
  LET( 
    TargetLevel, VLOOKUP(M33,MS_Labs_Array,3,false),
    MaxLevel, VLOOKUP(M33,MS_Labs_Array,4,false),
    MaxOrTarget, IF(OR(TargetLevel = """",$AD$1 &lt;&gt; ""Target""), MaxLevel, TargetLevel),
    LabLevel, VLOOKUP(M33,MS_Labs_Array"&amp;",2,False),
    Levelprogress, LabLevel / MaxOrTarget,
    DVTColumn, MATCH(M33,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3" s="1251" t="str">
        <f>IFERROR(__xludf.DUMMYFUNCTION("if(M33 &lt;&gt; """", 
  LET(
    TargetLevel, VLOOKUP(M33,MS_Labs_Array,3,false),
    LabSpeed, (1 * REGEXEXTRACT($BH$1, ""[\d.-]+"")) * {IF(M33 =""Labs Speed"", 1+'Master Sheet'!$BK$5, LAB_SPEED_TOTAL())},
    MaxLevel, VLOOKUP(M33,MS_Labs_Array,4,false),
   "&amp;" MaxOrTarget, IF(OR(TargetLevel = """",$AD$1 &lt;&gt; ""Target""), MaxLevel, TargetLevel),
    LabLevel, VLOOKUP(M33,MS_Labs_Array,2,False),
    DVTColumn, MATCH(M33, DVT_Laboratory!$A$1:BO$1, 0),
    xextTime, INDIRECT(""DVT_Laboratory!"" &amp; ADDRESS(LabLevel+3,"&amp;" DVTColumn)) / LabSpeed,
    remainingTime, SUM(INDIRECT(""DVT_Laboratory!"" &amp; ADDRESS(LabLevel+3, DVTColumn) &amp; "":"" &amp; ADDRESS(MaxOrTarget+2, DVTColumn))) / LabSpeed,
  M33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3" s="1249"/>
      <c r="Q33" s="1249"/>
      <c r="R33" s="1249"/>
      <c r="S33" s="1249"/>
      <c r="T33" s="1250" t="str">
        <f>IFERROR(__xludf.DUMMYFUNCTION("if(S33 &lt;&gt; """", 
  LET( 
    TargetLevel, VLOOKUP(S33,MS_Labs_Array,3,false),
    MaxLevel, VLOOKUP(S33,MS_Labs_Array,4,false),
    MaxOrTarget, IF(OR(TargetLevel = """",$AD$1 &lt;&gt; ""Target""), MaxLevel, TargetLevel),
    LabLevel, VLOOKUP(S33,MS_Labs_Array"&amp;",2,False),
    Levelprogress, LabLevel / MaxOrTarget,
    DVTColumn, MATCH(S33,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3" s="1251" t="str">
        <f>IFERROR(__xludf.DUMMYFUNCTION("if(S33 &lt;&gt; """", 
  LET(
    TargetLevel, VLOOKUP(S33,MS_Labs_Array,3,false),
    LabSpeed, (1 * REGEXEXTRACT($BH$1, ""[\d.-]+"")) * {IF(S33 =""Labs Speed"", 1+'Master Sheet'!$BK$5, LAB_SPEED_TOTAL())},
    MaxLevel, VLOOKUP(S33,MS_Labs_Array,4,false),
   "&amp;" MaxOrTarget, IF(OR(TargetLevel = """",$AD$1 &lt;&gt; ""Target""), MaxLevel, TargetLevel),
    LabLevel, VLOOKUP(S33,MS_Labs_Array,2,False),
    DVTColumn, MATCH(S33, DVT_Laboratory!$A$1:BO$1, 0),
    xextTime, INDIRECT(""DVT_Laboratory!"" &amp; ADDRESS(LabLevel+3,"&amp;" DVTColumn)) / LabSpeed,
    remainingTime, SUM(INDIRECT(""DVT_Laboratory!"" &amp; ADDRESS(LabLevel+3, DVTColumn) &amp; "":"" &amp; ADDRESS(MaxOrTarget+2, DVTColumn))) / LabSpeed,
  S33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3" s="1249"/>
      <c r="W33" s="1249"/>
      <c r="X33" s="1249" t="str">
        <f>IFERROR(__xludf.DUMMYFUNCTION("""COMPUTED_VALUE"""),"Swamp Stun Chance")</f>
        <v>Swamp Stun Chance</v>
      </c>
      <c r="Y33" s="1249"/>
      <c r="Z33" s="1250" t="str">
        <f>IFERROR(__xludf.DUMMYFUNCTION("if(Y33 &lt;&gt; """", 
  LET( 
    TargetLevel, VLOOKUP(Y33,MS_Labs_Array,3,false),
    MaxLevel, VLOOKUP(Y33,MS_Labs_Array,4,false),
    MaxOrTarget, IF(OR(TargetLevel = """",$AD$1 &lt;&gt; ""Target""), MaxLevel, TargetLevel),
    LabLevel, VLOOKUP(Y33,MS_Labs_Array"&amp;",2,False),
    Levelprogress, LabLevel / MaxOrTarget,
    DVTColumn, MATCH(Y33,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3" s="1251" t="str">
        <f>IFERROR(__xludf.DUMMYFUNCTION("if(Y33 &lt;&gt; """", 
  LET(
    TargetLevel, VLOOKUP(Y33,MS_Labs_Array,3,false),
    LabSpeed, (1 * REGEXEXTRACT($BH$1, ""[\d.-]+"")) * {IF(Y33 =""Labs Speed"", 1+'Master Sheet'!$BK$5, LAB_SPEED_TOTAL())},
    MaxLevel, VLOOKUP(Y33,MS_Labs_Array,4,false),
   "&amp;" MaxOrTarget, IF(OR(TargetLevel = """",$AD$1 &lt;&gt; ""Target""), MaxLevel, TargetLevel),
    LabLevel, VLOOKUP(Y33,MS_Labs_Array,2,False),
    DVTColumn, MATCH(Y33, DVT_Laboratory!$A$1:BO$1, 0),
    xextTime, INDIRECT(""DVT_Laboratory!"" &amp; ADDRESS(LabLevel+3,"&amp;" DVTColumn)) / LabSpeed,
    remainingTime, SUM(INDIRECT(""DVT_Laboratory!"" &amp; ADDRESS(LabLevel+3, DVTColumn) &amp; "":"" &amp; ADDRESS(MaxOrTarget+2, DVTColumn))) / LabSpeed,
  Y33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33" s="1249"/>
      <c r="AC33" s="1249" t="str">
        <f>IFERROR(__xludf.DUMMYFUNCTION("""COMPUTED_VALUE"""),"Great complementary source of crowd control")</f>
        <v>Great complementary source of crowd control</v>
      </c>
      <c r="AD33" s="1249" t="str">
        <f>IFERROR(__xludf.DUMMYFUNCTION("""COMPUTED_VALUE"""),"Gold Bot - Duration")</f>
        <v>Gold Bot - Duration</v>
      </c>
      <c r="AE33" s="1249"/>
      <c r="AF33" s="1250" t="str">
        <f>IFERROR(__xludf.DUMMYFUNCTION("if(AE33 &lt;&gt; """", 
  LET( 
    TargetLevel, VLOOKUP(AE33,MS_Labs_Array,3,false),
    MaxLevel, VLOOKUP(AE33,MS_Labs_Array,4,false),
    MaxOrTarget, IF(OR(TargetLevel = """",$AD$1 &lt;&gt; ""Target""), MaxLevel, TargetLevel),
    LabLevel, VLOOKUP(AE33,MS_Labs_A"&amp;"rray,2,False),
    Levelprogress, LabLevel / MaxOrTarget,
    DVTColumn, MATCH(AE33,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3" s="1251" t="str">
        <f>IFERROR(__xludf.DUMMYFUNCTION("if(AE33 &lt;&gt; """", 
  LET(
    TargetLevel, VLOOKUP(AE33,MS_Labs_Array,3,false),
    LabSpeed, (1 * REGEXEXTRACT($BH$1, ""[\d.-]+"")) * {IF(AE33 =""Labs Speed"", 1+'Master Sheet'!$BK$5, LAB_SPEED_TOTAL())},
    MaxLevel, VLOOKUP(AE33,MS_Labs_Array,4,false),"&amp;"
    MaxOrTarget, IF(OR(TargetLevel = """",$AD$1 &lt;&gt; ""Target""), MaxLevel, TargetLevel),
    LabLevel, VLOOKUP(AE33,MS_Labs_Array,2,False),
    DVTColumn, MATCH(AE33, DVT_Laboratory!$A$1:BO$1, 0),
    xextTime, INDIRECT(""DVT_Laboratory!"" &amp; ADDRESS(LabLe"&amp;"vel+3, DVTColumn)) / LabSpeed,
    remainingTime, SUM(INDIRECT(""DVT_Laboratory!"" &amp; ADDRESS(LabLevel+3, DVTColumn) &amp; "":"" &amp; ADDRESS(MaxOrTarget+2, DVTColumn))) / LabSpeed,
  AE33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3" s="1249"/>
      <c r="AI33" s="1249" t="str">
        <f>IFERROR(__xludf.DUMMYFUNCTION("""COMPUTED_VALUE"""),"Great but long lab")</f>
        <v>Great but long lab</v>
      </c>
      <c r="AJ33" s="1249" t="str">
        <f>IFERROR(__xludf.DUMMYFUNCTION("""COMPUTED_VALUE"""),"Cannon Effect Bans")</f>
        <v>Cannon Effect Bans</v>
      </c>
      <c r="AK33" s="1249"/>
      <c r="AL33" s="1250" t="str">
        <f>IFERROR(__xludf.DUMMYFUNCTION("if(AK33 &lt;&gt; """", 
  LET( 
    TargetLevel, VLOOKUP(AK33,MS_Labs_Array,3,false),
    MaxLevel, VLOOKUP(AK33,MS_Labs_Array,4,false),
    MaxOrTarget, IF(OR(TargetLevel = """",$AD$1 &lt;&gt; ""Target""), MaxLevel, TargetLevel),
    LabLevel, VLOOKUP(AK33,MS_Labs_A"&amp;"rray,2,False),
    Levelprogress, LabLevel / MaxOrTarget,
    DVTColumn, MATCH(AK33,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3" s="1251" t="str">
        <f>IFERROR(__xludf.DUMMYFUNCTION("if(AK33 &lt;&gt; """", 
  LET(
    TargetLevel, VLOOKUP(AK33,MS_Labs_Array,3,false),
    LabSpeed, (1 * REGEXEXTRACT($BH$1, ""[\d.-]+"")) * {IF(AK33 =""Labs Speed"", 1+'Master Sheet'!$BK$5, LAB_SPEED_TOTAL())},
    MaxLevel, VLOOKUP(AK33,MS_Labs_Array,4,false),"&amp;"
    MaxOrTarget, IF(OR(TargetLevel = """",$AD$1 &lt;&gt; ""Target""), MaxLevel, TargetLevel),
    LabLevel, VLOOKUP(AK33,MS_Labs_Array,2,False),
    DVTColumn, MATCH(AK33, DVT_Laboratory!$A$1:BO$1, 0),
    xextTime, INDIRECT(""DVT_Laboratory!"" &amp; ADDRESS(LabLe"&amp;"vel+3, DVTColumn)) / LabSpeed,
    remainingTime, SUM(INDIRECT(""DVT_Laboratory!"" &amp; ADDRESS(LabLevel+3, DVTColumn) &amp; "":"" &amp; ADDRESS(MaxOrTarget+2, DVTColumn))) / LabSpeed,
  AK33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3" s="1249"/>
      <c r="AO33" s="1249" t="str">
        <f>IFERROR(__xludf.DUMMYFUNCTION("""COMPUTED_VALUE"""),"Basically another reroll shards lab but arguably worse")</f>
        <v>Basically another reroll shards lab but arguably worse</v>
      </c>
      <c r="AP33" s="1249" t="str">
        <f>IFERROR(__xludf.DUMMYFUNCTION("""COMPUTED_VALUE"""),"Amp Bot - Cooldown")</f>
        <v>Amp Bot - Cooldown</v>
      </c>
      <c r="AQ33" s="1249"/>
      <c r="AR33" s="1250" t="str">
        <f>IFERROR(__xludf.DUMMYFUNCTION("if(AQ33 &lt;&gt; """", 
  LET( 
    TargetLevel, VLOOKUP(AQ33,MS_Labs_Array,3,false),
    MaxLevel, VLOOKUP(AQ33,MS_Labs_Array,4,false),
    MaxOrTarget, IF(OR(TargetLevel = """",$AD$1 &lt;&gt; ""Target""), MaxLevel, TargetLevel),
    LabLevel, VLOOKUP(AQ33,MS_Labs_A"&amp;"rray,2,False),
    Levelprogress, LabLevel / MaxOrTarget,
    DVTColumn, MATCH(AQ33,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3" s="1251" t="str">
        <f>IFERROR(__xludf.DUMMYFUNCTION("if(AQ33 &lt;&gt; """", 
  LET(
    TargetLevel, VLOOKUP(AQ33,MS_Labs_Array,3,false),
    LabSpeed, (1 * REGEXEXTRACT($BH$1, ""[\d.-]+"")) * {IF(AQ33 =""Labs Speed"", 1+'Master Sheet'!$BK$5, LAB_SPEED_TOTAL())},
    MaxLevel, VLOOKUP(AQ33,MS_Labs_Array,4,false),"&amp;"
    MaxOrTarget, IF(OR(TargetLevel = """",$AD$1 &lt;&gt; ""Target""), MaxLevel, TargetLevel),
    LabLevel, VLOOKUP(AQ33,MS_Labs_Array,2,False),
    DVTColumn, MATCH(AQ33, DVT_Laboratory!$A$1:BO$1, 0),
    xextTime, INDIRECT(""DVT_Laboratory!"" &amp; ADDRESS(LabLe"&amp;"vel+3, DVTColumn)) / LabSpeed,
    remainingTime, SUM(INDIRECT(""DVT_Laboratory!"" &amp; ADDRESS(LabLevel+3, DVTColumn) &amp; "":"" &amp; ADDRESS(MaxOrTarget+2, DVTColumn))) / LabSpeed,
  AQ33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33" s="1249"/>
      <c r="AU33" s="1249" t="str">
        <f>IFERROR(__xludf.DUMMYFUNCTION("""COMPUTED_VALUE"""),"Syncing the bot may be beneficial in some cases, improves consistency")</f>
        <v>Syncing the bot may be beneficial in some cases, improves consistency</v>
      </c>
      <c r="AV33" s="1249" t="str">
        <f>IFERROR(__xludf.DUMMYFUNCTION("""COMPUTED_VALUE"""),"Waves Required")</f>
        <v>Waves Required</v>
      </c>
      <c r="AW33" s="1249" t="str">
        <f>IFERROR(__xludf.DUMMYFUNCTION("""COMPUTED_VALUE"""),"Basic's Ultimate")</f>
        <v>Basic's Ultimate</v>
      </c>
      <c r="AX33" s="1250" t="str">
        <f>IFERROR(__xludf.DUMMYFUNCTION("if(AW33 &lt;&gt; """", 
  LET( 
    TargetLevel, VLOOKUP(AW33,MS_Labs_Array,3,false),
    MaxLevel, VLOOKUP(AW33,MS_Labs_Array,4,false),
    MaxOrTarget, IF(OR(TargetLevel = """",$AD$1 &lt;&gt; ""Target""), MaxLevel, TargetLevel),
    LabLevel, VLOOKUP(AW33,MS_Labs_A"&amp;"rray,2,False),
    Levelprogress, LabLevel / MaxOrTarget,
    DVTColumn, MATCH(AW33,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3" s="1251" t="str">
        <f>IFERROR(__xludf.DUMMYFUNCTION("if(AW33 &lt;&gt; """", 
  LET(
    TargetLevel, VLOOKUP(AW33,MS_Labs_Array,3,false),
    LabSpeed, (1 * REGEXEXTRACT($BH$1, ""[\d.-]+"")) * {IF(AW33 =""Labs Speed"", 1+'Master Sheet'!$BK$5, LAB_SPEED_TOTAL())},
    MaxLevel, VLOOKUP(AW33,MS_Labs_Array,4,false),"&amp;"
    MaxOrTarget, IF(OR(TargetLevel = """",$AD$1 &lt;&gt; ""Target""), MaxLevel, TargetLevel),
    LabLevel, VLOOKUP(AW33,MS_Labs_Array,2,False),
    DVTColumn, MATCH(AW33, DVT_Laboratory!$A$1:BO$1, 0),
    xextTime, INDIRECT(""DVT_Laboratory!"" &amp; ADDRESS(LabLe"&amp;"vel+3, DVTColumn)) / LabSpeed,
    remainingTime, SUM(INDIRECT(""DVT_Laboratory!"" &amp; ADDRESS(LabLevel+3, DVTColumn) &amp; "":"" &amp; ADDRESS(MaxOrTarget+2, DVTColumn))) / LabSpeed,
  AW33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"""")"),"Basic's Ultimate
  Lab Level:      0 / 10 (Max)
  Next Level:    1d 17h 10m
  Max Level:     48d  0h 59m")</f>
        <v>Basic's Ultimate
  Lab Level:      0 / 10 (Max)
  Next Level:    1d 17h 10m
  Max Level:     48d  0h 59m</v>
      </c>
      <c r="AZ33" s="1249"/>
      <c r="BA33" s="1249" t="str">
        <f>IFERROR(__xludf.DUMMYFUNCTION("""COMPUTED_VALUE"""),"Long lab that is almost entirely overshadowed by the Perk wave requirement perk")</f>
        <v>Long lab that is almost entirely overshadowed by the Perk wave requirement perk</v>
      </c>
      <c r="BB33" s="1249"/>
      <c r="BC33" s="1249"/>
      <c r="BD33" s="1250" t="str">
        <f>IFERROR(__xludf.DUMMYFUNCTION("if(BC33 &lt;&gt; """", 
  LET( 
    TargetLevel, VLOOKUP(BC33,MS_Labs_Array,3,false),
    MaxLevel, VLOOKUP(BC33,MS_Labs_Array,4,false),
    MaxOrTarget, IF(OR(TargetLevel = """",$AD$1 &lt;&gt; ""Target""), MaxLevel, TargetLevel),
    LabLevel, VLOOKUP(BC33,MS_Labs_A"&amp;"rray,2,False),
    Levelprogress, LabLevel / MaxOrTarget,
    DVTColumn, MATCH(BC33,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3" s="1251" t="str">
        <f>IFERROR(__xludf.DUMMYFUNCTION("if(BC33 &lt;&gt; """", 
  LET(
    TargetLevel, VLOOKUP(BC33,MS_Labs_Array,3,false),
    LabSpeed, (1 * REGEXEXTRACT($BH$1, ""[\d.-]+"")) * {IF(BC33 =""Labs Speed"", 1+'Master Sheet'!$BK$5, LAB_SPEED_TOTAL())},
    MaxLevel, VLOOKUP(BC33,MS_Labs_Array,4,false),"&amp;"
    MaxOrTarget, IF(OR(TargetLevel = """",$AD$1 &lt;&gt; ""Target""), MaxLevel, TargetLevel),
    LabLevel, VLOOKUP(BC33,MS_Labs_Array,2,False),
    DVTColumn, MATCH(BC33, DVT_Laboratory!$A$1:BO$1, 0),
    xextTime, INDIRECT(""DVT_Laboratory!"" &amp; ADDRESS(LabLe"&amp;"vel+3, DVTColumn)) / LabSpeed,
    remainingTime, SUM(INDIRECT(""DVT_Laboratory!"" &amp; ADDRESS(LabLevel+3, DVTColumn) &amp; "":"" &amp; ADDRESS(MaxOrTarget+2, DVTColumn))) / LabSpeed,
  BC33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3" s="1249"/>
      <c r="BG33" s="1249"/>
      <c r="BH33" s="1260" t="str">
        <f>IFERROR(__xludf.DUMMYFUNCTION("""COMPUTED_VALUE"""),"Recovery Package Chance")</f>
        <v>Recovery Package Chance</v>
      </c>
      <c r="BI33" s="1252" t="str">
        <f>IFERROR(__xludf.DUMMYFUNCTION("""COMPUTED_VALUE"""),"Second Wind Blast")</f>
        <v>Second Wind Blast</v>
      </c>
      <c r="BJ33" s="1253" t="str">
        <f>IFERROR(__xludf.DUMMYFUNCTION("if(BI33 &lt;&gt; """", 
  LET( 
    TargetLevel, VLOOKUP(BI33,MS_Labs_Array,3,false),
    MaxLevel, VLOOKUP(BI33,MS_Labs_Array,4,false),
    MaxOrTarget, IF(OR(TargetLevel = """",$AD$1 &lt;&gt; ""Target""), MaxLevel, TargetLevel),
    LabLevel, VLOOKUP(BI33,MS_Labs_A"&amp;"rray,2,False),
    Levelprogress, IF(LabLevel &gt;= MaxOrTarget, 1, LabLevel / MaxOrTarget),
    DVTColumn, MATCH(BI33,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3" s="1254" t="str">
        <f>IFERROR(__xludf.DUMMYFUNCTION("if(BI33 &lt;&gt; """", 
  LET(
    TargetLevel, VLOOKUP(BI33,MS_Labs_Array,3,false),
    LabSpeed, (1 * REGEXEXTRACT($BH$1, ""[\d.-]+"")) * {IF(BI33 =""Labs Speed"", 1+'Master Sheet'!$BK$5, LAB_SPEED_TOTAL())},
    MaxLevel, VLOOKUP(BI33,MS_Labs_Array,4,false),"&amp;"
    MaxOrTarget, IF(OR(TargetLevel = """",$AD$1 &lt;&gt; ""Target""), MaxLevel, TargetLevel),
    LabLevel, VLOOKUP(BI33,MS_Labs_Array,2,False),
    DVTColumn, MATCH(BI33, DVT_Laboratory!$A$1:BO$1, 0),
    xextTime, INDIRECT(""DVT_Laboratory!"" &amp; ADDRESS(LabLe"&amp;"vel+3, DVTColumn)) / LabSpeed,
    remainingTime, SUM(INDIRECT(""DVT_Laboratory!"" &amp; ADDRESS(LabLevel+3, DVTColumn) &amp; "":"" &amp; ADDRESS(MaxOrTarget+2, DVTColumn))) / LabSpeed,
  BI33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"""")"),"Second Wind Blast
  Lab Level:      4 / 4 (Max)
  Next Level:    
  Max Level:     0d  5h 17m")</f>
        <v>Second Wind Blast
  Lab Level:      4 / 4 (Max)
  Next Level:    
  Max Level:     0d  5h 17m</v>
      </c>
      <c r="BL33" s="1252" t="str">
        <f>IFERROR(__xludf.DUMMYFUNCTION("""COMPUTED_VALUE"""),"Acts like the nuke card when maxed, great for consistency especially in fleet tiers")</f>
        <v>Acts like the nuke card when maxed, great for consistency especially in fleet tiers</v>
      </c>
      <c r="BM33" s="1252" t="str">
        <f>IFERROR(__xludf.DUMMYFUNCTION("""COMPUTED_VALUE"""),"Good with GComp and for getting extra shards out of RPC mastery")</f>
        <v>Good with GComp and for getting extra shards out of RPC mastery</v>
      </c>
      <c r="BN33" s="1222"/>
      <c r="BO33" s="1261"/>
    </row>
    <row r="34" ht="7.5" customHeight="1">
      <c r="A34" s="1222"/>
      <c r="B34" s="1262" t="s">
        <v>558</v>
      </c>
      <c r="C34" s="1291" t="s">
        <v>197</v>
      </c>
      <c r="D34" s="1280" t="str">
        <f>VLOOKUP(C34,'Remote Tier List'!A:D, 2, FALSE)</f>
        <v>A</v>
      </c>
      <c r="E34" s="1281" t="str">
        <f>VLOOKUP(C34,'Remote Tier List'!A:D, 3, FALSE)</f>
        <v>F</v>
      </c>
      <c r="F34" s="1284" t="str">
        <f>VLOOKUP(C34,'Remote Tier List'!A:D, 4, FALSE)</f>
        <v>Helps reach the 98% hard cap on defense. Without relics and after fulfilling other requirements only needs 23 levels (5 levels less can be done per def% from relics, alternatively can be used to reach 98% with lower rarity substats)</v>
      </c>
      <c r="G34" s="1245" t="b">
        <f t="shared" si="14"/>
        <v>1</v>
      </c>
      <c r="H34" s="1294" t="str">
        <f>IF(IDS_LAB_LEVEL("Defense %")&lt;23, D34, E34)</f>
        <v>F</v>
      </c>
      <c r="I34" s="884"/>
      <c r="J34" s="1248" t="str">
        <f t="shared" si="15"/>
        <v>Helps reach the 98% hard cap on defense. Without relics and after fulfilling other requirements only needs 23 levels (5 levels less can be done per def% from relics, alternatively can be used to reach 98% with lower rarity substats)</v>
      </c>
      <c r="K34" s="1229"/>
      <c r="L34" s="1249" t="str">
        <f>IFERROR(__xludf.DUMMYFUNCTION("""COMPUTED_VALUE"""),"")</f>
        <v/>
      </c>
      <c r="M34" s="1249"/>
      <c r="N34" s="1250" t="str">
        <f>IFERROR(__xludf.DUMMYFUNCTION("if(M34 &lt;&gt; """", 
  LET( 
    TargetLevel, VLOOKUP(M34,MS_Labs_Array,3,false),
    MaxLevel, VLOOKUP(M34,MS_Labs_Array,4,false),
    MaxOrTarget, IF(OR(TargetLevel = """",$AD$1 &lt;&gt; ""Target""), MaxLevel, TargetLevel),
    LabLevel, VLOOKUP(M34,MS_Labs_Array"&amp;",2,False),
    Levelprogress, LabLevel / MaxOrTarget,
    DVTColumn, MATCH(M34,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4" s="1251" t="str">
        <f>IFERROR(__xludf.DUMMYFUNCTION("if(M34 &lt;&gt; """", 
  LET(
    TargetLevel, VLOOKUP(M34,MS_Labs_Array,3,false),
    LabSpeed, (1 * REGEXEXTRACT($BH$1, ""[\d.-]+"")) * {IF(M34 =""Labs Speed"", 1+'Master Sheet'!$BK$5, LAB_SPEED_TOTAL())},
    MaxLevel, VLOOKUP(M34,MS_Labs_Array,4,false),
   "&amp;" MaxOrTarget, IF(OR(TargetLevel = """",$AD$1 &lt;&gt; ""Target""), MaxLevel, TargetLevel),
    LabLevel, VLOOKUP(M34,MS_Labs_Array,2,False),
    DVTColumn, MATCH(M34, DVT_Laboratory!$A$1:BO$1, 0),
    xextTime, INDIRECT(""DVT_Laboratory!"" &amp; ADDRESS(LabLevel+3,"&amp;" DVTColumn)) / LabSpeed,
    remainingTime, SUM(INDIRECT(""DVT_Laboratory!"" &amp; ADDRESS(LabLevel+3, DVTColumn) &amp; "":"" &amp; ADDRESS(MaxOrTarget+2, DVTColumn))) / LabSpeed,
  M34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4" s="1249"/>
      <c r="Q34" s="1249" t="str">
        <f>IFERROR(__xludf.DUMMYFUNCTION("""COMPUTED_VALUE"""),"")</f>
        <v/>
      </c>
      <c r="R34" s="1249" t="str">
        <f>IFERROR(__xludf.DUMMYFUNCTION("""COMPUTED_VALUE"""),"")</f>
        <v/>
      </c>
      <c r="S34" s="1249"/>
      <c r="T34" s="1250" t="str">
        <f>IFERROR(__xludf.DUMMYFUNCTION("if(S34 &lt;&gt; """", 
  LET( 
    TargetLevel, VLOOKUP(S34,MS_Labs_Array,3,false),
    MaxLevel, VLOOKUP(S34,MS_Labs_Array,4,false),
    MaxOrTarget, IF(OR(TargetLevel = """",$AD$1 &lt;&gt; ""Target""), MaxLevel, TargetLevel),
    LabLevel, VLOOKUP(S34,MS_Labs_Array"&amp;",2,False),
    Levelprogress, LabLevel / MaxOrTarget,
    DVTColumn, MATCH(S34,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4" s="1251" t="str">
        <f>IFERROR(__xludf.DUMMYFUNCTION("if(S34 &lt;&gt; """", 
  LET(
    TargetLevel, VLOOKUP(S34,MS_Labs_Array,3,false),
    LabSpeed, (1 * REGEXEXTRACT($BH$1, ""[\d.-]+"")) * {IF(S34 =""Labs Speed"", 1+'Master Sheet'!$BK$5, LAB_SPEED_TOTAL())},
    MaxLevel, VLOOKUP(S34,MS_Labs_Array,4,false),
   "&amp;" MaxOrTarget, IF(OR(TargetLevel = """",$AD$1 &lt;&gt; ""Target""), MaxLevel, TargetLevel),
    LabLevel, VLOOKUP(S34,MS_Labs_Array,2,False),
    DVTColumn, MATCH(S34, DVT_Laboratory!$A$1:BO$1, 0),
    xextTime, INDIRECT(""DVT_Laboratory!"" &amp; ADDRESS(LabLevel+3,"&amp;" DVTColumn)) / LabSpeed,
    remainingTime, SUM(INDIRECT(""DVT_Laboratory!"" &amp; ADDRESS(LabLevel+3, DVTColumn) &amp; "":"" &amp; ADDRESS(MaxOrTarget+2, DVTColumn))) / LabSpeed,
  S34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4" s="1249"/>
      <c r="W34" s="1249" t="str">
        <f>IFERROR(__xludf.DUMMYFUNCTION("""COMPUTED_VALUE"""),"")</f>
        <v/>
      </c>
      <c r="X34" s="1249" t="str">
        <f>IFERROR(__xludf.DUMMYFUNCTION("""COMPUTED_VALUE"""),"")</f>
        <v/>
      </c>
      <c r="Y34" s="1249"/>
      <c r="Z34" s="1250" t="str">
        <f>IFERROR(__xludf.DUMMYFUNCTION("if(Y34 &lt;&gt; """", 
  LET( 
    TargetLevel, VLOOKUP(Y34,MS_Labs_Array,3,false),
    MaxLevel, VLOOKUP(Y34,MS_Labs_Array,4,false),
    MaxOrTarget, IF(OR(TargetLevel = """",$AD$1 &lt;&gt; ""Target""), MaxLevel, TargetLevel),
    LabLevel, VLOOKUP(Y34,MS_Labs_Array"&amp;",2,False),
    Levelprogress, LabLevel / MaxOrTarget,
    DVTColumn, MATCH(Y34,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4" s="1251" t="str">
        <f>IFERROR(__xludf.DUMMYFUNCTION("if(Y34 &lt;&gt; """", 
  LET(
    TargetLevel, VLOOKUP(Y34,MS_Labs_Array,3,false),
    LabSpeed, (1 * REGEXEXTRACT($BH$1, ""[\d.-]+"")) * {IF(Y34 =""Labs Speed"", 1+'Master Sheet'!$BK$5, LAB_SPEED_TOTAL())},
    MaxLevel, VLOOKUP(Y34,MS_Labs_Array,4,false),
   "&amp;" MaxOrTarget, IF(OR(TargetLevel = """",$AD$1 &lt;&gt; ""Target""), MaxLevel, TargetLevel),
    LabLevel, VLOOKUP(Y34,MS_Labs_Array,2,False),
    DVTColumn, MATCH(Y34, DVT_Laboratory!$A$1:BO$1, 0),
    xextTime, INDIRECT(""DVT_Laboratory!"" &amp; ADDRESS(LabLevel+3,"&amp;" DVTColumn)) / LabSpeed,
    remainingTime, SUM(INDIRECT(""DVT_Laboratory!"" &amp; ADDRESS(LabLevel+3, DVTColumn) &amp; "":"" &amp; ADDRESS(MaxOrTarget+2, DVTColumn))) / LabSpeed,
  Y34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34" s="1249"/>
      <c r="AC34" s="1249" t="str">
        <f>IFERROR(__xludf.DUMMYFUNCTION("""COMPUTED_VALUE"""),"Swamp Stun Chance
  Lab Level:      0 / 30 (Max)
  Next Level:    0d  1h 16m
  Max Level:     52d 10h 56m")</f>
        <v>Swamp Stun Chance
  Lab Level:      0 / 30 (Max)
  Next Level:    0d  1h 16m
  Max Level:     52d 10h 56m</v>
      </c>
      <c r="AD34" s="1249" t="str">
        <f>IFERROR(__xludf.DUMMYFUNCTION("""COMPUTED_VALUE"""),"")</f>
        <v/>
      </c>
      <c r="AE34" s="1249"/>
      <c r="AF34" s="1250" t="str">
        <f>IFERROR(__xludf.DUMMYFUNCTION("if(AE34 &lt;&gt; """", 
  LET( 
    TargetLevel, VLOOKUP(AE34,MS_Labs_Array,3,false),
    MaxLevel, VLOOKUP(AE34,MS_Labs_Array,4,false),
    MaxOrTarget, IF(OR(TargetLevel = """",$AD$1 &lt;&gt; ""Target""), MaxLevel, TargetLevel),
    LabLevel, VLOOKUP(AE34,MS_Labs_A"&amp;"rray,2,False),
    Levelprogress, LabLevel / MaxOrTarget,
    DVTColumn, MATCH(AE34,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4" s="1251" t="str">
        <f>IFERROR(__xludf.DUMMYFUNCTION("if(AE34 &lt;&gt; """", 
  LET(
    TargetLevel, VLOOKUP(AE34,MS_Labs_Array,3,false),
    LabSpeed, (1 * REGEXEXTRACT($BH$1, ""[\d.-]+"")) * {IF(AE34 =""Labs Speed"", 1+'Master Sheet'!$BK$5, LAB_SPEED_TOTAL())},
    MaxLevel, VLOOKUP(AE34,MS_Labs_Array,4,false),"&amp;"
    MaxOrTarget, IF(OR(TargetLevel = """",$AD$1 &lt;&gt; ""Target""), MaxLevel, TargetLevel),
    LabLevel, VLOOKUP(AE34,MS_Labs_Array,2,False),
    DVTColumn, MATCH(AE34, DVT_Laboratory!$A$1:BO$1, 0),
    xextTime, INDIRECT(""DVT_Laboratory!"" &amp; ADDRESS(LabLe"&amp;"vel+3, DVTColumn)) / LabSpeed,
    remainingTime, SUM(INDIRECT(""DVT_Laboratory!"" &amp; ADDRESS(LabLevel+3, DVTColumn) &amp; "":"" &amp; ADDRESS(MaxOrTarget+2, DVTColumn))) / LabSpeed,
  AE34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4" s="1249"/>
      <c r="AI34" s="1249" t="str">
        <f>IFERROR(__xludf.DUMMYFUNCTION("""COMPUTED_VALUE"""),"Gold Bot - Duration
  Lab Level:      12 / 20 (Max)
  Next Level:    2d 20h  0m
  Max Level:     38d 21h 26m")</f>
        <v>Gold Bot - Duration
  Lab Level:      12 / 20 (Max)
  Next Level:    2d 20h  0m
  Max Level:     38d 21h 26m</v>
      </c>
      <c r="AJ34" s="1249" t="str">
        <f>IFERROR(__xludf.DUMMYFUNCTION("""COMPUTED_VALUE"""),"")</f>
        <v/>
      </c>
      <c r="AK34" s="1249"/>
      <c r="AL34" s="1250" t="str">
        <f>IFERROR(__xludf.DUMMYFUNCTION("if(AK34 &lt;&gt; """", 
  LET( 
    TargetLevel, VLOOKUP(AK34,MS_Labs_Array,3,false),
    MaxLevel, VLOOKUP(AK34,MS_Labs_Array,4,false),
    MaxOrTarget, IF(OR(TargetLevel = """",$AD$1 &lt;&gt; ""Target""), MaxLevel, TargetLevel),
    LabLevel, VLOOKUP(AK34,MS_Labs_A"&amp;"rray,2,False),
    Levelprogress, LabLevel / MaxOrTarget,
    DVTColumn, MATCH(AK34,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4" s="1251" t="str">
        <f>IFERROR(__xludf.DUMMYFUNCTION("if(AK34 &lt;&gt; """", 
  LET(
    TargetLevel, VLOOKUP(AK34,MS_Labs_Array,3,false),
    LabSpeed, (1 * REGEXEXTRACT($BH$1, ""[\d.-]+"")) * {IF(AK34 =""Labs Speed"", 1+'Master Sheet'!$BK$5, LAB_SPEED_TOTAL())},
    MaxLevel, VLOOKUP(AK34,MS_Labs_Array,4,false),"&amp;"
    MaxOrTarget, IF(OR(TargetLevel = """",$AD$1 &lt;&gt; ""Target""), MaxLevel, TargetLevel),
    LabLevel, VLOOKUP(AK34,MS_Labs_Array,2,False),
    DVTColumn, MATCH(AK34, DVT_Laboratory!$A$1:BO$1, 0),
    xextTime, INDIRECT(""DVT_Laboratory!"" &amp; ADDRESS(LabLe"&amp;"vel+3, DVTColumn)) / LabSpeed,
    remainingTime, SUM(INDIRECT(""DVT_Laboratory!"" &amp; ADDRESS(LabLevel+3, DVTColumn) &amp; "":"" &amp; ADDRESS(MaxOrTarget+2, DVTColumn))) / LabSpeed,
  AK34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4" s="1249"/>
      <c r="AO34" s="1249" t="str">
        <f>IFERROR(__xludf.DUMMYFUNCTION("""COMPUTED_VALUE"""),"Cannon Effect Bans
  Lab Level:      0 / 4 (Max)
  Next Level:    2d  9h 11m
  Max Level:     31d 12h 14m")</f>
        <v>Cannon Effect Bans
  Lab Level:      0 / 4 (Max)
  Next Level:    2d  9h 11m
  Max Level:     31d 12h 14m</v>
      </c>
      <c r="AP34" s="1249" t="str">
        <f>IFERROR(__xludf.DUMMYFUNCTION("""COMPUTED_VALUE"""),"")</f>
        <v/>
      </c>
      <c r="AQ34" s="1249"/>
      <c r="AR34" s="1250" t="str">
        <f>IFERROR(__xludf.DUMMYFUNCTION("if(AQ34 &lt;&gt; """", 
  LET( 
    TargetLevel, VLOOKUP(AQ34,MS_Labs_Array,3,false),
    MaxLevel, VLOOKUP(AQ34,MS_Labs_Array,4,false),
    MaxOrTarget, IF(OR(TargetLevel = """",$AD$1 &lt;&gt; ""Target""), MaxLevel, TargetLevel),
    LabLevel, VLOOKUP(AQ34,MS_Labs_A"&amp;"rray,2,False),
    Levelprogress, LabLevel / MaxOrTarget,
    DVTColumn, MATCH(AQ34,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4" s="1251" t="str">
        <f>IFERROR(__xludf.DUMMYFUNCTION("if(AQ34 &lt;&gt; """", 
  LET(
    TargetLevel, VLOOKUP(AQ34,MS_Labs_Array,3,false),
    LabSpeed, (1 * REGEXEXTRACT($BH$1, ""[\d.-]+"")) * {IF(AQ34 =""Labs Speed"", 1+'Master Sheet'!$BK$5, LAB_SPEED_TOTAL())},
    MaxLevel, VLOOKUP(AQ34,MS_Labs_Array,4,false),"&amp;"
    MaxOrTarget, IF(OR(TargetLevel = """",$AD$1 &lt;&gt; ""Target""), MaxLevel, TargetLevel),
    LabLevel, VLOOKUP(AQ34,MS_Labs_Array,2,False),
    DVTColumn, MATCH(AQ34, DVT_Laboratory!$A$1:BO$1, 0),
    xextTime, INDIRECT(""DVT_Laboratory!"" &amp; ADDRESS(LabLe"&amp;"vel+3, DVTColumn)) / LabSpeed,
    remainingTime, SUM(INDIRECT(""DVT_Laboratory!"" &amp; ADDRESS(LabLevel+3, DVTColumn) &amp; "":"" &amp; ADDRESS(MaxOrTarget+2, DVTColumn))) / LabSpeed,
  AQ34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34" s="1249"/>
      <c r="AU34" s="1249" t="str">
        <f>IFERROR(__xludf.DUMMYFUNCTION("""COMPUTED_VALUE"""),"Amp Bot - Cooldown
  Lab Level:      0 / 25 (Max)
  Next Level:    0d  2h 28m
  Max Level:     36d 15h 32m")</f>
        <v>Amp Bot - Cooldown
  Lab Level:      0 / 25 (Max)
  Next Level:    0d  2h 28m
  Max Level:     36d 15h 32m</v>
      </c>
      <c r="AV34" s="1249" t="str">
        <f>IFERROR(__xludf.DUMMYFUNCTION("""COMPUTED_VALUE"""),"")</f>
        <v/>
      </c>
      <c r="AW34" s="1249" t="str">
        <f>IFERROR(__xludf.DUMMYFUNCTION("""COMPUTED_VALUE"""),"Ultimate Weapon Durations")</f>
        <v>Ultimate Weapon Durations</v>
      </c>
      <c r="AX34" s="1250" t="str">
        <f>IFERROR(__xludf.DUMMYFUNCTION("if(AW34 &lt;&gt; """", 
  LET( 
    TargetLevel, VLOOKUP(AW34,MS_Labs_Array,3,false),
    MaxLevel, VLOOKUP(AW34,MS_Labs_Array,4,false),
    MaxOrTarget, IF(OR(TargetLevel = """",$AD$1 &lt;&gt; ""Target""), MaxLevel, TargetLevel),
    LabLevel, VLOOKUP(AW34,MS_Labs_A"&amp;"rray,2,False),
    Levelprogress, LabLevel / MaxOrTarget,
    DVTColumn, MATCH(AW34,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4" s="1251" t="str">
        <f>IFERROR(__xludf.DUMMYFUNCTION("if(AW34 &lt;&gt; """", 
  LET(
    TargetLevel, VLOOKUP(AW34,MS_Labs_Array,3,false),
    LabSpeed, (1 * REGEXEXTRACT($BH$1, ""[\d.-]+"")) * {IF(AW34 =""Labs Speed"", 1+'Master Sheet'!$BK$5, LAB_SPEED_TOTAL())},
    MaxLevel, VLOOKUP(AW34,MS_Labs_Array,4,false),"&amp;"
    MaxOrTarget, IF(OR(TargetLevel = """",$AD$1 &lt;&gt; ""Target""), MaxLevel, TargetLevel),
    LabLevel, VLOOKUP(AW34,MS_Labs_Array,2,False),
    DVTColumn, MATCH(AW34, DVT_Laboratory!$A$1:BO$1, 0),
    xextTime, INDIRECT(""DVT_Laboratory!"" &amp; ADDRESS(LabLe"&amp;"vel+3, DVTColumn)) / LabSpeed,
    remainingTime, SUM(INDIRECT(""DVT_Laboratory!"" &amp; ADDRESS(LabLevel+3, DVTColumn) &amp; "":"" &amp; ADDRESS(MaxOrTarget+2, DVTColumn))) / LabSpeed,
  AW34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"""")"),"Ultimate Weapon Durations
  Lab Level:      0 / 10 (Max)
  Next Level:    1d 17h 10m
  Max Level:     68d  2h 47m")</f>
        <v>Ultimate Weapon Durations
  Lab Level:      0 / 10 (Max)
  Next Level:    1d 17h 10m
  Max Level:     68d  2h 47m</v>
      </c>
      <c r="AZ34" s="1249" t="str">
        <f>IFERROR(__xludf.DUMMYFUNCTION("""COMPUTED_VALUE"""),"Max lab only gives you back 1 second")</f>
        <v>Max lab only gives you back 1 second</v>
      </c>
      <c r="BA34" s="1249" t="str">
        <f>IFERROR(__xludf.DUMMYFUNCTION("""COMPUTED_VALUE"""),"Waves Required
  Lab Level:      13 / 17 (Target)
  Next Level:    0d 12h 38m
  Target Level: 2d 23h 34m")</f>
        <v>Waves Required
  Lab Level:      13 / 17 (Target)
  Next Level:    0d 12h 38m
  Target Level: 2d 23h 34m</v>
      </c>
      <c r="BB34" s="1249" t="str">
        <f>IFERROR(__xludf.DUMMYFUNCTION("""COMPUTED_VALUE"""),"")</f>
        <v/>
      </c>
      <c r="BC34" s="1249"/>
      <c r="BD34" s="1250" t="str">
        <f>IFERROR(__xludf.DUMMYFUNCTION("if(BC34 &lt;&gt; """", 
  LET( 
    TargetLevel, VLOOKUP(BC34,MS_Labs_Array,3,false),
    MaxLevel, VLOOKUP(BC34,MS_Labs_Array,4,false),
    MaxOrTarget, IF(OR(TargetLevel = """",$AD$1 &lt;&gt; ""Target""), MaxLevel, TargetLevel),
    LabLevel, VLOOKUP(BC34,MS_Labs_A"&amp;"rray,2,False),
    Levelprogress, LabLevel / MaxOrTarget,
    DVTColumn, MATCH(BC34,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4" s="1251" t="str">
        <f>IFERROR(__xludf.DUMMYFUNCTION("if(BC34 &lt;&gt; """", 
  LET(
    TargetLevel, VLOOKUP(BC34,MS_Labs_Array,3,false),
    LabSpeed, (1 * REGEXEXTRACT($BH$1, ""[\d.-]+"")) * {IF(BC34 =""Labs Speed"", 1+'Master Sheet'!$BK$5, LAB_SPEED_TOTAL())},
    MaxLevel, VLOOKUP(BC34,MS_Labs_Array,4,false),"&amp;"
    MaxOrTarget, IF(OR(TargetLevel = """",$AD$1 &lt;&gt; ""Target""), MaxLevel, TargetLevel),
    LabLevel, VLOOKUP(BC34,MS_Labs_Array,2,False),
    DVTColumn, MATCH(BC34, DVT_Laboratory!$A$1:BO$1, 0),
    xextTime, INDIRECT(""DVT_Laboratory!"" &amp; ADDRESS(LabLe"&amp;"vel+3, DVTColumn)) / LabSpeed,
    remainingTime, SUM(INDIRECT(""DVT_Laboratory!"" &amp; ADDRESS(LabLevel+3, DVTColumn) &amp; "":"" &amp; ADDRESS(MaxOrTarget+2, DVTColumn))) / LabSpeed,
  BC34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4" s="1249"/>
      <c r="BG34" s="1249" t="str">
        <f>IFERROR(__xludf.DUMMYFUNCTION("""COMPUTED_VALUE"""),"")</f>
        <v/>
      </c>
      <c r="BH34" s="1260" t="str">
        <f>IFERROR(__xludf.DUMMYFUNCTION("""COMPUTED_VALUE"""),"")</f>
        <v/>
      </c>
      <c r="BI34" s="1252" t="str">
        <f>IFERROR(__xludf.DUMMYFUNCTION("""COMPUTED_VALUE"""),"Extra Orb Adjuster")</f>
        <v>Extra Orb Adjuster</v>
      </c>
      <c r="BJ34" s="1253" t="str">
        <f>IFERROR(__xludf.DUMMYFUNCTION("if(BI34 &lt;&gt; """", 
  LET( 
    TargetLevel, VLOOKUP(BI34,MS_Labs_Array,3,false),
    MaxLevel, VLOOKUP(BI34,MS_Labs_Array,4,false),
    MaxOrTarget, IF(OR(TargetLevel = """",$AD$1 &lt;&gt; ""Target""), MaxLevel, TargetLevel),
    LabLevel, VLOOKUP(BI34,MS_Labs_A"&amp;"rray,2,False),
    Levelprogress, IF(LabLevel &gt;= MaxOrTarget, 1, LabLevel / MaxOrTarget),
    DVTColumn, MATCH(BI34,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4" s="1254" t="str">
        <f>IFERROR(__xludf.DUMMYFUNCTION("if(BI34 &lt;&gt; """", 
  LET(
    TargetLevel, VLOOKUP(BI34,MS_Labs_Array,3,false),
    LabSpeed, (1 * REGEXEXTRACT($BH$1, ""[\d.-]+"")) * {IF(BI34 =""Labs Speed"", 1+'Master Sheet'!$BK$5, LAB_SPEED_TOTAL())},
    MaxLevel, VLOOKUP(BI34,MS_Labs_Array,4,false),"&amp;"
    MaxOrTarget, IF(OR(TargetLevel = """",$AD$1 &lt;&gt; ""Target""), MaxLevel, TargetLevel),
    LabLevel, VLOOKUP(BI34,MS_Labs_Array,2,False),
    DVTColumn, MATCH(BI34, DVT_Laboratory!$A$1:BO$1, 0),
    xextTime, INDIRECT(""DVT_Laboratory!"" &amp; ADDRESS(LabLe"&amp;"vel+3, DVTColumn)) / LabSpeed,
    remainingTime, SUM(INDIRECT(""DVT_Laboratory!"" &amp; ADDRESS(LabLevel+3, DVTColumn) &amp; "":"" &amp; ADDRESS(MaxOrTarget+2, DVTColumn))) / LabSpeed,
  BI34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"""")"),"Extra Orb Adjuster
  Lab Level:      1 / 1 (Max)
  Next Level:    
  Max Level:     0d  3h 10m")</f>
        <v>Extra Orb Adjuster
  Lab Level:      1 / 1 (Max)
  Next Level:    
  Max Level:     0d  3h 10m</v>
      </c>
      <c r="BL34" s="1252" t="str">
        <f>IFERROR(__xludf.DUMMYFUNCTION("""COMPUTED_VALUE"""),"Makes extra orbs a lot more useful. Allows easy clearing of BH")</f>
        <v>Makes extra orbs a lot more useful. Allows easy clearing of BH</v>
      </c>
      <c r="BM34" s="1252" t="str">
        <f>IFERROR(__xludf.DUMMYFUNCTION("""COMPUTED_VALUE"""),"Recovery Package Chance
  Lab Level:      20 / 20 (Max)
  Next Level:    
  Max Level:     2d 15h 11m")</f>
        <v>Recovery Package Chance
  Lab Level:      20 / 20 (Max)
  Next Level:    
  Max Level:     2d 15h 11m</v>
      </c>
      <c r="BN34" s="1222"/>
      <c r="BO34" s="1261"/>
    </row>
    <row r="35">
      <c r="A35" s="1222"/>
      <c r="B35" s="1262" t="s">
        <v>557</v>
      </c>
      <c r="C35" s="1291" t="s">
        <v>217</v>
      </c>
      <c r="D35" s="1280" t="str">
        <f>VLOOKUP(C35,'Remote Tier List'!A:D, 2, FALSE)</f>
        <v>B</v>
      </c>
      <c r="E35" s="1281" t="str">
        <f>VLOOKUP(C35,'Remote Tier List'!A:D, 3, FALSE)</f>
        <v/>
      </c>
      <c r="F35" s="1284" t="str">
        <f>VLOOKUP(C35,'Remote Tier List'!A:D, 4, FALSE)</f>
        <v>Decent to help with orbs clearing enemies better, later good to get more Orb mastery or Orb Boss Hit procs</v>
      </c>
      <c r="G35" s="1245" t="b">
        <f t="shared" si="14"/>
        <v>1</v>
      </c>
      <c r="H35" s="1246" t="str">
        <f t="array" ref="H35:I35">LET(
  Lab, $C35,
  Mode, $AD$1,
  Level, VLOOKUP(Lab, MS_Labs_Array, 2, FALSE),
  Target, VLOOKUP(Lab, MS_Labs_Array, 3, FALSE),
  Max, VLOOKUP(Lab, MS_Labs_Array, 4, FALSE),
  Result,
    IF(
      AND(
        Mode &lt;&gt; "Never",
        Level &gt;= IF(OR(Target = "", Mode = "Max"), Max, Target)
      ),
      "Completed",
      ""
    ),
  HSTACK(
    IF(Result &lt;&gt; "", Result, $D35),
    IF(Result &lt;&gt; "", Result, IF($E35 = "", $D35, $E35))
  )
)</f>
        <v>Completed</v>
      </c>
      <c r="I35" s="1247" t="s">
        <v>551</v>
      </c>
      <c r="J35" s="1248" t="str">
        <f t="shared" si="15"/>
        <v>Decent to help with orbs clearing enemies better, later good to get more Orb mastery or Orb Boss Hit procs</v>
      </c>
      <c r="K35" s="1229"/>
      <c r="L35" s="1249"/>
      <c r="M35" s="1249"/>
      <c r="N35" s="1250" t="str">
        <f>IFERROR(__xludf.DUMMYFUNCTION("if(M35 &lt;&gt; """", 
  LET( 
    TargetLevel, VLOOKUP(M35,MS_Labs_Array,3,false),
    MaxLevel, VLOOKUP(M35,MS_Labs_Array,4,false),
    MaxOrTarget, IF(OR(TargetLevel = """",$AD$1 &lt;&gt; ""Target""), MaxLevel, TargetLevel),
    LabLevel, VLOOKUP(M35,MS_Labs_Array"&amp;",2,False),
    Levelprogress, LabLevel / MaxOrTarget,
    DVTColumn, MATCH(M35,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5" s="1251" t="str">
        <f>IFERROR(__xludf.DUMMYFUNCTION("if(M35 &lt;&gt; """", 
  LET(
    TargetLevel, VLOOKUP(M35,MS_Labs_Array,3,false),
    LabSpeed, (1 * REGEXEXTRACT($BH$1, ""[\d.-]+"")) * {IF(M35 =""Labs Speed"", 1+'Master Sheet'!$BK$5, LAB_SPEED_TOTAL())},
    MaxLevel, VLOOKUP(M35,MS_Labs_Array,4,false),
   "&amp;" MaxOrTarget, IF(OR(TargetLevel = """",$AD$1 &lt;&gt; ""Target""), MaxLevel, TargetLevel),
    LabLevel, VLOOKUP(M35,MS_Labs_Array,2,False),
    DVTColumn, MATCH(M35, DVT_Laboratory!$A$1:BO$1, 0),
    xextTime, INDIRECT(""DVT_Laboratory!"" &amp; ADDRESS(LabLevel+3,"&amp;" DVTColumn)) / LabSpeed,
    remainingTime, SUM(INDIRECT(""DVT_Laboratory!"" &amp; ADDRESS(LabLevel+3, DVTColumn) &amp; "":"" &amp; ADDRESS(MaxOrTarget+2, DVTColumn))) / LabSpeed,
  M35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5" s="1249"/>
      <c r="Q35" s="1249"/>
      <c r="R35" s="1249"/>
      <c r="S35" s="1249"/>
      <c r="T35" s="1250" t="str">
        <f>IFERROR(__xludf.DUMMYFUNCTION("if(S35 &lt;&gt; """", 
  LET( 
    TargetLevel, VLOOKUP(S35,MS_Labs_Array,3,false),
    MaxLevel, VLOOKUP(S35,MS_Labs_Array,4,false),
    MaxOrTarget, IF(OR(TargetLevel = """",$AD$1 &lt;&gt; ""Target""), MaxLevel, TargetLevel),
    LabLevel, VLOOKUP(S35,MS_Labs_Array"&amp;",2,False),
    Levelprogress, LabLevel / MaxOrTarget,
    DVTColumn, MATCH(S35,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5" s="1251" t="str">
        <f>IFERROR(__xludf.DUMMYFUNCTION("if(S35 &lt;&gt; """", 
  LET(
    TargetLevel, VLOOKUP(S35,MS_Labs_Array,3,false),
    LabSpeed, (1 * REGEXEXTRACT($BH$1, ""[\d.-]+"")) * {IF(S35 =""Labs Speed"", 1+'Master Sheet'!$BK$5, LAB_SPEED_TOTAL())},
    MaxLevel, VLOOKUP(S35,MS_Labs_Array,4,false),
   "&amp;" MaxOrTarget, IF(OR(TargetLevel = """",$AD$1 &lt;&gt; ""Target""), MaxLevel, TargetLevel),
    LabLevel, VLOOKUP(S35,MS_Labs_Array,2,False),
    DVTColumn, MATCH(S35, DVT_Laboratory!$A$1:BO$1, 0),
    xextTime, INDIRECT(""DVT_Laboratory!"" &amp; ADDRESS(LabLevel+3,"&amp;" DVTColumn)) / LabSpeed,
    remainingTime, SUM(INDIRECT(""DVT_Laboratory!"" &amp; ADDRESS(LabLevel+3, DVTColumn) &amp; "":"" &amp; ADDRESS(MaxOrTarget+2, DVTColumn))) / LabSpeed,
  S35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5" s="1249"/>
      <c r="W35" s="1249"/>
      <c r="X35" s="1249" t="str">
        <f>IFERROR(__xludf.DUMMYFUNCTION("""COMPUTED_VALUE"""),"Swamp Stun Time")</f>
        <v>Swamp Stun Time</v>
      </c>
      <c r="Y35" s="1249"/>
      <c r="Z35" s="1250" t="str">
        <f>IFERROR(__xludf.DUMMYFUNCTION("if(Y35 &lt;&gt; """", 
  LET( 
    TargetLevel, VLOOKUP(Y35,MS_Labs_Array,3,false),
    MaxLevel, VLOOKUP(Y35,MS_Labs_Array,4,false),
    MaxOrTarget, IF(OR(TargetLevel = """",$AD$1 &lt;&gt; ""Target""), MaxLevel, TargetLevel),
    LabLevel, VLOOKUP(Y35,MS_Labs_Array"&amp;",2,False),
    Levelprogress, LabLevel / MaxOrTarget,
    DVTColumn, MATCH(Y35,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5" s="1251" t="str">
        <f>IFERROR(__xludf.DUMMYFUNCTION("if(Y35 &lt;&gt; """", 
  LET(
    TargetLevel, VLOOKUP(Y35,MS_Labs_Array,3,false),
    LabSpeed, (1 * REGEXEXTRACT($BH$1, ""[\d.-]+"")) * {IF(Y35 =""Labs Speed"", 1+'Master Sheet'!$BK$5, LAB_SPEED_TOTAL())},
    MaxLevel, VLOOKUP(Y35,MS_Labs_Array,4,false),
   "&amp;" MaxOrTarget, IF(OR(TargetLevel = """",$AD$1 &lt;&gt; ""Target""), MaxLevel, TargetLevel),
    LabLevel, VLOOKUP(Y35,MS_Labs_Array,2,False),
    DVTColumn, MATCH(Y35, DVT_Laboratory!$A$1:BO$1, 0),
    xextTime, INDIRECT(""DVT_Laboratory!"" &amp; ADDRESS(LabLevel+3,"&amp;" DVTColumn)) / LabSpeed,
    remainingTime, SUM(INDIRECT(""DVT_Laboratory!"" &amp; ADDRESS(LabLevel+3, DVTColumn) &amp; "":"" &amp; ADDRESS(MaxOrTarget+2, DVTColumn))) / LabSpeed,
  Y35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35" s="1249"/>
      <c r="AC35" s="1249" t="str">
        <f>IFERROR(__xludf.DUMMYFUNCTION("""COMPUTED_VALUE"""),"Great complementary source of crowd control")</f>
        <v>Great complementary source of crowd control</v>
      </c>
      <c r="AD35" s="1249" t="str">
        <f>IFERROR(__xludf.DUMMYFUNCTION("""COMPUTED_VALUE"""),"Amp Bot - Duration")</f>
        <v>Amp Bot - Duration</v>
      </c>
      <c r="AE35" s="1249"/>
      <c r="AF35" s="1250" t="str">
        <f>IFERROR(__xludf.DUMMYFUNCTION("if(AE35 &lt;&gt; """", 
  LET( 
    TargetLevel, VLOOKUP(AE35,MS_Labs_Array,3,false),
    MaxLevel, VLOOKUP(AE35,MS_Labs_Array,4,false),
    MaxOrTarget, IF(OR(TargetLevel = """",$AD$1 &lt;&gt; ""Target""), MaxLevel, TargetLevel),
    LabLevel, VLOOKUP(AE35,MS_Labs_A"&amp;"rray,2,False),
    Levelprogress, LabLevel / MaxOrTarget,
    DVTColumn, MATCH(AE35,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5" s="1251" t="str">
        <f>IFERROR(__xludf.DUMMYFUNCTION("if(AE35 &lt;&gt; """", 
  LET(
    TargetLevel, VLOOKUP(AE35,MS_Labs_Array,3,false),
    LabSpeed, (1 * REGEXEXTRACT($BH$1, ""[\d.-]+"")) * {IF(AE35 =""Labs Speed"", 1+'Master Sheet'!$BK$5, LAB_SPEED_TOTAL())},
    MaxLevel, VLOOKUP(AE35,MS_Labs_Array,4,false),"&amp;"
    MaxOrTarget, IF(OR(TargetLevel = """",$AD$1 &lt;&gt; ""Target""), MaxLevel, TargetLevel),
    LabLevel, VLOOKUP(AE35,MS_Labs_Array,2,False),
    DVTColumn, MATCH(AE35, DVT_Laboratory!$A$1:BO$1, 0),
    xextTime, INDIRECT(""DVT_Laboratory!"" &amp; ADDRESS(LabLe"&amp;"vel+3, DVTColumn)) / LabSpeed,
    remainingTime, SUM(INDIRECT(""DVT_Laboratory!"" &amp; ADDRESS(LabLevel+3, DVTColumn) &amp; "":"" &amp; ADDRESS(MaxOrTarget+2, DVTColumn))) / LabSpeed,
  AE35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5" s="1249"/>
      <c r="AI35" s="1249" t="str">
        <f>IFERROR(__xludf.DUMMYFUNCTION("""COMPUTED_VALUE"""),"Improves overall damage and its consistency")</f>
        <v>Improves overall damage and its consistency</v>
      </c>
      <c r="AJ35" s="1249" t="str">
        <f>IFERROR(__xludf.DUMMYFUNCTION("""COMPUTED_VALUE"""),"Armor Effect Bans")</f>
        <v>Armor Effect Bans</v>
      </c>
      <c r="AK35" s="1249"/>
      <c r="AL35" s="1250" t="str">
        <f>IFERROR(__xludf.DUMMYFUNCTION("if(AK35 &lt;&gt; """", 
  LET( 
    TargetLevel, VLOOKUP(AK35,MS_Labs_Array,3,false),
    MaxLevel, VLOOKUP(AK35,MS_Labs_Array,4,false),
    MaxOrTarget, IF(OR(TargetLevel = """",$AD$1 &lt;&gt; ""Target""), MaxLevel, TargetLevel),
    LabLevel, VLOOKUP(AK35,MS_Labs_A"&amp;"rray,2,False),
    Levelprogress, LabLevel / MaxOrTarget,
    DVTColumn, MATCH(AK35,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5" s="1251" t="str">
        <f>IFERROR(__xludf.DUMMYFUNCTION("if(AK35 &lt;&gt; """", 
  LET(
    TargetLevel, VLOOKUP(AK35,MS_Labs_Array,3,false),
    LabSpeed, (1 * REGEXEXTRACT($BH$1, ""[\d.-]+"")) * {IF(AK35 =""Labs Speed"", 1+'Master Sheet'!$BK$5, LAB_SPEED_TOTAL())},
    MaxLevel, VLOOKUP(AK35,MS_Labs_Array,4,false),"&amp;"
    MaxOrTarget, IF(OR(TargetLevel = """",$AD$1 &lt;&gt; ""Target""), MaxLevel, TargetLevel),
    LabLevel, VLOOKUP(AK35,MS_Labs_Array,2,False),
    DVTColumn, MATCH(AK35, DVT_Laboratory!$A$1:BO$1, 0),
    xextTime, INDIRECT(""DVT_Laboratory!"" &amp; ADDRESS(LabLe"&amp;"vel+3, DVTColumn)) / LabSpeed,
    remainingTime, SUM(INDIRECT(""DVT_Laboratory!"" &amp; ADDRESS(LabLevel+3, DVTColumn) &amp; "":"" &amp; ADDRESS(MaxOrTarget+2, DVTColumn))) / LabSpeed,
  AK35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5" s="1249"/>
      <c r="AO35" s="1249" t="str">
        <f>IFERROR(__xludf.DUMMYFUNCTION("""COMPUTED_VALUE"""),"Basically another reroll shards lab but arguably worse")</f>
        <v>Basically another reroll shards lab but arguably worse</v>
      </c>
      <c r="AP35" s="1249" t="str">
        <f>IFERROR(__xludf.DUMMYFUNCTION("""COMPUTED_VALUE"""),"Thunder Bot - Linger Time")</f>
        <v>Thunder Bot - Linger Time</v>
      </c>
      <c r="AQ35" s="1249"/>
      <c r="AR35" s="1250" t="str">
        <f>IFERROR(__xludf.DUMMYFUNCTION("if(AQ35 &lt;&gt; """", 
  LET( 
    TargetLevel, VLOOKUP(AQ35,MS_Labs_Array,3,false),
    MaxLevel, VLOOKUP(AQ35,MS_Labs_Array,4,false),
    MaxOrTarget, IF(OR(TargetLevel = """",$AD$1 &lt;&gt; ""Target""), MaxLevel, TargetLevel),
    LabLevel, VLOOKUP(AQ35,MS_Labs_A"&amp;"rray,2,False),
    Levelprogress, LabLevel / MaxOrTarget,
    DVTColumn, MATCH(AQ35,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5" s="1251" t="str">
        <f>IFERROR(__xludf.DUMMYFUNCTION("if(AQ35 &lt;&gt; """", 
  LET(
    TargetLevel, VLOOKUP(AQ35,MS_Labs_Array,3,false),
    LabSpeed, (1 * REGEXEXTRACT($BH$1, ""[\d.-]+"")) * {IF(AQ35 =""Labs Speed"", 1+'Master Sheet'!$BK$5, LAB_SPEED_TOTAL())},
    MaxLevel, VLOOKUP(AQ35,MS_Labs_Array,4,false),"&amp;"
    MaxOrTarget, IF(OR(TargetLevel = """",$AD$1 &lt;&gt; ""Target""), MaxLevel, TargetLevel),
    LabLevel, VLOOKUP(AQ35,MS_Labs_Array,2,False),
    DVTColumn, MATCH(AQ35, DVT_Laboratory!$A$1:BO$1, 0),
    xextTime, INDIRECT(""DVT_Laboratory!"" &amp; ADDRESS(LabLe"&amp;"vel+3, DVTColumn)) / LabSpeed,
    remainingTime, SUM(INDIRECT(""DVT_Laboratory!"" &amp; ADDRESS(LabLevel+3, DVTColumn) &amp; "":"" &amp; ADDRESS(MaxOrTarget+2, DVTColumn))) / LabSpeed,
  AQ35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35" s="1249"/>
      <c r="AU35" s="1249" t="str">
        <f>IFERROR(__xludf.DUMMYFUNCTION("""COMPUTED_VALUE"""),"Only good if you have the bot")</f>
        <v>Only good if you have the bot</v>
      </c>
      <c r="AV35" s="1249" t="str">
        <f>IFERROR(__xludf.DUMMYFUNCTION("""COMPUTED_VALUE"""),"Gold Bot - Cooldown")</f>
        <v>Gold Bot - Cooldown</v>
      </c>
      <c r="AW35" s="1249"/>
      <c r="AX35" s="1250" t="str">
        <f>IFERROR(__xludf.DUMMYFUNCTION("if(AW35 &lt;&gt; """", 
  LET( 
    TargetLevel, VLOOKUP(AW35,MS_Labs_Array,3,false),
    MaxLevel, VLOOKUP(AW35,MS_Labs_Array,4,false),
    MaxOrTarget, IF(OR(TargetLevel = """",$AD$1 &lt;&gt; ""Target""), MaxLevel, TargetLevel),
    LabLevel, VLOOKUP(AW35,MS_Labs_A"&amp;"rray,2,False),
    Levelprogress, LabLevel / MaxOrTarget,
    DVTColumn, MATCH(AW35,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5" s="1251" t="str">
        <f>IFERROR(__xludf.DUMMYFUNCTION("if(AW35 &lt;&gt; """", 
  LET(
    TargetLevel, VLOOKUP(AW35,MS_Labs_Array,3,false),
    LabSpeed, (1 * REGEXEXTRACT($BH$1, ""[\d.-]+"")) * {IF(AW35 =""Labs Speed"", 1+'Master Sheet'!$BK$5, LAB_SPEED_TOTAL())},
    MaxLevel, VLOOKUP(AW35,MS_Labs_Array,4,false),"&amp;"
    MaxOrTarget, IF(OR(TargetLevel = """",$AD$1 &lt;&gt; ""Target""), MaxLevel, TargetLevel),
    LabLevel, VLOOKUP(AW35,MS_Labs_Array,2,False),
    DVTColumn, MATCH(AW35, DVT_Laboratory!$A$1:BO$1, 0),
    xextTime, INDIRECT(""DVT_Laboratory!"" &amp; ADDRESS(LabLe"&amp;"vel+3, DVTColumn)) / LabSpeed,
    remainingTime, SUM(INDIRECT(""DVT_Laboratory!"" &amp; ADDRESS(LabLevel+3, DVTColumn) &amp; "":"" &amp; ADDRESS(MaxOrTarget+2, DVTColumn))) / LabSpeed,
  AW35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35" s="1249"/>
      <c r="BA35" s="1249" t="str">
        <f>IFERROR(__xludf.DUMMYFUNCTION("""COMPUTED_VALUE"""),"Can hinder syncing with UWs at certain higher times, best to sync 1:1 ")</f>
        <v>Can hinder syncing with UWs at certain higher times, best to sync 1:1 </v>
      </c>
      <c r="BB35" s="1249"/>
      <c r="BC35" s="1249"/>
      <c r="BD35" s="1250" t="str">
        <f>IFERROR(__xludf.DUMMYFUNCTION("if(BC35 &lt;&gt; """", 
  LET( 
    TargetLevel, VLOOKUP(BC35,MS_Labs_Array,3,false),
    MaxLevel, VLOOKUP(BC35,MS_Labs_Array,4,false),
    MaxOrTarget, IF(OR(TargetLevel = """",$AD$1 &lt;&gt; ""Target""), MaxLevel, TargetLevel),
    LabLevel, VLOOKUP(BC35,MS_Labs_A"&amp;"rray,2,False),
    Levelprogress, LabLevel / MaxOrTarget,
    DVTColumn, MATCH(BC35,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5" s="1251" t="str">
        <f>IFERROR(__xludf.DUMMYFUNCTION("if(BC35 &lt;&gt; """", 
  LET(
    TargetLevel, VLOOKUP(BC35,MS_Labs_Array,3,false),
    LabSpeed, (1 * REGEXEXTRACT($BH$1, ""[\d.-]+"")) * {IF(BC35 =""Labs Speed"", 1+'Master Sheet'!$BK$5, LAB_SPEED_TOTAL())},
    MaxLevel, VLOOKUP(BC35,MS_Labs_Array,4,false),"&amp;"
    MaxOrTarget, IF(OR(TargetLevel = """",$AD$1 &lt;&gt; ""Target""), MaxLevel, TargetLevel),
    LabLevel, VLOOKUP(BC35,MS_Labs_Array,2,False),
    DVTColumn, MATCH(BC35, DVT_Laboratory!$A$1:BO$1, 0),
    xextTime, INDIRECT(""DVT_Laboratory!"" &amp; ADDRESS(LabLe"&amp;"vel+3, DVTColumn)) / LabSpeed,
    remainingTime, SUM(INDIRECT(""DVT_Laboratory!"" &amp; ADDRESS(LabLevel+3, DVTColumn) &amp; "":"" &amp; ADDRESS(MaxOrTarget+2, DVTColumn))) / LabSpeed,
  BC35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5" s="1249"/>
      <c r="BG35" s="1249"/>
      <c r="BH35" s="1260" t="str">
        <f>IFERROR(__xludf.DUMMYFUNCTION("""COMPUTED_VALUE"""),"Enemy Attack Level Skip")</f>
        <v>Enemy Attack Level Skip</v>
      </c>
      <c r="BI35" s="1252" t="str">
        <f>IFERROR(__xludf.DUMMYFUNCTION("""COMPUTED_VALUE"""),"Extra Extra Orbs")</f>
        <v>Extra Extra Orbs</v>
      </c>
      <c r="BJ35" s="1253" t="str">
        <f>IFERROR(__xludf.DUMMYFUNCTION("if(BI35 &lt;&gt; """", 
  LET( 
    TargetLevel, VLOOKUP(BI35,MS_Labs_Array,3,false),
    MaxLevel, VLOOKUP(BI35,MS_Labs_Array,4,false),
    MaxOrTarget, IF(OR(TargetLevel = """",$AD$1 &lt;&gt; ""Target""), MaxLevel, TargetLevel),
    LabLevel, VLOOKUP(BI35,MS_Labs_A"&amp;"rray,2,False),
    Levelprogress, IF(LabLevel &gt;= MaxOrTarget, 1, LabLevel / MaxOrTarget),
    DVTColumn, MATCH(BI35,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5" s="1254" t="str">
        <f>IFERROR(__xludf.DUMMYFUNCTION("if(BI35 &lt;&gt; """", 
  LET(
    TargetLevel, VLOOKUP(BI35,MS_Labs_Array,3,false),
    LabSpeed, (1 * REGEXEXTRACT($BH$1, ""[\d.-]+"")) * {IF(BI35 =""Labs Speed"", 1+'Master Sheet'!$BK$5, LAB_SPEED_TOTAL())},
    MaxLevel, VLOOKUP(BI35,MS_Labs_Array,4,false),"&amp;"
    MaxOrTarget, IF(OR(TargetLevel = """",$AD$1 &lt;&gt; ""Target""), MaxLevel, TargetLevel),
    LabLevel, VLOOKUP(BI35,MS_Labs_Array,2,False),
    DVTColumn, MATCH(BI35, DVT_Laboratory!$A$1:BO$1, 0),
    xextTime, INDIRECT(""DVT_Laboratory!"" &amp; ADDRESS(LabLe"&amp;"vel+3, DVTColumn)) / LabSpeed,
    remainingTime, SUM(INDIRECT(""DVT_Laboratory!"" &amp; ADDRESS(LabLevel+3, DVTColumn) &amp; "":"" &amp; ADDRESS(MaxOrTarget+2, DVTColumn))) / LabSpeed,
  BI35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"""")"),"Extra Extra Orbs
  Lab Level:      2 / 2 (Max)
  Next Level:    
  Max Level:     0d  8h 49m")</f>
        <v>Extra Extra Orbs
  Lab Level:      2 / 2 (Max)
  Next Level:    
  Max Level:     0d  8h 49m</v>
      </c>
      <c r="BL35" s="1252" t="str">
        <f>IFERROR(__xludf.DUMMYFUNCTION("""COMPUTED_VALUE"""),"The more the merrier")</f>
        <v>The more the merrier</v>
      </c>
      <c r="BM35" s="1252" t="str">
        <f>IFERROR(__xludf.DUMMYFUNCTION("""COMPUTED_VALUE"""),"More ELS is always good, especially when the lab is less expensive than the WS or WS+ upgrades")</f>
        <v>More ELS is always good, especially when the lab is less expensive than the WS or WS+ upgrades</v>
      </c>
      <c r="BN35" s="1222"/>
      <c r="BO35" s="1261"/>
    </row>
    <row r="36" ht="7.5" customHeight="1">
      <c r="A36" s="1222"/>
      <c r="B36" s="1262" t="s">
        <v>561</v>
      </c>
      <c r="C36" s="1291" t="s">
        <v>229</v>
      </c>
      <c r="D36" s="1280" t="str">
        <f>VLOOKUP(C36,'Remote Tier List'!A:D, 2, FALSE)</f>
        <v>D</v>
      </c>
      <c r="E36" s="1281" t="str">
        <f>VLOOKUP(C36,'Remote Tier List'!A:D, 3, FALSE)</f>
        <v/>
      </c>
      <c r="F36" s="1284" t="str">
        <f>VLOOKUP(C36,'Remote Tier List'!A:D, 4, FALSE)</f>
        <v>Can help with orbless farms</v>
      </c>
      <c r="G36" s="1245" t="b">
        <f t="shared" si="14"/>
        <v>1</v>
      </c>
      <c r="H36" s="1246" t="str">
        <f t="array" ref="H36:I36">LET(
  Lab, $C36,
  Mode, $AD$1,
  Level, VLOOKUP(Lab, MS_Labs_Array, 2, FALSE),
  Target, VLOOKUP(Lab, MS_Labs_Array, 3, FALSE),
  Max, VLOOKUP(Lab, MS_Labs_Array, 4, FALSE),
  Result,
    IF(
      AND(
        Mode &lt;&gt; "Never",
        Level &gt;= IF(OR(Target = "", Mode = "Max"), Max, Target)
      ),
      "Completed",
      ""
    ),
  HSTACK(
    IF(Result &lt;&gt; "", Result, $D36),
    IF(Result &lt;&gt; "", Result, IF($E36 = "", $D36, $E36))
  )
)</f>
        <v>D</v>
      </c>
      <c r="I36" s="1247" t="s">
        <v>548</v>
      </c>
      <c r="J36" s="1248" t="str">
        <f t="shared" si="15"/>
        <v>Can help with orbless farms</v>
      </c>
      <c r="K36" s="1229"/>
      <c r="L36" s="1249" t="str">
        <f>IFERROR(__xludf.DUMMYFUNCTION("""COMPUTED_VALUE"""),"")</f>
        <v/>
      </c>
      <c r="M36" s="1249"/>
      <c r="N36" s="1250" t="str">
        <f>IFERROR(__xludf.DUMMYFUNCTION("if(M36 &lt;&gt; """", 
  LET( 
    TargetLevel, VLOOKUP(M36,MS_Labs_Array,3,false),
    MaxLevel, VLOOKUP(M36,MS_Labs_Array,4,false),
    MaxOrTarget, IF(OR(TargetLevel = """",$AD$1 &lt;&gt; ""Target""), MaxLevel, TargetLevel),
    LabLevel, VLOOKUP(M36,MS_Labs_Array"&amp;",2,False),
    Levelprogress, LabLevel / MaxOrTarget,
    DVTColumn, MATCH(M36,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6" s="1251" t="str">
        <f>IFERROR(__xludf.DUMMYFUNCTION("if(M36 &lt;&gt; """", 
  LET(
    TargetLevel, VLOOKUP(M36,MS_Labs_Array,3,false),
    LabSpeed, (1 * REGEXEXTRACT($BH$1, ""[\d.-]+"")) * {IF(M36 =""Labs Speed"", 1+'Master Sheet'!$BK$5, LAB_SPEED_TOTAL())},
    MaxLevel, VLOOKUP(M36,MS_Labs_Array,4,false),
   "&amp;" MaxOrTarget, IF(OR(TargetLevel = """",$AD$1 &lt;&gt; ""Target""), MaxLevel, TargetLevel),
    LabLevel, VLOOKUP(M36,MS_Labs_Array,2,False),
    DVTColumn, MATCH(M36, DVT_Laboratory!$A$1:BO$1, 0),
    xextTime, INDIRECT(""DVT_Laboratory!"" &amp; ADDRESS(LabLevel+3,"&amp;" DVTColumn)) / LabSpeed,
    remainingTime, SUM(INDIRECT(""DVT_Laboratory!"" &amp; ADDRESS(LabLevel+3, DVTColumn) &amp; "":"" &amp; ADDRESS(MaxOrTarget+2, DVTColumn))) / LabSpeed,
  M36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6" s="1249"/>
      <c r="Q36" s="1249" t="str">
        <f>IFERROR(__xludf.DUMMYFUNCTION("""COMPUTED_VALUE"""),"")</f>
        <v/>
      </c>
      <c r="R36" s="1249" t="str">
        <f>IFERROR(__xludf.DUMMYFUNCTION("""COMPUTED_VALUE"""),"")</f>
        <v/>
      </c>
      <c r="S36" s="1249"/>
      <c r="T36" s="1250" t="str">
        <f>IFERROR(__xludf.DUMMYFUNCTION("if(S36 &lt;&gt; """", 
  LET( 
    TargetLevel, VLOOKUP(S36,MS_Labs_Array,3,false),
    MaxLevel, VLOOKUP(S36,MS_Labs_Array,4,false),
    MaxOrTarget, IF(OR(TargetLevel = """",$AD$1 &lt;&gt; ""Target""), MaxLevel, TargetLevel),
    LabLevel, VLOOKUP(S36,MS_Labs_Array"&amp;",2,False),
    Levelprogress, LabLevel / MaxOrTarget,
    DVTColumn, MATCH(S36,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6" s="1251" t="str">
        <f>IFERROR(__xludf.DUMMYFUNCTION("if(S36 &lt;&gt; """", 
  LET(
    TargetLevel, VLOOKUP(S36,MS_Labs_Array,3,false),
    LabSpeed, (1 * REGEXEXTRACT($BH$1, ""[\d.-]+"")) * {IF(S36 =""Labs Speed"", 1+'Master Sheet'!$BK$5, LAB_SPEED_TOTAL())},
    MaxLevel, VLOOKUP(S36,MS_Labs_Array,4,false),
   "&amp;" MaxOrTarget, IF(OR(TargetLevel = """",$AD$1 &lt;&gt; ""Target""), MaxLevel, TargetLevel),
    LabLevel, VLOOKUP(S36,MS_Labs_Array,2,False),
    DVTColumn, MATCH(S36, DVT_Laboratory!$A$1:BO$1, 0),
    xextTime, INDIRECT(""DVT_Laboratory!"" &amp; ADDRESS(LabLevel+3,"&amp;" DVTColumn)) / LabSpeed,
    remainingTime, SUM(INDIRECT(""DVT_Laboratory!"" &amp; ADDRESS(LabLevel+3, DVTColumn) &amp; "":"" &amp; ADDRESS(MaxOrTarget+2, DVTColumn))) / LabSpeed,
  S36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6" s="1249"/>
      <c r="W36" s="1249" t="str">
        <f>IFERROR(__xludf.DUMMYFUNCTION("""COMPUTED_VALUE"""),"")</f>
        <v/>
      </c>
      <c r="X36" s="1249" t="str">
        <f>IFERROR(__xludf.DUMMYFUNCTION("""COMPUTED_VALUE"""),"")</f>
        <v/>
      </c>
      <c r="Y36" s="1249"/>
      <c r="Z36" s="1250" t="str">
        <f>IFERROR(__xludf.DUMMYFUNCTION("if(Y36 &lt;&gt; """", 
  LET( 
    TargetLevel, VLOOKUP(Y36,MS_Labs_Array,3,false),
    MaxLevel, VLOOKUP(Y36,MS_Labs_Array,4,false),
    MaxOrTarget, IF(OR(TargetLevel = """",$AD$1 &lt;&gt; ""Target""), MaxLevel, TargetLevel),
    LabLevel, VLOOKUP(Y36,MS_Labs_Array"&amp;",2,False),
    Levelprogress, LabLevel / MaxOrTarget,
    DVTColumn, MATCH(Y36,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6" s="1251" t="str">
        <f>IFERROR(__xludf.DUMMYFUNCTION("if(Y36 &lt;&gt; """", 
  LET(
    TargetLevel, VLOOKUP(Y36,MS_Labs_Array,3,false),
    LabSpeed, (1 * REGEXEXTRACT($BH$1, ""[\d.-]+"")) * {IF(Y36 =""Labs Speed"", 1+'Master Sheet'!$BK$5, LAB_SPEED_TOTAL())},
    MaxLevel, VLOOKUP(Y36,MS_Labs_Array,4,false),
   "&amp;" MaxOrTarget, IF(OR(TargetLevel = """",$AD$1 &lt;&gt; ""Target""), MaxLevel, TargetLevel),
    LabLevel, VLOOKUP(Y36,MS_Labs_Array,2,False),
    DVTColumn, MATCH(Y36, DVT_Laboratory!$A$1:BO$1, 0),
    xextTime, INDIRECT(""DVT_Laboratory!"" &amp; ADDRESS(LabLevel+3,"&amp;" DVTColumn)) / LabSpeed,
    remainingTime, SUM(INDIRECT(""DVT_Laboratory!"" &amp; ADDRESS(LabLevel+3, DVTColumn) &amp; "":"" &amp; ADDRESS(MaxOrTarget+2, DVTColumn))) / LabSpeed,
  Y36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36" s="1249"/>
      <c r="AC36" s="1249" t="str">
        <f>IFERROR(__xludf.DUMMYFUNCTION("""COMPUTED_VALUE"""),"Swamp Stun Time
  Lab Level:      0 / 30 (Max)
  Next Level:    0d  1h 16m
  Max Level:     52d 10h 56m")</f>
        <v>Swamp Stun Time
  Lab Level:      0 / 30 (Max)
  Next Level:    0d  1h 16m
  Max Level:     52d 10h 56m</v>
      </c>
      <c r="AD36" s="1249" t="str">
        <f>IFERROR(__xludf.DUMMYFUNCTION("""COMPUTED_VALUE"""),"")</f>
        <v/>
      </c>
      <c r="AE36" s="1249"/>
      <c r="AF36" s="1250" t="str">
        <f>IFERROR(__xludf.DUMMYFUNCTION("if(AE36 &lt;&gt; """", 
  LET( 
    TargetLevel, VLOOKUP(AE36,MS_Labs_Array,3,false),
    MaxLevel, VLOOKUP(AE36,MS_Labs_Array,4,false),
    MaxOrTarget, IF(OR(TargetLevel = """",$AD$1 &lt;&gt; ""Target""), MaxLevel, TargetLevel),
    LabLevel, VLOOKUP(AE36,MS_Labs_A"&amp;"rray,2,False),
    Levelprogress, LabLevel / MaxOrTarget,
    DVTColumn, MATCH(AE36,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6" s="1251" t="str">
        <f>IFERROR(__xludf.DUMMYFUNCTION("if(AE36 &lt;&gt; """", 
  LET(
    TargetLevel, VLOOKUP(AE36,MS_Labs_Array,3,false),
    LabSpeed, (1 * REGEXEXTRACT($BH$1, ""[\d.-]+"")) * {IF(AE36 =""Labs Speed"", 1+'Master Sheet'!$BK$5, LAB_SPEED_TOTAL())},
    MaxLevel, VLOOKUP(AE36,MS_Labs_Array,4,false),"&amp;"
    MaxOrTarget, IF(OR(TargetLevel = """",$AD$1 &lt;&gt; ""Target""), MaxLevel, TargetLevel),
    LabLevel, VLOOKUP(AE36,MS_Labs_Array,2,False),
    DVTColumn, MATCH(AE36, DVT_Laboratory!$A$1:BO$1, 0),
    xextTime, INDIRECT(""DVT_Laboratory!"" &amp; ADDRESS(LabLe"&amp;"vel+3, DVTColumn)) / LabSpeed,
    remainingTime, SUM(INDIRECT(""DVT_Laboratory!"" &amp; ADDRESS(LabLevel+3, DVTColumn) &amp; "":"" &amp; ADDRESS(MaxOrTarget+2, DVTColumn))) / LabSpeed,
  AE36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6" s="1249"/>
      <c r="AI36" s="1249" t="str">
        <f>IFERROR(__xludf.DUMMYFUNCTION("""COMPUTED_VALUE"""),"Amp Bot - Duration
  Lab Level:      0 / 20 (Max)
  Next Level:    0d 12h 42m
  Max Level:     54d  6h  3m")</f>
        <v>Amp Bot - Duration
  Lab Level:      0 / 20 (Max)
  Next Level:    0d 12h 42m
  Max Level:     54d  6h  3m</v>
      </c>
      <c r="AJ36" s="1249" t="str">
        <f>IFERROR(__xludf.DUMMYFUNCTION("""COMPUTED_VALUE"""),"")</f>
        <v/>
      </c>
      <c r="AK36" s="1249"/>
      <c r="AL36" s="1250" t="str">
        <f>IFERROR(__xludf.DUMMYFUNCTION("if(AK36 &lt;&gt; """", 
  LET( 
    TargetLevel, VLOOKUP(AK36,MS_Labs_Array,3,false),
    MaxLevel, VLOOKUP(AK36,MS_Labs_Array,4,false),
    MaxOrTarget, IF(OR(TargetLevel = """",$AD$1 &lt;&gt; ""Target""), MaxLevel, TargetLevel),
    LabLevel, VLOOKUP(AK36,MS_Labs_A"&amp;"rray,2,False),
    Levelprogress, LabLevel / MaxOrTarget,
    DVTColumn, MATCH(AK36,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6" s="1251" t="str">
        <f>IFERROR(__xludf.DUMMYFUNCTION("if(AK36 &lt;&gt; """", 
  LET(
    TargetLevel, VLOOKUP(AK36,MS_Labs_Array,3,false),
    LabSpeed, (1 * REGEXEXTRACT($BH$1, ""[\d.-]+"")) * {IF(AK36 =""Labs Speed"", 1+'Master Sheet'!$BK$5, LAB_SPEED_TOTAL())},
    MaxLevel, VLOOKUP(AK36,MS_Labs_Array,4,false),"&amp;"
    MaxOrTarget, IF(OR(TargetLevel = """",$AD$1 &lt;&gt; ""Target""), MaxLevel, TargetLevel),
    LabLevel, VLOOKUP(AK36,MS_Labs_Array,2,False),
    DVTColumn, MATCH(AK36, DVT_Laboratory!$A$1:BO$1, 0),
    xextTime, INDIRECT(""DVT_Laboratory!"" &amp; ADDRESS(LabLe"&amp;"vel+3, DVTColumn)) / LabSpeed,
    remainingTime, SUM(INDIRECT(""DVT_Laboratory!"" &amp; ADDRESS(LabLevel+3, DVTColumn) &amp; "":"" &amp; ADDRESS(MaxOrTarget+2, DVTColumn))) / LabSpeed,
  AK36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6" s="1249"/>
      <c r="AO36" s="1249" t="str">
        <f>IFERROR(__xludf.DUMMYFUNCTION("""COMPUTED_VALUE"""),"Armor Effect Bans
  Lab Level:      2 / 4 (Max)
  Next Level:    10d  7h 50m
  Max Level:     23d  7h 14m")</f>
        <v>Armor Effect Bans
  Lab Level:      2 / 4 (Max)
  Next Level:    10d  7h 50m
  Max Level:     23d  7h 14m</v>
      </c>
      <c r="AP36" s="1249" t="str">
        <f>IFERROR(__xludf.DUMMYFUNCTION("""COMPUTED_VALUE"""),"")</f>
        <v/>
      </c>
      <c r="AQ36" s="1249"/>
      <c r="AR36" s="1250" t="str">
        <f>IFERROR(__xludf.DUMMYFUNCTION("if(AQ36 &lt;&gt; """", 
  LET( 
    TargetLevel, VLOOKUP(AQ36,MS_Labs_Array,3,false),
    MaxLevel, VLOOKUP(AQ36,MS_Labs_Array,4,false),
    MaxOrTarget, IF(OR(TargetLevel = """",$AD$1 &lt;&gt; ""Target""), MaxLevel, TargetLevel),
    LabLevel, VLOOKUP(AQ36,MS_Labs_A"&amp;"rray,2,False),
    Levelprogress, LabLevel / MaxOrTarget,
    DVTColumn, MATCH(AQ36,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6" s="1251" t="str">
        <f>IFERROR(__xludf.DUMMYFUNCTION("if(AQ36 &lt;&gt; """", 
  LET(
    TargetLevel, VLOOKUP(AQ36,MS_Labs_Array,3,false),
    LabSpeed, (1 * REGEXEXTRACT($BH$1, ""[\d.-]+"")) * {IF(AQ36 =""Labs Speed"", 1+'Master Sheet'!$BK$5, LAB_SPEED_TOTAL())},
    MaxLevel, VLOOKUP(AQ36,MS_Labs_Array,4,false),"&amp;"
    MaxOrTarget, IF(OR(TargetLevel = """",$AD$1 &lt;&gt; ""Target""), MaxLevel, TargetLevel),
    LabLevel, VLOOKUP(AQ36,MS_Labs_Array,2,False),
    DVTColumn, MATCH(AQ36, DVT_Laboratory!$A$1:BO$1, 0),
    xextTime, INDIRECT(""DVT_Laboratory!"" &amp; ADDRESS(LabLe"&amp;"vel+3, DVTColumn)) / LabSpeed,
    remainingTime, SUM(INDIRECT(""DVT_Laboratory!"" &amp; ADDRESS(LabLevel+3, DVTColumn) &amp; "":"" &amp; ADDRESS(MaxOrTarget+2, DVTColumn))) / LabSpeed,
  AQ36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36" s="1249"/>
      <c r="AU36" s="1249" t="str">
        <f>IFERROR(__xludf.DUMMYFUNCTION("""COMPUTED_VALUE"""),"Thunder Bot - Linger Time
  Lab Level:      0 / 20 (Max)
  Next Level:    0d 12h 42m
  Max Level:     54d  6h  3m")</f>
        <v>Thunder Bot - Linger Time
  Lab Level:      0 / 20 (Max)
  Next Level:    0d 12h 42m
  Max Level:     54d  6h  3m</v>
      </c>
      <c r="AV36" s="1249" t="str">
        <f>IFERROR(__xludf.DUMMYFUNCTION("""COMPUTED_VALUE"""),"")</f>
        <v/>
      </c>
      <c r="AW36" s="1249"/>
      <c r="AX36" s="1250" t="str">
        <f>IFERROR(__xludf.DUMMYFUNCTION("if(AW36 &lt;&gt; """", 
  LET( 
    TargetLevel, VLOOKUP(AW36,MS_Labs_Array,3,false),
    MaxLevel, VLOOKUP(AW36,MS_Labs_Array,4,false),
    MaxOrTarget, IF(OR(TargetLevel = """",$AD$1 &lt;&gt; ""Target""), MaxLevel, TargetLevel),
    LabLevel, VLOOKUP(AW36,MS_Labs_A"&amp;"rray,2,False),
    Levelprogress, LabLevel / MaxOrTarget,
    DVTColumn, MATCH(AW36,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6" s="1251" t="str">
        <f>IFERROR(__xludf.DUMMYFUNCTION("if(AW36 &lt;&gt; """", 
  LET(
    TargetLevel, VLOOKUP(AW36,MS_Labs_Array,3,false),
    LabSpeed, (1 * REGEXEXTRACT($BH$1, ""[\d.-]+"")) * {IF(AW36 =""Labs Speed"", 1+'Master Sheet'!$BK$5, LAB_SPEED_TOTAL())},
    MaxLevel, VLOOKUP(AW36,MS_Labs_Array,4,false),"&amp;"
    MaxOrTarget, IF(OR(TargetLevel = """",$AD$1 &lt;&gt; ""Target""), MaxLevel, TargetLevel),
    LabLevel, VLOOKUP(AW36,MS_Labs_Array,2,False),
    DVTColumn, MATCH(AW36, DVT_Laboratory!$A$1:BO$1, 0),
    xextTime, INDIRECT(""DVT_Laboratory!"" &amp; ADDRESS(LabLe"&amp;"vel+3, DVTColumn)) / LabSpeed,
    remainingTime, SUM(INDIRECT(""DVT_Laboratory!"" &amp; ADDRESS(LabLevel+3, DVTColumn) &amp; "":"" &amp; ADDRESS(MaxOrTarget+2, DVTColumn))) / LabSpeed,
  AW36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36" s="1249"/>
      <c r="BA36" s="1249" t="str">
        <f>IFERROR(__xludf.DUMMYFUNCTION("""COMPUTED_VALUE"""),"Gold Bot - Cooldown
  Lab Level:      21 / 25 (Max)
  Next Level:    3d 12h 41m
  Max Level:     17d 18h 22m")</f>
        <v>Gold Bot - Cooldown
  Lab Level:      21 / 25 (Max)
  Next Level:    3d 12h 41m
  Max Level:     17d 18h 22m</v>
      </c>
      <c r="BB36" s="1249" t="str">
        <f>IFERROR(__xludf.DUMMYFUNCTION("""COMPUTED_VALUE"""),"")</f>
        <v/>
      </c>
      <c r="BC36" s="1249"/>
      <c r="BD36" s="1250" t="str">
        <f>IFERROR(__xludf.DUMMYFUNCTION("if(BC36 &lt;&gt; """", 
  LET( 
    TargetLevel, VLOOKUP(BC36,MS_Labs_Array,3,false),
    MaxLevel, VLOOKUP(BC36,MS_Labs_Array,4,false),
    MaxOrTarget, IF(OR(TargetLevel = """",$AD$1 &lt;&gt; ""Target""), MaxLevel, TargetLevel),
    LabLevel, VLOOKUP(BC36,MS_Labs_A"&amp;"rray,2,False),
    Levelprogress, LabLevel / MaxOrTarget,
    DVTColumn, MATCH(BC36,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6" s="1251" t="str">
        <f>IFERROR(__xludf.DUMMYFUNCTION("if(BC36 &lt;&gt; """", 
  LET(
    TargetLevel, VLOOKUP(BC36,MS_Labs_Array,3,false),
    LabSpeed, (1 * REGEXEXTRACT($BH$1, ""[\d.-]+"")) * {IF(BC36 =""Labs Speed"", 1+'Master Sheet'!$BK$5, LAB_SPEED_TOTAL())},
    MaxLevel, VLOOKUP(BC36,MS_Labs_Array,4,false),"&amp;"
    MaxOrTarget, IF(OR(TargetLevel = """",$AD$1 &lt;&gt; ""Target""), MaxLevel, TargetLevel),
    LabLevel, VLOOKUP(BC36,MS_Labs_Array,2,False),
    DVTColumn, MATCH(BC36, DVT_Laboratory!$A$1:BO$1, 0),
    xextTime, INDIRECT(""DVT_Laboratory!"" &amp; ADDRESS(LabLe"&amp;"vel+3, DVTColumn)) / LabSpeed,
    remainingTime, SUM(INDIRECT(""DVT_Laboratory!"" &amp; ADDRESS(LabLevel+3, DVTColumn) &amp; "":"" &amp; ADDRESS(MaxOrTarget+2, DVTColumn))) / LabSpeed,
  BC36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6" s="1249"/>
      <c r="BG36" s="1249" t="str">
        <f>IFERROR(__xludf.DUMMYFUNCTION("""COMPUTED_VALUE"""),"")</f>
        <v/>
      </c>
      <c r="BH36" s="1260" t="str">
        <f>IFERROR(__xludf.DUMMYFUNCTION("""COMPUTED_VALUE"""),"")</f>
        <v/>
      </c>
      <c r="BI36" s="1252" t="str">
        <f>IFERROR(__xludf.DUMMYFUNCTION("""COMPUTED_VALUE"""),"Energy Shield Extra Hit")</f>
        <v>Energy Shield Extra Hit</v>
      </c>
      <c r="BJ36" s="1253" t="str">
        <f>IFERROR(__xludf.DUMMYFUNCTION("if(BI36 &lt;&gt; """", 
  LET( 
    TargetLevel, VLOOKUP(BI36,MS_Labs_Array,3,false),
    MaxLevel, VLOOKUP(BI36,MS_Labs_Array,4,false),
    MaxOrTarget, IF(OR(TargetLevel = """",$AD$1 &lt;&gt; ""Target""), MaxLevel, TargetLevel),
    LabLevel, VLOOKUP(BI36,MS_Labs_A"&amp;"rray,2,False),
    Levelprogress, IF(LabLevel &gt;= MaxOrTarget, 1, LabLevel / MaxOrTarget),
    DVTColumn, MATCH(BI36,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6" s="1254" t="str">
        <f>IFERROR(__xludf.DUMMYFUNCTION("if(BI36 &lt;&gt; """", 
  LET(
    TargetLevel, VLOOKUP(BI36,MS_Labs_Array,3,false),
    LabSpeed, (1 * REGEXEXTRACT($BH$1, ""[\d.-]+"")) * {IF(BI36 =""Labs Speed"", 1+'Master Sheet'!$BK$5, LAB_SPEED_TOTAL())},
    MaxLevel, VLOOKUP(BI36,MS_Labs_Array,4,false),"&amp;"
    MaxOrTarget, IF(OR(TargetLevel = """",$AD$1 &lt;&gt; ""Target""), MaxLevel, TargetLevel),
    LabLevel, VLOOKUP(BI36,MS_Labs_Array,2,False),
    DVTColumn, MATCH(BI36, DVT_Laboratory!$A$1:BO$1, 0),
    xextTime, INDIRECT(""DVT_Laboratory!"" &amp; ADDRESS(LabLe"&amp;"vel+3, DVTColumn)) / LabSpeed,
    remainingTime, SUM(INDIRECT(""DVT_Laboratory!"" &amp; ADDRESS(LabLevel+3, DVTColumn) &amp; "":"" &amp; ADDRESS(MaxOrTarget+2, DVTColumn))) / LabSpeed,
  BI36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"""")"),"Energy Shield Extra Hit
  Lab Level:      2 / 2 (Max)
  Next Level:    
  Max Level:     2d  1h 25m")</f>
        <v>Energy Shield Extra Hit
  Lab Level:      2 / 2 (Max)
  Next Level:    
  Max Level:     2d  1h 25m</v>
      </c>
      <c r="BL36" s="1252" t="str">
        <f>IFERROR(__xludf.DUMMYFUNCTION("""COMPUTED_VALUE"""),"Okay early for the mission, truly incredible later (Legend tourney or Glass Cannon farm) with the way Death Defy is checked before charge is used")</f>
        <v>Okay early for the mission, truly incredible later (Legend tourney or Glass Cannon farm) with the way Death Defy is checked before charge is used</v>
      </c>
      <c r="BM36" s="1252" t="str">
        <f>IFERROR(__xludf.DUMMYFUNCTION("""COMPUTED_VALUE"""),"Enemy Attack Level Skip
  Lab Level:      20 / 20 (Max)
  Next Level:    
  Max Level:     1d  2h 23m")</f>
        <v>Enemy Attack Level Skip
  Lab Level:      20 / 20 (Max)
  Next Level:    
  Max Level:     1d  2h 23m</v>
      </c>
      <c r="BN36" s="1222"/>
      <c r="BO36" s="1261"/>
    </row>
    <row r="37">
      <c r="A37" s="1222"/>
      <c r="B37" s="1257"/>
      <c r="C37" s="1291" t="s">
        <v>240</v>
      </c>
      <c r="D37" s="1280" t="str">
        <f>VLOOKUP(C37,'Remote Tier List'!A:D, 2, FALSE)</f>
        <v>F</v>
      </c>
      <c r="E37" s="1281" t="str">
        <f>VLOOKUP(C37,'Remote Tier List'!A:D, 3, FALSE)</f>
        <v/>
      </c>
      <c r="F37" s="1284" t="str">
        <f>VLOOKUP(C37,'Remote Tier List'!A:D, 4, FALSE)</f>
        <v>Landmines usually explode before having a chance to decay</v>
      </c>
      <c r="G37" s="1245" t="b">
        <f t="shared" si="14"/>
        <v>1</v>
      </c>
      <c r="H37" s="1246" t="str">
        <f t="array" ref="H37:I37">LET(
  Lab, $C37,
  Mode, $AD$1,
  Level, VLOOKUP(Lab, MS_Labs_Array, 2, FALSE),
  Target, VLOOKUP(Lab, MS_Labs_Array, 3, FALSE),
  Max, VLOOKUP(Lab, MS_Labs_Array, 4, FALSE),
  Result,
    IF(
      AND(
        Mode &lt;&gt; "Never",
        Level &gt;= IF(OR(Target = "", Mode = "Max"), Max, Target)
      ),
      "Completed",
      ""
    ),
  HSTACK(
    IF(Result &lt;&gt; "", Result, $D37),
    IF(Result &lt;&gt; "", Result, IF($E37 = "", $D37, $E37))
  )
)</f>
        <v>F</v>
      </c>
      <c r="I37" s="1247" t="s">
        <v>549</v>
      </c>
      <c r="J37" s="1248" t="str">
        <f t="shared" si="15"/>
        <v>Landmines usually explode before having a chance to decay</v>
      </c>
      <c r="K37" s="1229"/>
      <c r="L37" s="1249"/>
      <c r="M37" s="1249"/>
      <c r="N37" s="1250" t="str">
        <f>IFERROR(__xludf.DUMMYFUNCTION("if(M37 &lt;&gt; """", 
  LET( 
    TargetLevel, VLOOKUP(M37,MS_Labs_Array,3,false),
    MaxLevel, VLOOKUP(M37,MS_Labs_Array,4,false),
    MaxOrTarget, IF(OR(TargetLevel = """",$AD$1 &lt;&gt; ""Target""), MaxLevel, TargetLevel),
    LabLevel, VLOOKUP(M37,MS_Labs_Array"&amp;",2,False),
    Levelprogress, LabLevel / MaxOrTarget,
    DVTColumn, MATCH(M37,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7" s="1251" t="str">
        <f>IFERROR(__xludf.DUMMYFUNCTION("if(M37 &lt;&gt; """", 
  LET(
    TargetLevel, VLOOKUP(M37,MS_Labs_Array,3,false),
    LabSpeed, (1 * REGEXEXTRACT($BH$1, ""[\d.-]+"")) * {IF(M37 =""Labs Speed"", 1+'Master Sheet'!$BK$5, LAB_SPEED_TOTAL())},
    MaxLevel, VLOOKUP(M37,MS_Labs_Array,4,false),
   "&amp;" MaxOrTarget, IF(OR(TargetLevel = """",$AD$1 &lt;&gt; ""Target""), MaxLevel, TargetLevel),
    LabLevel, VLOOKUP(M37,MS_Labs_Array,2,False),
    DVTColumn, MATCH(M37, DVT_Laboratory!$A$1:BO$1, 0),
    xextTime, INDIRECT(""DVT_Laboratory!"" &amp; ADDRESS(LabLevel+3,"&amp;" DVTColumn)) / LabSpeed,
    remainingTime, SUM(INDIRECT(""DVT_Laboratory!"" &amp; ADDRESS(LabLevel+3, DVTColumn) &amp; "":"" &amp; ADDRESS(MaxOrTarget+2, DVTColumn))) / LabSpeed,
  M37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7" s="1249"/>
      <c r="Q37" s="1249"/>
      <c r="R37" s="1249"/>
      <c r="S37" s="1249"/>
      <c r="T37" s="1250" t="str">
        <f>IFERROR(__xludf.DUMMYFUNCTION("if(S37 &lt;&gt; """", 
  LET( 
    TargetLevel, VLOOKUP(S37,MS_Labs_Array,3,false),
    MaxLevel, VLOOKUP(S37,MS_Labs_Array,4,false),
    MaxOrTarget, IF(OR(TargetLevel = """",$AD$1 &lt;&gt; ""Target""), MaxLevel, TargetLevel),
    LabLevel, VLOOKUP(S37,MS_Labs_Array"&amp;",2,False),
    Levelprogress, LabLevel / MaxOrTarget,
    DVTColumn, MATCH(S37,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7" s="1251" t="str">
        <f>IFERROR(__xludf.DUMMYFUNCTION("if(S37 &lt;&gt; """", 
  LET(
    TargetLevel, VLOOKUP(S37,MS_Labs_Array,3,false),
    LabSpeed, (1 * REGEXEXTRACT($BH$1, ""[\d.-]+"")) * {IF(S37 =""Labs Speed"", 1+'Master Sheet'!$BK$5, LAB_SPEED_TOTAL())},
    MaxLevel, VLOOKUP(S37,MS_Labs_Array,4,false),
   "&amp;" MaxOrTarget, IF(OR(TargetLevel = """",$AD$1 &lt;&gt; ""Target""), MaxLevel, TargetLevel),
    LabLevel, VLOOKUP(S37,MS_Labs_Array,2,False),
    DVTColumn, MATCH(S37, DVT_Laboratory!$A$1:BO$1, 0),
    xextTime, INDIRECT(""DVT_Laboratory!"" &amp; ADDRESS(LabLevel+3,"&amp;" DVTColumn)) / LabSpeed,
    remainingTime, SUM(INDIRECT(""DVT_Laboratory!"" &amp; ADDRESS(LabLevel+3, DVTColumn) &amp; "":"" &amp; ADDRESS(MaxOrTarget+2, DVTColumn))) / LabSpeed,
  S37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7" s="1249"/>
      <c r="W37" s="1249"/>
      <c r="X37" s="1249" t="str">
        <f>IFERROR(__xludf.DUMMYFUNCTION("""COMPUTED_VALUE"""),"Shock Chance")</f>
        <v>Shock Chance</v>
      </c>
      <c r="Y37" s="1249"/>
      <c r="Z37" s="1250" t="str">
        <f>IFERROR(__xludf.DUMMYFUNCTION("if(Y37 &lt;&gt; """", 
  LET( 
    TargetLevel, VLOOKUP(Y37,MS_Labs_Array,3,false),
    MaxLevel, VLOOKUP(Y37,MS_Labs_Array,4,false),
    MaxOrTarget, IF(OR(TargetLevel = """",$AD$1 &lt;&gt; ""Target""), MaxLevel, TargetLevel),
    LabLevel, VLOOKUP(Y37,MS_Labs_Array"&amp;",2,False),
    Levelprogress, LabLevel / MaxOrTarget,
    DVTColumn, MATCH(Y37,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7" s="1251" t="str">
        <f>IFERROR(__xludf.DUMMYFUNCTION("if(Y37 &lt;&gt; """", 
  LET(
    TargetLevel, VLOOKUP(Y37,MS_Labs_Array,3,false),
    LabSpeed, (1 * REGEXEXTRACT($BH$1, ""[\d.-]+"")) * {IF(Y37 =""Labs Speed"", 1+'Master Sheet'!$BK$5, LAB_SPEED_TOTAL())},
    MaxLevel, VLOOKUP(Y37,MS_Labs_Array,4,false),
   "&amp;" MaxOrTarget, IF(OR(TargetLevel = """",$AD$1 &lt;&gt; ""Target""), MaxLevel, TargetLevel),
    LabLevel, VLOOKUP(Y37,MS_Labs_Array,2,False),
    DVTColumn, MATCH(Y37, DVT_Laboratory!$A$1:BO$1, 0),
    xextTime, INDIRECT(""DVT_Laboratory!"" &amp; ADDRESS(LabLevel+3,"&amp;" DVTColumn)) / LabSpeed,
    remainingTime, SUM(INDIRECT(""DVT_Laboratory!"" &amp; ADDRESS(LabLevel+3, DVTColumn) &amp; "":"" &amp; ADDRESS(MaxOrTarget+2, DVTColumn))) / LabSpeed,
  Y37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37" s="1249"/>
      <c r="AC37" s="1249" t="str">
        <f>IFERROR(__xludf.DUMMYFUNCTION("""COMPUTED_VALUE"""),"Shock will stack faster; no need to max, attack speed should handle maxing fast")</f>
        <v>Shock will stack faster; no need to max, attack speed should handle maxing fast</v>
      </c>
      <c r="AD37" s="1249" t="str">
        <f>IFERROR(__xludf.DUMMYFUNCTION("""COMPUTED_VALUE"""),"Module Coin Cost")</f>
        <v>Module Coin Cost</v>
      </c>
      <c r="AE37" s="1249"/>
      <c r="AF37" s="1250" t="str">
        <f>IFERROR(__xludf.DUMMYFUNCTION("if(AE37 &lt;&gt; """", 
  LET( 
    TargetLevel, VLOOKUP(AE37,MS_Labs_Array,3,false),
    MaxLevel, VLOOKUP(AE37,MS_Labs_Array,4,false),
    MaxOrTarget, IF(OR(TargetLevel = """",$AD$1 &lt;&gt; ""Target""), MaxLevel, TargetLevel),
    LabLevel, VLOOKUP(AE37,MS_Labs_A"&amp;"rray,2,False),
    Levelprogress, LabLevel / MaxOrTarget,
    DVTColumn, MATCH(AE37,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7" s="1251" t="str">
        <f>IFERROR(__xludf.DUMMYFUNCTION("if(AE37 &lt;&gt; """", 
  LET(
    TargetLevel, VLOOKUP(AE37,MS_Labs_Array,3,false),
    LabSpeed, (1 * REGEXEXTRACT($BH$1, ""[\d.-]+"")) * {IF(AE37 =""Labs Speed"", 1+'Master Sheet'!$BK$5, LAB_SPEED_TOTAL())},
    MaxLevel, VLOOKUP(AE37,MS_Labs_Array,4,false),"&amp;"
    MaxOrTarget, IF(OR(TargetLevel = """",$AD$1 &lt;&gt; ""Target""), MaxLevel, TargetLevel),
    LabLevel, VLOOKUP(AE37,MS_Labs_Array,2,False),
    DVTColumn, MATCH(AE37, DVT_Laboratory!$A$1:BO$1, 0),
    xextTime, INDIRECT(""DVT_Laboratory!"" &amp; ADDRESS(LabLe"&amp;"vel+3, DVTColumn)) / LabSpeed,
    remainingTime, SUM(INDIRECT(""DVT_Laboratory!"" &amp; ADDRESS(LabLevel+3, DVTColumn) &amp; "":"" &amp; ADDRESS(MaxOrTarget+2, DVTColumn))) / LabSpeed,
  AE37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7" s="1249"/>
      <c r="AI37" s="1249" t="str">
        <f>IFERROR(__xludf.DUMMYFUNCTION("""COMPUTED_VALUE"""),"Useless until level 161+ when costs go into trillions and quadrillions. Retroactive")</f>
        <v>Useless until level 161+ when costs go into trillions and quadrillions. Retroactive</v>
      </c>
      <c r="AJ37" s="1249" t="str">
        <f>IFERROR(__xludf.DUMMYFUNCTION("""COMPUTED_VALUE"""),"Generator Effect Bans")</f>
        <v>Generator Effect Bans</v>
      </c>
      <c r="AK37" s="1249"/>
      <c r="AL37" s="1250" t="str">
        <f>IFERROR(__xludf.DUMMYFUNCTION("if(AK37 &lt;&gt; """", 
  LET( 
    TargetLevel, VLOOKUP(AK37,MS_Labs_Array,3,false),
    MaxLevel, VLOOKUP(AK37,MS_Labs_Array,4,false),
    MaxOrTarget, IF(OR(TargetLevel = """",$AD$1 &lt;&gt; ""Target""), MaxLevel, TargetLevel),
    LabLevel, VLOOKUP(AK37,MS_Labs_A"&amp;"rray,2,False),
    Levelprogress, LabLevel / MaxOrTarget,
    DVTColumn, MATCH(AK37,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7" s="1251" t="str">
        <f>IFERROR(__xludf.DUMMYFUNCTION("if(AK37 &lt;&gt; """", 
  LET(
    TargetLevel, VLOOKUP(AK37,MS_Labs_Array,3,false),
    LabSpeed, (1 * REGEXEXTRACT($BH$1, ""[\d.-]+"")) * {IF(AK37 =""Labs Speed"", 1+'Master Sheet'!$BK$5, LAB_SPEED_TOTAL())},
    MaxLevel, VLOOKUP(AK37,MS_Labs_Array,4,false),"&amp;"
    MaxOrTarget, IF(OR(TargetLevel = """",$AD$1 &lt;&gt; ""Target""), MaxLevel, TargetLevel),
    LabLevel, VLOOKUP(AK37,MS_Labs_Array,2,False),
    DVTColumn, MATCH(AK37, DVT_Laboratory!$A$1:BO$1, 0),
    xextTime, INDIRECT(""DVT_Laboratory!"" &amp; ADDRESS(LabLe"&amp;"vel+3, DVTColumn)) / LabSpeed,
    remainingTime, SUM(INDIRECT(""DVT_Laboratory!"" &amp; ADDRESS(LabLevel+3, DVTColumn) &amp; "":"" &amp; ADDRESS(MaxOrTarget+2, DVTColumn))) / LabSpeed,
  AK37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7" s="1249"/>
      <c r="AO37" s="1249" t="str">
        <f>IFERROR(__xludf.DUMMYFUNCTION("""COMPUTED_VALUE"""),"Basically another reroll shards lab but arguably worse")</f>
        <v>Basically another reroll shards lab but arguably worse</v>
      </c>
      <c r="AP37" s="1249" t="str">
        <f>IFERROR(__xludf.DUMMYFUNCTION("""COMPUTED_VALUE"""),"Common Enemy Health")</f>
        <v>Common Enemy Health</v>
      </c>
      <c r="AQ37" s="1249"/>
      <c r="AR37" s="1250" t="str">
        <f>IFERROR(__xludf.DUMMYFUNCTION("if(AQ37 &lt;&gt; """", 
  LET( 
    TargetLevel, VLOOKUP(AQ37,MS_Labs_Array,3,false),
    MaxLevel, VLOOKUP(AQ37,MS_Labs_Array,4,false),
    MaxOrTarget, IF(OR(TargetLevel = """",$AD$1 &lt;&gt; ""Target""), MaxLevel, TargetLevel),
    LabLevel, VLOOKUP(AQ37,MS_Labs_A"&amp;"rray,2,False),
    Levelprogress, LabLevel / MaxOrTarget,
    DVTColumn, MATCH(AQ37,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7" s="1251" t="str">
        <f>IFERROR(__xludf.DUMMYFUNCTION("if(AQ37 &lt;&gt; """", 
  LET(
    TargetLevel, VLOOKUP(AQ37,MS_Labs_Array,3,false),
    LabSpeed, (1 * REGEXEXTRACT($BH$1, ""[\d.-]+"")) * {IF(AQ37 =""Labs Speed"", 1+'Master Sheet'!$BK$5, LAB_SPEED_TOTAL())},
    MaxLevel, VLOOKUP(AQ37,MS_Labs_Array,4,false),"&amp;"
    MaxOrTarget, IF(OR(TargetLevel = """",$AD$1 &lt;&gt; ""Target""), MaxLevel, TargetLevel),
    LabLevel, VLOOKUP(AQ37,MS_Labs_Array,2,False),
    DVTColumn, MATCH(AQ37, DVT_Laboratory!$A$1:BO$1, 0),
    xextTime, INDIRECT(""DVT_Laboratory!"" &amp; ADDRESS(LabLe"&amp;"vel+3, DVTColumn)) / LabSpeed,
    remainingTime, SUM(INDIRECT(""DVT_Laboratory!"" &amp; ADDRESS(LabLevel+3, DVTColumn) &amp; "":"" &amp; ADDRESS(MaxOrTarget+2, DVTColumn))) / LabSpeed,
  AQ37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37" s="1249"/>
      <c r="AU37"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V37" s="1249" t="str">
        <f>IFERROR(__xludf.DUMMYFUNCTION("""COMPUTED_VALUE"""),"Amp Bot - Cooldown")</f>
        <v>Amp Bot - Cooldown</v>
      </c>
      <c r="AW37" s="1249"/>
      <c r="AX37" s="1250" t="str">
        <f>IFERROR(__xludf.DUMMYFUNCTION("if(AW37 &lt;&gt; """", 
  LET( 
    TargetLevel, VLOOKUP(AW37,MS_Labs_Array,3,false),
    MaxLevel, VLOOKUP(AW37,MS_Labs_Array,4,false),
    MaxOrTarget, IF(OR(TargetLevel = """",$AD$1 &lt;&gt; ""Target""), MaxLevel, TargetLevel),
    LabLevel, VLOOKUP(AW37,MS_Labs_A"&amp;"rray,2,False),
    Levelprogress, LabLevel / MaxOrTarget,
    DVTColumn, MATCH(AW37,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7" s="1251" t="str">
        <f>IFERROR(__xludf.DUMMYFUNCTION("if(AW37 &lt;&gt; """", 
  LET(
    TargetLevel, VLOOKUP(AW37,MS_Labs_Array,3,false),
    LabSpeed, (1 * REGEXEXTRACT($BH$1, ""[\d.-]+"")) * {IF(AW37 =""Labs Speed"", 1+'Master Sheet'!$BK$5, LAB_SPEED_TOTAL())},
    MaxLevel, VLOOKUP(AW37,MS_Labs_Array,4,false),"&amp;"
    MaxOrTarget, IF(OR(TargetLevel = """",$AD$1 &lt;&gt; ""Target""), MaxLevel, TargetLevel),
    LabLevel, VLOOKUP(AW37,MS_Labs_Array,2,False),
    DVTColumn, MATCH(AW37, DVT_Laboratory!$A$1:BO$1, 0),
    xextTime, INDIRECT(""DVT_Laboratory!"" &amp; ADDRESS(LabLe"&amp;"vel+3, DVTColumn)) / LabSpeed,
    remainingTime, SUM(INDIRECT(""DVT_Laboratory!"" &amp; ADDRESS(LabLevel+3, DVTColumn) &amp; "":"" &amp; ADDRESS(MaxOrTarget+2, DVTColumn))) / LabSpeed,
  AW37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37" s="1249"/>
      <c r="BA37" s="1249" t="str">
        <f>IFERROR(__xludf.DUMMYFUNCTION("""COMPUTED_VALUE"""),"Syncing the bot may be beneficial in some cases, improves consistency")</f>
        <v>Syncing the bot may be beneficial in some cases, improves consistency</v>
      </c>
      <c r="BB37" s="1249"/>
      <c r="BC37" s="1249"/>
      <c r="BD37" s="1250" t="str">
        <f>IFERROR(__xludf.DUMMYFUNCTION("if(BC37 &lt;&gt; """", 
  LET( 
    TargetLevel, VLOOKUP(BC37,MS_Labs_Array,3,false),
    MaxLevel, VLOOKUP(BC37,MS_Labs_Array,4,false),
    MaxOrTarget, IF(OR(TargetLevel = """",$AD$1 &lt;&gt; ""Target""), MaxLevel, TargetLevel),
    LabLevel, VLOOKUP(BC37,MS_Labs_A"&amp;"rray,2,False),
    Levelprogress, LabLevel / MaxOrTarget,
    DVTColumn, MATCH(BC37,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7" s="1251" t="str">
        <f>IFERROR(__xludf.DUMMYFUNCTION("if(BC37 &lt;&gt; """", 
  LET(
    TargetLevel, VLOOKUP(BC37,MS_Labs_Array,3,false),
    LabSpeed, (1 * REGEXEXTRACT($BH$1, ""[\d.-]+"")) * {IF(BC37 =""Labs Speed"", 1+'Master Sheet'!$BK$5, LAB_SPEED_TOTAL())},
    MaxLevel, VLOOKUP(BC37,MS_Labs_Array,4,false),"&amp;"
    MaxOrTarget, IF(OR(TargetLevel = """",$AD$1 &lt;&gt; ""Target""), MaxLevel, TargetLevel),
    LabLevel, VLOOKUP(BC37,MS_Labs_Array,2,False),
    DVTColumn, MATCH(BC37, DVT_Laboratory!$A$1:BO$1, 0),
    xextTime, INDIRECT(""DVT_Laboratory!"" &amp; ADDRESS(LabLe"&amp;"vel+3, DVTColumn)) / LabSpeed,
    remainingTime, SUM(INDIRECT(""DVT_Laboratory!"" &amp; ADDRESS(LabLevel+3, DVTColumn) &amp; "":"" &amp; ADDRESS(MaxOrTarget+2, DVTColumn))) / LabSpeed,
  BC37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7" s="1249"/>
      <c r="BG37" s="1249"/>
      <c r="BH37" s="1260" t="str">
        <f>IFERROR(__xludf.DUMMYFUNCTION("""COMPUTED_VALUE"""),"Enemy Health Level Skip")</f>
        <v>Enemy Health Level Skip</v>
      </c>
      <c r="BI37" s="1252" t="str">
        <f>IFERROR(__xludf.DUMMYFUNCTION("""COMPUTED_VALUE"""),"Recharge Second Wind")</f>
        <v>Recharge Second Wind</v>
      </c>
      <c r="BJ37" s="1253" t="str">
        <f>IFERROR(__xludf.DUMMYFUNCTION("if(BI37 &lt;&gt; """", 
  LET( 
    TargetLevel, VLOOKUP(BI37,MS_Labs_Array,3,false),
    MaxLevel, VLOOKUP(BI37,MS_Labs_Array,4,false),
    MaxOrTarget, IF(OR(TargetLevel = """",$AD$1 &lt;&gt; ""Target""), MaxLevel, TargetLevel),
    LabLevel, VLOOKUP(BI37,MS_Labs_A"&amp;"rray,2,False),
    Levelprogress, IF(LabLevel &gt;= MaxOrTarget, 1, LabLevel / MaxOrTarget),
    DVTColumn, MATCH(BI37,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7" s="1254" t="str">
        <f>IFERROR(__xludf.DUMMYFUNCTION("if(BI37 &lt;&gt; """", 
  LET(
    TargetLevel, VLOOKUP(BI37,MS_Labs_Array,3,false),
    LabSpeed, (1 * REGEXEXTRACT($BH$1, ""[\d.-]+"")) * {IF(BI37 =""Labs Speed"", 1+'Master Sheet'!$BK$5, LAB_SPEED_TOTAL())},
    MaxLevel, VLOOKUP(BI37,MS_Labs_Array,4,false),"&amp;"
    MaxOrTarget, IF(OR(TargetLevel = """",$AD$1 &lt;&gt; ""Target""), MaxLevel, TargetLevel),
    LabLevel, VLOOKUP(BI37,MS_Labs_Array,2,False),
    DVTColumn, MATCH(BI37, DVT_Laboratory!$A$1:BO$1, 0),
    xextTime, INDIRECT(""DVT_Laboratory!"" &amp; ADDRESS(LabLe"&amp;"vel+3, DVTColumn)) / LabSpeed,
    remainingTime, SUM(INDIRECT(""DVT_Laboratory!"" &amp; ADDRESS(LabLevel+3, DVTColumn) &amp; "":"" &amp; ADDRESS(MaxOrTarget+2, DVTColumn))) / LabSpeed,
  BI37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"""")"),"Recharge Second Wind
  Lab Level:      7 / 7 (Max)
  Next Level:    
  Max Level:     3d  6h 18m")</f>
        <v>Recharge Second Wind
  Lab Level:      7 / 7 (Max)
  Next Level:    
  Max Level:     3d  6h 18m</v>
      </c>
      <c r="BL37" s="1252" t="str">
        <f>IFERROR(__xludf.DUMMYFUNCTION("""COMPUTED_VALUE"""),"Essential to keep the effect of mastery going past 400 waves. Good for Fleets")</f>
        <v>Essential to keep the effect of mastery going past 400 waves. Good for Fleets</v>
      </c>
      <c r="BM37" s="1252" t="str">
        <f>IFERROR(__xludf.DUMMYFUNCTION("""COMPUTED_VALUE"""),"More ELS is always good, especially when the lab is less expensive than the WS or WS+ upgrades")</f>
        <v>More ELS is always good, especially when the lab is less expensive than the WS or WS+ upgrades</v>
      </c>
      <c r="BN37" s="1222"/>
      <c r="BO37" s="1261"/>
    </row>
    <row r="38" ht="7.5" customHeight="1">
      <c r="A38" s="1222"/>
      <c r="B38" s="1262" t="s">
        <v>557</v>
      </c>
      <c r="C38" s="1291" t="s">
        <v>251</v>
      </c>
      <c r="D38" s="1280" t="str">
        <f>VLOOKUP(C38,'Remote Tier List'!A:D, 2, FALSE)</f>
        <v>B</v>
      </c>
      <c r="E38" s="1281" t="str">
        <f>VLOOKUP(C38,'Remote Tier List'!A:D, 3, FALSE)</f>
        <v/>
      </c>
      <c r="F38" s="1284" t="str">
        <f>VLOOKUP(C38,'Remote Tier List'!A:D, 4, FALSE)</f>
        <v>Damage builds that use ACP can use this lab to tune their shockwave size to only hit things at tower range line now that the lab has a slider</v>
      </c>
      <c r="G38" s="1245" t="b">
        <f t="shared" si="14"/>
        <v>1</v>
      </c>
      <c r="H38" s="1265" t="str">
        <f t="array" ref="H38:I38">LET(
  Lab, $C38,
  Mode, $AD$1,
  Level, VLOOKUP(Lab, MS_Labs_Array, 2, FALSE),
  Target, VLOOKUP(Lab, MS_Labs_Array, 3, FALSE),
  Max, VLOOKUP(Lab, MS_Labs_Array, 4, FALSE),
  Result,
    IF(
      AND(
        Mode &lt;&gt; "Never",
        Level &gt;= IF(OR(Target = "", Mode = "Max"), Max, Target)
      ),
      "Completed",
      ""
    ),
  HSTACK(
    IF(Result &lt;&gt; "", Result, $D38),
    IF(Result &lt;&gt; "", Result, IF($E38 = "", $D38, $E38))
  )
)</f>
        <v>B</v>
      </c>
      <c r="I38" s="1265" t="s">
        <v>546</v>
      </c>
      <c r="J38" s="1248" t="str">
        <f t="shared" si="15"/>
        <v>Damage builds that use ACP can use this lab to tune their shockwave size to only hit things at tower range line now that the lab has a slider</v>
      </c>
      <c r="K38" s="1229"/>
      <c r="L38" s="1249" t="str">
        <f>IFERROR(__xludf.DUMMYFUNCTION("""COMPUTED_VALUE"""),"")</f>
        <v/>
      </c>
      <c r="M38" s="1249"/>
      <c r="N38" s="1250" t="str">
        <f>IFERROR(__xludf.DUMMYFUNCTION("if(M38 &lt;&gt; """", 
  LET( 
    TargetLevel, VLOOKUP(M38,MS_Labs_Array,3,false),
    MaxLevel, VLOOKUP(M38,MS_Labs_Array,4,false),
    MaxOrTarget, IF(OR(TargetLevel = """",$AD$1 &lt;&gt; ""Target""), MaxLevel, TargetLevel),
    LabLevel, VLOOKUP(M38,MS_Labs_Array"&amp;",2,False),
    Levelprogress, LabLevel / MaxOrTarget,
    DVTColumn, MATCH(M38,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8" s="1251" t="str">
        <f>IFERROR(__xludf.DUMMYFUNCTION("if(M38 &lt;&gt; """", 
  LET(
    TargetLevel, VLOOKUP(M38,MS_Labs_Array,3,false),
    LabSpeed, (1 * REGEXEXTRACT($BH$1, ""[\d.-]+"")) * {IF(M38 =""Labs Speed"", 1+'Master Sheet'!$BK$5, LAB_SPEED_TOTAL())},
    MaxLevel, VLOOKUP(M38,MS_Labs_Array,4,false),
   "&amp;" MaxOrTarget, IF(OR(TargetLevel = """",$AD$1 &lt;&gt; ""Target""), MaxLevel, TargetLevel),
    LabLevel, VLOOKUP(M38,MS_Labs_Array,2,False),
    DVTColumn, MATCH(M38, DVT_Laboratory!$A$1:BO$1, 0),
    xextTime, INDIRECT(""DVT_Laboratory!"" &amp; ADDRESS(LabLevel+3,"&amp;" DVTColumn)) / LabSpeed,
    remainingTime, SUM(INDIRECT(""DVT_Laboratory!"" &amp; ADDRESS(LabLevel+3, DVTColumn) &amp; "":"" &amp; ADDRESS(MaxOrTarget+2, DVTColumn))) / LabSpeed,
  M38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8" s="1249"/>
      <c r="Q38" s="1249" t="str">
        <f>IFERROR(__xludf.DUMMYFUNCTION("""COMPUTED_VALUE"""),"")</f>
        <v/>
      </c>
      <c r="R38" s="1249" t="str">
        <f>IFERROR(__xludf.DUMMYFUNCTION("""COMPUTED_VALUE"""),"")</f>
        <v/>
      </c>
      <c r="S38" s="1249"/>
      <c r="T38" s="1250" t="str">
        <f>IFERROR(__xludf.DUMMYFUNCTION("if(S38 &lt;&gt; """", 
  LET( 
    TargetLevel, VLOOKUP(S38,MS_Labs_Array,3,false),
    MaxLevel, VLOOKUP(S38,MS_Labs_Array,4,false),
    MaxOrTarget, IF(OR(TargetLevel = """",$AD$1 &lt;&gt; ""Target""), MaxLevel, TargetLevel),
    LabLevel, VLOOKUP(S38,MS_Labs_Array"&amp;",2,False),
    Levelprogress, LabLevel / MaxOrTarget,
    DVTColumn, MATCH(S38,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8" s="1251" t="str">
        <f>IFERROR(__xludf.DUMMYFUNCTION("if(S38 &lt;&gt; """", 
  LET(
    TargetLevel, VLOOKUP(S38,MS_Labs_Array,3,false),
    LabSpeed, (1 * REGEXEXTRACT($BH$1, ""[\d.-]+"")) * {IF(S38 =""Labs Speed"", 1+'Master Sheet'!$BK$5, LAB_SPEED_TOTAL())},
    MaxLevel, VLOOKUP(S38,MS_Labs_Array,4,false),
   "&amp;" MaxOrTarget, IF(OR(TargetLevel = """",$AD$1 &lt;&gt; ""Target""), MaxLevel, TargetLevel),
    LabLevel, VLOOKUP(S38,MS_Labs_Array,2,False),
    DVTColumn, MATCH(S38, DVT_Laboratory!$A$1:BO$1, 0),
    xextTime, INDIRECT(""DVT_Laboratory!"" &amp; ADDRESS(LabLevel+3,"&amp;" DVTColumn)) / LabSpeed,
    remainingTime, SUM(INDIRECT(""DVT_Laboratory!"" &amp; ADDRESS(LabLevel+3, DVTColumn) &amp; "":"" &amp; ADDRESS(MaxOrTarget+2, DVTColumn))) / LabSpeed,
  S38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8" s="1249"/>
      <c r="W38" s="1249" t="str">
        <f>IFERROR(__xludf.DUMMYFUNCTION("""COMPUTED_VALUE"""),"")</f>
        <v/>
      </c>
      <c r="X38" s="1249" t="str">
        <f>IFERROR(__xludf.DUMMYFUNCTION("""COMPUTED_VALUE"""),"")</f>
        <v/>
      </c>
      <c r="Y38" s="1249"/>
      <c r="Z38" s="1250" t="str">
        <f>IFERROR(__xludf.DUMMYFUNCTION("if(Y38 &lt;&gt; """", 
  LET( 
    TargetLevel, VLOOKUP(Y38,MS_Labs_Array,3,false),
    MaxLevel, VLOOKUP(Y38,MS_Labs_Array,4,false),
    MaxOrTarget, IF(OR(TargetLevel = """",$AD$1 &lt;&gt; ""Target""), MaxLevel, TargetLevel),
    LabLevel, VLOOKUP(Y38,MS_Labs_Array"&amp;",2,False),
    Levelprogress, LabLevel / MaxOrTarget,
    DVTColumn, MATCH(Y38,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8" s="1251" t="str">
        <f>IFERROR(__xludf.DUMMYFUNCTION("if(Y38 &lt;&gt; """", 
  LET(
    TargetLevel, VLOOKUP(Y38,MS_Labs_Array,3,false),
    LabSpeed, (1 * REGEXEXTRACT($BH$1, ""[\d.-]+"")) * {IF(Y38 =""Labs Speed"", 1+'Master Sheet'!$BK$5, LAB_SPEED_TOTAL())},
    MaxLevel, VLOOKUP(Y38,MS_Labs_Array,4,false),
   "&amp;" MaxOrTarget, IF(OR(TargetLevel = """",$AD$1 &lt;&gt; ""Target""), MaxLevel, TargetLevel),
    LabLevel, VLOOKUP(Y38,MS_Labs_Array,2,False),
    DVTColumn, MATCH(Y38, DVT_Laboratory!$A$1:BO$1, 0),
    xextTime, INDIRECT(""DVT_Laboratory!"" &amp; ADDRESS(LabLevel+3,"&amp;" DVTColumn)) / LabSpeed,
    remainingTime, SUM(INDIRECT(""DVT_Laboratory!"" &amp; ADDRESS(LabLevel+3, DVTColumn) &amp; "":"" &amp; ADDRESS(MaxOrTarget+2, DVTColumn))) / LabSpeed,
  Y38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38" s="1249"/>
      <c r="AC38" s="1249" t="str">
        <f>IFERROR(__xludf.DUMMYFUNCTION("""COMPUTED_VALUE"""),"Shock Chance
  Lab Level:      14 / 30 (Max)
  Next Level:    0d 21h 22m
  Max Level:     54d  1h 47m")</f>
        <v>Shock Chance
  Lab Level:      14 / 30 (Max)
  Next Level:    0d 21h 22m
  Max Level:     54d  1h 47m</v>
      </c>
      <c r="AD38" s="1249" t="str">
        <f>IFERROR(__xludf.DUMMYFUNCTION("""COMPUTED_VALUE"""),"")</f>
        <v/>
      </c>
      <c r="AE38" s="1249"/>
      <c r="AF38" s="1250" t="str">
        <f>IFERROR(__xludf.DUMMYFUNCTION("if(AE38 &lt;&gt; """", 
  LET( 
    TargetLevel, VLOOKUP(AE38,MS_Labs_Array,3,false),
    MaxLevel, VLOOKUP(AE38,MS_Labs_Array,4,false),
    MaxOrTarget, IF(OR(TargetLevel = """",$AD$1 &lt;&gt; ""Target""), MaxLevel, TargetLevel),
    LabLevel, VLOOKUP(AE38,MS_Labs_A"&amp;"rray,2,False),
    Levelprogress, LabLevel / MaxOrTarget,
    DVTColumn, MATCH(AE38,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8" s="1251" t="str">
        <f>IFERROR(__xludf.DUMMYFUNCTION("if(AE38 &lt;&gt; """", 
  LET(
    TargetLevel, VLOOKUP(AE38,MS_Labs_Array,3,false),
    LabSpeed, (1 * REGEXEXTRACT($BH$1, ""[\d.-]+"")) * {IF(AE38 =""Labs Speed"", 1+'Master Sheet'!$BK$5, LAB_SPEED_TOTAL())},
    MaxLevel, VLOOKUP(AE38,MS_Labs_Array,4,false),"&amp;"
    MaxOrTarget, IF(OR(TargetLevel = """",$AD$1 &lt;&gt; ""Target""), MaxLevel, TargetLevel),
    LabLevel, VLOOKUP(AE38,MS_Labs_Array,2,False),
    DVTColumn, MATCH(AE38, DVT_Laboratory!$A$1:BO$1, 0),
    xextTime, INDIRECT(""DVT_Laboratory!"" &amp; ADDRESS(LabLe"&amp;"vel+3, DVTColumn)) / LabSpeed,
    remainingTime, SUM(INDIRECT(""DVT_Laboratory!"" &amp; ADDRESS(LabLevel+3, DVTColumn) &amp; "":"" &amp; ADDRESS(MaxOrTarget+2, DVTColumn))) / LabSpeed,
  AE38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8" s="1249"/>
      <c r="AI38" s="1249" t="str">
        <f>IFERROR(__xludf.DUMMYFUNCTION("""COMPUTED_VALUE"""),"Module Coin Cost
  Lab Level:      23 / 30 (Max)
  Next Level:    0d 22h  3m
  Max Level:     7d 16h 13m")</f>
        <v>Module Coin Cost
  Lab Level:      23 / 30 (Max)
  Next Level:    0d 22h  3m
  Max Level:     7d 16h 13m</v>
      </c>
      <c r="AJ38" s="1249" t="str">
        <f>IFERROR(__xludf.DUMMYFUNCTION("""COMPUTED_VALUE"""),"")</f>
        <v/>
      </c>
      <c r="AK38" s="1249"/>
      <c r="AL38" s="1250" t="str">
        <f>IFERROR(__xludf.DUMMYFUNCTION("if(AK38 &lt;&gt; """", 
  LET( 
    TargetLevel, VLOOKUP(AK38,MS_Labs_Array,3,false),
    MaxLevel, VLOOKUP(AK38,MS_Labs_Array,4,false),
    MaxOrTarget, IF(OR(TargetLevel = """",$AD$1 &lt;&gt; ""Target""), MaxLevel, TargetLevel),
    LabLevel, VLOOKUP(AK38,MS_Labs_A"&amp;"rray,2,False),
    Levelprogress, LabLevel / MaxOrTarget,
    DVTColumn, MATCH(AK38,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8" s="1251" t="str">
        <f>IFERROR(__xludf.DUMMYFUNCTION("if(AK38 &lt;&gt; """", 
  LET(
    TargetLevel, VLOOKUP(AK38,MS_Labs_Array,3,false),
    LabSpeed, (1 * REGEXEXTRACT($BH$1, ""[\d.-]+"")) * {IF(AK38 =""Labs Speed"", 1+'Master Sheet'!$BK$5, LAB_SPEED_TOTAL())},
    MaxLevel, VLOOKUP(AK38,MS_Labs_Array,4,false),"&amp;"
    MaxOrTarget, IF(OR(TargetLevel = """",$AD$1 &lt;&gt; ""Target""), MaxLevel, TargetLevel),
    LabLevel, VLOOKUP(AK38,MS_Labs_Array,2,False),
    DVTColumn, MATCH(AK38, DVT_Laboratory!$A$1:BO$1, 0),
    xextTime, INDIRECT(""DVT_Laboratory!"" &amp; ADDRESS(LabLe"&amp;"vel+3, DVTColumn)) / LabSpeed,
    remainingTime, SUM(INDIRECT(""DVT_Laboratory!"" &amp; ADDRESS(LabLevel+3, DVTColumn) &amp; "":"" &amp; ADDRESS(MaxOrTarget+2, DVTColumn))) / LabSpeed,
  AK38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8" s="1249"/>
      <c r="AO38" s="1249" t="str">
        <f>IFERROR(__xludf.DUMMYFUNCTION("""COMPUTED_VALUE"""),"Generator Effect Bans
  Lab Level:      1 / 3 (Max)
  Next Level:    10d  7h 50m
  Max Level:     23d  7h 14m")</f>
        <v>Generator Effect Bans
  Lab Level:      1 / 3 (Max)
  Next Level:    10d  7h 50m
  Max Level:     23d  7h 14m</v>
      </c>
      <c r="AP38" s="1249" t="str">
        <f>IFERROR(__xludf.DUMMYFUNCTION("""COMPUTED_VALUE"""),"")</f>
        <v/>
      </c>
      <c r="AQ38" s="1249"/>
      <c r="AR38" s="1250" t="str">
        <f>IFERROR(__xludf.DUMMYFUNCTION("if(AQ38 &lt;&gt; """", 
  LET( 
    TargetLevel, VLOOKUP(AQ38,MS_Labs_Array,3,false),
    MaxLevel, VLOOKUP(AQ38,MS_Labs_Array,4,false),
    MaxOrTarget, IF(OR(TargetLevel = """",$AD$1 &lt;&gt; ""Target""), MaxLevel, TargetLevel),
    LabLevel, VLOOKUP(AQ38,MS_Labs_A"&amp;"rray,2,False),
    Levelprogress, LabLevel / MaxOrTarget,
    DVTColumn, MATCH(AQ38,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8" s="1251" t="str">
        <f>IFERROR(__xludf.DUMMYFUNCTION("if(AQ38 &lt;&gt; """", 
  LET(
    TargetLevel, VLOOKUP(AQ38,MS_Labs_Array,3,false),
    LabSpeed, (1 * REGEXEXTRACT($BH$1, ""[\d.-]+"")) * {IF(AQ38 =""Labs Speed"", 1+'Master Sheet'!$BK$5, LAB_SPEED_TOTAL())},
    MaxLevel, VLOOKUP(AQ38,MS_Labs_Array,4,false),"&amp;"
    MaxOrTarget, IF(OR(TargetLevel = """",$AD$1 &lt;&gt; ""Target""), MaxLevel, TargetLevel),
    LabLevel, VLOOKUP(AQ38,MS_Labs_Array,2,False),
    DVTColumn, MATCH(AQ38, DVT_Laboratory!$A$1:BO$1, 0),
    xextTime, INDIRECT(""DVT_Laboratory!"" &amp; ADDRESS(LabLe"&amp;"vel+3, DVTColumn)) / LabSpeed,
    remainingTime, SUM(INDIRECT(""DVT_Laboratory!"" &amp; ADDRESS(LabLevel+3, DVTColumn) &amp; "":"" &amp; ADDRESS(MaxOrTarget+2, DVTColumn))) / LabSpeed,
  AQ38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38" s="1249"/>
      <c r="AU38" s="1249" t="str">
        <f>IFERROR(__xludf.DUMMYFUNCTION("""COMPUTED_VALUE"""),"Common Enemy Health
  Lab Level:      0 / 30 (Max)
  Next Level:    0d  3h 31m
  Max Level:     78d 13h  3m")</f>
        <v>Common Enemy Health
  Lab Level:      0 / 30 (Max)
  Next Level:    0d  3h 31m
  Max Level:     78d 13h  3m</v>
      </c>
      <c r="AV38" s="1249" t="str">
        <f>IFERROR(__xludf.DUMMYFUNCTION("""COMPUTED_VALUE"""),"")</f>
        <v/>
      </c>
      <c r="AW38" s="1249"/>
      <c r="AX38" s="1250" t="str">
        <f>IFERROR(__xludf.DUMMYFUNCTION("if(AW38 &lt;&gt; """", 
  LET( 
    TargetLevel, VLOOKUP(AW38,MS_Labs_Array,3,false),
    MaxLevel, VLOOKUP(AW38,MS_Labs_Array,4,false),
    MaxOrTarget, IF(OR(TargetLevel = """",$AD$1 &lt;&gt; ""Target""), MaxLevel, TargetLevel),
    LabLevel, VLOOKUP(AW38,MS_Labs_A"&amp;"rray,2,False),
    Levelprogress, LabLevel / MaxOrTarget,
    DVTColumn, MATCH(AW38,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8" s="1251" t="str">
        <f>IFERROR(__xludf.DUMMYFUNCTION("if(AW38 &lt;&gt; """", 
  LET(
    TargetLevel, VLOOKUP(AW38,MS_Labs_Array,3,false),
    LabSpeed, (1 * REGEXEXTRACT($BH$1, ""[\d.-]+"")) * {IF(AW38 =""Labs Speed"", 1+'Master Sheet'!$BK$5, LAB_SPEED_TOTAL())},
    MaxLevel, VLOOKUP(AW38,MS_Labs_Array,4,false),"&amp;"
    MaxOrTarget, IF(OR(TargetLevel = """",$AD$1 &lt;&gt; ""Target""), MaxLevel, TargetLevel),
    LabLevel, VLOOKUP(AW38,MS_Labs_Array,2,False),
    DVTColumn, MATCH(AW38, DVT_Laboratory!$A$1:BO$1, 0),
    xextTime, INDIRECT(""DVT_Laboratory!"" &amp; ADDRESS(LabLe"&amp;"vel+3, DVTColumn)) / LabSpeed,
    remainingTime, SUM(INDIRECT(""DVT_Laboratory!"" &amp; ADDRESS(LabLevel+3, DVTColumn) &amp; "":"" &amp; ADDRESS(MaxOrTarget+2, DVTColumn))) / LabSpeed,
  AW38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38" s="1249"/>
      <c r="BA38" s="1249" t="str">
        <f>IFERROR(__xludf.DUMMYFUNCTION("""COMPUTED_VALUE"""),"Amp Bot - Cooldown
  Lab Level:      0 / 25 (Max)
  Next Level:    0d  2h 28m
  Max Level:     36d 15h 32m")</f>
        <v>Amp Bot - Cooldown
  Lab Level:      0 / 25 (Max)
  Next Level:    0d  2h 28m
  Max Level:     36d 15h 32m</v>
      </c>
      <c r="BB38" s="1249" t="str">
        <f>IFERROR(__xludf.DUMMYFUNCTION("""COMPUTED_VALUE"""),"")</f>
        <v/>
      </c>
      <c r="BC38" s="1249"/>
      <c r="BD38" s="1250" t="str">
        <f>IFERROR(__xludf.DUMMYFUNCTION("if(BC38 &lt;&gt; """", 
  LET( 
    TargetLevel, VLOOKUP(BC38,MS_Labs_Array,3,false),
    MaxLevel, VLOOKUP(BC38,MS_Labs_Array,4,false),
    MaxOrTarget, IF(OR(TargetLevel = """",$AD$1 &lt;&gt; ""Target""), MaxLevel, TargetLevel),
    LabLevel, VLOOKUP(BC38,MS_Labs_A"&amp;"rray,2,False),
    Levelprogress, LabLevel / MaxOrTarget,
    DVTColumn, MATCH(BC38,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8" s="1251" t="str">
        <f>IFERROR(__xludf.DUMMYFUNCTION("if(BC38 &lt;&gt; """", 
  LET(
    TargetLevel, VLOOKUP(BC38,MS_Labs_Array,3,false),
    LabSpeed, (1 * REGEXEXTRACT($BH$1, ""[\d.-]+"")) * {IF(BC38 =""Labs Speed"", 1+'Master Sheet'!$BK$5, LAB_SPEED_TOTAL())},
    MaxLevel, VLOOKUP(BC38,MS_Labs_Array,4,false),"&amp;"
    MaxOrTarget, IF(OR(TargetLevel = """",$AD$1 &lt;&gt; ""Target""), MaxLevel, TargetLevel),
    LabLevel, VLOOKUP(BC38,MS_Labs_Array,2,False),
    DVTColumn, MATCH(BC38, DVT_Laboratory!$A$1:BO$1, 0),
    xextTime, INDIRECT(""DVT_Laboratory!"" &amp; ADDRESS(LabLe"&amp;"vel+3, DVTColumn)) / LabSpeed,
    remainingTime, SUM(INDIRECT(""DVT_Laboratory!"" &amp; ADDRESS(LabLevel+3, DVTColumn) &amp; "":"" &amp; ADDRESS(MaxOrTarget+2, DVTColumn))) / LabSpeed,
  BC38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8" s="1249"/>
      <c r="BG38" s="1249" t="str">
        <f>IFERROR(__xludf.DUMMYFUNCTION("""COMPUTED_VALUE"""),"")</f>
        <v/>
      </c>
      <c r="BH38" s="1260" t="str">
        <f>IFERROR(__xludf.DUMMYFUNCTION("""COMPUTED_VALUE"""),"")</f>
        <v/>
      </c>
      <c r="BI38" s="1252" t="str">
        <f>IFERROR(__xludf.DUMMYFUNCTION("""COMPUTED_VALUE"""),"Unlock Perks")</f>
        <v>Unlock Perks</v>
      </c>
      <c r="BJ38" s="1253" t="str">
        <f>IFERROR(__xludf.DUMMYFUNCTION("if(BI38 &lt;&gt; """", 
  LET( 
    TargetLevel, VLOOKUP(BI38,MS_Labs_Array,3,false),
    MaxLevel, VLOOKUP(BI38,MS_Labs_Array,4,false),
    MaxOrTarget, IF(OR(TargetLevel = """",$AD$1 &lt;&gt; ""Target""), MaxLevel, TargetLevel),
    LabLevel, VLOOKUP(BI38,MS_Labs_A"&amp;"rray,2,False),
    Levelprogress, IF(LabLevel &gt;= MaxOrTarget, 1, LabLevel / MaxOrTarget),
    DVTColumn, MATCH(BI38,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8" s="1254" t="str">
        <f>IFERROR(__xludf.DUMMYFUNCTION("if(BI38 &lt;&gt; """", 
  LET(
    TargetLevel, VLOOKUP(BI38,MS_Labs_Array,3,false),
    LabSpeed, (1 * REGEXEXTRACT($BH$1, ""[\d.-]+"")) * {IF(BI38 =""Labs Speed"", 1+'Master Sheet'!$BK$5, LAB_SPEED_TOTAL())},
    MaxLevel, VLOOKUP(BI38,MS_Labs_Array,4,false),"&amp;"
    MaxOrTarget, IF(OR(TargetLevel = """",$AD$1 &lt;&gt; ""Target""), MaxLevel, TargetLevel),
    LabLevel, VLOOKUP(BI38,MS_Labs_Array,2,False),
    DVTColumn, MATCH(BI38, DVT_Laboratory!$A$1:BO$1, 0),
    xextTime, INDIRECT(""DVT_Laboratory!"" &amp; ADDRESS(LabLe"&amp;"vel+3, DVTColumn)) / LabSpeed,
    remainingTime, SUM(INDIRECT(""DVT_Laboratory!"" &amp; ADDRESS(LabLevel+3, DVTColumn) &amp; "":"" &amp; ADDRESS(MaxOrTarget+2, DVTColumn))) / LabSpeed,
  BI38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"""")"),"Unlock Perks
  Lab Level:      1 / 1 (Max)
  Next Level:    
  Max Level:     0d  5h 17m")</f>
        <v>Unlock Perks
  Lab Level:      1 / 1 (Max)
  Next Level:    
  Max Level:     0d  5h 17m</v>
      </c>
      <c r="BL38" s="1252" t="str">
        <f>IFERROR(__xludf.DUMMYFUNCTION("""COMPUTED_VALUE"""),"Perks are great, they make your tower better at almost everything")</f>
        <v>Perks are great, they make your tower better at almost everything</v>
      </c>
      <c r="BM38" s="1252" t="str">
        <f>IFERROR(__xludf.DUMMYFUNCTION("""COMPUTED_VALUE"""),"Enemy Health Level Skip
  Lab Level:      20 / 20 (Max)
  Next Level:    
  Max Level:     1d  2h 23m")</f>
        <v>Enemy Health Level Skip
  Lab Level:      20 / 20 (Max)
  Next Level:    
  Max Level:     1d  2h 23m</v>
      </c>
      <c r="BN38" s="1222"/>
      <c r="BO38" s="1261"/>
    </row>
    <row r="39">
      <c r="A39" s="1222"/>
      <c r="B39" s="1262" t="s">
        <v>561</v>
      </c>
      <c r="C39" s="1291" t="s">
        <v>262</v>
      </c>
      <c r="D39" s="1280" t="str">
        <f>VLOOKUP(C39,'Remote Tier List'!A:D, 2, FALSE)</f>
        <v>D</v>
      </c>
      <c r="E39" s="1281" t="str">
        <f>VLOOKUP(C39,'Remote Tier List'!A:D, 3, FALSE)</f>
        <v>S</v>
      </c>
      <c r="F39" s="1284" t="str">
        <f>VLOOKUP(C39,'Remote Tier List'!A:D, 4, FALSE)</f>
        <v>Mostly useless until you have developed CC to force bosses to stay in orb line longer</v>
      </c>
      <c r="G39" s="1245" t="b">
        <f t="shared" si="14"/>
        <v>1</v>
      </c>
      <c r="H39" s="1265" t="str">
        <f t="array" ref="H39:I39">LET(
  Lab, $C39,
  Mode, $AD$1,
  Level, VLOOKUP(Lab, MS_Labs_Array, 2, FALSE),
  Target, VLOOKUP(Lab, MS_Labs_Array, 3, FALSE),
  Max, VLOOKUP(Lab, MS_Labs_Array, 4, FALSE),
  Result,
    IF(
      AND(
        Mode &lt;&gt; "Never",
        Level &gt;= IF(OR(Target = "", Mode = "Max"), Max, Target)
      ),
      "Completed",
      ""
    ),
  HSTACK(
    IF(Result &lt;&gt; "", Result, $D39),
    IF(Result &lt;&gt; "", Result, IF($E39 = "", $D39, $E39))
  )
)</f>
        <v>Completed</v>
      </c>
      <c r="I39" s="1265" t="s">
        <v>551</v>
      </c>
      <c r="J39" s="1248" t="str">
        <f t="shared" si="15"/>
        <v>Mostly useless until you have developed CC to force bosses to stay in orb line longer</v>
      </c>
      <c r="K39" s="1229"/>
      <c r="L39" s="1249"/>
      <c r="M39" s="1249"/>
      <c r="N39" s="1250" t="str">
        <f>IFERROR(__xludf.DUMMYFUNCTION("if(M39 &lt;&gt; """", 
  LET( 
    TargetLevel, VLOOKUP(M39,MS_Labs_Array,3,false),
    MaxLevel, VLOOKUP(M39,MS_Labs_Array,4,false),
    MaxOrTarget, IF(OR(TargetLevel = """",$AD$1 &lt;&gt; ""Target""), MaxLevel, TargetLevel),
    LabLevel, VLOOKUP(M39,MS_Labs_Array"&amp;",2,False),
    Levelprogress, LabLevel / MaxOrTarget,
    DVTColumn, MATCH(M39,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9" s="1251" t="str">
        <f>IFERROR(__xludf.DUMMYFUNCTION("if(M39 &lt;&gt; """", 
  LET(
    TargetLevel, VLOOKUP(M39,MS_Labs_Array,3,false),
    LabSpeed, (1 * REGEXEXTRACT($BH$1, ""[\d.-]+"")) * {IF(M39 =""Labs Speed"", 1+'Master Sheet'!$BK$5, LAB_SPEED_TOTAL())},
    MaxLevel, VLOOKUP(M39,MS_Labs_Array,4,false),
   "&amp;" MaxOrTarget, IF(OR(TargetLevel = """",$AD$1 &lt;&gt; ""Target""), MaxLevel, TargetLevel),
    LabLevel, VLOOKUP(M39,MS_Labs_Array,2,False),
    DVTColumn, MATCH(M39, DVT_Laboratory!$A$1:BO$1, 0),
    xextTime, INDIRECT(""DVT_Laboratory!"" &amp; ADDRESS(LabLevel+3,"&amp;" DVTColumn)) / LabSpeed,
    remainingTime, SUM(INDIRECT(""DVT_Laboratory!"" &amp; ADDRESS(LabLevel+3, DVTColumn) &amp; "":"" &amp; ADDRESS(MaxOrTarget+2, DVTColumn))) / LabSpeed,
  M39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9" s="1249"/>
      <c r="Q39" s="1249"/>
      <c r="R39" s="1249"/>
      <c r="S39" s="1249"/>
      <c r="T39" s="1250" t="str">
        <f>IFERROR(__xludf.DUMMYFUNCTION("if(S39 &lt;&gt; """", 
  LET( 
    TargetLevel, VLOOKUP(S39,MS_Labs_Array,3,false),
    MaxLevel, VLOOKUP(S39,MS_Labs_Array,4,false),
    MaxOrTarget, IF(OR(TargetLevel = """",$AD$1 &lt;&gt; ""Target""), MaxLevel, TargetLevel),
    LabLevel, VLOOKUP(S39,MS_Labs_Array"&amp;",2,False),
    Levelprogress, LabLevel / MaxOrTarget,
    DVTColumn, MATCH(S39,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9" s="1251" t="str">
        <f>IFERROR(__xludf.DUMMYFUNCTION("if(S39 &lt;&gt; """", 
  LET(
    TargetLevel, VLOOKUP(S39,MS_Labs_Array,3,false),
    LabSpeed, (1 * REGEXEXTRACT($BH$1, ""[\d.-]+"")) * {IF(S39 =""Labs Speed"", 1+'Master Sheet'!$BK$5, LAB_SPEED_TOTAL())},
    MaxLevel, VLOOKUP(S39,MS_Labs_Array,4,false),
   "&amp;" MaxOrTarget, IF(OR(TargetLevel = """",$AD$1 &lt;&gt; ""Target""), MaxLevel, TargetLevel),
    LabLevel, VLOOKUP(S39,MS_Labs_Array,2,False),
    DVTColumn, MATCH(S39, DVT_Laboratory!$A$1:BO$1, 0),
    xextTime, INDIRECT(""DVT_Laboratory!"" &amp; ADDRESS(LabLevel+3,"&amp;" DVTColumn)) / LabSpeed,
    remainingTime, SUM(INDIRECT(""DVT_Laboratory!"" &amp; ADDRESS(LabLevel+3, DVTColumn) &amp; "":"" &amp; ADDRESS(MaxOrTarget+2, DVTColumn))) / LabSpeed,
  S39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9" s="1249"/>
      <c r="W39" s="1249"/>
      <c r="X39" s="1249" t="str">
        <f>IFERROR(__xludf.DUMMYFUNCTION("""COMPUTED_VALUE"""),"Inner Mine Rotation Speed")</f>
        <v>Inner Mine Rotation Speed</v>
      </c>
      <c r="Y39" s="1249"/>
      <c r="Z39" s="1250" t="str">
        <f>IFERROR(__xludf.DUMMYFUNCTION("if(Y39 &lt;&gt; """", 
  LET( 
    TargetLevel, VLOOKUP(Y39,MS_Labs_Array,3,false),
    MaxLevel, VLOOKUP(Y39,MS_Labs_Array,4,false),
    MaxOrTarget, IF(OR(TargetLevel = """",$AD$1 &lt;&gt; ""Target""), MaxLevel, TargetLevel),
    LabLevel, VLOOKUP(Y39,MS_Labs_Array"&amp;",2,False),
    Levelprogress, LabLevel / MaxOrTarget,
    DVTColumn, MATCH(Y39,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9" s="1251" t="str">
        <f>IFERROR(__xludf.DUMMYFUNCTION("if(Y39 &lt;&gt; """", 
  LET(
    TargetLevel, VLOOKUP(Y39,MS_Labs_Array,3,false),
    LabSpeed, (1 * REGEXEXTRACT($BH$1, ""[\d.-]+"")) * {IF(Y39 =""Labs Speed"", 1+'Master Sheet'!$BK$5, LAB_SPEED_TOTAL())},
    MaxLevel, VLOOKUP(Y39,MS_Labs_Array,4,false),
   "&amp;" MaxOrTarget, IF(OR(TargetLevel = """",$AD$1 &lt;&gt; ""Target""), MaxLevel, TargetLevel),
    LabLevel, VLOOKUP(Y39,MS_Labs_Array,2,False),
    DVTColumn, MATCH(Y39, DVT_Laboratory!$A$1:BO$1, 0),
    xextTime, INDIRECT(""DVT_Laboratory!"" &amp; ADDRESS(LabLevel+3,"&amp;" DVTColumn)) / LabSpeed,
    remainingTime, SUM(INDIRECT(""DVT_Laboratory!"" &amp; ADDRESS(LabLevel+3, DVTColumn) &amp; "":"" &amp; ADDRESS(MaxOrTarget+2, DVTColumn))) / LabSpeed,
  Y39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39" s="1249"/>
      <c r="AC39" s="1249" t="str">
        <f>IFERROR(__xludf.DUMMYFUNCTION("""COMPUTED_VALUE"""),"Helps with hitting bosses by multiple mines")</f>
        <v>Helps with hitting bosses by multiple mines</v>
      </c>
      <c r="AD39" s="1249" t="str">
        <f>IFERROR(__xludf.DUMMYFUNCTION("""COMPUTED_VALUE"""),"Assist Module Bonus - Cannon")</f>
        <v>Assist Module Bonus - Cannon</v>
      </c>
      <c r="AE39" s="1249"/>
      <c r="AF39" s="1250" t="str">
        <f>IFERROR(__xludf.DUMMYFUNCTION("if(AE39 &lt;&gt; """", 
  LET( 
    TargetLevel, VLOOKUP(AE39,MS_Labs_Array,3,false),
    MaxLevel, VLOOKUP(AE39,MS_Labs_Array,4,false),
    MaxOrTarget, IF(OR(TargetLevel = """",$AD$1 &lt;&gt; ""Target""), MaxLevel, TargetLevel),
    LabLevel, VLOOKUP(AE39,MS_Labs_A"&amp;"rray,2,False),
    Levelprogress, LabLevel / MaxOrTarget,
    DVTColumn, MATCH(AE39,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9" s="1251" t="str">
        <f>IFERROR(__xludf.DUMMYFUNCTION("if(AE39 &lt;&gt; """", 
  LET(
    TargetLevel, VLOOKUP(AE39,MS_Labs_Array,3,false),
    LabSpeed, (1 * REGEXEXTRACT($BH$1, ""[\d.-]+"")) * {IF(AE39 =""Labs Speed"", 1+'Master Sheet'!$BK$5, LAB_SPEED_TOTAL())},
    MaxLevel, VLOOKUP(AE39,MS_Labs_Array,4,false),"&amp;"
    MaxOrTarget, IF(OR(TargetLevel = """",$AD$1 &lt;&gt; ""Target""), MaxLevel, TargetLevel),
    LabLevel, VLOOKUP(AE39,MS_Labs_Array,2,False),
    DVTColumn, MATCH(AE39, DVT_Laboratory!$A$1:BO$1, 0),
    xextTime, INDIRECT(""DVT_Laboratory!"" &amp; ADDRESS(LabLe"&amp;"vel+3, DVTColumn)) / LabSpeed,
    remainingTime, SUM(INDIRECT(""DVT_Laboratory!"" &amp; ADDRESS(LabLevel+3, DVTColumn) &amp; "":"" &amp; ADDRESS(MaxOrTarget+2, DVTColumn))) / LabSpeed,
  AE39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9" s="1249"/>
      <c r="AI39" s="1249"/>
      <c r="AJ39" s="1249" t="str">
        <f>IFERROR(__xludf.DUMMYFUNCTION("""COMPUTED_VALUE"""),"Core Effect Bans")</f>
        <v>Core Effect Bans</v>
      </c>
      <c r="AK39" s="1249"/>
      <c r="AL39" s="1250" t="str">
        <f>IFERROR(__xludf.DUMMYFUNCTION("if(AK39 &lt;&gt; """", 
  LET( 
    TargetLevel, VLOOKUP(AK39,MS_Labs_Array,3,false),
    MaxLevel, VLOOKUP(AK39,MS_Labs_Array,4,false),
    MaxOrTarget, IF(OR(TargetLevel = """",$AD$1 &lt;&gt; ""Target""), MaxLevel, TargetLevel),
    LabLevel, VLOOKUP(AK39,MS_Labs_A"&amp;"rray,2,False),
    Levelprogress, LabLevel / MaxOrTarget,
    DVTColumn, MATCH(AK39,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9" s="1251" t="str">
        <f>IFERROR(__xludf.DUMMYFUNCTION("if(AK39 &lt;&gt; """", 
  LET(
    TargetLevel, VLOOKUP(AK39,MS_Labs_Array,3,false),
    LabSpeed, (1 * REGEXEXTRACT($BH$1, ""[\d.-]+"")) * {IF(AK39 =""Labs Speed"", 1+'Master Sheet'!$BK$5, LAB_SPEED_TOTAL())},
    MaxLevel, VLOOKUP(AK39,MS_Labs_Array,4,false),"&amp;"
    MaxOrTarget, IF(OR(TargetLevel = """",$AD$1 &lt;&gt; ""Target""), MaxLevel, TargetLevel),
    LabLevel, VLOOKUP(AK39,MS_Labs_Array,2,False),
    DVTColumn, MATCH(AK39, DVT_Laboratory!$A$1:BO$1, 0),
    xextTime, INDIRECT(""DVT_Laboratory!"" &amp; ADDRESS(LabLe"&amp;"vel+3, DVTColumn)) / LabSpeed,
    remainingTime, SUM(INDIRECT(""DVT_Laboratory!"" &amp; ADDRESS(LabLevel+3, DVTColumn) &amp; "":"" &amp; ADDRESS(MaxOrTarget+2, DVTColumn))) / LabSpeed,
  AK39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9" s="1249"/>
      <c r="AO39" s="1249" t="str">
        <f>IFERROR(__xludf.DUMMYFUNCTION("""COMPUTED_VALUE"""),"Basically another reroll shards lab but arguably worse")</f>
        <v>Basically another reroll shards lab but arguably worse</v>
      </c>
      <c r="AP39" s="1249" t="str">
        <f>IFERROR(__xludf.DUMMYFUNCTION("""COMPUTED_VALUE"""),"Fast Enemy Health")</f>
        <v>Fast Enemy Health</v>
      </c>
      <c r="AQ39" s="1249"/>
      <c r="AR39" s="1250" t="str">
        <f>IFERROR(__xludf.DUMMYFUNCTION("if(AQ39 &lt;&gt; """", 
  LET( 
    TargetLevel, VLOOKUP(AQ39,MS_Labs_Array,3,false),
    MaxLevel, VLOOKUP(AQ39,MS_Labs_Array,4,false),
    MaxOrTarget, IF(OR(TargetLevel = """",$AD$1 &lt;&gt; ""Target""), MaxLevel, TargetLevel),
    LabLevel, VLOOKUP(AQ39,MS_Labs_A"&amp;"rray,2,False),
    Levelprogress, LabLevel / MaxOrTarget,
    DVTColumn, MATCH(AQ39,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9" s="1251" t="str">
        <f>IFERROR(__xludf.DUMMYFUNCTION("if(AQ39 &lt;&gt; """", 
  LET(
    TargetLevel, VLOOKUP(AQ39,MS_Labs_Array,3,false),
    LabSpeed, (1 * REGEXEXTRACT($BH$1, ""[\d.-]+"")) * {IF(AQ39 =""Labs Speed"", 1+'Master Sheet'!$BK$5, LAB_SPEED_TOTAL())},
    MaxLevel, VLOOKUP(AQ39,MS_Labs_Array,4,false),"&amp;"
    MaxOrTarget, IF(OR(TargetLevel = """",$AD$1 &lt;&gt; ""Target""), MaxLevel, TargetLevel),
    LabLevel, VLOOKUP(AQ39,MS_Labs_Array,2,False),
    DVTColumn, MATCH(AQ39, DVT_Laboratory!$A$1:BO$1, 0),
    xextTime, INDIRECT(""DVT_Laboratory!"" &amp; ADDRESS(LabLe"&amp;"vel+3, DVTColumn)) / LabSpeed,
    remainingTime, SUM(INDIRECT(""DVT_Laboratory!"" &amp; ADDRESS(LabLevel+3, DVTColumn) &amp; "":"" &amp; ADDRESS(MaxOrTarget+2, DVTColumn))) / LabSpeed,
  AQ39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39" s="1249"/>
      <c r="AU39"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V39" s="1249" t="str">
        <f>IFERROR(__xludf.DUMMYFUNCTION("""COMPUTED_VALUE"""),"Flame Bot - Burn Stack")</f>
        <v>Flame Bot - Burn Stack</v>
      </c>
      <c r="AW39" s="1249"/>
      <c r="AX39" s="1250" t="str">
        <f>IFERROR(__xludf.DUMMYFUNCTION("if(AW39 &lt;&gt; """", 
  LET( 
    TargetLevel, VLOOKUP(AW39,MS_Labs_Array,3,false),
    MaxLevel, VLOOKUP(AW39,MS_Labs_Array,4,false),
    MaxOrTarget, IF(OR(TargetLevel = """",$AD$1 &lt;&gt; ""Target""), MaxLevel, TargetLevel),
    LabLevel, VLOOKUP(AW39,MS_Labs_A"&amp;"rray,2,False),
    Levelprogress, LabLevel / MaxOrTarget,
    DVTColumn, MATCH(AW39,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9" s="1251" t="str">
        <f>IFERROR(__xludf.DUMMYFUNCTION("if(AW39 &lt;&gt; """", 
  LET(
    TargetLevel, VLOOKUP(AW39,MS_Labs_Array,3,false),
    LabSpeed, (1 * REGEXEXTRACT($BH$1, ""[\d.-]+"")) * {IF(AW39 =""Labs Speed"", 1+'Master Sheet'!$BK$5, LAB_SPEED_TOTAL())},
    MaxLevel, VLOOKUP(AW39,MS_Labs_Array,4,false),"&amp;"
    MaxOrTarget, IF(OR(TargetLevel = """",$AD$1 &lt;&gt; ""Target""), MaxLevel, TargetLevel),
    LabLevel, VLOOKUP(AW39,MS_Labs_Array,2,False),
    DVTColumn, MATCH(AW39, DVT_Laboratory!$A$1:BO$1, 0),
    xextTime, INDIRECT(""DVT_Laboratory!"" &amp; ADDRESS(LabLe"&amp;"vel+3, DVTColumn)) / LabSpeed,
    remainingTime, SUM(INDIRECT(""DVT_Laboratory!"" &amp; ADDRESS(LabLevel+3, DVTColumn) &amp; "":"" &amp; ADDRESS(MaxOrTarget+2, DVTColumn))) / LabSpeed,
  AW39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39" s="1249"/>
      <c r="BA39" s="1249" t="str">
        <f>IFERROR(__xludf.DUMMYFUNCTION("""COMPUTED_VALUE"""),"FB is not for damage; not needed")</f>
        <v>FB is not for damage; not needed</v>
      </c>
      <c r="BB39" s="1249"/>
      <c r="BC39" s="1249"/>
      <c r="BD39" s="1250" t="str">
        <f>IFERROR(__xludf.DUMMYFUNCTION("if(BC39 &lt;&gt; """", 
  LET( 
    TargetLevel, VLOOKUP(BC39,MS_Labs_Array,3,false),
    MaxLevel, VLOOKUP(BC39,MS_Labs_Array,4,false),
    MaxOrTarget, IF(OR(TargetLevel = """",$AD$1 &lt;&gt; ""Target""), MaxLevel, TargetLevel),
    LabLevel, VLOOKUP(BC39,MS_Labs_A"&amp;"rray,2,False),
    Levelprogress, LabLevel / MaxOrTarget,
    DVTColumn, MATCH(BC39,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9" s="1251" t="str">
        <f>IFERROR(__xludf.DUMMYFUNCTION("if(BC39 &lt;&gt; """", 
  LET(
    TargetLevel, VLOOKUP(BC39,MS_Labs_Array,3,false),
    LabSpeed, (1 * REGEXEXTRACT($BH$1, ""[\d.-]+"")) * {IF(BC39 =""Labs Speed"", 1+'Master Sheet'!$BK$5, LAB_SPEED_TOTAL())},
    MaxLevel, VLOOKUP(BC39,MS_Labs_Array,4,false),"&amp;"
    MaxOrTarget, IF(OR(TargetLevel = """",$AD$1 &lt;&gt; ""Target""), MaxLevel, TargetLevel),
    LabLevel, VLOOKUP(BC39,MS_Labs_Array,2,False),
    DVTColumn, MATCH(BC39, DVT_Laboratory!$A$1:BO$1, 0),
    xextTime, INDIRECT(""DVT_Laboratory!"" &amp; ADDRESS(LabLe"&amp;"vel+3, DVTColumn)) / LabSpeed,
    remainingTime, SUM(INDIRECT(""DVT_Laboratory!"" &amp; ADDRESS(LabLevel+3, DVTColumn) &amp; "":"" &amp; ADDRESS(MaxOrTarget+2, DVTColumn))) / LabSpeed,
  BC39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9" s="1249"/>
      <c r="BG39" s="1249"/>
      <c r="BH39" s="1260" t="str">
        <f>IFERROR(__xludf.DUMMYFUNCTION("""COMPUTED_VALUE"""),"Chrono Field Duration")</f>
        <v>Chrono Field Duration</v>
      </c>
      <c r="BI39" s="1252" t="str">
        <f>IFERROR(__xludf.DUMMYFUNCTION("""COMPUTED_VALUE"""),"Auto Pick Perks")</f>
        <v>Auto Pick Perks</v>
      </c>
      <c r="BJ39" s="1253" t="str">
        <f>IFERROR(__xludf.DUMMYFUNCTION("if(BI39 &lt;&gt; """", 
  LET( 
    TargetLevel, VLOOKUP(BI39,MS_Labs_Array,3,false),
    MaxLevel, VLOOKUP(BI39,MS_Labs_Array,4,false),
    MaxOrTarget, IF(OR(TargetLevel = """",$AD$1 &lt;&gt; ""Target""), MaxLevel, TargetLevel),
    LabLevel, VLOOKUP(BI39,MS_Labs_A"&amp;"rray,2,False),
    Levelprogress, IF(LabLevel &gt;= MaxOrTarget, 1, LabLevel / MaxOrTarget),
    DVTColumn, MATCH(BI39,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9" s="1254" t="str">
        <f>IFERROR(__xludf.DUMMYFUNCTION("if(BI39 &lt;&gt; """", 
  LET(
    TargetLevel, VLOOKUP(BI39,MS_Labs_Array,3,false),
    LabSpeed, (1 * REGEXEXTRACT($BH$1, ""[\d.-]+"")) * {IF(BI39 =""Labs Speed"", 1+'Master Sheet'!$BK$5, LAB_SPEED_TOTAL())},
    MaxLevel, VLOOKUP(BI39,MS_Labs_Array,4,false),"&amp;"
    MaxOrTarget, IF(OR(TargetLevel = """",$AD$1 &lt;&gt; ""Target""), MaxLevel, TargetLevel),
    LabLevel, VLOOKUP(BI39,MS_Labs_Array,2,False),
    DVTColumn, MATCH(BI39, DVT_Laboratory!$A$1:BO$1, 0),
    xextTime, INDIRECT(""DVT_Laboratory!"" &amp; ADDRESS(LabLe"&amp;"vel+3, DVTColumn)) / LabSpeed,
    remainingTime, SUM(INDIRECT(""DVT_Laboratory!"" &amp; ADDRESS(LabLevel+3, DVTColumn) &amp; "":"" &amp; ADDRESS(MaxOrTarget+2, DVTColumn))) / LabSpeed,
  BI39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"""")"),"Auto Pick Perks
  Lab Level:      1 / 1 (Max)
  Next Level:    
  Max Level:     0d  7h 35m")</f>
        <v>Auto Pick Perks
  Lab Level:      1 / 1 (Max)
  Next Level:    
  Max Level:     0d  7h 35m</v>
      </c>
      <c r="BL39" s="1252" t="str">
        <f>IFERROR(__xludf.DUMMYFUNCTION("""COMPUTED_VALUE"""),"Toggleable. Can be harmful to use if you are able to pick your perks by hand. Really hard to use before 4 perk choices and multiple bans.")</f>
        <v>Toggleable. Can be harmful to use if you are able to pick your perks by hand. Really hard to use before 4 perk choices and multiple bans.</v>
      </c>
      <c r="BM39" s="1252" t="str">
        <f>IFERROR(__xludf.DUMMYFUNCTION("""COMPUTED_VALUE"""),"Only research with intention to go for permanent CF")</f>
        <v>Only research with intention to go for permanent CF</v>
      </c>
      <c r="BN39" s="1222"/>
      <c r="BO39" s="1261"/>
    </row>
    <row r="40" ht="7.5" customHeight="1">
      <c r="A40" s="1222"/>
      <c r="B40" s="1262" t="s">
        <v>562</v>
      </c>
      <c r="C40" s="1291" t="s">
        <v>271</v>
      </c>
      <c r="D40" s="1280" t="str">
        <f>VLOOKUP(C40,'Remote Tier List'!A:D, 2, FALSE)</f>
        <v>B</v>
      </c>
      <c r="E40" s="1281" t="str">
        <f>VLOOKUP(C40,'Remote Tier List'!A:D, 3, FALSE)</f>
        <v/>
      </c>
      <c r="F40" s="1284" t="str">
        <f>VLOOKUP(C40,'Remote Tier List'!A:D, 4, FALSE)</f>
        <v>Another health lab</v>
      </c>
      <c r="G40" s="1245" t="b">
        <f t="shared" si="14"/>
        <v>1</v>
      </c>
      <c r="H40" s="1246" t="str">
        <f t="array" ref="H40:I40">LET(
  Lab, $C40,
  Mode, $AD$1,
  Level, VLOOKUP(Lab, MS_Labs_Array, 2, FALSE),
  Target, VLOOKUP(Lab, MS_Labs_Array, 3, FALSE),
  Max, VLOOKUP(Lab, MS_Labs_Array, 4, FALSE),
  Result,
    IF(
      AND(
        Mode &lt;&gt; "Never",
        Level &gt;= IF(OR(Target = "", Mode = "Max"), Max, Target)
      ),
      "Completed",
      ""
    ),
  HSTACK(
    IF(Result &lt;&gt; "", Result, $D40),
    IF(Result &lt;&gt; "", Result, IF($E40 = "", $D40, $E40))
  )
)</f>
        <v>Completed</v>
      </c>
      <c r="I40" s="1247" t="s">
        <v>551</v>
      </c>
      <c r="J40" s="1248" t="str">
        <f t="shared" si="15"/>
        <v>Another health lab</v>
      </c>
      <c r="K40" s="1229"/>
      <c r="L40" s="1249" t="str">
        <f>IFERROR(__xludf.DUMMYFUNCTION("""COMPUTED_VALUE"""),"")</f>
        <v/>
      </c>
      <c r="M40" s="1249"/>
      <c r="N40" s="1250" t="str">
        <f>IFERROR(__xludf.DUMMYFUNCTION("if(M40 &lt;&gt; """", 
  LET( 
    TargetLevel, VLOOKUP(M40,MS_Labs_Array,3,false),
    MaxLevel, VLOOKUP(M40,MS_Labs_Array,4,false),
    MaxOrTarget, IF(OR(TargetLevel = """",$AD$1 &lt;&gt; ""Target""), MaxLevel, TargetLevel),
    LabLevel, VLOOKUP(M40,MS_Labs_Array"&amp;",2,False),
    Levelprogress, LabLevel / MaxOrTarget,
    DVTColumn, MATCH(M40,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0" s="1251" t="str">
        <f>IFERROR(__xludf.DUMMYFUNCTION("if(M40 &lt;&gt; """", 
  LET(
    TargetLevel, VLOOKUP(M40,MS_Labs_Array,3,false),
    LabSpeed, (1 * REGEXEXTRACT($BH$1, ""[\d.-]+"")) * {IF(M40 =""Labs Speed"", 1+'Master Sheet'!$BK$5, LAB_SPEED_TOTAL())},
    MaxLevel, VLOOKUP(M40,MS_Labs_Array,4,false),
   "&amp;" MaxOrTarget, IF(OR(TargetLevel = """",$AD$1 &lt;&gt; ""Target""), MaxLevel, TargetLevel),
    LabLevel, VLOOKUP(M40,MS_Labs_Array,2,False),
    DVTColumn, MATCH(M40, DVT_Laboratory!$A$1:BO$1, 0),
    xextTime, INDIRECT(""DVT_Laboratory!"" &amp; ADDRESS(LabLevel+3,"&amp;" DVTColumn)) / LabSpeed,
    remainingTime, SUM(INDIRECT(""DVT_Laboratory!"" &amp; ADDRESS(LabLevel+3, DVTColumn) &amp; "":"" &amp; ADDRESS(MaxOrTarget+2, DVTColumn))) / LabSpeed,
  M40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0" s="1249"/>
      <c r="Q40" s="1249" t="str">
        <f>IFERROR(__xludf.DUMMYFUNCTION("""COMPUTED_VALUE"""),"")</f>
        <v/>
      </c>
      <c r="R40" s="1249" t="str">
        <f>IFERROR(__xludf.DUMMYFUNCTION("""COMPUTED_VALUE"""),"")</f>
        <v/>
      </c>
      <c r="S40" s="1249"/>
      <c r="T40" s="1250" t="str">
        <f>IFERROR(__xludf.DUMMYFUNCTION("if(S40 &lt;&gt; """", 
  LET( 
    TargetLevel, VLOOKUP(S40,MS_Labs_Array,3,false),
    MaxLevel, VLOOKUP(S40,MS_Labs_Array,4,false),
    MaxOrTarget, IF(OR(TargetLevel = """",$AD$1 &lt;&gt; ""Target""), MaxLevel, TargetLevel),
    LabLevel, VLOOKUP(S40,MS_Labs_Array"&amp;",2,False),
    Levelprogress, LabLevel / MaxOrTarget,
    DVTColumn, MATCH(S40,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0" s="1251" t="str">
        <f>IFERROR(__xludf.DUMMYFUNCTION("if(S40 &lt;&gt; """", 
  LET(
    TargetLevel, VLOOKUP(S40,MS_Labs_Array,3,false),
    LabSpeed, (1 * REGEXEXTRACT($BH$1, ""[\d.-]+"")) * {IF(S40 =""Labs Speed"", 1+'Master Sheet'!$BK$5, LAB_SPEED_TOTAL())},
    MaxLevel, VLOOKUP(S40,MS_Labs_Array,4,false),
   "&amp;" MaxOrTarget, IF(OR(TargetLevel = """",$AD$1 &lt;&gt; ""Target""), MaxLevel, TargetLevel),
    LabLevel, VLOOKUP(S40,MS_Labs_Array,2,False),
    DVTColumn, MATCH(S40, DVT_Laboratory!$A$1:BO$1, 0),
    xextTime, INDIRECT(""DVT_Laboratory!"" &amp; ADDRESS(LabLevel+3,"&amp;" DVTColumn)) / LabSpeed,
    remainingTime, SUM(INDIRECT(""DVT_Laboratory!"" &amp; ADDRESS(LabLevel+3, DVTColumn) &amp; "":"" &amp; ADDRESS(MaxOrTarget+2, DVTColumn))) / LabSpeed,
  S40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0" s="1249"/>
      <c r="W40" s="1249" t="str">
        <f>IFERROR(__xludf.DUMMYFUNCTION("""COMPUTED_VALUE"""),"")</f>
        <v/>
      </c>
      <c r="X40" s="1249" t="str">
        <f>IFERROR(__xludf.DUMMYFUNCTION("""COMPUTED_VALUE"""),"")</f>
        <v/>
      </c>
      <c r="Y40" s="1249"/>
      <c r="Z40" s="1250" t="str">
        <f>IFERROR(__xludf.DUMMYFUNCTION("if(Y40 &lt;&gt; """", 
  LET( 
    TargetLevel, VLOOKUP(Y40,MS_Labs_Array,3,false),
    MaxLevel, VLOOKUP(Y40,MS_Labs_Array,4,false),
    MaxOrTarget, IF(OR(TargetLevel = """",$AD$1 &lt;&gt; ""Target""), MaxLevel, TargetLevel),
    LabLevel, VLOOKUP(Y40,MS_Labs_Array"&amp;",2,False),
    Levelprogress, LabLevel / MaxOrTarget,
    DVTColumn, MATCH(Y40,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0" s="1251" t="str">
        <f>IFERROR(__xludf.DUMMYFUNCTION("if(Y40 &lt;&gt; """", 
  LET(
    TargetLevel, VLOOKUP(Y40,MS_Labs_Array,3,false),
    LabSpeed, (1 * REGEXEXTRACT($BH$1, ""[\d.-]+"")) * {IF(Y40 =""Labs Speed"", 1+'Master Sheet'!$BK$5, LAB_SPEED_TOTAL())},
    MaxLevel, VLOOKUP(Y40,MS_Labs_Array,4,false),
   "&amp;" MaxOrTarget, IF(OR(TargetLevel = """",$AD$1 &lt;&gt; ""Target""), MaxLevel, TargetLevel),
    LabLevel, VLOOKUP(Y40,MS_Labs_Array,2,False),
    DVTColumn, MATCH(Y40, DVT_Laboratory!$A$1:BO$1, 0),
    xextTime, INDIRECT(""DVT_Laboratory!"" &amp; ADDRESS(LabLevel+3,"&amp;" DVTColumn)) / LabSpeed,
    remainingTime, SUM(INDIRECT(""DVT_Laboratory!"" &amp; ADDRESS(LabLevel+3, DVTColumn) &amp; "":"" &amp; ADDRESS(MaxOrTarget+2, DVTColumn))) / LabSpeed,
  Y40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0" s="1249"/>
      <c r="AC40" s="1249" t="str">
        <f>IFERROR(__xludf.DUMMYFUNCTION("""COMPUTED_VALUE"""),"Inner Mine Rotation Speed
  Lab Level:      0 / 20 (Max)
  Next Level:    0d  1h 16m
  Max Level:     12d 13h  3m")</f>
        <v>Inner Mine Rotation Speed
  Lab Level:      0 / 20 (Max)
  Next Level:    0d  1h 16m
  Max Level:     12d 13h  3m</v>
      </c>
      <c r="AD40" s="1249" t="str">
        <f>IFERROR(__xludf.DUMMYFUNCTION("""COMPUTED_VALUE"""),"")</f>
        <v/>
      </c>
      <c r="AE40" s="1249"/>
      <c r="AF40" s="1250" t="str">
        <f>IFERROR(__xludf.DUMMYFUNCTION("if(AE40 &lt;&gt; """", 
  LET( 
    TargetLevel, VLOOKUP(AE40,MS_Labs_Array,3,false),
    MaxLevel, VLOOKUP(AE40,MS_Labs_Array,4,false),
    MaxOrTarget, IF(OR(TargetLevel = """",$AD$1 &lt;&gt; ""Target""), MaxLevel, TargetLevel),
    LabLevel, VLOOKUP(AE40,MS_Labs_A"&amp;"rray,2,False),
    Levelprogress, LabLevel / MaxOrTarget,
    DVTColumn, MATCH(AE40,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0" s="1251" t="str">
        <f>IFERROR(__xludf.DUMMYFUNCTION("if(AE40 &lt;&gt; """", 
  LET(
    TargetLevel, VLOOKUP(AE40,MS_Labs_Array,3,false),
    LabSpeed, (1 * REGEXEXTRACT($BH$1, ""[\d.-]+"")) * {IF(AE40 =""Labs Speed"", 1+'Master Sheet'!$BK$5, LAB_SPEED_TOTAL())},
    MaxLevel, VLOOKUP(AE40,MS_Labs_Array,4,false),"&amp;"
    MaxOrTarget, IF(OR(TargetLevel = """",$AD$1 &lt;&gt; ""Target""), MaxLevel, TargetLevel),
    LabLevel, VLOOKUP(AE40,MS_Labs_Array,2,False),
    DVTColumn, MATCH(AE40, DVT_Laboratory!$A$1:BO$1, 0),
    xextTime, INDIRECT(""DVT_Laboratory!"" &amp; ADDRESS(LabLe"&amp;"vel+3, DVTColumn)) / LabSpeed,
    remainingTime, SUM(INDIRECT(""DVT_Laboratory!"" &amp; ADDRESS(LabLevel+3, DVTColumn) &amp; "":"" &amp; ADDRESS(MaxOrTarget+2, DVTColumn))) / LabSpeed,
  AE40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0" s="1249"/>
      <c r="AI40" s="1249" t="str">
        <f>IFERROR(__xludf.DUMMYFUNCTION("""COMPUTED_VALUE"""),"Assist Module Bonus - Cannon
  Lab Level:      0 / 30 (Max)
  Next Level:    0d 16h 28m
  Max Level:     319d  3h 13m")</f>
        <v>Assist Module Bonus - Cannon
  Lab Level:      0 / 30 (Max)
  Next Level:    0d 16h 28m
  Max Level:     319d  3h 13m</v>
      </c>
      <c r="AJ40" s="1249" t="str">
        <f>IFERROR(__xludf.DUMMYFUNCTION("""COMPUTED_VALUE"""),"")</f>
        <v/>
      </c>
      <c r="AK40" s="1249"/>
      <c r="AL40" s="1250" t="str">
        <f>IFERROR(__xludf.DUMMYFUNCTION("if(AK40 &lt;&gt; """", 
  LET( 
    TargetLevel, VLOOKUP(AK40,MS_Labs_Array,3,false),
    MaxLevel, VLOOKUP(AK40,MS_Labs_Array,4,false),
    MaxOrTarget, IF(OR(TargetLevel = """",$AD$1 &lt;&gt; ""Target""), MaxLevel, TargetLevel),
    LabLevel, VLOOKUP(AK40,MS_Labs_A"&amp;"rray,2,False),
    Levelprogress, LabLevel / MaxOrTarget,
    DVTColumn, MATCH(AK40,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0" s="1251" t="str">
        <f>IFERROR(__xludf.DUMMYFUNCTION("if(AK40 &lt;&gt; """", 
  LET(
    TargetLevel, VLOOKUP(AK40,MS_Labs_Array,3,false),
    LabSpeed, (1 * REGEXEXTRACT($BH$1, ""[\d.-]+"")) * {IF(AK40 =""Labs Speed"", 1+'Master Sheet'!$BK$5, LAB_SPEED_TOTAL())},
    MaxLevel, VLOOKUP(AK40,MS_Labs_Array,4,false),"&amp;"
    MaxOrTarget, IF(OR(TargetLevel = """",$AD$1 &lt;&gt; ""Target""), MaxLevel, TargetLevel),
    LabLevel, VLOOKUP(AK40,MS_Labs_Array,2,False),
    DVTColumn, MATCH(AK40, DVT_Laboratory!$A$1:BO$1, 0),
    xextTime, INDIRECT(""DVT_Laboratory!"" &amp; ADDRESS(LabLe"&amp;"vel+3, DVTColumn)) / LabSpeed,
    remainingTime, SUM(INDIRECT(""DVT_Laboratory!"" &amp; ADDRESS(LabLevel+3, DVTColumn) &amp; "":"" &amp; ADDRESS(MaxOrTarget+2, DVTColumn))) / LabSpeed,
  AK40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0" s="1249"/>
      <c r="AO40" s="1249" t="str">
        <f>IFERROR(__xludf.DUMMYFUNCTION("""COMPUTED_VALUE"""),"Core Effect Bans
  Lab Level:      4 / 7 (Max)
  Next Level:    10d  7h 50m
  Max Level:     39d  4h 32m")</f>
        <v>Core Effect Bans
  Lab Level:      4 / 7 (Max)
  Next Level:    10d  7h 50m
  Max Level:     39d  4h 32m</v>
      </c>
      <c r="AP40" s="1249" t="str">
        <f>IFERROR(__xludf.DUMMYFUNCTION("""COMPUTED_VALUE"""),"")</f>
        <v/>
      </c>
      <c r="AQ40" s="1249"/>
      <c r="AR40" s="1250" t="str">
        <f>IFERROR(__xludf.DUMMYFUNCTION("if(AQ40 &lt;&gt; """", 
  LET( 
    TargetLevel, VLOOKUP(AQ40,MS_Labs_Array,3,false),
    MaxLevel, VLOOKUP(AQ40,MS_Labs_Array,4,false),
    MaxOrTarget, IF(OR(TargetLevel = """",$AD$1 &lt;&gt; ""Target""), MaxLevel, TargetLevel),
    LabLevel, VLOOKUP(AQ40,MS_Labs_A"&amp;"rray,2,False),
    Levelprogress, LabLevel / MaxOrTarget,
    DVTColumn, MATCH(AQ40,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0" s="1251" t="str">
        <f>IFERROR(__xludf.DUMMYFUNCTION("if(AQ40 &lt;&gt; """", 
  LET(
    TargetLevel, VLOOKUP(AQ40,MS_Labs_Array,3,false),
    LabSpeed, (1 * REGEXEXTRACT($BH$1, ""[\d.-]+"")) * {IF(AQ40 =""Labs Speed"", 1+'Master Sheet'!$BK$5, LAB_SPEED_TOTAL())},
    MaxLevel, VLOOKUP(AQ40,MS_Labs_Array,4,false),"&amp;"
    MaxOrTarget, IF(OR(TargetLevel = """",$AD$1 &lt;&gt; ""Target""), MaxLevel, TargetLevel),
    LabLevel, VLOOKUP(AQ40,MS_Labs_Array,2,False),
    DVTColumn, MATCH(AQ40, DVT_Laboratory!$A$1:BO$1, 0),
    xextTime, INDIRECT(""DVT_Laboratory!"" &amp; ADDRESS(LabLe"&amp;"vel+3, DVTColumn)) / LabSpeed,
    remainingTime, SUM(INDIRECT(""DVT_Laboratory!"" &amp; ADDRESS(LabLevel+3, DVTColumn) &amp; "":"" &amp; ADDRESS(MaxOrTarget+2, DVTColumn))) / LabSpeed,
  AQ40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0" s="1249"/>
      <c r="AU40" s="1249" t="str">
        <f>IFERROR(__xludf.DUMMYFUNCTION("""COMPUTED_VALUE"""),"Fast Enemy Health
  Lab Level:      0 / 30 (Max)
  Next Level:    0d  3h 31m
  Max Level:     78d 13h  3m")</f>
        <v>Fast Enemy Health
  Lab Level:      0 / 30 (Max)
  Next Level:    0d  3h 31m
  Max Level:     78d 13h  3m</v>
      </c>
      <c r="AV40" s="1249" t="str">
        <f>IFERROR(__xludf.DUMMYFUNCTION("""COMPUTED_VALUE"""),"")</f>
        <v/>
      </c>
      <c r="AW40" s="1249"/>
      <c r="AX40" s="1250" t="str">
        <f>IFERROR(__xludf.DUMMYFUNCTION("if(AW40 &lt;&gt; """", 
  LET( 
    TargetLevel, VLOOKUP(AW40,MS_Labs_Array,3,false),
    MaxLevel, VLOOKUP(AW40,MS_Labs_Array,4,false),
    MaxOrTarget, IF(OR(TargetLevel = """",$AD$1 &lt;&gt; ""Target""), MaxLevel, TargetLevel),
    LabLevel, VLOOKUP(AW40,MS_Labs_A"&amp;"rray,2,False),
    Levelprogress, LabLevel / MaxOrTarget,
    DVTColumn, MATCH(AW40,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0" s="1251" t="str">
        <f>IFERROR(__xludf.DUMMYFUNCTION("if(AW40 &lt;&gt; """", 
  LET(
    TargetLevel, VLOOKUP(AW40,MS_Labs_Array,3,false),
    LabSpeed, (1 * REGEXEXTRACT($BH$1, ""[\d.-]+"")) * {IF(AW40 =""Labs Speed"", 1+'Master Sheet'!$BK$5, LAB_SPEED_TOTAL())},
    MaxLevel, VLOOKUP(AW40,MS_Labs_Array,4,false),"&amp;"
    MaxOrTarget, IF(OR(TargetLevel = """",$AD$1 &lt;&gt; ""Target""), MaxLevel, TargetLevel),
    LabLevel, VLOOKUP(AW40,MS_Labs_Array,2,False),
    DVTColumn, MATCH(AW40, DVT_Laboratory!$A$1:BO$1, 0),
    xextTime, INDIRECT(""DVT_Laboratory!"" &amp; ADDRESS(LabLe"&amp;"vel+3, DVTColumn)) / LabSpeed,
    remainingTime, SUM(INDIRECT(""DVT_Laboratory!"" &amp; ADDRESS(LabLevel+3, DVTColumn) &amp; "":"" &amp; ADDRESS(MaxOrTarget+2, DVTColumn))) / LabSpeed,
  AW40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0" s="1249"/>
      <c r="BA40" s="1249" t="str">
        <f>IFERROR(__xludf.DUMMYFUNCTION("""COMPUTED_VALUE"""),"Flame Bot - Burn Stack
  Lab Level:      0 / 5 (Max)
  Next Level:    2d 21h 35m
  Max Level:     19d 13h 11m")</f>
        <v>Flame Bot - Burn Stack
  Lab Level:      0 / 5 (Max)
  Next Level:    2d 21h 35m
  Max Level:     19d 13h 11m</v>
      </c>
      <c r="BB40" s="1249" t="str">
        <f>IFERROR(__xludf.DUMMYFUNCTION("""COMPUTED_VALUE"""),"")</f>
        <v/>
      </c>
      <c r="BC40" s="1249"/>
      <c r="BD40" s="1250" t="str">
        <f>IFERROR(__xludf.DUMMYFUNCTION("if(BC40 &lt;&gt; """", 
  LET( 
    TargetLevel, VLOOKUP(BC40,MS_Labs_Array,3,false),
    MaxLevel, VLOOKUP(BC40,MS_Labs_Array,4,false),
    MaxOrTarget, IF(OR(TargetLevel = """",$AD$1 &lt;&gt; ""Target""), MaxLevel, TargetLevel),
    LabLevel, VLOOKUP(BC40,MS_Labs_A"&amp;"rray,2,False),
    Levelprogress, LabLevel / MaxOrTarget,
    DVTColumn, MATCH(BC40,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0" s="1251" t="str">
        <f>IFERROR(__xludf.DUMMYFUNCTION("if(BC40 &lt;&gt; """", 
  LET(
    TargetLevel, VLOOKUP(BC40,MS_Labs_Array,3,false),
    LabSpeed, (1 * REGEXEXTRACT($BH$1, ""[\d.-]+"")) * {IF(BC40 =""Labs Speed"", 1+'Master Sheet'!$BK$5, LAB_SPEED_TOTAL())},
    MaxLevel, VLOOKUP(BC40,MS_Labs_Array,4,false),"&amp;"
    MaxOrTarget, IF(OR(TargetLevel = """",$AD$1 &lt;&gt; ""Target""), MaxLevel, TargetLevel),
    LabLevel, VLOOKUP(BC40,MS_Labs_Array,2,False),
    DVTColumn, MATCH(BC40, DVT_Laboratory!$A$1:BO$1, 0),
    xextTime, INDIRECT(""DVT_Laboratory!"" &amp; ADDRESS(LabLe"&amp;"vel+3, DVTColumn)) / LabSpeed,
    remainingTime, SUM(INDIRECT(""DVT_Laboratory!"" &amp; ADDRESS(LabLevel+3, DVTColumn) &amp; "":"" &amp; ADDRESS(MaxOrTarget+2, DVTColumn))) / LabSpeed,
  BC40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0" s="1249"/>
      <c r="BG40" s="1249" t="str">
        <f>IFERROR(__xludf.DUMMYFUNCTION("""COMPUTED_VALUE"""),"")</f>
        <v/>
      </c>
      <c r="BH40" s="1260" t="str">
        <f>IFERROR(__xludf.DUMMYFUNCTION("""COMPUTED_VALUE"""),"")</f>
        <v/>
      </c>
      <c r="BI40" s="1252" t="str">
        <f>IFERROR(__xludf.DUMMYFUNCTION("""COMPUTED_VALUE"""),"Standard Perks Bonus")</f>
        <v>Standard Perks Bonus</v>
      </c>
      <c r="BJ40" s="1253" t="str">
        <f>IFERROR(__xludf.DUMMYFUNCTION("if(BI40 &lt;&gt; """", 
  LET( 
    TargetLevel, VLOOKUP(BI40,MS_Labs_Array,3,false),
    MaxLevel, VLOOKUP(BI40,MS_Labs_Array,4,false),
    MaxOrTarget, IF(OR(TargetLevel = """",$AD$1 &lt;&gt; ""Target""), MaxLevel, TargetLevel),
    LabLevel, VLOOKUP(BI40,MS_Labs_A"&amp;"rray,2,False),
    Levelprogress, IF(LabLevel &gt;= MaxOrTarget, 1, LabLevel / MaxOrTarget),
    DVTColumn, MATCH(BI40,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0" s="1254" t="str">
        <f>IFERROR(__xludf.DUMMYFUNCTION("if(BI40 &lt;&gt; """", 
  LET(
    TargetLevel, VLOOKUP(BI40,MS_Labs_Array,3,false),
    LabSpeed, (1 * REGEXEXTRACT($BH$1, ""[\d.-]+"")) * {IF(BI40 =""Labs Speed"", 1+'Master Sheet'!$BK$5, LAB_SPEED_TOTAL())},
    MaxLevel, VLOOKUP(BI40,MS_Labs_Array,4,false),"&amp;"
    MaxOrTarget, IF(OR(TargetLevel = """",$AD$1 &lt;&gt; ""Target""), MaxLevel, TargetLevel),
    LabLevel, VLOOKUP(BI40,MS_Labs_Array,2,False),
    DVTColumn, MATCH(BI40, DVT_Laboratory!$A$1:BO$1, 0),
    xextTime, INDIRECT(""DVT_Laboratory!"" &amp; ADDRESS(LabLe"&amp;"vel+3, DVTColumn)) / LabSpeed,
    remainingTime, SUM(INDIRECT(""DVT_Laboratory!"" &amp; ADDRESS(LabLevel+3, DVTColumn) &amp; "":"" &amp; ADDRESS(MaxOrTarget+2, DVTColumn))) / LabSpeed,
  BI40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"""")"),"Standard Perks Bonus
  Lab Level:      25 / 25 (Max)
  Next Level:    
  Max Level:     3d 17h 43m")</f>
        <v>Standard Perks Bonus
  Lab Level:      25 / 25 (Max)
  Next Level:    
  Max Level:     3d 17h 43m</v>
      </c>
      <c r="BL40" s="1252" t="str">
        <f>IFERROR(__xludf.DUMMYFUNCTION("""COMPUTED_VALUE"""),"Improves all common perks, including Perk wave requirement, leading to stronger and faster perks")</f>
        <v>Improves all common perks, including Perk wave requirement, leading to stronger and faster perks</v>
      </c>
      <c r="BM40" s="1252" t="str">
        <f>IFERROR(__xludf.DUMMYFUNCTION("""COMPUTED_VALUE"""),"Chrono Field Duration
  Lab Level:      30 / 30 (Max)
  Next Level:    
  Max Level:     7d  1h 42m")</f>
        <v>Chrono Field Duration
  Lab Level:      30 / 30 (Max)
  Next Level:    
  Max Level:     7d  1h 42m</v>
      </c>
      <c r="BN40" s="1222"/>
      <c r="BO40" s="1261"/>
    </row>
    <row r="41">
      <c r="A41" s="1222"/>
      <c r="B41" s="1257"/>
      <c r="C41" s="1291" t="s">
        <v>279</v>
      </c>
      <c r="D41" s="1280" t="str">
        <f>VLOOKUP(C41,'Remote Tier List'!A:D, 2, FALSE)</f>
        <v>D</v>
      </c>
      <c r="E41" s="1281" t="str">
        <f>VLOOKUP(C41,'Remote Tier List'!A:D, 3, FALSE)</f>
        <v>A</v>
      </c>
      <c r="F41" s="1284" t="str">
        <f>VLOOKUP(C41,'Remote Tier List'!A:D, 4, FALSE)</f>
        <v>Mostly useless unless you're using a Glass Cannon build</v>
      </c>
      <c r="G41" s="1245" t="b">
        <f t="shared" si="14"/>
        <v>1</v>
      </c>
      <c r="H41" s="1265" t="str">
        <f t="array" ref="H41:I41">LET(
  Lab, $C41,
  Mode, $AD$1,
  Level, VLOOKUP(Lab, MS_Labs_Array, 2, FALSE),
  Target, VLOOKUP(Lab, MS_Labs_Array, 3, FALSE),
  Max, VLOOKUP(Lab, MS_Labs_Array, 4, FALSE),
  Result,
    IF(
      AND(
        Mode &lt;&gt; "Never",
        Level &gt;= IF(OR(Target = "", Mode = "Max"), Max, Target)
      ),
      "Completed",
      ""
    ),
  HSTACK(
    IF(Result &lt;&gt; "", Result, $D41),
    IF(Result &lt;&gt; "", Result, IF($E41 = "", $D41, $E41))
  )
)</f>
        <v>D</v>
      </c>
      <c r="I41" s="1265" t="s">
        <v>545</v>
      </c>
      <c r="J41" s="1248" t="str">
        <f t="shared" si="15"/>
        <v>Mostly useless unless you're using a Glass Cannon build</v>
      </c>
      <c r="K41" s="1229"/>
      <c r="L41" s="1249"/>
      <c r="M41" s="1249"/>
      <c r="N41" s="1250" t="str">
        <f>IFERROR(__xludf.DUMMYFUNCTION("if(M41 &lt;&gt; """", 
  LET( 
    TargetLevel, VLOOKUP(M41,MS_Labs_Array,3,false),
    MaxLevel, VLOOKUP(M41,MS_Labs_Array,4,false),
    MaxOrTarget, IF(OR(TargetLevel = """",$AD$1 &lt;&gt; ""Target""), MaxLevel, TargetLevel),
    LabLevel, VLOOKUP(M41,MS_Labs_Array"&amp;",2,False),
    Levelprogress, LabLevel / MaxOrTarget,
    DVTColumn, MATCH(M41,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1" s="1251" t="str">
        <f>IFERROR(__xludf.DUMMYFUNCTION("if(M41 &lt;&gt; """", 
  LET(
    TargetLevel, VLOOKUP(M41,MS_Labs_Array,3,false),
    LabSpeed, (1 * REGEXEXTRACT($BH$1, ""[\d.-]+"")) * {IF(M41 =""Labs Speed"", 1+'Master Sheet'!$BK$5, LAB_SPEED_TOTAL())},
    MaxLevel, VLOOKUP(M41,MS_Labs_Array,4,false),
   "&amp;" MaxOrTarget, IF(OR(TargetLevel = """",$AD$1 &lt;&gt; ""Target""), MaxLevel, TargetLevel),
    LabLevel, VLOOKUP(M41,MS_Labs_Array,2,False),
    DVTColumn, MATCH(M41, DVT_Laboratory!$A$1:BO$1, 0),
    xextTime, INDIRECT(""DVT_Laboratory!"" &amp; ADDRESS(LabLevel+3,"&amp;" DVTColumn)) / LabSpeed,
    remainingTime, SUM(INDIRECT(""DVT_Laboratory!"" &amp; ADDRESS(LabLevel+3, DVTColumn) &amp; "":"" &amp; ADDRESS(MaxOrTarget+2, DVTColumn))) / LabSpeed,
  M41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1" s="1249"/>
      <c r="Q41" s="1249"/>
      <c r="R41" s="1249"/>
      <c r="S41" s="1249"/>
      <c r="T41" s="1250" t="str">
        <f>IFERROR(__xludf.DUMMYFUNCTION("if(S41 &lt;&gt; """", 
  LET( 
    TargetLevel, VLOOKUP(S41,MS_Labs_Array,3,false),
    MaxLevel, VLOOKUP(S41,MS_Labs_Array,4,false),
    MaxOrTarget, IF(OR(TargetLevel = """",$AD$1 &lt;&gt; ""Target""), MaxLevel, TargetLevel),
    LabLevel, VLOOKUP(S41,MS_Labs_Array"&amp;",2,False),
    Levelprogress, LabLevel / MaxOrTarget,
    DVTColumn, MATCH(S41,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1" s="1251" t="str">
        <f>IFERROR(__xludf.DUMMYFUNCTION("if(S41 &lt;&gt; """", 
  LET(
    TargetLevel, VLOOKUP(S41,MS_Labs_Array,3,false),
    LabSpeed, (1 * REGEXEXTRACT($BH$1, ""[\d.-]+"")) * {IF(S41 =""Labs Speed"", 1+'Master Sheet'!$BK$5, LAB_SPEED_TOTAL())},
    MaxLevel, VLOOKUP(S41,MS_Labs_Array,4,false),
   "&amp;" MaxOrTarget, IF(OR(TargetLevel = """",$AD$1 &lt;&gt; ""Target""), MaxLevel, TargetLevel),
    LabLevel, VLOOKUP(S41,MS_Labs_Array,2,False),
    DVTColumn, MATCH(S41, DVT_Laboratory!$A$1:BO$1, 0),
    xextTime, INDIRECT(""DVT_Laboratory!"" &amp; ADDRESS(LabLevel+3,"&amp;" DVTColumn)) / LabSpeed,
    remainingTime, SUM(INDIRECT(""DVT_Laboratory!"" &amp; ADDRESS(LabLevel+3, DVTColumn) &amp; "":"" &amp; ADDRESS(MaxOrTarget+2, DVTColumn))) / LabSpeed,
  S41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1" s="1249"/>
      <c r="W41" s="1249"/>
      <c r="X41" s="1249" t="str">
        <f>IFERROR(__xludf.DUMMYFUNCTION("""COMPUTED_VALUE"""),"Spotlight Missiles")</f>
        <v>Spotlight Missiles</v>
      </c>
      <c r="Y41" s="1249"/>
      <c r="Z41" s="1250" t="str">
        <f>IFERROR(__xludf.DUMMYFUNCTION("if(Y41 &lt;&gt; """", 
  LET( 
    TargetLevel, VLOOKUP(Y41,MS_Labs_Array,3,false),
    MaxLevel, VLOOKUP(Y41,MS_Labs_Array,4,false),
    MaxOrTarget, IF(OR(TargetLevel = """",$AD$1 &lt;&gt; ""Target""), MaxLevel, TargetLevel),
    LabLevel, VLOOKUP(Y41,MS_Labs_Array"&amp;",2,False),
    Levelprogress, LabLevel / MaxOrTarget,
    DVTColumn, MATCH(Y41,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1" s="1251" t="str">
        <f>IFERROR(__xludf.DUMMYFUNCTION("if(Y41 &lt;&gt; """", 
  LET(
    TargetLevel, VLOOKUP(Y41,MS_Labs_Array,3,false),
    LabSpeed, (1 * REGEXEXTRACT($BH$1, ""[\d.-]+"")) * {IF(Y41 =""Labs Speed"", 1+'Master Sheet'!$BK$5, LAB_SPEED_TOTAL())},
    MaxLevel, VLOOKUP(Y41,MS_Labs_Array,4,false),
   "&amp;" MaxOrTarget, IF(OR(TargetLevel = """",$AD$1 &lt;&gt; ""Target""), MaxLevel, TargetLevel),
    LabLevel, VLOOKUP(Y41,MS_Labs_Array,2,False),
    DVTColumn, MATCH(Y41, DVT_Laboratory!$A$1:BO$1, 0),
    xextTime, INDIRECT(""DVT_Laboratory!"" &amp; ADDRESS(LabLevel+3,"&amp;" DVTColumn)) / LabSpeed,
    remainingTime, SUM(INDIRECT(""DVT_Laboratory!"" &amp; ADDRESS(LabLevel+3, DVTColumn) &amp; "":"" &amp; ADDRESS(MaxOrTarget+2, DVTColumn))) / LabSpeed,
  Y41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1" s="1249"/>
      <c r="AC41" s="1249" t="str">
        <f>IFERROR(__xludf.DUMMYFUNCTION("""COMPUTED_VALUE"""),"Basically useless prior to owning SM other than for an event mission, enables SLM Orbless with SM")</f>
        <v>Basically useless prior to owning SM other than for an event mission, enables SLM Orbless with SM</v>
      </c>
      <c r="AD41" s="1249" t="str">
        <f>IFERROR(__xludf.DUMMYFUNCTION("""COMPUTED_VALUE"""),"Assist Module Bonus - Core")</f>
        <v>Assist Module Bonus - Core</v>
      </c>
      <c r="AE41" s="1249"/>
      <c r="AF41" s="1250" t="str">
        <f>IFERROR(__xludf.DUMMYFUNCTION("if(AE41 &lt;&gt; """", 
  LET( 
    TargetLevel, VLOOKUP(AE41,MS_Labs_Array,3,false),
    MaxLevel, VLOOKUP(AE41,MS_Labs_Array,4,false),
    MaxOrTarget, IF(OR(TargetLevel = """",$AD$1 &lt;&gt; ""Target""), MaxLevel, TargetLevel),
    LabLevel, VLOOKUP(AE41,MS_Labs_A"&amp;"rray,2,False),
    Levelprogress, LabLevel / MaxOrTarget,
    DVTColumn, MATCH(AE41,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1" s="1251" t="str">
        <f>IFERROR(__xludf.DUMMYFUNCTION("if(AE41 &lt;&gt; """", 
  LET(
    TargetLevel, VLOOKUP(AE41,MS_Labs_Array,3,false),
    LabSpeed, (1 * REGEXEXTRACT($BH$1, ""[\d.-]+"")) * {IF(AE41 =""Labs Speed"", 1+'Master Sheet'!$BK$5, LAB_SPEED_TOTAL())},
    MaxLevel, VLOOKUP(AE41,MS_Labs_Array,4,false),"&amp;"
    MaxOrTarget, IF(OR(TargetLevel = """",$AD$1 &lt;&gt; ""Target""), MaxLevel, TargetLevel),
    LabLevel, VLOOKUP(AE41,MS_Labs_Array,2,False),
    DVTColumn, MATCH(AE41, DVT_Laboratory!$A$1:BO$1, 0),
    xextTime, INDIRECT(""DVT_Laboratory!"" &amp; ADDRESS(LabLe"&amp;"vel+3, DVTColumn)) / LabSpeed,
    remainingTime, SUM(INDIRECT(""DVT_Laboratory!"" &amp; ADDRESS(LabLevel+3, DVTColumn) &amp; "":"" &amp; ADDRESS(MaxOrTarget+2, DVTColumn))) / LabSpeed,
  AE41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1" s="1249"/>
      <c r="AI41" s="1249"/>
      <c r="AJ41" s="1249" t="str">
        <f>IFERROR(__xludf.DUMMYFUNCTION("""COMPUTED_VALUE"""),"Assist Module Bonus - Armor")</f>
        <v>Assist Module Bonus - Armor</v>
      </c>
      <c r="AK41" s="1249"/>
      <c r="AL41" s="1250" t="str">
        <f>IFERROR(__xludf.DUMMYFUNCTION("if(AK41 &lt;&gt; """", 
  LET( 
    TargetLevel, VLOOKUP(AK41,MS_Labs_Array,3,false),
    MaxLevel, VLOOKUP(AK41,MS_Labs_Array,4,false),
    MaxOrTarget, IF(OR(TargetLevel = """",$AD$1 &lt;&gt; ""Target""), MaxLevel, TargetLevel),
    LabLevel, VLOOKUP(AK41,MS_Labs_A"&amp;"rray,2,False),
    Levelprogress, LabLevel / MaxOrTarget,
    DVTColumn, MATCH(AK41,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1" s="1251" t="str">
        <f>IFERROR(__xludf.DUMMYFUNCTION("if(AK41 &lt;&gt; """", 
  LET(
    TargetLevel, VLOOKUP(AK41,MS_Labs_Array,3,false),
    LabSpeed, (1 * REGEXEXTRACT($BH$1, ""[\d.-]+"")) * {IF(AK41 =""Labs Speed"", 1+'Master Sheet'!$BK$5, LAB_SPEED_TOTAL())},
    MaxLevel, VLOOKUP(AK41,MS_Labs_Array,4,false),"&amp;"
    MaxOrTarget, IF(OR(TargetLevel = """",$AD$1 &lt;&gt; ""Target""), MaxLevel, TargetLevel),
    LabLevel, VLOOKUP(AK41,MS_Labs_Array,2,False),
    DVTColumn, MATCH(AK41, DVT_Laboratory!$A$1:BO$1, 0),
    xextTime, INDIRECT(""DVT_Laboratory!"" &amp; ADDRESS(LabLe"&amp;"vel+3, DVTColumn)) / LabSpeed,
    remainingTime, SUM(INDIRECT(""DVT_Laboratory!"" &amp; ADDRESS(LabLevel+3, DVTColumn) &amp; "":"" &amp; ADDRESS(MaxOrTarget+2, DVTColumn))) / LabSpeed,
  AK41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1" s="1249"/>
      <c r="AO41" s="1249"/>
      <c r="AP41" s="1249" t="str">
        <f>IFERROR(__xludf.DUMMYFUNCTION("""COMPUTED_VALUE"""),"Tank Enemy Health")</f>
        <v>Tank Enemy Health</v>
      </c>
      <c r="AQ41" s="1249"/>
      <c r="AR41" s="1250" t="str">
        <f>IFERROR(__xludf.DUMMYFUNCTION("if(AQ41 &lt;&gt; """", 
  LET( 
    TargetLevel, VLOOKUP(AQ41,MS_Labs_Array,3,false),
    MaxLevel, VLOOKUP(AQ41,MS_Labs_Array,4,false),
    MaxOrTarget, IF(OR(TargetLevel = """",$AD$1 &lt;&gt; ""Target""), MaxLevel, TargetLevel),
    LabLevel, VLOOKUP(AQ41,MS_Labs_A"&amp;"rray,2,False),
    Levelprogress, LabLevel / MaxOrTarget,
    DVTColumn, MATCH(AQ41,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1" s="1251" t="str">
        <f>IFERROR(__xludf.DUMMYFUNCTION("if(AQ41 &lt;&gt; """", 
  LET(
    TargetLevel, VLOOKUP(AQ41,MS_Labs_Array,3,false),
    LabSpeed, (1 * REGEXEXTRACT($BH$1, ""[\d.-]+"")) * {IF(AQ41 =""Labs Speed"", 1+'Master Sheet'!$BK$5, LAB_SPEED_TOTAL())},
    MaxLevel, VLOOKUP(AQ41,MS_Labs_Array,4,false),"&amp;"
    MaxOrTarget, IF(OR(TargetLevel = """",$AD$1 &lt;&gt; ""Target""), MaxLevel, TargetLevel),
    LabLevel, VLOOKUP(AQ41,MS_Labs_Array,2,False),
    DVTColumn, MATCH(AQ41, DVT_Laboratory!$A$1:BO$1, 0),
    xextTime, INDIRECT(""DVT_Laboratory!"" &amp; ADDRESS(LabLe"&amp;"vel+3, DVTColumn)) / LabSpeed,
    remainingTime, SUM(INDIRECT(""DVT_Laboratory!"" &amp; ADDRESS(LabLevel+3, DVTColumn) &amp; "":"" &amp; ADDRESS(MaxOrTarget+2, DVTColumn))) / LabSpeed,
  AQ41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1" s="1249"/>
      <c r="AU41"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V41" s="1249" t="str">
        <f>IFERROR(__xludf.DUMMYFUNCTION("""COMPUTED_VALUE"""),"Common Enemy Attack")</f>
        <v>Common Enemy Attack</v>
      </c>
      <c r="AW41" s="1249"/>
      <c r="AX41" s="1250" t="str">
        <f>IFERROR(__xludf.DUMMYFUNCTION("if(AW41 &lt;&gt; """", 
  LET( 
    TargetLevel, VLOOKUP(AW41,MS_Labs_Array,3,false),
    MaxLevel, VLOOKUP(AW41,MS_Labs_Array,4,false),
    MaxOrTarget, IF(OR(TargetLevel = """",$AD$1 &lt;&gt; ""Target""), MaxLevel, TargetLevel),
    LabLevel, VLOOKUP(AW41,MS_Labs_A"&amp;"rray,2,False),
    Levelprogress, LabLevel / MaxOrTarget,
    DVTColumn, MATCH(AW41,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1" s="1251" t="str">
        <f>IFERROR(__xludf.DUMMYFUNCTION("if(AW41 &lt;&gt; """", 
  LET(
    TargetLevel, VLOOKUP(AW41,MS_Labs_Array,3,false),
    LabSpeed, (1 * REGEXEXTRACT($BH$1, ""[\d.-]+"")) * {IF(AW41 =""Labs Speed"", 1+'Master Sheet'!$BK$5, LAB_SPEED_TOTAL())},
    MaxLevel, VLOOKUP(AW41,MS_Labs_Array,4,false),"&amp;"
    MaxOrTarget, IF(OR(TargetLevel = """",$AD$1 &lt;&gt; ""Target""), MaxLevel, TargetLevel),
    LabLevel, VLOOKUP(AW41,MS_Labs_Array,2,False),
    DVTColumn, MATCH(AW41, DVT_Laboratory!$A$1:BO$1, 0),
    xextTime, INDIRECT(""DVT_Laboratory!"" &amp; ADDRESS(LabLe"&amp;"vel+3, DVTColumn)) / LabSpeed,
    remainingTime, SUM(INDIRECT(""DVT_Laboratory!"" &amp; ADDRESS(LabLevel+3, DVTColumn) &amp; "":"" &amp; ADDRESS(MaxOrTarget+2, DVTColumn))) / LabSpeed,
  AW41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1" s="1249"/>
      <c r="BA41"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B41" s="1249"/>
      <c r="BC41" s="1249"/>
      <c r="BD41" s="1250" t="str">
        <f>IFERROR(__xludf.DUMMYFUNCTION("if(BC41 &lt;&gt; """", 
  LET( 
    TargetLevel, VLOOKUP(BC41,MS_Labs_Array,3,false),
    MaxLevel, VLOOKUP(BC41,MS_Labs_Array,4,false),
    MaxOrTarget, IF(OR(TargetLevel = """",$AD$1 &lt;&gt; ""Target""), MaxLevel, TargetLevel),
    LabLevel, VLOOKUP(BC41,MS_Labs_A"&amp;"rray,2,False),
    Levelprogress, LabLevel / MaxOrTarget,
    DVTColumn, MATCH(BC41,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1" s="1251" t="str">
        <f>IFERROR(__xludf.DUMMYFUNCTION("if(BC41 &lt;&gt; """", 
  LET(
    TargetLevel, VLOOKUP(BC41,MS_Labs_Array,3,false),
    LabSpeed, (1 * REGEXEXTRACT($BH$1, ""[\d.-]+"")) * {IF(BC41 =""Labs Speed"", 1+'Master Sheet'!$BK$5, LAB_SPEED_TOTAL())},
    MaxLevel, VLOOKUP(BC41,MS_Labs_Array,4,false),"&amp;"
    MaxOrTarget, IF(OR(TargetLevel = """",$AD$1 &lt;&gt; ""Target""), MaxLevel, TargetLevel),
    LabLevel, VLOOKUP(BC41,MS_Labs_Array,2,False),
    DVTColumn, MATCH(BC41, DVT_Laboratory!$A$1:BO$1, 0),
    xextTime, INDIRECT(""DVT_Laboratory!"" &amp; ADDRESS(LabLe"&amp;"vel+3, DVTColumn)) / LabSpeed,
    remainingTime, SUM(INDIRECT(""DVT_Laboratory!"" &amp; ADDRESS(LabLevel+3, DVTColumn) &amp; "":"" &amp; ADDRESS(MaxOrTarget+2, DVTColumn))) / LabSpeed,
  BC41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1" s="1249"/>
      <c r="BG41" s="1249"/>
      <c r="BH41" s="1260" t="str">
        <f>IFERROR(__xludf.DUMMYFUNCTION("""COMPUTED_VALUE"""),"Chrono Field Damage Reduction")</f>
        <v>Chrono Field Damage Reduction</v>
      </c>
      <c r="BI41" s="1252" t="str">
        <f>IFERROR(__xludf.DUMMYFUNCTION("""COMPUTED_VALUE"""),"Perk Option Quantity")</f>
        <v>Perk Option Quantity</v>
      </c>
      <c r="BJ41" s="1253" t="str">
        <f>IFERROR(__xludf.DUMMYFUNCTION("if(BI41 &lt;&gt; """", 
  LET( 
    TargetLevel, VLOOKUP(BI41,MS_Labs_Array,3,false),
    MaxLevel, VLOOKUP(BI41,MS_Labs_Array,4,false),
    MaxOrTarget, IF(OR(TargetLevel = """",$AD$1 &lt;&gt; ""Target""), MaxLevel, TargetLevel),
    LabLevel, VLOOKUP(BI41,MS_Labs_A"&amp;"rray,2,False),
    Levelprogress, IF(LabLevel &gt;= MaxOrTarget, 1, LabLevel / MaxOrTarget),
    DVTColumn, MATCH(BI41,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1" s="1254" t="str">
        <f>IFERROR(__xludf.DUMMYFUNCTION("if(BI41 &lt;&gt; """", 
  LET(
    TargetLevel, VLOOKUP(BI41,MS_Labs_Array,3,false),
    LabSpeed, (1 * REGEXEXTRACT($BH$1, ""[\d.-]+"")) * {IF(BI41 =""Labs Speed"", 1+'Master Sheet'!$BK$5, LAB_SPEED_TOTAL())},
    MaxLevel, VLOOKUP(BI41,MS_Labs_Array,4,false),"&amp;"
    MaxOrTarget, IF(OR(TargetLevel = """",$AD$1 &lt;&gt; ""Target""), MaxLevel, TargetLevel),
    LabLevel, VLOOKUP(BI41,MS_Labs_Array,2,False),
    DVTColumn, MATCH(BI41, DVT_Laboratory!$A$1:BO$1, 0),
    xextTime, INDIRECT(""DVT_Laboratory!"" &amp; ADDRESS(LabLe"&amp;"vel+3, DVTColumn)) / LabSpeed,
    remainingTime, SUM(INDIRECT(""DVT_Laboratory!"" &amp; ADDRESS(LabLevel+3, DVTColumn) &amp; "":"" &amp; ADDRESS(MaxOrTarget+2, DVTColumn))) / LabSpeed,
  BI41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"""")"),"Perk Option Quantity
  Lab Level:      2 / 2 (Max)
  Next Level:    
  Max Level:     0d 15h 32m")</f>
        <v>Perk Option Quantity
  Lab Level:      2 / 2 (Max)
  Next Level:    
  Max Level:     0d 15h 32m</v>
      </c>
      <c r="BL41" s="1252" t="str">
        <f>IFERROR(__xludf.DUMMYFUNCTION("""COMPUTED_VALUE"""),"Reduces RNG in perks by a lot")</f>
        <v>Reduces RNG in perks by a lot</v>
      </c>
      <c r="BM41" s="1252" t="str">
        <f>IFERROR(__xludf.DUMMYFUNCTION("""COMPUTED_VALUE"""),"Very long for any benefit past a certan point")</f>
        <v>Very long for any benefit past a certan point</v>
      </c>
      <c r="BN41" s="1222"/>
      <c r="BO41" s="1261"/>
    </row>
    <row r="42" ht="7.5" customHeight="1">
      <c r="A42" s="1222"/>
      <c r="B42" s="1262" t="s">
        <v>563</v>
      </c>
      <c r="C42" s="1291" t="s">
        <v>287</v>
      </c>
      <c r="D42" s="1280" t="str">
        <f>VLOOKUP(C42,'Remote Tier List'!A:D, 2, FALSE)</f>
        <v>A</v>
      </c>
      <c r="E42" s="1281" t="str">
        <f>VLOOKUP(C42,'Remote Tier List'!A:D, 3, FALSE)</f>
        <v/>
      </c>
      <c r="F42" s="1284" t="str">
        <f>VLOOKUP(C42,'Remote Tier List'!A:D, 4, FALSE)</f>
        <v>Best eHP tool in the game because Vamps don't turn it off; do at least 10 levels</v>
      </c>
      <c r="G42" s="1245" t="b">
        <f t="shared" si="14"/>
        <v>1</v>
      </c>
      <c r="H42" s="1246" t="str">
        <f t="array" ref="H42:I42">LET(
  Lab, $C42,
  Mode, $AD$1,
  Level, VLOOKUP(Lab, MS_Labs_Array, 2, FALSE),
  Target, VLOOKUP(Lab, MS_Labs_Array, 3, FALSE),
  Max, VLOOKUP(Lab, MS_Labs_Array, 4, FALSE),
  Result,
    IF(
      AND(
        Mode &lt;&gt; "Never",
        Level &gt;= IF(OR(Target = "", Mode = "Max"), Max, Target)
      ),
      "Completed",
      ""
    ),
  HSTACK(
    IF(Result &lt;&gt; "", Result, $D42),
    IF(Result &lt;&gt; "", Result, IF($E42 = "", $D42, $E42))
  )
)</f>
        <v>A</v>
      </c>
      <c r="I42" s="1247" t="s">
        <v>545</v>
      </c>
      <c r="J42" s="1248" t="str">
        <f t="shared" si="15"/>
        <v>Best eHP tool in the game because Vamps don't turn it off; do at least 10 levels</v>
      </c>
      <c r="K42" s="1229"/>
      <c r="L42" s="1249" t="str">
        <f>IFERROR(__xludf.DUMMYFUNCTION("""COMPUTED_VALUE"""),"")</f>
        <v/>
      </c>
      <c r="M42" s="1249"/>
      <c r="N42" s="1250" t="str">
        <f>IFERROR(__xludf.DUMMYFUNCTION("if(M42 &lt;&gt; """", 
  LET( 
    TargetLevel, VLOOKUP(M42,MS_Labs_Array,3,false),
    MaxLevel, VLOOKUP(M42,MS_Labs_Array,4,false),
    MaxOrTarget, IF(OR(TargetLevel = """",$AD$1 &lt;&gt; ""Target""), MaxLevel, TargetLevel),
    LabLevel, VLOOKUP(M42,MS_Labs_Array"&amp;",2,False),
    Levelprogress, LabLevel / MaxOrTarget,
    DVTColumn, MATCH(M42,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2" s="1251" t="str">
        <f>IFERROR(__xludf.DUMMYFUNCTION("if(M42 &lt;&gt; """", 
  LET(
    TargetLevel, VLOOKUP(M42,MS_Labs_Array,3,false),
    LabSpeed, (1 * REGEXEXTRACT($BH$1, ""[\d.-]+"")) * {IF(M42 =""Labs Speed"", 1+'Master Sheet'!$BK$5, LAB_SPEED_TOTAL())},
    MaxLevel, VLOOKUP(M42,MS_Labs_Array,4,false),
   "&amp;" MaxOrTarget, IF(OR(TargetLevel = """",$AD$1 &lt;&gt; ""Target""), MaxLevel, TargetLevel),
    LabLevel, VLOOKUP(M42,MS_Labs_Array,2,False),
    DVTColumn, MATCH(M42, DVT_Laboratory!$A$1:BO$1, 0),
    xextTime, INDIRECT(""DVT_Laboratory!"" &amp; ADDRESS(LabLevel+3,"&amp;" DVTColumn)) / LabSpeed,
    remainingTime, SUM(INDIRECT(""DVT_Laboratory!"" &amp; ADDRESS(LabLevel+3, DVTColumn) &amp; "":"" &amp; ADDRESS(MaxOrTarget+2, DVTColumn))) / LabSpeed,
  M42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2" s="1249"/>
      <c r="Q42" s="1249" t="str">
        <f>IFERROR(__xludf.DUMMYFUNCTION("""COMPUTED_VALUE"""),"")</f>
        <v/>
      </c>
      <c r="R42" s="1249" t="str">
        <f>IFERROR(__xludf.DUMMYFUNCTION("""COMPUTED_VALUE"""),"")</f>
        <v/>
      </c>
      <c r="S42" s="1249"/>
      <c r="T42" s="1250" t="str">
        <f>IFERROR(__xludf.DUMMYFUNCTION("if(S42 &lt;&gt; """", 
  LET( 
    TargetLevel, VLOOKUP(S42,MS_Labs_Array,3,false),
    MaxLevel, VLOOKUP(S42,MS_Labs_Array,4,false),
    MaxOrTarget, IF(OR(TargetLevel = """",$AD$1 &lt;&gt; ""Target""), MaxLevel, TargetLevel),
    LabLevel, VLOOKUP(S42,MS_Labs_Array"&amp;",2,False),
    Levelprogress, LabLevel / MaxOrTarget,
    DVTColumn, MATCH(S42,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2" s="1251" t="str">
        <f>IFERROR(__xludf.DUMMYFUNCTION("if(S42 &lt;&gt; """", 
  LET(
    TargetLevel, VLOOKUP(S42,MS_Labs_Array,3,false),
    LabSpeed, (1 * REGEXEXTRACT($BH$1, ""[\d.-]+"")) * {IF(S42 =""Labs Speed"", 1+'Master Sheet'!$BK$5, LAB_SPEED_TOTAL())},
    MaxLevel, VLOOKUP(S42,MS_Labs_Array,4,false),
   "&amp;" MaxOrTarget, IF(OR(TargetLevel = """",$AD$1 &lt;&gt; ""Target""), MaxLevel, TargetLevel),
    LabLevel, VLOOKUP(S42,MS_Labs_Array,2,False),
    DVTColumn, MATCH(S42, DVT_Laboratory!$A$1:BO$1, 0),
    xextTime, INDIRECT(""DVT_Laboratory!"" &amp; ADDRESS(LabLevel+3,"&amp;" DVTColumn)) / LabSpeed,
    remainingTime, SUM(INDIRECT(""DVT_Laboratory!"" &amp; ADDRESS(LabLevel+3, DVTColumn) &amp; "":"" &amp; ADDRESS(MaxOrTarget+2, DVTColumn))) / LabSpeed,
  S42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2" s="1249"/>
      <c r="W42" s="1249" t="str">
        <f>IFERROR(__xludf.DUMMYFUNCTION("""COMPUTED_VALUE"""),"")</f>
        <v/>
      </c>
      <c r="X42" s="1249" t="str">
        <f>IFERROR(__xludf.DUMMYFUNCTION("""COMPUTED_VALUE"""),"")</f>
        <v/>
      </c>
      <c r="Y42" s="1249"/>
      <c r="Z42" s="1250" t="str">
        <f>IFERROR(__xludf.DUMMYFUNCTION("if(Y42 &lt;&gt; """", 
  LET( 
    TargetLevel, VLOOKUP(Y42,MS_Labs_Array,3,false),
    MaxLevel, VLOOKUP(Y42,MS_Labs_Array,4,false),
    MaxOrTarget, IF(OR(TargetLevel = """",$AD$1 &lt;&gt; ""Target""), MaxLevel, TargetLevel),
    LabLevel, VLOOKUP(Y42,MS_Labs_Array"&amp;",2,False),
    Levelprogress, LabLevel / MaxOrTarget,
    DVTColumn, MATCH(Y42,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2" s="1251" t="str">
        <f>IFERROR(__xludf.DUMMYFUNCTION("if(Y42 &lt;&gt; """", 
  LET(
    TargetLevel, VLOOKUP(Y42,MS_Labs_Array,3,false),
    LabSpeed, (1 * REGEXEXTRACT($BH$1, ""[\d.-]+"")) * {IF(Y42 =""Labs Speed"", 1+'Master Sheet'!$BK$5, LAB_SPEED_TOTAL())},
    MaxLevel, VLOOKUP(Y42,MS_Labs_Array,4,false),
   "&amp;" MaxOrTarget, IF(OR(TargetLevel = """",$AD$1 &lt;&gt; ""Target""), MaxLevel, TargetLevel),
    LabLevel, VLOOKUP(Y42,MS_Labs_Array,2,False),
    DVTColumn, MATCH(Y42, DVT_Laboratory!$A$1:BO$1, 0),
    xextTime, INDIRECT(""DVT_Laboratory!"" &amp; ADDRESS(LabLevel+3,"&amp;" DVTColumn)) / LabSpeed,
    remainingTime, SUM(INDIRECT(""DVT_Laboratory!"" &amp; ADDRESS(LabLevel+3, DVTColumn) &amp; "":"" &amp; ADDRESS(MaxOrTarget+2, DVTColumn))) / LabSpeed,
  Y42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2" s="1249"/>
      <c r="AC42" s="1249" t="str">
        <f>IFERROR(__xludf.DUMMYFUNCTION("""COMPUTED_VALUE"""),"Spotlight Missiles
  Lab Level:      1 / 18 (Max)
  Next Level:    0d 10h 41m
  Max Level:     15d  1h 22m")</f>
        <v>Spotlight Missiles
  Lab Level:      1 / 18 (Max)
  Next Level:    0d 10h 41m
  Max Level:     15d  1h 22m</v>
      </c>
      <c r="AD42" s="1249" t="str">
        <f>IFERROR(__xludf.DUMMYFUNCTION("""COMPUTED_VALUE"""),"")</f>
        <v/>
      </c>
      <c r="AE42" s="1249"/>
      <c r="AF42" s="1250" t="str">
        <f>IFERROR(__xludf.DUMMYFUNCTION("if(AE42 &lt;&gt; """", 
  LET( 
    TargetLevel, VLOOKUP(AE42,MS_Labs_Array,3,false),
    MaxLevel, VLOOKUP(AE42,MS_Labs_Array,4,false),
    MaxOrTarget, IF(OR(TargetLevel = """",$AD$1 &lt;&gt; ""Target""), MaxLevel, TargetLevel),
    LabLevel, VLOOKUP(AE42,MS_Labs_A"&amp;"rray,2,False),
    Levelprogress, LabLevel / MaxOrTarget,
    DVTColumn, MATCH(AE42,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2" s="1251" t="str">
        <f>IFERROR(__xludf.DUMMYFUNCTION("if(AE42 &lt;&gt; """", 
  LET(
    TargetLevel, VLOOKUP(AE42,MS_Labs_Array,3,false),
    LabSpeed, (1 * REGEXEXTRACT($BH$1, ""[\d.-]+"")) * {IF(AE42 =""Labs Speed"", 1+'Master Sheet'!$BK$5, LAB_SPEED_TOTAL())},
    MaxLevel, VLOOKUP(AE42,MS_Labs_Array,4,false),"&amp;"
    MaxOrTarget, IF(OR(TargetLevel = """",$AD$1 &lt;&gt; ""Target""), MaxLevel, TargetLevel),
    LabLevel, VLOOKUP(AE42,MS_Labs_Array,2,False),
    DVTColumn, MATCH(AE42, DVT_Laboratory!$A$1:BO$1, 0),
    xextTime, INDIRECT(""DVT_Laboratory!"" &amp; ADDRESS(LabLe"&amp;"vel+3, DVTColumn)) / LabSpeed,
    remainingTime, SUM(INDIRECT(""DVT_Laboratory!"" &amp; ADDRESS(LabLevel+3, DVTColumn) &amp; "":"" &amp; ADDRESS(MaxOrTarget+2, DVTColumn))) / LabSpeed,
  AE42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2" s="1249"/>
      <c r="AI42" s="1249" t="str">
        <f>IFERROR(__xludf.DUMMYFUNCTION("""COMPUTED_VALUE"""),"Assist Module Bonus - Core
  Lab Level:      0 / 30 (Max)
  Next Level:    0d 16h 28m
  Max Level:     319d  3h 13m")</f>
        <v>Assist Module Bonus - Core
  Lab Level:      0 / 30 (Max)
  Next Level:    0d 16h 28m
  Max Level:     319d  3h 13m</v>
      </c>
      <c r="AJ42" s="1249" t="str">
        <f>IFERROR(__xludf.DUMMYFUNCTION("""COMPUTED_VALUE"""),"")</f>
        <v/>
      </c>
      <c r="AK42" s="1249"/>
      <c r="AL42" s="1250" t="str">
        <f>IFERROR(__xludf.DUMMYFUNCTION("if(AK42 &lt;&gt; """", 
  LET( 
    TargetLevel, VLOOKUP(AK42,MS_Labs_Array,3,false),
    MaxLevel, VLOOKUP(AK42,MS_Labs_Array,4,false),
    MaxOrTarget, IF(OR(TargetLevel = """",$AD$1 &lt;&gt; ""Target""), MaxLevel, TargetLevel),
    LabLevel, VLOOKUP(AK42,MS_Labs_A"&amp;"rray,2,False),
    Levelprogress, LabLevel / MaxOrTarget,
    DVTColumn, MATCH(AK42,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2" s="1251" t="str">
        <f>IFERROR(__xludf.DUMMYFUNCTION("if(AK42 &lt;&gt; """", 
  LET(
    TargetLevel, VLOOKUP(AK42,MS_Labs_Array,3,false),
    LabSpeed, (1 * REGEXEXTRACT($BH$1, ""[\d.-]+"")) * {IF(AK42 =""Labs Speed"", 1+'Master Sheet'!$BK$5, LAB_SPEED_TOTAL())},
    MaxLevel, VLOOKUP(AK42,MS_Labs_Array,4,false),"&amp;"
    MaxOrTarget, IF(OR(TargetLevel = """",$AD$1 &lt;&gt; ""Target""), MaxLevel, TargetLevel),
    LabLevel, VLOOKUP(AK42,MS_Labs_Array,2,False),
    DVTColumn, MATCH(AK42, DVT_Laboratory!$A$1:BO$1, 0),
    xextTime, INDIRECT(""DVT_Laboratory!"" &amp; ADDRESS(LabLe"&amp;"vel+3, DVTColumn)) / LabSpeed,
    remainingTime, SUM(INDIRECT(""DVT_Laboratory!"" &amp; ADDRESS(LabLevel+3, DVTColumn) &amp; "":"" &amp; ADDRESS(MaxOrTarget+2, DVTColumn))) / LabSpeed,
  AK42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2" s="1249"/>
      <c r="AO42" s="1249" t="str">
        <f>IFERROR(__xludf.DUMMYFUNCTION("""COMPUTED_VALUE"""),"Assist Module Bonus - Armor
  Lab Level:      0 / 30 (Max)
  Next Level:    0d 16h 28m
  Max Level:     319d  3h 13m")</f>
        <v>Assist Module Bonus - Armor
  Lab Level:      0 / 30 (Max)
  Next Level:    0d 16h 28m
  Max Level:     319d  3h 13m</v>
      </c>
      <c r="AP42" s="1249" t="str">
        <f>IFERROR(__xludf.DUMMYFUNCTION("""COMPUTED_VALUE"""),"")</f>
        <v/>
      </c>
      <c r="AQ42" s="1249"/>
      <c r="AR42" s="1250" t="str">
        <f>IFERROR(__xludf.DUMMYFUNCTION("if(AQ42 &lt;&gt; """", 
  LET( 
    TargetLevel, VLOOKUP(AQ42,MS_Labs_Array,3,false),
    MaxLevel, VLOOKUP(AQ42,MS_Labs_Array,4,false),
    MaxOrTarget, IF(OR(TargetLevel = """",$AD$1 &lt;&gt; ""Target""), MaxLevel, TargetLevel),
    LabLevel, VLOOKUP(AQ42,MS_Labs_A"&amp;"rray,2,False),
    Levelprogress, LabLevel / MaxOrTarget,
    DVTColumn, MATCH(AQ42,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2" s="1251" t="str">
        <f>IFERROR(__xludf.DUMMYFUNCTION("if(AQ42 &lt;&gt; """", 
  LET(
    TargetLevel, VLOOKUP(AQ42,MS_Labs_Array,3,false),
    LabSpeed, (1 * REGEXEXTRACT($BH$1, ""[\d.-]+"")) * {IF(AQ42 =""Labs Speed"", 1+'Master Sheet'!$BK$5, LAB_SPEED_TOTAL())},
    MaxLevel, VLOOKUP(AQ42,MS_Labs_Array,4,false),"&amp;"
    MaxOrTarget, IF(OR(TargetLevel = """",$AD$1 &lt;&gt; ""Target""), MaxLevel, TargetLevel),
    LabLevel, VLOOKUP(AQ42,MS_Labs_Array,2,False),
    DVTColumn, MATCH(AQ42, DVT_Laboratory!$A$1:BO$1, 0),
    xextTime, INDIRECT(""DVT_Laboratory!"" &amp; ADDRESS(LabLe"&amp;"vel+3, DVTColumn)) / LabSpeed,
    remainingTime, SUM(INDIRECT(""DVT_Laboratory!"" &amp; ADDRESS(LabLevel+3, DVTColumn) &amp; "":"" &amp; ADDRESS(MaxOrTarget+2, DVTColumn))) / LabSpeed,
  AQ42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2" s="1249"/>
      <c r="AU42" s="1249" t="str">
        <f>IFERROR(__xludf.DUMMYFUNCTION("""COMPUTED_VALUE"""),"Tank Enemy Health
  Lab Level:      0 / 30 (Max)
  Next Level:    0d  3h 31m
  Max Level:     78d 13h  3m")</f>
        <v>Tank Enemy Health
  Lab Level:      0 / 30 (Max)
  Next Level:    0d  3h 31m
  Max Level:     78d 13h  3m</v>
      </c>
      <c r="AV42" s="1249" t="str">
        <f>IFERROR(__xludf.DUMMYFUNCTION("""COMPUTED_VALUE"""),"")</f>
        <v/>
      </c>
      <c r="AW42" s="1249"/>
      <c r="AX42" s="1250" t="str">
        <f>IFERROR(__xludf.DUMMYFUNCTION("if(AW42 &lt;&gt; """", 
  LET( 
    TargetLevel, VLOOKUP(AW42,MS_Labs_Array,3,false),
    MaxLevel, VLOOKUP(AW42,MS_Labs_Array,4,false),
    MaxOrTarget, IF(OR(TargetLevel = """",$AD$1 &lt;&gt; ""Target""), MaxLevel, TargetLevel),
    LabLevel, VLOOKUP(AW42,MS_Labs_A"&amp;"rray,2,False),
    Levelprogress, LabLevel / MaxOrTarget,
    DVTColumn, MATCH(AW42,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2" s="1251" t="str">
        <f>IFERROR(__xludf.DUMMYFUNCTION("if(AW42 &lt;&gt; """", 
  LET(
    TargetLevel, VLOOKUP(AW42,MS_Labs_Array,3,false),
    LabSpeed, (1 * REGEXEXTRACT($BH$1, ""[\d.-]+"")) * {IF(AW42 =""Labs Speed"", 1+'Master Sheet'!$BK$5, LAB_SPEED_TOTAL())},
    MaxLevel, VLOOKUP(AW42,MS_Labs_Array,4,false),"&amp;"
    MaxOrTarget, IF(OR(TargetLevel = """",$AD$1 &lt;&gt; ""Target""), MaxLevel, TargetLevel),
    LabLevel, VLOOKUP(AW42,MS_Labs_Array,2,False),
    DVTColumn, MATCH(AW42, DVT_Laboratory!$A$1:BO$1, 0),
    xextTime, INDIRECT(""DVT_Laboratory!"" &amp; ADDRESS(LabLe"&amp;"vel+3, DVTColumn)) / LabSpeed,
    remainingTime, SUM(INDIRECT(""DVT_Laboratory!"" &amp; ADDRESS(LabLevel+3, DVTColumn) &amp; "":"" &amp; ADDRESS(MaxOrTarget+2, DVTColumn))) / LabSpeed,
  AW42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2" s="1249"/>
      <c r="BA42" s="1249" t="str">
        <f>IFERROR(__xludf.DUMMYFUNCTION("""COMPUTED_VALUE"""),"Common Enemy Attack
  Lab Level:      0 / 30 (Max)
  Next Level:    0d  3h 31m
  Max Level:     78d 13h  3m")</f>
        <v>Common Enemy Attack
  Lab Level:      0 / 30 (Max)
  Next Level:    0d  3h 31m
  Max Level:     78d 13h  3m</v>
      </c>
      <c r="BB42" s="1249" t="str">
        <f>IFERROR(__xludf.DUMMYFUNCTION("""COMPUTED_VALUE"""),"")</f>
        <v/>
      </c>
      <c r="BC42" s="1249"/>
      <c r="BD42" s="1250" t="str">
        <f>IFERROR(__xludf.DUMMYFUNCTION("if(BC42 &lt;&gt; """", 
  LET( 
    TargetLevel, VLOOKUP(BC42,MS_Labs_Array,3,false),
    MaxLevel, VLOOKUP(BC42,MS_Labs_Array,4,false),
    MaxOrTarget, IF(OR(TargetLevel = """",$AD$1 &lt;&gt; ""Target""), MaxLevel, TargetLevel),
    LabLevel, VLOOKUP(BC42,MS_Labs_A"&amp;"rray,2,False),
    Levelprogress, LabLevel / MaxOrTarget,
    DVTColumn, MATCH(BC42,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2" s="1251" t="str">
        <f>IFERROR(__xludf.DUMMYFUNCTION("if(BC42 &lt;&gt; """", 
  LET(
    TargetLevel, VLOOKUP(BC42,MS_Labs_Array,3,false),
    LabSpeed, (1 * REGEXEXTRACT($BH$1, ""[\d.-]+"")) * {IF(BC42 =""Labs Speed"", 1+'Master Sheet'!$BK$5, LAB_SPEED_TOTAL())},
    MaxLevel, VLOOKUP(BC42,MS_Labs_Array,4,false),"&amp;"
    MaxOrTarget, IF(OR(TargetLevel = """",$AD$1 &lt;&gt; ""Target""), MaxLevel, TargetLevel),
    LabLevel, VLOOKUP(BC42,MS_Labs_Array,2,False),
    DVTColumn, MATCH(BC42, DVT_Laboratory!$A$1:BO$1, 0),
    xextTime, INDIRECT(""DVT_Laboratory!"" &amp; ADDRESS(LabLe"&amp;"vel+3, DVTColumn)) / LabSpeed,
    remainingTime, SUM(INDIRECT(""DVT_Laboratory!"" &amp; ADDRESS(LabLevel+3, DVTColumn) &amp; "":"" &amp; ADDRESS(MaxOrTarget+2, DVTColumn))) / LabSpeed,
  BC42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2" s="1249"/>
      <c r="BG42" s="1249" t="str">
        <f>IFERROR(__xludf.DUMMYFUNCTION("""COMPUTED_VALUE"""),"")</f>
        <v/>
      </c>
      <c r="BH42" s="1260" t="str">
        <f>IFERROR(__xludf.DUMMYFUNCTION("""COMPUTED_VALUE"""),"")</f>
        <v/>
      </c>
      <c r="BI42" s="1252" t="str">
        <f>IFERROR(__xludf.DUMMYFUNCTION("""COMPUTED_VALUE"""),"First Perk Choice")</f>
        <v>First Perk Choice</v>
      </c>
      <c r="BJ42" s="1253" t="str">
        <f>IFERROR(__xludf.DUMMYFUNCTION("if(BI42 &lt;&gt; """", 
  LET( 
    TargetLevel, VLOOKUP(BI42,MS_Labs_Array,3,false),
    MaxLevel, VLOOKUP(BI42,MS_Labs_Array,4,false),
    MaxOrTarget, IF(OR(TargetLevel = """",$AD$1 &lt;&gt; ""Target""), MaxLevel, TargetLevel),
    LabLevel, VLOOKUP(BI42,MS_Labs_A"&amp;"rray,2,False),
    Levelprogress, IF(LabLevel &gt;= MaxOrTarget, 1, LabLevel / MaxOrTarget),
    DVTColumn, MATCH(BI42,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2" s="1254" t="str">
        <f>IFERROR(__xludf.DUMMYFUNCTION("if(BI42 &lt;&gt; """", 
  LET(
    TargetLevel, VLOOKUP(BI42,MS_Labs_Array,3,false),
    LabSpeed, (1 * REGEXEXTRACT($BH$1, ""[\d.-]+"")) * {IF(BI42 =""Labs Speed"", 1+'Master Sheet'!$BK$5, LAB_SPEED_TOTAL())},
    MaxLevel, VLOOKUP(BI42,MS_Labs_Array,4,false),"&amp;"
    MaxOrTarget, IF(OR(TargetLevel = """",$AD$1 &lt;&gt; ""Target""), MaxLevel, TargetLevel),
    LabLevel, VLOOKUP(BI42,MS_Labs_Array,2,False),
    DVTColumn, MATCH(BI42, DVT_Laboratory!$A$1:BO$1, 0),
    xextTime, INDIRECT(""DVT_Laboratory!"" &amp; ADDRESS(LabLe"&amp;"vel+3, DVTColumn)) / LabSpeed,
    remainingTime, SUM(INDIRECT(""DVT_Laboratory!"" &amp; ADDRESS(LabLevel+3, DVTColumn) &amp; "":"" &amp; ADDRESS(MaxOrTarget+2, DVTColumn))) / LabSpeed,
  BI42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"""")"),"First Perk Choice
  Lab Level:      1 / 1 (Max)
  Next Level:    
  Max Level:     0d  7h  3m")</f>
        <v>First Perk Choice
  Lab Level:      1 / 1 (Max)
  Next Level:    
  Max Level:     0d  7h  3m</v>
      </c>
      <c r="BL42" s="1252" t="str">
        <f>IFERROR(__xludf.DUMMYFUNCTION("""COMPUTED_VALUE"""),"Guarantees you can get PWR first in farm runs")</f>
        <v>Guarantees you can get PWR first in farm runs</v>
      </c>
      <c r="BM42" s="1252" t="str">
        <f>IFERROR(__xludf.DUMMYFUNCTION("""COMPUTED_VALUE"""),"Chrono Field Damage Reduction
  Lab Level:      1 / 1 (Max)
  Next Level:    
  Max Level:     0d  1h  3m")</f>
        <v>Chrono Field Damage Reduction
  Lab Level:      1 / 1 (Max)
  Next Level:    
  Max Level:     0d  1h  3m</v>
      </c>
      <c r="BN42" s="1222"/>
      <c r="BO42" s="1261"/>
    </row>
    <row r="43">
      <c r="A43" s="1222"/>
      <c r="B43" s="1257"/>
      <c r="C43" s="1291" t="s">
        <v>295</v>
      </c>
      <c r="D43" s="1280" t="str">
        <f>VLOOKUP(C43,'Remote Tier List'!A:D, 2, FALSE)</f>
        <v>S</v>
      </c>
      <c r="E43" s="1281" t="str">
        <f>VLOOKUP(C43,'Remote Tier List'!A:D, 3, FALSE)</f>
        <v>C</v>
      </c>
      <c r="F43" s="1284" t="str">
        <f>VLOOKUP(C43,'Remote Tier List'!A:D, 4, FALSE)</f>
        <v>Helps kill enemies with wall quicker, useful percentage damage; get to at least 11 </v>
      </c>
      <c r="G43" s="1245" t="b">
        <f t="shared" si="14"/>
        <v>1</v>
      </c>
      <c r="H43" s="1246" t="str">
        <f t="array" ref="H43:I43">LET(
  Lab, $C43,
  Mode, $AD$1,
  Level, VLOOKUP(Lab, MS_Labs_Array, 2, FALSE),
  Target, VLOOKUP(Lab, MS_Labs_Array, 3, FALSE),
  Max, VLOOKUP(Lab, MS_Labs_Array, 4, FALSE),
  Result,
    IF(
      AND(
        Mode &lt;&gt; "Never",
        Level &gt;= IF(OR(Target = "", Mode = "Max"), Max, Target)
      ),
      "Completed",
      ""
    ),
  HSTACK(
    IF(Result &lt;&gt; "", Result, $D43),
    IF(Result &lt;&gt; "", Result, IF($E43 = "", $D43, $E43))
  )
)</f>
        <v>S</v>
      </c>
      <c r="I43" s="1247" t="s">
        <v>547</v>
      </c>
      <c r="J43" s="1248" t="str">
        <f t="shared" si="15"/>
        <v>Helps kill enemies with wall quicker, useful percentage damage; get to at least 11 </v>
      </c>
      <c r="K43" s="1229"/>
      <c r="L43" s="1249"/>
      <c r="M43" s="1249"/>
      <c r="N43" s="1250" t="str">
        <f>IFERROR(__xludf.DUMMYFUNCTION("if(M43 &lt;&gt; """", 
  LET( 
    TargetLevel, VLOOKUP(M43,MS_Labs_Array,3,false),
    MaxLevel, VLOOKUP(M43,MS_Labs_Array,4,false),
    MaxOrTarget, IF(OR(TargetLevel = """",$AD$1 &lt;&gt; ""Target""), MaxLevel, TargetLevel),
    LabLevel, VLOOKUP(M43,MS_Labs_Array"&amp;",2,False),
    Levelprogress, LabLevel / MaxOrTarget,
    DVTColumn, MATCH(M43,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3" s="1251" t="str">
        <f>IFERROR(__xludf.DUMMYFUNCTION("if(M43 &lt;&gt; """", 
  LET(
    TargetLevel, VLOOKUP(M43,MS_Labs_Array,3,false),
    LabSpeed, (1 * REGEXEXTRACT($BH$1, ""[\d.-]+"")) * {IF(M43 =""Labs Speed"", 1+'Master Sheet'!$BK$5, LAB_SPEED_TOTAL())},
    MaxLevel, VLOOKUP(M43,MS_Labs_Array,4,false),
   "&amp;" MaxOrTarget, IF(OR(TargetLevel = """",$AD$1 &lt;&gt; ""Target""), MaxLevel, TargetLevel),
    LabLevel, VLOOKUP(M43,MS_Labs_Array,2,False),
    DVTColumn, MATCH(M43, DVT_Laboratory!$A$1:BO$1, 0),
    xextTime, INDIRECT(""DVT_Laboratory!"" &amp; ADDRESS(LabLevel+3,"&amp;" DVTColumn)) / LabSpeed,
    remainingTime, SUM(INDIRECT(""DVT_Laboratory!"" &amp; ADDRESS(LabLevel+3, DVTColumn) &amp; "":"" &amp; ADDRESS(MaxOrTarget+2, DVTColumn))) / LabSpeed,
  M43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3" s="1249"/>
      <c r="Q43" s="1249"/>
      <c r="R43" s="1249"/>
      <c r="S43" s="1249"/>
      <c r="T43" s="1250" t="str">
        <f>IFERROR(__xludf.DUMMYFUNCTION("if(S43 &lt;&gt; """", 
  LET( 
    TargetLevel, VLOOKUP(S43,MS_Labs_Array,3,false),
    MaxLevel, VLOOKUP(S43,MS_Labs_Array,4,false),
    MaxOrTarget, IF(OR(TargetLevel = """",$AD$1 &lt;&gt; ""Target""), MaxLevel, TargetLevel),
    LabLevel, VLOOKUP(S43,MS_Labs_Array"&amp;",2,False),
    Levelprogress, LabLevel / MaxOrTarget,
    DVTColumn, MATCH(S43,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3" s="1251" t="str">
        <f>IFERROR(__xludf.DUMMYFUNCTION("if(S43 &lt;&gt; """", 
  LET(
    TargetLevel, VLOOKUP(S43,MS_Labs_Array,3,false),
    LabSpeed, (1 * REGEXEXTRACT($BH$1, ""[\d.-]+"")) * {IF(S43 =""Labs Speed"", 1+'Master Sheet'!$BK$5, LAB_SPEED_TOTAL())},
    MaxLevel, VLOOKUP(S43,MS_Labs_Array,4,false),
   "&amp;" MaxOrTarget, IF(OR(TargetLevel = """",$AD$1 &lt;&gt; ""Target""), MaxLevel, TargetLevel),
    LabLevel, VLOOKUP(S43,MS_Labs_Array,2,False),
    DVTColumn, MATCH(S43, DVT_Laboratory!$A$1:BO$1, 0),
    xextTime, INDIRECT(""DVT_Laboratory!"" &amp; ADDRESS(LabLevel+3,"&amp;" DVTColumn)) / LabSpeed,
    remainingTime, SUM(INDIRECT(""DVT_Laboratory!"" &amp; ADDRESS(LabLevel+3, DVTColumn) &amp; "":"" &amp; ADDRESS(MaxOrTarget+2, DVTColumn))) / LabSpeed,
  S43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3" s="1249"/>
      <c r="W43" s="1249"/>
      <c r="X43" s="1249" t="str">
        <f>IFERROR(__xludf.DUMMYFUNCTION("""COMPUTED_VALUE"""),"Super Tower Bonus")</f>
        <v>Super Tower Bonus</v>
      </c>
      <c r="Y43" s="1249"/>
      <c r="Z43" s="1250" t="str">
        <f>IFERROR(__xludf.DUMMYFUNCTION("if(Y43 &lt;&gt; """", 
  LET( 
    TargetLevel, VLOOKUP(Y43,MS_Labs_Array,3,false),
    MaxLevel, VLOOKUP(Y43,MS_Labs_Array,4,false),
    MaxOrTarget, IF(OR(TargetLevel = """",$AD$1 &lt;&gt; ""Target""), MaxLevel, TargetLevel),
    LabLevel, VLOOKUP(Y43,MS_Labs_Array"&amp;",2,False),
    Levelprogress, LabLevel / MaxOrTarget,
    DVTColumn, MATCH(Y43,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3" s="1251" t="str">
        <f>IFERROR(__xludf.DUMMYFUNCTION("if(Y43 &lt;&gt; """", 
  LET(
    TargetLevel, VLOOKUP(Y43,MS_Labs_Array,3,false),
    LabSpeed, (1 * REGEXEXTRACT($BH$1, ""[\d.-]+"")) * {IF(Y43 =""Labs Speed"", 1+'Master Sheet'!$BK$5, LAB_SPEED_TOTAL())},
    MaxLevel, VLOOKUP(Y43,MS_Labs_Array,4,false),
   "&amp;" MaxOrTarget, IF(OR(TargetLevel = """",$AD$1 &lt;&gt; ""Target""), MaxLevel, TargetLevel),
    LabLevel, VLOOKUP(Y43,MS_Labs_Array,2,False),
    DVTColumn, MATCH(Y43, DVT_Laboratory!$A$1:BO$1, 0),
    xextTime, INDIRECT(""DVT_Laboratory!"" &amp; ADDRESS(LabLevel+3,"&amp;" DVTColumn)) / LabSpeed,
    remainingTime, SUM(INDIRECT(""DVT_Laboratory!"" &amp; ADDRESS(LabLevel+3, DVTColumn) &amp; "":"" &amp; ADDRESS(MaxOrTarget+2, DVTColumn))) / LabSpeed,
  Y43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3" s="1249"/>
      <c r="AC43" s="1249" t="str">
        <f>IFERROR(__xludf.DUMMYFUNCTION("""COMPUTED_VALUE"""),"Super Tower is a bullet only damage multiplier until you unlock its mastery. Great damage multipler after doing so")</f>
        <v>Super Tower is a bullet only damage multiplier until you unlock its mastery. Great damage multipler after doing so</v>
      </c>
      <c r="AD43" s="1249"/>
      <c r="AE43" s="1249"/>
      <c r="AF43" s="1250" t="str">
        <f>IFERROR(__xludf.DUMMYFUNCTION("if(AE43 &lt;&gt; """", 
  LET( 
    TargetLevel, VLOOKUP(AE43,MS_Labs_Array,3,false),
    MaxLevel, VLOOKUP(AE43,MS_Labs_Array,4,false),
    MaxOrTarget, IF(OR(TargetLevel = """",$AD$1 &lt;&gt; ""Target""), MaxLevel, TargetLevel),
    LabLevel, VLOOKUP(AE43,MS_Labs_A"&amp;"rray,2,False),
    Levelprogress, LabLevel / MaxOrTarget,
    DVTColumn, MATCH(AE43,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3" s="1251" t="str">
        <f>IFERROR(__xludf.DUMMYFUNCTION("if(AE43 &lt;&gt; """", 
  LET(
    TargetLevel, VLOOKUP(AE43,MS_Labs_Array,3,false),
    LabSpeed, (1 * REGEXEXTRACT($BH$1, ""[\d.-]+"")) * {IF(AE43 =""Labs Speed"", 1+'Master Sheet'!$BK$5, LAB_SPEED_TOTAL())},
    MaxLevel, VLOOKUP(AE43,MS_Labs_Array,4,false),"&amp;"
    MaxOrTarget, IF(OR(TargetLevel = """",$AD$1 &lt;&gt; ""Target""), MaxLevel, TargetLevel),
    LabLevel, VLOOKUP(AE43,MS_Labs_Array,2,False),
    DVTColumn, MATCH(AE43, DVT_Laboratory!$A$1:BO$1, 0),
    xextTime, INDIRECT(""DVT_Laboratory!"" &amp; ADDRESS(LabLe"&amp;"vel+3, DVTColumn)) / LabSpeed,
    remainingTime, SUM(INDIRECT(""DVT_Laboratory!"" &amp; ADDRESS(LabLevel+3, DVTColumn) &amp; "":"" &amp; ADDRESS(MaxOrTarget+2, DVTColumn))) / LabSpeed,
  AE43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3" s="1249"/>
      <c r="AI43" s="1249"/>
      <c r="AJ43" s="1249" t="str">
        <f>IFERROR(__xludf.DUMMYFUNCTION("""COMPUTED_VALUE"""),"Knockback Resistance")</f>
        <v>Knockback Resistance</v>
      </c>
      <c r="AK43" s="1249"/>
      <c r="AL43" s="1250" t="str">
        <f>IFERROR(__xludf.DUMMYFUNCTION("if(AK43 &lt;&gt; """", 
  LET( 
    TargetLevel, VLOOKUP(AK43,MS_Labs_Array,3,false),
    MaxLevel, VLOOKUP(AK43,MS_Labs_Array,4,false),
    MaxOrTarget, IF(OR(TargetLevel = """",$AD$1 &lt;&gt; ""Target""), MaxLevel, TargetLevel),
    LabLevel, VLOOKUP(AK43,MS_Labs_A"&amp;"rray,2,False),
    Levelprogress, LabLevel / MaxOrTarget,
    DVTColumn, MATCH(AK43,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3" s="1251" t="str">
        <f>IFERROR(__xludf.DUMMYFUNCTION("if(AK43 &lt;&gt; """", 
  LET(
    TargetLevel, VLOOKUP(AK43,MS_Labs_Array,3,false),
    LabSpeed, (1 * REGEXEXTRACT($BH$1, ""[\d.-]+"")) * {IF(AK43 =""Labs Speed"", 1+'Master Sheet'!$BK$5, LAB_SPEED_TOTAL())},
    MaxLevel, VLOOKUP(AK43,MS_Labs_Array,4,false),"&amp;"
    MaxOrTarget, IF(OR(TargetLevel = """",$AD$1 &lt;&gt; ""Target""), MaxLevel, TargetLevel),
    LabLevel, VLOOKUP(AK43,MS_Labs_Array,2,False),
    DVTColumn, MATCH(AK43, DVT_Laboratory!$A$1:BO$1, 0),
    xextTime, INDIRECT(""DVT_Laboratory!"" &amp; ADDRESS(LabLe"&amp;"vel+3, DVTColumn)) / LabSpeed,
    remainingTime, SUM(INDIRECT(""DVT_Laboratory!"" &amp; ADDRESS(LabLevel+3, DVTColumn) &amp; "":"" &amp; ADDRESS(MaxOrTarget+2, DVTColumn))) / LabSpeed,
  AK43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3" s="1249"/>
      <c r="AO43" s="1249" t="str">
        <f>IFERROR(__xludf.DUMMYFUNCTION("""COMPUTED_VALUE"""),"Resistances get far weaker than most battle conditions with how they substract the effect")</f>
        <v>Resistances get far weaker than most battle conditions with how they substract the effect</v>
      </c>
      <c r="AP43" s="1249" t="str">
        <f>IFERROR(__xludf.DUMMYFUNCTION("""COMPUTED_VALUE"""),"Ranged Enemy Health")</f>
        <v>Ranged Enemy Health</v>
      </c>
      <c r="AQ43" s="1249"/>
      <c r="AR43" s="1250" t="str">
        <f>IFERROR(__xludf.DUMMYFUNCTION("if(AQ43 &lt;&gt; """", 
  LET( 
    TargetLevel, VLOOKUP(AQ43,MS_Labs_Array,3,false),
    MaxLevel, VLOOKUP(AQ43,MS_Labs_Array,4,false),
    MaxOrTarget, IF(OR(TargetLevel = """",$AD$1 &lt;&gt; ""Target""), MaxLevel, TargetLevel),
    LabLevel, VLOOKUP(AQ43,MS_Labs_A"&amp;"rray,2,False),
    Levelprogress, LabLevel / MaxOrTarget,
    DVTColumn, MATCH(AQ43,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3" s="1251" t="str">
        <f>IFERROR(__xludf.DUMMYFUNCTION("if(AQ43 &lt;&gt; """", 
  LET(
    TargetLevel, VLOOKUP(AQ43,MS_Labs_Array,3,false),
    LabSpeed, (1 * REGEXEXTRACT($BH$1, ""[\d.-]+"")) * {IF(AQ43 =""Labs Speed"", 1+'Master Sheet'!$BK$5, LAB_SPEED_TOTAL())},
    MaxLevel, VLOOKUP(AQ43,MS_Labs_Array,4,false),"&amp;"
    MaxOrTarget, IF(OR(TargetLevel = """",$AD$1 &lt;&gt; ""Target""), MaxLevel, TargetLevel),
    LabLevel, VLOOKUP(AQ43,MS_Labs_Array,2,False),
    DVTColumn, MATCH(AQ43, DVT_Laboratory!$A$1:BO$1, 0),
    xextTime, INDIRECT(""DVT_Laboratory!"" &amp; ADDRESS(LabLe"&amp;"vel+3, DVTColumn)) / LabSpeed,
    remainingTime, SUM(INDIRECT(""DVT_Laboratory!"" &amp; ADDRESS(LabLevel+3, DVTColumn) &amp; "":"" &amp; ADDRESS(MaxOrTarget+2, DVTColumn))) / LabSpeed,
  AQ43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3" s="1249"/>
      <c r="AU43"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V43" s="1249" t="str">
        <f>IFERROR(__xludf.DUMMYFUNCTION("""COMPUTED_VALUE"""),"Fast Enemy Attack")</f>
        <v>Fast Enemy Attack</v>
      </c>
      <c r="AW43" s="1249"/>
      <c r="AX43" s="1250" t="str">
        <f>IFERROR(__xludf.DUMMYFUNCTION("if(AW43 &lt;&gt; """", 
  LET( 
    TargetLevel, VLOOKUP(AW43,MS_Labs_Array,3,false),
    MaxLevel, VLOOKUP(AW43,MS_Labs_Array,4,false),
    MaxOrTarget, IF(OR(TargetLevel = """",$AD$1 &lt;&gt; ""Target""), MaxLevel, TargetLevel),
    LabLevel, VLOOKUP(AW43,MS_Labs_A"&amp;"rray,2,False),
    Levelprogress, LabLevel / MaxOrTarget,
    DVTColumn, MATCH(AW43,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3" s="1251" t="str">
        <f>IFERROR(__xludf.DUMMYFUNCTION("if(AW43 &lt;&gt; """", 
  LET(
    TargetLevel, VLOOKUP(AW43,MS_Labs_Array,3,false),
    LabSpeed, (1 * REGEXEXTRACT($BH$1, ""[\d.-]+"")) * {IF(AW43 =""Labs Speed"", 1+'Master Sheet'!$BK$5, LAB_SPEED_TOTAL())},
    MaxLevel, VLOOKUP(AW43,MS_Labs_Array,4,false),"&amp;"
    MaxOrTarget, IF(OR(TargetLevel = """",$AD$1 &lt;&gt; ""Target""), MaxLevel, TargetLevel),
    LabLevel, VLOOKUP(AW43,MS_Labs_Array,2,False),
    DVTColumn, MATCH(AW43, DVT_Laboratory!$A$1:BO$1, 0),
    xextTime, INDIRECT(""DVT_Laboratory!"" &amp; ADDRESS(LabLe"&amp;"vel+3, DVTColumn)) / LabSpeed,
    remainingTime, SUM(INDIRECT(""DVT_Laboratory!"" &amp; ADDRESS(LabLevel+3, DVTColumn) &amp; "":"" &amp; ADDRESS(MaxOrTarget+2, DVTColumn))) / LabSpeed,
  AW43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3" s="1249"/>
      <c r="BA43"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B43" s="1249"/>
      <c r="BC43" s="1249"/>
      <c r="BD43" s="1250" t="str">
        <f>IFERROR(__xludf.DUMMYFUNCTION("if(BC43 &lt;&gt; """", 
  LET( 
    TargetLevel, VLOOKUP(BC43,MS_Labs_Array,3,false),
    MaxLevel, VLOOKUP(BC43,MS_Labs_Array,4,false),
    MaxOrTarget, IF(OR(TargetLevel = """",$AD$1 &lt;&gt; ""Target""), MaxLevel, TargetLevel),
    LabLevel, VLOOKUP(BC43,MS_Labs_A"&amp;"rray,2,False),
    Levelprogress, LabLevel / MaxOrTarget,
    DVTColumn, MATCH(BC43,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3" s="1251" t="str">
        <f>IFERROR(__xludf.DUMMYFUNCTION("if(BC43 &lt;&gt; """", 
  LET(
    TargetLevel, VLOOKUP(BC43,MS_Labs_Array,3,false),
    LabSpeed, (1 * REGEXEXTRACT($BH$1, ""[\d.-]+"")) * {IF(BC43 =""Labs Speed"", 1+'Master Sheet'!$BK$5, LAB_SPEED_TOTAL())},
    MaxLevel, VLOOKUP(BC43,MS_Labs_Array,4,false),"&amp;"
    MaxOrTarget, IF(OR(TargetLevel = """",$AD$1 &lt;&gt; ""Target""), MaxLevel, TargetLevel),
    LabLevel, VLOOKUP(BC43,MS_Labs_Array,2,False),
    DVTColumn, MATCH(BC43, DVT_Laboratory!$A$1:BO$1, 0),
    xextTime, INDIRECT(""DVT_Laboratory!"" &amp; ADDRESS(LabLe"&amp;"vel+3, DVTColumn)) / LabSpeed,
    remainingTime, SUM(INDIRECT(""DVT_Laboratory!"" &amp; ADDRESS(LabLevel+3, DVTColumn) &amp; "":"" &amp; ADDRESS(MaxOrTarget+2, DVTColumn))) / LabSpeed,
  BC43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3" s="1249"/>
      <c r="BG43" s="1249"/>
      <c r="BH43" s="1260" t="str">
        <f>IFERROR(__xludf.DUMMYFUNCTION("""COMPUTED_VALUE"""),"Chain Lightning Shock")</f>
        <v>Chain Lightning Shock</v>
      </c>
      <c r="BI43" s="1252" t="str">
        <f>IFERROR(__xludf.DUMMYFUNCTION("""COMPUTED_VALUE"""),"Improve Trade-off Perks")</f>
        <v>Improve Trade-off Perks</v>
      </c>
      <c r="BJ43" s="1253" t="str">
        <f>IFERROR(__xludf.DUMMYFUNCTION("if(BI43 &lt;&gt; """", 
  LET( 
    TargetLevel, VLOOKUP(BI43,MS_Labs_Array,3,false),
    MaxLevel, VLOOKUP(BI43,MS_Labs_Array,4,false),
    MaxOrTarget, IF(OR(TargetLevel = """",$AD$1 &lt;&gt; ""Target""), MaxLevel, TargetLevel),
    LabLevel, VLOOKUP(BI43,MS_Labs_A"&amp;"rray,2,False),
    Levelprogress, IF(LabLevel &gt;= MaxOrTarget, 1, LabLevel / MaxOrTarget),
    DVTColumn, MATCH(BI43,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3" s="1254" t="str">
        <f>IFERROR(__xludf.DUMMYFUNCTION("if(BI43 &lt;&gt; """", 
  LET(
    TargetLevel, VLOOKUP(BI43,MS_Labs_Array,3,false),
    LabSpeed, (1 * REGEXEXTRACT($BH$1, ""[\d.-]+"")) * {IF(BI43 =""Labs Speed"", 1+'Master Sheet'!$BK$5, LAB_SPEED_TOTAL())},
    MaxLevel, VLOOKUP(BI43,MS_Labs_Array,4,false),"&amp;"
    MaxOrTarget, IF(OR(TargetLevel = """",$AD$1 &lt;&gt; ""Target""), MaxLevel, TargetLevel),
    LabLevel, VLOOKUP(BI43,MS_Labs_Array,2,False),
    DVTColumn, MATCH(BI43, DVT_Laboratory!$A$1:BO$1, 0),
    xextTime, INDIRECT(""DVT_Laboratory!"" &amp; ADDRESS(LabLe"&amp;"vel+3, DVTColumn)) / LabSpeed,
    remainingTime, SUM(INDIRECT(""DVT_Laboratory!"" &amp; ADDRESS(LabLevel+3, DVTColumn) &amp; "":"" &amp; ADDRESS(MaxOrTarget+2, DVTColumn))) / LabSpeed,
  BI43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"""")"),"Improve Trade-off Perks
  Lab Level:      10 / 10 (Max)
  Next Level:    
  Max Level:     0d 12h 53m")</f>
        <v>Improve Trade-off Perks
  Lab Level:      10 / 10 (Max)
  Next Level:    
  Max Level:     0d 12h 53m</v>
      </c>
      <c r="BL43" s="1252" t="str">
        <f>IFERROR(__xludf.DUMMYFUNCTION("""COMPUTED_VALUE"""),"Makes TO perks better")</f>
        <v>Makes TO perks better</v>
      </c>
      <c r="BM43" s="1252" t="str">
        <f>IFERROR(__xludf.DUMMYFUNCTION("""COMPUTED_VALUE"""),"Adds a global damage multiplier to CL")</f>
        <v>Adds a global damage multiplier to CL</v>
      </c>
      <c r="BN43" s="1222"/>
      <c r="BO43" s="1261"/>
    </row>
    <row r="44" ht="7.5" customHeight="1">
      <c r="A44" s="1222"/>
      <c r="B44" s="1268" t="s">
        <v>555</v>
      </c>
      <c r="C44" s="1291" t="s">
        <v>302</v>
      </c>
      <c r="D44" s="1280" t="str">
        <f>VLOOKUP(C44,'Remote Tier List'!A:D, 2, FALSE)</f>
        <v>D</v>
      </c>
      <c r="E44" s="1281" t="str">
        <f>VLOOKUP(C44,'Remote Tier List'!A:D, 3, FALSE)</f>
        <v>A</v>
      </c>
      <c r="F44" s="1284" t="str">
        <f>VLOOKUP(C44,'Remote Tier List'!A:D, 4, FALSE)</f>
        <v>Same as Wall Rebuild</v>
      </c>
      <c r="G44" s="1245" t="b">
        <f t="shared" si="14"/>
        <v>1</v>
      </c>
      <c r="H44" s="1265" t="str">
        <f t="array" ref="H44:I44">LET(
  Lab, $C44,
  Mode, $AD$1,
  Level, VLOOKUP(Lab, MS_Labs_Array, 2, FALSE),
  Target, VLOOKUP(Lab, MS_Labs_Array, 3, FALSE),
  Max, VLOOKUP(Lab, MS_Labs_Array, 4, FALSE),
  Result,
    IF(
      AND(
        Mode &lt;&gt; "Never",
        Level &gt;= IF(OR(Target = "", Mode = "Max"), Max, Target)
      ),
      "Completed",
      ""
    ),
  HSTACK(
    IF(Result &lt;&gt; "", Result, $D44),
    IF(Result &lt;&gt; "", Result, IF($E44 = "", $D44, $E44))
  )
)</f>
        <v>D</v>
      </c>
      <c r="I44" s="1265" t="s">
        <v>545</v>
      </c>
      <c r="J44" s="1248" t="str">
        <f t="shared" si="15"/>
        <v>Same as Wall Rebuild</v>
      </c>
      <c r="K44" s="1229"/>
      <c r="L44" s="1249" t="str">
        <f>IFERROR(__xludf.DUMMYFUNCTION("""COMPUTED_VALUE"""),"")</f>
        <v/>
      </c>
      <c r="M44" s="1249"/>
      <c r="N44" s="1250" t="str">
        <f>IFERROR(__xludf.DUMMYFUNCTION("if(M44 &lt;&gt; """", 
  LET( 
    TargetLevel, VLOOKUP(M44,MS_Labs_Array,3,false),
    MaxLevel, VLOOKUP(M44,MS_Labs_Array,4,false),
    MaxOrTarget, IF(OR(TargetLevel = """",$AD$1 &lt;&gt; ""Target""), MaxLevel, TargetLevel),
    LabLevel, VLOOKUP(M44,MS_Labs_Array"&amp;",2,False),
    Levelprogress, LabLevel / MaxOrTarget,
    DVTColumn, MATCH(M44,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4" s="1251" t="str">
        <f>IFERROR(__xludf.DUMMYFUNCTION("if(M44 &lt;&gt; """", 
  LET(
    TargetLevel, VLOOKUP(M44,MS_Labs_Array,3,false),
    LabSpeed, (1 * REGEXEXTRACT($BH$1, ""[\d.-]+"")) * {IF(M44 =""Labs Speed"", 1+'Master Sheet'!$BK$5, LAB_SPEED_TOTAL())},
    MaxLevel, VLOOKUP(M44,MS_Labs_Array,4,false),
   "&amp;" MaxOrTarget, IF(OR(TargetLevel = """",$AD$1 &lt;&gt; ""Target""), MaxLevel, TargetLevel),
    LabLevel, VLOOKUP(M44,MS_Labs_Array,2,False),
    DVTColumn, MATCH(M44, DVT_Laboratory!$A$1:BO$1, 0),
    xextTime, INDIRECT(""DVT_Laboratory!"" &amp; ADDRESS(LabLevel+3,"&amp;" DVTColumn)) / LabSpeed,
    remainingTime, SUM(INDIRECT(""DVT_Laboratory!"" &amp; ADDRESS(LabLevel+3, DVTColumn) &amp; "":"" &amp; ADDRESS(MaxOrTarget+2, DVTColumn))) / LabSpeed,
  M44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4" s="1249"/>
      <c r="Q44" s="1249" t="str">
        <f>IFERROR(__xludf.DUMMYFUNCTION("""COMPUTED_VALUE"""),"")</f>
        <v/>
      </c>
      <c r="R44" s="1249" t="str">
        <f>IFERROR(__xludf.DUMMYFUNCTION("""COMPUTED_VALUE"""),"")</f>
        <v/>
      </c>
      <c r="S44" s="1249"/>
      <c r="T44" s="1250" t="str">
        <f>IFERROR(__xludf.DUMMYFUNCTION("if(S44 &lt;&gt; """", 
  LET( 
    TargetLevel, VLOOKUP(S44,MS_Labs_Array,3,false),
    MaxLevel, VLOOKUP(S44,MS_Labs_Array,4,false),
    MaxOrTarget, IF(OR(TargetLevel = """",$AD$1 &lt;&gt; ""Target""), MaxLevel, TargetLevel),
    LabLevel, VLOOKUP(S44,MS_Labs_Array"&amp;",2,False),
    Levelprogress, LabLevel / MaxOrTarget,
    DVTColumn, MATCH(S44,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4" s="1251" t="str">
        <f>IFERROR(__xludf.DUMMYFUNCTION("if(S44 &lt;&gt; """", 
  LET(
    TargetLevel, VLOOKUP(S44,MS_Labs_Array,3,false),
    LabSpeed, (1 * REGEXEXTRACT($BH$1, ""[\d.-]+"")) * {IF(S44 =""Labs Speed"", 1+'Master Sheet'!$BK$5, LAB_SPEED_TOTAL())},
    MaxLevel, VLOOKUP(S44,MS_Labs_Array,4,false),
   "&amp;" MaxOrTarget, IF(OR(TargetLevel = """",$AD$1 &lt;&gt; ""Target""), MaxLevel, TargetLevel),
    LabLevel, VLOOKUP(S44,MS_Labs_Array,2,False),
    DVTColumn, MATCH(S44, DVT_Laboratory!$A$1:BO$1, 0),
    xextTime, INDIRECT(""DVT_Laboratory!"" &amp; ADDRESS(LabLevel+3,"&amp;" DVTColumn)) / LabSpeed,
    remainingTime, SUM(INDIRECT(""DVT_Laboratory!"" &amp; ADDRESS(LabLevel+3, DVTColumn) &amp; "":"" &amp; ADDRESS(MaxOrTarget+2, DVTColumn))) / LabSpeed,
  S44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4" s="1249"/>
      <c r="W44" s="1249" t="str">
        <f>IFERROR(__xludf.DUMMYFUNCTION("""COMPUTED_VALUE"""),"")</f>
        <v/>
      </c>
      <c r="X44" s="1249" t="str">
        <f>IFERROR(__xludf.DUMMYFUNCTION("""COMPUTED_VALUE"""),"")</f>
        <v/>
      </c>
      <c r="Y44" s="1249"/>
      <c r="Z44" s="1250" t="str">
        <f>IFERROR(__xludf.DUMMYFUNCTION("if(Y44 &lt;&gt; """", 
  LET( 
    TargetLevel, VLOOKUP(Y44,MS_Labs_Array,3,false),
    MaxLevel, VLOOKUP(Y44,MS_Labs_Array,4,false),
    MaxOrTarget, IF(OR(TargetLevel = """",$AD$1 &lt;&gt; ""Target""), MaxLevel, TargetLevel),
    LabLevel, VLOOKUP(Y44,MS_Labs_Array"&amp;",2,False),
    Levelprogress, LabLevel / MaxOrTarget,
    DVTColumn, MATCH(Y44,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4" s="1251" t="str">
        <f>IFERROR(__xludf.DUMMYFUNCTION("if(Y44 &lt;&gt; """", 
  LET(
    TargetLevel, VLOOKUP(Y44,MS_Labs_Array,3,false),
    LabSpeed, (1 * REGEXEXTRACT($BH$1, ""[\d.-]+"")) * {IF(Y44 =""Labs Speed"", 1+'Master Sheet'!$BK$5, LAB_SPEED_TOTAL())},
    MaxLevel, VLOOKUP(Y44,MS_Labs_Array,4,false),
   "&amp;" MaxOrTarget, IF(OR(TargetLevel = """",$AD$1 &lt;&gt; ""Target""), MaxLevel, TargetLevel),
    LabLevel, VLOOKUP(Y44,MS_Labs_Array,2,False),
    DVTColumn, MATCH(Y44, DVT_Laboratory!$A$1:BO$1, 0),
    xextTime, INDIRECT(""DVT_Laboratory!"" &amp; ADDRESS(LabLevel+3,"&amp;" DVTColumn)) / LabSpeed,
    remainingTime, SUM(INDIRECT(""DVT_Laboratory!"" &amp; ADDRESS(LabLevel+3, DVTColumn) &amp; "":"" &amp; ADDRESS(MaxOrTarget+2, DVTColumn))) / LabSpeed,
  Y44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4" s="1249"/>
      <c r="AC44" s="1249" t="str">
        <f>IFERROR(__xludf.DUMMYFUNCTION("""COMPUTED_VALUE"""),"Super Tower Bonus
  Lab Level:      0 / 30 (Max)
  Next Level:    0d  0h 19m
  Max Level:     57d  0h 33m")</f>
        <v>Super Tower Bonus
  Lab Level:      0 / 30 (Max)
  Next Level:    0d  0h 19m
  Max Level:     57d  0h 33m</v>
      </c>
      <c r="AD44" s="1249" t="str">
        <f>IFERROR(__xludf.DUMMYFUNCTION("""COMPUTED_VALUE"""),"")</f>
        <v/>
      </c>
      <c r="AE44" s="1249"/>
      <c r="AF44" s="1250" t="str">
        <f>IFERROR(__xludf.DUMMYFUNCTION("if(AE44 &lt;&gt; """", 
  LET( 
    TargetLevel, VLOOKUP(AE44,MS_Labs_Array,3,false),
    MaxLevel, VLOOKUP(AE44,MS_Labs_Array,4,false),
    MaxOrTarget, IF(OR(TargetLevel = """",$AD$1 &lt;&gt; ""Target""), MaxLevel, TargetLevel),
    LabLevel, VLOOKUP(AE44,MS_Labs_A"&amp;"rray,2,False),
    Levelprogress, LabLevel / MaxOrTarget,
    DVTColumn, MATCH(AE44,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4" s="1251" t="str">
        <f>IFERROR(__xludf.DUMMYFUNCTION("if(AE44 &lt;&gt; """", 
  LET(
    TargetLevel, VLOOKUP(AE44,MS_Labs_Array,3,false),
    LabSpeed, (1 * REGEXEXTRACT($BH$1, ""[\d.-]+"")) * {IF(AE44 =""Labs Speed"", 1+'Master Sheet'!$BK$5, LAB_SPEED_TOTAL())},
    MaxLevel, VLOOKUP(AE44,MS_Labs_Array,4,false),"&amp;"
    MaxOrTarget, IF(OR(TargetLevel = """",$AD$1 &lt;&gt; ""Target""), MaxLevel, TargetLevel),
    LabLevel, VLOOKUP(AE44,MS_Labs_Array,2,False),
    DVTColumn, MATCH(AE44, DVT_Laboratory!$A$1:BO$1, 0),
    xextTime, INDIRECT(""DVT_Laboratory!"" &amp; ADDRESS(LabLe"&amp;"vel+3, DVTColumn)) / LabSpeed,
    remainingTime, SUM(INDIRECT(""DVT_Laboratory!"" &amp; ADDRESS(LabLevel+3, DVTColumn) &amp; "":"" &amp; ADDRESS(MaxOrTarget+2, DVTColumn))) / LabSpeed,
  AE44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4" s="1249"/>
      <c r="AI44" s="1249" t="str">
        <f>IFERROR(__xludf.DUMMYFUNCTION("""COMPUTED_VALUE"""),"")</f>
        <v/>
      </c>
      <c r="AJ44" s="1249" t="str">
        <f>IFERROR(__xludf.DUMMYFUNCTION("""COMPUTED_VALUE"""),"")</f>
        <v/>
      </c>
      <c r="AK44" s="1249"/>
      <c r="AL44" s="1250" t="str">
        <f>IFERROR(__xludf.DUMMYFUNCTION("if(AK44 &lt;&gt; """", 
  LET( 
    TargetLevel, VLOOKUP(AK44,MS_Labs_Array,3,false),
    MaxLevel, VLOOKUP(AK44,MS_Labs_Array,4,false),
    MaxOrTarget, IF(OR(TargetLevel = """",$AD$1 &lt;&gt; ""Target""), MaxLevel, TargetLevel),
    LabLevel, VLOOKUP(AK44,MS_Labs_A"&amp;"rray,2,False),
    Levelprogress, LabLevel / MaxOrTarget,
    DVTColumn, MATCH(AK44,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4" s="1251" t="str">
        <f>IFERROR(__xludf.DUMMYFUNCTION("if(AK44 &lt;&gt; """", 
  LET(
    TargetLevel, VLOOKUP(AK44,MS_Labs_Array,3,false),
    LabSpeed, (1 * REGEXEXTRACT($BH$1, ""[\d.-]+"")) * {IF(AK44 =""Labs Speed"", 1+'Master Sheet'!$BK$5, LAB_SPEED_TOTAL())},
    MaxLevel, VLOOKUP(AK44,MS_Labs_Array,4,false),"&amp;"
    MaxOrTarget, IF(OR(TargetLevel = """",$AD$1 &lt;&gt; ""Target""), MaxLevel, TargetLevel),
    LabLevel, VLOOKUP(AK44,MS_Labs_Array,2,False),
    DVTColumn, MATCH(AK44, DVT_Laboratory!$A$1:BO$1, 0),
    xextTime, INDIRECT(""DVT_Laboratory!"" &amp; ADDRESS(LabLe"&amp;"vel+3, DVTColumn)) / LabSpeed,
    remainingTime, SUM(INDIRECT(""DVT_Laboratory!"" &amp; ADDRESS(LabLevel+3, DVTColumn) &amp; "":"" &amp; ADDRESS(MaxOrTarget+2, DVTColumn))) / LabSpeed,
  AK44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4" s="1249"/>
      <c r="AO44" s="1249" t="str">
        <f>IFERROR(__xludf.DUMMYFUNCTION("""COMPUTED_VALUE"""),"Knockback Resistance
  Lab Level:      0 / 20 (Max)
  Next Level:    0d 20h 35m
  Max Level:     180d  3h 45m")</f>
        <v>Knockback Resistance
  Lab Level:      0 / 20 (Max)
  Next Level:    0d 20h 35m
  Max Level:     180d  3h 45m</v>
      </c>
      <c r="AP44" s="1249" t="str">
        <f>IFERROR(__xludf.DUMMYFUNCTION("""COMPUTED_VALUE"""),"")</f>
        <v/>
      </c>
      <c r="AQ44" s="1249"/>
      <c r="AR44" s="1250" t="str">
        <f>IFERROR(__xludf.DUMMYFUNCTION("if(AQ44 &lt;&gt; """", 
  LET( 
    TargetLevel, VLOOKUP(AQ44,MS_Labs_Array,3,false),
    MaxLevel, VLOOKUP(AQ44,MS_Labs_Array,4,false),
    MaxOrTarget, IF(OR(TargetLevel = """",$AD$1 &lt;&gt; ""Target""), MaxLevel, TargetLevel),
    LabLevel, VLOOKUP(AQ44,MS_Labs_A"&amp;"rray,2,False),
    Levelprogress, LabLevel / MaxOrTarget,
    DVTColumn, MATCH(AQ44,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4" s="1251" t="str">
        <f>IFERROR(__xludf.DUMMYFUNCTION("if(AQ44 &lt;&gt; """", 
  LET(
    TargetLevel, VLOOKUP(AQ44,MS_Labs_Array,3,false),
    LabSpeed, (1 * REGEXEXTRACT($BH$1, ""[\d.-]+"")) * {IF(AQ44 =""Labs Speed"", 1+'Master Sheet'!$BK$5, LAB_SPEED_TOTAL())},
    MaxLevel, VLOOKUP(AQ44,MS_Labs_Array,4,false),"&amp;"
    MaxOrTarget, IF(OR(TargetLevel = """",$AD$1 &lt;&gt; ""Target""), MaxLevel, TargetLevel),
    LabLevel, VLOOKUP(AQ44,MS_Labs_Array,2,False),
    DVTColumn, MATCH(AQ44, DVT_Laboratory!$A$1:BO$1, 0),
    xextTime, INDIRECT(""DVT_Laboratory!"" &amp; ADDRESS(LabLe"&amp;"vel+3, DVTColumn)) / LabSpeed,
    remainingTime, SUM(INDIRECT(""DVT_Laboratory!"" &amp; ADDRESS(LabLevel+3, DVTColumn) &amp; "":"" &amp; ADDRESS(MaxOrTarget+2, DVTColumn))) / LabSpeed,
  AQ44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4" s="1249"/>
      <c r="AU44" s="1249" t="str">
        <f>IFERROR(__xludf.DUMMYFUNCTION("""COMPUTED_VALUE"""),"Ranged Enemy Health
  Lab Level:      0 / 30 (Max)
  Next Level:    0d  3h 31m
  Max Level:     78d 13h  3m")</f>
        <v>Ranged Enemy Health
  Lab Level:      0 / 30 (Max)
  Next Level:    0d  3h 31m
  Max Level:     78d 13h  3m</v>
      </c>
      <c r="AV44" s="1249" t="str">
        <f>IFERROR(__xludf.DUMMYFUNCTION("""COMPUTED_VALUE"""),"")</f>
        <v/>
      </c>
      <c r="AW44" s="1249"/>
      <c r="AX44" s="1250" t="str">
        <f>IFERROR(__xludf.DUMMYFUNCTION("if(AW44 &lt;&gt; """", 
  LET( 
    TargetLevel, VLOOKUP(AW44,MS_Labs_Array,3,false),
    MaxLevel, VLOOKUP(AW44,MS_Labs_Array,4,false),
    MaxOrTarget, IF(OR(TargetLevel = """",$AD$1 &lt;&gt; ""Target""), MaxLevel, TargetLevel),
    LabLevel, VLOOKUP(AW44,MS_Labs_A"&amp;"rray,2,False),
    Levelprogress, LabLevel / MaxOrTarget,
    DVTColumn, MATCH(AW44,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4" s="1251" t="str">
        <f>IFERROR(__xludf.DUMMYFUNCTION("if(AW44 &lt;&gt; """", 
  LET(
    TargetLevel, VLOOKUP(AW44,MS_Labs_Array,3,false),
    LabSpeed, (1 * REGEXEXTRACT($BH$1, ""[\d.-]+"")) * {IF(AW44 =""Labs Speed"", 1+'Master Sheet'!$BK$5, LAB_SPEED_TOTAL())},
    MaxLevel, VLOOKUP(AW44,MS_Labs_Array,4,false),"&amp;"
    MaxOrTarget, IF(OR(TargetLevel = """",$AD$1 &lt;&gt; ""Target""), MaxLevel, TargetLevel),
    LabLevel, VLOOKUP(AW44,MS_Labs_Array,2,False),
    DVTColumn, MATCH(AW44, DVT_Laboratory!$A$1:BO$1, 0),
    xextTime, INDIRECT(""DVT_Laboratory!"" &amp; ADDRESS(LabLe"&amp;"vel+3, DVTColumn)) / LabSpeed,
    remainingTime, SUM(INDIRECT(""DVT_Laboratory!"" &amp; ADDRESS(LabLevel+3, DVTColumn) &amp; "":"" &amp; ADDRESS(MaxOrTarget+2, DVTColumn))) / LabSpeed,
  AW44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4" s="1249"/>
      <c r="BA44" s="1249" t="str">
        <f>IFERROR(__xludf.DUMMYFUNCTION("""COMPUTED_VALUE"""),"Fast Enemy Attack
  Lab Level:      0 / 30 (Max)
  Next Level:    0d  3h 31m
  Max Level:     78d 13h  3m")</f>
        <v>Fast Enemy Attack
  Lab Level:      0 / 30 (Max)
  Next Level:    0d  3h 31m
  Max Level:     78d 13h  3m</v>
      </c>
      <c r="BB44" s="1249" t="str">
        <f>IFERROR(__xludf.DUMMYFUNCTION("""COMPUTED_VALUE"""),"")</f>
        <v/>
      </c>
      <c r="BC44" s="1249"/>
      <c r="BD44" s="1250" t="str">
        <f>IFERROR(__xludf.DUMMYFUNCTION("if(BC44 &lt;&gt; """", 
  LET( 
    TargetLevel, VLOOKUP(BC44,MS_Labs_Array,3,false),
    MaxLevel, VLOOKUP(BC44,MS_Labs_Array,4,false),
    MaxOrTarget, IF(OR(TargetLevel = """",$AD$1 &lt;&gt; ""Target""), MaxLevel, TargetLevel),
    LabLevel, VLOOKUP(BC44,MS_Labs_A"&amp;"rray,2,False),
    Levelprogress, LabLevel / MaxOrTarget,
    DVTColumn, MATCH(BC44,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4" s="1251" t="str">
        <f>IFERROR(__xludf.DUMMYFUNCTION("if(BC44 &lt;&gt; """", 
  LET(
    TargetLevel, VLOOKUP(BC44,MS_Labs_Array,3,false),
    LabSpeed, (1 * REGEXEXTRACT($BH$1, ""[\d.-]+"")) * {IF(BC44 =""Labs Speed"", 1+'Master Sheet'!$BK$5, LAB_SPEED_TOTAL())},
    MaxLevel, VLOOKUP(BC44,MS_Labs_Array,4,false),"&amp;"
    MaxOrTarget, IF(OR(TargetLevel = """",$AD$1 &lt;&gt; ""Target""), MaxLevel, TargetLevel),
    LabLevel, VLOOKUP(BC44,MS_Labs_Array,2,False),
    DVTColumn, MATCH(BC44, DVT_Laboratory!$A$1:BO$1, 0),
    xextTime, INDIRECT(""DVT_Laboratory!"" &amp; ADDRESS(LabLe"&amp;"vel+3, DVTColumn)) / LabSpeed,
    remainingTime, SUM(INDIRECT(""DVT_Laboratory!"" &amp; ADDRESS(LabLevel+3, DVTColumn) &amp; "":"" &amp; ADDRESS(MaxOrTarget+2, DVTColumn))) / LabSpeed,
  BC44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4" s="1249"/>
      <c r="BG44" s="1249" t="str">
        <f>IFERROR(__xludf.DUMMYFUNCTION("""COMPUTED_VALUE"""),"")</f>
        <v/>
      </c>
      <c r="BH44" s="1260" t="str">
        <f>IFERROR(__xludf.DUMMYFUNCTION("""COMPUTED_VALUE"""),"")</f>
        <v/>
      </c>
      <c r="BI44" s="1252" t="str">
        <f>IFERROR(__xludf.DUMMYFUNCTION("""COMPUTED_VALUE"""),"Flame Bot - Cooldown")</f>
        <v>Flame Bot - Cooldown</v>
      </c>
      <c r="BJ44" s="1253" t="str">
        <f>IFERROR(__xludf.DUMMYFUNCTION("if(BI44 &lt;&gt; """", 
  LET( 
    TargetLevel, VLOOKUP(BI44,MS_Labs_Array,3,false),
    MaxLevel, VLOOKUP(BI44,MS_Labs_Array,4,false),
    MaxOrTarget, IF(OR(TargetLevel = """",$AD$1 &lt;&gt; ""Target""), MaxLevel, TargetLevel),
    LabLevel, VLOOKUP(BI44,MS_Labs_A"&amp;"rray,2,False),
    Levelprogress, IF(LabLevel &gt;= MaxOrTarget, 1, LabLevel / MaxOrTarget),
    DVTColumn, MATCH(BI44,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4" s="1254" t="str">
        <f>IFERROR(__xludf.DUMMYFUNCTION("if(BI44 &lt;&gt; """", 
  LET(
    TargetLevel, VLOOKUP(BI44,MS_Labs_Array,3,false),
    LabSpeed, (1 * REGEXEXTRACT($BH$1, ""[\d.-]+"")) * {IF(BI44 =""Labs Speed"", 1+'Master Sheet'!$BK$5, LAB_SPEED_TOTAL())},
    MaxLevel, VLOOKUP(BI44,MS_Labs_Array,4,false),"&amp;"
    MaxOrTarget, IF(OR(TargetLevel = """",$AD$1 &lt;&gt; ""Target""), MaxLevel, TargetLevel),
    LabLevel, VLOOKUP(BI44,MS_Labs_Array,2,False),
    DVTColumn, MATCH(BI44, DVT_Laboratory!$A$1:BO$1, 0),
    xextTime, INDIRECT(""DVT_Laboratory!"" &amp; ADDRESS(LabLe"&amp;"vel+3, DVTColumn)) / LabSpeed,
    remainingTime, SUM(INDIRECT(""DVT_Laboratory!"" &amp; ADDRESS(LabLevel+3, DVTColumn) &amp; "":"" &amp; ADDRESS(MaxOrTarget+2, DVTColumn))) / LabSpeed,
  BI44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"""")"),"Flame Bot - Cooldown
  Lab Level:      25 / 25 (Max)
  Next Level:    
  Max Level:     5d 10h 10m")</f>
        <v>Flame Bot - Cooldown
  Lab Level:      25 / 25 (Max)
  Next Level:    
  Max Level:     5d 10h 10m</v>
      </c>
      <c r="BL44" s="1252" t="str">
        <f>IFERROR(__xludf.DUMMYFUNCTION("""COMPUTED_VALUE"""),"Required for consistent damage reduction")</f>
        <v>Required for consistent damage reduction</v>
      </c>
      <c r="BM44" s="1252" t="str">
        <f>IFERROR(__xludf.DUMMYFUNCTION("""COMPUTED_VALUE"""),"Chain Lightning Shock
  Lab Level:      1 / 1 (Max)
  Next Level:    
  Max Level:     0d  1h 31m")</f>
        <v>Chain Lightning Shock
  Lab Level:      1 / 1 (Max)
  Next Level:    
  Max Level:     0d  1h 31m</v>
      </c>
      <c r="BN44" s="1222"/>
      <c r="BO44" s="1261"/>
    </row>
    <row r="45">
      <c r="A45" s="1222"/>
      <c r="B45" s="1268" t="s">
        <v>564</v>
      </c>
      <c r="C45" s="1291" t="s">
        <v>309</v>
      </c>
      <c r="D45" s="1280" t="str">
        <f>VLOOKUP(C45,'Remote Tier List'!A:D, 2, FALSE)</f>
        <v>A</v>
      </c>
      <c r="E45" s="1281" t="str">
        <f>VLOOKUP(C45,'Remote Tier List'!A:D, 3, FALSE)</f>
        <v/>
      </c>
      <c r="F45" s="1284" t="str">
        <f>VLOOKUP(C45,'Remote Tier List'!A:D, 4, FALSE)</f>
        <v>Enables Wall Regen to be the best eHp tool in the game</v>
      </c>
      <c r="G45" s="1245" t="b">
        <f t="shared" si="14"/>
        <v>1</v>
      </c>
      <c r="H45" s="1246" t="str">
        <f t="array" ref="H45:I45">LET(
  Lab, $C45,
  Mode, $AD$1,
  Level, VLOOKUP(Lab, MS_Labs_Array, 2, FALSE),
  Target, VLOOKUP(Lab, MS_Labs_Array, 3, FALSE),
  Max, VLOOKUP(Lab, MS_Labs_Array, 4, FALSE),
  Result,
    IF(
      AND(
        Mode &lt;&gt; "Never",
        Level &gt;= IF(OR(Target = "", Mode = "Max"), Max, Target)
      ),
      "Completed",
      ""
    ),
  HSTACK(
    IF(Result &lt;&gt; "", Result, $D45),
    IF(Result &lt;&gt; "", Result, IF($E45 = "", $D45, $E45))
  )
)</f>
        <v>A</v>
      </c>
      <c r="I45" s="1247" t="s">
        <v>545</v>
      </c>
      <c r="J45" s="1248" t="str">
        <f t="shared" si="15"/>
        <v>Enables Wall Regen to be the best eHp tool in the game</v>
      </c>
      <c r="K45" s="1229"/>
      <c r="L45" s="1249"/>
      <c r="M45" s="1249"/>
      <c r="N45" s="1250" t="str">
        <f>IFERROR(__xludf.DUMMYFUNCTION("if(M45 &lt;&gt; """", 
  LET( 
    TargetLevel, VLOOKUP(M45,MS_Labs_Array,3,false),
    MaxLevel, VLOOKUP(M45,MS_Labs_Array,4,false),
    MaxOrTarget, IF(OR(TargetLevel = """",$AD$1 &lt;&gt; ""Target""), MaxLevel, TargetLevel),
    LabLevel, VLOOKUP(M45,MS_Labs_Array"&amp;",2,False),
    Levelprogress, LabLevel / MaxOrTarget,
    DVTColumn, MATCH(M45,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5" s="1251" t="str">
        <f>IFERROR(__xludf.DUMMYFUNCTION("if(M45 &lt;&gt; """", 
  LET(
    TargetLevel, VLOOKUP(M45,MS_Labs_Array,3,false),
    LabSpeed, (1 * REGEXEXTRACT($BH$1, ""[\d.-]+"")) * {IF(M45 =""Labs Speed"", 1+'Master Sheet'!$BK$5, LAB_SPEED_TOTAL())},
    MaxLevel, VLOOKUP(M45,MS_Labs_Array,4,false),
   "&amp;" MaxOrTarget, IF(OR(TargetLevel = """",$AD$1 &lt;&gt; ""Target""), MaxLevel, TargetLevel),
    LabLevel, VLOOKUP(M45,MS_Labs_Array,2,False),
    DVTColumn, MATCH(M45, DVT_Laboratory!$A$1:BO$1, 0),
    xextTime, INDIRECT(""DVT_Laboratory!"" &amp; ADDRESS(LabLevel+3,"&amp;" DVTColumn)) / LabSpeed,
    remainingTime, SUM(INDIRECT(""DVT_Laboratory!"" &amp; ADDRESS(LabLevel+3, DVTColumn) &amp; "":"" &amp; ADDRESS(MaxOrTarget+2, DVTColumn))) / LabSpeed,
  M45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5" s="1249"/>
      <c r="Q45" s="1249"/>
      <c r="R45" s="1249"/>
      <c r="S45" s="1249"/>
      <c r="T45" s="1250" t="str">
        <f>IFERROR(__xludf.DUMMYFUNCTION("if(S45 &lt;&gt; """", 
  LET( 
    TargetLevel, VLOOKUP(S45,MS_Labs_Array,3,false),
    MaxLevel, VLOOKUP(S45,MS_Labs_Array,4,false),
    MaxOrTarget, IF(OR(TargetLevel = """",$AD$1 &lt;&gt; ""Target""), MaxLevel, TargetLevel),
    LabLevel, VLOOKUP(S45,MS_Labs_Array"&amp;",2,False),
    Levelprogress, LabLevel / MaxOrTarget,
    DVTColumn, MATCH(S45,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5" s="1251" t="str">
        <f>IFERROR(__xludf.DUMMYFUNCTION("if(S45 &lt;&gt; """", 
  LET(
    TargetLevel, VLOOKUP(S45,MS_Labs_Array,3,false),
    LabSpeed, (1 * REGEXEXTRACT($BH$1, ""[\d.-]+"")) * {IF(S45 =""Labs Speed"", 1+'Master Sheet'!$BK$5, LAB_SPEED_TOTAL())},
    MaxLevel, VLOOKUP(S45,MS_Labs_Array,4,false),
   "&amp;" MaxOrTarget, IF(OR(TargetLevel = """",$AD$1 &lt;&gt; ""Target""), MaxLevel, TargetLevel),
    LabLevel, VLOOKUP(S45,MS_Labs_Array,2,False),
    DVTColumn, MATCH(S45, DVT_Laboratory!$A$1:BO$1, 0),
    xextTime, INDIRECT(""DVT_Laboratory!"" &amp; ADDRESS(LabLevel+3,"&amp;" DVTColumn)) / LabSpeed,
    remainingTime, SUM(INDIRECT(""DVT_Laboratory!"" &amp; ADDRESS(LabLevel+3, DVTColumn) &amp; "":"" &amp; ADDRESS(MaxOrTarget+2, DVTColumn))) / LabSpeed,
  S45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5" s="1249"/>
      <c r="W45" s="1249"/>
      <c r="X45" s="1249" t="str">
        <f>IFERROR(__xludf.DUMMYFUNCTION("""COMPUTED_VALUE"""),"Recharge Demon Mode")</f>
        <v>Recharge Demon Mode</v>
      </c>
      <c r="Y45" s="1249"/>
      <c r="Z45" s="1250" t="str">
        <f>IFERROR(__xludf.DUMMYFUNCTION("if(Y45 &lt;&gt; """", 
  LET( 
    TargetLevel, VLOOKUP(Y45,MS_Labs_Array,3,false),
    MaxLevel, VLOOKUP(Y45,MS_Labs_Array,4,false),
    MaxOrTarget, IF(OR(TargetLevel = """",$AD$1 &lt;&gt; ""Target""), MaxLevel, TargetLevel),
    LabLevel, VLOOKUP(Y45,MS_Labs_Array"&amp;",2,False),
    Levelprogress, LabLevel / MaxOrTarget,
    DVTColumn, MATCH(Y45,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5" s="1251" t="str">
        <f>IFERROR(__xludf.DUMMYFUNCTION("if(Y45 &lt;&gt; """", 
  LET(
    TargetLevel, VLOOKUP(Y45,MS_Labs_Array,3,false),
    LabSpeed, (1 * REGEXEXTRACT($BH$1, ""[\d.-]+"")) * {IF(Y45 =""Labs Speed"", 1+'Master Sheet'!$BK$5, LAB_SPEED_TOTAL())},
    MaxLevel, VLOOKUP(Y45,MS_Labs_Array,4,false),
   "&amp;" MaxOrTarget, IF(OR(TargetLevel = """",$AD$1 &lt;&gt; ""Target""), MaxLevel, TargetLevel),
    LabLevel, VLOOKUP(Y45,MS_Labs_Array,2,False),
    DVTColumn, MATCH(Y45, DVT_Laboratory!$A$1:BO$1, 0),
    xextTime, INDIRECT(""DVT_Laboratory!"" &amp; ADDRESS(LabLevel+3,"&amp;" DVTColumn)) / LabSpeed,
    remainingTime, SUM(INDIRECT(""DVT_Laboratory!"" &amp; ADDRESS(LabLevel+3, DVTColumn) &amp; "":"" &amp; ADDRESS(MaxOrTarget+2, DVTColumn))) / LabSpeed,
  Y45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5" s="1249"/>
      <c r="AC45" s="1249" t="str">
        <f>IFERROR(__xludf.DUMMYFUNCTION("""COMPUTED_VALUE"""),"Great for the event mission, essential to keep the effect of mastery going past 300 waves")</f>
        <v>Great for the event mission, essential to keep the effect of mastery going past 300 waves</v>
      </c>
      <c r="AD45" s="1249"/>
      <c r="AE45" s="1249"/>
      <c r="AF45" s="1250" t="str">
        <f>IFERROR(__xludf.DUMMYFUNCTION("if(AE45 &lt;&gt; """", 
  LET( 
    TargetLevel, VLOOKUP(AE45,MS_Labs_Array,3,false),
    MaxLevel, VLOOKUP(AE45,MS_Labs_Array,4,false),
    MaxOrTarget, IF(OR(TargetLevel = """",$AD$1 &lt;&gt; ""Target""), MaxLevel, TargetLevel),
    LabLevel, VLOOKUP(AE45,MS_Labs_A"&amp;"rray,2,False),
    Levelprogress, LabLevel / MaxOrTarget,
    DVTColumn, MATCH(AE45,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5" s="1251" t="str">
        <f>IFERROR(__xludf.DUMMYFUNCTION("if(AE45 &lt;&gt; """", 
  LET(
    TargetLevel, VLOOKUP(AE45,MS_Labs_Array,3,false),
    LabSpeed, (1 * REGEXEXTRACT($BH$1, ""[\d.-]+"")) * {IF(AE45 =""Labs Speed"", 1+'Master Sheet'!$BK$5, LAB_SPEED_TOTAL())},
    MaxLevel, VLOOKUP(AE45,MS_Labs_Array,4,false),"&amp;"
    MaxOrTarget, IF(OR(TargetLevel = """",$AD$1 &lt;&gt; ""Target""), MaxLevel, TargetLevel),
    LabLevel, VLOOKUP(AE45,MS_Labs_Array,2,False),
    DVTColumn, MATCH(AE45, DVT_Laboratory!$A$1:BO$1, 0),
    xextTime, INDIRECT(""DVT_Laboratory!"" &amp; ADDRESS(LabLe"&amp;"vel+3, DVTColumn)) / LabSpeed,
    remainingTime, SUM(INDIRECT(""DVT_Laboratory!"" &amp; ADDRESS(LabLevel+3, DVTColumn) &amp; "":"" &amp; ADDRESS(MaxOrTarget+2, DVTColumn))) / LabSpeed,
  AE45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5" s="1249"/>
      <c r="AI45" s="1249"/>
      <c r="AJ45" s="1249" t="str">
        <f>IFERROR(__xludf.DUMMYFUNCTION("""COMPUTED_VALUE"""),"Thorns Resistance")</f>
        <v>Thorns Resistance</v>
      </c>
      <c r="AK45" s="1249"/>
      <c r="AL45" s="1250" t="str">
        <f>IFERROR(__xludf.DUMMYFUNCTION("if(AK45 &lt;&gt; """", 
  LET( 
    TargetLevel, VLOOKUP(AK45,MS_Labs_Array,3,false),
    MaxLevel, VLOOKUP(AK45,MS_Labs_Array,4,false),
    MaxOrTarget, IF(OR(TargetLevel = """",$AD$1 &lt;&gt; ""Target""), MaxLevel, TargetLevel),
    LabLevel, VLOOKUP(AK45,MS_Labs_A"&amp;"rray,2,False),
    Levelprogress, LabLevel / MaxOrTarget,
    DVTColumn, MATCH(AK45,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5" s="1251" t="str">
        <f>IFERROR(__xludf.DUMMYFUNCTION("if(AK45 &lt;&gt; """", 
  LET(
    TargetLevel, VLOOKUP(AK45,MS_Labs_Array,3,false),
    LabSpeed, (1 * REGEXEXTRACT($BH$1, ""[\d.-]+"")) * {IF(AK45 =""Labs Speed"", 1+'Master Sheet'!$BK$5, LAB_SPEED_TOTAL())},
    MaxLevel, VLOOKUP(AK45,MS_Labs_Array,4,false),"&amp;"
    MaxOrTarget, IF(OR(TargetLevel = """",$AD$1 &lt;&gt; ""Target""), MaxLevel, TargetLevel),
    LabLevel, VLOOKUP(AK45,MS_Labs_Array,2,False),
    DVTColumn, MATCH(AK45, DVT_Laboratory!$A$1:BO$1, 0),
    xextTime, INDIRECT(""DVT_Laboratory!"" &amp; ADDRESS(LabLe"&amp;"vel+3, DVTColumn)) / LabSpeed,
    remainingTime, SUM(INDIRECT(""DVT_Laboratory!"" &amp; ADDRESS(LabLevel+3, DVTColumn) &amp; "":"" &amp; ADDRESS(MaxOrTarget+2, DVTColumn))) / LabSpeed,
  AK45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5" s="1249"/>
      <c r="AO45" s="1249" t="str">
        <f>IFERROR(__xludf.DUMMYFUNCTION("""COMPUTED_VALUE"""),"Resistances get far weaker than most battle conditions with how they substract the effect")</f>
        <v>Resistances get far weaker than most battle conditions with how they substract the effect</v>
      </c>
      <c r="AP45" s="1249" t="str">
        <f>IFERROR(__xludf.DUMMYFUNCTION("""COMPUTED_VALUE"""),"Protector Damage Reduction")</f>
        <v>Protector Damage Reduction</v>
      </c>
      <c r="AQ45" s="1249"/>
      <c r="AR45" s="1250" t="str">
        <f>IFERROR(__xludf.DUMMYFUNCTION("if(AQ45 &lt;&gt; """", 
  LET( 
    TargetLevel, VLOOKUP(AQ45,MS_Labs_Array,3,false),
    MaxLevel, VLOOKUP(AQ45,MS_Labs_Array,4,false),
    MaxOrTarget, IF(OR(TargetLevel = """",$AD$1 &lt;&gt; ""Target""), MaxLevel, TargetLevel),
    LabLevel, VLOOKUP(AQ45,MS_Labs_A"&amp;"rray,2,False),
    Levelprogress, LabLevel / MaxOrTarget,
    DVTColumn, MATCH(AQ45,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5" s="1251" t="str">
        <f>IFERROR(__xludf.DUMMYFUNCTION("if(AQ45 &lt;&gt; """", 
  LET(
    TargetLevel, VLOOKUP(AQ45,MS_Labs_Array,3,false),
    LabSpeed, (1 * REGEXEXTRACT($BH$1, ""[\d.-]+"")) * {IF(AQ45 =""Labs Speed"", 1+'Master Sheet'!$BK$5, LAB_SPEED_TOTAL())},
    MaxLevel, VLOOKUP(AQ45,MS_Labs_Array,4,false),"&amp;"
    MaxOrTarget, IF(OR(TargetLevel = """",$AD$1 &lt;&gt; ""Target""), MaxLevel, TargetLevel),
    LabLevel, VLOOKUP(AQ45,MS_Labs_Array,2,False),
    DVTColumn, MATCH(AQ45, DVT_Laboratory!$A$1:BO$1, 0),
    xextTime, INDIRECT(""DVT_Laboratory!"" &amp; ADDRESS(LabLe"&amp;"vel+3, DVTColumn)) / LabSpeed,
    remainingTime, SUM(INDIRECT(""DVT_Laboratory!"" &amp; ADDRESS(LabLevel+3, DVTColumn) &amp; "":"" &amp; ADDRESS(MaxOrTarget+2, DVTColumn))) / LabSpeed,
  AQ45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5" s="1249"/>
      <c r="AU45" s="1249"/>
      <c r="AV45" s="1249" t="str">
        <f>IFERROR(__xludf.DUMMYFUNCTION("""COMPUTED_VALUE"""),"Tank Enemy Attack")</f>
        <v>Tank Enemy Attack</v>
      </c>
      <c r="AW45" s="1249"/>
      <c r="AX45" s="1250" t="str">
        <f>IFERROR(__xludf.DUMMYFUNCTION("if(AW45 &lt;&gt; """", 
  LET( 
    TargetLevel, VLOOKUP(AW45,MS_Labs_Array,3,false),
    MaxLevel, VLOOKUP(AW45,MS_Labs_Array,4,false),
    MaxOrTarget, IF(OR(TargetLevel = """",$AD$1 &lt;&gt; ""Target""), MaxLevel, TargetLevel),
    LabLevel, VLOOKUP(AW45,MS_Labs_A"&amp;"rray,2,False),
    Levelprogress, LabLevel / MaxOrTarget,
    DVTColumn, MATCH(AW45,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5" s="1251" t="str">
        <f>IFERROR(__xludf.DUMMYFUNCTION("if(AW45 &lt;&gt; """", 
  LET(
    TargetLevel, VLOOKUP(AW45,MS_Labs_Array,3,false),
    LabSpeed, (1 * REGEXEXTRACT($BH$1, ""[\d.-]+"")) * {IF(AW45 =""Labs Speed"", 1+'Master Sheet'!$BK$5, LAB_SPEED_TOTAL())},
    MaxLevel, VLOOKUP(AW45,MS_Labs_Array,4,false),"&amp;"
    MaxOrTarget, IF(OR(TargetLevel = """",$AD$1 &lt;&gt; ""Target""), MaxLevel, TargetLevel),
    LabLevel, VLOOKUP(AW45,MS_Labs_Array,2,False),
    DVTColumn, MATCH(AW45, DVT_Laboratory!$A$1:BO$1, 0),
    xextTime, INDIRECT(""DVT_Laboratory!"" &amp; ADDRESS(LabLe"&amp;"vel+3, DVTColumn)) / LabSpeed,
    remainingTime, SUM(INDIRECT(""DVT_Laboratory!"" &amp; ADDRESS(LabLevel+3, DVTColumn) &amp; "":"" &amp; ADDRESS(MaxOrTarget+2, DVTColumn))) / LabSpeed,
  AW45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5" s="1249"/>
      <c r="BA45"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B45" s="1249"/>
      <c r="BC45" s="1249"/>
      <c r="BD45" s="1250" t="str">
        <f>IFERROR(__xludf.DUMMYFUNCTION("if(BC45 &lt;&gt; """", 
  LET( 
    TargetLevel, VLOOKUP(BC45,MS_Labs_Array,3,false),
    MaxLevel, VLOOKUP(BC45,MS_Labs_Array,4,false),
    MaxOrTarget, IF(OR(TargetLevel = """",$AD$1 &lt;&gt; ""Target""), MaxLevel, TargetLevel),
    LabLevel, VLOOKUP(BC45,MS_Labs_A"&amp;"rray,2,False),
    Levelprogress, LabLevel / MaxOrTarget,
    DVTColumn, MATCH(BC45,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5" s="1251" t="str">
        <f>IFERROR(__xludf.DUMMYFUNCTION("if(BC45 &lt;&gt; """", 
  LET(
    TargetLevel, VLOOKUP(BC45,MS_Labs_Array,3,false),
    LabSpeed, (1 * REGEXEXTRACT($BH$1, ""[\d.-]+"")) * {IF(BC45 =""Labs Speed"", 1+'Master Sheet'!$BK$5, LAB_SPEED_TOTAL())},
    MaxLevel, VLOOKUP(BC45,MS_Labs_Array,4,false),"&amp;"
    MaxOrTarget, IF(OR(TargetLevel = """",$AD$1 &lt;&gt; ""Target""), MaxLevel, TargetLevel),
    LabLevel, VLOOKUP(BC45,MS_Labs_Array,2,False),
    DVTColumn, MATCH(BC45, DVT_Laboratory!$A$1:BO$1, 0),
    xextTime, INDIRECT(""DVT_Laboratory!"" &amp; ADDRESS(LabLe"&amp;"vel+3, DVTColumn)) / LabSpeed,
    remainingTime, SUM(INDIRECT(""DVT_Laboratory!"" &amp; ADDRESS(LabLevel+3, DVTColumn) &amp; "":"" &amp; ADDRESS(MaxOrTarget+2, DVTColumn))) / LabSpeed,
  BC45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5" s="1249"/>
      <c r="BG45" s="1249"/>
      <c r="BH45" s="1260" t="str">
        <f>IFERROR(__xludf.DUMMYFUNCTION("""COMPUTED_VALUE"""),"Shock Multiplier")</f>
        <v>Shock Multiplier</v>
      </c>
      <c r="BI45" s="1252" t="str">
        <f>IFERROR(__xludf.DUMMYFUNCTION("""COMPUTED_VALUE"""),"Common Drop Chance")</f>
        <v>Common Drop Chance</v>
      </c>
      <c r="BJ45" s="1253" t="str">
        <f>IFERROR(__xludf.DUMMYFUNCTION("if(BI45 &lt;&gt; """", 
  LET( 
    TargetLevel, VLOOKUP(BI45,MS_Labs_Array,3,false),
    MaxLevel, VLOOKUP(BI45,MS_Labs_Array,4,false),
    MaxOrTarget, IF(OR(TargetLevel = """",$AD$1 &lt;&gt; ""Target""), MaxLevel, TargetLevel),
    LabLevel, VLOOKUP(BI45,MS_Labs_A"&amp;"rray,2,False),
    Levelprogress, IF(LabLevel &gt;= MaxOrTarget, 1, LabLevel / MaxOrTarget),
    DVTColumn, MATCH(BI45,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5" s="1254" t="str">
        <f>IFERROR(__xludf.DUMMYFUNCTION("if(BI45 &lt;&gt; """", 
  LET(
    TargetLevel, VLOOKUP(BI45,MS_Labs_Array,3,false),
    LabSpeed, (1 * REGEXEXTRACT($BH$1, ""[\d.-]+"")) * {IF(BI45 =""Labs Speed"", 1+'Master Sheet'!$BK$5, LAB_SPEED_TOTAL())},
    MaxLevel, VLOOKUP(BI45,MS_Labs_Array,4,false),"&amp;"
    MaxOrTarget, IF(OR(TargetLevel = """",$AD$1 &lt;&gt; ""Target""), MaxLevel, TargetLevel),
    LabLevel, VLOOKUP(BI45,MS_Labs_Array,2,False),
    DVTColumn, MATCH(BI45, DVT_Laboratory!$A$1:BO$1, 0),
    xextTime, INDIRECT(""DVT_Laboratory!"" &amp; ADDRESS(LabLe"&amp;"vel+3, DVTColumn)) / LabSpeed,
    remainingTime, SUM(INDIRECT(""DVT_Laboratory!"" &amp; ADDRESS(LabLevel+3, DVTColumn) &amp; "":"" &amp; ADDRESS(MaxOrTarget+2, DVTColumn))) / LabSpeed,
  BI45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"""")"),"Common Drop Chance
  Lab Level:      10 / 10 (Max)
  Next Level:    
  Max Level:     0d 12h 31m")</f>
        <v>Common Drop Chance
  Lab Level:      10 / 10 (Max)
  Next Level:    
  Max Level:     0d 12h 31m</v>
      </c>
      <c r="BL45" s="1252" t="str">
        <f>IFERROR(__xludf.DUMMYFUNCTION("""COMPUTED_VALUE"""),"Very important long term for shard income. Affects most stats")</f>
        <v>Very important long term for shard income. Affects most stats</v>
      </c>
      <c r="BM45" s="1252" t="str">
        <f>IFERROR(__xludf.DUMMYFUNCTION("""COMPUTED_VALUE"""),"Shock will stack higher; good to max")</f>
        <v>Shock will stack higher; good to max</v>
      </c>
      <c r="BN45" s="1222"/>
      <c r="BO45" s="1261"/>
    </row>
    <row r="46" ht="7.5" customHeight="1">
      <c r="A46" s="1222"/>
      <c r="B46" s="1286" t="s">
        <v>553</v>
      </c>
      <c r="C46" s="1295" t="s">
        <v>316</v>
      </c>
      <c r="D46" s="1280" t="str">
        <f>VLOOKUP(C46,'Remote Tier List'!A:D, 2, FALSE)</f>
        <v>S+</v>
      </c>
      <c r="E46" s="1281" t="str">
        <f>VLOOKUP(C46,'Remote Tier List'!A:D, 3, FALSE)</f>
        <v/>
      </c>
      <c r="F46" s="1288" t="str">
        <f>VLOOKUP(C46,'Remote Tier List'!A:D, 4, FALSE)</f>
        <v>Solves the vampire problem better than a wooden stake to the heart, if you don't have a problem with vampires you can wait to start/finish this lab</v>
      </c>
      <c r="G46" s="1245" t="b">
        <f t="shared" si="14"/>
        <v>1</v>
      </c>
      <c r="H46" s="1246" t="str">
        <f t="array" ref="H46:I46">LET(
  Lab, $C46,
  Mode, $AD$1,
  Level, VLOOKUP(Lab, MS_Labs_Array, 2, FALSE),
  Target, VLOOKUP(Lab, MS_Labs_Array, 3, FALSE),
  Max, VLOOKUP(Lab, MS_Labs_Array, 4, FALSE),
  Result,
    IF(
      AND(
        Mode &lt;&gt; "Never",
        Level &gt;= IF(OR(Target = "", Mode = "Max"), Max, Target)
      ),
      "Completed",
      ""
    ),
  HSTACK(
    IF(Result &lt;&gt; "", Result, $D46),
    IF(Result &lt;&gt; "", Result, IF($E46 = "", $D46, $E46))
  )
)</f>
        <v>Completed</v>
      </c>
      <c r="I46" s="1247" t="s">
        <v>551</v>
      </c>
      <c r="J46" s="1248" t="str">
        <f t="shared" si="15"/>
        <v>Solves the vampire problem better than a wooden stake to the heart, if you don't have a problem with vampires you can wait to start/finish this lab</v>
      </c>
      <c r="K46" s="1229"/>
      <c r="L46" s="1249" t="str">
        <f>IFERROR(__xludf.DUMMYFUNCTION("""COMPUTED_VALUE"""),"")</f>
        <v/>
      </c>
      <c r="M46" s="1249"/>
      <c r="N46" s="1250" t="str">
        <f>IFERROR(__xludf.DUMMYFUNCTION("if(M46 &lt;&gt; """", 
  LET( 
    TargetLevel, VLOOKUP(M46,MS_Labs_Array,3,false),
    MaxLevel, VLOOKUP(M46,MS_Labs_Array,4,false),
    MaxOrTarget, IF(OR(TargetLevel = """",$AD$1 &lt;&gt; ""Target""), MaxLevel, TargetLevel),
    LabLevel, VLOOKUP(M46,MS_Labs_Array"&amp;",2,False),
    Levelprogress, LabLevel / MaxOrTarget,
    DVTColumn, MATCH(M46,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6" s="1251" t="str">
        <f>IFERROR(__xludf.DUMMYFUNCTION("if(M46 &lt;&gt; """", 
  LET(
    TargetLevel, VLOOKUP(M46,MS_Labs_Array,3,false),
    LabSpeed, (1 * REGEXEXTRACT($BH$1, ""[\d.-]+"")) * {IF(M46 =""Labs Speed"", 1+'Master Sheet'!$BK$5, LAB_SPEED_TOTAL())},
    MaxLevel, VLOOKUP(M46,MS_Labs_Array,4,false),
   "&amp;" MaxOrTarget, IF(OR(TargetLevel = """",$AD$1 &lt;&gt; ""Target""), MaxLevel, TargetLevel),
    LabLevel, VLOOKUP(M46,MS_Labs_Array,2,False),
    DVTColumn, MATCH(M46, DVT_Laboratory!$A$1:BO$1, 0),
    xextTime, INDIRECT(""DVT_Laboratory!"" &amp; ADDRESS(LabLevel+3,"&amp;" DVTColumn)) / LabSpeed,
    remainingTime, SUM(INDIRECT(""DVT_Laboratory!"" &amp; ADDRESS(LabLevel+3, DVTColumn) &amp; "":"" &amp; ADDRESS(MaxOrTarget+2, DVTColumn))) / LabSpeed,
  M46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6" s="1249"/>
      <c r="Q46" s="1249" t="str">
        <f>IFERROR(__xludf.DUMMYFUNCTION("""COMPUTED_VALUE"""),"")</f>
        <v/>
      </c>
      <c r="R46" s="1249" t="str">
        <f>IFERROR(__xludf.DUMMYFUNCTION("""COMPUTED_VALUE"""),"")</f>
        <v/>
      </c>
      <c r="S46" s="1249"/>
      <c r="T46" s="1250" t="str">
        <f>IFERROR(__xludf.DUMMYFUNCTION("if(S46 &lt;&gt; """", 
  LET( 
    TargetLevel, VLOOKUP(S46,MS_Labs_Array,3,false),
    MaxLevel, VLOOKUP(S46,MS_Labs_Array,4,false),
    MaxOrTarget, IF(OR(TargetLevel = """",$AD$1 &lt;&gt; ""Target""), MaxLevel, TargetLevel),
    LabLevel, VLOOKUP(S46,MS_Labs_Array"&amp;",2,False),
    Levelprogress, LabLevel / MaxOrTarget,
    DVTColumn, MATCH(S46,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6" s="1251" t="str">
        <f>IFERROR(__xludf.DUMMYFUNCTION("if(S46 &lt;&gt; """", 
  LET(
    TargetLevel, VLOOKUP(S46,MS_Labs_Array,3,false),
    LabSpeed, (1 * REGEXEXTRACT($BH$1, ""[\d.-]+"")) * {IF(S46 =""Labs Speed"", 1+'Master Sheet'!$BK$5, LAB_SPEED_TOTAL())},
    MaxLevel, VLOOKUP(S46,MS_Labs_Array,4,false),
   "&amp;" MaxOrTarget, IF(OR(TargetLevel = """",$AD$1 &lt;&gt; ""Target""), MaxLevel, TargetLevel),
    LabLevel, VLOOKUP(S46,MS_Labs_Array,2,False),
    DVTColumn, MATCH(S46, DVT_Laboratory!$A$1:BO$1, 0),
    xextTime, INDIRECT(""DVT_Laboratory!"" &amp; ADDRESS(LabLevel+3,"&amp;" DVTColumn)) / LabSpeed,
    remainingTime, SUM(INDIRECT(""DVT_Laboratory!"" &amp; ADDRESS(LabLevel+3, DVTColumn) &amp; "":"" &amp; ADDRESS(MaxOrTarget+2, DVTColumn))) / LabSpeed,
  S46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6" s="1249"/>
      <c r="W46" s="1249" t="str">
        <f>IFERROR(__xludf.DUMMYFUNCTION("""COMPUTED_VALUE"""),"")</f>
        <v/>
      </c>
      <c r="X46" s="1249" t="str">
        <f>IFERROR(__xludf.DUMMYFUNCTION("""COMPUTED_VALUE"""),"")</f>
        <v/>
      </c>
      <c r="Y46" s="1249"/>
      <c r="Z46" s="1250" t="str">
        <f>IFERROR(__xludf.DUMMYFUNCTION("if(Y46 &lt;&gt; """", 
  LET( 
    TargetLevel, VLOOKUP(Y46,MS_Labs_Array,3,false),
    MaxLevel, VLOOKUP(Y46,MS_Labs_Array,4,false),
    MaxOrTarget, IF(OR(TargetLevel = """",$AD$1 &lt;&gt; ""Target""), MaxLevel, TargetLevel),
    LabLevel, VLOOKUP(Y46,MS_Labs_Array"&amp;",2,False),
    Levelprogress, LabLevel / MaxOrTarget,
    DVTColumn, MATCH(Y46,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6" s="1251" t="str">
        <f>IFERROR(__xludf.DUMMYFUNCTION("if(Y46 &lt;&gt; """", 
  LET(
    TargetLevel, VLOOKUP(Y46,MS_Labs_Array,3,false),
    LabSpeed, (1 * REGEXEXTRACT($BH$1, ""[\d.-]+"")) * {IF(Y46 =""Labs Speed"", 1+'Master Sheet'!$BK$5, LAB_SPEED_TOTAL())},
    MaxLevel, VLOOKUP(Y46,MS_Labs_Array,4,false),
   "&amp;" MaxOrTarget, IF(OR(TargetLevel = """",$AD$1 &lt;&gt; ""Target""), MaxLevel, TargetLevel),
    LabLevel, VLOOKUP(Y46,MS_Labs_Array,2,False),
    DVTColumn, MATCH(Y46, DVT_Laboratory!$A$1:BO$1, 0),
    xextTime, INDIRECT(""DVT_Laboratory!"" &amp; ADDRESS(LabLevel+3,"&amp;" DVTColumn)) / LabSpeed,
    remainingTime, SUM(INDIRECT(""DVT_Laboratory!"" &amp; ADDRESS(LabLevel+3, DVTColumn) &amp; "":"" &amp; ADDRESS(MaxOrTarget+2, DVTColumn))) / LabSpeed,
  Y46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6" s="1249"/>
      <c r="AC46" s="1249" t="str">
        <f>IFERROR(__xludf.DUMMYFUNCTION("""COMPUTED_VALUE"""),"Recharge Demon Mode
  Lab Level:      4 / 7 (Max)
  Next Level:    0d 21h 28m
  Max Level:     5d 17h 37m")</f>
        <v>Recharge Demon Mode
  Lab Level:      4 / 7 (Max)
  Next Level:    0d 21h 28m
  Max Level:     5d 17h 37m</v>
      </c>
      <c r="AD46" s="1249" t="str">
        <f>IFERROR(__xludf.DUMMYFUNCTION("""COMPUTED_VALUE"""),"")</f>
        <v/>
      </c>
      <c r="AE46" s="1249"/>
      <c r="AF46" s="1250" t="str">
        <f>IFERROR(__xludf.DUMMYFUNCTION("if(AE46 &lt;&gt; """", 
  LET( 
    TargetLevel, VLOOKUP(AE46,MS_Labs_Array,3,false),
    MaxLevel, VLOOKUP(AE46,MS_Labs_Array,4,false),
    MaxOrTarget, IF(OR(TargetLevel = """",$AD$1 &lt;&gt; ""Target""), MaxLevel, TargetLevel),
    LabLevel, VLOOKUP(AE46,MS_Labs_A"&amp;"rray,2,False),
    Levelprogress, LabLevel / MaxOrTarget,
    DVTColumn, MATCH(AE46,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6" s="1251" t="str">
        <f>IFERROR(__xludf.DUMMYFUNCTION("if(AE46 &lt;&gt; """", 
  LET(
    TargetLevel, VLOOKUP(AE46,MS_Labs_Array,3,false),
    LabSpeed, (1 * REGEXEXTRACT($BH$1, ""[\d.-]+"")) * {IF(AE46 =""Labs Speed"", 1+'Master Sheet'!$BK$5, LAB_SPEED_TOTAL())},
    MaxLevel, VLOOKUP(AE46,MS_Labs_Array,4,false),"&amp;"
    MaxOrTarget, IF(OR(TargetLevel = """",$AD$1 &lt;&gt; ""Target""), MaxLevel, TargetLevel),
    LabLevel, VLOOKUP(AE46,MS_Labs_Array,2,False),
    DVTColumn, MATCH(AE46, DVT_Laboratory!$A$1:BO$1, 0),
    xextTime, INDIRECT(""DVT_Laboratory!"" &amp; ADDRESS(LabLe"&amp;"vel+3, DVTColumn)) / LabSpeed,
    remainingTime, SUM(INDIRECT(""DVT_Laboratory!"" &amp; ADDRESS(LabLevel+3, DVTColumn) &amp; "":"" &amp; ADDRESS(MaxOrTarget+2, DVTColumn))) / LabSpeed,
  AE46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6" s="1249"/>
      <c r="AI46" s="1249" t="str">
        <f>IFERROR(__xludf.DUMMYFUNCTION("""COMPUTED_VALUE"""),"")</f>
        <v/>
      </c>
      <c r="AJ46" s="1249" t="str">
        <f>IFERROR(__xludf.DUMMYFUNCTION("""COMPUTED_VALUE"""),"")</f>
        <v/>
      </c>
      <c r="AK46" s="1249"/>
      <c r="AL46" s="1250" t="str">
        <f>IFERROR(__xludf.DUMMYFUNCTION("if(AK46 &lt;&gt; """", 
  LET( 
    TargetLevel, VLOOKUP(AK46,MS_Labs_Array,3,false),
    MaxLevel, VLOOKUP(AK46,MS_Labs_Array,4,false),
    MaxOrTarget, IF(OR(TargetLevel = """",$AD$1 &lt;&gt; ""Target""), MaxLevel, TargetLevel),
    LabLevel, VLOOKUP(AK46,MS_Labs_A"&amp;"rray,2,False),
    Levelprogress, LabLevel / MaxOrTarget,
    DVTColumn, MATCH(AK46,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6" s="1251" t="str">
        <f>IFERROR(__xludf.DUMMYFUNCTION("if(AK46 &lt;&gt; """", 
  LET(
    TargetLevel, VLOOKUP(AK46,MS_Labs_Array,3,false),
    LabSpeed, (1 * REGEXEXTRACT($BH$1, ""[\d.-]+"")) * {IF(AK46 =""Labs Speed"", 1+'Master Sheet'!$BK$5, LAB_SPEED_TOTAL())},
    MaxLevel, VLOOKUP(AK46,MS_Labs_Array,4,false),"&amp;"
    MaxOrTarget, IF(OR(TargetLevel = """",$AD$1 &lt;&gt; ""Target""), MaxLevel, TargetLevel),
    LabLevel, VLOOKUP(AK46,MS_Labs_Array,2,False),
    DVTColumn, MATCH(AK46, DVT_Laboratory!$A$1:BO$1, 0),
    xextTime, INDIRECT(""DVT_Laboratory!"" &amp; ADDRESS(LabLe"&amp;"vel+3, DVTColumn)) / LabSpeed,
    remainingTime, SUM(INDIRECT(""DVT_Laboratory!"" &amp; ADDRESS(LabLevel+3, DVTColumn) &amp; "":"" &amp; ADDRESS(MaxOrTarget+2, DVTColumn))) / LabSpeed,
  AK46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6" s="1249"/>
      <c r="AO46" s="1249" t="str">
        <f>IFERROR(__xludf.DUMMYFUNCTION("""COMPUTED_VALUE"""),"Thorns Resistance
  Lab Level:      0 / 20 (Max)
  Next Level:    0d 20h 35m
  Max Level:     180d  3h 45m")</f>
        <v>Thorns Resistance
  Lab Level:      0 / 20 (Max)
  Next Level:    0d 20h 35m
  Max Level:     180d  3h 45m</v>
      </c>
      <c r="AP46" s="1249" t="str">
        <f>IFERROR(__xludf.DUMMYFUNCTION("""COMPUTED_VALUE"""),"")</f>
        <v/>
      </c>
      <c r="AQ46" s="1249"/>
      <c r="AR46" s="1250" t="str">
        <f>IFERROR(__xludf.DUMMYFUNCTION("if(AQ46 &lt;&gt; """", 
  LET( 
    TargetLevel, VLOOKUP(AQ46,MS_Labs_Array,3,false),
    MaxLevel, VLOOKUP(AQ46,MS_Labs_Array,4,false),
    MaxOrTarget, IF(OR(TargetLevel = """",$AD$1 &lt;&gt; ""Target""), MaxLevel, TargetLevel),
    LabLevel, VLOOKUP(AQ46,MS_Labs_A"&amp;"rray,2,False),
    Levelprogress, LabLevel / MaxOrTarget,
    DVTColumn, MATCH(AQ46,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6" s="1251" t="str">
        <f>IFERROR(__xludf.DUMMYFUNCTION("if(AQ46 &lt;&gt; """", 
  LET(
    TargetLevel, VLOOKUP(AQ46,MS_Labs_Array,3,false),
    LabSpeed, (1 * REGEXEXTRACT($BH$1, ""[\d.-]+"")) * {IF(AQ46 =""Labs Speed"", 1+'Master Sheet'!$BK$5, LAB_SPEED_TOTAL())},
    MaxLevel, VLOOKUP(AQ46,MS_Labs_Array,4,false),"&amp;"
    MaxOrTarget, IF(OR(TargetLevel = """",$AD$1 &lt;&gt; ""Target""), MaxLevel, TargetLevel),
    LabLevel, VLOOKUP(AQ46,MS_Labs_Array,2,False),
    DVTColumn, MATCH(AQ46, DVT_Laboratory!$A$1:BO$1, 0),
    xextTime, INDIRECT(""DVT_Laboratory!"" &amp; ADDRESS(LabLe"&amp;"vel+3, DVTColumn)) / LabSpeed,
    remainingTime, SUM(INDIRECT(""DVT_Laboratory!"" &amp; ADDRESS(LabLevel+3, DVTColumn) &amp; "":"" &amp; ADDRESS(MaxOrTarget+2, DVTColumn))) / LabSpeed,
  AQ46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6" s="1249"/>
      <c r="AU46" s="1249" t="str">
        <f>IFERROR(__xludf.DUMMYFUNCTION("""COMPUTED_VALUE"""),"Protector Damage Reduction
  Lab Level:      0 / 20 (Max)
  Next Level:    0d  4h 14m
  Max Level:     17d  7h 45m")</f>
        <v>Protector Damage Reduction
  Lab Level:      0 / 20 (Max)
  Next Level:    0d  4h 14m
  Max Level:     17d  7h 45m</v>
      </c>
      <c r="AV46" s="1249" t="str">
        <f>IFERROR(__xludf.DUMMYFUNCTION("""COMPUTED_VALUE"""),"")</f>
        <v/>
      </c>
      <c r="AW46" s="1249"/>
      <c r="AX46" s="1250" t="str">
        <f>IFERROR(__xludf.DUMMYFUNCTION("if(AW46 &lt;&gt; """", 
  LET( 
    TargetLevel, VLOOKUP(AW46,MS_Labs_Array,3,false),
    MaxLevel, VLOOKUP(AW46,MS_Labs_Array,4,false),
    MaxOrTarget, IF(OR(TargetLevel = """",$AD$1 &lt;&gt; ""Target""), MaxLevel, TargetLevel),
    LabLevel, VLOOKUP(AW46,MS_Labs_A"&amp;"rray,2,False),
    Levelprogress, LabLevel / MaxOrTarget,
    DVTColumn, MATCH(AW46,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6" s="1251" t="str">
        <f>IFERROR(__xludf.DUMMYFUNCTION("if(AW46 &lt;&gt; """", 
  LET(
    TargetLevel, VLOOKUP(AW46,MS_Labs_Array,3,false),
    LabSpeed, (1 * REGEXEXTRACT($BH$1, ""[\d.-]+"")) * {IF(AW46 =""Labs Speed"", 1+'Master Sheet'!$BK$5, LAB_SPEED_TOTAL())},
    MaxLevel, VLOOKUP(AW46,MS_Labs_Array,4,false),"&amp;"
    MaxOrTarget, IF(OR(TargetLevel = """",$AD$1 &lt;&gt; ""Target""), MaxLevel, TargetLevel),
    LabLevel, VLOOKUP(AW46,MS_Labs_Array,2,False),
    DVTColumn, MATCH(AW46, DVT_Laboratory!$A$1:BO$1, 0),
    xextTime, INDIRECT(""DVT_Laboratory!"" &amp; ADDRESS(LabLe"&amp;"vel+3, DVTColumn)) / LabSpeed,
    remainingTime, SUM(INDIRECT(""DVT_Laboratory!"" &amp; ADDRESS(LabLevel+3, DVTColumn) &amp; "":"" &amp; ADDRESS(MaxOrTarget+2, DVTColumn))) / LabSpeed,
  AW46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6" s="1249"/>
      <c r="BA46" s="1249" t="str">
        <f>IFERROR(__xludf.DUMMYFUNCTION("""COMPUTED_VALUE"""),"Tank Enemy Attack
  Lab Level:      0 / 30 (Max)
  Next Level:    0d  3h 31m
  Max Level:     78d 13h  3m")</f>
        <v>Tank Enemy Attack
  Lab Level:      0 / 30 (Max)
  Next Level:    0d  3h 31m
  Max Level:     78d 13h  3m</v>
      </c>
      <c r="BB46" s="1249" t="str">
        <f>IFERROR(__xludf.DUMMYFUNCTION("""COMPUTED_VALUE"""),"")</f>
        <v/>
      </c>
      <c r="BC46" s="1249"/>
      <c r="BD46" s="1250" t="str">
        <f>IFERROR(__xludf.DUMMYFUNCTION("if(BC46 &lt;&gt; """", 
  LET( 
    TargetLevel, VLOOKUP(BC46,MS_Labs_Array,3,false),
    MaxLevel, VLOOKUP(BC46,MS_Labs_Array,4,false),
    MaxOrTarget, IF(OR(TargetLevel = """",$AD$1 &lt;&gt; ""Target""), MaxLevel, TargetLevel),
    LabLevel, VLOOKUP(BC46,MS_Labs_A"&amp;"rray,2,False),
    Levelprogress, LabLevel / MaxOrTarget,
    DVTColumn, MATCH(BC46,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6" s="1251" t="str">
        <f>IFERROR(__xludf.DUMMYFUNCTION("if(BC46 &lt;&gt; """", 
  LET(
    TargetLevel, VLOOKUP(BC46,MS_Labs_Array,3,false),
    LabSpeed, (1 * REGEXEXTRACT($BH$1, ""[\d.-]+"")) * {IF(BC46 =""Labs Speed"", 1+'Master Sheet'!$BK$5, LAB_SPEED_TOTAL())},
    MaxLevel, VLOOKUP(BC46,MS_Labs_Array,4,false),"&amp;"
    MaxOrTarget, IF(OR(TargetLevel = """",$AD$1 &lt;&gt; ""Target""), MaxLevel, TargetLevel),
    LabLevel, VLOOKUP(BC46,MS_Labs_Array,2,False),
    DVTColumn, MATCH(BC46, DVT_Laboratory!$A$1:BO$1, 0),
    xextTime, INDIRECT(""DVT_Laboratory!"" &amp; ADDRESS(LabLe"&amp;"vel+3, DVTColumn)) / LabSpeed,
    remainingTime, SUM(INDIRECT(""DVT_Laboratory!"" &amp; ADDRESS(LabLevel+3, DVTColumn) &amp; "":"" &amp; ADDRESS(MaxOrTarget+2, DVTColumn))) / LabSpeed,
  BC46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6" s="1249"/>
      <c r="BG46" s="1249" t="str">
        <f>IFERROR(__xludf.DUMMYFUNCTION("""COMPUTED_VALUE"""),"")</f>
        <v/>
      </c>
      <c r="BH46" s="1260" t="str">
        <f>IFERROR(__xludf.DUMMYFUNCTION("""COMPUTED_VALUE"""),"")</f>
        <v/>
      </c>
      <c r="BI46" s="1252" t="str">
        <f>IFERROR(__xludf.DUMMYFUNCTION("""COMPUTED_VALUE"""),"Reroll Shards")</f>
        <v>Reroll Shards</v>
      </c>
      <c r="BJ46" s="1253" t="str">
        <f>IFERROR(__xludf.DUMMYFUNCTION("if(BI46 &lt;&gt; """", 
  LET( 
    TargetLevel, VLOOKUP(BI46,MS_Labs_Array,3,false),
    MaxLevel, VLOOKUP(BI46,MS_Labs_Array,4,false),
    MaxOrTarget, IF(OR(TargetLevel = """",$AD$1 &lt;&gt; ""Target""), MaxLevel, TargetLevel),
    LabLevel, VLOOKUP(BI46,MS_Labs_A"&amp;"rray,2,False),
    Levelprogress, IF(LabLevel &gt;= MaxOrTarget, 1, LabLevel / MaxOrTarget),
    DVTColumn, MATCH(BI46,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6" s="1254" t="str">
        <f>IFERROR(__xludf.DUMMYFUNCTION("if(BI46 &lt;&gt; """", 
  LET(
    TargetLevel, VLOOKUP(BI46,MS_Labs_Array,3,false),
    LabSpeed, (1 * REGEXEXTRACT($BH$1, ""[\d.-]+"")) * {IF(BI46 =""Labs Speed"", 1+'Master Sheet'!$BK$5, LAB_SPEED_TOTAL())},
    MaxLevel, VLOOKUP(BI46,MS_Labs_Array,4,false),"&amp;"
    MaxOrTarget, IF(OR(TargetLevel = """",$AD$1 &lt;&gt; ""Target""), MaxLevel, TargetLevel),
    LabLevel, VLOOKUP(BI46,MS_Labs_Array,2,False),
    DVTColumn, MATCH(BI46, DVT_Laboratory!$A$1:BO$1, 0),
    xextTime, INDIRECT(""DVT_Laboratory!"" &amp; ADDRESS(LabLe"&amp;"vel+3, DVTColumn)) / LabSpeed,
    remainingTime, SUM(INDIRECT(""DVT_Laboratory!"" &amp; ADDRESS(LabLevel+3, DVTColumn) &amp; "":"" &amp; ADDRESS(MaxOrTarget+2, DVTColumn))) / LabSpeed,
  BI46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"""")"),"Reroll Shards
  Lab Level:      100 / 100 (Target)
  Next Level:    30d 18h 56m
  Target Level: 31d  9h 57m")</f>
        <v>Reroll Shards
  Lab Level:      100 / 100 (Target)
  Next Level:    30d 18h 56m
  Target Level: 31d  9h 57m</v>
      </c>
      <c r="BL46" s="1252" t="str">
        <f>IFERROR(__xludf.DUMMYFUNCTION("""COMPUTED_VALUE"""),"The costs of rerolling get really high with better developed modules")</f>
        <v>The costs of rerolling get really high with better developed modules</v>
      </c>
      <c r="BM46" s="1252" t="str">
        <f>IFERROR(__xludf.DUMMYFUNCTION("""COMPUTED_VALUE"""),"Shock Multiplier
  Lab Level:      14 / 14 (Max)
  Next Level:    
  Max Level:     0d 17h 56m")</f>
        <v>Shock Multiplier
  Lab Level:      14 / 14 (Max)
  Next Level:    
  Max Level:     0d 17h 56m</v>
      </c>
      <c r="BN46" s="1222"/>
      <c r="BO46" s="1261"/>
    </row>
    <row r="47">
      <c r="A47" s="1222"/>
      <c r="B47" s="1274"/>
      <c r="C47" s="1289"/>
      <c r="D47" s="1274"/>
      <c r="E47" s="1274"/>
      <c r="F47" s="1274"/>
      <c r="G47" s="1296"/>
      <c r="H47" s="1297"/>
      <c r="I47" s="1297"/>
      <c r="J47" s="1248"/>
      <c r="K47" s="1229"/>
      <c r="L47" s="1249"/>
      <c r="M47" s="1249"/>
      <c r="N47" s="1250" t="str">
        <f>IFERROR(__xludf.DUMMYFUNCTION("if(M47 &lt;&gt; """", 
  LET( 
    TargetLevel, VLOOKUP(M47,MS_Labs_Array,3,false),
    MaxLevel, VLOOKUP(M47,MS_Labs_Array,4,false),
    MaxOrTarget, IF(OR(TargetLevel = """",$AD$1 &lt;&gt; ""Target""), MaxLevel, TargetLevel),
    LabLevel, VLOOKUP(M47,MS_Labs_Array"&amp;",2,False),
    Levelprogress, LabLevel / MaxOrTarget,
    DVTColumn, MATCH(M47,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7" s="1251" t="str">
        <f>IFERROR(__xludf.DUMMYFUNCTION("if(M47 &lt;&gt; """", 
  LET(
    TargetLevel, VLOOKUP(M47,MS_Labs_Array,3,false),
    LabSpeed, (1 * REGEXEXTRACT($BH$1, ""[\d.-]+"")) * {IF(M47 =""Labs Speed"", 1+'Master Sheet'!$BK$5, LAB_SPEED_TOTAL())},
    MaxLevel, VLOOKUP(M47,MS_Labs_Array,4,false),
   "&amp;" MaxOrTarget, IF(OR(TargetLevel = """",$AD$1 &lt;&gt; ""Target""), MaxLevel, TargetLevel),
    LabLevel, VLOOKUP(M47,MS_Labs_Array,2,False),
    DVTColumn, MATCH(M47, DVT_Laboratory!$A$1:BO$1, 0),
    xextTime, INDIRECT(""DVT_Laboratory!"" &amp; ADDRESS(LabLevel+3,"&amp;" DVTColumn)) / LabSpeed,
    remainingTime, SUM(INDIRECT(""DVT_Laboratory!"" &amp; ADDRESS(LabLevel+3, DVTColumn) &amp; "":"" &amp; ADDRESS(MaxOrTarget+2, DVTColumn))) / LabSpeed,
  M47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7" s="1249"/>
      <c r="Q47" s="1249"/>
      <c r="R47" s="1249"/>
      <c r="S47" s="1249"/>
      <c r="T47" s="1250" t="str">
        <f>IFERROR(__xludf.DUMMYFUNCTION("if(S47 &lt;&gt; """", 
  LET( 
    TargetLevel, VLOOKUP(S47,MS_Labs_Array,3,false),
    MaxLevel, VLOOKUP(S47,MS_Labs_Array,4,false),
    MaxOrTarget, IF(OR(TargetLevel = """",$AD$1 &lt;&gt; ""Target""), MaxLevel, TargetLevel),
    LabLevel, VLOOKUP(S47,MS_Labs_Array"&amp;",2,False),
    Levelprogress, LabLevel / MaxOrTarget,
    DVTColumn, MATCH(S47,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7" s="1251" t="str">
        <f>IFERROR(__xludf.DUMMYFUNCTION("if(S47 &lt;&gt; """", 
  LET(
    TargetLevel, VLOOKUP(S47,MS_Labs_Array,3,false),
    LabSpeed, (1 * REGEXEXTRACT($BH$1, ""[\d.-]+"")) * {IF(S47 =""Labs Speed"", 1+'Master Sheet'!$BK$5, LAB_SPEED_TOTAL())},
    MaxLevel, VLOOKUP(S47,MS_Labs_Array,4,false),
   "&amp;" MaxOrTarget, IF(OR(TargetLevel = """",$AD$1 &lt;&gt; ""Target""), MaxLevel, TargetLevel),
    LabLevel, VLOOKUP(S47,MS_Labs_Array,2,False),
    DVTColumn, MATCH(S47, DVT_Laboratory!$A$1:BO$1, 0),
    xextTime, INDIRECT(""DVT_Laboratory!"" &amp; ADDRESS(LabLevel+3,"&amp;" DVTColumn)) / LabSpeed,
    remainingTime, SUM(INDIRECT(""DVT_Laboratory!"" &amp; ADDRESS(LabLevel+3, DVTColumn) &amp; "":"" &amp; ADDRESS(MaxOrTarget+2, DVTColumn))) / LabSpeed,
  S47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7" s="1249"/>
      <c r="W47" s="1249"/>
      <c r="X47" s="1249" t="str">
        <f>IFERROR(__xludf.DUMMYFUNCTION("""COMPUTED_VALUE"""),"Recharge Nuke")</f>
        <v>Recharge Nuke</v>
      </c>
      <c r="Y47" s="1249"/>
      <c r="Z47" s="1250" t="str">
        <f>IFERROR(__xludf.DUMMYFUNCTION("if(Y47 &lt;&gt; """", 
  LET( 
    TargetLevel, VLOOKUP(Y47,MS_Labs_Array,3,false),
    MaxLevel, VLOOKUP(Y47,MS_Labs_Array,4,false),
    MaxOrTarget, IF(OR(TargetLevel = """",$AD$1 &lt;&gt; ""Target""), MaxLevel, TargetLevel),
    LabLevel, VLOOKUP(Y47,MS_Labs_Array"&amp;",2,False),
    Levelprogress, LabLevel / MaxOrTarget,
    DVTColumn, MATCH(Y47,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7" s="1251" t="str">
        <f>IFERROR(__xludf.DUMMYFUNCTION("if(Y47 &lt;&gt; """", 
  LET(
    TargetLevel, VLOOKUP(Y47,MS_Labs_Array,3,false),
    LabSpeed, (1 * REGEXEXTRACT($BH$1, ""[\d.-]+"")) * {IF(Y47 =""Labs Speed"", 1+'Master Sheet'!$BK$5, LAB_SPEED_TOTAL())},
    MaxLevel, VLOOKUP(Y47,MS_Labs_Array,4,false),
   "&amp;" MaxOrTarget, IF(OR(TargetLevel = """",$AD$1 &lt;&gt; ""Target""), MaxLevel, TargetLevel),
    LabLevel, VLOOKUP(Y47,MS_Labs_Array,2,False),
    DVTColumn, MATCH(Y47, DVT_Laboratory!$A$1:BO$1, 0),
    xextTime, INDIRECT(""DVT_Laboratory!"" &amp; ADDRESS(LabLevel+3,"&amp;" DVTColumn)) / LabSpeed,
    remainingTime, SUM(INDIRECT(""DVT_Laboratory!"" &amp; ADDRESS(LabLevel+3, DVTColumn) &amp; "":"" &amp; ADDRESS(MaxOrTarget+2, DVTColumn))) / LabSpeed,
  Y47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7" s="1249"/>
      <c r="AC47" s="1249" t="str">
        <f>IFERROR(__xludf.DUMMYFUNCTION("""COMPUTED_VALUE"""),"Okay for the event mission when high level, essential to keep the effect of mastery going past 300 waves")</f>
        <v>Okay for the event mission when high level, essential to keep the effect of mastery going past 300 waves</v>
      </c>
      <c r="AD47" s="1249"/>
      <c r="AE47" s="1249"/>
      <c r="AF47" s="1250" t="str">
        <f>IFERROR(__xludf.DUMMYFUNCTION("if(AE47 &lt;&gt; """", 
  LET( 
    TargetLevel, VLOOKUP(AE47,MS_Labs_Array,3,false),
    MaxLevel, VLOOKUP(AE47,MS_Labs_Array,4,false),
    MaxOrTarget, IF(OR(TargetLevel = """",$AD$1 &lt;&gt; ""Target""), MaxLevel, TargetLevel),
    LabLevel, VLOOKUP(AE47,MS_Labs_A"&amp;"rray,2,False),
    Levelprogress, LabLevel / MaxOrTarget,
    DVTColumn, MATCH(AE47,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7" s="1251" t="str">
        <f>IFERROR(__xludf.DUMMYFUNCTION("if(AE47 &lt;&gt; """", 
  LET(
    TargetLevel, VLOOKUP(AE47,MS_Labs_Array,3,false),
    LabSpeed, (1 * REGEXEXTRACT($BH$1, ""[\d.-]+"")) * {IF(AE47 =""Labs Speed"", 1+'Master Sheet'!$BK$5, LAB_SPEED_TOTAL())},
    MaxLevel, VLOOKUP(AE47,MS_Labs_Array,4,false),"&amp;"
    MaxOrTarget, IF(OR(TargetLevel = """",$AD$1 &lt;&gt; ""Target""), MaxLevel, TargetLevel),
    LabLevel, VLOOKUP(AE47,MS_Labs_Array,2,False),
    DVTColumn, MATCH(AE47, DVT_Laboratory!$A$1:BO$1, 0),
    xextTime, INDIRECT(""DVT_Laboratory!"" &amp; ADDRESS(LabLe"&amp;"vel+3, DVTColumn)) / LabSpeed,
    remainingTime, SUM(INDIRECT(""DVT_Laboratory!"" &amp; ADDRESS(LabLevel+3, DVTColumn) &amp; "":"" &amp; ADDRESS(MaxOrTarget+2, DVTColumn))) / LabSpeed,
  AE47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7" s="1249"/>
      <c r="AI47" s="1249"/>
      <c r="AJ47" s="1249" t="str">
        <f>IFERROR(__xludf.DUMMYFUNCTION("""COMPUTED_VALUE"""),"Orb Resistance")</f>
        <v>Orb Resistance</v>
      </c>
      <c r="AK47" s="1249"/>
      <c r="AL47" s="1250" t="str">
        <f>IFERROR(__xludf.DUMMYFUNCTION("if(AK47 &lt;&gt; """", 
  LET( 
    TargetLevel, VLOOKUP(AK47,MS_Labs_Array,3,false),
    MaxLevel, VLOOKUP(AK47,MS_Labs_Array,4,false),
    MaxOrTarget, IF(OR(TargetLevel = """",$AD$1 &lt;&gt; ""Target""), MaxLevel, TargetLevel),
    LabLevel, VLOOKUP(AK47,MS_Labs_A"&amp;"rray,2,False),
    Levelprogress, LabLevel / MaxOrTarget,
    DVTColumn, MATCH(AK47,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7" s="1251" t="str">
        <f>IFERROR(__xludf.DUMMYFUNCTION("if(AK47 &lt;&gt; """", 
  LET(
    TargetLevel, VLOOKUP(AK47,MS_Labs_Array,3,false),
    LabSpeed, (1 * REGEXEXTRACT($BH$1, ""[\d.-]+"")) * {IF(AK47 =""Labs Speed"", 1+'Master Sheet'!$BK$5, LAB_SPEED_TOTAL())},
    MaxLevel, VLOOKUP(AK47,MS_Labs_Array,4,false),"&amp;"
    MaxOrTarget, IF(OR(TargetLevel = """",$AD$1 &lt;&gt; ""Target""), MaxLevel, TargetLevel),
    LabLevel, VLOOKUP(AK47,MS_Labs_Array,2,False),
    DVTColumn, MATCH(AK47, DVT_Laboratory!$A$1:BO$1, 0),
    xextTime, INDIRECT(""DVT_Laboratory!"" &amp; ADDRESS(LabLe"&amp;"vel+3, DVTColumn)) / LabSpeed,
    remainingTime, SUM(INDIRECT(""DVT_Laboratory!"" &amp; ADDRESS(LabLevel+3, DVTColumn) &amp; "":"" &amp; ADDRESS(MaxOrTarget+2, DVTColumn))) / LabSpeed,
  AK47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7" s="1249"/>
      <c r="AO47" s="1249" t="str">
        <f>IFERROR(__xludf.DUMMYFUNCTION("""COMPUTED_VALUE"""),"Resistances get far weaker than most battle conditions with how they substract the effect")</f>
        <v>Resistances get far weaker than most battle conditions with how they substract the effect</v>
      </c>
      <c r="AP47" s="1249" t="str">
        <f>IFERROR(__xludf.DUMMYFUNCTION("""COMPUTED_VALUE"""),"Ray Enemy Attack")</f>
        <v>Ray Enemy Attack</v>
      </c>
      <c r="AQ47" s="1249"/>
      <c r="AR47" s="1250" t="str">
        <f>IFERROR(__xludf.DUMMYFUNCTION("if(AQ47 &lt;&gt; """", 
  LET( 
    TargetLevel, VLOOKUP(AQ47,MS_Labs_Array,3,false),
    MaxLevel, VLOOKUP(AQ47,MS_Labs_Array,4,false),
    MaxOrTarget, IF(OR(TargetLevel = """",$AD$1 &lt;&gt; ""Target""), MaxLevel, TargetLevel),
    LabLevel, VLOOKUP(AQ47,MS_Labs_A"&amp;"rray,2,False),
    Levelprogress, LabLevel / MaxOrTarget,
    DVTColumn, MATCH(AQ47,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7" s="1251" t="str">
        <f>IFERROR(__xludf.DUMMYFUNCTION("if(AQ47 &lt;&gt; """", 
  LET(
    TargetLevel, VLOOKUP(AQ47,MS_Labs_Array,3,false),
    LabSpeed, (1 * REGEXEXTRACT($BH$1, ""[\d.-]+"")) * {IF(AQ47 =""Labs Speed"", 1+'Master Sheet'!$BK$5, LAB_SPEED_TOTAL())},
    MaxLevel, VLOOKUP(AQ47,MS_Labs_Array,4,false),"&amp;"
    MaxOrTarget, IF(OR(TargetLevel = """",$AD$1 &lt;&gt; ""Target""), MaxLevel, TargetLevel),
    LabLevel, VLOOKUP(AQ47,MS_Labs_Array,2,False),
    DVTColumn, MATCH(AQ47, DVT_Laboratory!$A$1:BO$1, 0),
    xextTime, INDIRECT(""DVT_Laboratory!"" &amp; ADDRESS(LabLe"&amp;"vel+3, DVTColumn)) / LabSpeed,
    remainingTime, SUM(INDIRECT(""DVT_Laboratory!"" &amp; ADDRESS(LabLevel+3, DVTColumn) &amp; "":"" &amp; ADDRESS(MaxOrTarget+2, DVTColumn))) / LabSpeed,
  AQ47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7" s="1249"/>
      <c r="AU47" s="1249"/>
      <c r="AV47" s="1249" t="str">
        <f>IFERROR(__xludf.DUMMYFUNCTION("""COMPUTED_VALUE"""),"Ranged Enemy Attack")</f>
        <v>Ranged Enemy Attack</v>
      </c>
      <c r="AW47" s="1249"/>
      <c r="AX47" s="1250" t="str">
        <f>IFERROR(__xludf.DUMMYFUNCTION("if(AW47 &lt;&gt; """", 
  LET( 
    TargetLevel, VLOOKUP(AW47,MS_Labs_Array,3,false),
    MaxLevel, VLOOKUP(AW47,MS_Labs_Array,4,false),
    MaxOrTarget, IF(OR(TargetLevel = """",$AD$1 &lt;&gt; ""Target""), MaxLevel, TargetLevel),
    LabLevel, VLOOKUP(AW47,MS_Labs_A"&amp;"rray,2,False),
    Levelprogress, LabLevel / MaxOrTarget,
    DVTColumn, MATCH(AW47,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7" s="1251" t="str">
        <f>IFERROR(__xludf.DUMMYFUNCTION("if(AW47 &lt;&gt; """", 
  LET(
    TargetLevel, VLOOKUP(AW47,MS_Labs_Array,3,false),
    LabSpeed, (1 * REGEXEXTRACT($BH$1, ""[\d.-]+"")) * {IF(AW47 =""Labs Speed"", 1+'Master Sheet'!$BK$5, LAB_SPEED_TOTAL())},
    MaxLevel, VLOOKUP(AW47,MS_Labs_Array,4,false),"&amp;"
    MaxOrTarget, IF(OR(TargetLevel = """",$AD$1 &lt;&gt; ""Target""), MaxLevel, TargetLevel),
    LabLevel, VLOOKUP(AW47,MS_Labs_Array,2,False),
    DVTColumn, MATCH(AW47, DVT_Laboratory!$A$1:BO$1, 0),
    xextTime, INDIRECT(""DVT_Laboratory!"" &amp; ADDRESS(LabLe"&amp;"vel+3, DVTColumn)) / LabSpeed,
    remainingTime, SUM(INDIRECT(""DVT_Laboratory!"" &amp; ADDRESS(LabLevel+3, DVTColumn) &amp; "":"" &amp; ADDRESS(MaxOrTarget+2, DVTColumn))) / LabSpeed,
  AW47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7" s="1249"/>
      <c r="BA47"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B47" s="1249"/>
      <c r="BC47" s="1249"/>
      <c r="BD47" s="1250" t="str">
        <f>IFERROR(__xludf.DUMMYFUNCTION("if(BC47 &lt;&gt; """", 
  LET( 
    TargetLevel, VLOOKUP(BC47,MS_Labs_Array,3,false),
    MaxLevel, VLOOKUP(BC47,MS_Labs_Array,4,false),
    MaxOrTarget, IF(OR(TargetLevel = """",$AD$1 &lt;&gt; ""Target""), MaxLevel, TargetLevel),
    LabLevel, VLOOKUP(BC47,MS_Labs_A"&amp;"rray,2,False),
    Levelprogress, LabLevel / MaxOrTarget,
    DVTColumn, MATCH(BC47,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7" s="1251" t="str">
        <f>IFERROR(__xludf.DUMMYFUNCTION("if(BC47 &lt;&gt; """", 
  LET(
    TargetLevel, VLOOKUP(BC47,MS_Labs_Array,3,false),
    LabSpeed, (1 * REGEXEXTRACT($BH$1, ""[\d.-]+"")) * {IF(BC47 =""Labs Speed"", 1+'Master Sheet'!$BK$5, LAB_SPEED_TOTAL())},
    MaxLevel, VLOOKUP(BC47,MS_Labs_Array,4,false),"&amp;"
    MaxOrTarget, IF(OR(TargetLevel = """",$AD$1 &lt;&gt; ""Target""), MaxLevel, TargetLevel),
    LabLevel, VLOOKUP(BC47,MS_Labs_Array,2,False),
    DVTColumn, MATCH(BC47, DVT_Laboratory!$A$1:BO$1, 0),
    xextTime, INDIRECT(""DVT_Laboratory!"" &amp; ADDRESS(LabLe"&amp;"vel+3, DVTColumn)) / LabSpeed,
    remainingTime, SUM(INDIRECT(""DVT_Laboratory!"" &amp; ADDRESS(LabLevel+3, DVTColumn) &amp; "":"" &amp; ADDRESS(MaxOrTarget+2, DVTColumn))) / LabSpeed,
  BC47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7" s="1249"/>
      <c r="BG47" s="1249"/>
      <c r="BH47" s="1260" t="str">
        <f>IFERROR(__xludf.DUMMYFUNCTION("""COMPUTED_VALUE"""),"Death Wave Health")</f>
        <v>Death Wave Health</v>
      </c>
      <c r="BI47" s="1252" t="str">
        <f>IFERROR(__xludf.DUMMYFUNCTION("""COMPUTED_VALUE"""),"Daily Mission Shards")</f>
        <v>Daily Mission Shards</v>
      </c>
      <c r="BJ47" s="1253" t="str">
        <f>IFERROR(__xludf.DUMMYFUNCTION("if(BI47 &lt;&gt; """", 
  LET( 
    TargetLevel, VLOOKUP(BI47,MS_Labs_Array,3,false),
    MaxLevel, VLOOKUP(BI47,MS_Labs_Array,4,false),
    MaxOrTarget, IF(OR(TargetLevel = """",$AD$1 &lt;&gt; ""Target""), MaxLevel, TargetLevel),
    LabLevel, VLOOKUP(BI47,MS_Labs_A"&amp;"rray,2,False),
    Levelprogress, IF(LabLevel &gt;= MaxOrTarget, 1, LabLevel / MaxOrTarget),
    DVTColumn, MATCH(BI47,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7" s="1254" t="str">
        <f>IFERROR(__xludf.DUMMYFUNCTION("if(BI47 &lt;&gt; """", 
  LET(
    TargetLevel, VLOOKUP(BI47,MS_Labs_Array,3,false),
    LabSpeed, (1 * REGEXEXTRACT($BH$1, ""[\d.-]+"")) * {IF(BI47 =""Labs Speed"", 1+'Master Sheet'!$BK$5, LAB_SPEED_TOTAL())},
    MaxLevel, VLOOKUP(BI47,MS_Labs_Array,4,false),"&amp;"
    MaxOrTarget, IF(OR(TargetLevel = """",$AD$1 &lt;&gt; ""Target""), MaxLevel, TargetLevel),
    LabLevel, VLOOKUP(BI47,MS_Labs_Array,2,False),
    DVTColumn, MATCH(BI47, DVT_Laboratory!$A$1:BO$1, 0),
    xextTime, INDIRECT(""DVT_Laboratory!"" &amp; ADDRESS(LabLe"&amp;"vel+3, DVTColumn)) / LabSpeed,
    remainingTime, SUM(INDIRECT(""DVT_Laboratory!"" &amp; ADDRESS(LabLevel+3, DVTColumn) &amp; "":"" &amp; ADDRESS(MaxOrTarget+2, DVTColumn))) / LabSpeed,
  BI47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"""")"),"Daily Mission Shards
  Lab Level:      50 / 50 (Target)
  Next Level:    
  Target Level: 0d 18h 47m")</f>
        <v>Daily Mission Shards
  Lab Level:      50 / 50 (Target)
  Next Level:    
  Target Level: 0d 18h 47m</v>
      </c>
      <c r="BL47" s="1252" t="str">
        <f>IFERROR(__xludf.DUMMYFUNCTION("""COMPUTED_VALUE"""),"Very important long term for shard income. Affects most stats")</f>
        <v>Very important long term for shard income. Affects most stats</v>
      </c>
      <c r="BM47" s="1252" t="str">
        <f>IFERROR(__xludf.DUMMYFUNCTION("""COMPUTED_VALUE"""),"Very good for farm, dubious use in tourney")</f>
        <v>Very good for farm, dubious use in tourney</v>
      </c>
      <c r="BN47" s="1222"/>
      <c r="BO47" s="1261"/>
    </row>
    <row r="48" ht="7.5" customHeight="1">
      <c r="A48" s="1222"/>
      <c r="B48" s="1240" t="s">
        <v>552</v>
      </c>
      <c r="C48" s="1298" t="s">
        <v>157</v>
      </c>
      <c r="D48" s="1280" t="str">
        <f>VLOOKUP(C48,'Remote Tier List'!A:D, 2, FALSE)</f>
        <v>B</v>
      </c>
      <c r="E48" s="1281" t="str">
        <f>VLOOKUP(C48,'Remote Tier List'!A:D, 3, FALSE)</f>
        <v/>
      </c>
      <c r="F48" s="1282" t="str">
        <f>VLOOKUP(C48,'Remote Tier List'!A:D, 4, FALSE)</f>
        <v>Cash has limited usability</v>
      </c>
      <c r="G48" s="1245" t="b">
        <f t="shared" ref="G48:G59" si="16">LET(
  LabTierUnlock, DVT_LAB_UNLOCK_AT_TIER(C48),
  PlayerPbAtTier, IDS_PS_TIER_PB("Tier "&amp;LabTierUnlock),
  PlayerPb, "T"&amp;LabTierUnlock&amp;" "&amp;PlayerPbAtTier,
  DVT_HAS_LAB_UNLOCKED(C48, PlayerPb))</f>
        <v>1</v>
      </c>
      <c r="H48" s="1246" t="str">
        <f t="array" ref="H48:I48">LET(
  Lab, $C48,
  Mode, $AD$1,
  Level, VLOOKUP(Lab, MS_Labs_Array, 2, FALSE),
  Target, VLOOKUP(Lab, MS_Labs_Array, 3, FALSE),
  Max, VLOOKUP(Lab, MS_Labs_Array, 4, FALSE),
  Result,
    IF(
      AND(
        Mode &lt;&gt; "Never",
        Level &gt;= IF(OR(Target = "", Mode = "Max"), Max, Target)
      ),
      "Completed",
      ""
    ),
  HSTACK(
    IF(Result &lt;&gt; "", Result, $D48),
    IF(Result &lt;&gt; "", Result, IF($E48 = "", $D48, $E48))
  )
)</f>
        <v>B</v>
      </c>
      <c r="I48" s="1247" t="s">
        <v>546</v>
      </c>
      <c r="J48" s="1248" t="str">
        <f t="shared" ref="J48:J59" si="17">if(ISBLANK(F48),J47, F48)</f>
        <v>Cash has limited usability</v>
      </c>
      <c r="K48" s="1229"/>
      <c r="L48" s="1249" t="str">
        <f>IFERROR(__xludf.DUMMYFUNCTION("""COMPUTED_VALUE"""),"")</f>
        <v/>
      </c>
      <c r="M48" s="1249"/>
      <c r="N48" s="1250" t="str">
        <f>IFERROR(__xludf.DUMMYFUNCTION("if(M48 &lt;&gt; """", 
  LET( 
    TargetLevel, VLOOKUP(M48,MS_Labs_Array,3,false),
    MaxLevel, VLOOKUP(M48,MS_Labs_Array,4,false),
    MaxOrTarget, IF(OR(TargetLevel = """",$AD$1 &lt;&gt; ""Target""), MaxLevel, TargetLevel),
    LabLevel, VLOOKUP(M48,MS_Labs_Array"&amp;",2,False),
    Levelprogress, LabLevel / MaxOrTarget,
    DVTColumn, MATCH(M48,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8" s="1251" t="str">
        <f>IFERROR(__xludf.DUMMYFUNCTION("if(M48 &lt;&gt; """", 
  LET(
    TargetLevel, VLOOKUP(M48,MS_Labs_Array,3,false),
    LabSpeed, (1 * REGEXEXTRACT($BH$1, ""[\d.-]+"")) * {IF(M48 =""Labs Speed"", 1+'Master Sheet'!$BK$5, LAB_SPEED_TOTAL())},
    MaxLevel, VLOOKUP(M48,MS_Labs_Array,4,false),
   "&amp;" MaxOrTarget, IF(OR(TargetLevel = """",$AD$1 &lt;&gt; ""Target""), MaxLevel, TargetLevel),
    LabLevel, VLOOKUP(M48,MS_Labs_Array,2,False),
    DVTColumn, MATCH(M48, DVT_Laboratory!$A$1:BO$1, 0),
    xextTime, INDIRECT(""DVT_Laboratory!"" &amp; ADDRESS(LabLevel+3,"&amp;" DVTColumn)) / LabSpeed,
    remainingTime, SUM(INDIRECT(""DVT_Laboratory!"" &amp; ADDRESS(LabLevel+3, DVTColumn) &amp; "":"" &amp; ADDRESS(MaxOrTarget+2, DVTColumn))) / LabSpeed,
  M48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8" s="1249"/>
      <c r="Q48" s="1249" t="str">
        <f>IFERROR(__xludf.DUMMYFUNCTION("""COMPUTED_VALUE"""),"")</f>
        <v/>
      </c>
      <c r="R48" s="1249" t="str">
        <f>IFERROR(__xludf.DUMMYFUNCTION("""COMPUTED_VALUE"""),"")</f>
        <v/>
      </c>
      <c r="S48" s="1249"/>
      <c r="T48" s="1250" t="str">
        <f>IFERROR(__xludf.DUMMYFUNCTION("if(S48 &lt;&gt; """", 
  LET( 
    TargetLevel, VLOOKUP(S48,MS_Labs_Array,3,false),
    MaxLevel, VLOOKUP(S48,MS_Labs_Array,4,false),
    MaxOrTarget, IF(OR(TargetLevel = """",$AD$1 &lt;&gt; ""Target""), MaxLevel, TargetLevel),
    LabLevel, VLOOKUP(S48,MS_Labs_Array"&amp;",2,False),
    Levelprogress, LabLevel / MaxOrTarget,
    DVTColumn, MATCH(S48,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8" s="1251" t="str">
        <f>IFERROR(__xludf.DUMMYFUNCTION("if(S48 &lt;&gt; """", 
  LET(
    TargetLevel, VLOOKUP(S48,MS_Labs_Array,3,false),
    LabSpeed, (1 * REGEXEXTRACT($BH$1, ""[\d.-]+"")) * {IF(S48 =""Labs Speed"", 1+'Master Sheet'!$BK$5, LAB_SPEED_TOTAL())},
    MaxLevel, VLOOKUP(S48,MS_Labs_Array,4,false),
   "&amp;" MaxOrTarget, IF(OR(TargetLevel = """",$AD$1 &lt;&gt; ""Target""), MaxLevel, TargetLevel),
    LabLevel, VLOOKUP(S48,MS_Labs_Array,2,False),
    DVTColumn, MATCH(S48, DVT_Laboratory!$A$1:BO$1, 0),
    xextTime, INDIRECT(""DVT_Laboratory!"" &amp; ADDRESS(LabLevel+3,"&amp;" DVTColumn)) / LabSpeed,
    remainingTime, SUM(INDIRECT(""DVT_Laboratory!"" &amp; ADDRESS(LabLevel+3, DVTColumn) &amp; "":"" &amp; ADDRESS(MaxOrTarget+2, DVTColumn))) / LabSpeed,
  S48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8" s="1249"/>
      <c r="W48" s="1249" t="str">
        <f>IFERROR(__xludf.DUMMYFUNCTION("""COMPUTED_VALUE"""),"")</f>
        <v/>
      </c>
      <c r="X48" s="1249" t="str">
        <f>IFERROR(__xludf.DUMMYFUNCTION("""COMPUTED_VALUE"""),"")</f>
        <v/>
      </c>
      <c r="Y48" s="1249"/>
      <c r="Z48" s="1250" t="str">
        <f>IFERROR(__xludf.DUMMYFUNCTION("if(Y48 &lt;&gt; """", 
  LET( 
    TargetLevel, VLOOKUP(Y48,MS_Labs_Array,3,false),
    MaxLevel, VLOOKUP(Y48,MS_Labs_Array,4,false),
    MaxOrTarget, IF(OR(TargetLevel = """",$AD$1 &lt;&gt; ""Target""), MaxLevel, TargetLevel),
    LabLevel, VLOOKUP(Y48,MS_Labs_Array"&amp;",2,False),
    Levelprogress, LabLevel / MaxOrTarget,
    DVTColumn, MATCH(Y48,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8" s="1251" t="str">
        <f>IFERROR(__xludf.DUMMYFUNCTION("if(Y48 &lt;&gt; """", 
  LET(
    TargetLevel, VLOOKUP(Y48,MS_Labs_Array,3,false),
    LabSpeed, (1 * REGEXEXTRACT($BH$1, ""[\d.-]+"")) * {IF(Y48 =""Labs Speed"", 1+'Master Sheet'!$BK$5, LAB_SPEED_TOTAL())},
    MaxLevel, VLOOKUP(Y48,MS_Labs_Array,4,false),
   "&amp;" MaxOrTarget, IF(OR(TargetLevel = """",$AD$1 &lt;&gt; ""Target""), MaxLevel, TargetLevel),
    LabLevel, VLOOKUP(Y48,MS_Labs_Array,2,False),
    DVTColumn, MATCH(Y48, DVT_Laboratory!$A$1:BO$1, 0),
    xextTime, INDIRECT(""DVT_Laboratory!"" &amp; ADDRESS(LabLevel+3,"&amp;" DVTColumn)) / LabSpeed,
    remainingTime, SUM(INDIRECT(""DVT_Laboratory!"" &amp; ADDRESS(LabLevel+3, DVTColumn) &amp; "":"" &amp; ADDRESS(MaxOrTarget+2, DVTColumn))) / LabSpeed,
  Y48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8" s="1249"/>
      <c r="AC48" s="1249" t="str">
        <f>IFERROR(__xludf.DUMMYFUNCTION("""COMPUTED_VALUE"""),"Recharge Nuke
  Lab Level:      2 / 7 (Max)
  Next Level:    0d 12h 15m
  Max Level:     6d 21h  5m")</f>
        <v>Recharge Nuke
  Lab Level:      2 / 7 (Max)
  Next Level:    0d 12h 15m
  Max Level:     6d 21h  5m</v>
      </c>
      <c r="AD48" s="1249" t="str">
        <f>IFERROR(__xludf.DUMMYFUNCTION("""COMPUTED_VALUE"""),"")</f>
        <v/>
      </c>
      <c r="AE48" s="1249"/>
      <c r="AF48" s="1250" t="str">
        <f>IFERROR(__xludf.DUMMYFUNCTION("if(AE48 &lt;&gt; """", 
  LET( 
    TargetLevel, VLOOKUP(AE48,MS_Labs_Array,3,false),
    MaxLevel, VLOOKUP(AE48,MS_Labs_Array,4,false),
    MaxOrTarget, IF(OR(TargetLevel = """",$AD$1 &lt;&gt; ""Target""), MaxLevel, TargetLevel),
    LabLevel, VLOOKUP(AE48,MS_Labs_A"&amp;"rray,2,False),
    Levelprogress, LabLevel / MaxOrTarget,
    DVTColumn, MATCH(AE48,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8" s="1251" t="str">
        <f>IFERROR(__xludf.DUMMYFUNCTION("if(AE48 &lt;&gt; """", 
  LET(
    TargetLevel, VLOOKUP(AE48,MS_Labs_Array,3,false),
    LabSpeed, (1 * REGEXEXTRACT($BH$1, ""[\d.-]+"")) * {IF(AE48 =""Labs Speed"", 1+'Master Sheet'!$BK$5, LAB_SPEED_TOTAL())},
    MaxLevel, VLOOKUP(AE48,MS_Labs_Array,4,false),"&amp;"
    MaxOrTarget, IF(OR(TargetLevel = """",$AD$1 &lt;&gt; ""Target""), MaxLevel, TargetLevel),
    LabLevel, VLOOKUP(AE48,MS_Labs_Array,2,False),
    DVTColumn, MATCH(AE48, DVT_Laboratory!$A$1:BO$1, 0),
    xextTime, INDIRECT(""DVT_Laboratory!"" &amp; ADDRESS(LabLe"&amp;"vel+3, DVTColumn)) / LabSpeed,
    remainingTime, SUM(INDIRECT(""DVT_Laboratory!"" &amp; ADDRESS(LabLevel+3, DVTColumn) &amp; "":"" &amp; ADDRESS(MaxOrTarget+2, DVTColumn))) / LabSpeed,
  AE48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8" s="1249"/>
      <c r="AI48" s="1249" t="str">
        <f>IFERROR(__xludf.DUMMYFUNCTION("""COMPUTED_VALUE"""),"")</f>
        <v/>
      </c>
      <c r="AJ48" s="1249" t="str">
        <f>IFERROR(__xludf.DUMMYFUNCTION("""COMPUTED_VALUE"""),"")</f>
        <v/>
      </c>
      <c r="AK48" s="1249"/>
      <c r="AL48" s="1250" t="str">
        <f>IFERROR(__xludf.DUMMYFUNCTION("if(AK48 &lt;&gt; """", 
  LET( 
    TargetLevel, VLOOKUP(AK48,MS_Labs_Array,3,false),
    MaxLevel, VLOOKUP(AK48,MS_Labs_Array,4,false),
    MaxOrTarget, IF(OR(TargetLevel = """",$AD$1 &lt;&gt; ""Target""), MaxLevel, TargetLevel),
    LabLevel, VLOOKUP(AK48,MS_Labs_A"&amp;"rray,2,False),
    Levelprogress, LabLevel / MaxOrTarget,
    DVTColumn, MATCH(AK48,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8" s="1251" t="str">
        <f>IFERROR(__xludf.DUMMYFUNCTION("if(AK48 &lt;&gt; """", 
  LET(
    TargetLevel, VLOOKUP(AK48,MS_Labs_Array,3,false),
    LabSpeed, (1 * REGEXEXTRACT($BH$1, ""[\d.-]+"")) * {IF(AK48 =""Labs Speed"", 1+'Master Sheet'!$BK$5, LAB_SPEED_TOTAL())},
    MaxLevel, VLOOKUP(AK48,MS_Labs_Array,4,false),"&amp;"
    MaxOrTarget, IF(OR(TargetLevel = """",$AD$1 &lt;&gt; ""Target""), MaxLevel, TargetLevel),
    LabLevel, VLOOKUP(AK48,MS_Labs_Array,2,False),
    DVTColumn, MATCH(AK48, DVT_Laboratory!$A$1:BO$1, 0),
    xextTime, INDIRECT(""DVT_Laboratory!"" &amp; ADDRESS(LabLe"&amp;"vel+3, DVTColumn)) / LabSpeed,
    remainingTime, SUM(INDIRECT(""DVT_Laboratory!"" &amp; ADDRESS(LabLevel+3, DVTColumn) &amp; "":"" &amp; ADDRESS(MaxOrTarget+2, DVTColumn))) / LabSpeed,
  AK48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8" s="1249"/>
      <c r="AO48" s="1249" t="str">
        <f>IFERROR(__xludf.DUMMYFUNCTION("""COMPUTED_VALUE"""),"Orb Resistance
  Lab Level:      0 / 20 (Max)
  Next Level:    0d 20h 35m
  Max Level:     180d  3h 45m")</f>
        <v>Orb Resistance
  Lab Level:      0 / 20 (Max)
  Next Level:    0d 20h 35m
  Max Level:     180d  3h 45m</v>
      </c>
      <c r="AP48" s="1249" t="str">
        <f>IFERROR(__xludf.DUMMYFUNCTION("""COMPUTED_VALUE"""),"")</f>
        <v/>
      </c>
      <c r="AQ48" s="1249"/>
      <c r="AR48" s="1250" t="str">
        <f>IFERROR(__xludf.DUMMYFUNCTION("if(AQ48 &lt;&gt; """", 
  LET( 
    TargetLevel, VLOOKUP(AQ48,MS_Labs_Array,3,false),
    MaxLevel, VLOOKUP(AQ48,MS_Labs_Array,4,false),
    MaxOrTarget, IF(OR(TargetLevel = """",$AD$1 &lt;&gt; ""Target""), MaxLevel, TargetLevel),
    LabLevel, VLOOKUP(AQ48,MS_Labs_A"&amp;"rray,2,False),
    Levelprogress, LabLevel / MaxOrTarget,
    DVTColumn, MATCH(AQ48,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8" s="1251" t="str">
        <f>IFERROR(__xludf.DUMMYFUNCTION("if(AQ48 &lt;&gt; """", 
  LET(
    TargetLevel, VLOOKUP(AQ48,MS_Labs_Array,3,false),
    LabSpeed, (1 * REGEXEXTRACT($BH$1, ""[\d.-]+"")) * {IF(AQ48 =""Labs Speed"", 1+'Master Sheet'!$BK$5, LAB_SPEED_TOTAL())},
    MaxLevel, VLOOKUP(AQ48,MS_Labs_Array,4,false),"&amp;"
    MaxOrTarget, IF(OR(TargetLevel = """",$AD$1 &lt;&gt; ""Target""), MaxLevel, TargetLevel),
    LabLevel, VLOOKUP(AQ48,MS_Labs_Array,2,False),
    DVTColumn, MATCH(AQ48, DVT_Laboratory!$A$1:BO$1, 0),
    xextTime, INDIRECT(""DVT_Laboratory!"" &amp; ADDRESS(LabLe"&amp;"vel+3, DVTColumn)) / LabSpeed,
    remainingTime, SUM(INDIRECT(""DVT_Laboratory!"" &amp; ADDRESS(LabLevel+3, DVTColumn) &amp; "":"" &amp; ADDRESS(MaxOrTarget+2, DVTColumn))) / LabSpeed,
  AQ48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8" s="1249"/>
      <c r="AU48" s="1249" t="str">
        <f>IFERROR(__xludf.DUMMYFUNCTION("""COMPUTED_VALUE"""),"Ray Enemy Attack
  Lab Level:      0 / 30 (Max)
  Next Level:    0d 16h 28m
  Max Level:     319d  3h 13m")</f>
        <v>Ray Enemy Attack
  Lab Level:      0 / 30 (Max)
  Next Level:    0d 16h 28m
  Max Level:     319d  3h 13m</v>
      </c>
      <c r="AV48" s="1249" t="str">
        <f>IFERROR(__xludf.DUMMYFUNCTION("""COMPUTED_VALUE"""),"")</f>
        <v/>
      </c>
      <c r="AW48" s="1249"/>
      <c r="AX48" s="1250" t="str">
        <f>IFERROR(__xludf.DUMMYFUNCTION("if(AW48 &lt;&gt; """", 
  LET( 
    TargetLevel, VLOOKUP(AW48,MS_Labs_Array,3,false),
    MaxLevel, VLOOKUP(AW48,MS_Labs_Array,4,false),
    MaxOrTarget, IF(OR(TargetLevel = """",$AD$1 &lt;&gt; ""Target""), MaxLevel, TargetLevel),
    LabLevel, VLOOKUP(AW48,MS_Labs_A"&amp;"rray,2,False),
    Levelprogress, LabLevel / MaxOrTarget,
    DVTColumn, MATCH(AW48,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8" s="1251" t="str">
        <f>IFERROR(__xludf.DUMMYFUNCTION("if(AW48 &lt;&gt; """", 
  LET(
    TargetLevel, VLOOKUP(AW48,MS_Labs_Array,3,false),
    LabSpeed, (1 * REGEXEXTRACT($BH$1, ""[\d.-]+"")) * {IF(AW48 =""Labs Speed"", 1+'Master Sheet'!$BK$5, LAB_SPEED_TOTAL())},
    MaxLevel, VLOOKUP(AW48,MS_Labs_Array,4,false),"&amp;"
    MaxOrTarget, IF(OR(TargetLevel = """",$AD$1 &lt;&gt; ""Target""), MaxLevel, TargetLevel),
    LabLevel, VLOOKUP(AW48,MS_Labs_Array,2,False),
    DVTColumn, MATCH(AW48, DVT_Laboratory!$A$1:BO$1, 0),
    xextTime, INDIRECT(""DVT_Laboratory!"" &amp; ADDRESS(LabLe"&amp;"vel+3, DVTColumn)) / LabSpeed,
    remainingTime, SUM(INDIRECT(""DVT_Laboratory!"" &amp; ADDRESS(LabLevel+3, DVTColumn) &amp; "":"" &amp; ADDRESS(MaxOrTarget+2, DVTColumn))) / LabSpeed,
  AW48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8" s="1249"/>
      <c r="BA48" s="1249" t="str">
        <f>IFERROR(__xludf.DUMMYFUNCTION("""COMPUTED_VALUE"""),"Ranged Enemy Attack
  Lab Level:      0 / 30 (Max)
  Next Level:    0d  3h 31m
  Max Level:     78d 13h  3m")</f>
        <v>Ranged Enemy Attack
  Lab Level:      0 / 30 (Max)
  Next Level:    0d  3h 31m
  Max Level:     78d 13h  3m</v>
      </c>
      <c r="BB48" s="1249" t="str">
        <f>IFERROR(__xludf.DUMMYFUNCTION("""COMPUTED_VALUE"""),"")</f>
        <v/>
      </c>
      <c r="BC48" s="1249"/>
      <c r="BD48" s="1250" t="str">
        <f>IFERROR(__xludf.DUMMYFUNCTION("if(BC48 &lt;&gt; """", 
  LET( 
    TargetLevel, VLOOKUP(BC48,MS_Labs_Array,3,false),
    MaxLevel, VLOOKUP(BC48,MS_Labs_Array,4,false),
    MaxOrTarget, IF(OR(TargetLevel = """",$AD$1 &lt;&gt; ""Target""), MaxLevel, TargetLevel),
    LabLevel, VLOOKUP(BC48,MS_Labs_A"&amp;"rray,2,False),
    Levelprogress, LabLevel / MaxOrTarget,
    DVTColumn, MATCH(BC48,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8" s="1251" t="str">
        <f>IFERROR(__xludf.DUMMYFUNCTION("if(BC48 &lt;&gt; """", 
  LET(
    TargetLevel, VLOOKUP(BC48,MS_Labs_Array,3,false),
    LabSpeed, (1 * REGEXEXTRACT($BH$1, ""[\d.-]+"")) * {IF(BC48 =""Labs Speed"", 1+'Master Sheet'!$BK$5, LAB_SPEED_TOTAL())},
    MaxLevel, VLOOKUP(BC48,MS_Labs_Array,4,false),"&amp;"
    MaxOrTarget, IF(OR(TargetLevel = """",$AD$1 &lt;&gt; ""Target""), MaxLevel, TargetLevel),
    LabLevel, VLOOKUP(BC48,MS_Labs_Array,2,False),
    DVTColumn, MATCH(BC48, DVT_Laboratory!$A$1:BO$1, 0),
    xextTime, INDIRECT(""DVT_Laboratory!"" &amp; ADDRESS(LabLe"&amp;"vel+3, DVTColumn)) / LabSpeed,
    remainingTime, SUM(INDIRECT(""DVT_Laboratory!"" &amp; ADDRESS(LabLevel+3, DVTColumn) &amp; "":"" &amp; ADDRESS(MaxOrTarget+2, DVTColumn))) / LabSpeed,
  BC48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8" s="1249"/>
      <c r="BG48" s="1249" t="str">
        <f>IFERROR(__xludf.DUMMYFUNCTION("""COMPUTED_VALUE"""),"")</f>
        <v/>
      </c>
      <c r="BH48" s="1260" t="str">
        <f>IFERROR(__xludf.DUMMYFUNCTION("""COMPUTED_VALUE"""),"")</f>
        <v/>
      </c>
      <c r="BI48" s="1252" t="str">
        <f>IFERROR(__xludf.DUMMYFUNCTION("""COMPUTED_VALUE"""),"Module Shards Cost")</f>
        <v>Module Shards Cost</v>
      </c>
      <c r="BJ48" s="1253" t="str">
        <f>IFERROR(__xludf.DUMMYFUNCTION("if(BI48 &lt;&gt; """", 
  LET( 
    TargetLevel, VLOOKUP(BI48,MS_Labs_Array,3,false),
    MaxLevel, VLOOKUP(BI48,MS_Labs_Array,4,false),
    MaxOrTarget, IF(OR(TargetLevel = """",$AD$1 &lt;&gt; ""Target""), MaxLevel, TargetLevel),
    LabLevel, VLOOKUP(BI48,MS_Labs_A"&amp;"rray,2,False),
    Levelprogress, IF(LabLevel &gt;= MaxOrTarget, 1, LabLevel / MaxOrTarget),
    DVTColumn, MATCH(BI48,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8" s="1254" t="str">
        <f>IFERROR(__xludf.DUMMYFUNCTION("if(BI48 &lt;&gt; """", 
  LET(
    TargetLevel, VLOOKUP(BI48,MS_Labs_Array,3,false),
    LabSpeed, (1 * REGEXEXTRACT($BH$1, ""[\d.-]+"")) * {IF(BI48 =""Labs Speed"", 1+'Master Sheet'!$BK$5, LAB_SPEED_TOTAL())},
    MaxLevel, VLOOKUP(BI48,MS_Labs_Array,4,false),"&amp;"
    MaxOrTarget, IF(OR(TargetLevel = """",$AD$1 &lt;&gt; ""Target""), MaxLevel, TargetLevel),
    LabLevel, VLOOKUP(BI48,MS_Labs_Array,2,False),
    DVTColumn, MATCH(BI48, DVT_Laboratory!$A$1:BO$1, 0),
    xextTime, INDIRECT(""DVT_Laboratory!"" &amp; ADDRESS(LabLe"&amp;"vel+3, DVTColumn)) / LabSpeed,
    remainingTime, SUM(INDIRECT(""DVT_Laboratory!"" &amp; ADDRESS(LabLevel+3, DVTColumn) &amp; "":"" &amp; ADDRESS(MaxOrTarget+2, DVTColumn))) / LabSpeed,
  BI48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"""")"),"Module Shards Cost
  Lab Level:      30 / 30 (Max)
  Next Level:    
  Max Level:     1d  6h 59m")</f>
        <v>Module Shards Cost
  Lab Level:      30 / 30 (Max)
  Next Level:    
  Max Level:     1d  6h 59m</v>
      </c>
      <c r="BL48" s="1252" t="str">
        <f>IFERROR(__xludf.DUMMYFUNCTION("""COMPUTED_VALUE"""),"Important but also retroactive")</f>
        <v>Important but also retroactive</v>
      </c>
      <c r="BM48" s="1252" t="str">
        <f>IFERROR(__xludf.DUMMYFUNCTION("""COMPUTED_VALUE"""),"Death Wave Health
  Lab Level:      30 / 30 (Max)
  Next Level:    
  Max Level:     1d  2h 15m")</f>
        <v>Death Wave Health
  Lab Level:      30 / 30 (Max)
  Next Level:    
  Max Level:     1d  2h 15m</v>
      </c>
      <c r="BN48" s="1222"/>
      <c r="BO48" s="1261"/>
    </row>
    <row r="49">
      <c r="A49" s="1222"/>
      <c r="B49" s="1257"/>
      <c r="C49" s="1299" t="s">
        <v>172</v>
      </c>
      <c r="D49" s="1280" t="str">
        <f>VLOOKUP(C49,'Remote Tier List'!A:D, 2, FALSE)</f>
        <v>F</v>
      </c>
      <c r="E49" s="1281" t="str">
        <f>VLOOKUP(C49,'Remote Tier List'!A:D, 3, FALSE)</f>
        <v/>
      </c>
      <c r="F49" s="1284" t="str">
        <f>VLOOKUP(C49,'Remote Tier List'!A:D, 4, FALSE)</f>
        <v>Kills from enemies matter a lot more</v>
      </c>
      <c r="G49" s="1245" t="b">
        <f t="shared" si="16"/>
        <v>1</v>
      </c>
      <c r="H49" s="1246" t="str">
        <f t="array" ref="H49:I49">LET(
  Lab, $C49,
  Mode, $AD$1,
  Level, VLOOKUP(Lab, MS_Labs_Array, 2, FALSE),
  Target, VLOOKUP(Lab, MS_Labs_Array, 3, FALSE),
  Max, VLOOKUP(Lab, MS_Labs_Array, 4, FALSE),
  Result,
    IF(
      AND(
        Mode &lt;&gt; "Never",
        Level &gt;= IF(OR(Target = "", Mode = "Max"), Max, Target)
      ),
      "Completed",
      ""
    ),
  HSTACK(
    IF(Result &lt;&gt; "", Result, $D49),
    IF(Result &lt;&gt; "", Result, IF($E49 = "", $D49, $E49))
  )
)</f>
        <v>F</v>
      </c>
      <c r="I49" s="1247" t="s">
        <v>549</v>
      </c>
      <c r="J49" s="1248" t="str">
        <f t="shared" si="17"/>
        <v>Kills from enemies matter a lot more</v>
      </c>
      <c r="K49" s="1229"/>
      <c r="L49" s="1249"/>
      <c r="M49" s="1249"/>
      <c r="N49" s="1250" t="str">
        <f>IFERROR(__xludf.DUMMYFUNCTION("if(M49 &lt;&gt; """", 
  LET( 
    TargetLevel, VLOOKUP(M49,MS_Labs_Array,3,false),
    MaxLevel, VLOOKUP(M49,MS_Labs_Array,4,false),
    MaxOrTarget, IF(OR(TargetLevel = """",$AD$1 &lt;&gt; ""Target""), MaxLevel, TargetLevel),
    LabLevel, VLOOKUP(M49,MS_Labs_Array"&amp;",2,False),
    Levelprogress, LabLevel / MaxOrTarget,
    DVTColumn, MATCH(M49,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9" s="1251" t="str">
        <f>IFERROR(__xludf.DUMMYFUNCTION("if(M49 &lt;&gt; """", 
  LET(
    TargetLevel, VLOOKUP(M49,MS_Labs_Array,3,false),
    LabSpeed, (1 * REGEXEXTRACT($BH$1, ""[\d.-]+"")) * {IF(M49 =""Labs Speed"", 1+'Master Sheet'!$BK$5, LAB_SPEED_TOTAL())},
    MaxLevel, VLOOKUP(M49,MS_Labs_Array,4,false),
   "&amp;" MaxOrTarget, IF(OR(TargetLevel = """",$AD$1 &lt;&gt; ""Target""), MaxLevel, TargetLevel),
    LabLevel, VLOOKUP(M49,MS_Labs_Array,2,False),
    DVTColumn, MATCH(M49, DVT_Laboratory!$A$1:BO$1, 0),
    xextTime, INDIRECT(""DVT_Laboratory!"" &amp; ADDRESS(LabLevel+3,"&amp;" DVTColumn)) / LabSpeed,
    remainingTime, SUM(INDIRECT(""DVT_Laboratory!"" &amp; ADDRESS(LabLevel+3, DVTColumn) &amp; "":"" &amp; ADDRESS(MaxOrTarget+2, DVTColumn))) / LabSpeed,
  M49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9" s="1249"/>
      <c r="Q49" s="1249"/>
      <c r="R49" s="1249"/>
      <c r="S49" s="1249"/>
      <c r="T49" s="1250" t="str">
        <f>IFERROR(__xludf.DUMMYFUNCTION("if(S49 &lt;&gt; """", 
  LET( 
    TargetLevel, VLOOKUP(S49,MS_Labs_Array,3,false),
    MaxLevel, VLOOKUP(S49,MS_Labs_Array,4,false),
    MaxOrTarget, IF(OR(TargetLevel = """",$AD$1 &lt;&gt; ""Target""), MaxLevel, TargetLevel),
    LabLevel, VLOOKUP(S49,MS_Labs_Array"&amp;",2,False),
    Levelprogress, LabLevel / MaxOrTarget,
    DVTColumn, MATCH(S49,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9" s="1251" t="str">
        <f>IFERROR(__xludf.DUMMYFUNCTION("if(S49 &lt;&gt; """", 
  LET(
    TargetLevel, VLOOKUP(S49,MS_Labs_Array,3,false),
    LabSpeed, (1 * REGEXEXTRACT($BH$1, ""[\d.-]+"")) * {IF(S49 =""Labs Speed"", 1+'Master Sheet'!$BK$5, LAB_SPEED_TOTAL())},
    MaxLevel, VLOOKUP(S49,MS_Labs_Array,4,false),
   "&amp;" MaxOrTarget, IF(OR(TargetLevel = """",$AD$1 &lt;&gt; ""Target""), MaxLevel, TargetLevel),
    LabLevel, VLOOKUP(S49,MS_Labs_Array,2,False),
    DVTColumn, MATCH(S49, DVT_Laboratory!$A$1:BO$1, 0),
    xextTime, INDIRECT(""DVT_Laboratory!"" &amp; ADDRESS(LabLevel+3,"&amp;" DVTColumn)) / LabSpeed,
    remainingTime, SUM(INDIRECT(""DVT_Laboratory!"" &amp; ADDRESS(LabLevel+3, DVTColumn) &amp; "":"" &amp; ADDRESS(MaxOrTarget+2, DVTColumn))) / LabSpeed,
  S49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9" s="1249"/>
      <c r="W49" s="1249"/>
      <c r="X49" s="1249" t="str">
        <f>IFERROR(__xludf.DUMMYFUNCTION("""COMPUTED_VALUE"""),"Ban Perks")</f>
        <v>Ban Perks</v>
      </c>
      <c r="Y49" s="1249"/>
      <c r="Z49" s="1250" t="str">
        <f>IFERROR(__xludf.DUMMYFUNCTION("if(Y49 &lt;&gt; """", 
  LET( 
    TargetLevel, VLOOKUP(Y49,MS_Labs_Array,3,false),
    MaxLevel, VLOOKUP(Y49,MS_Labs_Array,4,false),
    MaxOrTarget, IF(OR(TargetLevel = """",$AD$1 &lt;&gt; ""Target""), MaxLevel, TargetLevel),
    LabLevel, VLOOKUP(Y49,MS_Labs_Array"&amp;",2,False),
    Levelprogress, LabLevel / MaxOrTarget,
    DVTColumn, MATCH(Y49,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9" s="1251" t="str">
        <f>IFERROR(__xludf.DUMMYFUNCTION("if(Y49 &lt;&gt; """", 
  LET(
    TargetLevel, VLOOKUP(Y49,MS_Labs_Array,3,false),
    LabSpeed, (1 * REGEXEXTRACT($BH$1, ""[\d.-]+"")) * {IF(Y49 =""Labs Speed"", 1+'Master Sheet'!$BK$5, LAB_SPEED_TOTAL())},
    MaxLevel, VLOOKUP(Y49,MS_Labs_Array,4,false),
   "&amp;" MaxOrTarget, IF(OR(TargetLevel = """",$AD$1 &lt;&gt; ""Target""), MaxLevel, TargetLevel),
    LabLevel, VLOOKUP(Y49,MS_Labs_Array,2,False),
    DVTColumn, MATCH(Y49, DVT_Laboratory!$A$1:BO$1, 0),
    xextTime, INDIRECT(""DVT_Laboratory!"" &amp; ADDRESS(LabLevel+3,"&amp;" DVTColumn)) / LabSpeed,
    remainingTime, SUM(INDIRECT(""DVT_Laboratory!"" &amp; ADDRESS(LabLevel+3, DVTColumn) &amp; "":"" &amp; ADDRESS(MaxOrTarget+2, DVTColumn))) / LabSpeed,
  Y49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9" s="1249"/>
      <c r="AC49" s="1249" t="str">
        <f>IFERROR(__xludf.DUMMYFUNCTION("""COMPUTED_VALUE"""),"Allows you to ban perks that are useless or detrimental to your runs, do not ban Coin Trade Off")</f>
        <v>Allows you to ban perks that are useless or detrimental to your runs, do not ban Coin Trade Off</v>
      </c>
      <c r="AD49" s="1249"/>
      <c r="AE49" s="1249"/>
      <c r="AF49" s="1250" t="str">
        <f>IFERROR(__xludf.DUMMYFUNCTION("if(AE49 &lt;&gt; """", 
  LET( 
    TargetLevel, VLOOKUP(AE49,MS_Labs_Array,3,false),
    MaxLevel, VLOOKUP(AE49,MS_Labs_Array,4,false),
    MaxOrTarget, IF(OR(TargetLevel = """",$AD$1 &lt;&gt; ""Target""), MaxLevel, TargetLevel),
    LabLevel, VLOOKUP(AE49,MS_Labs_A"&amp;"rray,2,False),
    Levelprogress, LabLevel / MaxOrTarget,
    DVTColumn, MATCH(AE49,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9" s="1251" t="str">
        <f>IFERROR(__xludf.DUMMYFUNCTION("if(AE49 &lt;&gt; """", 
  LET(
    TargetLevel, VLOOKUP(AE49,MS_Labs_Array,3,false),
    LabSpeed, (1 * REGEXEXTRACT($BH$1, ""[\d.-]+"")) * {IF(AE49 =""Labs Speed"", 1+'Master Sheet'!$BK$5, LAB_SPEED_TOTAL())},
    MaxLevel, VLOOKUP(AE49,MS_Labs_Array,4,false),"&amp;"
    MaxOrTarget, IF(OR(TargetLevel = """",$AD$1 &lt;&gt; ""Target""), MaxLevel, TargetLevel),
    LabLevel, VLOOKUP(AE49,MS_Labs_Array,2,False),
    DVTColumn, MATCH(AE49, DVT_Laboratory!$A$1:BO$1, 0),
    xextTime, INDIRECT(""DVT_Laboratory!"" &amp; ADDRESS(LabLe"&amp;"vel+3, DVTColumn)) / LabSpeed,
    remainingTime, SUM(INDIRECT(""DVT_Laboratory!"" &amp; ADDRESS(LabLevel+3, DVTColumn) &amp; "":"" &amp; ADDRESS(MaxOrTarget+2, DVTColumn))) / LabSpeed,
  AE49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9" s="1249"/>
      <c r="AI49" s="1249"/>
      <c r="AJ49" s="1249" t="str">
        <f>IFERROR(__xludf.DUMMYFUNCTION("""COMPUTED_VALUE"""),"Plasma Cannon Resistance")</f>
        <v>Plasma Cannon Resistance</v>
      </c>
      <c r="AK49" s="1249"/>
      <c r="AL49" s="1250" t="str">
        <f>IFERROR(__xludf.DUMMYFUNCTION("if(AK49 &lt;&gt; """", 
  LET( 
    TargetLevel, VLOOKUP(AK49,MS_Labs_Array,3,false),
    MaxLevel, VLOOKUP(AK49,MS_Labs_Array,4,false),
    MaxOrTarget, IF(OR(TargetLevel = """",$AD$1 &lt;&gt; ""Target""), MaxLevel, TargetLevel),
    LabLevel, VLOOKUP(AK49,MS_Labs_A"&amp;"rray,2,False),
    Levelprogress, LabLevel / MaxOrTarget,
    DVTColumn, MATCH(AK49,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9" s="1251" t="str">
        <f>IFERROR(__xludf.DUMMYFUNCTION("if(AK49 &lt;&gt; """", 
  LET(
    TargetLevel, VLOOKUP(AK49,MS_Labs_Array,3,false),
    LabSpeed, (1 * REGEXEXTRACT($BH$1, ""[\d.-]+"")) * {IF(AK49 =""Labs Speed"", 1+'Master Sheet'!$BK$5, LAB_SPEED_TOTAL())},
    MaxLevel, VLOOKUP(AK49,MS_Labs_Array,4,false),"&amp;"
    MaxOrTarget, IF(OR(TargetLevel = """",$AD$1 &lt;&gt; ""Target""), MaxLevel, TargetLevel),
    LabLevel, VLOOKUP(AK49,MS_Labs_Array,2,False),
    DVTColumn, MATCH(AK49, DVT_Laboratory!$A$1:BO$1, 0),
    xextTime, INDIRECT(""DVT_Laboratory!"" &amp; ADDRESS(LabLe"&amp;"vel+3, DVTColumn)) / LabSpeed,
    remainingTime, SUM(INDIRECT(""DVT_Laboratory!"" &amp; ADDRESS(LabLevel+3, DVTColumn) &amp; "":"" &amp; ADDRESS(MaxOrTarget+2, DVTColumn))) / LabSpeed,
  AK49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9" s="1249"/>
      <c r="AO49" s="1249" t="str">
        <f>IFERROR(__xludf.DUMMYFUNCTION("""COMPUTED_VALUE"""),"Resistances get far weaker than most battle conditions with how they substract the effect")</f>
        <v>Resistances get far weaker than most battle conditions with how they substract the effect</v>
      </c>
      <c r="AP49" s="1249" t="str">
        <f>IFERROR(__xludf.DUMMYFUNCTION("""COMPUTED_VALUE"""),"Scatter Enemy Attack")</f>
        <v>Scatter Enemy Attack</v>
      </c>
      <c r="AQ49" s="1249"/>
      <c r="AR49" s="1250" t="str">
        <f>IFERROR(__xludf.DUMMYFUNCTION("if(AQ49 &lt;&gt; """", 
  LET( 
    TargetLevel, VLOOKUP(AQ49,MS_Labs_Array,3,false),
    MaxLevel, VLOOKUP(AQ49,MS_Labs_Array,4,false),
    MaxOrTarget, IF(OR(TargetLevel = """",$AD$1 &lt;&gt; ""Target""), MaxLevel, TargetLevel),
    LabLevel, VLOOKUP(AQ49,MS_Labs_A"&amp;"rray,2,False),
    Levelprogress, LabLevel / MaxOrTarget,
    DVTColumn, MATCH(AQ49,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9" s="1251" t="str">
        <f>IFERROR(__xludf.DUMMYFUNCTION("if(AQ49 &lt;&gt; """", 
  LET(
    TargetLevel, VLOOKUP(AQ49,MS_Labs_Array,3,false),
    LabSpeed, (1 * REGEXEXTRACT($BH$1, ""[\d.-]+"")) * {IF(AQ49 =""Labs Speed"", 1+'Master Sheet'!$BK$5, LAB_SPEED_TOTAL())},
    MaxLevel, VLOOKUP(AQ49,MS_Labs_Array,4,false),"&amp;"
    MaxOrTarget, IF(OR(TargetLevel = """",$AD$1 &lt;&gt; ""Target""), MaxLevel, TargetLevel),
    LabLevel, VLOOKUP(AQ49,MS_Labs_Array,2,False),
    DVTColumn, MATCH(AQ49, DVT_Laboratory!$A$1:BO$1, 0),
    xextTime, INDIRECT(""DVT_Laboratory!"" &amp; ADDRESS(LabLe"&amp;"vel+3, DVTColumn)) / LabSpeed,
    remainingTime, SUM(INDIRECT(""DVT_Laboratory!"" &amp; ADDRESS(LabLevel+3, DVTColumn) &amp; "":"" &amp; ADDRESS(MaxOrTarget+2, DVTColumn))) / LabSpeed,
  AQ49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9" s="1249"/>
      <c r="AU49" s="1249"/>
      <c r="AV49" s="1249" t="str">
        <f>IFERROR(__xludf.DUMMYFUNCTION("""COMPUTED_VALUE"""),"Boss Attack")</f>
        <v>Boss Attack</v>
      </c>
      <c r="AW49" s="1249"/>
      <c r="AX49" s="1250" t="str">
        <f>IFERROR(__xludf.DUMMYFUNCTION("if(AW49 &lt;&gt; """", 
  LET( 
    TargetLevel, VLOOKUP(AW49,MS_Labs_Array,3,false),
    MaxLevel, VLOOKUP(AW49,MS_Labs_Array,4,false),
    MaxOrTarget, IF(OR(TargetLevel = """",$AD$1 &lt;&gt; ""Target""), MaxLevel, TargetLevel),
    LabLevel, VLOOKUP(AW49,MS_Labs_A"&amp;"rray,2,False),
    Levelprogress, LabLevel / MaxOrTarget,
    DVTColumn, MATCH(AW49,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9" s="1251" t="str">
        <f>IFERROR(__xludf.DUMMYFUNCTION("if(AW49 &lt;&gt; """", 
  LET(
    TargetLevel, VLOOKUP(AW49,MS_Labs_Array,3,false),
    LabSpeed, (1 * REGEXEXTRACT($BH$1, ""[\d.-]+"")) * {IF(AW49 =""Labs Speed"", 1+'Master Sheet'!$BK$5, LAB_SPEED_TOTAL())},
    MaxLevel, VLOOKUP(AW49,MS_Labs_Array,4,false),"&amp;"
    MaxOrTarget, IF(OR(TargetLevel = """",$AD$1 &lt;&gt; ""Target""), MaxLevel, TargetLevel),
    LabLevel, VLOOKUP(AW49,MS_Labs_Array,2,False),
    DVTColumn, MATCH(AW49, DVT_Laboratory!$A$1:BO$1, 0),
    xextTime, INDIRECT(""DVT_Laboratory!"" &amp; ADDRESS(LabLe"&amp;"vel+3, DVTColumn)) / LabSpeed,
    remainingTime, SUM(INDIRECT(""DVT_Laboratory!"" &amp; ADDRESS(LabLevel+3, DVTColumn) &amp; "":"" &amp; ADDRESS(MaxOrTarget+2, DVTColumn))) / LabSpeed,
  AW49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9" s="1249"/>
      <c r="BA49" s="124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B49" s="1249"/>
      <c r="BC49" s="1249"/>
      <c r="BD49" s="1250" t="str">
        <f>IFERROR(__xludf.DUMMYFUNCTION("if(BC49 &lt;&gt; """", 
  LET( 
    TargetLevel, VLOOKUP(BC49,MS_Labs_Array,3,false),
    MaxLevel, VLOOKUP(BC49,MS_Labs_Array,4,false),
    MaxOrTarget, IF(OR(TargetLevel = """",$AD$1 &lt;&gt; ""Target""), MaxLevel, TargetLevel),
    LabLevel, VLOOKUP(BC49,MS_Labs_A"&amp;"rray,2,False),
    Levelprogress, LabLevel / MaxOrTarget,
    DVTColumn, MATCH(BC49,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9" s="1251" t="str">
        <f>IFERROR(__xludf.DUMMYFUNCTION("if(BC49 &lt;&gt; """", 
  LET(
    TargetLevel, VLOOKUP(BC49,MS_Labs_Array,3,false),
    LabSpeed, (1 * REGEXEXTRACT($BH$1, ""[\d.-]+"")) * {IF(BC49 =""Labs Speed"", 1+'Master Sheet'!$BK$5, LAB_SPEED_TOTAL())},
    MaxLevel, VLOOKUP(BC49,MS_Labs_Array,4,false),"&amp;"
    MaxOrTarget, IF(OR(TargetLevel = """",$AD$1 &lt;&gt; ""Target""), MaxLevel, TargetLevel),
    LabLevel, VLOOKUP(BC49,MS_Labs_Array,2,False),
    DVTColumn, MATCH(BC49, DVT_Laboratory!$A$1:BO$1, 0),
    xextTime, INDIRECT(""DVT_Laboratory!"" &amp; ADDRESS(LabLe"&amp;"vel+3, DVTColumn)) / LabSpeed,
    remainingTime, SUM(INDIRECT(""DVT_Laboratory!"" &amp; ADDRESS(LabLevel+3, DVTColumn) &amp; "":"" &amp; ADDRESS(MaxOrTarget+2, DVTColumn))) / LabSpeed,
  BC49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9" s="1249"/>
      <c r="BG49" s="1249"/>
      <c r="BH49" s="1260" t="str">
        <f>IFERROR(__xludf.DUMMYFUNCTION("""COMPUTED_VALUE"""),"Death Wave Coin Bonus")</f>
        <v>Death Wave Coin Bonus</v>
      </c>
      <c r="BI49" s="1252" t="str">
        <f>IFERROR(__xludf.DUMMYFUNCTION("""COMPUTED_VALUE"""),"Rare Drop Chance")</f>
        <v>Rare Drop Chance</v>
      </c>
      <c r="BJ49" s="1253" t="str">
        <f>IFERROR(__xludf.DUMMYFUNCTION("if(BI49 &lt;&gt; """", 
  LET( 
    TargetLevel, VLOOKUP(BI49,MS_Labs_Array,3,false),
    MaxLevel, VLOOKUP(BI49,MS_Labs_Array,4,false),
    MaxOrTarget, IF(OR(TargetLevel = """",$AD$1 &lt;&gt; ""Target""), MaxLevel, TargetLevel),
    LabLevel, VLOOKUP(BI49,MS_Labs_A"&amp;"rray,2,False),
    Levelprogress, IF(LabLevel &gt;= MaxOrTarget, 1, LabLevel / MaxOrTarget),
    DVTColumn, MATCH(BI49,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9" s="1254" t="str">
        <f>IFERROR(__xludf.DUMMYFUNCTION("if(BI49 &lt;&gt; """", 
  LET(
    TargetLevel, VLOOKUP(BI49,MS_Labs_Array,3,false),
    LabSpeed, (1 * REGEXEXTRACT($BH$1, ""[\d.-]+"")) * {IF(BI49 =""Labs Speed"", 1+'Master Sheet'!$BK$5, LAB_SPEED_TOTAL())},
    MaxLevel, VLOOKUP(BI49,MS_Labs_Array,4,false),"&amp;"
    MaxOrTarget, IF(OR(TargetLevel = """",$AD$1 &lt;&gt; ""Target""), MaxLevel, TargetLevel),
    LabLevel, VLOOKUP(BI49,MS_Labs_Array,2,False),
    DVTColumn, MATCH(BI49, DVT_Laboratory!$A$1:BO$1, 0),
    xextTime, INDIRECT(""DVT_Laboratory!"" &amp; ADDRESS(LabLe"&amp;"vel+3, DVTColumn)) / LabSpeed,
    remainingTime, SUM(INDIRECT(""DVT_Laboratory!"" &amp; ADDRESS(LabLevel+3, DVTColumn) &amp; "":"" &amp; ADDRESS(MaxOrTarget+2, DVTColumn))) / LabSpeed,
  BI49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"""")"),"Rare Drop Chance
  Lab Level:      10 / 10 (Target)
  Next Level:    
  Target Level: 0d 20h 59m")</f>
        <v>Rare Drop Chance
  Lab Level:      10 / 10 (Target)
  Next Level:    
  Target Level: 0d 20h 59m</v>
      </c>
      <c r="BL49" s="1252" t="str">
        <f>IFERROR(__xludf.DUMMYFUNCTION("""COMPUTED_VALUE"""),"Very important long term for fodder and shard income. Each level brings a big increase in the drop rate ")</f>
        <v>Very important long term for fodder and shard income. Each level brings a big increase in the drop rate </v>
      </c>
      <c r="BM49" s="1252" t="str">
        <f>IFERROR(__xludf.DUMMYFUNCTION("""COMPUTED_VALUE"""),"More econ always good")</f>
        <v>More econ always good</v>
      </c>
      <c r="BN49" s="1222"/>
      <c r="BO49" s="1261"/>
    </row>
    <row r="50" ht="7.5" customHeight="1">
      <c r="A50" s="1222"/>
      <c r="B50" s="1257"/>
      <c r="C50" s="1299" t="s">
        <v>183</v>
      </c>
      <c r="D50" s="1280" t="str">
        <f>VLOOKUP(C50,'Remote Tier List'!A:D, 2, FALSE)</f>
        <v>A</v>
      </c>
      <c r="E50" s="1281" t="str">
        <f>VLOOKUP(C50,'Remote Tier List'!A:D, 3, FALSE)</f>
        <v/>
      </c>
      <c r="F50" s="1284" t="str">
        <f>VLOOKUP(C50,'Remote Tier List'!A:D, 4, FALSE)</f>
        <v>Excellent lab, eventually max it, but balance it with UW econ labs</v>
      </c>
      <c r="G50" s="1245" t="b">
        <f t="shared" si="16"/>
        <v>1</v>
      </c>
      <c r="H50" s="1246" t="str">
        <f t="array" ref="H50:I50">LET(
  Lab, $C50,
  Mode, $AD$1,
  Level, VLOOKUP(Lab, MS_Labs_Array, 2, FALSE),
  Target, VLOOKUP(Lab, MS_Labs_Array, 3, FALSE),
  Max, VLOOKUP(Lab, MS_Labs_Array, 4, FALSE),
  Result,
    IF(
      AND(
        Mode &lt;&gt; "Never",
        Level &gt;= IF(OR(Target = "", Mode = "Max"), Max, Target)
      ),
      "Completed",
      ""
    ),
  HSTACK(
    IF(Result &lt;&gt; "", Result, $D50),
    IF(Result &lt;&gt; "", Result, IF($E50 = "", $D50, $E50))
  )
)</f>
        <v>A</v>
      </c>
      <c r="I50" s="1247" t="s">
        <v>545</v>
      </c>
      <c r="J50" s="1248" t="str">
        <f t="shared" si="17"/>
        <v>Excellent lab, eventually max it, but balance it with UW econ labs</v>
      </c>
      <c r="K50" s="1229"/>
      <c r="L50" s="1249" t="str">
        <f>IFERROR(__xludf.DUMMYFUNCTION("""COMPUTED_VALUE"""),"")</f>
        <v/>
      </c>
      <c r="M50" s="1249"/>
      <c r="N50" s="1250" t="str">
        <f>IFERROR(__xludf.DUMMYFUNCTION("if(M50 &lt;&gt; """", 
  LET( 
    TargetLevel, VLOOKUP(M50,MS_Labs_Array,3,false),
    MaxLevel, VLOOKUP(M50,MS_Labs_Array,4,false),
    MaxOrTarget, IF(OR(TargetLevel = """",$AD$1 &lt;&gt; ""Target""), MaxLevel, TargetLevel),
    LabLevel, VLOOKUP(M50,MS_Labs_Array"&amp;",2,False),
    Levelprogress, LabLevel / MaxOrTarget,
    DVTColumn, MATCH(M50,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0" s="1251" t="str">
        <f>IFERROR(__xludf.DUMMYFUNCTION("if(M50 &lt;&gt; """", 
  LET(
    TargetLevel, VLOOKUP(M50,MS_Labs_Array,3,false),
    LabSpeed, (1 * REGEXEXTRACT($BH$1, ""[\d.-]+"")) * {IF(M50 =""Labs Speed"", 1+'Master Sheet'!$BK$5, LAB_SPEED_TOTAL())},
    MaxLevel, VLOOKUP(M50,MS_Labs_Array,4,false),
   "&amp;" MaxOrTarget, IF(OR(TargetLevel = """",$AD$1 &lt;&gt; ""Target""), MaxLevel, TargetLevel),
    LabLevel, VLOOKUP(M50,MS_Labs_Array,2,False),
    DVTColumn, MATCH(M50, DVT_Laboratory!$A$1:BO$1, 0),
    xextTime, INDIRECT(""DVT_Laboratory!"" &amp; ADDRESS(LabLevel+3,"&amp;" DVTColumn)) / LabSpeed,
    remainingTime, SUM(INDIRECT(""DVT_Laboratory!"" &amp; ADDRESS(LabLevel+3, DVTColumn) &amp; "":"" &amp; ADDRESS(MaxOrTarget+2, DVTColumn))) / LabSpeed,
  M50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0" s="1249"/>
      <c r="Q50" s="1249" t="str">
        <f>IFERROR(__xludf.DUMMYFUNCTION("""COMPUTED_VALUE"""),"")</f>
        <v/>
      </c>
      <c r="R50" s="1249" t="str">
        <f>IFERROR(__xludf.DUMMYFUNCTION("""COMPUTED_VALUE"""),"")</f>
        <v/>
      </c>
      <c r="S50" s="1249"/>
      <c r="T50" s="1250" t="str">
        <f>IFERROR(__xludf.DUMMYFUNCTION("if(S50 &lt;&gt; """", 
  LET( 
    TargetLevel, VLOOKUP(S50,MS_Labs_Array,3,false),
    MaxLevel, VLOOKUP(S50,MS_Labs_Array,4,false),
    MaxOrTarget, IF(OR(TargetLevel = """",$AD$1 &lt;&gt; ""Target""), MaxLevel, TargetLevel),
    LabLevel, VLOOKUP(S50,MS_Labs_Array"&amp;",2,False),
    Levelprogress, LabLevel / MaxOrTarget,
    DVTColumn, MATCH(S50,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0" s="1251" t="str">
        <f>IFERROR(__xludf.DUMMYFUNCTION("if(S50 &lt;&gt; """", 
  LET(
    TargetLevel, VLOOKUP(S50,MS_Labs_Array,3,false),
    LabSpeed, (1 * REGEXEXTRACT($BH$1, ""[\d.-]+"")) * {IF(S50 =""Labs Speed"", 1+'Master Sheet'!$BK$5, LAB_SPEED_TOTAL())},
    MaxLevel, VLOOKUP(S50,MS_Labs_Array,4,false),
   "&amp;" MaxOrTarget, IF(OR(TargetLevel = """",$AD$1 &lt;&gt; ""Target""), MaxLevel, TargetLevel),
    LabLevel, VLOOKUP(S50,MS_Labs_Array,2,False),
    DVTColumn, MATCH(S50, DVT_Laboratory!$A$1:BO$1, 0),
    xextTime, INDIRECT(""DVT_Laboratory!"" &amp; ADDRESS(LabLevel+3,"&amp;" DVTColumn)) / LabSpeed,
    remainingTime, SUM(INDIRECT(""DVT_Laboratory!"" &amp; ADDRESS(LabLevel+3, DVTColumn) &amp; "":"" &amp; ADDRESS(MaxOrTarget+2, DVTColumn))) / LabSpeed,
  S50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0" s="1249"/>
      <c r="W50" s="1249" t="str">
        <f>IFERROR(__xludf.DUMMYFUNCTION("""COMPUTED_VALUE"""),"")</f>
        <v/>
      </c>
      <c r="X50" s="1249" t="str">
        <f>IFERROR(__xludf.DUMMYFUNCTION("""COMPUTED_VALUE"""),"")</f>
        <v/>
      </c>
      <c r="Y50" s="1249"/>
      <c r="Z50" s="1250" t="str">
        <f>IFERROR(__xludf.DUMMYFUNCTION("if(Y50 &lt;&gt; """", 
  LET( 
    TargetLevel, VLOOKUP(Y50,MS_Labs_Array,3,false),
    MaxLevel, VLOOKUP(Y50,MS_Labs_Array,4,false),
    MaxOrTarget, IF(OR(TargetLevel = """",$AD$1 &lt;&gt; ""Target""), MaxLevel, TargetLevel),
    LabLevel, VLOOKUP(Y50,MS_Labs_Array"&amp;",2,False),
    Levelprogress, LabLevel / MaxOrTarget,
    DVTColumn, MATCH(Y50,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0" s="1251" t="str">
        <f>IFERROR(__xludf.DUMMYFUNCTION("if(Y50 &lt;&gt; """", 
  LET(
    TargetLevel, VLOOKUP(Y50,MS_Labs_Array,3,false),
    LabSpeed, (1 * REGEXEXTRACT($BH$1, ""[\d.-]+"")) * {IF(Y50 =""Labs Speed"", 1+'Master Sheet'!$BK$5, LAB_SPEED_TOTAL())},
    MaxLevel, VLOOKUP(Y50,MS_Labs_Array,4,false),
   "&amp;" MaxOrTarget, IF(OR(TargetLevel = """",$AD$1 &lt;&gt; ""Target""), MaxLevel, TargetLevel),
    LabLevel, VLOOKUP(Y50,MS_Labs_Array,2,False),
    DVTColumn, MATCH(Y50, DVT_Laboratory!$A$1:BO$1, 0),
    xextTime, INDIRECT(""DVT_Laboratory!"" &amp; ADDRESS(LabLevel+3,"&amp;" DVTColumn)) / LabSpeed,
    remainingTime, SUM(INDIRECT(""DVT_Laboratory!"" &amp; ADDRESS(LabLevel+3, DVTColumn) &amp; "":"" &amp; ADDRESS(MaxOrTarget+2, DVTColumn))) / LabSpeed,
  Y50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0" s="1249"/>
      <c r="AC50" s="1249" t="str">
        <f>IFERROR(__xludf.DUMMYFUNCTION("""COMPUTED_VALUE"""),"Ban Perks
  Lab Level:      6 / 8 (Max)
  Next Level:    10d 14h 12m
  Max Level:     31d 18h 36m")</f>
        <v>Ban Perks
  Lab Level:      6 / 8 (Max)
  Next Level:    10d 14h 12m
  Max Level:     31d 18h 36m</v>
      </c>
      <c r="AD50" s="1249" t="str">
        <f>IFERROR(__xludf.DUMMYFUNCTION("""COMPUTED_VALUE"""),"")</f>
        <v/>
      </c>
      <c r="AE50" s="1249"/>
      <c r="AF50" s="1250" t="str">
        <f>IFERROR(__xludf.DUMMYFUNCTION("if(AE50 &lt;&gt; """", 
  LET( 
    TargetLevel, VLOOKUP(AE50,MS_Labs_Array,3,false),
    MaxLevel, VLOOKUP(AE50,MS_Labs_Array,4,false),
    MaxOrTarget, IF(OR(TargetLevel = """",$AD$1 &lt;&gt; ""Target""), MaxLevel, TargetLevel),
    LabLevel, VLOOKUP(AE50,MS_Labs_A"&amp;"rray,2,False),
    Levelprogress, LabLevel / MaxOrTarget,
    DVTColumn, MATCH(AE50,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0" s="1251" t="str">
        <f>IFERROR(__xludf.DUMMYFUNCTION("if(AE50 &lt;&gt; """", 
  LET(
    TargetLevel, VLOOKUP(AE50,MS_Labs_Array,3,false),
    LabSpeed, (1 * REGEXEXTRACT($BH$1, ""[\d.-]+"")) * {IF(AE50 =""Labs Speed"", 1+'Master Sheet'!$BK$5, LAB_SPEED_TOTAL())},
    MaxLevel, VLOOKUP(AE50,MS_Labs_Array,4,false),"&amp;"
    MaxOrTarget, IF(OR(TargetLevel = """",$AD$1 &lt;&gt; ""Target""), MaxLevel, TargetLevel),
    LabLevel, VLOOKUP(AE50,MS_Labs_Array,2,False),
    DVTColumn, MATCH(AE50, DVT_Laboratory!$A$1:BO$1, 0),
    xextTime, INDIRECT(""DVT_Laboratory!"" &amp; ADDRESS(LabLe"&amp;"vel+3, DVTColumn)) / LabSpeed,
    remainingTime, SUM(INDIRECT(""DVT_Laboratory!"" &amp; ADDRESS(LabLevel+3, DVTColumn) &amp; "":"" &amp; ADDRESS(MaxOrTarget+2, DVTColumn))) / LabSpeed,
  AE50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0" s="1249"/>
      <c r="AI50" s="1249" t="str">
        <f>IFERROR(__xludf.DUMMYFUNCTION("""COMPUTED_VALUE"""),"")</f>
        <v/>
      </c>
      <c r="AJ50" s="1249" t="str">
        <f>IFERROR(__xludf.DUMMYFUNCTION("""COMPUTED_VALUE"""),"")</f>
        <v/>
      </c>
      <c r="AK50" s="1249"/>
      <c r="AL50" s="1250" t="str">
        <f>IFERROR(__xludf.DUMMYFUNCTION("if(AK50 &lt;&gt; """", 
  LET( 
    TargetLevel, VLOOKUP(AK50,MS_Labs_Array,3,false),
    MaxLevel, VLOOKUP(AK50,MS_Labs_Array,4,false),
    MaxOrTarget, IF(OR(TargetLevel = """",$AD$1 &lt;&gt; ""Target""), MaxLevel, TargetLevel),
    LabLevel, VLOOKUP(AK50,MS_Labs_A"&amp;"rray,2,False),
    Levelprogress, LabLevel / MaxOrTarget,
    DVTColumn, MATCH(AK50,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0" s="1251" t="str">
        <f>IFERROR(__xludf.DUMMYFUNCTION("if(AK50 &lt;&gt; """", 
  LET(
    TargetLevel, VLOOKUP(AK50,MS_Labs_Array,3,false),
    LabSpeed, (1 * REGEXEXTRACT($BH$1, ""[\d.-]+"")) * {IF(AK50 =""Labs Speed"", 1+'Master Sheet'!$BK$5, LAB_SPEED_TOTAL())},
    MaxLevel, VLOOKUP(AK50,MS_Labs_Array,4,false),"&amp;"
    MaxOrTarget, IF(OR(TargetLevel = """",$AD$1 &lt;&gt; ""Target""), MaxLevel, TargetLevel),
    LabLevel, VLOOKUP(AK50,MS_Labs_Array,2,False),
    DVTColumn, MATCH(AK50, DVT_Laboratory!$A$1:BO$1, 0),
    xextTime, INDIRECT(""DVT_Laboratory!"" &amp; ADDRESS(LabLe"&amp;"vel+3, DVTColumn)) / LabSpeed,
    remainingTime, SUM(INDIRECT(""DVT_Laboratory!"" &amp; ADDRESS(LabLevel+3, DVTColumn) &amp; "":"" &amp; ADDRESS(MaxOrTarget+2, DVTColumn))) / LabSpeed,
  AK50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0" s="1249"/>
      <c r="AO50" s="1249" t="str">
        <f>IFERROR(__xludf.DUMMYFUNCTION("""COMPUTED_VALUE"""),"Plasma Cannon Resistance
  Lab Level:      0 / 20 (Max)
  Next Level:    0d 20h 35m
  Max Level:     180d  3h 45m")</f>
        <v>Plasma Cannon Resistance
  Lab Level:      0 / 20 (Max)
  Next Level:    0d 20h 35m
  Max Level:     180d  3h 45m</v>
      </c>
      <c r="AP50" s="1249" t="str">
        <f>IFERROR(__xludf.DUMMYFUNCTION("""COMPUTED_VALUE"""),"")</f>
        <v/>
      </c>
      <c r="AQ50" s="1249"/>
      <c r="AR50" s="1250" t="str">
        <f>IFERROR(__xludf.DUMMYFUNCTION("if(AQ50 &lt;&gt; """", 
  LET( 
    TargetLevel, VLOOKUP(AQ50,MS_Labs_Array,3,false),
    MaxLevel, VLOOKUP(AQ50,MS_Labs_Array,4,false),
    MaxOrTarget, IF(OR(TargetLevel = """",$AD$1 &lt;&gt; ""Target""), MaxLevel, TargetLevel),
    LabLevel, VLOOKUP(AQ50,MS_Labs_A"&amp;"rray,2,False),
    Levelprogress, LabLevel / MaxOrTarget,
    DVTColumn, MATCH(AQ50,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0" s="1251" t="str">
        <f>IFERROR(__xludf.DUMMYFUNCTION("if(AQ50 &lt;&gt; """", 
  LET(
    TargetLevel, VLOOKUP(AQ50,MS_Labs_Array,3,false),
    LabSpeed, (1 * REGEXEXTRACT($BH$1, ""[\d.-]+"")) * {IF(AQ50 =""Labs Speed"", 1+'Master Sheet'!$BK$5, LAB_SPEED_TOTAL())},
    MaxLevel, VLOOKUP(AQ50,MS_Labs_Array,4,false),"&amp;"
    MaxOrTarget, IF(OR(TargetLevel = """",$AD$1 &lt;&gt; ""Target""), MaxLevel, TargetLevel),
    LabLevel, VLOOKUP(AQ50,MS_Labs_Array,2,False),
    DVTColumn, MATCH(AQ50, DVT_Laboratory!$A$1:BO$1, 0),
    xextTime, INDIRECT(""DVT_Laboratory!"" &amp; ADDRESS(LabLe"&amp;"vel+3, DVTColumn)) / LabSpeed,
    remainingTime, SUM(INDIRECT(""DVT_Laboratory!"" &amp; ADDRESS(LabLevel+3, DVTColumn) &amp; "":"" &amp; ADDRESS(MaxOrTarget+2, DVTColumn))) / LabSpeed,
  AQ50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0" s="1249"/>
      <c r="AU50" s="1249" t="str">
        <f>IFERROR(__xludf.DUMMYFUNCTION("""COMPUTED_VALUE"""),"Scatter Enemy Attack
  Lab Level:      0 / 30 (Max)
  Next Level:    0d 16h 28m
  Max Level:     319d  3h 13m")</f>
        <v>Scatter Enemy Attack
  Lab Level:      0 / 30 (Max)
  Next Level:    0d 16h 28m
  Max Level:     319d  3h 13m</v>
      </c>
      <c r="AV50" s="1249" t="str">
        <f>IFERROR(__xludf.DUMMYFUNCTION("""COMPUTED_VALUE"""),"")</f>
        <v/>
      </c>
      <c r="AW50" s="1249"/>
      <c r="AX50" s="1250" t="str">
        <f>IFERROR(__xludf.DUMMYFUNCTION("if(AW50 &lt;&gt; """", 
  LET( 
    TargetLevel, VLOOKUP(AW50,MS_Labs_Array,3,false),
    MaxLevel, VLOOKUP(AW50,MS_Labs_Array,4,false),
    MaxOrTarget, IF(OR(TargetLevel = """",$AD$1 &lt;&gt; ""Target""), MaxLevel, TargetLevel),
    LabLevel, VLOOKUP(AW50,MS_Labs_A"&amp;"rray,2,False),
    Levelprogress, LabLevel / MaxOrTarget,
    DVTColumn, MATCH(AW50,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0" s="1251" t="str">
        <f>IFERROR(__xludf.DUMMYFUNCTION("if(AW50 &lt;&gt; """", 
  LET(
    TargetLevel, VLOOKUP(AW50,MS_Labs_Array,3,false),
    LabSpeed, (1 * REGEXEXTRACT($BH$1, ""[\d.-]+"")) * {IF(AW50 =""Labs Speed"", 1+'Master Sheet'!$BK$5, LAB_SPEED_TOTAL())},
    MaxLevel, VLOOKUP(AW50,MS_Labs_Array,4,false),"&amp;"
    MaxOrTarget, IF(OR(TargetLevel = """",$AD$1 &lt;&gt; ""Target""), MaxLevel, TargetLevel),
    LabLevel, VLOOKUP(AW50,MS_Labs_Array,2,False),
    DVTColumn, MATCH(AW50, DVT_Laboratory!$A$1:BO$1, 0),
    xextTime, INDIRECT(""DVT_Laboratory!"" &amp; ADDRESS(LabLe"&amp;"vel+3, DVTColumn)) / LabSpeed,
    remainingTime, SUM(INDIRECT(""DVT_Laboratory!"" &amp; ADDRESS(LabLevel+3, DVTColumn) &amp; "":"" &amp; ADDRESS(MaxOrTarget+2, DVTColumn))) / LabSpeed,
  AW50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0" s="1249"/>
      <c r="BA50" s="1249" t="str">
        <f>IFERROR(__xludf.DUMMYFUNCTION("""COMPUTED_VALUE"""),"Boss Attack
  Lab Level:      0 / 30 (Max)
  Next Level:    0d  3h 31m
  Max Level:     78d 13h  3m")</f>
        <v>Boss Attack
  Lab Level:      0 / 30 (Max)
  Next Level:    0d  3h 31m
  Max Level:     78d 13h  3m</v>
      </c>
      <c r="BB50" s="1249" t="str">
        <f>IFERROR(__xludf.DUMMYFUNCTION("""COMPUTED_VALUE"""),"")</f>
        <v/>
      </c>
      <c r="BC50" s="1249"/>
      <c r="BD50" s="1250" t="str">
        <f>IFERROR(__xludf.DUMMYFUNCTION("if(BC50 &lt;&gt; """", 
  LET( 
    TargetLevel, VLOOKUP(BC50,MS_Labs_Array,3,false),
    MaxLevel, VLOOKUP(BC50,MS_Labs_Array,4,false),
    MaxOrTarget, IF(OR(TargetLevel = """",$AD$1 &lt;&gt; ""Target""), MaxLevel, TargetLevel),
    LabLevel, VLOOKUP(BC50,MS_Labs_A"&amp;"rray,2,False),
    Levelprogress, LabLevel / MaxOrTarget,
    DVTColumn, MATCH(BC50,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0" s="1251" t="str">
        <f>IFERROR(__xludf.DUMMYFUNCTION("if(BC50 &lt;&gt; """", 
  LET(
    TargetLevel, VLOOKUP(BC50,MS_Labs_Array,3,false),
    LabSpeed, (1 * REGEXEXTRACT($BH$1, ""[\d.-]+"")) * {IF(BC50 =""Labs Speed"", 1+'Master Sheet'!$BK$5, LAB_SPEED_TOTAL())},
    MaxLevel, VLOOKUP(BC50,MS_Labs_Array,4,false),"&amp;"
    MaxOrTarget, IF(OR(TargetLevel = """",$AD$1 &lt;&gt; ""Target""), MaxLevel, TargetLevel),
    LabLevel, VLOOKUP(BC50,MS_Labs_Array,2,False),
    DVTColumn, MATCH(BC50, DVT_Laboratory!$A$1:BO$1, 0),
    xextTime, INDIRECT(""DVT_Laboratory!"" &amp; ADDRESS(LabLe"&amp;"vel+3, DVTColumn)) / LabSpeed,
    remainingTime, SUM(INDIRECT(""DVT_Laboratory!"" &amp; ADDRESS(LabLevel+3, DVTColumn) &amp; "":"" &amp; ADDRESS(MaxOrTarget+2, DVTColumn))) / LabSpeed,
  BC50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0" s="1249"/>
      <c r="BG50" s="1249" t="str">
        <f>IFERROR(__xludf.DUMMYFUNCTION("""COMPUTED_VALUE"""),"")</f>
        <v/>
      </c>
      <c r="BH50" s="1260" t="str">
        <f>IFERROR(__xludf.DUMMYFUNCTION("""COMPUTED_VALUE"""),"")</f>
        <v/>
      </c>
      <c r="BI50" s="1252" t="str">
        <f>IFERROR(__xludf.DUMMYFUNCTION("""COMPUTED_VALUE"""),"Unmerge Module")</f>
        <v>Unmerge Module</v>
      </c>
      <c r="BJ50" s="1253" t="str">
        <f>IFERROR(__xludf.DUMMYFUNCTION("if(BI50 &lt;&gt; """", 
  LET( 
    TargetLevel, VLOOKUP(BI50,MS_Labs_Array,3,false),
    MaxLevel, VLOOKUP(BI50,MS_Labs_Array,4,false),
    MaxOrTarget, IF(OR(TargetLevel = """",$AD$1 &lt;&gt; ""Target""), MaxLevel, TargetLevel),
    LabLevel, VLOOKUP(BI50,MS_Labs_A"&amp;"rray,2,False),
    Levelprogress, IF(LabLevel &gt;= MaxOrTarget, 1, LabLevel / MaxOrTarget),
    DVTColumn, MATCH(BI50,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0" s="1254" t="str">
        <f>IFERROR(__xludf.DUMMYFUNCTION("if(BI50 &lt;&gt; """", 
  LET(
    TargetLevel, VLOOKUP(BI50,MS_Labs_Array,3,false),
    LabSpeed, (1 * REGEXEXTRACT($BH$1, ""[\d.-]+"")) * {IF(BI50 =""Labs Speed"", 1+'Master Sheet'!$BK$5, LAB_SPEED_TOTAL())},
    MaxLevel, VLOOKUP(BI50,MS_Labs_Array,4,false),"&amp;"
    MaxOrTarget, IF(OR(TargetLevel = """",$AD$1 &lt;&gt; ""Target""), MaxLevel, TargetLevel),
    LabLevel, VLOOKUP(BI50,MS_Labs_Array,2,False),
    DVTColumn, MATCH(BI50, DVT_Laboratory!$A$1:BO$1, 0),
    xextTime, INDIRECT(""DVT_Laboratory!"" &amp; ADDRESS(LabLe"&amp;"vel+3, DVTColumn)) / LabSpeed,
    remainingTime, SUM(INDIRECT(""DVT_Laboratory!"" &amp; ADDRESS(LabLevel+3, DVTColumn) &amp; "":"" &amp; ADDRESS(MaxOrTarget+2, DVTColumn))) / LabSpeed,
  BI50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"""")"),"Unmerge Module
  Lab Level:      1 / 1 (Max)
  Next Level:    
  Max Level:     0d  3h  3m")</f>
        <v>Unmerge Module
  Lab Level:      1 / 1 (Max)
  Next Level:    
  Max Level:     0d  3h  3m</v>
      </c>
      <c r="BL50" s="1252" t="str">
        <f>IFERROR(__xludf.DUMMYFUNCTION("""COMPUTED_VALUE"""),"Costs 20 gems per unmerge. Shatters fodder on use. Can be used for hoarding modules past inventory limit for Shatter Shards")</f>
        <v>Costs 20 gems per unmerge. Shatters fodder on use. Can be used for hoarding modules past inventory limit for Shatter Shards</v>
      </c>
      <c r="BM50" s="1252" t="str">
        <f>IFERROR(__xludf.DUMMYFUNCTION("""COMPUTED_VALUE"""),"Death Wave Coin Bonus
  Lab Level:      20 / 20 (Max)
  Next Level:    
  Max Level:     2d  0h 16m")</f>
        <v>Death Wave Coin Bonus
  Lab Level:      20 / 20 (Max)
  Next Level:    
  Max Level:     2d  0h 16m</v>
      </c>
      <c r="BN50" s="1222"/>
      <c r="BO50" s="1261"/>
    </row>
    <row r="51">
      <c r="A51" s="1222"/>
      <c r="B51" s="1257"/>
      <c r="C51" s="1299" t="s">
        <v>199</v>
      </c>
      <c r="D51" s="1280" t="str">
        <f>VLOOKUP(C51,'Remote Tier List'!A:D, 2, FALSE)</f>
        <v>F</v>
      </c>
      <c r="E51" s="1281" t="str">
        <f>VLOOKUP(C51,'Remote Tier List'!A:D, 3, FALSE)</f>
        <v/>
      </c>
      <c r="F51" s="1284" t="str">
        <f>VLOOKUP(C51,'Remote Tier List'!A:D, 4, FALSE)</f>
        <v>Coins from enemies quickly become the only coins that matter</v>
      </c>
      <c r="G51" s="1245" t="b">
        <f t="shared" si="16"/>
        <v>1</v>
      </c>
      <c r="H51" s="1246" t="str">
        <f t="array" ref="H51:I51">LET(
  Lab, $C51,
  Mode, $AD$1,
  Level, VLOOKUP(Lab, MS_Labs_Array, 2, FALSE),
  Target, VLOOKUP(Lab, MS_Labs_Array, 3, FALSE),
  Max, VLOOKUP(Lab, MS_Labs_Array, 4, FALSE),
  Result,
    IF(
      AND(
        Mode &lt;&gt; "Never",
        Level &gt;= IF(OR(Target = "", Mode = "Max"), Max, Target)
      ),
      "Completed",
      ""
    ),
  HSTACK(
    IF(Result &lt;&gt; "", Result, $D51),
    IF(Result &lt;&gt; "", Result, IF($E51 = "", $D51, $E51))
  )
)</f>
        <v>F</v>
      </c>
      <c r="I51" s="1247" t="s">
        <v>549</v>
      </c>
      <c r="J51" s="1248" t="str">
        <f t="shared" si="17"/>
        <v>Coins from enemies quickly become the only coins that matter</v>
      </c>
      <c r="K51" s="1229"/>
      <c r="L51" s="1249"/>
      <c r="M51" s="1249"/>
      <c r="N51" s="1250" t="str">
        <f>IFERROR(__xludf.DUMMYFUNCTION("if(M51 &lt;&gt; """", 
  LET( 
    TargetLevel, VLOOKUP(M51,MS_Labs_Array,3,false),
    MaxLevel, VLOOKUP(M51,MS_Labs_Array,4,false),
    MaxOrTarget, IF(OR(TargetLevel = """",$AD$1 &lt;&gt; ""Target""), MaxLevel, TargetLevel),
    LabLevel, VLOOKUP(M51,MS_Labs_Array"&amp;",2,False),
    Levelprogress, LabLevel / MaxOrTarget,
    DVTColumn, MATCH(M51,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1" s="1251" t="str">
        <f>IFERROR(__xludf.DUMMYFUNCTION("if(M51 &lt;&gt; """", 
  LET(
    TargetLevel, VLOOKUP(M51,MS_Labs_Array,3,false),
    LabSpeed, (1 * REGEXEXTRACT($BH$1, ""[\d.-]+"")) * {IF(M51 =""Labs Speed"", 1+'Master Sheet'!$BK$5, LAB_SPEED_TOTAL())},
    MaxLevel, VLOOKUP(M51,MS_Labs_Array,4,false),
   "&amp;" MaxOrTarget, IF(OR(TargetLevel = """",$AD$1 &lt;&gt; ""Target""), MaxLevel, TargetLevel),
    LabLevel, VLOOKUP(M51,MS_Labs_Array,2,False),
    DVTColumn, MATCH(M51, DVT_Laboratory!$A$1:BO$1, 0),
    xextTime, INDIRECT(""DVT_Laboratory!"" &amp; ADDRESS(LabLevel+3,"&amp;" DVTColumn)) / LabSpeed,
    remainingTime, SUM(INDIRECT(""DVT_Laboratory!"" &amp; ADDRESS(LabLevel+3, DVTColumn) &amp; "":"" &amp; ADDRESS(MaxOrTarget+2, DVTColumn))) / LabSpeed,
  M51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1" s="1249"/>
      <c r="Q51" s="1249"/>
      <c r="R51" s="1249"/>
      <c r="S51" s="1249"/>
      <c r="T51" s="1250" t="str">
        <f>IFERROR(__xludf.DUMMYFUNCTION("if(S51 &lt;&gt; """", 
  LET( 
    TargetLevel, VLOOKUP(S51,MS_Labs_Array,3,false),
    MaxLevel, VLOOKUP(S51,MS_Labs_Array,4,false),
    MaxOrTarget, IF(OR(TargetLevel = """",$AD$1 &lt;&gt; ""Target""), MaxLevel, TargetLevel),
    LabLevel, VLOOKUP(S51,MS_Labs_Array"&amp;",2,False),
    Levelprogress, LabLevel / MaxOrTarget,
    DVTColumn, MATCH(S51,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1" s="1251" t="str">
        <f>IFERROR(__xludf.DUMMYFUNCTION("if(S51 &lt;&gt; """", 
  LET(
    TargetLevel, VLOOKUP(S51,MS_Labs_Array,3,false),
    LabSpeed, (1 * REGEXEXTRACT($BH$1, ""[\d.-]+"")) * {IF(S51 =""Labs Speed"", 1+'Master Sheet'!$BK$5, LAB_SPEED_TOTAL())},
    MaxLevel, VLOOKUP(S51,MS_Labs_Array,4,false),
   "&amp;" MaxOrTarget, IF(OR(TargetLevel = """",$AD$1 &lt;&gt; ""Target""), MaxLevel, TargetLevel),
    LabLevel, VLOOKUP(S51,MS_Labs_Array,2,False),
    DVTColumn, MATCH(S51, DVT_Laboratory!$A$1:BO$1, 0),
    xextTime, INDIRECT(""DVT_Laboratory!"" &amp; ADDRESS(LabLevel+3,"&amp;" DVTColumn)) / LabSpeed,
    remainingTime, SUM(INDIRECT(""DVT_Laboratory!"" &amp; ADDRESS(LabLevel+3, DVTColumn) &amp; "":"" &amp; ADDRESS(MaxOrTarget+2, DVTColumn))) / LabSpeed,
  S51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1" s="1249"/>
      <c r="W51" s="1249"/>
      <c r="X51" s="1249" t="str">
        <f>IFERROR(__xludf.DUMMYFUNCTION("""COMPUTED_VALUE"""),"Gold Bot - Cooldown")</f>
        <v>Gold Bot - Cooldown</v>
      </c>
      <c r="Y51" s="1249"/>
      <c r="Z51" s="1250" t="str">
        <f>IFERROR(__xludf.DUMMYFUNCTION("if(Y51 &lt;&gt; """", 
  LET( 
    TargetLevel, VLOOKUP(Y51,MS_Labs_Array,3,false),
    MaxLevel, VLOOKUP(Y51,MS_Labs_Array,4,false),
    MaxOrTarget, IF(OR(TargetLevel = """",$AD$1 &lt;&gt; ""Target""), MaxLevel, TargetLevel),
    LabLevel, VLOOKUP(Y51,MS_Labs_Array"&amp;",2,False),
    Levelprogress, LabLevel / MaxOrTarget,
    DVTColumn, MATCH(Y51,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1" s="1251" t="str">
        <f>IFERROR(__xludf.DUMMYFUNCTION("if(Y51 &lt;&gt; """", 
  LET(
    TargetLevel, VLOOKUP(Y51,MS_Labs_Array,3,false),
    LabSpeed, (1 * REGEXEXTRACT($BH$1, ""[\d.-]+"")) * {IF(Y51 =""Labs Speed"", 1+'Master Sheet'!$BK$5, LAB_SPEED_TOTAL())},
    MaxLevel, VLOOKUP(Y51,MS_Labs_Array,4,false),
   "&amp;" MaxOrTarget, IF(OR(TargetLevel = """",$AD$1 &lt;&gt; ""Target""), MaxLevel, TargetLevel),
    LabLevel, VLOOKUP(Y51,MS_Labs_Array,2,False),
    DVTColumn, MATCH(Y51, DVT_Laboratory!$A$1:BO$1, 0),
    xextTime, INDIRECT(""DVT_Laboratory!"" &amp; ADDRESS(LabLevel+3,"&amp;" DVTColumn)) / LabSpeed,
    remainingTime, SUM(INDIRECT(""DVT_Laboratory!"" &amp; ADDRESS(LabLevel+3, DVTColumn) &amp; "":"" &amp; ADDRESS(MaxOrTarget+2, DVTColumn))) / LabSpeed,
  Y51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1" s="1249"/>
      <c r="AC51" s="1249" t="str">
        <f>IFERROR(__xludf.DUMMYFUNCTION("""COMPUTED_VALUE"""),"Can hinder syncing with UWs at certain higher times, best to sync 1:1 ")</f>
        <v>Can hinder syncing with UWs at certain higher times, best to sync 1:1 </v>
      </c>
      <c r="AD51" s="1249"/>
      <c r="AE51" s="1249"/>
      <c r="AF51" s="1250" t="str">
        <f>IFERROR(__xludf.DUMMYFUNCTION("if(AE51 &lt;&gt; """", 
  LET( 
    TargetLevel, VLOOKUP(AE51,MS_Labs_Array,3,false),
    MaxLevel, VLOOKUP(AE51,MS_Labs_Array,4,false),
    MaxOrTarget, IF(OR(TargetLevel = """",$AD$1 &lt;&gt; ""Target""), MaxLevel, TargetLevel),
    LabLevel, VLOOKUP(AE51,MS_Labs_A"&amp;"rray,2,False),
    Levelprogress, LabLevel / MaxOrTarget,
    DVTColumn, MATCH(AE51,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1" s="1251" t="str">
        <f>IFERROR(__xludf.DUMMYFUNCTION("if(AE51 &lt;&gt; """", 
  LET(
    TargetLevel, VLOOKUP(AE51,MS_Labs_Array,3,false),
    LabSpeed, (1 * REGEXEXTRACT($BH$1, ""[\d.-]+"")) * {IF(AE51 =""Labs Speed"", 1+'Master Sheet'!$BK$5, LAB_SPEED_TOTAL())},
    MaxLevel, VLOOKUP(AE51,MS_Labs_Array,4,false),"&amp;"
    MaxOrTarget, IF(OR(TargetLevel = """",$AD$1 &lt;&gt; ""Target""), MaxLevel, TargetLevel),
    LabLevel, VLOOKUP(AE51,MS_Labs_Array,2,False),
    DVTColumn, MATCH(AE51, DVT_Laboratory!$A$1:BO$1, 0),
    xextTime, INDIRECT(""DVT_Laboratory!"" &amp; ADDRESS(LabLe"&amp;"vel+3, DVTColumn)) / LabSpeed,
    remainingTime, SUM(INDIRECT(""DVT_Laboratory!"" &amp; ADDRESS(LabLevel+3, DVTColumn) &amp; "":"" &amp; ADDRESS(MaxOrTarget+2, DVTColumn))) / LabSpeed,
  AE51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1" s="1249"/>
      <c r="AI51" s="1249"/>
      <c r="AJ51" s="1249" t="str">
        <f>IFERROR(__xludf.DUMMYFUNCTION("""COMPUTED_VALUE"""),"Death Ray Resistance")</f>
        <v>Death Ray Resistance</v>
      </c>
      <c r="AK51" s="1249"/>
      <c r="AL51" s="1250" t="str">
        <f>IFERROR(__xludf.DUMMYFUNCTION("if(AK51 &lt;&gt; """", 
  LET( 
    TargetLevel, VLOOKUP(AK51,MS_Labs_Array,3,false),
    MaxLevel, VLOOKUP(AK51,MS_Labs_Array,4,false),
    MaxOrTarget, IF(OR(TargetLevel = """",$AD$1 &lt;&gt; ""Target""), MaxLevel, TargetLevel),
    LabLevel, VLOOKUP(AK51,MS_Labs_A"&amp;"rray,2,False),
    Levelprogress, LabLevel / MaxOrTarget,
    DVTColumn, MATCH(AK51,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1" s="1251" t="str">
        <f>IFERROR(__xludf.DUMMYFUNCTION("if(AK51 &lt;&gt; """", 
  LET(
    TargetLevel, VLOOKUP(AK51,MS_Labs_Array,3,false),
    LabSpeed, (1 * REGEXEXTRACT($BH$1, ""[\d.-]+"")) * {IF(AK51 =""Labs Speed"", 1+'Master Sheet'!$BK$5, LAB_SPEED_TOTAL())},
    MaxLevel, VLOOKUP(AK51,MS_Labs_Array,4,false),"&amp;"
    MaxOrTarget, IF(OR(TargetLevel = """",$AD$1 &lt;&gt; ""Target""), MaxLevel, TargetLevel),
    LabLevel, VLOOKUP(AK51,MS_Labs_Array,2,False),
    DVTColumn, MATCH(AK51, DVT_Laboratory!$A$1:BO$1, 0),
    xextTime, INDIRECT(""DVT_Laboratory!"" &amp; ADDRESS(LabLe"&amp;"vel+3, DVTColumn)) / LabSpeed,
    remainingTime, SUM(INDIRECT(""DVT_Laboratory!"" &amp; ADDRESS(LabLevel+3, DVTColumn) &amp; "":"" &amp; ADDRESS(MaxOrTarget+2, DVTColumn))) / LabSpeed,
  AK51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1" s="1249"/>
      <c r="AO51" s="1249" t="str">
        <f>IFERROR(__xludf.DUMMYFUNCTION("""COMPUTED_VALUE"""),"Resistances get far weaker than most battle conditions with how they substract the effect")</f>
        <v>Resistances get far weaker than most battle conditions with how they substract the effect</v>
      </c>
      <c r="AP51" s="1249" t="str">
        <f>IFERROR(__xludf.DUMMYFUNCTION("""COMPUTED_VALUE"""),"Scatter Enemy Health")</f>
        <v>Scatter Enemy Health</v>
      </c>
      <c r="AQ51" s="1249"/>
      <c r="AR51" s="1250" t="str">
        <f>IFERROR(__xludf.DUMMYFUNCTION("if(AQ51 &lt;&gt; """", 
  LET( 
    TargetLevel, VLOOKUP(AQ51,MS_Labs_Array,3,false),
    MaxLevel, VLOOKUP(AQ51,MS_Labs_Array,4,false),
    MaxOrTarget, IF(OR(TargetLevel = """",$AD$1 &lt;&gt; ""Target""), MaxLevel, TargetLevel),
    LabLevel, VLOOKUP(AQ51,MS_Labs_A"&amp;"rray,2,False),
    Levelprogress, LabLevel / MaxOrTarget,
    DVTColumn, MATCH(AQ51,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1" s="1251" t="str">
        <f>IFERROR(__xludf.DUMMYFUNCTION("if(AQ51 &lt;&gt; """", 
  LET(
    TargetLevel, VLOOKUP(AQ51,MS_Labs_Array,3,false),
    LabSpeed, (1 * REGEXEXTRACT($BH$1, ""[\d.-]+"")) * {IF(AQ51 =""Labs Speed"", 1+'Master Sheet'!$BK$5, LAB_SPEED_TOTAL())},
    MaxLevel, VLOOKUP(AQ51,MS_Labs_Array,4,false),"&amp;"
    MaxOrTarget, IF(OR(TargetLevel = """",$AD$1 &lt;&gt; ""Target""), MaxLevel, TargetLevel),
    LabLevel, VLOOKUP(AQ51,MS_Labs_Array,2,False),
    DVTColumn, MATCH(AQ51, DVT_Laboratory!$A$1:BO$1, 0),
    xextTime, INDIRECT(""DVT_Laboratory!"" &amp; ADDRESS(LabLe"&amp;"vel+3, DVTColumn)) / LabSpeed,
    remainingTime, SUM(INDIRECT(""DVT_Laboratory!"" &amp; ADDRESS(LabLevel+3, DVTColumn) &amp; "":"" &amp; ADDRESS(MaxOrTarget+2, DVTColumn))) / LabSpeed,
  AQ51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1" s="1249"/>
      <c r="AU51" s="1249"/>
      <c r="AV51" s="1249" t="str">
        <f>IFERROR(__xludf.DUMMYFUNCTION("""COMPUTED_VALUE"""),"Vampire Enemy Attack")</f>
        <v>Vampire Enemy Attack</v>
      </c>
      <c r="AW51" s="1249"/>
      <c r="AX51" s="1250" t="str">
        <f>IFERROR(__xludf.DUMMYFUNCTION("if(AW51 &lt;&gt; """", 
  LET( 
    TargetLevel, VLOOKUP(AW51,MS_Labs_Array,3,false),
    MaxLevel, VLOOKUP(AW51,MS_Labs_Array,4,false),
    MaxOrTarget, IF(OR(TargetLevel = """",$AD$1 &lt;&gt; ""Target""), MaxLevel, TargetLevel),
    LabLevel, VLOOKUP(AW51,MS_Labs_A"&amp;"rray,2,False),
    Levelprogress, LabLevel / MaxOrTarget,
    DVTColumn, MATCH(AW51,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1" s="1251" t="str">
        <f>IFERROR(__xludf.DUMMYFUNCTION("if(AW51 &lt;&gt; """", 
  LET(
    TargetLevel, VLOOKUP(AW51,MS_Labs_Array,3,false),
    LabSpeed, (1 * REGEXEXTRACT($BH$1, ""[\d.-]+"")) * {IF(AW51 =""Labs Speed"", 1+'Master Sheet'!$BK$5, LAB_SPEED_TOTAL())},
    MaxLevel, VLOOKUP(AW51,MS_Labs_Array,4,false),"&amp;"
    MaxOrTarget, IF(OR(TargetLevel = """",$AD$1 &lt;&gt; ""Target""), MaxLevel, TargetLevel),
    LabLevel, VLOOKUP(AW51,MS_Labs_Array,2,False),
    DVTColumn, MATCH(AW51, DVT_Laboratory!$A$1:BO$1, 0),
    xextTime, INDIRECT(""DVT_Laboratory!"" &amp; ADDRESS(LabLe"&amp;"vel+3, DVTColumn)) / LabSpeed,
    remainingTime, SUM(INDIRECT(""DVT_Laboratory!"" &amp; ADDRESS(LabLevel+3, DVTColumn) &amp; "":"" &amp; ADDRESS(MaxOrTarget+2, DVTColumn))) / LabSpeed,
  AW51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1" s="1249"/>
      <c r="BA51" s="1249" t="str">
        <f>IFERROR(__xludf.DUMMYFUNCTION("""COMPUTED_VALUE"""),"Vamps with garlic thorns, wall and package+ are a non threat anyway")</f>
        <v>Vamps with garlic thorns, wall and package+ are a non threat anyway</v>
      </c>
      <c r="BB51" s="1249"/>
      <c r="BC51" s="1249"/>
      <c r="BD51" s="1250" t="str">
        <f>IFERROR(__xludf.DUMMYFUNCTION("if(BC51 &lt;&gt; """", 
  LET( 
    TargetLevel, VLOOKUP(BC51,MS_Labs_Array,3,false),
    MaxLevel, VLOOKUP(BC51,MS_Labs_Array,4,false),
    MaxOrTarget, IF(OR(TargetLevel = """",$AD$1 &lt;&gt; ""Target""), MaxLevel, TargetLevel),
    LabLevel, VLOOKUP(BC51,MS_Labs_A"&amp;"rray,2,False),
    Levelprogress, LabLevel / MaxOrTarget,
    DVTColumn, MATCH(BC51,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1" s="1251" t="str">
        <f>IFERROR(__xludf.DUMMYFUNCTION("if(BC51 &lt;&gt; """", 
  LET(
    TargetLevel, VLOOKUP(BC51,MS_Labs_Array,3,false),
    LabSpeed, (1 * REGEXEXTRACT($BH$1, ""[\d.-]+"")) * {IF(BC51 =""Labs Speed"", 1+'Master Sheet'!$BK$5, LAB_SPEED_TOTAL())},
    MaxLevel, VLOOKUP(BC51,MS_Labs_Array,4,false),"&amp;"
    MaxOrTarget, IF(OR(TargetLevel = """",$AD$1 &lt;&gt; ""Target""), MaxLevel, TargetLevel),
    LabLevel, VLOOKUP(BC51,MS_Labs_Array,2,False),
    DVTColumn, MATCH(BC51, DVT_Laboratory!$A$1:BO$1, 0),
    xextTime, INDIRECT(""DVT_Laboratory!"" &amp; ADDRESS(LabLe"&amp;"vel+3, DVTColumn)) / LabSpeed,
    remainingTime, SUM(INDIRECT(""DVT_Laboratory!"" &amp; ADDRESS(LabLevel+3, DVTColumn) &amp; "":"" &amp; ADDRESS(MaxOrTarget+2, DVTColumn))) / LabSpeed,
  BC51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1" s="1249"/>
      <c r="BG51" s="1249"/>
      <c r="BH51" s="1260" t="str">
        <f>IFERROR(__xludf.DUMMYFUNCTION("""COMPUTED_VALUE"""),"Black Hole Damage")</f>
        <v>Black Hole Damage</v>
      </c>
      <c r="BI51" s="1252" t="str">
        <f>IFERROR(__xludf.DUMMYFUNCTION("""COMPUTED_VALUE"""),"Shatter Shards")</f>
        <v>Shatter Shards</v>
      </c>
      <c r="BJ51" s="1253" t="str">
        <f>IFERROR(__xludf.DUMMYFUNCTION("if(BI51 &lt;&gt; """", 
  LET( 
    TargetLevel, VLOOKUP(BI51,MS_Labs_Array,3,false),
    MaxLevel, VLOOKUP(BI51,MS_Labs_Array,4,false),
    MaxOrTarget, IF(OR(TargetLevel = """",$AD$1 &lt;&gt; ""Target""), MaxLevel, TargetLevel),
    LabLevel, VLOOKUP(BI51,MS_Labs_A"&amp;"rray,2,False),
    Levelprogress, IF(LabLevel &gt;= MaxOrTarget, 1, LabLevel / MaxOrTarget),
    DVTColumn, MATCH(BI51,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1" s="1254" t="str">
        <f>IFERROR(__xludf.DUMMYFUNCTION("if(BI51 &lt;&gt; """", 
  LET(
    TargetLevel, VLOOKUP(BI51,MS_Labs_Array,3,false),
    LabSpeed, (1 * REGEXEXTRACT($BH$1, ""[\d.-]+"")) * {IF(BI51 =""Labs Speed"", 1+'Master Sheet'!$BK$5, LAB_SPEED_TOTAL())},
    MaxLevel, VLOOKUP(BI51,MS_Labs_Array,4,false),"&amp;"
    MaxOrTarget, IF(OR(TargetLevel = """",$AD$1 &lt;&gt; ""Target""), MaxLevel, TargetLevel),
    LabLevel, VLOOKUP(BI51,MS_Labs_Array,2,False),
    DVTColumn, MATCH(BI51, DVT_Laboratory!$A$1:BO$1, 0),
    xextTime, INDIRECT(""DVT_Laboratory!"" &amp; ADDRESS(LabLe"&amp;"vel+3, DVTColumn)) / LabSpeed,
    remainingTime, SUM(INDIRECT(""DVT_Laboratory!"" &amp; ADDRESS(LabLevel+3, DVTColumn) &amp; "":"" &amp; ADDRESS(MaxOrTarget+2, DVTColumn))) / LabSpeed,
  BI51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"""")"),"Shatter Shards
  Lab Level:      5 / 5 (Max)
  Next Level:    
  Max Level:     33d  6h  4m")</f>
        <v>Shatter Shards
  Lab Level:      5 / 5 (Max)
  Next Level:    
  Max Level:     33d  6h  4m</v>
      </c>
      <c r="BL51" s="1252" t="str">
        <f>IFERROR(__xludf.DUMMYFUNCTION("""COMPUTED_VALUE"""),"Very important to shard economy, makes getting high mod levels reasonable")</f>
        <v>Very important to shard economy, makes getting high mod levels reasonable</v>
      </c>
      <c r="BM51" s="1252" t="str">
        <f>IFERROR(__xludf.DUMMYFUNCTION("""COMPUTED_VALUE"""),"Does a % of max enemy health every second they are inside BH, the go to protector killer for early towers")</f>
        <v>Does a % of max enemy health every second they are inside BH, the go to protector killer for early towers</v>
      </c>
      <c r="BN51" s="1222"/>
      <c r="BO51" s="1261"/>
    </row>
    <row r="52" ht="7.5" customHeight="1">
      <c r="A52" s="1222"/>
      <c r="B52" s="1262" t="s">
        <v>553</v>
      </c>
      <c r="C52" s="1299" t="s">
        <v>218</v>
      </c>
      <c r="D52" s="1280" t="str">
        <f>VLOOKUP(C52,'Remote Tier List'!A:D, 2, FALSE)</f>
        <v>F</v>
      </c>
      <c r="E52" s="1281" t="str">
        <f>VLOOKUP(C52,'Remote Tier List'!A:D, 3, FALSE)</f>
        <v/>
      </c>
      <c r="F52" s="1284" t="str">
        <f>VLOOKUP(C52,'Remote Tier List'!A:D, 4, FALSE)</f>
        <v>Only helps to reach the max which is very easy regardless</v>
      </c>
      <c r="G52" s="1245" t="b">
        <f t="shared" si="16"/>
        <v>1</v>
      </c>
      <c r="H52" s="1246" t="str">
        <f t="array" ref="H52:I52">LET(
  Lab, $C52,
  Mode, $AD$1,
  Level, VLOOKUP(Lab, MS_Labs_Array, 2, FALSE),
  Target, VLOOKUP(Lab, MS_Labs_Array, 3, FALSE),
  Max, VLOOKUP(Lab, MS_Labs_Array, 4, FALSE),
  Result,
    IF(
      AND(
        Mode &lt;&gt; "Never",
        Level &gt;= IF(OR(Target = "", Mode = "Max"), Max, Target)
      ),
      "Completed",
      ""
    ),
  HSTACK(
    IF(Result &lt;&gt; "", Result, $D52),
    IF(Result &lt;&gt; "", Result, IF($E52 = "", $D52, $E52))
  )
)</f>
        <v>F</v>
      </c>
      <c r="I52" s="1247" t="s">
        <v>549</v>
      </c>
      <c r="J52" s="1248" t="str">
        <f t="shared" si="17"/>
        <v>Only helps to reach the max which is very easy regardless</v>
      </c>
      <c r="K52" s="1229"/>
      <c r="L52" s="1249" t="str">
        <f>IFERROR(__xludf.DUMMYFUNCTION("""COMPUTED_VALUE"""),"")</f>
        <v/>
      </c>
      <c r="M52" s="1249"/>
      <c r="N52" s="1250" t="str">
        <f>IFERROR(__xludf.DUMMYFUNCTION("if(M52 &lt;&gt; """", 
  LET( 
    TargetLevel, VLOOKUP(M52,MS_Labs_Array,3,false),
    MaxLevel, VLOOKUP(M52,MS_Labs_Array,4,false),
    MaxOrTarget, IF(OR(TargetLevel = """",$AD$1 &lt;&gt; ""Target""), MaxLevel, TargetLevel),
    LabLevel, VLOOKUP(M52,MS_Labs_Array"&amp;",2,False),
    Levelprogress, LabLevel / MaxOrTarget,
    DVTColumn, MATCH(M52,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2" s="1251" t="str">
        <f>IFERROR(__xludf.DUMMYFUNCTION("if(M52 &lt;&gt; """", 
  LET(
    TargetLevel, VLOOKUP(M52,MS_Labs_Array,3,false),
    LabSpeed, (1 * REGEXEXTRACT($BH$1, ""[\d.-]+"")) * {IF(M52 =""Labs Speed"", 1+'Master Sheet'!$BK$5, LAB_SPEED_TOTAL())},
    MaxLevel, VLOOKUP(M52,MS_Labs_Array,4,false),
   "&amp;" MaxOrTarget, IF(OR(TargetLevel = """",$AD$1 &lt;&gt; ""Target""), MaxLevel, TargetLevel),
    LabLevel, VLOOKUP(M52,MS_Labs_Array,2,False),
    DVTColumn, MATCH(M52, DVT_Laboratory!$A$1:BO$1, 0),
    xextTime, INDIRECT(""DVT_Laboratory!"" &amp; ADDRESS(LabLevel+3,"&amp;" DVTColumn)) / LabSpeed,
    remainingTime, SUM(INDIRECT(""DVT_Laboratory!"" &amp; ADDRESS(LabLevel+3, DVTColumn) &amp; "":"" &amp; ADDRESS(MaxOrTarget+2, DVTColumn))) / LabSpeed,
  M52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2" s="1249"/>
      <c r="Q52" s="1249" t="str">
        <f>IFERROR(__xludf.DUMMYFUNCTION("""COMPUTED_VALUE"""),"")</f>
        <v/>
      </c>
      <c r="R52" s="1249" t="str">
        <f>IFERROR(__xludf.DUMMYFUNCTION("""COMPUTED_VALUE"""),"")</f>
        <v/>
      </c>
      <c r="S52" s="1249"/>
      <c r="T52" s="1250" t="str">
        <f>IFERROR(__xludf.DUMMYFUNCTION("if(S52 &lt;&gt; """", 
  LET( 
    TargetLevel, VLOOKUP(S52,MS_Labs_Array,3,false),
    MaxLevel, VLOOKUP(S52,MS_Labs_Array,4,false),
    MaxOrTarget, IF(OR(TargetLevel = """",$AD$1 &lt;&gt; ""Target""), MaxLevel, TargetLevel),
    LabLevel, VLOOKUP(S52,MS_Labs_Array"&amp;",2,False),
    Levelprogress, LabLevel / MaxOrTarget,
    DVTColumn, MATCH(S52,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2" s="1251" t="str">
        <f>IFERROR(__xludf.DUMMYFUNCTION("if(S52 &lt;&gt; """", 
  LET(
    TargetLevel, VLOOKUP(S52,MS_Labs_Array,3,false),
    LabSpeed, (1 * REGEXEXTRACT($BH$1, ""[\d.-]+"")) * {IF(S52 =""Labs Speed"", 1+'Master Sheet'!$BK$5, LAB_SPEED_TOTAL())},
    MaxLevel, VLOOKUP(S52,MS_Labs_Array,4,false),
   "&amp;" MaxOrTarget, IF(OR(TargetLevel = """",$AD$1 &lt;&gt; ""Target""), MaxLevel, TargetLevel),
    LabLevel, VLOOKUP(S52,MS_Labs_Array,2,False),
    DVTColumn, MATCH(S52, DVT_Laboratory!$A$1:BO$1, 0),
    xextTime, INDIRECT(""DVT_Laboratory!"" &amp; ADDRESS(LabLevel+3,"&amp;" DVTColumn)) / LabSpeed,
    remainingTime, SUM(INDIRECT(""DVT_Laboratory!"" &amp; ADDRESS(LabLevel+3, DVTColumn) &amp; "":"" &amp; ADDRESS(MaxOrTarget+2, DVTColumn))) / LabSpeed,
  S52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2" s="1249"/>
      <c r="W52" s="1249" t="str">
        <f>IFERROR(__xludf.DUMMYFUNCTION("""COMPUTED_VALUE"""),"")</f>
        <v/>
      </c>
      <c r="X52" s="1249" t="str">
        <f>IFERROR(__xludf.DUMMYFUNCTION("""COMPUTED_VALUE"""),"")</f>
        <v/>
      </c>
      <c r="Y52" s="1249"/>
      <c r="Z52" s="1250" t="str">
        <f>IFERROR(__xludf.DUMMYFUNCTION("if(Y52 &lt;&gt; """", 
  LET( 
    TargetLevel, VLOOKUP(Y52,MS_Labs_Array,3,false),
    MaxLevel, VLOOKUP(Y52,MS_Labs_Array,4,false),
    MaxOrTarget, IF(OR(TargetLevel = """",$AD$1 &lt;&gt; ""Target""), MaxLevel, TargetLevel),
    LabLevel, VLOOKUP(Y52,MS_Labs_Array"&amp;",2,False),
    Levelprogress, LabLevel / MaxOrTarget,
    DVTColumn, MATCH(Y52,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2" s="1251" t="str">
        <f>IFERROR(__xludf.DUMMYFUNCTION("if(Y52 &lt;&gt; """", 
  LET(
    TargetLevel, VLOOKUP(Y52,MS_Labs_Array,3,false),
    LabSpeed, (1 * REGEXEXTRACT($BH$1, ""[\d.-]+"")) * {IF(Y52 =""Labs Speed"", 1+'Master Sheet'!$BK$5, LAB_SPEED_TOTAL())},
    MaxLevel, VLOOKUP(Y52,MS_Labs_Array,4,false),
   "&amp;" MaxOrTarget, IF(OR(TargetLevel = """",$AD$1 &lt;&gt; ""Target""), MaxLevel, TargetLevel),
    LabLevel, VLOOKUP(Y52,MS_Labs_Array,2,False),
    DVTColumn, MATCH(Y52, DVT_Laboratory!$A$1:BO$1, 0),
    xextTime, INDIRECT(""DVT_Laboratory!"" &amp; ADDRESS(LabLevel+3,"&amp;" DVTColumn)) / LabSpeed,
    remainingTime, SUM(INDIRECT(""DVT_Laboratory!"" &amp; ADDRESS(LabLevel+3, DVTColumn) &amp; "":"" &amp; ADDRESS(MaxOrTarget+2, DVTColumn))) / LabSpeed,
  Y52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2" s="1249"/>
      <c r="AC52" s="1249" t="str">
        <f>IFERROR(__xludf.DUMMYFUNCTION("""COMPUTED_VALUE"""),"Gold Bot - Cooldown
  Lab Level:      21 / 25 (Max)
  Next Level:    3d 12h 41m
  Max Level:     17d 18h 22m")</f>
        <v>Gold Bot - Cooldown
  Lab Level:      21 / 25 (Max)
  Next Level:    3d 12h 41m
  Max Level:     17d 18h 22m</v>
      </c>
      <c r="AD52" s="1249" t="str">
        <f>IFERROR(__xludf.DUMMYFUNCTION("""COMPUTED_VALUE"""),"")</f>
        <v/>
      </c>
      <c r="AE52" s="1249"/>
      <c r="AF52" s="1250" t="str">
        <f>IFERROR(__xludf.DUMMYFUNCTION("if(AE52 &lt;&gt; """", 
  LET( 
    TargetLevel, VLOOKUP(AE52,MS_Labs_Array,3,false),
    MaxLevel, VLOOKUP(AE52,MS_Labs_Array,4,false),
    MaxOrTarget, IF(OR(TargetLevel = """",$AD$1 &lt;&gt; ""Target""), MaxLevel, TargetLevel),
    LabLevel, VLOOKUP(AE52,MS_Labs_A"&amp;"rray,2,False),
    Levelprogress, LabLevel / MaxOrTarget,
    DVTColumn, MATCH(AE52,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2" s="1251" t="str">
        <f>IFERROR(__xludf.DUMMYFUNCTION("if(AE52 &lt;&gt; """", 
  LET(
    TargetLevel, VLOOKUP(AE52,MS_Labs_Array,3,false),
    LabSpeed, (1 * REGEXEXTRACT($BH$1, ""[\d.-]+"")) * {IF(AE52 =""Labs Speed"", 1+'Master Sheet'!$BK$5, LAB_SPEED_TOTAL())},
    MaxLevel, VLOOKUP(AE52,MS_Labs_Array,4,false),"&amp;"
    MaxOrTarget, IF(OR(TargetLevel = """",$AD$1 &lt;&gt; ""Target""), MaxLevel, TargetLevel),
    LabLevel, VLOOKUP(AE52,MS_Labs_Array,2,False),
    DVTColumn, MATCH(AE52, DVT_Laboratory!$A$1:BO$1, 0),
    xextTime, INDIRECT(""DVT_Laboratory!"" &amp; ADDRESS(LabLe"&amp;"vel+3, DVTColumn)) / LabSpeed,
    remainingTime, SUM(INDIRECT(""DVT_Laboratory!"" &amp; ADDRESS(LabLevel+3, DVTColumn) &amp; "":"" &amp; ADDRESS(MaxOrTarget+2, DVTColumn))) / LabSpeed,
  AE52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2" s="1249"/>
      <c r="AI52" s="1249" t="str">
        <f>IFERROR(__xludf.DUMMYFUNCTION("""COMPUTED_VALUE"""),"")</f>
        <v/>
      </c>
      <c r="AJ52" s="1249" t="str">
        <f>IFERROR(__xludf.DUMMYFUNCTION("""COMPUTED_VALUE"""),"")</f>
        <v/>
      </c>
      <c r="AK52" s="1249"/>
      <c r="AL52" s="1250" t="str">
        <f>IFERROR(__xludf.DUMMYFUNCTION("if(AK52 &lt;&gt; """", 
  LET( 
    TargetLevel, VLOOKUP(AK52,MS_Labs_Array,3,false),
    MaxLevel, VLOOKUP(AK52,MS_Labs_Array,4,false),
    MaxOrTarget, IF(OR(TargetLevel = """",$AD$1 &lt;&gt; ""Target""), MaxLevel, TargetLevel),
    LabLevel, VLOOKUP(AK52,MS_Labs_A"&amp;"rray,2,False),
    Levelprogress, LabLevel / MaxOrTarget,
    DVTColumn, MATCH(AK52,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2" s="1251" t="str">
        <f>IFERROR(__xludf.DUMMYFUNCTION("if(AK52 &lt;&gt; """", 
  LET(
    TargetLevel, VLOOKUP(AK52,MS_Labs_Array,3,false),
    LabSpeed, (1 * REGEXEXTRACT($BH$1, ""[\d.-]+"")) * {IF(AK52 =""Labs Speed"", 1+'Master Sheet'!$BK$5, LAB_SPEED_TOTAL())},
    MaxLevel, VLOOKUP(AK52,MS_Labs_Array,4,false),"&amp;"
    MaxOrTarget, IF(OR(TargetLevel = """",$AD$1 &lt;&gt; ""Target""), MaxLevel, TargetLevel),
    LabLevel, VLOOKUP(AK52,MS_Labs_Array,2,False),
    DVTColumn, MATCH(AK52, DVT_Laboratory!$A$1:BO$1, 0),
    xextTime, INDIRECT(""DVT_Laboratory!"" &amp; ADDRESS(LabLe"&amp;"vel+3, DVTColumn)) / LabSpeed,
    remainingTime, SUM(INDIRECT(""DVT_Laboratory!"" &amp; ADDRESS(LabLevel+3, DVTColumn) &amp; "":"" &amp; ADDRESS(MaxOrTarget+2, DVTColumn))) / LabSpeed,
  AK52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2" s="1249"/>
      <c r="AO52" s="1249" t="str">
        <f>IFERROR(__xludf.DUMMYFUNCTION("""COMPUTED_VALUE"""),"Death Ray Resistance
  Lab Level:      0 / 20 (Max)
  Next Level:    0d 20h 35m
  Max Level:     180d  3h 45m")</f>
        <v>Death Ray Resistance
  Lab Level:      0 / 20 (Max)
  Next Level:    0d 20h 35m
  Max Level:     180d  3h 45m</v>
      </c>
      <c r="AP52" s="1249" t="str">
        <f>IFERROR(__xludf.DUMMYFUNCTION("""COMPUTED_VALUE"""),"")</f>
        <v/>
      </c>
      <c r="AQ52" s="1249"/>
      <c r="AR52" s="1250" t="str">
        <f>IFERROR(__xludf.DUMMYFUNCTION("if(AQ52 &lt;&gt; """", 
  LET( 
    TargetLevel, VLOOKUP(AQ52,MS_Labs_Array,3,false),
    MaxLevel, VLOOKUP(AQ52,MS_Labs_Array,4,false),
    MaxOrTarget, IF(OR(TargetLevel = """",$AD$1 &lt;&gt; ""Target""), MaxLevel, TargetLevel),
    LabLevel, VLOOKUP(AQ52,MS_Labs_A"&amp;"rray,2,False),
    Levelprogress, LabLevel / MaxOrTarget,
    DVTColumn, MATCH(AQ52,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2" s="1251" t="str">
        <f>IFERROR(__xludf.DUMMYFUNCTION("if(AQ52 &lt;&gt; """", 
  LET(
    TargetLevel, VLOOKUP(AQ52,MS_Labs_Array,3,false),
    LabSpeed, (1 * REGEXEXTRACT($BH$1, ""[\d.-]+"")) * {IF(AQ52 =""Labs Speed"", 1+'Master Sheet'!$BK$5, LAB_SPEED_TOTAL())},
    MaxLevel, VLOOKUP(AQ52,MS_Labs_Array,4,false),"&amp;"
    MaxOrTarget, IF(OR(TargetLevel = """",$AD$1 &lt;&gt; ""Target""), MaxLevel, TargetLevel),
    LabLevel, VLOOKUP(AQ52,MS_Labs_Array,2,False),
    DVTColumn, MATCH(AQ52, DVT_Laboratory!$A$1:BO$1, 0),
    xextTime, INDIRECT(""DVT_Laboratory!"" &amp; ADDRESS(LabLe"&amp;"vel+3, DVTColumn)) / LabSpeed,
    remainingTime, SUM(INDIRECT(""DVT_Laboratory!"" &amp; ADDRESS(LabLevel+3, DVTColumn) &amp; "":"" &amp; ADDRESS(MaxOrTarget+2, DVTColumn))) / LabSpeed,
  AQ52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2" s="1249"/>
      <c r="AU52" s="1249" t="str">
        <f>IFERROR(__xludf.DUMMYFUNCTION("""COMPUTED_VALUE"""),"Scatter Enemy Health
  Lab Level:      0 / 30 (Max)
  Next Level:    0d 16h 28m
  Max Level:     319d  3h 13m")</f>
        <v>Scatter Enemy Health
  Lab Level:      0 / 30 (Max)
  Next Level:    0d 16h 28m
  Max Level:     319d  3h 13m</v>
      </c>
      <c r="AV52" s="1249" t="str">
        <f>IFERROR(__xludf.DUMMYFUNCTION("""COMPUTED_VALUE"""),"")</f>
        <v/>
      </c>
      <c r="AW52" s="1249"/>
      <c r="AX52" s="1250" t="str">
        <f>IFERROR(__xludf.DUMMYFUNCTION("if(AW52 &lt;&gt; """", 
  LET( 
    TargetLevel, VLOOKUP(AW52,MS_Labs_Array,3,false),
    MaxLevel, VLOOKUP(AW52,MS_Labs_Array,4,false),
    MaxOrTarget, IF(OR(TargetLevel = """",$AD$1 &lt;&gt; ""Target""), MaxLevel, TargetLevel),
    LabLevel, VLOOKUP(AW52,MS_Labs_A"&amp;"rray,2,False),
    Levelprogress, LabLevel / MaxOrTarget,
    DVTColumn, MATCH(AW52,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2" s="1251" t="str">
        <f>IFERROR(__xludf.DUMMYFUNCTION("if(AW52 &lt;&gt; """", 
  LET(
    TargetLevel, VLOOKUP(AW52,MS_Labs_Array,3,false),
    LabSpeed, (1 * REGEXEXTRACT($BH$1, ""[\d.-]+"")) * {IF(AW52 =""Labs Speed"", 1+'Master Sheet'!$BK$5, LAB_SPEED_TOTAL())},
    MaxLevel, VLOOKUP(AW52,MS_Labs_Array,4,false),"&amp;"
    MaxOrTarget, IF(OR(TargetLevel = """",$AD$1 &lt;&gt; ""Target""), MaxLevel, TargetLevel),
    LabLevel, VLOOKUP(AW52,MS_Labs_Array,2,False),
    DVTColumn, MATCH(AW52, DVT_Laboratory!$A$1:BO$1, 0),
    xextTime, INDIRECT(""DVT_Laboratory!"" &amp; ADDRESS(LabLe"&amp;"vel+3, DVTColumn)) / LabSpeed,
    remainingTime, SUM(INDIRECT(""DVT_Laboratory!"" &amp; ADDRESS(LabLevel+3, DVTColumn) &amp; "":"" &amp; ADDRESS(MaxOrTarget+2, DVTColumn))) / LabSpeed,
  AW52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2" s="1249"/>
      <c r="BA52" s="1249" t="str">
        <f>IFERROR(__xludf.DUMMYFUNCTION("""COMPUTED_VALUE"""),"Vampire Enemy Attack
  Lab Level:      0 / 30 (Max)
  Next Level:    0d 16h 28m
  Max Level:     319d  3h 13m")</f>
        <v>Vampire Enemy Attack
  Lab Level:      0 / 30 (Max)
  Next Level:    0d 16h 28m
  Max Level:     319d  3h 13m</v>
      </c>
      <c r="BB52" s="1249" t="str">
        <f>IFERROR(__xludf.DUMMYFUNCTION("""COMPUTED_VALUE"""),"")</f>
        <v/>
      </c>
      <c r="BC52" s="1249"/>
      <c r="BD52" s="1250" t="str">
        <f>IFERROR(__xludf.DUMMYFUNCTION("if(BC52 &lt;&gt; """", 
  LET( 
    TargetLevel, VLOOKUP(BC52,MS_Labs_Array,3,false),
    MaxLevel, VLOOKUP(BC52,MS_Labs_Array,4,false),
    MaxOrTarget, IF(OR(TargetLevel = """",$AD$1 &lt;&gt; ""Target""), MaxLevel, TargetLevel),
    LabLevel, VLOOKUP(BC52,MS_Labs_A"&amp;"rray,2,False),
    Levelprogress, LabLevel / MaxOrTarget,
    DVTColumn, MATCH(BC52,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2" s="1251" t="str">
        <f>IFERROR(__xludf.DUMMYFUNCTION("if(BC52 &lt;&gt; """", 
  LET(
    TargetLevel, VLOOKUP(BC52,MS_Labs_Array,3,false),
    LabSpeed, (1 * REGEXEXTRACT($BH$1, ""[\d.-]+"")) * {IF(BC52 =""Labs Speed"", 1+'Master Sheet'!$BK$5, LAB_SPEED_TOTAL())},
    MaxLevel, VLOOKUP(BC52,MS_Labs_Array,4,false),"&amp;"
    MaxOrTarget, IF(OR(TargetLevel = """",$AD$1 &lt;&gt; ""Target""), MaxLevel, TargetLevel),
    LabLevel, VLOOKUP(BC52,MS_Labs_Array,2,False),
    DVTColumn, MATCH(BC52, DVT_Laboratory!$A$1:BO$1, 0),
    xextTime, INDIRECT(""DVT_Laboratory!"" &amp; ADDRESS(LabLe"&amp;"vel+3, DVTColumn)) / LabSpeed,
    remainingTime, SUM(INDIRECT(""DVT_Laboratory!"" &amp; ADDRESS(LabLevel+3, DVTColumn) &amp; "":"" &amp; ADDRESS(MaxOrTarget+2, DVTColumn))) / LabSpeed,
  BC52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2" s="1249"/>
      <c r="BG52" s="1249" t="str">
        <f>IFERROR(__xludf.DUMMYFUNCTION("""COMPUTED_VALUE"""),"")</f>
        <v/>
      </c>
      <c r="BH52" s="1260" t="str">
        <f>IFERROR(__xludf.DUMMYFUNCTION("""COMPUTED_VALUE"""),"")</f>
        <v/>
      </c>
      <c r="BI52" s="1252"/>
      <c r="BJ52" s="1253" t="str">
        <f>IFERROR(__xludf.DUMMYFUNCTION("if(BI52 &lt;&gt; """", 
  LET( 
    TargetLevel, VLOOKUP(BI52,MS_Labs_Array,3,false),
    MaxLevel, VLOOKUP(BI52,MS_Labs_Array,4,false),
    MaxOrTarget, IF(OR(TargetLevel = """",$AD$1 &lt;&gt; ""Target""), MaxLevel, TargetLevel),
    LabLevel, VLOOKUP(BI52,MS_Labs_A"&amp;"rray,2,False),
    Levelprogress, IF(LabLevel &gt;= MaxOrTarget, 1, LabLevel / MaxOrTarget),
    DVTColumn, MATCH(BI52,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2" s="1254" t="str">
        <f>IFERROR(__xludf.DUMMYFUNCTION("if(BI52 &lt;&gt; """", 
  LET(
    TargetLevel, VLOOKUP(BI52,MS_Labs_Array,3,false),
    LabSpeed, (1 * REGEXEXTRACT($BH$1, ""[\d.-]+"")) * {IF(BI52 =""Labs Speed"", 1+'Master Sheet'!$BK$5, LAB_SPEED_TOTAL())},
    MaxLevel, VLOOKUP(BI52,MS_Labs_Array,4,false),"&amp;"
    MaxOrTarget, IF(OR(TargetLevel = """",$AD$1 &lt;&gt; ""Target""), MaxLevel, TargetLevel),
    LabLevel, VLOOKUP(BI52,MS_Labs_Array,2,False),
    DVTColumn, MATCH(BI52, DVT_Laboratory!$A$1:BO$1, 0),
    xextTime, INDIRECT(""DVT_Laboratory!"" &amp; ADDRESS(LabLe"&amp;"vel+3, DVTColumn)) / LabSpeed,
    remainingTime, SUM(INDIRECT(""DVT_Laboratory!"" &amp; ADDRESS(LabLevel+3, DVTColumn) &amp; "":"" &amp; ADDRESS(MaxOrTarget+2, DVTColumn))) / LabSpeed,
  BI52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2" s="1252"/>
      <c r="BM52" s="1252" t="str">
        <f>IFERROR(__xludf.DUMMYFUNCTION("""COMPUTED_VALUE"""),"Black Hole Damage
  Lab Level:      10 / 10 (Max)
  Next Level:    
  Max Level:     0d 10h  0m")</f>
        <v>Black Hole Damage
  Lab Level:      10 / 10 (Max)
  Next Level:    
  Max Level:     0d 10h  0m</v>
      </c>
      <c r="BN52" s="1222"/>
      <c r="BO52" s="1261"/>
    </row>
    <row r="53">
      <c r="A53" s="1222"/>
      <c r="B53" s="1257"/>
      <c r="C53" s="1299" t="s">
        <v>230</v>
      </c>
      <c r="D53" s="1280" t="str">
        <f>VLOOKUP(C53,'Remote Tier List'!A:D, 2, FALSE)</f>
        <v>C</v>
      </c>
      <c r="E53" s="1281" t="str">
        <f>VLOOKUP(C53,'Remote Tier List'!A:D, 3, FALSE)</f>
        <v/>
      </c>
      <c r="F53" s="1258" t="str">
        <f>VLOOKUP(C53,'Remote Tier List'!A:D, 4, FALSE)</f>
        <v>Useful for early cash purchases, good for weak/no GT</v>
      </c>
      <c r="G53" s="1245" t="b">
        <f t="shared" si="16"/>
        <v>1</v>
      </c>
      <c r="H53" s="1246" t="str">
        <f t="array" ref="H53:I53">LET(
  Lab, $C53,
  Mode, $AD$1,
  Level, VLOOKUP(Lab, MS_Labs_Array, 2, FALSE),
  Target, VLOOKUP(Lab, MS_Labs_Array, 3, FALSE),
  Max, VLOOKUP(Lab, MS_Labs_Array, 4, FALSE),
  Result,
    IF(
      AND(
        Mode &lt;&gt; "Never",
        Level &gt;= IF(OR(Target = "", Mode = "Max"), Max, Target)
      ),
      "Completed",
      ""
    ),
  HSTACK(
    IF(Result &lt;&gt; "", Result, $D53),
    IF(Result &lt;&gt; "", Result, IF($E53 = "", $D53, $E53))
  )
)</f>
        <v>C</v>
      </c>
      <c r="I53" s="1247" t="s">
        <v>547</v>
      </c>
      <c r="J53" s="1248" t="str">
        <f t="shared" si="17"/>
        <v>Useful for early cash purchases, good for weak/no GT</v>
      </c>
      <c r="K53" s="1229"/>
      <c r="L53" s="1249"/>
      <c r="M53" s="1249"/>
      <c r="N53" s="1250" t="str">
        <f>IFERROR(__xludf.DUMMYFUNCTION("if(M53 &lt;&gt; """", 
  LET( 
    TargetLevel, VLOOKUP(M53,MS_Labs_Array,3,false),
    MaxLevel, VLOOKUP(M53,MS_Labs_Array,4,false),
    MaxOrTarget, IF(OR(TargetLevel = """",$AD$1 &lt;&gt; ""Target""), MaxLevel, TargetLevel),
    LabLevel, VLOOKUP(M53,MS_Labs_Array"&amp;",2,False),
    Levelprogress, LabLevel / MaxOrTarget,
    DVTColumn, MATCH(M53,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3" s="1251" t="str">
        <f>IFERROR(__xludf.DUMMYFUNCTION("if(M53 &lt;&gt; """", 
  LET(
    TargetLevel, VLOOKUP(M53,MS_Labs_Array,3,false),
    LabSpeed, (1 * REGEXEXTRACT($BH$1, ""[\d.-]+"")) * {IF(M53 =""Labs Speed"", 1+'Master Sheet'!$BK$5, LAB_SPEED_TOTAL())},
    MaxLevel, VLOOKUP(M53,MS_Labs_Array,4,false),
   "&amp;" MaxOrTarget, IF(OR(TargetLevel = """",$AD$1 &lt;&gt; ""Target""), MaxLevel, TargetLevel),
    LabLevel, VLOOKUP(M53,MS_Labs_Array,2,False),
    DVTColumn, MATCH(M53, DVT_Laboratory!$A$1:BO$1, 0),
    xextTime, INDIRECT(""DVT_Laboratory!"" &amp; ADDRESS(LabLevel+3,"&amp;" DVTColumn)) / LabSpeed,
    remainingTime, SUM(INDIRECT(""DVT_Laboratory!"" &amp; ADDRESS(LabLevel+3, DVTColumn) &amp; "":"" &amp; ADDRESS(MaxOrTarget+2, DVTColumn))) / LabSpeed,
  M53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3" s="1249"/>
      <c r="Q53" s="1249"/>
      <c r="R53" s="1249"/>
      <c r="S53" s="1249"/>
      <c r="T53" s="1250" t="str">
        <f>IFERROR(__xludf.DUMMYFUNCTION("if(S53 &lt;&gt; """", 
  LET( 
    TargetLevel, VLOOKUP(S53,MS_Labs_Array,3,false),
    MaxLevel, VLOOKUP(S53,MS_Labs_Array,4,false),
    MaxOrTarget, IF(OR(TargetLevel = """",$AD$1 &lt;&gt; ""Target""), MaxLevel, TargetLevel),
    LabLevel, VLOOKUP(S53,MS_Labs_Array"&amp;",2,False),
    Levelprogress, LabLevel / MaxOrTarget,
    DVTColumn, MATCH(S53,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3" s="1251" t="str">
        <f>IFERROR(__xludf.DUMMYFUNCTION("if(S53 &lt;&gt; """", 
  LET(
    TargetLevel, VLOOKUP(S53,MS_Labs_Array,3,false),
    LabSpeed, (1 * REGEXEXTRACT($BH$1, ""[\d.-]+"")) * {IF(S53 =""Labs Speed"", 1+'Master Sheet'!$BK$5, LAB_SPEED_TOTAL())},
    MaxLevel, VLOOKUP(S53,MS_Labs_Array,4,false),
   "&amp;" MaxOrTarget, IF(OR(TargetLevel = """",$AD$1 &lt;&gt; ""Target""), MaxLevel, TargetLevel),
    LabLevel, VLOOKUP(S53,MS_Labs_Array,2,False),
    DVTColumn, MATCH(S53, DVT_Laboratory!$A$1:BO$1, 0),
    xextTime, INDIRECT(""DVT_Laboratory!"" &amp; ADDRESS(LabLevel+3,"&amp;" DVTColumn)) / LabSpeed,
    remainingTime, SUM(INDIRECT(""DVT_Laboratory!"" &amp; ADDRESS(LabLevel+3, DVTColumn) &amp; "":"" &amp; ADDRESS(MaxOrTarget+2, DVTColumn))) / LabSpeed,
  S53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3" s="1249"/>
      <c r="W53" s="1249"/>
      <c r="X53" s="1249" t="str">
        <f>IFERROR(__xludf.DUMMYFUNCTION("""COMPUTED_VALUE"""),"Ray Enemy Health")</f>
        <v>Ray Enemy Health</v>
      </c>
      <c r="Y53" s="1249"/>
      <c r="Z53" s="1250" t="str">
        <f>IFERROR(__xludf.DUMMYFUNCTION("if(Y53 &lt;&gt; """", 
  LET( 
    TargetLevel, VLOOKUP(Y53,MS_Labs_Array,3,false),
    MaxLevel, VLOOKUP(Y53,MS_Labs_Array,4,false),
    MaxOrTarget, IF(OR(TargetLevel = """",$AD$1 &lt;&gt; ""Target""), MaxLevel, TargetLevel),
    LabLevel, VLOOKUP(Y53,MS_Labs_Array"&amp;",2,False),
    Levelprogress, LabLevel / MaxOrTarget,
    DVTColumn, MATCH(Y53,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3" s="1251" t="str">
        <f>IFERROR(__xludf.DUMMYFUNCTION("if(Y53 &lt;&gt; """", 
  LET(
    TargetLevel, VLOOKUP(Y53,MS_Labs_Array,3,false),
    LabSpeed, (1 * REGEXEXTRACT($BH$1, ""[\d.-]+"")) * {IF(Y53 =""Labs Speed"", 1+'Master Sheet'!$BK$5, LAB_SPEED_TOTAL())},
    MaxLevel, VLOOKUP(Y53,MS_Labs_Array,4,false),
   "&amp;" MaxOrTarget, IF(OR(TargetLevel = """",$AD$1 &lt;&gt; ""Target""), MaxLevel, TargetLevel),
    LabLevel, VLOOKUP(Y53,MS_Labs_Array,2,False),
    DVTColumn, MATCH(Y53, DVT_Laboratory!$A$1:BO$1, 0),
    xextTime, INDIRECT(""DVT_Laboratory!"" &amp; ADDRESS(LabLevel+3,"&amp;" DVTColumn)) / LabSpeed,
    remainingTime, SUM(INDIRECT(""DVT_Laboratory!"" &amp; ADDRESS(LabLevel+3, DVTColumn) &amp; "":"" &amp; ADDRESS(MaxOrTarget+2, DVTColumn))) / LabSpeed,
  Y53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3" s="1249"/>
      <c r="AC53" s="1249" t="str">
        <f>IFERROR(__xludf.DUMMYFUNCTION("""COMPUTED_VALUE"""),"Alongisde CL+ and PC mastery, can leave Rays at only 4.24% hp")</f>
        <v>Alongisde CL+ and PC mastery, can leave Rays at only 4.24% hp</v>
      </c>
      <c r="AD53" s="1249"/>
      <c r="AE53" s="1249"/>
      <c r="AF53" s="1250" t="str">
        <f>IFERROR(__xludf.DUMMYFUNCTION("if(AE53 &lt;&gt; """", 
  LET( 
    TargetLevel, VLOOKUP(AE53,MS_Labs_Array,3,false),
    MaxLevel, VLOOKUP(AE53,MS_Labs_Array,4,false),
    MaxOrTarget, IF(OR(TargetLevel = """",$AD$1 &lt;&gt; ""Target""), MaxLevel, TargetLevel),
    LabLevel, VLOOKUP(AE53,MS_Labs_A"&amp;"rray,2,False),
    Levelprogress, LabLevel / MaxOrTarget,
    DVTColumn, MATCH(AE53,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3" s="1251" t="str">
        <f>IFERROR(__xludf.DUMMYFUNCTION("if(AE53 &lt;&gt; """", 
  LET(
    TargetLevel, VLOOKUP(AE53,MS_Labs_Array,3,false),
    LabSpeed, (1 * REGEXEXTRACT($BH$1, ""[\d.-]+"")) * {IF(AE53 =""Labs Speed"", 1+'Master Sheet'!$BK$5, LAB_SPEED_TOTAL())},
    MaxLevel, VLOOKUP(AE53,MS_Labs_Array,4,false),"&amp;"
    MaxOrTarget, IF(OR(TargetLevel = """",$AD$1 &lt;&gt; ""Target""), MaxLevel, TargetLevel),
    LabLevel, VLOOKUP(AE53,MS_Labs_Array,2,False),
    DVTColumn, MATCH(AE53, DVT_Laboratory!$A$1:BO$1, 0),
    xextTime, INDIRECT(""DVT_Laboratory!"" &amp; ADDRESS(LabLe"&amp;"vel+3, DVTColumn)) / LabSpeed,
    remainingTime, SUM(INDIRECT(""DVT_Laboratory!"" &amp; ADDRESS(LabLevel+3, DVTColumn) &amp; "":"" &amp; ADDRESS(MaxOrTarget+2, DVTColumn))) / LabSpeed,
  AE53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3" s="1249"/>
      <c r="AI53" s="1249"/>
      <c r="AJ53" s="1249" t="str">
        <f>IFERROR(__xludf.DUMMYFUNCTION("""COMPUTED_VALUE"""),"Armored Enemies")</f>
        <v>Armored Enemies</v>
      </c>
      <c r="AK53" s="1249"/>
      <c r="AL53" s="1250" t="str">
        <f>IFERROR(__xludf.DUMMYFUNCTION("if(AK53 &lt;&gt; """", 
  LET( 
    TargetLevel, VLOOKUP(AK53,MS_Labs_Array,3,false),
    MaxLevel, VLOOKUP(AK53,MS_Labs_Array,4,false),
    MaxOrTarget, IF(OR(TargetLevel = """",$AD$1 &lt;&gt; ""Target""), MaxLevel, TargetLevel),
    LabLevel, VLOOKUP(AK53,MS_Labs_A"&amp;"rray,2,False),
    Levelprogress, LabLevel / MaxOrTarget,
    DVTColumn, MATCH(AK53,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3" s="1251" t="str">
        <f>IFERROR(__xludf.DUMMYFUNCTION("if(AK53 &lt;&gt; """", 
  LET(
    TargetLevel, VLOOKUP(AK53,MS_Labs_Array,3,false),
    LabSpeed, (1 * REGEXEXTRACT($BH$1, ""[\d.-]+"")) * {IF(AK53 =""Labs Speed"", 1+'Master Sheet'!$BK$5, LAB_SPEED_TOTAL())},
    MaxLevel, VLOOKUP(AK53,MS_Labs_Array,4,false),"&amp;"
    MaxOrTarget, IF(OR(TargetLevel = """",$AD$1 &lt;&gt; ""Target""), MaxLevel, TargetLevel),
    LabLevel, VLOOKUP(AK53,MS_Labs_Array,2,False),
    DVTColumn, MATCH(AK53, DVT_Laboratory!$A$1:BO$1, 0),
    xextTime, INDIRECT(""DVT_Laboratory!"" &amp; ADDRESS(LabLe"&amp;"vel+3, DVTColumn)) / LabSpeed,
    remainingTime, SUM(INDIRECT(""DVT_Laboratory!"" &amp; ADDRESS(LabLevel+3, DVTColumn) &amp; "":"" &amp; ADDRESS(MaxOrTarget+2, DVTColumn))) / LabSpeed,
  AK53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3" s="1249"/>
      <c r="AO53" s="1249" t="str">
        <f>IFERROR(__xludf.DUMMYFUNCTION("""COMPUTED_VALUE"""),"Helps avoid losing CL+ damage")</f>
        <v>Helps avoid losing CL+ damage</v>
      </c>
      <c r="AP53" s="1249" t="str">
        <f>IFERROR(__xludf.DUMMYFUNCTION("""COMPUTED_VALUE"""),"Module Coin Cost")</f>
        <v>Module Coin Cost</v>
      </c>
      <c r="AQ53" s="1249"/>
      <c r="AR53" s="1250" t="str">
        <f>IFERROR(__xludf.DUMMYFUNCTION("if(AQ53 &lt;&gt; """", 
  LET( 
    TargetLevel, VLOOKUP(AQ53,MS_Labs_Array,3,false),
    MaxLevel, VLOOKUP(AQ53,MS_Labs_Array,4,false),
    MaxOrTarget, IF(OR(TargetLevel = """",$AD$1 &lt;&gt; ""Target""), MaxLevel, TargetLevel),
    LabLevel, VLOOKUP(AQ53,MS_Labs_A"&amp;"rray,2,False),
    Levelprogress, LabLevel / MaxOrTarget,
    DVTColumn, MATCH(AQ53,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3" s="1251" t="str">
        <f>IFERROR(__xludf.DUMMYFUNCTION("if(AQ53 &lt;&gt; """", 
  LET(
    TargetLevel, VLOOKUP(AQ53,MS_Labs_Array,3,false),
    LabSpeed, (1 * REGEXEXTRACT($BH$1, ""[\d.-]+"")) * {IF(AQ53 =""Labs Speed"", 1+'Master Sheet'!$BK$5, LAB_SPEED_TOTAL())},
    MaxLevel, VLOOKUP(AQ53,MS_Labs_Array,4,false),"&amp;"
    MaxOrTarget, IF(OR(TargetLevel = """",$AD$1 &lt;&gt; ""Target""), MaxLevel, TargetLevel),
    LabLevel, VLOOKUP(AQ53,MS_Labs_Array,2,False),
    DVTColumn, MATCH(AQ53, DVT_Laboratory!$A$1:BO$1, 0),
    xextTime, INDIRECT(""DVT_Laboratory!"" &amp; ADDRESS(LabLe"&amp;"vel+3, DVTColumn)) / LabSpeed,
    remainingTime, SUM(INDIRECT(""DVT_Laboratory!"" &amp; ADDRESS(LabLevel+3, DVTColumn) &amp; "":"" &amp; ADDRESS(MaxOrTarget+2, DVTColumn))) / LabSpeed,
  AQ53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3" s="1249"/>
      <c r="AU53" s="1249" t="str">
        <f>IFERROR(__xludf.DUMMYFUNCTION("""COMPUTED_VALUE"""),"Useless until level 161+ when costs go into trillions and quadrillions. Retroactive")</f>
        <v>Useless until level 161+ when costs go into trillions and quadrillions. Retroactive</v>
      </c>
      <c r="AV53" s="1249" t="str">
        <f>IFERROR(__xludf.DUMMYFUNCTION("""COMPUTED_VALUE"""),"Vampire Enemy Health")</f>
        <v>Vampire Enemy Health</v>
      </c>
      <c r="AW53" s="1249"/>
      <c r="AX53" s="1250" t="str">
        <f>IFERROR(__xludf.DUMMYFUNCTION("if(AW53 &lt;&gt; """", 
  LET( 
    TargetLevel, VLOOKUP(AW53,MS_Labs_Array,3,false),
    MaxLevel, VLOOKUP(AW53,MS_Labs_Array,4,false),
    MaxOrTarget, IF(OR(TargetLevel = """",$AD$1 &lt;&gt; ""Target""), MaxLevel, TargetLevel),
    LabLevel, VLOOKUP(AW53,MS_Labs_A"&amp;"rray,2,False),
    Levelprogress, LabLevel / MaxOrTarget,
    DVTColumn, MATCH(AW53,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3" s="1251" t="str">
        <f>IFERROR(__xludf.DUMMYFUNCTION("if(AW53 &lt;&gt; """", 
  LET(
    TargetLevel, VLOOKUP(AW53,MS_Labs_Array,3,false),
    LabSpeed, (1 * REGEXEXTRACT($BH$1, ""[\d.-]+"")) * {IF(AW53 =""Labs Speed"", 1+'Master Sheet'!$BK$5, LAB_SPEED_TOTAL())},
    MaxLevel, VLOOKUP(AW53,MS_Labs_Array,4,false),"&amp;"
    MaxOrTarget, IF(OR(TargetLevel = """",$AD$1 &lt;&gt; ""Target""), MaxLevel, TargetLevel),
    LabLevel, VLOOKUP(AW53,MS_Labs_Array,2,False),
    DVTColumn, MATCH(AW53, DVT_Laboratory!$A$1:BO$1, 0),
    xextTime, INDIRECT(""DVT_Laboratory!"" &amp; ADDRESS(LabLe"&amp;"vel+3, DVTColumn)) / LabSpeed,
    remainingTime, SUM(INDIRECT(""DVT_Laboratory!"" &amp; ADDRESS(LabLevel+3, DVTColumn) &amp; "":"" &amp; ADDRESS(MaxOrTarget+2, DVTColumn))) / LabSpeed,
  AW53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3" s="1249"/>
      <c r="BA53" s="1249" t="str">
        <f>IFERROR(__xludf.DUMMYFUNCTION("""COMPUTED_VALUE"""),"Vamps with garlic thorns, wall and package+ are a non threat anyway")</f>
        <v>Vamps with garlic thorns, wall and package+ are a non threat anyway</v>
      </c>
      <c r="BB53" s="1249"/>
      <c r="BC53" s="1249"/>
      <c r="BD53" s="1250" t="str">
        <f>IFERROR(__xludf.DUMMYFUNCTION("if(BC53 &lt;&gt; """", 
  LET( 
    TargetLevel, VLOOKUP(BC53,MS_Labs_Array,3,false),
    MaxLevel, VLOOKUP(BC53,MS_Labs_Array,4,false),
    MaxOrTarget, IF(OR(TargetLevel = """",$AD$1 &lt;&gt; ""Target""), MaxLevel, TargetLevel),
    LabLevel, VLOOKUP(BC53,MS_Labs_A"&amp;"rray,2,False),
    Levelprogress, LabLevel / MaxOrTarget,
    DVTColumn, MATCH(BC53,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3" s="1251" t="str">
        <f>IFERROR(__xludf.DUMMYFUNCTION("if(BC53 &lt;&gt; """", 
  LET(
    TargetLevel, VLOOKUP(BC53,MS_Labs_Array,3,false),
    LabSpeed, (1 * REGEXEXTRACT($BH$1, ""[\d.-]+"")) * {IF(BC53 =""Labs Speed"", 1+'Master Sheet'!$BK$5, LAB_SPEED_TOTAL())},
    MaxLevel, VLOOKUP(BC53,MS_Labs_Array,4,false),"&amp;"
    MaxOrTarget, IF(OR(TargetLevel = """",$AD$1 &lt;&gt; ""Target""), MaxLevel, TargetLevel),
    LabLevel, VLOOKUP(BC53,MS_Labs_Array,2,False),
    DVTColumn, MATCH(BC53, DVT_Laboratory!$A$1:BO$1, 0),
    xextTime, INDIRECT(""DVT_Laboratory!"" &amp; ADDRESS(LabLe"&amp;"vel+3, DVTColumn)) / LabSpeed,
    remainingTime, SUM(INDIRECT(""DVT_Laboratory!"" &amp; ADDRESS(LabLevel+3, DVTColumn) &amp; "":"" &amp; ADDRESS(MaxOrTarget+2, DVTColumn))) / LabSpeed,
  BC53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3" s="1249"/>
      <c r="BG53" s="1249"/>
      <c r="BH53" s="1260" t="str">
        <f>IFERROR(__xludf.DUMMYFUNCTION("""COMPUTED_VALUE"""),"Extra Black Hole")</f>
        <v>Extra Black Hole</v>
      </c>
      <c r="BI53" s="1252"/>
      <c r="BJ53" s="1253" t="str">
        <f>IFERROR(__xludf.DUMMYFUNCTION("if(BI53 &lt;&gt; """", 
  LET( 
    TargetLevel, VLOOKUP(BI53,MS_Labs_Array,3,false),
    MaxLevel, VLOOKUP(BI53,MS_Labs_Array,4,false),
    MaxOrTarget, IF(OR(TargetLevel = """",$AD$1 &lt;&gt; ""Target""), MaxLevel, TargetLevel),
    LabLevel, VLOOKUP(BI53,MS_Labs_A"&amp;"rray,2,False),
    Levelprogress, IF(LabLevel &gt;= MaxOrTarget, 1, LabLevel / MaxOrTarget),
    DVTColumn, MATCH(BI53,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3" s="1254" t="str">
        <f>IFERROR(__xludf.DUMMYFUNCTION("if(BI53 &lt;&gt; """", 
  LET(
    TargetLevel, VLOOKUP(BI53,MS_Labs_Array,3,false),
    LabSpeed, (1 * REGEXEXTRACT($BH$1, ""[\d.-]+"")) * {IF(BI53 =""Labs Speed"", 1+'Master Sheet'!$BK$5, LAB_SPEED_TOTAL())},
    MaxLevel, VLOOKUP(BI53,MS_Labs_Array,4,false),"&amp;"
    MaxOrTarget, IF(OR(TargetLevel = """",$AD$1 &lt;&gt; ""Target""), MaxLevel, TargetLevel),
    LabLevel, VLOOKUP(BI53,MS_Labs_Array,2,False),
    DVTColumn, MATCH(BI53, DVT_Laboratory!$A$1:BO$1, 0),
    xextTime, INDIRECT(""DVT_Laboratory!"" &amp; ADDRESS(LabLe"&amp;"vel+3, DVTColumn)) / LabSpeed,
    remainingTime, SUM(INDIRECT(""DVT_Laboratory!"" &amp; ADDRESS(LabLevel+3, DVTColumn) &amp; "":"" &amp; ADDRESS(MaxOrTarget+2, DVTColumn))) / LabSpeed,
  BI53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3" s="1252"/>
      <c r="BM53" s="1252" t="str">
        <f>IFERROR(__xludf.DUMMYFUNCTION("""COMPUTED_VALUE"""),"Self explanatory. Probably the only lab to consider rushing before ancestral modules")</f>
        <v>Self explanatory. Probably the only lab to consider rushing before ancestral modules</v>
      </c>
      <c r="BN53" s="1222"/>
      <c r="BO53" s="1261"/>
    </row>
    <row r="54" ht="7.5" customHeight="1">
      <c r="A54" s="1222"/>
      <c r="B54" s="1262" t="s">
        <v>557</v>
      </c>
      <c r="C54" s="1299" t="s">
        <v>241</v>
      </c>
      <c r="D54" s="1280" t="str">
        <f>VLOOKUP(C54,'Remote Tier List'!A:D, 2, FALSE)</f>
        <v>B</v>
      </c>
      <c r="E54" s="1281" t="str">
        <f>VLOOKUP(C54,'Remote Tier List'!A:D, 3, FALSE)</f>
        <v/>
      </c>
      <c r="F54" s="1284" t="str">
        <f>VLOOKUP(C54,'Remote Tier List'!A:D, 4, FALSE)</f>
        <v>Decreases variability of packages, very good for early towers without WHR or Wall and Gcomp users</v>
      </c>
      <c r="G54" s="1245" t="b">
        <f t="shared" si="16"/>
        <v>1</v>
      </c>
      <c r="H54" s="1246" t="str">
        <f t="array" ref="H54:I54">LET(
  Lab, $C54,
  Mode, $AD$1,
  Level, VLOOKUP(Lab, MS_Labs_Array, 2, FALSE),
  Target, VLOOKUP(Lab, MS_Labs_Array, 3, FALSE),
  Max, VLOOKUP(Lab, MS_Labs_Array, 4, FALSE),
  Result,
    IF(
      AND(
        Mode &lt;&gt; "Never",
        Level &gt;= IF(OR(Target = "", Mode = "Max"), Max, Target)
      ),
      "Completed",
      ""
    ),
  HSTACK(
    IF(Result &lt;&gt; "", Result, $D54),
    IF(Result &lt;&gt; "", Result, IF($E54 = "", $D54, $E54))
  )
)</f>
        <v>Completed</v>
      </c>
      <c r="I54" s="1247" t="s">
        <v>551</v>
      </c>
      <c r="J54" s="1248" t="str">
        <f t="shared" si="17"/>
        <v>Decreases variability of packages, very good for early towers without WHR or Wall and Gcomp users</v>
      </c>
      <c r="K54" s="1229"/>
      <c r="L54" s="1249" t="str">
        <f>IFERROR(__xludf.DUMMYFUNCTION("""COMPUTED_VALUE"""),"")</f>
        <v/>
      </c>
      <c r="M54" s="1249"/>
      <c r="N54" s="1250" t="str">
        <f>IFERROR(__xludf.DUMMYFUNCTION("if(M54 &lt;&gt; """", 
  LET( 
    TargetLevel, VLOOKUP(M54,MS_Labs_Array,3,false),
    MaxLevel, VLOOKUP(M54,MS_Labs_Array,4,false),
    MaxOrTarget, IF(OR(TargetLevel = """",$AD$1 &lt;&gt; ""Target""), MaxLevel, TargetLevel),
    LabLevel, VLOOKUP(M54,MS_Labs_Array"&amp;",2,False),
    Levelprogress, LabLevel / MaxOrTarget,
    DVTColumn, MATCH(M54,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4" s="1251" t="str">
        <f>IFERROR(__xludf.DUMMYFUNCTION("if(M54 &lt;&gt; """", 
  LET(
    TargetLevel, VLOOKUP(M54,MS_Labs_Array,3,false),
    LabSpeed, (1 * REGEXEXTRACT($BH$1, ""[\d.-]+"")) * {IF(M54 =""Labs Speed"", 1+'Master Sheet'!$BK$5, LAB_SPEED_TOTAL())},
    MaxLevel, VLOOKUP(M54,MS_Labs_Array,4,false),
   "&amp;" MaxOrTarget, IF(OR(TargetLevel = """",$AD$1 &lt;&gt; ""Target""), MaxLevel, TargetLevel),
    LabLevel, VLOOKUP(M54,MS_Labs_Array,2,False),
    DVTColumn, MATCH(M54, DVT_Laboratory!$A$1:BO$1, 0),
    xextTime, INDIRECT(""DVT_Laboratory!"" &amp; ADDRESS(LabLevel+3,"&amp;" DVTColumn)) / LabSpeed,
    remainingTime, SUM(INDIRECT(""DVT_Laboratory!"" &amp; ADDRESS(LabLevel+3, DVTColumn) &amp; "":"" &amp; ADDRESS(MaxOrTarget+2, DVTColumn))) / LabSpeed,
  M54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4" s="1249"/>
      <c r="Q54" s="1249" t="str">
        <f>IFERROR(__xludf.DUMMYFUNCTION("""COMPUTED_VALUE"""),"")</f>
        <v/>
      </c>
      <c r="R54" s="1249" t="str">
        <f>IFERROR(__xludf.DUMMYFUNCTION("""COMPUTED_VALUE"""),"")</f>
        <v/>
      </c>
      <c r="S54" s="1249"/>
      <c r="T54" s="1250" t="str">
        <f>IFERROR(__xludf.DUMMYFUNCTION("if(S54 &lt;&gt; """", 
  LET( 
    TargetLevel, VLOOKUP(S54,MS_Labs_Array,3,false),
    MaxLevel, VLOOKUP(S54,MS_Labs_Array,4,false),
    MaxOrTarget, IF(OR(TargetLevel = """",$AD$1 &lt;&gt; ""Target""), MaxLevel, TargetLevel),
    LabLevel, VLOOKUP(S54,MS_Labs_Array"&amp;",2,False),
    Levelprogress, LabLevel / MaxOrTarget,
    DVTColumn, MATCH(S54,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4" s="1251" t="str">
        <f>IFERROR(__xludf.DUMMYFUNCTION("if(S54 &lt;&gt; """", 
  LET(
    TargetLevel, VLOOKUP(S54,MS_Labs_Array,3,false),
    LabSpeed, (1 * REGEXEXTRACT($BH$1, ""[\d.-]+"")) * {IF(S54 =""Labs Speed"", 1+'Master Sheet'!$BK$5, LAB_SPEED_TOTAL())},
    MaxLevel, VLOOKUP(S54,MS_Labs_Array,4,false),
   "&amp;" MaxOrTarget, IF(OR(TargetLevel = """",$AD$1 &lt;&gt; ""Target""), MaxLevel, TargetLevel),
    LabLevel, VLOOKUP(S54,MS_Labs_Array,2,False),
    DVTColumn, MATCH(S54, DVT_Laboratory!$A$1:BO$1, 0),
    xextTime, INDIRECT(""DVT_Laboratory!"" &amp; ADDRESS(LabLevel+3,"&amp;" DVTColumn)) / LabSpeed,
    remainingTime, SUM(INDIRECT(""DVT_Laboratory!"" &amp; ADDRESS(LabLevel+3, DVTColumn) &amp; "":"" &amp; ADDRESS(MaxOrTarget+2, DVTColumn))) / LabSpeed,
  S54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4" s="1249"/>
      <c r="W54" s="1249" t="str">
        <f>IFERROR(__xludf.DUMMYFUNCTION("""COMPUTED_VALUE"""),"")</f>
        <v/>
      </c>
      <c r="X54" s="1249" t="str">
        <f>IFERROR(__xludf.DUMMYFUNCTION("""COMPUTED_VALUE"""),"")</f>
        <v/>
      </c>
      <c r="Y54" s="1249"/>
      <c r="Z54" s="1250" t="str">
        <f>IFERROR(__xludf.DUMMYFUNCTION("if(Y54 &lt;&gt; """", 
  LET( 
    TargetLevel, VLOOKUP(Y54,MS_Labs_Array,3,false),
    MaxLevel, VLOOKUP(Y54,MS_Labs_Array,4,false),
    MaxOrTarget, IF(OR(TargetLevel = """",$AD$1 &lt;&gt; ""Target""), MaxLevel, TargetLevel),
    LabLevel, VLOOKUP(Y54,MS_Labs_Array"&amp;",2,False),
    Levelprogress, LabLevel / MaxOrTarget,
    DVTColumn, MATCH(Y54,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4" s="1251" t="str">
        <f>IFERROR(__xludf.DUMMYFUNCTION("if(Y54 &lt;&gt; """", 
  LET(
    TargetLevel, VLOOKUP(Y54,MS_Labs_Array,3,false),
    LabSpeed, (1 * REGEXEXTRACT($BH$1, ""[\d.-]+"")) * {IF(Y54 =""Labs Speed"", 1+'Master Sheet'!$BK$5, LAB_SPEED_TOTAL())},
    MaxLevel, VLOOKUP(Y54,MS_Labs_Array,4,false),
   "&amp;" MaxOrTarget, IF(OR(TargetLevel = """",$AD$1 &lt;&gt; ""Target""), MaxLevel, TargetLevel),
    LabLevel, VLOOKUP(Y54,MS_Labs_Array,2,False),
    DVTColumn, MATCH(Y54, DVT_Laboratory!$A$1:BO$1, 0),
    xextTime, INDIRECT(""DVT_Laboratory!"" &amp; ADDRESS(LabLevel+3,"&amp;" DVTColumn)) / LabSpeed,
    remainingTime, SUM(INDIRECT(""DVT_Laboratory!"" &amp; ADDRESS(LabLevel+3, DVTColumn) &amp; "":"" &amp; ADDRESS(MaxOrTarget+2, DVTColumn))) / LabSpeed,
  Y54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4" s="1249"/>
      <c r="AC54" s="1249" t="str">
        <f>IFERROR(__xludf.DUMMYFUNCTION("""COMPUTED_VALUE"""),"Ray Enemy Health
  Lab Level:      0 / 30 (Max)
  Next Level:    0d 16h 28m
  Max Level:     319d  3h 13m")</f>
        <v>Ray Enemy Health
  Lab Level:      0 / 30 (Max)
  Next Level:    0d 16h 28m
  Max Level:     319d  3h 13m</v>
      </c>
      <c r="AD54" s="1249" t="str">
        <f>IFERROR(__xludf.DUMMYFUNCTION("""COMPUTED_VALUE"""),"")</f>
        <v/>
      </c>
      <c r="AE54" s="1249"/>
      <c r="AF54" s="1250" t="str">
        <f>IFERROR(__xludf.DUMMYFUNCTION("if(AE54 &lt;&gt; """", 
  LET( 
    TargetLevel, VLOOKUP(AE54,MS_Labs_Array,3,false),
    MaxLevel, VLOOKUP(AE54,MS_Labs_Array,4,false),
    MaxOrTarget, IF(OR(TargetLevel = """",$AD$1 &lt;&gt; ""Target""), MaxLevel, TargetLevel),
    LabLevel, VLOOKUP(AE54,MS_Labs_A"&amp;"rray,2,False),
    Levelprogress, LabLevel / MaxOrTarget,
    DVTColumn, MATCH(AE54,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4" s="1251" t="str">
        <f>IFERROR(__xludf.DUMMYFUNCTION("if(AE54 &lt;&gt; """", 
  LET(
    TargetLevel, VLOOKUP(AE54,MS_Labs_Array,3,false),
    LabSpeed, (1 * REGEXEXTRACT($BH$1, ""[\d.-]+"")) * {IF(AE54 =""Labs Speed"", 1+'Master Sheet'!$BK$5, LAB_SPEED_TOTAL())},
    MaxLevel, VLOOKUP(AE54,MS_Labs_Array,4,false),"&amp;"
    MaxOrTarget, IF(OR(TargetLevel = """",$AD$1 &lt;&gt; ""Target""), MaxLevel, TargetLevel),
    LabLevel, VLOOKUP(AE54,MS_Labs_Array,2,False),
    DVTColumn, MATCH(AE54, DVT_Laboratory!$A$1:BO$1, 0),
    xextTime, INDIRECT(""DVT_Laboratory!"" &amp; ADDRESS(LabLe"&amp;"vel+3, DVTColumn)) / LabSpeed,
    remainingTime, SUM(INDIRECT(""DVT_Laboratory!"" &amp; ADDRESS(LabLevel+3, DVTColumn) &amp; "":"" &amp; ADDRESS(MaxOrTarget+2, DVTColumn))) / LabSpeed,
  AE54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4" s="1249"/>
      <c r="AI54" s="1249" t="str">
        <f>IFERROR(__xludf.DUMMYFUNCTION("""COMPUTED_VALUE"""),"")</f>
        <v/>
      </c>
      <c r="AJ54" s="1249" t="str">
        <f>IFERROR(__xludf.DUMMYFUNCTION("""COMPUTED_VALUE"""),"")</f>
        <v/>
      </c>
      <c r="AK54" s="1249"/>
      <c r="AL54" s="1250" t="str">
        <f>IFERROR(__xludf.DUMMYFUNCTION("if(AK54 &lt;&gt; """", 
  LET( 
    TargetLevel, VLOOKUP(AK54,MS_Labs_Array,3,false),
    MaxLevel, VLOOKUP(AK54,MS_Labs_Array,4,false),
    MaxOrTarget, IF(OR(TargetLevel = """",$AD$1 &lt;&gt; ""Target""), MaxLevel, TargetLevel),
    LabLevel, VLOOKUP(AK54,MS_Labs_A"&amp;"rray,2,False),
    Levelprogress, LabLevel / MaxOrTarget,
    DVTColumn, MATCH(AK54,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4" s="1251" t="str">
        <f>IFERROR(__xludf.DUMMYFUNCTION("if(AK54 &lt;&gt; """", 
  LET(
    TargetLevel, VLOOKUP(AK54,MS_Labs_Array,3,false),
    LabSpeed, (1 * REGEXEXTRACT($BH$1, ""[\d.-]+"")) * {IF(AK54 =""Labs Speed"", 1+'Master Sheet'!$BK$5, LAB_SPEED_TOTAL())},
    MaxLevel, VLOOKUP(AK54,MS_Labs_Array,4,false),"&amp;"
    MaxOrTarget, IF(OR(TargetLevel = """",$AD$1 &lt;&gt; ""Target""), MaxLevel, TargetLevel),
    LabLevel, VLOOKUP(AK54,MS_Labs_Array,2,False),
    DVTColumn, MATCH(AK54, DVT_Laboratory!$A$1:BO$1, 0),
    xextTime, INDIRECT(""DVT_Laboratory!"" &amp; ADDRESS(LabLe"&amp;"vel+3, DVTColumn)) / LabSpeed,
    remainingTime, SUM(INDIRECT(""DVT_Laboratory!"" &amp; ADDRESS(LabLevel+3, DVTColumn) &amp; "":"" &amp; ADDRESS(MaxOrTarget+2, DVTColumn))) / LabSpeed,
  AK54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4" s="1249"/>
      <c r="AO54" s="1249" t="str">
        <f>IFERROR(__xludf.DUMMYFUNCTION("""COMPUTED_VALUE"""),"Armored Enemies
  Lab Level:      0 / 20 (Max)
  Next Level:    1d  0h 42m
  Max Level:     216d  4h 30m")</f>
        <v>Armored Enemies
  Lab Level:      0 / 20 (Max)
  Next Level:    1d  0h 42m
  Max Level:     216d  4h 30m</v>
      </c>
      <c r="AP54" s="1249" t="str">
        <f>IFERROR(__xludf.DUMMYFUNCTION("""COMPUTED_VALUE"""),"")</f>
        <v/>
      </c>
      <c r="AQ54" s="1249"/>
      <c r="AR54" s="1250" t="str">
        <f>IFERROR(__xludf.DUMMYFUNCTION("if(AQ54 &lt;&gt; """", 
  LET( 
    TargetLevel, VLOOKUP(AQ54,MS_Labs_Array,3,false),
    MaxLevel, VLOOKUP(AQ54,MS_Labs_Array,4,false),
    MaxOrTarget, IF(OR(TargetLevel = """",$AD$1 &lt;&gt; ""Target""), MaxLevel, TargetLevel),
    LabLevel, VLOOKUP(AQ54,MS_Labs_A"&amp;"rray,2,False),
    Levelprogress, LabLevel / MaxOrTarget,
    DVTColumn, MATCH(AQ54,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4" s="1251" t="str">
        <f>IFERROR(__xludf.DUMMYFUNCTION("if(AQ54 &lt;&gt; """", 
  LET(
    TargetLevel, VLOOKUP(AQ54,MS_Labs_Array,3,false),
    LabSpeed, (1 * REGEXEXTRACT($BH$1, ""[\d.-]+"")) * {IF(AQ54 =""Labs Speed"", 1+'Master Sheet'!$BK$5, LAB_SPEED_TOTAL())},
    MaxLevel, VLOOKUP(AQ54,MS_Labs_Array,4,false),"&amp;"
    MaxOrTarget, IF(OR(TargetLevel = """",$AD$1 &lt;&gt; ""Target""), MaxLevel, TargetLevel),
    LabLevel, VLOOKUP(AQ54,MS_Labs_Array,2,False),
    DVTColumn, MATCH(AQ54, DVT_Laboratory!$A$1:BO$1, 0),
    xextTime, INDIRECT(""DVT_Laboratory!"" &amp; ADDRESS(LabLe"&amp;"vel+3, DVTColumn)) / LabSpeed,
    remainingTime, SUM(INDIRECT(""DVT_Laboratory!"" &amp; ADDRESS(LabLevel+3, DVTColumn) &amp; "":"" &amp; ADDRESS(MaxOrTarget+2, DVTColumn))) / LabSpeed,
  AQ54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4" s="1249"/>
      <c r="AU54" s="1249" t="str">
        <f>IFERROR(__xludf.DUMMYFUNCTION("""COMPUTED_VALUE"""),"Module Coin Cost
  Lab Level:      23 / 30 (Max)
  Next Level:    0d 22h  3m
  Max Level:     7d 16h 13m")</f>
        <v>Module Coin Cost
  Lab Level:      23 / 30 (Max)
  Next Level:    0d 22h  3m
  Max Level:     7d 16h 13m</v>
      </c>
      <c r="AV54" s="1249" t="str">
        <f>IFERROR(__xludf.DUMMYFUNCTION("""COMPUTED_VALUE"""),"")</f>
        <v/>
      </c>
      <c r="AW54" s="1249"/>
      <c r="AX54" s="1250" t="str">
        <f>IFERROR(__xludf.DUMMYFUNCTION("if(AW54 &lt;&gt; """", 
  LET( 
    TargetLevel, VLOOKUP(AW54,MS_Labs_Array,3,false),
    MaxLevel, VLOOKUP(AW54,MS_Labs_Array,4,false),
    MaxOrTarget, IF(OR(TargetLevel = """",$AD$1 &lt;&gt; ""Target""), MaxLevel, TargetLevel),
    LabLevel, VLOOKUP(AW54,MS_Labs_A"&amp;"rray,2,False),
    Levelprogress, LabLevel / MaxOrTarget,
    DVTColumn, MATCH(AW54,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4" s="1251" t="str">
        <f>IFERROR(__xludf.DUMMYFUNCTION("if(AW54 &lt;&gt; """", 
  LET(
    TargetLevel, VLOOKUP(AW54,MS_Labs_Array,3,false),
    LabSpeed, (1 * REGEXEXTRACT($BH$1, ""[\d.-]+"")) * {IF(AW54 =""Labs Speed"", 1+'Master Sheet'!$BK$5, LAB_SPEED_TOTAL())},
    MaxLevel, VLOOKUP(AW54,MS_Labs_Array,4,false),"&amp;"
    MaxOrTarget, IF(OR(TargetLevel = """",$AD$1 &lt;&gt; ""Target""), MaxLevel, TargetLevel),
    LabLevel, VLOOKUP(AW54,MS_Labs_Array,2,False),
    DVTColumn, MATCH(AW54, DVT_Laboratory!$A$1:BO$1, 0),
    xextTime, INDIRECT(""DVT_Laboratory!"" &amp; ADDRESS(LabLe"&amp;"vel+3, DVTColumn)) / LabSpeed,
    remainingTime, SUM(INDIRECT(""DVT_Laboratory!"" &amp; ADDRESS(LabLevel+3, DVTColumn) &amp; "":"" &amp; ADDRESS(MaxOrTarget+2, DVTColumn))) / LabSpeed,
  AW54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4" s="1249"/>
      <c r="BA54" s="1249" t="str">
        <f>IFERROR(__xludf.DUMMYFUNCTION("""COMPUTED_VALUE"""),"Vampire Enemy Health
  Lab Level:      0 / 30 (Max)
  Next Level:    0d 16h 28m
  Max Level:     319d  3h 13m")</f>
        <v>Vampire Enemy Health
  Lab Level:      0 / 30 (Max)
  Next Level:    0d 16h 28m
  Max Level:     319d  3h 13m</v>
      </c>
      <c r="BB54" s="1249" t="str">
        <f>IFERROR(__xludf.DUMMYFUNCTION("""COMPUTED_VALUE"""),"")</f>
        <v/>
      </c>
      <c r="BC54" s="1249"/>
      <c r="BD54" s="1250" t="str">
        <f>IFERROR(__xludf.DUMMYFUNCTION("if(BC54 &lt;&gt; """", 
  LET( 
    TargetLevel, VLOOKUP(BC54,MS_Labs_Array,3,false),
    MaxLevel, VLOOKUP(BC54,MS_Labs_Array,4,false),
    MaxOrTarget, IF(OR(TargetLevel = """",$AD$1 &lt;&gt; ""Target""), MaxLevel, TargetLevel),
    LabLevel, VLOOKUP(BC54,MS_Labs_A"&amp;"rray,2,False),
    Levelprogress, LabLevel / MaxOrTarget,
    DVTColumn, MATCH(BC54,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4" s="1251" t="str">
        <f>IFERROR(__xludf.DUMMYFUNCTION("if(BC54 &lt;&gt; """", 
  LET(
    TargetLevel, VLOOKUP(BC54,MS_Labs_Array,3,false),
    LabSpeed, (1 * REGEXEXTRACT($BH$1, ""[\d.-]+"")) * {IF(BC54 =""Labs Speed"", 1+'Master Sheet'!$BK$5, LAB_SPEED_TOTAL())},
    MaxLevel, VLOOKUP(BC54,MS_Labs_Array,4,false),"&amp;"
    MaxOrTarget, IF(OR(TargetLevel = """",$AD$1 &lt;&gt; ""Target""), MaxLevel, TargetLevel),
    LabLevel, VLOOKUP(BC54,MS_Labs_Array,2,False),
    DVTColumn, MATCH(BC54, DVT_Laboratory!$A$1:BO$1, 0),
    xextTime, INDIRECT(""DVT_Laboratory!"" &amp; ADDRESS(LabLe"&amp;"vel+3, DVTColumn)) / LabSpeed,
    remainingTime, SUM(INDIRECT(""DVT_Laboratory!"" &amp; ADDRESS(LabLevel+3, DVTColumn) &amp; "":"" &amp; ADDRESS(MaxOrTarget+2, DVTColumn))) / LabSpeed,
  BC54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4" s="1249"/>
      <c r="BG54" s="1249" t="str">
        <f>IFERROR(__xludf.DUMMYFUNCTION("""COMPUTED_VALUE"""),"")</f>
        <v/>
      </c>
      <c r="BH54" s="1260" t="str">
        <f>IFERROR(__xludf.DUMMYFUNCTION("""COMPUTED_VALUE"""),"")</f>
        <v/>
      </c>
      <c r="BI54" s="1252"/>
      <c r="BJ54" s="1253" t="str">
        <f>IFERROR(__xludf.DUMMYFUNCTION("if(BI54 &lt;&gt; """", 
  LET( 
    TargetLevel, VLOOKUP(BI54,MS_Labs_Array,3,false),
    MaxLevel, VLOOKUP(BI54,MS_Labs_Array,4,false),
    MaxOrTarget, IF(OR(TargetLevel = """",$AD$1 &lt;&gt; ""Target""), MaxLevel, TargetLevel),
    LabLevel, VLOOKUP(BI54,MS_Labs_A"&amp;"rray,2,False),
    Levelprogress, IF(LabLevel &gt;= MaxOrTarget, 1, LabLevel / MaxOrTarget),
    DVTColumn, MATCH(BI54,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4" s="1254" t="str">
        <f>IFERROR(__xludf.DUMMYFUNCTION("if(BI54 &lt;&gt; """", 
  LET(
    TargetLevel, VLOOKUP(BI54,MS_Labs_Array,3,false),
    LabSpeed, (1 * REGEXEXTRACT($BH$1, ""[\d.-]+"")) * {IF(BI54 =""Labs Speed"", 1+'Master Sheet'!$BK$5, LAB_SPEED_TOTAL())},
    MaxLevel, VLOOKUP(BI54,MS_Labs_Array,4,false),"&amp;"
    MaxOrTarget, IF(OR(TargetLevel = """",$AD$1 &lt;&gt; ""Target""), MaxLevel, TargetLevel),
    LabLevel, VLOOKUP(BI54,MS_Labs_Array,2,False),
    DVTColumn, MATCH(BI54, DVT_Laboratory!$A$1:BO$1, 0),
    xextTime, INDIRECT(""DVT_Laboratory!"" &amp; ADDRESS(LabLe"&amp;"vel+3, DVTColumn)) / LabSpeed,
    remainingTime, SUM(INDIRECT(""DVT_Laboratory!"" &amp; ADDRESS(LabLevel+3, DVTColumn) &amp; "":"" &amp; ADDRESS(MaxOrTarget+2, DVTColumn))) / LabSpeed,
  BI54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4" s="1252"/>
      <c r="BM54" s="1252" t="str">
        <f>IFERROR(__xludf.DUMMYFUNCTION("""COMPUTED_VALUE"""),"Extra Black Hole
  Lab Level:      1 / 1 (Max)
  Next Level:    
  Max Level:     1d  2h 28m")</f>
        <v>Extra Black Hole
  Lab Level:      1 / 1 (Max)
  Next Level:    
  Max Level:     1d  2h 28m</v>
      </c>
      <c r="BN54" s="1222"/>
      <c r="BO54" s="1261"/>
    </row>
    <row r="55">
      <c r="A55" s="1222"/>
      <c r="B55" s="1262" t="s">
        <v>561</v>
      </c>
      <c r="C55" s="1299" t="s">
        <v>252</v>
      </c>
      <c r="D55" s="1280" t="str">
        <f>VLOOKUP(C55,'Remote Tier List'!A:D, 2, FALSE)</f>
        <v>F</v>
      </c>
      <c r="E55" s="1281" t="str">
        <f>VLOOKUP(C55,'Remote Tier List'!A:D, 3, FALSE)</f>
        <v/>
      </c>
      <c r="F55" s="1284" t="str">
        <f>VLOOKUP(C55,'Remote Tier List'!A:D, 4, FALSE)</f>
        <v>Packages become insignificant after wall, very little value per level</v>
      </c>
      <c r="G55" s="1245" t="b">
        <f t="shared" si="16"/>
        <v>1</v>
      </c>
      <c r="H55" s="1246" t="str">
        <f t="array" ref="H55:I55">LET(
  Lab, $C55,
  Mode, $AD$1,
  Level, VLOOKUP(Lab, MS_Labs_Array, 2, FALSE),
  Target, VLOOKUP(Lab, MS_Labs_Array, 3, FALSE),
  Max, VLOOKUP(Lab, MS_Labs_Array, 4, FALSE),
  Result,
    IF(
      AND(
        Mode &lt;&gt; "Never",
        Level &gt;= IF(OR(Target = "", Mode = "Max"), Max, Target)
      ),
      "Completed",
      ""
    ),
  HSTACK(
    IF(Result &lt;&gt; "", Result, $D55),
    IF(Result &lt;&gt; "", Result, IF($E55 = "", $D55, $E55))
  )
)</f>
        <v>F</v>
      </c>
      <c r="I55" s="1247" t="s">
        <v>549</v>
      </c>
      <c r="J55" s="1248" t="str">
        <f t="shared" si="17"/>
        <v>Packages become insignificant after wall, very little value per level</v>
      </c>
      <c r="K55" s="1229"/>
      <c r="L55" s="1249"/>
      <c r="M55" s="1249"/>
      <c r="N55" s="1250" t="str">
        <f>IFERROR(__xludf.DUMMYFUNCTION("if(M55 &lt;&gt; """", 
  LET( 
    TargetLevel, VLOOKUP(M55,MS_Labs_Array,3,false),
    MaxLevel, VLOOKUP(M55,MS_Labs_Array,4,false),
    MaxOrTarget, IF(OR(TargetLevel = """",$AD$1 &lt;&gt; ""Target""), MaxLevel, TargetLevel),
    LabLevel, VLOOKUP(M55,MS_Labs_Array"&amp;",2,False),
    Levelprogress, LabLevel / MaxOrTarget,
    DVTColumn, MATCH(M55,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5" s="1251" t="str">
        <f>IFERROR(__xludf.DUMMYFUNCTION("if(M55 &lt;&gt; """", 
  LET(
    TargetLevel, VLOOKUP(M55,MS_Labs_Array,3,false),
    LabSpeed, (1 * REGEXEXTRACT($BH$1, ""[\d.-]+"")) * {IF(M55 =""Labs Speed"", 1+'Master Sheet'!$BK$5, LAB_SPEED_TOTAL())},
    MaxLevel, VLOOKUP(M55,MS_Labs_Array,4,false),
   "&amp;" MaxOrTarget, IF(OR(TargetLevel = """",$AD$1 &lt;&gt; ""Target""), MaxLevel, TargetLevel),
    LabLevel, VLOOKUP(M55,MS_Labs_Array,2,False),
    DVTColumn, MATCH(M55, DVT_Laboratory!$A$1:BO$1, 0),
    xextTime, INDIRECT(""DVT_Laboratory!"" &amp; ADDRESS(LabLevel+3,"&amp;" DVTColumn)) / LabSpeed,
    remainingTime, SUM(INDIRECT(""DVT_Laboratory!"" &amp; ADDRESS(LabLevel+3, DVTColumn) &amp; "":"" &amp; ADDRESS(MaxOrTarget+2, DVTColumn))) / LabSpeed,
  M55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5" s="1249"/>
      <c r="Q55" s="1249"/>
      <c r="R55" s="1249"/>
      <c r="S55" s="1249"/>
      <c r="T55" s="1250" t="str">
        <f>IFERROR(__xludf.DUMMYFUNCTION("if(S55 &lt;&gt; """", 
  LET( 
    TargetLevel, VLOOKUP(S55,MS_Labs_Array,3,false),
    MaxLevel, VLOOKUP(S55,MS_Labs_Array,4,false),
    MaxOrTarget, IF(OR(TargetLevel = """",$AD$1 &lt;&gt; ""Target""), MaxLevel, TargetLevel),
    LabLevel, VLOOKUP(S55,MS_Labs_Array"&amp;",2,False),
    Levelprogress, LabLevel / MaxOrTarget,
    DVTColumn, MATCH(S55,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5" s="1251" t="str">
        <f>IFERROR(__xludf.DUMMYFUNCTION("if(S55 &lt;&gt; """", 
  LET(
    TargetLevel, VLOOKUP(S55,MS_Labs_Array,3,false),
    LabSpeed, (1 * REGEXEXTRACT($BH$1, ""[\d.-]+"")) * {IF(S55 =""Labs Speed"", 1+'Master Sheet'!$BK$5, LAB_SPEED_TOTAL())},
    MaxLevel, VLOOKUP(S55,MS_Labs_Array,4,false),
   "&amp;" MaxOrTarget, IF(OR(TargetLevel = """",$AD$1 &lt;&gt; ""Target""), MaxLevel, TargetLevel),
    LabLevel, VLOOKUP(S55,MS_Labs_Array,2,False),
    DVTColumn, MATCH(S55, DVT_Laboratory!$A$1:BO$1, 0),
    xextTime, INDIRECT(""DVT_Laboratory!"" &amp; ADDRESS(LabLevel+3,"&amp;" DVTColumn)) / LabSpeed,
    remainingTime, SUM(INDIRECT(""DVT_Laboratory!"" &amp; ADDRESS(LabLevel+3, DVTColumn) &amp; "":"" &amp; ADDRESS(MaxOrTarget+2, DVTColumn))) / LabSpeed,
  S55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5" s="1249"/>
      <c r="W55" s="1249"/>
      <c r="X55" s="1249" t="str">
        <f>IFERROR(__xludf.DUMMYFUNCTION("""COMPUTED_VALUE"""),"Assist Module Substats - Cannon")</f>
        <v>Assist Module Substats - Cannon</v>
      </c>
      <c r="Y55" s="1249"/>
      <c r="Z55" s="1250" t="str">
        <f>IFERROR(__xludf.DUMMYFUNCTION("if(Y55 &lt;&gt; """", 
  LET( 
    TargetLevel, VLOOKUP(Y55,MS_Labs_Array,3,false),
    MaxLevel, VLOOKUP(Y55,MS_Labs_Array,4,false),
    MaxOrTarget, IF(OR(TargetLevel = """",$AD$1 &lt;&gt; ""Target""), MaxLevel, TargetLevel),
    LabLevel, VLOOKUP(Y55,MS_Labs_Array"&amp;",2,False),
    Levelprogress, LabLevel / MaxOrTarget,
    DVTColumn, MATCH(Y55,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5" s="1251" t="str">
        <f>IFERROR(__xludf.DUMMYFUNCTION("if(Y55 &lt;&gt; """", 
  LET(
    TargetLevel, VLOOKUP(Y55,MS_Labs_Array,3,false),
    LabSpeed, (1 * REGEXEXTRACT($BH$1, ""[\d.-]+"")) * {IF(Y55 =""Labs Speed"", 1+'Master Sheet'!$BK$5, LAB_SPEED_TOTAL())},
    MaxLevel, VLOOKUP(Y55,MS_Labs_Array,4,false),
   "&amp;" MaxOrTarget, IF(OR(TargetLevel = """",$AD$1 &lt;&gt; ""Target""), MaxLevel, TargetLevel),
    LabLevel, VLOOKUP(Y55,MS_Labs_Array,2,False),
    DVTColumn, MATCH(Y55, DVT_Laboratory!$A$1:BO$1, 0),
    xextTime, INDIRECT(""DVT_Laboratory!"" &amp; ADDRESS(LabLevel+3,"&amp;" DVTColumn)) / LabSpeed,
    remainingTime, SUM(INDIRECT(""DVT_Laboratory!"" &amp; ADDRESS(LabLevel+3, DVTColumn) &amp; "":"" &amp; ADDRESS(MaxOrTarget+2, DVTColumn))) / LabSpeed,
  Y55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5" s="1249"/>
      <c r="AC55" s="1249"/>
      <c r="AD55" s="1249"/>
      <c r="AE55" s="1249"/>
      <c r="AF55" s="1250" t="str">
        <f>IFERROR(__xludf.DUMMYFUNCTION("if(AE55 &lt;&gt; """", 
  LET( 
    TargetLevel, VLOOKUP(AE55,MS_Labs_Array,3,false),
    MaxLevel, VLOOKUP(AE55,MS_Labs_Array,4,false),
    MaxOrTarget, IF(OR(TargetLevel = """",$AD$1 &lt;&gt; ""Target""), MaxLevel, TargetLevel),
    LabLevel, VLOOKUP(AE55,MS_Labs_A"&amp;"rray,2,False),
    Levelprogress, LabLevel / MaxOrTarget,
    DVTColumn, MATCH(AE55,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5" s="1251" t="str">
        <f>IFERROR(__xludf.DUMMYFUNCTION("if(AE55 &lt;&gt; """", 
  LET(
    TargetLevel, VLOOKUP(AE55,MS_Labs_Array,3,false),
    LabSpeed, (1 * REGEXEXTRACT($BH$1, ""[\d.-]+"")) * {IF(AE55 =""Labs Speed"", 1+'Master Sheet'!$BK$5, LAB_SPEED_TOTAL())},
    MaxLevel, VLOOKUP(AE55,MS_Labs_Array,4,false),"&amp;"
    MaxOrTarget, IF(OR(TargetLevel = """",$AD$1 &lt;&gt; ""Target""), MaxLevel, TargetLevel),
    LabLevel, VLOOKUP(AE55,MS_Labs_Array,2,False),
    DVTColumn, MATCH(AE55, DVT_Laboratory!$A$1:BO$1, 0),
    xextTime, INDIRECT(""DVT_Laboratory!"" &amp; ADDRESS(LabLe"&amp;"vel+3, DVTColumn)) / LabSpeed,
    remainingTime, SUM(INDIRECT(""DVT_Laboratory!"" &amp; ADDRESS(LabLevel+3, DVTColumn) &amp; "":"" &amp; ADDRESS(MaxOrTarget+2, DVTColumn))) / LabSpeed,
  AE55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5" s="1249"/>
      <c r="AI55" s="1249"/>
      <c r="AJ55" s="1249" t="str">
        <f>IFERROR(__xludf.DUMMYFUNCTION("""COMPUTED_VALUE"""),"Enemy Attack Speed")</f>
        <v>Enemy Attack Speed</v>
      </c>
      <c r="AK55" s="1249"/>
      <c r="AL55" s="1250" t="str">
        <f>IFERROR(__xludf.DUMMYFUNCTION("if(AK55 &lt;&gt; """", 
  LET( 
    TargetLevel, VLOOKUP(AK55,MS_Labs_Array,3,false),
    MaxLevel, VLOOKUP(AK55,MS_Labs_Array,4,false),
    MaxOrTarget, IF(OR(TargetLevel = """",$AD$1 &lt;&gt; ""Target""), MaxLevel, TargetLevel),
    LabLevel, VLOOKUP(AK55,MS_Labs_A"&amp;"rray,2,False),
    Levelprogress, LabLevel / MaxOrTarget,
    DVTColumn, MATCH(AK55,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5" s="1251" t="str">
        <f>IFERROR(__xludf.DUMMYFUNCTION("if(AK55 &lt;&gt; """", 
  LET(
    TargetLevel, VLOOKUP(AK55,MS_Labs_Array,3,false),
    LabSpeed, (1 * REGEXEXTRACT($BH$1, ""[\d.-]+"")) * {IF(AK55 =""Labs Speed"", 1+'Master Sheet'!$BK$5, LAB_SPEED_TOTAL())},
    MaxLevel, VLOOKUP(AK55,MS_Labs_Array,4,false),"&amp;"
    MaxOrTarget, IF(OR(TargetLevel = """",$AD$1 &lt;&gt; ""Target""), MaxLevel, TargetLevel),
    LabLevel, VLOOKUP(AK55,MS_Labs_Array,2,False),
    DVTColumn, MATCH(AK55, DVT_Laboratory!$A$1:BO$1, 0),
    xextTime, INDIRECT(""DVT_Laboratory!"" &amp; ADDRESS(LabLe"&amp;"vel+3, DVTColumn)) / LabSpeed,
    remainingTime, SUM(INDIRECT(""DVT_Laboratory!"" &amp; ADDRESS(LabLevel+3, DVTColumn) &amp; "":"" &amp; ADDRESS(MaxOrTarget+2, DVTColumn))) / LabSpeed,
  AK55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5" s="1249"/>
      <c r="AO55" s="1249"/>
      <c r="AP55" s="1249" t="str">
        <f>IFERROR(__xludf.DUMMYFUNCTION("""COMPUTED_VALUE"""),"Boss's Ultimate")</f>
        <v>Boss's Ultimate</v>
      </c>
      <c r="AQ55" s="1249"/>
      <c r="AR55" s="1250" t="str">
        <f>IFERROR(__xludf.DUMMYFUNCTION("if(AQ55 &lt;&gt; """", 
  LET( 
    TargetLevel, VLOOKUP(AQ55,MS_Labs_Array,3,false),
    MaxLevel, VLOOKUP(AQ55,MS_Labs_Array,4,false),
    MaxOrTarget, IF(OR(TargetLevel = """",$AD$1 &lt;&gt; ""Target""), MaxLevel, TargetLevel),
    LabLevel, VLOOKUP(AQ55,MS_Labs_A"&amp;"rray,2,False),
    Levelprogress, LabLevel / MaxOrTarget,
    DVTColumn, MATCH(AQ55,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5" s="1251" t="str">
        <f>IFERROR(__xludf.DUMMYFUNCTION("if(AQ55 &lt;&gt; """", 
  LET(
    TargetLevel, VLOOKUP(AQ55,MS_Labs_Array,3,false),
    LabSpeed, (1 * REGEXEXTRACT($BH$1, ""[\d.-]+"")) * {IF(AQ55 =""Labs Speed"", 1+'Master Sheet'!$BK$5, LAB_SPEED_TOTAL())},
    MaxLevel, VLOOKUP(AQ55,MS_Labs_Array,4,false),"&amp;"
    MaxOrTarget, IF(OR(TargetLevel = """",$AD$1 &lt;&gt; ""Target""), MaxLevel, TargetLevel),
    LabLevel, VLOOKUP(AQ55,MS_Labs_Array,2,False),
    DVTColumn, MATCH(AQ55, DVT_Laboratory!$A$1:BO$1, 0),
    xextTime, INDIRECT(""DVT_Laboratory!"" &amp; ADDRESS(LabLe"&amp;"vel+3, DVTColumn)) / LabSpeed,
    remainingTime, SUM(INDIRECT(""DVT_Laboratory!"" &amp; ADDRESS(LabLevel+3, DVTColumn) &amp; "":"" &amp; ADDRESS(MaxOrTarget+2, DVTColumn))) / LabSpeed,
  AQ55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5" s="1249"/>
      <c r="AU55" s="1249"/>
      <c r="AV55" s="1249" t="str">
        <f>IFERROR(__xludf.DUMMYFUNCTION("""COMPUTED_VALUE"""),"Enemy Speed")</f>
        <v>Enemy Speed</v>
      </c>
      <c r="AW55" s="1249"/>
      <c r="AX55" s="1250" t="str">
        <f>IFERROR(__xludf.DUMMYFUNCTION("if(AW55 &lt;&gt; """", 
  LET( 
    TargetLevel, VLOOKUP(AW55,MS_Labs_Array,3,false),
    MaxLevel, VLOOKUP(AW55,MS_Labs_Array,4,false),
    MaxOrTarget, IF(OR(TargetLevel = """",$AD$1 &lt;&gt; ""Target""), MaxLevel, TargetLevel),
    LabLevel, VLOOKUP(AW55,MS_Labs_A"&amp;"rray,2,False),
    Levelprogress, LabLevel / MaxOrTarget,
    DVTColumn, MATCH(AW55,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5" s="1251" t="str">
        <f>IFERROR(__xludf.DUMMYFUNCTION("if(AW55 &lt;&gt; """", 
  LET(
    TargetLevel, VLOOKUP(AW55,MS_Labs_Array,3,false),
    LabSpeed, (1 * REGEXEXTRACT($BH$1, ""[\d.-]+"")) * {IF(AW55 =""Labs Speed"", 1+'Master Sheet'!$BK$5, LAB_SPEED_TOTAL())},
    MaxLevel, VLOOKUP(AW55,MS_Labs_Array,4,false),"&amp;"
    MaxOrTarget, IF(OR(TargetLevel = """",$AD$1 &lt;&gt; ""Target""), MaxLevel, TargetLevel),
    LabLevel, VLOOKUP(AW55,MS_Labs_Array,2,False),
    DVTColumn, MATCH(AW55, DVT_Laboratory!$A$1:BO$1, 0),
    xextTime, INDIRECT(""DVT_Laboratory!"" &amp; ADDRESS(LabLe"&amp;"vel+3, DVTColumn)) / LabSpeed,
    remainingTime, SUM(INDIRECT(""DVT_Laboratory!"" &amp; ADDRESS(LabLevel+3, DVTColumn) &amp; "":"" &amp; ADDRESS(MaxOrTarget+2, DVTColumn))) / LabSpeed,
  AW55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5" s="1249"/>
      <c r="BA55" s="1249"/>
      <c r="BB55" s="1249"/>
      <c r="BC55" s="1249"/>
      <c r="BD55" s="1250" t="str">
        <f>IFERROR(__xludf.DUMMYFUNCTION("if(BC55 &lt;&gt; """", 
  LET( 
    TargetLevel, VLOOKUP(BC55,MS_Labs_Array,3,false),
    MaxLevel, VLOOKUP(BC55,MS_Labs_Array,4,false),
    MaxOrTarget, IF(OR(TargetLevel = """",$AD$1 &lt;&gt; ""Target""), MaxLevel, TargetLevel),
    LabLevel, VLOOKUP(BC55,MS_Labs_A"&amp;"rray,2,False),
    Levelprogress, LabLevel / MaxOrTarget,
    DVTColumn, MATCH(BC55,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5" s="1251" t="str">
        <f>IFERROR(__xludf.DUMMYFUNCTION("if(BC55 &lt;&gt; """", 
  LET(
    TargetLevel, VLOOKUP(BC55,MS_Labs_Array,3,false),
    LabSpeed, (1 * REGEXEXTRACT($BH$1, ""[\d.-]+"")) * {IF(BC55 =""Labs Speed"", 1+'Master Sheet'!$BK$5, LAB_SPEED_TOTAL())},
    MaxLevel, VLOOKUP(BC55,MS_Labs_Array,4,false),"&amp;"
    MaxOrTarget, IF(OR(TargetLevel = """",$AD$1 &lt;&gt; ""Target""), MaxLevel, TargetLevel),
    LabLevel, VLOOKUP(BC55,MS_Labs_Array,2,False),
    DVTColumn, MATCH(BC55, DVT_Laboratory!$A$1:BO$1, 0),
    xextTime, INDIRECT(""DVT_Laboratory!"" &amp; ADDRESS(LabLe"&amp;"vel+3, DVTColumn)) / LabSpeed,
    remainingTime, SUM(INDIRECT(""DVT_Laboratory!"" &amp; ADDRESS(LabLevel+3, DVTColumn) &amp; "":"" &amp; ADDRESS(MaxOrTarget+2, DVTColumn))) / LabSpeed,
  BC55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5" s="1249"/>
      <c r="BG55" s="1249"/>
      <c r="BH55" s="1260" t="str">
        <f>IFERROR(__xludf.DUMMYFUNCTION("""COMPUTED_VALUE"""),"Black Hole Coin Bonus")</f>
        <v>Black Hole Coin Bonus</v>
      </c>
      <c r="BI55" s="1252"/>
      <c r="BJ55" s="1253" t="str">
        <f>IFERROR(__xludf.DUMMYFUNCTION("if(BI55 &lt;&gt; """", 
  LET( 
    TargetLevel, VLOOKUP(BI55,MS_Labs_Array,3,false),
    MaxLevel, VLOOKUP(BI55,MS_Labs_Array,4,false),
    MaxOrTarget, IF(OR(TargetLevel = """",$AD$1 &lt;&gt; ""Target""), MaxLevel, TargetLevel),
    LabLevel, VLOOKUP(BI55,MS_Labs_A"&amp;"rray,2,False),
    Levelprogress, IF(LabLevel &gt;= MaxOrTarget, 1, LabLevel / MaxOrTarget),
    DVTColumn, MATCH(BI55,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5" s="1254" t="str">
        <f>IFERROR(__xludf.DUMMYFUNCTION("if(BI55 &lt;&gt; """", 
  LET(
    TargetLevel, VLOOKUP(BI55,MS_Labs_Array,3,false),
    LabSpeed, (1 * REGEXEXTRACT($BH$1, ""[\d.-]+"")) * {IF(BI55 =""Labs Speed"", 1+'Master Sheet'!$BK$5, LAB_SPEED_TOTAL())},
    MaxLevel, VLOOKUP(BI55,MS_Labs_Array,4,false),"&amp;"
    MaxOrTarget, IF(OR(TargetLevel = """",$AD$1 &lt;&gt; ""Target""), MaxLevel, TargetLevel),
    LabLevel, VLOOKUP(BI55,MS_Labs_Array,2,False),
    DVTColumn, MATCH(BI55, DVT_Laboratory!$A$1:BO$1, 0),
    xextTime, INDIRECT(""DVT_Laboratory!"" &amp; ADDRESS(LabLe"&amp;"vel+3, DVTColumn)) / LabSpeed,
    remainingTime, SUM(INDIRECT(""DVT_Laboratory!"" &amp; ADDRESS(LabLevel+3, DVTColumn) &amp; "":"" &amp; ADDRESS(MaxOrTarget+2, DVTColumn))) / LabSpeed,
  BI55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5" s="1252"/>
      <c r="BM55" s="1252" t="str">
        <f>IFERROR(__xludf.DUMMYFUNCTION("""COMPUTED_VALUE"""),"Best coin multiplier that isn't GT")</f>
        <v>Best coin multiplier that isn't GT</v>
      </c>
      <c r="BN55" s="1222"/>
      <c r="BO55" s="1261"/>
    </row>
    <row r="56" ht="7.5" customHeight="1">
      <c r="A56" s="1222"/>
      <c r="B56" s="1257"/>
      <c r="C56" s="1299" t="s">
        <v>263</v>
      </c>
      <c r="D56" s="1280" t="str">
        <f>VLOOKUP(C56,'Remote Tier List'!A:D, 2, FALSE)</f>
        <v>F</v>
      </c>
      <c r="E56" s="1281" t="str">
        <f>VLOOKUP(C56,'Remote Tier List'!A:D, 3, FALSE)</f>
        <v/>
      </c>
      <c r="F56" s="1300"/>
      <c r="G56" s="1245" t="b">
        <f t="shared" si="16"/>
        <v>1</v>
      </c>
      <c r="H56" s="1246" t="str">
        <f t="array" ref="H56:I56">LET(
  Lab, $C56,
  Mode, $AD$1,
  Level, VLOOKUP(Lab, MS_Labs_Array, 2, FALSE),
  Target, VLOOKUP(Lab, MS_Labs_Array, 3, FALSE),
  Max, VLOOKUP(Lab, MS_Labs_Array, 4, FALSE),
  Result,
    IF(
      AND(
        Mode &lt;&gt; "Never",
        Level &gt;= IF(OR(Target = "", Mode = "Max"), Max, Target)
      ),
      "Completed",
      ""
    ),
  HSTACK(
    IF(Result &lt;&gt; "", Result, $D56),
    IF(Result &lt;&gt; "", Result, IF($E56 = "", $D56, $E56))
  )
)</f>
        <v>F</v>
      </c>
      <c r="I56" s="1247" t="s">
        <v>549</v>
      </c>
      <c r="J56" s="1248" t="str">
        <f t="shared" si="17"/>
        <v>Packages become insignificant after wall, very little value per level</v>
      </c>
      <c r="K56" s="1229"/>
      <c r="L56" s="1249" t="str">
        <f>IFERROR(__xludf.DUMMYFUNCTION("""COMPUTED_VALUE"""),"")</f>
        <v/>
      </c>
      <c r="M56" s="1249"/>
      <c r="N56" s="1250" t="str">
        <f>IFERROR(__xludf.DUMMYFUNCTION("if(M56 &lt;&gt; """", 
  LET( 
    TargetLevel, VLOOKUP(M56,MS_Labs_Array,3,false),
    MaxLevel, VLOOKUP(M56,MS_Labs_Array,4,false),
    MaxOrTarget, IF(OR(TargetLevel = """",$AD$1 &lt;&gt; ""Target""), MaxLevel, TargetLevel),
    LabLevel, VLOOKUP(M56,MS_Labs_Array"&amp;",2,False),
    Levelprogress, LabLevel / MaxOrTarget,
    DVTColumn, MATCH(M56,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6" s="1251" t="str">
        <f>IFERROR(__xludf.DUMMYFUNCTION("if(M56 &lt;&gt; """", 
  LET(
    TargetLevel, VLOOKUP(M56,MS_Labs_Array,3,false),
    LabSpeed, (1 * REGEXEXTRACT($BH$1, ""[\d.-]+"")) * {IF(M56 =""Labs Speed"", 1+'Master Sheet'!$BK$5, LAB_SPEED_TOTAL())},
    MaxLevel, VLOOKUP(M56,MS_Labs_Array,4,false),
   "&amp;" MaxOrTarget, IF(OR(TargetLevel = """",$AD$1 &lt;&gt; ""Target""), MaxLevel, TargetLevel),
    LabLevel, VLOOKUP(M56,MS_Labs_Array,2,False),
    DVTColumn, MATCH(M56, DVT_Laboratory!$A$1:BO$1, 0),
    xextTime, INDIRECT(""DVT_Laboratory!"" &amp; ADDRESS(LabLevel+3,"&amp;" DVTColumn)) / LabSpeed,
    remainingTime, SUM(INDIRECT(""DVT_Laboratory!"" &amp; ADDRESS(LabLevel+3, DVTColumn) &amp; "":"" &amp; ADDRESS(MaxOrTarget+2, DVTColumn))) / LabSpeed,
  M56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6" s="1249"/>
      <c r="Q56" s="1249" t="str">
        <f>IFERROR(__xludf.DUMMYFUNCTION("""COMPUTED_VALUE"""),"")</f>
        <v/>
      </c>
      <c r="R56" s="1249" t="str">
        <f>IFERROR(__xludf.DUMMYFUNCTION("""COMPUTED_VALUE"""),"")</f>
        <v/>
      </c>
      <c r="S56" s="1249"/>
      <c r="T56" s="1250" t="str">
        <f>IFERROR(__xludf.DUMMYFUNCTION("if(S56 &lt;&gt; """", 
  LET( 
    TargetLevel, VLOOKUP(S56,MS_Labs_Array,3,false),
    MaxLevel, VLOOKUP(S56,MS_Labs_Array,4,false),
    MaxOrTarget, IF(OR(TargetLevel = """",$AD$1 &lt;&gt; ""Target""), MaxLevel, TargetLevel),
    LabLevel, VLOOKUP(S56,MS_Labs_Array"&amp;",2,False),
    Levelprogress, LabLevel / MaxOrTarget,
    DVTColumn, MATCH(S56,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6" s="1251" t="str">
        <f>IFERROR(__xludf.DUMMYFUNCTION("if(S56 &lt;&gt; """", 
  LET(
    TargetLevel, VLOOKUP(S56,MS_Labs_Array,3,false),
    LabSpeed, (1 * REGEXEXTRACT($BH$1, ""[\d.-]+"")) * {IF(S56 =""Labs Speed"", 1+'Master Sheet'!$BK$5, LAB_SPEED_TOTAL())},
    MaxLevel, VLOOKUP(S56,MS_Labs_Array,4,false),
   "&amp;" MaxOrTarget, IF(OR(TargetLevel = """",$AD$1 &lt;&gt; ""Target""), MaxLevel, TargetLevel),
    LabLevel, VLOOKUP(S56,MS_Labs_Array,2,False),
    DVTColumn, MATCH(S56, DVT_Laboratory!$A$1:BO$1, 0),
    xextTime, INDIRECT(""DVT_Laboratory!"" &amp; ADDRESS(LabLevel+3,"&amp;" DVTColumn)) / LabSpeed,
    remainingTime, SUM(INDIRECT(""DVT_Laboratory!"" &amp; ADDRESS(LabLevel+3, DVTColumn) &amp; "":"" &amp; ADDRESS(MaxOrTarget+2, DVTColumn))) / LabSpeed,
  S56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6" s="1249"/>
      <c r="W56" s="1249" t="str">
        <f>IFERROR(__xludf.DUMMYFUNCTION("""COMPUTED_VALUE"""),"")</f>
        <v/>
      </c>
      <c r="X56" s="1249" t="str">
        <f>IFERROR(__xludf.DUMMYFUNCTION("""COMPUTED_VALUE"""),"")</f>
        <v/>
      </c>
      <c r="Y56" s="1249"/>
      <c r="Z56" s="1250" t="str">
        <f>IFERROR(__xludf.DUMMYFUNCTION("if(Y56 &lt;&gt; """", 
  LET( 
    TargetLevel, VLOOKUP(Y56,MS_Labs_Array,3,false),
    MaxLevel, VLOOKUP(Y56,MS_Labs_Array,4,false),
    MaxOrTarget, IF(OR(TargetLevel = """",$AD$1 &lt;&gt; ""Target""), MaxLevel, TargetLevel),
    LabLevel, VLOOKUP(Y56,MS_Labs_Array"&amp;",2,False),
    Levelprogress, LabLevel / MaxOrTarget,
    DVTColumn, MATCH(Y56,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6" s="1251" t="str">
        <f>IFERROR(__xludf.DUMMYFUNCTION("if(Y56 &lt;&gt; """", 
  LET(
    TargetLevel, VLOOKUP(Y56,MS_Labs_Array,3,false),
    LabSpeed, (1 * REGEXEXTRACT($BH$1, ""[\d.-]+"")) * {IF(Y56 =""Labs Speed"", 1+'Master Sheet'!$BK$5, LAB_SPEED_TOTAL())},
    MaxLevel, VLOOKUP(Y56,MS_Labs_Array,4,false),
   "&amp;" MaxOrTarget, IF(OR(TargetLevel = """",$AD$1 &lt;&gt; ""Target""), MaxLevel, TargetLevel),
    LabLevel, VLOOKUP(Y56,MS_Labs_Array,2,False),
    DVTColumn, MATCH(Y56, DVT_Laboratory!$A$1:BO$1, 0),
    xextTime, INDIRECT(""DVT_Laboratory!"" &amp; ADDRESS(LabLevel+3,"&amp;" DVTColumn)) / LabSpeed,
    remainingTime, SUM(INDIRECT(""DVT_Laboratory!"" &amp; ADDRESS(LabLevel+3, DVTColumn) &amp; "":"" &amp; ADDRESS(MaxOrTarget+2, DVTColumn))) / LabSpeed,
  Y56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6" s="1249"/>
      <c r="AC56" s="1249" t="str">
        <f>IFERROR(__xludf.DUMMYFUNCTION("""COMPUTED_VALUE"""),"Assist Module Substats - Cannon
  Lab Level:      0 / 30 (Max)
  Next Level:    0d 16h 28m
  Max Level:     319d  3h 13m")</f>
        <v>Assist Module Substats - Cannon
  Lab Level:      0 / 30 (Max)
  Next Level:    0d 16h 28m
  Max Level:     319d  3h 13m</v>
      </c>
      <c r="AD56" s="1249" t="str">
        <f>IFERROR(__xludf.DUMMYFUNCTION("""COMPUTED_VALUE"""),"")</f>
        <v/>
      </c>
      <c r="AE56" s="1249"/>
      <c r="AF56" s="1250" t="str">
        <f>IFERROR(__xludf.DUMMYFUNCTION("if(AE56 &lt;&gt; """", 
  LET( 
    TargetLevel, VLOOKUP(AE56,MS_Labs_Array,3,false),
    MaxLevel, VLOOKUP(AE56,MS_Labs_Array,4,false),
    MaxOrTarget, IF(OR(TargetLevel = """",$AD$1 &lt;&gt; ""Target""), MaxLevel, TargetLevel),
    LabLevel, VLOOKUP(AE56,MS_Labs_A"&amp;"rray,2,False),
    Levelprogress, LabLevel / MaxOrTarget,
    DVTColumn, MATCH(AE56,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6" s="1251" t="str">
        <f>IFERROR(__xludf.DUMMYFUNCTION("if(AE56 &lt;&gt; """", 
  LET(
    TargetLevel, VLOOKUP(AE56,MS_Labs_Array,3,false),
    LabSpeed, (1 * REGEXEXTRACT($BH$1, ""[\d.-]+"")) * {IF(AE56 =""Labs Speed"", 1+'Master Sheet'!$BK$5, LAB_SPEED_TOTAL())},
    MaxLevel, VLOOKUP(AE56,MS_Labs_Array,4,false),"&amp;"
    MaxOrTarget, IF(OR(TargetLevel = """",$AD$1 &lt;&gt; ""Target""), MaxLevel, TargetLevel),
    LabLevel, VLOOKUP(AE56,MS_Labs_Array,2,False),
    DVTColumn, MATCH(AE56, DVT_Laboratory!$A$1:BO$1, 0),
    xextTime, INDIRECT(""DVT_Laboratory!"" &amp; ADDRESS(LabLe"&amp;"vel+3, DVTColumn)) / LabSpeed,
    remainingTime, SUM(INDIRECT(""DVT_Laboratory!"" &amp; ADDRESS(LabLevel+3, DVTColumn) &amp; "":"" &amp; ADDRESS(MaxOrTarget+2, DVTColumn))) / LabSpeed,
  AE56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6" s="1249"/>
      <c r="AI56" s="1249" t="str">
        <f>IFERROR(__xludf.DUMMYFUNCTION("""COMPUTED_VALUE"""),"")</f>
        <v/>
      </c>
      <c r="AJ56" s="1249" t="str">
        <f>IFERROR(__xludf.DUMMYFUNCTION("""COMPUTED_VALUE"""),"")</f>
        <v/>
      </c>
      <c r="AK56" s="1249"/>
      <c r="AL56" s="1250" t="str">
        <f>IFERROR(__xludf.DUMMYFUNCTION("if(AK56 &lt;&gt; """", 
  LET( 
    TargetLevel, VLOOKUP(AK56,MS_Labs_Array,3,false),
    MaxLevel, VLOOKUP(AK56,MS_Labs_Array,4,false),
    MaxOrTarget, IF(OR(TargetLevel = """",$AD$1 &lt;&gt; ""Target""), MaxLevel, TargetLevel),
    LabLevel, VLOOKUP(AK56,MS_Labs_A"&amp;"rray,2,False),
    Levelprogress, LabLevel / MaxOrTarget,
    DVTColumn, MATCH(AK56,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6" s="1251" t="str">
        <f>IFERROR(__xludf.DUMMYFUNCTION("if(AK56 &lt;&gt; """", 
  LET(
    TargetLevel, VLOOKUP(AK56,MS_Labs_Array,3,false),
    LabSpeed, (1 * REGEXEXTRACT($BH$1, ""[\d.-]+"")) * {IF(AK56 =""Labs Speed"", 1+'Master Sheet'!$BK$5, LAB_SPEED_TOTAL())},
    MaxLevel, VLOOKUP(AK56,MS_Labs_Array,4,false),"&amp;"
    MaxOrTarget, IF(OR(TargetLevel = """",$AD$1 &lt;&gt; ""Target""), MaxLevel, TargetLevel),
    LabLevel, VLOOKUP(AK56,MS_Labs_Array,2,False),
    DVTColumn, MATCH(AK56, DVT_Laboratory!$A$1:BO$1, 0),
    xextTime, INDIRECT(""DVT_Laboratory!"" &amp; ADDRESS(LabLe"&amp;"vel+3, DVTColumn)) / LabSpeed,
    remainingTime, SUM(INDIRECT(""DVT_Laboratory!"" &amp; ADDRESS(LabLevel+3, DVTColumn) &amp; "":"" &amp; ADDRESS(MaxOrTarget+2, DVTColumn))) / LabSpeed,
  AK56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6" s="1249"/>
      <c r="AO56" s="1249" t="str">
        <f>IFERROR(__xludf.DUMMYFUNCTION("""COMPUTED_VALUE"""),"Enemy Attack Speed
  Lab Level:      0 / 20 (Max)
  Next Level:    1d  0h 42m
  Max Level:     216d  4h 30m")</f>
        <v>Enemy Attack Speed
  Lab Level:      0 / 20 (Max)
  Next Level:    1d  0h 42m
  Max Level:     216d  4h 30m</v>
      </c>
      <c r="AP56" s="1249" t="str">
        <f>IFERROR(__xludf.DUMMYFUNCTION("""COMPUTED_VALUE"""),"")</f>
        <v/>
      </c>
      <c r="AQ56" s="1249"/>
      <c r="AR56" s="1250" t="str">
        <f>IFERROR(__xludf.DUMMYFUNCTION("if(AQ56 &lt;&gt; """", 
  LET( 
    TargetLevel, VLOOKUP(AQ56,MS_Labs_Array,3,false),
    MaxLevel, VLOOKUP(AQ56,MS_Labs_Array,4,false),
    MaxOrTarget, IF(OR(TargetLevel = """",$AD$1 &lt;&gt; ""Target""), MaxLevel, TargetLevel),
    LabLevel, VLOOKUP(AQ56,MS_Labs_A"&amp;"rray,2,False),
    Levelprogress, LabLevel / MaxOrTarget,
    DVTColumn, MATCH(AQ56,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6" s="1251" t="str">
        <f>IFERROR(__xludf.DUMMYFUNCTION("if(AQ56 &lt;&gt; """", 
  LET(
    TargetLevel, VLOOKUP(AQ56,MS_Labs_Array,3,false),
    LabSpeed, (1 * REGEXEXTRACT($BH$1, ""[\d.-]+"")) * {IF(AQ56 =""Labs Speed"", 1+'Master Sheet'!$BK$5, LAB_SPEED_TOTAL())},
    MaxLevel, VLOOKUP(AQ56,MS_Labs_Array,4,false),"&amp;"
    MaxOrTarget, IF(OR(TargetLevel = """",$AD$1 &lt;&gt; ""Target""), MaxLevel, TargetLevel),
    LabLevel, VLOOKUP(AQ56,MS_Labs_Array,2,False),
    DVTColumn, MATCH(AQ56, DVT_Laboratory!$A$1:BO$1, 0),
    xextTime, INDIRECT(""DVT_Laboratory!"" &amp; ADDRESS(LabLe"&amp;"vel+3, DVTColumn)) / LabSpeed,
    remainingTime, SUM(INDIRECT(""DVT_Laboratory!"" &amp; ADDRESS(LabLevel+3, DVTColumn) &amp; "":"" &amp; ADDRESS(MaxOrTarget+2, DVTColumn))) / LabSpeed,
  AQ56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6" s="1249"/>
      <c r="AU56" s="1249" t="str">
        <f>IFERROR(__xludf.DUMMYFUNCTION("""COMPUTED_VALUE"""),"Boss's Ultimate
  Lab Level:      0 / 10 (Max)
  Next Level:    1d 17h 10m
  Max Level:     48d  0h 59m")</f>
        <v>Boss's Ultimate
  Lab Level:      0 / 10 (Max)
  Next Level:    1d 17h 10m
  Max Level:     48d  0h 59m</v>
      </c>
      <c r="AV56" s="1249" t="str">
        <f>IFERROR(__xludf.DUMMYFUNCTION("""COMPUTED_VALUE"""),"")</f>
        <v/>
      </c>
      <c r="AW56" s="1249"/>
      <c r="AX56" s="1250" t="str">
        <f>IFERROR(__xludf.DUMMYFUNCTION("if(AW56 &lt;&gt; """", 
  LET( 
    TargetLevel, VLOOKUP(AW56,MS_Labs_Array,3,false),
    MaxLevel, VLOOKUP(AW56,MS_Labs_Array,4,false),
    MaxOrTarget, IF(OR(TargetLevel = """",$AD$1 &lt;&gt; ""Target""), MaxLevel, TargetLevel),
    LabLevel, VLOOKUP(AW56,MS_Labs_A"&amp;"rray,2,False),
    Levelprogress, LabLevel / MaxOrTarget,
    DVTColumn, MATCH(AW56,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6" s="1251" t="str">
        <f>IFERROR(__xludf.DUMMYFUNCTION("if(AW56 &lt;&gt; """", 
  LET(
    TargetLevel, VLOOKUP(AW56,MS_Labs_Array,3,false),
    LabSpeed, (1 * REGEXEXTRACT($BH$1, ""[\d.-]+"")) * {IF(AW56 =""Labs Speed"", 1+'Master Sheet'!$BK$5, LAB_SPEED_TOTAL())},
    MaxLevel, VLOOKUP(AW56,MS_Labs_Array,4,false),"&amp;"
    MaxOrTarget, IF(OR(TargetLevel = """",$AD$1 &lt;&gt; ""Target""), MaxLevel, TargetLevel),
    LabLevel, VLOOKUP(AW56,MS_Labs_Array,2,False),
    DVTColumn, MATCH(AW56, DVT_Laboratory!$A$1:BO$1, 0),
    xextTime, INDIRECT(""DVT_Laboratory!"" &amp; ADDRESS(LabLe"&amp;"vel+3, DVTColumn)) / LabSpeed,
    remainingTime, SUM(INDIRECT(""DVT_Laboratory!"" &amp; ADDRESS(LabLevel+3, DVTColumn) &amp; "":"" &amp; ADDRESS(MaxOrTarget+2, DVTColumn))) / LabSpeed,
  AW56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6" s="1249"/>
      <c r="BA56" s="1249" t="str">
        <f>IFERROR(__xludf.DUMMYFUNCTION("""COMPUTED_VALUE"""),"Enemy Speed
  Lab Level:      0 / 20 (Max)
  Next Level:    1d  0h 42m
  Max Level:     216d  4h 30m")</f>
        <v>Enemy Speed
  Lab Level:      0 / 20 (Max)
  Next Level:    1d  0h 42m
  Max Level:     216d  4h 30m</v>
      </c>
      <c r="BB56" s="1249" t="str">
        <f>IFERROR(__xludf.DUMMYFUNCTION("""COMPUTED_VALUE"""),"")</f>
        <v/>
      </c>
      <c r="BC56" s="1249"/>
      <c r="BD56" s="1250" t="str">
        <f>IFERROR(__xludf.DUMMYFUNCTION("if(BC56 &lt;&gt; """", 
  LET( 
    TargetLevel, VLOOKUP(BC56,MS_Labs_Array,3,false),
    MaxLevel, VLOOKUP(BC56,MS_Labs_Array,4,false),
    MaxOrTarget, IF(OR(TargetLevel = """",$AD$1 &lt;&gt; ""Target""), MaxLevel, TargetLevel),
    LabLevel, VLOOKUP(BC56,MS_Labs_A"&amp;"rray,2,False),
    Levelprogress, LabLevel / MaxOrTarget,
    DVTColumn, MATCH(BC56,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6" s="1251" t="str">
        <f>IFERROR(__xludf.DUMMYFUNCTION("if(BC56 &lt;&gt; """", 
  LET(
    TargetLevel, VLOOKUP(BC56,MS_Labs_Array,3,false),
    LabSpeed, (1 * REGEXEXTRACT($BH$1, ""[\d.-]+"")) * {IF(BC56 =""Labs Speed"", 1+'Master Sheet'!$BK$5, LAB_SPEED_TOTAL())},
    MaxLevel, VLOOKUP(BC56,MS_Labs_Array,4,false),"&amp;"
    MaxOrTarget, IF(OR(TargetLevel = """",$AD$1 &lt;&gt; ""Target""), MaxLevel, TargetLevel),
    LabLevel, VLOOKUP(BC56,MS_Labs_Array,2,False),
    DVTColumn, MATCH(BC56, DVT_Laboratory!$A$1:BO$1, 0),
    xextTime, INDIRECT(""DVT_Laboratory!"" &amp; ADDRESS(LabLe"&amp;"vel+3, DVTColumn)) / LabSpeed,
    remainingTime, SUM(INDIRECT(""DVT_Laboratory!"" &amp; ADDRESS(LabLevel+3, DVTColumn) &amp; "":"" &amp; ADDRESS(MaxOrTarget+2, DVTColumn))) / LabSpeed,
  BC56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6" s="1249"/>
      <c r="BG56" s="1249" t="str">
        <f>IFERROR(__xludf.DUMMYFUNCTION("""COMPUTED_VALUE"""),"")</f>
        <v/>
      </c>
      <c r="BH56" s="1260" t="str">
        <f>IFERROR(__xludf.DUMMYFUNCTION("""COMPUTED_VALUE"""),"")</f>
        <v/>
      </c>
      <c r="BI56" s="1252"/>
      <c r="BJ56" s="1253" t="str">
        <f>IFERROR(__xludf.DUMMYFUNCTION("if(BI56 &lt;&gt; """", 
  LET( 
    TargetLevel, VLOOKUP(BI56,MS_Labs_Array,3,false),
    MaxLevel, VLOOKUP(BI56,MS_Labs_Array,4,false),
    MaxOrTarget, IF(OR(TargetLevel = """",$AD$1 &lt;&gt; ""Target""), MaxLevel, TargetLevel),
    LabLevel, VLOOKUP(BI56,MS_Labs_A"&amp;"rray,2,False),
    Levelprogress, IF(LabLevel &gt;= MaxOrTarget, 1, LabLevel / MaxOrTarget),
    DVTColumn, MATCH(BI56,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6" s="1254" t="str">
        <f>IFERROR(__xludf.DUMMYFUNCTION("if(BI56 &lt;&gt; """", 
  LET(
    TargetLevel, VLOOKUP(BI56,MS_Labs_Array,3,false),
    LabSpeed, (1 * REGEXEXTRACT($BH$1, ""[\d.-]+"")) * {IF(BI56 =""Labs Speed"", 1+'Master Sheet'!$BK$5, LAB_SPEED_TOTAL())},
    MaxLevel, VLOOKUP(BI56,MS_Labs_Array,4,false),"&amp;"
    MaxOrTarget, IF(OR(TargetLevel = """",$AD$1 &lt;&gt; ""Target""), MaxLevel, TargetLevel),
    LabLevel, VLOOKUP(BI56,MS_Labs_Array,2,False),
    DVTColumn, MATCH(BI56, DVT_Laboratory!$A$1:BO$1, 0),
    xextTime, INDIRECT(""DVT_Laboratory!"" &amp; ADDRESS(LabLe"&amp;"vel+3, DVTColumn)) / LabSpeed,
    remainingTime, SUM(INDIRECT(""DVT_Laboratory!"" &amp; ADDRESS(LabLevel+3, DVTColumn) &amp; "":"" &amp; ADDRESS(MaxOrTarget+2, DVTColumn))) / LabSpeed,
  BI56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6" s="1252"/>
      <c r="BM56" s="1252" t="str">
        <f>IFERROR(__xludf.DUMMYFUNCTION("""COMPUTED_VALUE"""),"Black Hole Coin Bonus
  Lab Level:      20 / 20 (Max)
  Next Level:    
  Max Level:     2d  1h 32m")</f>
        <v>Black Hole Coin Bonus
  Lab Level:      20 / 20 (Max)
  Next Level:    
  Max Level:     2d  1h 32m</v>
      </c>
      <c r="BN56" s="1222"/>
      <c r="BO56" s="1261"/>
    </row>
    <row r="57">
      <c r="A57" s="1222"/>
      <c r="B57" s="1257"/>
      <c r="C57" s="1299" t="s">
        <v>272</v>
      </c>
      <c r="D57" s="1280" t="str">
        <f>VLOOKUP(C57,'Remote Tier List'!A:D, 2, FALSE)</f>
        <v>B</v>
      </c>
      <c r="E57" s="1281" t="str">
        <f>VLOOKUP(C57,'Remote Tier List'!A:D, 3, FALSE)</f>
        <v>S</v>
      </c>
      <c r="F57" s="1284" t="str">
        <f>VLOOKUP(C57,'Remote Tier List'!A:D, 4, FALSE)</f>
        <v>Good with GComp and for getting extra shards out of RPC mastery</v>
      </c>
      <c r="G57" s="1245" t="b">
        <f t="shared" si="16"/>
        <v>1</v>
      </c>
      <c r="H57" s="1265" t="str">
        <f t="array" ref="H57:I57">LET(
  Lab, $C57,
  Mode, $AD$1,
  Level, VLOOKUP(Lab, MS_Labs_Array, 2, FALSE),
  Target, VLOOKUP(Lab, MS_Labs_Array, 3, FALSE),
  Max, VLOOKUP(Lab, MS_Labs_Array, 4, FALSE),
  Result,
    IF(
      AND(
        Mode &lt;&gt; "Never",
        Level &gt;= IF(OR(Target = "", Mode = "Max"), Max, Target)
      ),
      "Completed",
      ""
    ),
  HSTACK(
    IF(Result &lt;&gt; "", Result, $D57),
    IF(Result &lt;&gt; "", Result, IF($E57 = "", $D57, $E57))
  )
)</f>
        <v>Completed</v>
      </c>
      <c r="I57" s="1265" t="s">
        <v>551</v>
      </c>
      <c r="J57" s="1248" t="str">
        <f t="shared" si="17"/>
        <v>Good with GComp and for getting extra shards out of RPC mastery</v>
      </c>
      <c r="K57" s="1229"/>
      <c r="L57" s="1249"/>
      <c r="M57" s="1249"/>
      <c r="N57" s="1250" t="str">
        <f>IFERROR(__xludf.DUMMYFUNCTION("if(M57 &lt;&gt; """", 
  LET( 
    TargetLevel, VLOOKUP(M57,MS_Labs_Array,3,false),
    MaxLevel, VLOOKUP(M57,MS_Labs_Array,4,false),
    MaxOrTarget, IF(OR(TargetLevel = """",$AD$1 &lt;&gt; ""Target""), MaxLevel, TargetLevel),
    LabLevel, VLOOKUP(M57,MS_Labs_Array"&amp;",2,False),
    Levelprogress, LabLevel / MaxOrTarget,
    DVTColumn, MATCH(M57,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7" s="1251" t="str">
        <f>IFERROR(__xludf.DUMMYFUNCTION("if(M57 &lt;&gt; """", 
  LET(
    TargetLevel, VLOOKUP(M57,MS_Labs_Array,3,false),
    LabSpeed, (1 * REGEXEXTRACT($BH$1, ""[\d.-]+"")) * {IF(M57 =""Labs Speed"", 1+'Master Sheet'!$BK$5, LAB_SPEED_TOTAL())},
    MaxLevel, VLOOKUP(M57,MS_Labs_Array,4,false),
   "&amp;" MaxOrTarget, IF(OR(TargetLevel = """",$AD$1 &lt;&gt; ""Target""), MaxLevel, TargetLevel),
    LabLevel, VLOOKUP(M57,MS_Labs_Array,2,False),
    DVTColumn, MATCH(M57, DVT_Laboratory!$A$1:BO$1, 0),
    xextTime, INDIRECT(""DVT_Laboratory!"" &amp; ADDRESS(LabLevel+3,"&amp;" DVTColumn)) / LabSpeed,
    remainingTime, SUM(INDIRECT(""DVT_Laboratory!"" &amp; ADDRESS(LabLevel+3, DVTColumn) &amp; "":"" &amp; ADDRESS(MaxOrTarget+2, DVTColumn))) / LabSpeed,
  M57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7" s="1249"/>
      <c r="Q57" s="1249"/>
      <c r="R57" s="1249"/>
      <c r="S57" s="1249"/>
      <c r="T57" s="1250" t="str">
        <f>IFERROR(__xludf.DUMMYFUNCTION("if(S57 &lt;&gt; """", 
  LET( 
    TargetLevel, VLOOKUP(S57,MS_Labs_Array,3,false),
    MaxLevel, VLOOKUP(S57,MS_Labs_Array,4,false),
    MaxOrTarget, IF(OR(TargetLevel = """",$AD$1 &lt;&gt; ""Target""), MaxLevel, TargetLevel),
    LabLevel, VLOOKUP(S57,MS_Labs_Array"&amp;",2,False),
    Levelprogress, LabLevel / MaxOrTarget,
    DVTColumn, MATCH(S57,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7" s="1251" t="str">
        <f>IFERROR(__xludf.DUMMYFUNCTION("if(S57 &lt;&gt; """", 
  LET(
    TargetLevel, VLOOKUP(S57,MS_Labs_Array,3,false),
    LabSpeed, (1 * REGEXEXTRACT($BH$1, ""[\d.-]+"")) * {IF(S57 =""Labs Speed"", 1+'Master Sheet'!$BK$5, LAB_SPEED_TOTAL())},
    MaxLevel, VLOOKUP(S57,MS_Labs_Array,4,false),
   "&amp;" MaxOrTarget, IF(OR(TargetLevel = """",$AD$1 &lt;&gt; ""Target""), MaxLevel, TargetLevel),
    LabLevel, VLOOKUP(S57,MS_Labs_Array,2,False),
    DVTColumn, MATCH(S57, DVT_Laboratory!$A$1:BO$1, 0),
    xextTime, INDIRECT(""DVT_Laboratory!"" &amp; ADDRESS(LabLevel+3,"&amp;" DVTColumn)) / LabSpeed,
    remainingTime, SUM(INDIRECT(""DVT_Laboratory!"" &amp; ADDRESS(LabLevel+3, DVTColumn) &amp; "":"" &amp; ADDRESS(MaxOrTarget+2, DVTColumn))) / LabSpeed,
  S57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7" s="1249"/>
      <c r="W57" s="1249"/>
      <c r="X57" s="1249" t="str">
        <f>IFERROR(__xludf.DUMMYFUNCTION("""COMPUTED_VALUE"""),"Assist Module Substats - Armor")</f>
        <v>Assist Module Substats - Armor</v>
      </c>
      <c r="Y57" s="1249"/>
      <c r="Z57" s="1250" t="str">
        <f>IFERROR(__xludf.DUMMYFUNCTION("if(Y57 &lt;&gt; """", 
  LET( 
    TargetLevel, VLOOKUP(Y57,MS_Labs_Array,3,false),
    MaxLevel, VLOOKUP(Y57,MS_Labs_Array,4,false),
    MaxOrTarget, IF(OR(TargetLevel = """",$AD$1 &lt;&gt; ""Target""), MaxLevel, TargetLevel),
    LabLevel, VLOOKUP(Y57,MS_Labs_Array"&amp;",2,False),
    Levelprogress, LabLevel / MaxOrTarget,
    DVTColumn, MATCH(Y57,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7" s="1251" t="str">
        <f>IFERROR(__xludf.DUMMYFUNCTION("if(Y57 &lt;&gt; """", 
  LET(
    TargetLevel, VLOOKUP(Y57,MS_Labs_Array,3,false),
    LabSpeed, (1 * REGEXEXTRACT($BH$1, ""[\d.-]+"")) * {IF(Y57 =""Labs Speed"", 1+'Master Sheet'!$BK$5, LAB_SPEED_TOTAL())},
    MaxLevel, VLOOKUP(Y57,MS_Labs_Array,4,false),
   "&amp;" MaxOrTarget, IF(OR(TargetLevel = """",$AD$1 &lt;&gt; ""Target""), MaxLevel, TargetLevel),
    LabLevel, VLOOKUP(Y57,MS_Labs_Array,2,False),
    DVTColumn, MATCH(Y57, DVT_Laboratory!$A$1:BO$1, 0),
    xextTime, INDIRECT(""DVT_Laboratory!"" &amp; ADDRESS(LabLevel+3,"&amp;" DVTColumn)) / LabSpeed,
    remainingTime, SUM(INDIRECT(""DVT_Laboratory!"" &amp; ADDRESS(LabLevel+3, DVTColumn) &amp; "":"" &amp; ADDRESS(MaxOrTarget+2, DVTColumn))) / LabSpeed,
  Y57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7" s="1249"/>
      <c r="AC57" s="1249"/>
      <c r="AD57" s="1249"/>
      <c r="AE57" s="1249"/>
      <c r="AF57" s="1250" t="str">
        <f>IFERROR(__xludf.DUMMYFUNCTION("if(AE57 &lt;&gt; """", 
  LET( 
    TargetLevel, VLOOKUP(AE57,MS_Labs_Array,3,false),
    MaxLevel, VLOOKUP(AE57,MS_Labs_Array,4,false),
    MaxOrTarget, IF(OR(TargetLevel = """",$AD$1 &lt;&gt; ""Target""), MaxLevel, TargetLevel),
    LabLevel, VLOOKUP(AE57,MS_Labs_A"&amp;"rray,2,False),
    Levelprogress, LabLevel / MaxOrTarget,
    DVTColumn, MATCH(AE57,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7" s="1251" t="str">
        <f>IFERROR(__xludf.DUMMYFUNCTION("if(AE57 &lt;&gt; """", 
  LET(
    TargetLevel, VLOOKUP(AE57,MS_Labs_Array,3,false),
    LabSpeed, (1 * REGEXEXTRACT($BH$1, ""[\d.-]+"")) * {IF(AE57 =""Labs Speed"", 1+'Master Sheet'!$BK$5, LAB_SPEED_TOTAL())},
    MaxLevel, VLOOKUP(AE57,MS_Labs_Array,4,false),"&amp;"
    MaxOrTarget, IF(OR(TargetLevel = """",$AD$1 &lt;&gt; ""Target""), MaxLevel, TargetLevel),
    LabLevel, VLOOKUP(AE57,MS_Labs_Array,2,False),
    DVTColumn, MATCH(AE57, DVT_Laboratory!$A$1:BO$1, 0),
    xextTime, INDIRECT(""DVT_Laboratory!"" &amp; ADDRESS(LabLe"&amp;"vel+3, DVTColumn)) / LabSpeed,
    remainingTime, SUM(INDIRECT(""DVT_Laboratory!"" &amp; ADDRESS(LabLevel+3, DVTColumn) &amp; "":"" &amp; ADDRESS(MaxOrTarget+2, DVTColumn))) / LabSpeed,
  AE57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7" s="1249"/>
      <c r="AI57" s="1249"/>
      <c r="AJ57" s="1249" t="str">
        <f>IFERROR(__xludf.DUMMYFUNCTION("""COMPUTED_VALUE"""),"Death Defy Down")</f>
        <v>Death Defy Down</v>
      </c>
      <c r="AK57" s="1249"/>
      <c r="AL57" s="1250" t="str">
        <f>IFERROR(__xludf.DUMMYFUNCTION("if(AK57 &lt;&gt; """", 
  LET( 
    TargetLevel, VLOOKUP(AK57,MS_Labs_Array,3,false),
    MaxLevel, VLOOKUP(AK57,MS_Labs_Array,4,false),
    MaxOrTarget, IF(OR(TargetLevel = """",$AD$1 &lt;&gt; ""Target""), MaxLevel, TargetLevel),
    LabLevel, VLOOKUP(AK57,MS_Labs_A"&amp;"rray,2,False),
    Levelprogress, LabLevel / MaxOrTarget,
    DVTColumn, MATCH(AK57,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7" s="1251" t="str">
        <f>IFERROR(__xludf.DUMMYFUNCTION("if(AK57 &lt;&gt; """", 
  LET(
    TargetLevel, VLOOKUP(AK57,MS_Labs_Array,3,false),
    LabSpeed, (1 * REGEXEXTRACT($BH$1, ""[\d.-]+"")) * {IF(AK57 =""Labs Speed"", 1+'Master Sheet'!$BK$5, LAB_SPEED_TOTAL())},
    MaxLevel, VLOOKUP(AK57,MS_Labs_Array,4,false),"&amp;"
    MaxOrTarget, IF(OR(TargetLevel = """",$AD$1 &lt;&gt; ""Target""), MaxLevel, TargetLevel),
    LabLevel, VLOOKUP(AK57,MS_Labs_Array,2,False),
    DVTColumn, MATCH(AK57, DVT_Laboratory!$A$1:BO$1, 0),
    xextTime, INDIRECT(""DVT_Laboratory!"" &amp; ADDRESS(LabLe"&amp;"vel+3, DVTColumn)) / LabSpeed,
    remainingTime, SUM(INDIRECT(""DVT_Laboratory!"" &amp; ADDRESS(LabLevel+3, DVTColumn) &amp; "":"" &amp; ADDRESS(MaxOrTarget+2, DVTColumn))) / LabSpeed,
  AK57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7" s="1249"/>
      <c r="AO57" s="1249" t="str">
        <f>IFERROR(__xludf.DUMMYFUNCTION("""COMPUTED_VALUE"""),"Extra invincibility is always strong")</f>
        <v>Extra invincibility is always strong</v>
      </c>
      <c r="AP57" s="1249" t="str">
        <f>IFERROR(__xludf.DUMMYFUNCTION("""COMPUTED_VALUE"""),"Tank's Ultimate")</f>
        <v>Tank's Ultimate</v>
      </c>
      <c r="AQ57" s="1249"/>
      <c r="AR57" s="1250" t="str">
        <f>IFERROR(__xludf.DUMMYFUNCTION("if(AQ57 &lt;&gt; """", 
  LET( 
    TargetLevel, VLOOKUP(AQ57,MS_Labs_Array,3,false),
    MaxLevel, VLOOKUP(AQ57,MS_Labs_Array,4,false),
    MaxOrTarget, IF(OR(TargetLevel = """",$AD$1 &lt;&gt; ""Target""), MaxLevel, TargetLevel),
    LabLevel, VLOOKUP(AQ57,MS_Labs_A"&amp;"rray,2,False),
    Levelprogress, LabLevel / MaxOrTarget,
    DVTColumn, MATCH(AQ57,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7" s="1251" t="str">
        <f>IFERROR(__xludf.DUMMYFUNCTION("if(AQ57 &lt;&gt; """", 
  LET(
    TargetLevel, VLOOKUP(AQ57,MS_Labs_Array,3,false),
    LabSpeed, (1 * REGEXEXTRACT($BH$1, ""[\d.-]+"")) * {IF(AQ57 =""Labs Speed"", 1+'Master Sheet'!$BK$5, LAB_SPEED_TOTAL())},
    MaxLevel, VLOOKUP(AQ57,MS_Labs_Array,4,false),"&amp;"
    MaxOrTarget, IF(OR(TargetLevel = """",$AD$1 &lt;&gt; ""Target""), MaxLevel, TargetLevel),
    LabLevel, VLOOKUP(AQ57,MS_Labs_Array,2,False),
    DVTColumn, MATCH(AQ57, DVT_Laboratory!$A$1:BO$1, 0),
    xextTime, INDIRECT(""DVT_Laboratory!"" &amp; ADDRESS(LabLe"&amp;"vel+3, DVTColumn)) / LabSpeed,
    remainingTime, SUM(INDIRECT(""DVT_Laboratory!"" &amp; ADDRESS(LabLevel+3, DVTColumn) &amp; "":"" &amp; ADDRESS(MaxOrTarget+2, DVTColumn))) / LabSpeed,
  AQ57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7" s="1249"/>
      <c r="AU57" s="1249" t="str">
        <f>IFERROR(__xludf.DUMMYFUNCTION("""COMPUTED_VALUE"""),"Cuts off a few seconds of duration, can sometimes help lower the danger")</f>
        <v>Cuts off a few seconds of duration, can sometimes help lower the danger</v>
      </c>
      <c r="AV57" s="1249" t="str">
        <f>IFERROR(__xludf.DUMMYFUNCTION("""COMPUTED_VALUE"""),"More Enemies")</f>
        <v>More Enemies</v>
      </c>
      <c r="AW57" s="1249"/>
      <c r="AX57" s="1250" t="str">
        <f>IFERROR(__xludf.DUMMYFUNCTION("if(AW57 &lt;&gt; """", 
  LET( 
    TargetLevel, VLOOKUP(AW57,MS_Labs_Array,3,false),
    MaxLevel, VLOOKUP(AW57,MS_Labs_Array,4,false),
    MaxOrTarget, IF(OR(TargetLevel = """",$AD$1 &lt;&gt; ""Target""), MaxLevel, TargetLevel),
    LabLevel, VLOOKUP(AW57,MS_Labs_A"&amp;"rray,2,False),
    Levelprogress, LabLevel / MaxOrTarget,
    DVTColumn, MATCH(AW57,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7" s="1251" t="str">
        <f>IFERROR(__xludf.DUMMYFUNCTION("if(AW57 &lt;&gt; """", 
  LET(
    TargetLevel, VLOOKUP(AW57,MS_Labs_Array,3,false),
    LabSpeed, (1 * REGEXEXTRACT($BH$1, ""[\d.-]+"")) * {IF(AW57 =""Labs Speed"", 1+'Master Sheet'!$BK$5, LAB_SPEED_TOTAL())},
    MaxLevel, VLOOKUP(AW57,MS_Labs_Array,4,false),"&amp;"
    MaxOrTarget, IF(OR(TargetLevel = """",$AD$1 &lt;&gt; ""Target""), MaxLevel, TargetLevel),
    LabLevel, VLOOKUP(AW57,MS_Labs_Array,2,False),
    DVTColumn, MATCH(AW57, DVT_Laboratory!$A$1:BO$1, 0),
    xextTime, INDIRECT(""DVT_Laboratory!"" &amp; ADDRESS(LabLe"&amp;"vel+3, DVTColumn)) / LabSpeed,
    remainingTime, SUM(INDIRECT(""DVT_Laboratory!"" &amp; ADDRESS(LabLevel+3, DVTColumn) &amp; "":"" &amp; ADDRESS(MaxOrTarget+2, DVTColumn))) / LabSpeed,
  AW57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7" s="1249"/>
      <c r="BA57" s="1249"/>
      <c r="BB57" s="1249"/>
      <c r="BC57" s="1249"/>
      <c r="BD57" s="1250" t="str">
        <f>IFERROR(__xludf.DUMMYFUNCTION("if(BC57 &lt;&gt; """", 
  LET( 
    TargetLevel, VLOOKUP(BC57,MS_Labs_Array,3,false),
    MaxLevel, VLOOKUP(BC57,MS_Labs_Array,4,false),
    MaxOrTarget, IF(OR(TargetLevel = """",$AD$1 &lt;&gt; ""Target""), MaxLevel, TargetLevel),
    LabLevel, VLOOKUP(BC57,MS_Labs_A"&amp;"rray,2,False),
    Levelprogress, LabLevel / MaxOrTarget,
    DVTColumn, MATCH(BC57,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7" s="1251" t="str">
        <f>IFERROR(__xludf.DUMMYFUNCTION("if(BC57 &lt;&gt; """", 
  LET(
    TargetLevel, VLOOKUP(BC57,MS_Labs_Array,3,false),
    LabSpeed, (1 * REGEXEXTRACT($BH$1, ""[\d.-]+"")) * {IF(BC57 =""Labs Speed"", 1+'Master Sheet'!$BK$5, LAB_SPEED_TOTAL())},
    MaxLevel, VLOOKUP(BC57,MS_Labs_Array,4,false),"&amp;"
    MaxOrTarget, IF(OR(TargetLevel = """",$AD$1 &lt;&gt; ""Target""), MaxLevel, TargetLevel),
    LabLevel, VLOOKUP(BC57,MS_Labs_Array,2,False),
    DVTColumn, MATCH(BC57, DVT_Laboratory!$A$1:BO$1, 0),
    xextTime, INDIRECT(""DVT_Laboratory!"" &amp; ADDRESS(LabLe"&amp;"vel+3, DVTColumn)) / LabSpeed,
    remainingTime, SUM(INDIRECT(""DVT_Laboratory!"" &amp; ADDRESS(LabLevel+3, DVTColumn) &amp; "":"" &amp; ADDRESS(MaxOrTarget+2, DVTColumn))) / LabSpeed,
  BC57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7" s="1249"/>
      <c r="BG57" s="1249"/>
      <c r="BH57" s="1260" t="str">
        <f>IFERROR(__xludf.DUMMYFUNCTION("""COMPUTED_VALUE"""),"Spotlight Coin Bonus")</f>
        <v>Spotlight Coin Bonus</v>
      </c>
      <c r="BI57" s="1252"/>
      <c r="BJ57" s="1253" t="str">
        <f>IFERROR(__xludf.DUMMYFUNCTION("if(BI57 &lt;&gt; """", 
  LET( 
    TargetLevel, VLOOKUP(BI57,MS_Labs_Array,3,false),
    MaxLevel, VLOOKUP(BI57,MS_Labs_Array,4,false),
    MaxOrTarget, IF(OR(TargetLevel = """",$AD$1 &lt;&gt; ""Target""), MaxLevel, TargetLevel),
    LabLevel, VLOOKUP(BI57,MS_Labs_A"&amp;"rray,2,False),
    Levelprogress, IF(LabLevel &gt;= MaxOrTarget, 1, LabLevel / MaxOrTarget),
    DVTColumn, MATCH(BI57,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7" s="1254" t="str">
        <f>IFERROR(__xludf.DUMMYFUNCTION("if(BI57 &lt;&gt; """", 
  LET(
    TargetLevel, VLOOKUP(BI57,MS_Labs_Array,3,false),
    LabSpeed, (1 * REGEXEXTRACT($BH$1, ""[\d.-]+"")) * {IF(BI57 =""Labs Speed"", 1+'Master Sheet'!$BK$5, LAB_SPEED_TOTAL())},
    MaxLevel, VLOOKUP(BI57,MS_Labs_Array,4,false),"&amp;"
    MaxOrTarget, IF(OR(TargetLevel = """",$AD$1 &lt;&gt; ""Target""), MaxLevel, TargetLevel),
    LabLevel, VLOOKUP(BI57,MS_Labs_Array,2,False),
    DVTColumn, MATCH(BI57, DVT_Laboratory!$A$1:BO$1, 0),
    xextTime, INDIRECT(""DVT_Laboratory!"" &amp; ADDRESS(LabLe"&amp;"vel+3, DVTColumn)) / LabSpeed,
    remainingTime, SUM(INDIRECT(""DVT_Laboratory!"" &amp; ADDRESS(LabLevel+3, DVTColumn) &amp; "":"" &amp; ADDRESS(MaxOrTarget+2, DVTColumn))) / LabSpeed,
  BI57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7" s="1252"/>
      <c r="BM57" s="1252" t="str">
        <f>IFERROR(__xludf.DUMMYFUNCTION("""COMPUTED_VALUE"""),"Third best coin multiplier")</f>
        <v>Third best coin multiplier</v>
      </c>
      <c r="BN57" s="1222"/>
      <c r="BO57" s="1261"/>
    </row>
    <row r="58" ht="7.5" customHeight="1">
      <c r="A58" s="1222"/>
      <c r="B58" s="1268" t="s">
        <v>565</v>
      </c>
      <c r="C58" s="1299" t="s">
        <v>280</v>
      </c>
      <c r="D58" s="1280" t="str">
        <f>VLOOKUP(C58,'Remote Tier List'!A:D, 2, FALSE)</f>
        <v>A</v>
      </c>
      <c r="E58" s="1281" t="str">
        <f>VLOOKUP(C58,'Remote Tier List'!A:D, 3, FALSE)</f>
        <v/>
      </c>
      <c r="F58" s="1284" t="str">
        <f>VLOOKUP(C58,'Remote Tier List'!A:D, 4, FALSE)</f>
        <v>More ELS is always good, especially when the lab is less expensive than the WS or WS+ upgrades</v>
      </c>
      <c r="G58" s="1245" t="b">
        <f t="shared" si="16"/>
        <v>1</v>
      </c>
      <c r="H58" s="1246" t="str">
        <f t="array" ref="H58:I58">LET(
  Lab, $C58,
  Mode, $AD$1,
  Level, VLOOKUP(Lab, MS_Labs_Array, 2, FALSE),
  Target, VLOOKUP(Lab, MS_Labs_Array, 3, FALSE),
  Max, VLOOKUP(Lab, MS_Labs_Array, 4, FALSE),
  Result,
    IF(
      AND(
        Mode &lt;&gt; "Never",
        Level &gt;= IF(OR(Target = "", Mode = "Max"), Max, Target)
      ),
      "Completed",
      ""
    ),
  HSTACK(
    IF(Result &lt;&gt; "", Result, $D58),
    IF(Result &lt;&gt; "", Result, IF($E58 = "", $D58, $E58))
  )
)</f>
        <v>Completed</v>
      </c>
      <c r="I58" s="1247" t="s">
        <v>551</v>
      </c>
      <c r="J58" s="1248" t="str">
        <f t="shared" si="17"/>
        <v>More ELS is always good, especially when the lab is less expensive than the WS or WS+ upgrades</v>
      </c>
      <c r="K58" s="1229"/>
      <c r="L58" s="1249" t="str">
        <f>IFERROR(__xludf.DUMMYFUNCTION("""COMPUTED_VALUE"""),"")</f>
        <v/>
      </c>
      <c r="M58" s="1249"/>
      <c r="N58" s="1250" t="str">
        <f>IFERROR(__xludf.DUMMYFUNCTION("if(M58 &lt;&gt; """", 
  LET( 
    TargetLevel, VLOOKUP(M58,MS_Labs_Array,3,false),
    MaxLevel, VLOOKUP(M58,MS_Labs_Array,4,false),
    MaxOrTarget, IF(OR(TargetLevel = """",$AD$1 &lt;&gt; ""Target""), MaxLevel, TargetLevel),
    LabLevel, VLOOKUP(M58,MS_Labs_Array"&amp;",2,False),
    Levelprogress, LabLevel / MaxOrTarget,
    DVTColumn, MATCH(M58,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8" s="1251" t="str">
        <f>IFERROR(__xludf.DUMMYFUNCTION("if(M58 &lt;&gt; """", 
  LET(
    TargetLevel, VLOOKUP(M58,MS_Labs_Array,3,false),
    LabSpeed, (1 * REGEXEXTRACT($BH$1, ""[\d.-]+"")) * {IF(M58 =""Labs Speed"", 1+'Master Sheet'!$BK$5, LAB_SPEED_TOTAL())},
    MaxLevel, VLOOKUP(M58,MS_Labs_Array,4,false),
   "&amp;" MaxOrTarget, IF(OR(TargetLevel = """",$AD$1 &lt;&gt; ""Target""), MaxLevel, TargetLevel),
    LabLevel, VLOOKUP(M58,MS_Labs_Array,2,False),
    DVTColumn, MATCH(M58, DVT_Laboratory!$A$1:BO$1, 0),
    xextTime, INDIRECT(""DVT_Laboratory!"" &amp; ADDRESS(LabLevel+3,"&amp;" DVTColumn)) / LabSpeed,
    remainingTime, SUM(INDIRECT(""DVT_Laboratory!"" &amp; ADDRESS(LabLevel+3, DVTColumn) &amp; "":"" &amp; ADDRESS(MaxOrTarget+2, DVTColumn))) / LabSpeed,
  M58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8" s="1249"/>
      <c r="Q58" s="1249" t="str">
        <f>IFERROR(__xludf.DUMMYFUNCTION("""COMPUTED_VALUE"""),"")</f>
        <v/>
      </c>
      <c r="R58" s="1249" t="str">
        <f>IFERROR(__xludf.DUMMYFUNCTION("""COMPUTED_VALUE"""),"")</f>
        <v/>
      </c>
      <c r="S58" s="1249"/>
      <c r="T58" s="1250" t="str">
        <f>IFERROR(__xludf.DUMMYFUNCTION("if(S58 &lt;&gt; """", 
  LET( 
    TargetLevel, VLOOKUP(S58,MS_Labs_Array,3,false),
    MaxLevel, VLOOKUP(S58,MS_Labs_Array,4,false),
    MaxOrTarget, IF(OR(TargetLevel = """",$AD$1 &lt;&gt; ""Target""), MaxLevel, TargetLevel),
    LabLevel, VLOOKUP(S58,MS_Labs_Array"&amp;",2,False),
    Levelprogress, LabLevel / MaxOrTarget,
    DVTColumn, MATCH(S58,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8" s="1251" t="str">
        <f>IFERROR(__xludf.DUMMYFUNCTION("if(S58 &lt;&gt; """", 
  LET(
    TargetLevel, VLOOKUP(S58,MS_Labs_Array,3,false),
    LabSpeed, (1 * REGEXEXTRACT($BH$1, ""[\d.-]+"")) * {IF(S58 =""Labs Speed"", 1+'Master Sheet'!$BK$5, LAB_SPEED_TOTAL())},
    MaxLevel, VLOOKUP(S58,MS_Labs_Array,4,false),
   "&amp;" MaxOrTarget, IF(OR(TargetLevel = """",$AD$1 &lt;&gt; ""Target""), MaxLevel, TargetLevel),
    LabLevel, VLOOKUP(S58,MS_Labs_Array,2,False),
    DVTColumn, MATCH(S58, DVT_Laboratory!$A$1:BO$1, 0),
    xextTime, INDIRECT(""DVT_Laboratory!"" &amp; ADDRESS(LabLevel+3,"&amp;" DVTColumn)) / LabSpeed,
    remainingTime, SUM(INDIRECT(""DVT_Laboratory!"" &amp; ADDRESS(LabLevel+3, DVTColumn) &amp; "":"" &amp; ADDRESS(MaxOrTarget+2, DVTColumn))) / LabSpeed,
  S58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8" s="1249"/>
      <c r="W58" s="1249" t="str">
        <f>IFERROR(__xludf.DUMMYFUNCTION("""COMPUTED_VALUE"""),"")</f>
        <v/>
      </c>
      <c r="X58" s="1249" t="str">
        <f>IFERROR(__xludf.DUMMYFUNCTION("""COMPUTED_VALUE"""),"")</f>
        <v/>
      </c>
      <c r="Y58" s="1249"/>
      <c r="Z58" s="1250" t="str">
        <f>IFERROR(__xludf.DUMMYFUNCTION("if(Y58 &lt;&gt; """", 
  LET( 
    TargetLevel, VLOOKUP(Y58,MS_Labs_Array,3,false),
    MaxLevel, VLOOKUP(Y58,MS_Labs_Array,4,false),
    MaxOrTarget, IF(OR(TargetLevel = """",$AD$1 &lt;&gt; ""Target""), MaxLevel, TargetLevel),
    LabLevel, VLOOKUP(Y58,MS_Labs_Array"&amp;",2,False),
    Levelprogress, LabLevel / MaxOrTarget,
    DVTColumn, MATCH(Y58,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8" s="1251" t="str">
        <f>IFERROR(__xludf.DUMMYFUNCTION("if(Y58 &lt;&gt; """", 
  LET(
    TargetLevel, VLOOKUP(Y58,MS_Labs_Array,3,false),
    LabSpeed, (1 * REGEXEXTRACT($BH$1, ""[\d.-]+"")) * {IF(Y58 =""Labs Speed"", 1+'Master Sheet'!$BK$5, LAB_SPEED_TOTAL())},
    MaxLevel, VLOOKUP(Y58,MS_Labs_Array,4,false),
   "&amp;" MaxOrTarget, IF(OR(TargetLevel = """",$AD$1 &lt;&gt; ""Target""), MaxLevel, TargetLevel),
    LabLevel, VLOOKUP(Y58,MS_Labs_Array,2,False),
    DVTColumn, MATCH(Y58, DVT_Laboratory!$A$1:BO$1, 0),
    xextTime, INDIRECT(""DVT_Laboratory!"" &amp; ADDRESS(LabLevel+3,"&amp;" DVTColumn)) / LabSpeed,
    remainingTime, SUM(INDIRECT(""DVT_Laboratory!"" &amp; ADDRESS(LabLevel+3, DVTColumn) &amp; "":"" &amp; ADDRESS(MaxOrTarget+2, DVTColumn))) / LabSpeed,
  Y58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8" s="1249"/>
      <c r="AC58" s="1249" t="str">
        <f>IFERROR(__xludf.DUMMYFUNCTION("""COMPUTED_VALUE"""),"Assist Module Substats - Armor
  Lab Level:      0 / 30 (Max)
  Next Level:    0d 16h 28m
  Max Level:     319d  3h 13m")</f>
        <v>Assist Module Substats - Armor
  Lab Level:      0 / 30 (Max)
  Next Level:    0d 16h 28m
  Max Level:     319d  3h 13m</v>
      </c>
      <c r="AD58" s="1249" t="str">
        <f>IFERROR(__xludf.DUMMYFUNCTION("""COMPUTED_VALUE"""),"")</f>
        <v/>
      </c>
      <c r="AE58" s="1249"/>
      <c r="AF58" s="1250" t="str">
        <f>IFERROR(__xludf.DUMMYFUNCTION("if(AE58 &lt;&gt; """", 
  LET( 
    TargetLevel, VLOOKUP(AE58,MS_Labs_Array,3,false),
    MaxLevel, VLOOKUP(AE58,MS_Labs_Array,4,false),
    MaxOrTarget, IF(OR(TargetLevel = """",$AD$1 &lt;&gt; ""Target""), MaxLevel, TargetLevel),
    LabLevel, VLOOKUP(AE58,MS_Labs_A"&amp;"rray,2,False),
    Levelprogress, LabLevel / MaxOrTarget,
    DVTColumn, MATCH(AE58,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8" s="1251" t="str">
        <f>IFERROR(__xludf.DUMMYFUNCTION("if(AE58 &lt;&gt; """", 
  LET(
    TargetLevel, VLOOKUP(AE58,MS_Labs_Array,3,false),
    LabSpeed, (1 * REGEXEXTRACT($BH$1, ""[\d.-]+"")) * {IF(AE58 =""Labs Speed"", 1+'Master Sheet'!$BK$5, LAB_SPEED_TOTAL())},
    MaxLevel, VLOOKUP(AE58,MS_Labs_Array,4,false),"&amp;"
    MaxOrTarget, IF(OR(TargetLevel = """",$AD$1 &lt;&gt; ""Target""), MaxLevel, TargetLevel),
    LabLevel, VLOOKUP(AE58,MS_Labs_Array,2,False),
    DVTColumn, MATCH(AE58, DVT_Laboratory!$A$1:BO$1, 0),
    xextTime, INDIRECT(""DVT_Laboratory!"" &amp; ADDRESS(LabLe"&amp;"vel+3, DVTColumn)) / LabSpeed,
    remainingTime, SUM(INDIRECT(""DVT_Laboratory!"" &amp; ADDRESS(LabLevel+3, DVTColumn) &amp; "":"" &amp; ADDRESS(MaxOrTarget+2, DVTColumn))) / LabSpeed,
  AE58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8" s="1249"/>
      <c r="AI58" s="1249" t="str">
        <f>IFERROR(__xludf.DUMMYFUNCTION("""COMPUTED_VALUE"""),"")</f>
        <v/>
      </c>
      <c r="AJ58" s="1249" t="str">
        <f>IFERROR(__xludf.DUMMYFUNCTION("""COMPUTED_VALUE"""),"")</f>
        <v/>
      </c>
      <c r="AK58" s="1249"/>
      <c r="AL58" s="1250" t="str">
        <f>IFERROR(__xludf.DUMMYFUNCTION("if(AK58 &lt;&gt; """", 
  LET( 
    TargetLevel, VLOOKUP(AK58,MS_Labs_Array,3,false),
    MaxLevel, VLOOKUP(AK58,MS_Labs_Array,4,false),
    MaxOrTarget, IF(OR(TargetLevel = """",$AD$1 &lt;&gt; ""Target""), MaxLevel, TargetLevel),
    LabLevel, VLOOKUP(AK58,MS_Labs_A"&amp;"rray,2,False),
    Levelprogress, LabLevel / MaxOrTarget,
    DVTColumn, MATCH(AK58,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8" s="1251" t="str">
        <f>IFERROR(__xludf.DUMMYFUNCTION("if(AK58 &lt;&gt; """", 
  LET(
    TargetLevel, VLOOKUP(AK58,MS_Labs_Array,3,false),
    LabSpeed, (1 * REGEXEXTRACT($BH$1, ""[\d.-]+"")) * {IF(AK58 =""Labs Speed"", 1+'Master Sheet'!$BK$5, LAB_SPEED_TOTAL())},
    MaxLevel, VLOOKUP(AK58,MS_Labs_Array,4,false),"&amp;"
    MaxOrTarget, IF(OR(TargetLevel = """",$AD$1 &lt;&gt; ""Target""), MaxLevel, TargetLevel),
    LabLevel, VLOOKUP(AK58,MS_Labs_Array,2,False),
    DVTColumn, MATCH(AK58, DVT_Laboratory!$A$1:BO$1, 0),
    xextTime, INDIRECT(""DVT_Laboratory!"" &amp; ADDRESS(LabLe"&amp;"vel+3, DVTColumn)) / LabSpeed,
    remainingTime, SUM(INDIRECT(""DVT_Laboratory!"" &amp; ADDRESS(LabLevel+3, DVTColumn) &amp; "":"" &amp; ADDRESS(MaxOrTarget+2, DVTColumn))) / LabSpeed,
  AK58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8" s="1249"/>
      <c r="AO58" s="1249" t="str">
        <f>IFERROR(__xludf.DUMMYFUNCTION("""COMPUTED_VALUE"""),"Death Defy Down
  Lab Level:      0 / 10 (Max)
  Next Level:    1d 17h 10m
  Max Level:     68d  2h 47m")</f>
        <v>Death Defy Down
  Lab Level:      0 / 10 (Max)
  Next Level:    1d 17h 10m
  Max Level:     68d  2h 47m</v>
      </c>
      <c r="AP58" s="1249" t="str">
        <f>IFERROR(__xludf.DUMMYFUNCTION("""COMPUTED_VALUE"""),"")</f>
        <v/>
      </c>
      <c r="AQ58" s="1249"/>
      <c r="AR58" s="1250" t="str">
        <f>IFERROR(__xludf.DUMMYFUNCTION("if(AQ58 &lt;&gt; """", 
  LET( 
    TargetLevel, VLOOKUP(AQ58,MS_Labs_Array,3,false),
    MaxLevel, VLOOKUP(AQ58,MS_Labs_Array,4,false),
    MaxOrTarget, IF(OR(TargetLevel = """",$AD$1 &lt;&gt; ""Target""), MaxLevel, TargetLevel),
    LabLevel, VLOOKUP(AQ58,MS_Labs_A"&amp;"rray,2,False),
    Levelprogress, LabLevel / MaxOrTarget,
    DVTColumn, MATCH(AQ58,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8" s="1251" t="str">
        <f>IFERROR(__xludf.DUMMYFUNCTION("if(AQ58 &lt;&gt; """", 
  LET(
    TargetLevel, VLOOKUP(AQ58,MS_Labs_Array,3,false),
    LabSpeed, (1 * REGEXEXTRACT($BH$1, ""[\d.-]+"")) * {IF(AQ58 =""Labs Speed"", 1+'Master Sheet'!$BK$5, LAB_SPEED_TOTAL())},
    MaxLevel, VLOOKUP(AQ58,MS_Labs_Array,4,false),"&amp;"
    MaxOrTarget, IF(OR(TargetLevel = """",$AD$1 &lt;&gt; ""Target""), MaxLevel, TargetLevel),
    LabLevel, VLOOKUP(AQ58,MS_Labs_Array,2,False),
    DVTColumn, MATCH(AQ58, DVT_Laboratory!$A$1:BO$1, 0),
    xextTime, INDIRECT(""DVT_Laboratory!"" &amp; ADDRESS(LabLe"&amp;"vel+3, DVTColumn)) / LabSpeed,
    remainingTime, SUM(INDIRECT(""DVT_Laboratory!"" &amp; ADDRESS(LabLevel+3, DVTColumn) &amp; "":"" &amp; ADDRESS(MaxOrTarget+2, DVTColumn))) / LabSpeed,
  AQ58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8" s="1249"/>
      <c r="AU58" s="1249" t="str">
        <f>IFERROR(__xludf.DUMMYFUNCTION("""COMPUTED_VALUE"""),"Tank's Ultimate
  Lab Level:      0 / 10 (Max)
  Next Level:    1d 17h 10m
  Max Level:     48d  0h 59m")</f>
        <v>Tank's Ultimate
  Lab Level:      0 / 10 (Max)
  Next Level:    1d 17h 10m
  Max Level:     48d  0h 59m</v>
      </c>
      <c r="AV58" s="1249" t="str">
        <f>IFERROR(__xludf.DUMMYFUNCTION("""COMPUTED_VALUE"""),"")</f>
        <v/>
      </c>
      <c r="AW58" s="1249"/>
      <c r="AX58" s="1250" t="str">
        <f>IFERROR(__xludf.DUMMYFUNCTION("if(AW58 &lt;&gt; """", 
  LET( 
    TargetLevel, VLOOKUP(AW58,MS_Labs_Array,3,false),
    MaxLevel, VLOOKUP(AW58,MS_Labs_Array,4,false),
    MaxOrTarget, IF(OR(TargetLevel = """",$AD$1 &lt;&gt; ""Target""), MaxLevel, TargetLevel),
    LabLevel, VLOOKUP(AW58,MS_Labs_A"&amp;"rray,2,False),
    Levelprogress, LabLevel / MaxOrTarget,
    DVTColumn, MATCH(AW58,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8" s="1251" t="str">
        <f>IFERROR(__xludf.DUMMYFUNCTION("if(AW58 &lt;&gt; """", 
  LET(
    TargetLevel, VLOOKUP(AW58,MS_Labs_Array,3,false),
    LabSpeed, (1 * REGEXEXTRACT($BH$1, ""[\d.-]+"")) * {IF(AW58 =""Labs Speed"", 1+'Master Sheet'!$BK$5, LAB_SPEED_TOTAL())},
    MaxLevel, VLOOKUP(AW58,MS_Labs_Array,4,false),"&amp;"
    MaxOrTarget, IF(OR(TargetLevel = """",$AD$1 &lt;&gt; ""Target""), MaxLevel, TargetLevel),
    LabLevel, VLOOKUP(AW58,MS_Labs_Array,2,False),
    DVTColumn, MATCH(AW58, DVT_Laboratory!$A$1:BO$1, 0),
    xextTime, INDIRECT(""DVT_Laboratory!"" &amp; ADDRESS(LabLe"&amp;"vel+3, DVTColumn)) / LabSpeed,
    remainingTime, SUM(INDIRECT(""DVT_Laboratory!"" &amp; ADDRESS(LabLevel+3, DVTColumn) &amp; "":"" &amp; ADDRESS(MaxOrTarget+2, DVTColumn))) / LabSpeed,
  AW58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8" s="1249"/>
      <c r="BA58" s="1249" t="str">
        <f>IFERROR(__xludf.DUMMYFUNCTION("""COMPUTED_VALUE"""),"More Enemies
  Lab Level:      0 / 20 (Max)
  Next Level:    1d  0h 42m
  Max Level:     216d  4h 30m")</f>
        <v>More Enemies
  Lab Level:      0 / 20 (Max)
  Next Level:    1d  0h 42m
  Max Level:     216d  4h 30m</v>
      </c>
      <c r="BB58" s="1249" t="str">
        <f>IFERROR(__xludf.DUMMYFUNCTION("""COMPUTED_VALUE"""),"")</f>
        <v/>
      </c>
      <c r="BC58" s="1249"/>
      <c r="BD58" s="1250" t="str">
        <f>IFERROR(__xludf.DUMMYFUNCTION("if(BC58 &lt;&gt; """", 
  LET( 
    TargetLevel, VLOOKUP(BC58,MS_Labs_Array,3,false),
    MaxLevel, VLOOKUP(BC58,MS_Labs_Array,4,false),
    MaxOrTarget, IF(OR(TargetLevel = """",$AD$1 &lt;&gt; ""Target""), MaxLevel, TargetLevel),
    LabLevel, VLOOKUP(BC58,MS_Labs_A"&amp;"rray,2,False),
    Levelprogress, LabLevel / MaxOrTarget,
    DVTColumn, MATCH(BC58,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8" s="1251" t="str">
        <f>IFERROR(__xludf.DUMMYFUNCTION("if(BC58 &lt;&gt; """", 
  LET(
    TargetLevel, VLOOKUP(BC58,MS_Labs_Array,3,false),
    LabSpeed, (1 * REGEXEXTRACT($BH$1, ""[\d.-]+"")) * {IF(BC58 =""Labs Speed"", 1+'Master Sheet'!$BK$5, LAB_SPEED_TOTAL())},
    MaxLevel, VLOOKUP(BC58,MS_Labs_Array,4,false),"&amp;"
    MaxOrTarget, IF(OR(TargetLevel = """",$AD$1 &lt;&gt; ""Target""), MaxLevel, TargetLevel),
    LabLevel, VLOOKUP(BC58,MS_Labs_Array,2,False),
    DVTColumn, MATCH(BC58, DVT_Laboratory!$A$1:BO$1, 0),
    xextTime, INDIRECT(""DVT_Laboratory!"" &amp; ADDRESS(LabLe"&amp;"vel+3, DVTColumn)) / LabSpeed,
    remainingTime, SUM(INDIRECT(""DVT_Laboratory!"" &amp; ADDRESS(LabLevel+3, DVTColumn) &amp; "":"" &amp; ADDRESS(MaxOrTarget+2, DVTColumn))) / LabSpeed,
  BC58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8" s="1249"/>
      <c r="BG58" s="1249" t="str">
        <f>IFERROR(__xludf.DUMMYFUNCTION("""COMPUTED_VALUE"""),"")</f>
        <v/>
      </c>
      <c r="BH58" s="1260" t="str">
        <f>IFERROR(__xludf.DUMMYFUNCTION("""COMPUTED_VALUE"""),"")</f>
        <v/>
      </c>
      <c r="BI58" s="1252"/>
      <c r="BJ58" s="1253" t="str">
        <f>IFERROR(__xludf.DUMMYFUNCTION("if(BI58 &lt;&gt; """", 
  LET( 
    TargetLevel, VLOOKUP(BI58,MS_Labs_Array,3,false),
    MaxLevel, VLOOKUP(BI58,MS_Labs_Array,4,false),
    MaxOrTarget, IF(OR(TargetLevel = """",$AD$1 &lt;&gt; ""Target""), MaxLevel, TargetLevel),
    LabLevel, VLOOKUP(BI58,MS_Labs_A"&amp;"rray,2,False),
    Levelprogress, IF(LabLevel &gt;= MaxOrTarget, 1, LabLevel / MaxOrTarget),
    DVTColumn, MATCH(BI58,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8" s="1254" t="str">
        <f>IFERROR(__xludf.DUMMYFUNCTION("if(BI58 &lt;&gt; """", 
  LET(
    TargetLevel, VLOOKUP(BI58,MS_Labs_Array,3,false),
    LabSpeed, (1 * REGEXEXTRACT($BH$1, ""[\d.-]+"")) * {IF(BI58 =""Labs Speed"", 1+'Master Sheet'!$BK$5, LAB_SPEED_TOTAL())},
    MaxLevel, VLOOKUP(BI58,MS_Labs_Array,4,false),"&amp;"
    MaxOrTarget, IF(OR(TargetLevel = """",$AD$1 &lt;&gt; ""Target""), MaxLevel, TargetLevel),
    LabLevel, VLOOKUP(BI58,MS_Labs_Array,2,False),
    DVTColumn, MATCH(BI58, DVT_Laboratory!$A$1:BO$1, 0),
    xextTime, INDIRECT(""DVT_Laboratory!"" &amp; ADDRESS(LabLe"&amp;"vel+3, DVTColumn)) / LabSpeed,
    remainingTime, SUM(INDIRECT(""DVT_Laboratory!"" &amp; ADDRESS(LabLevel+3, DVTColumn) &amp; "":"" &amp; ADDRESS(MaxOrTarget+2, DVTColumn))) / LabSpeed,
  BI58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8" s="1252"/>
      <c r="BM58" s="1252" t="str">
        <f>IFERROR(__xludf.DUMMYFUNCTION("""COMPUTED_VALUE"""),"Spotlight Coin Bonus
  Lab Level:      20 / 20 (Max)
  Next Level:    
  Max Level:     2d  1h 32m")</f>
        <v>Spotlight Coin Bonus
  Lab Level:      20 / 20 (Max)
  Next Level:    
  Max Level:     2d  1h 32m</v>
      </c>
      <c r="BN58" s="1222"/>
      <c r="BO58" s="1261"/>
    </row>
    <row r="59">
      <c r="A59" s="1222"/>
      <c r="B59" s="1271"/>
      <c r="C59" s="1301" t="s">
        <v>288</v>
      </c>
      <c r="D59" s="1280" t="str">
        <f>VLOOKUP(C59,'Remote Tier List'!A:D, 2, FALSE)</f>
        <v>A</v>
      </c>
      <c r="E59" s="1281" t="str">
        <f>VLOOKUP(C59,'Remote Tier List'!A:D, 3, FALSE)</f>
        <v/>
      </c>
      <c r="F59" s="1302"/>
      <c r="G59" s="1245" t="b">
        <f t="shared" si="16"/>
        <v>1</v>
      </c>
      <c r="H59" s="1246" t="str">
        <f t="array" ref="H59:I59">LET(
  Lab, $C59,
  Mode, $AD$1,
  Level, VLOOKUP(Lab, MS_Labs_Array, 2, FALSE),
  Target, VLOOKUP(Lab, MS_Labs_Array, 3, FALSE),
  Max, VLOOKUP(Lab, MS_Labs_Array, 4, FALSE),
  Result,
    IF(
      AND(
        Mode &lt;&gt; "Never",
        Level &gt;= IF(OR(Target = "", Mode = "Max"), Max, Target)
      ),
      "Completed",
      ""
    ),
  HSTACK(
    IF(Result &lt;&gt; "", Result, $D59),
    IF(Result &lt;&gt; "", Result, IF($E59 = "", $D59, $E59))
  )
)</f>
        <v>Completed</v>
      </c>
      <c r="I59" s="1247" t="s">
        <v>551</v>
      </c>
      <c r="J59" s="1248" t="str">
        <f t="shared" si="17"/>
        <v>More ELS is always good, especially when the lab is less expensive than the WS or WS+ upgrades</v>
      </c>
      <c r="K59" s="1229"/>
      <c r="L59" s="1249"/>
      <c r="M59" s="1249"/>
      <c r="N59" s="1250" t="str">
        <f>IFERROR(__xludf.DUMMYFUNCTION("if(M59 &lt;&gt; """", 
  LET( 
    TargetLevel, VLOOKUP(M59,MS_Labs_Array,3,false),
    MaxLevel, VLOOKUP(M59,MS_Labs_Array,4,false),
    MaxOrTarget, IF(OR(TargetLevel = """",$AD$1 &lt;&gt; ""Target""), MaxLevel, TargetLevel),
    LabLevel, VLOOKUP(M59,MS_Labs_Array"&amp;",2,False),
    Levelprogress, LabLevel / MaxOrTarget,
    DVTColumn, MATCH(M59,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9" s="1251" t="str">
        <f>IFERROR(__xludf.DUMMYFUNCTION("if(M59 &lt;&gt; """", 
  LET(
    TargetLevel, VLOOKUP(M59,MS_Labs_Array,3,false),
    LabSpeed, (1 * REGEXEXTRACT($BH$1, ""[\d.-]+"")) * {IF(M59 =""Labs Speed"", 1+'Master Sheet'!$BK$5, LAB_SPEED_TOTAL())},
    MaxLevel, VLOOKUP(M59,MS_Labs_Array,4,false),
   "&amp;" MaxOrTarget, IF(OR(TargetLevel = """",$AD$1 &lt;&gt; ""Target""), MaxLevel, TargetLevel),
    LabLevel, VLOOKUP(M59,MS_Labs_Array,2,False),
    DVTColumn, MATCH(M59, DVT_Laboratory!$A$1:BO$1, 0),
    xextTime, INDIRECT(""DVT_Laboratory!"" &amp; ADDRESS(LabLevel+3,"&amp;" DVTColumn)) / LabSpeed,
    remainingTime, SUM(INDIRECT(""DVT_Laboratory!"" &amp; ADDRESS(LabLevel+3, DVTColumn) &amp; "":"" &amp; ADDRESS(MaxOrTarget+2, DVTColumn))) / LabSpeed,
  M59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9" s="1249"/>
      <c r="Q59" s="1249"/>
      <c r="R59" s="1249"/>
      <c r="S59" s="1249"/>
      <c r="T59" s="1250" t="str">
        <f>IFERROR(__xludf.DUMMYFUNCTION("if(S59 &lt;&gt; """", 
  LET( 
    TargetLevel, VLOOKUP(S59,MS_Labs_Array,3,false),
    MaxLevel, VLOOKUP(S59,MS_Labs_Array,4,false),
    MaxOrTarget, IF(OR(TargetLevel = """",$AD$1 &lt;&gt; ""Target""), MaxLevel, TargetLevel),
    LabLevel, VLOOKUP(S59,MS_Labs_Array"&amp;",2,False),
    Levelprogress, LabLevel / MaxOrTarget,
    DVTColumn, MATCH(S59,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9" s="1251" t="str">
        <f>IFERROR(__xludf.DUMMYFUNCTION("if(S59 &lt;&gt; """", 
  LET(
    TargetLevel, VLOOKUP(S59,MS_Labs_Array,3,false),
    LabSpeed, (1 * REGEXEXTRACT($BH$1, ""[\d.-]+"")) * {IF(S59 =""Labs Speed"", 1+'Master Sheet'!$BK$5, LAB_SPEED_TOTAL())},
    MaxLevel, VLOOKUP(S59,MS_Labs_Array,4,false),
   "&amp;" MaxOrTarget, IF(OR(TargetLevel = """",$AD$1 &lt;&gt; ""Target""), MaxLevel, TargetLevel),
    LabLevel, VLOOKUP(S59,MS_Labs_Array,2,False),
    DVTColumn, MATCH(S59, DVT_Laboratory!$A$1:BO$1, 0),
    xextTime, INDIRECT(""DVT_Laboratory!"" &amp; ADDRESS(LabLevel+3,"&amp;" DVTColumn)) / LabSpeed,
    remainingTime, SUM(INDIRECT(""DVT_Laboratory!"" &amp; ADDRESS(LabLevel+3, DVTColumn) &amp; "":"" &amp; ADDRESS(MaxOrTarget+2, DVTColumn))) / LabSpeed,
  S59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9" s="1249"/>
      <c r="W59" s="1249"/>
      <c r="X59" s="1249" t="str">
        <f>IFERROR(__xludf.DUMMYFUNCTION("""COMPUTED_VALUE"""),"Assist Module Bonus - Generator")</f>
        <v>Assist Module Bonus - Generator</v>
      </c>
      <c r="Y59" s="1249"/>
      <c r="Z59" s="1250" t="str">
        <f>IFERROR(__xludf.DUMMYFUNCTION("if(Y59 &lt;&gt; """", 
  LET( 
    TargetLevel, VLOOKUP(Y59,MS_Labs_Array,3,false),
    MaxLevel, VLOOKUP(Y59,MS_Labs_Array,4,false),
    MaxOrTarget, IF(OR(TargetLevel = """",$AD$1 &lt;&gt; ""Target""), MaxLevel, TargetLevel),
    LabLevel, VLOOKUP(Y59,MS_Labs_Array"&amp;",2,False),
    Levelprogress, LabLevel / MaxOrTarget,
    DVTColumn, MATCH(Y59,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9" s="1251" t="str">
        <f>IFERROR(__xludf.DUMMYFUNCTION("if(Y59 &lt;&gt; """", 
  LET(
    TargetLevel, VLOOKUP(Y59,MS_Labs_Array,3,false),
    LabSpeed, (1 * REGEXEXTRACT($BH$1, ""[\d.-]+"")) * {IF(Y59 =""Labs Speed"", 1+'Master Sheet'!$BK$5, LAB_SPEED_TOTAL())},
    MaxLevel, VLOOKUP(Y59,MS_Labs_Array,4,false),
   "&amp;" MaxOrTarget, IF(OR(TargetLevel = """",$AD$1 &lt;&gt; ""Target""), MaxLevel, TargetLevel),
    LabLevel, VLOOKUP(Y59,MS_Labs_Array,2,False),
    DVTColumn, MATCH(Y59, DVT_Laboratory!$A$1:BO$1, 0),
    xextTime, INDIRECT(""DVT_Laboratory!"" &amp; ADDRESS(LabLevel+3,"&amp;" DVTColumn)) / LabSpeed,
    remainingTime, SUM(INDIRECT(""DVT_Laboratory!"" &amp; ADDRESS(LabLevel+3, DVTColumn) &amp; "":"" &amp; ADDRESS(MaxOrTarget+2, DVTColumn))) / LabSpeed,
  Y59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9" s="1249"/>
      <c r="AC59" s="1249"/>
      <c r="AD59" s="1249"/>
      <c r="AE59" s="1249"/>
      <c r="AF59" s="1250" t="str">
        <f>IFERROR(__xludf.DUMMYFUNCTION("if(AE59 &lt;&gt; """", 
  LET( 
    TargetLevel, VLOOKUP(AE59,MS_Labs_Array,3,false),
    MaxLevel, VLOOKUP(AE59,MS_Labs_Array,4,false),
    MaxOrTarget, IF(OR(TargetLevel = """",$AD$1 &lt;&gt; ""Target""), MaxLevel, TargetLevel),
    LabLevel, VLOOKUP(AE59,MS_Labs_A"&amp;"rray,2,False),
    Levelprogress, LabLevel / MaxOrTarget,
    DVTColumn, MATCH(AE59,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9" s="1251" t="str">
        <f>IFERROR(__xludf.DUMMYFUNCTION("if(AE59 &lt;&gt; """", 
  LET(
    TargetLevel, VLOOKUP(AE59,MS_Labs_Array,3,false),
    LabSpeed, (1 * REGEXEXTRACT($BH$1, ""[\d.-]+"")) * {IF(AE59 =""Labs Speed"", 1+'Master Sheet'!$BK$5, LAB_SPEED_TOTAL())},
    MaxLevel, VLOOKUP(AE59,MS_Labs_Array,4,false),"&amp;"
    MaxOrTarget, IF(OR(TargetLevel = """",$AD$1 &lt;&gt; ""Target""), MaxLevel, TargetLevel),
    LabLevel, VLOOKUP(AE59,MS_Labs_Array,2,False),
    DVTColumn, MATCH(AE59, DVT_Laboratory!$A$1:BO$1, 0),
    xextTime, INDIRECT(""DVT_Laboratory!"" &amp; ADDRESS(LabLe"&amp;"vel+3, DVTColumn)) / LabSpeed,
    remainingTime, SUM(INDIRECT(""DVT_Laboratory!"" &amp; ADDRESS(LabLevel+3, DVTColumn) &amp; "":"" &amp; ADDRESS(MaxOrTarget+2, DVTColumn))) / LabSpeed,
  AE59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9" s="1249"/>
      <c r="AI59" s="1249"/>
      <c r="AJ59" s="1249" t="str">
        <f>IFERROR(__xludf.DUMMYFUNCTION("""COMPUTED_VALUE"""),"Energy Shields Down")</f>
        <v>Energy Shields Down</v>
      </c>
      <c r="AK59" s="1249"/>
      <c r="AL59" s="1250" t="str">
        <f>IFERROR(__xludf.DUMMYFUNCTION("if(AK59 &lt;&gt; """", 
  LET( 
    TargetLevel, VLOOKUP(AK59,MS_Labs_Array,3,false),
    MaxLevel, VLOOKUP(AK59,MS_Labs_Array,4,false),
    MaxOrTarget, IF(OR(TargetLevel = """",$AD$1 &lt;&gt; ""Target""), MaxLevel, TargetLevel),
    LabLevel, VLOOKUP(AK59,MS_Labs_A"&amp;"rray,2,False),
    Levelprogress, LabLevel / MaxOrTarget,
    DVTColumn, MATCH(AK59,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9" s="1251" t="str">
        <f>IFERROR(__xludf.DUMMYFUNCTION("if(AK59 &lt;&gt; """", 
  LET(
    TargetLevel, VLOOKUP(AK59,MS_Labs_Array,3,false),
    LabSpeed, (1 * REGEXEXTRACT($BH$1, ""[\d.-]+"")) * {IF(AK59 =""Labs Speed"", 1+'Master Sheet'!$BK$5, LAB_SPEED_TOTAL())},
    MaxLevel, VLOOKUP(AK59,MS_Labs_Array,4,false),"&amp;"
    MaxOrTarget, IF(OR(TargetLevel = """",$AD$1 &lt;&gt; ""Target""), MaxLevel, TargetLevel),
    LabLevel, VLOOKUP(AK59,MS_Labs_Array,2,False),
    DVTColumn, MATCH(AK59, DVT_Laboratory!$A$1:BO$1, 0),
    xextTime, INDIRECT(""DVT_Laboratory!"" &amp; ADDRESS(LabLe"&amp;"vel+3, DVTColumn)) / LabSpeed,
    remainingTime, SUM(INDIRECT(""DVT_Laboratory!"" &amp; ADDRESS(LabLevel+3, DVTColumn) &amp; "":"" &amp; ADDRESS(MaxOrTarget+2, DVTColumn))) / LabSpeed,
  AK59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9" s="1249"/>
      <c r="AO59" s="1249" t="str">
        <f>IFERROR(__xludf.DUMMYFUNCTION("""COMPUTED_VALUE"""),"Extra invincibility is always strong")</f>
        <v>Extra invincibility is always strong</v>
      </c>
      <c r="AP59" s="1249" t="str">
        <f>IFERROR(__xludf.DUMMYFUNCTION("""COMPUTED_VALUE"""),"Protector's Ultimate")</f>
        <v>Protector's Ultimate</v>
      </c>
      <c r="AQ59" s="1249"/>
      <c r="AR59" s="1250" t="str">
        <f>IFERROR(__xludf.DUMMYFUNCTION("if(AQ59 &lt;&gt; """", 
  LET( 
    TargetLevel, VLOOKUP(AQ59,MS_Labs_Array,3,false),
    MaxLevel, VLOOKUP(AQ59,MS_Labs_Array,4,false),
    MaxOrTarget, IF(OR(TargetLevel = """",$AD$1 &lt;&gt; ""Target""), MaxLevel, TargetLevel),
    LabLevel, VLOOKUP(AQ59,MS_Labs_A"&amp;"rray,2,False),
    Levelprogress, LabLevel / MaxOrTarget,
    DVTColumn, MATCH(AQ59,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9" s="1251" t="str">
        <f>IFERROR(__xludf.DUMMYFUNCTION("if(AQ59 &lt;&gt; """", 
  LET(
    TargetLevel, VLOOKUP(AQ59,MS_Labs_Array,3,false),
    LabSpeed, (1 * REGEXEXTRACT($BH$1, ""[\d.-]+"")) * {IF(AQ59 =""Labs Speed"", 1+'Master Sheet'!$BK$5, LAB_SPEED_TOTAL())},
    MaxLevel, VLOOKUP(AQ59,MS_Labs_Array,4,false),"&amp;"
    MaxOrTarget, IF(OR(TargetLevel = """",$AD$1 &lt;&gt; ""Target""), MaxLevel, TargetLevel),
    LabLevel, VLOOKUP(AQ59,MS_Labs_Array,2,False),
    DVTColumn, MATCH(AQ59, DVT_Laboratory!$A$1:BO$1, 0),
    xextTime, INDIRECT(""DVT_Laboratory!"" &amp; ADDRESS(LabLe"&amp;"vel+3, DVTColumn)) / LabSpeed,
    remainingTime, SUM(INDIRECT(""DVT_Laboratory!"" &amp; ADDRESS(LabLevel+3, DVTColumn) &amp; "":"" &amp; ADDRESS(MaxOrTarget+2, DVTColumn))) / LabSpeed,
  AQ59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9" s="1249"/>
      <c r="AU59" s="1249" t="str">
        <f>IFERROR(__xludf.DUMMYFUNCTION("""COMPUTED_VALUE"""),"Cuts off a few seconds of duration, can sometimes help lower the danger")</f>
        <v>Cuts off a few seconds of duration, can sometimes help lower the danger</v>
      </c>
      <c r="AV59" s="1249" t="str">
        <f>IFERROR(__xludf.DUMMYFUNCTION("""COMPUTED_VALUE"""),"Fast's Ultimate")</f>
        <v>Fast's Ultimate</v>
      </c>
      <c r="AW59" s="1249"/>
      <c r="AX59" s="1250" t="str">
        <f>IFERROR(__xludf.DUMMYFUNCTION("if(AW59 &lt;&gt; """", 
  LET( 
    TargetLevel, VLOOKUP(AW59,MS_Labs_Array,3,false),
    MaxLevel, VLOOKUP(AW59,MS_Labs_Array,4,false),
    MaxOrTarget, IF(OR(TargetLevel = """",$AD$1 &lt;&gt; ""Target""), MaxLevel, TargetLevel),
    LabLevel, VLOOKUP(AW59,MS_Labs_A"&amp;"rray,2,False),
    Levelprogress, LabLevel / MaxOrTarget,
    DVTColumn, MATCH(AW59,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9" s="1251" t="str">
        <f>IFERROR(__xludf.DUMMYFUNCTION("if(AW59 &lt;&gt; """", 
  LET(
    TargetLevel, VLOOKUP(AW59,MS_Labs_Array,3,false),
    LabSpeed, (1 * REGEXEXTRACT($BH$1, ""[\d.-]+"")) * {IF(AW59 =""Labs Speed"", 1+'Master Sheet'!$BK$5, LAB_SPEED_TOTAL())},
    MaxLevel, VLOOKUP(AW59,MS_Labs_Array,4,false),"&amp;"
    MaxOrTarget, IF(OR(TargetLevel = """",$AD$1 &lt;&gt; ""Target""), MaxLevel, TargetLevel),
    LabLevel, VLOOKUP(AW59,MS_Labs_Array,2,False),
    DVTColumn, MATCH(AW59, DVT_Laboratory!$A$1:BO$1, 0),
    xextTime, INDIRECT(""DVT_Laboratory!"" &amp; ADDRESS(LabLe"&amp;"vel+3, DVTColumn)) / LabSpeed,
    remainingTime, SUM(INDIRECT(""DVT_Laboratory!"" &amp; ADDRESS(LabLevel+3, DVTColumn) &amp; "":"" &amp; ADDRESS(MaxOrTarget+2, DVTColumn))) / LabSpeed,
  AW59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9" s="1249"/>
      <c r="BA59" s="1249"/>
      <c r="BB59" s="1249"/>
      <c r="BC59" s="1249"/>
      <c r="BD59" s="1250" t="str">
        <f>IFERROR(__xludf.DUMMYFUNCTION("if(BC59 &lt;&gt; """", 
  LET( 
    TargetLevel, VLOOKUP(BC59,MS_Labs_Array,3,false),
    MaxLevel, VLOOKUP(BC59,MS_Labs_Array,4,false),
    MaxOrTarget, IF(OR(TargetLevel = """",$AD$1 &lt;&gt; ""Target""), MaxLevel, TargetLevel),
    LabLevel, VLOOKUP(BC59,MS_Labs_A"&amp;"rray,2,False),
    Levelprogress, LabLevel / MaxOrTarget,
    DVTColumn, MATCH(BC59,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9" s="1251" t="str">
        <f>IFERROR(__xludf.DUMMYFUNCTION("if(BC59 &lt;&gt; """", 
  LET(
    TargetLevel, VLOOKUP(BC59,MS_Labs_Array,3,false),
    LabSpeed, (1 * REGEXEXTRACT($BH$1, ""[\d.-]+"")) * {IF(BC59 =""Labs Speed"", 1+'Master Sheet'!$BK$5, LAB_SPEED_TOTAL())},
    MaxLevel, VLOOKUP(BC59,MS_Labs_Array,4,false),"&amp;"
    MaxOrTarget, IF(OR(TargetLevel = """",$AD$1 &lt;&gt; ""Target""), MaxLevel, TargetLevel),
    LabLevel, VLOOKUP(BC59,MS_Labs_Array,2,False),
    DVTColumn, MATCH(BC59, DVT_Laboratory!$A$1:BO$1, 0),
    xextTime, INDIRECT(""DVT_Laboratory!"" &amp; ADDRESS(LabLe"&amp;"vel+3, DVTColumn)) / LabSpeed,
    remainingTime, SUM(INDIRECT(""DVT_Laboratory!"" &amp; ADDRESS(LabLevel+3, DVTColumn) &amp; "":"" &amp; ADDRESS(MaxOrTarget+2, DVTColumn))) / LabSpeed,
  BC59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9" s="1249"/>
      <c r="BG59" s="1249"/>
      <c r="BH59" s="1260" t="str">
        <f>IFERROR(__xludf.DUMMYFUNCTION("""COMPUTED_VALUE"""),"Black Hole Disable Ranged Enemies")</f>
        <v>Black Hole Disable Ranged Enemies</v>
      </c>
      <c r="BI59" s="1252"/>
      <c r="BJ59" s="1253" t="str">
        <f>IFERROR(__xludf.DUMMYFUNCTION("if(BI59 &lt;&gt; """", 
  LET( 
    TargetLevel, VLOOKUP(BI59,MS_Labs_Array,3,false),
    MaxLevel, VLOOKUP(BI59,MS_Labs_Array,4,false),
    MaxOrTarget, IF(OR(TargetLevel = """",$AD$1 &lt;&gt; ""Target""), MaxLevel, TargetLevel),
    LabLevel, VLOOKUP(BI59,MS_Labs_A"&amp;"rray,2,False),
    Levelprogress, IF(LabLevel &gt;= MaxOrTarget, 1, LabLevel / MaxOrTarget),
    DVTColumn, MATCH(BI59,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9" s="1254" t="str">
        <f>IFERROR(__xludf.DUMMYFUNCTION("if(BI59 &lt;&gt; """", 
  LET(
    TargetLevel, VLOOKUP(BI59,MS_Labs_Array,3,false),
    LabSpeed, (1 * REGEXEXTRACT($BH$1, ""[\d.-]+"")) * {IF(BI59 =""Labs Speed"", 1+'Master Sheet'!$BK$5, LAB_SPEED_TOTAL())},
    MaxLevel, VLOOKUP(BI59,MS_Labs_Array,4,false),"&amp;"
    MaxOrTarget, IF(OR(TargetLevel = """",$AD$1 &lt;&gt; ""Target""), MaxLevel, TargetLevel),
    LabLevel, VLOOKUP(BI59,MS_Labs_Array,2,False),
    DVTColumn, MATCH(BI59, DVT_Laboratory!$A$1:BO$1, 0),
    xextTime, INDIRECT(""DVT_Laboratory!"" &amp; ADDRESS(LabLe"&amp;"vel+3, DVTColumn)) / LabSpeed,
    remainingTime, SUM(INDIRECT(""DVT_Laboratory!"" &amp; ADDRESS(LabLevel+3, DVTColumn) &amp; "":"" &amp; ADDRESS(MaxOrTarget+2, DVTColumn))) / LabSpeed,
  BI59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9" s="1252"/>
      <c r="BM59" s="1252" t="str">
        <f>IFERROR(__xludf.DUMMYFUNCTION("""COMPUTED_VALUE"""),"Mostly for perma BH")</f>
        <v>Mostly for perma BH</v>
      </c>
      <c r="BN59" s="1222"/>
      <c r="BO59" s="1261"/>
    </row>
    <row r="60" ht="7.5" customHeight="1">
      <c r="A60" s="1222"/>
      <c r="B60" s="1274"/>
      <c r="C60" s="1289"/>
      <c r="D60" s="1274"/>
      <c r="E60" s="1274"/>
      <c r="F60" s="1274"/>
      <c r="G60" s="1296"/>
      <c r="H60" s="1297"/>
      <c r="I60" s="1297"/>
      <c r="J60" s="1248"/>
      <c r="K60" s="1229"/>
      <c r="L60" s="1249" t="str">
        <f>IFERROR(__xludf.DUMMYFUNCTION("""COMPUTED_VALUE"""),"")</f>
        <v/>
      </c>
      <c r="M60" s="1249"/>
      <c r="N60" s="1250" t="str">
        <f>IFERROR(__xludf.DUMMYFUNCTION("if(M60 &lt;&gt; """", 
  LET( 
    TargetLevel, VLOOKUP(M60,MS_Labs_Array,3,false),
    MaxLevel, VLOOKUP(M60,MS_Labs_Array,4,false),
    MaxOrTarget, IF(OR(TargetLevel = """",$AD$1 &lt;&gt; ""Target""), MaxLevel, TargetLevel),
    LabLevel, VLOOKUP(M60,MS_Labs_Array"&amp;",2,False),
    Levelprogress, LabLevel / MaxOrTarget,
    DVTColumn, MATCH(M60,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0" s="1251" t="str">
        <f>IFERROR(__xludf.DUMMYFUNCTION("if(M60 &lt;&gt; """", 
  LET(
    TargetLevel, VLOOKUP(M60,MS_Labs_Array,3,false),
    LabSpeed, (1 * REGEXEXTRACT($BH$1, ""[\d.-]+"")) * {IF(M60 =""Labs Speed"", 1+'Master Sheet'!$BK$5, LAB_SPEED_TOTAL())},
    MaxLevel, VLOOKUP(M60,MS_Labs_Array,4,false),
   "&amp;" MaxOrTarget, IF(OR(TargetLevel = """",$AD$1 &lt;&gt; ""Target""), MaxLevel, TargetLevel),
    LabLevel, VLOOKUP(M60,MS_Labs_Array,2,False),
    DVTColumn, MATCH(M60, DVT_Laboratory!$A$1:BO$1, 0),
    xextTime, INDIRECT(""DVT_Laboratory!"" &amp; ADDRESS(LabLevel+3,"&amp;" DVTColumn)) / LabSpeed,
    remainingTime, SUM(INDIRECT(""DVT_Laboratory!"" &amp; ADDRESS(LabLevel+3, DVTColumn) &amp; "":"" &amp; ADDRESS(MaxOrTarget+2, DVTColumn))) / LabSpeed,
  M60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0" s="1249"/>
      <c r="Q60" s="1249" t="str">
        <f>IFERROR(__xludf.DUMMYFUNCTION("""COMPUTED_VALUE"""),"")</f>
        <v/>
      </c>
      <c r="R60" s="1249" t="str">
        <f>IFERROR(__xludf.DUMMYFUNCTION("""COMPUTED_VALUE"""),"")</f>
        <v/>
      </c>
      <c r="S60" s="1249"/>
      <c r="T60" s="1250" t="str">
        <f>IFERROR(__xludf.DUMMYFUNCTION("if(S60 &lt;&gt; """", 
  LET( 
    TargetLevel, VLOOKUP(S60,MS_Labs_Array,3,false),
    MaxLevel, VLOOKUP(S60,MS_Labs_Array,4,false),
    MaxOrTarget, IF(OR(TargetLevel = """",$AD$1 &lt;&gt; ""Target""), MaxLevel, TargetLevel),
    LabLevel, VLOOKUP(S60,MS_Labs_Array"&amp;",2,False),
    Levelprogress, LabLevel / MaxOrTarget,
    DVTColumn, MATCH(S60,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0" s="1251" t="str">
        <f>IFERROR(__xludf.DUMMYFUNCTION("if(S60 &lt;&gt; """", 
  LET(
    TargetLevel, VLOOKUP(S60,MS_Labs_Array,3,false),
    LabSpeed, (1 * REGEXEXTRACT($BH$1, ""[\d.-]+"")) * {IF(S60 =""Labs Speed"", 1+'Master Sheet'!$BK$5, LAB_SPEED_TOTAL())},
    MaxLevel, VLOOKUP(S60,MS_Labs_Array,4,false),
   "&amp;" MaxOrTarget, IF(OR(TargetLevel = """",$AD$1 &lt;&gt; ""Target""), MaxLevel, TargetLevel),
    LabLevel, VLOOKUP(S60,MS_Labs_Array,2,False),
    DVTColumn, MATCH(S60, DVT_Laboratory!$A$1:BO$1, 0),
    xextTime, INDIRECT(""DVT_Laboratory!"" &amp; ADDRESS(LabLevel+3,"&amp;" DVTColumn)) / LabSpeed,
    remainingTime, SUM(INDIRECT(""DVT_Laboratory!"" &amp; ADDRESS(LabLevel+3, DVTColumn) &amp; "":"" &amp; ADDRESS(MaxOrTarget+2, DVTColumn))) / LabSpeed,
  S60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0" s="1249"/>
      <c r="W60" s="1249" t="str">
        <f>IFERROR(__xludf.DUMMYFUNCTION("""COMPUTED_VALUE"""),"")</f>
        <v/>
      </c>
      <c r="X60" s="1249" t="str">
        <f>IFERROR(__xludf.DUMMYFUNCTION("""COMPUTED_VALUE"""),"")</f>
        <v/>
      </c>
      <c r="Y60" s="1249"/>
      <c r="Z60" s="1250" t="str">
        <f>IFERROR(__xludf.DUMMYFUNCTION("if(Y60 &lt;&gt; """", 
  LET( 
    TargetLevel, VLOOKUP(Y60,MS_Labs_Array,3,false),
    MaxLevel, VLOOKUP(Y60,MS_Labs_Array,4,false),
    MaxOrTarget, IF(OR(TargetLevel = """",$AD$1 &lt;&gt; ""Target""), MaxLevel, TargetLevel),
    LabLevel, VLOOKUP(Y60,MS_Labs_Array"&amp;",2,False),
    Levelprogress, LabLevel / MaxOrTarget,
    DVTColumn, MATCH(Y60,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0" s="1251" t="str">
        <f>IFERROR(__xludf.DUMMYFUNCTION("if(Y60 &lt;&gt; """", 
  LET(
    TargetLevel, VLOOKUP(Y60,MS_Labs_Array,3,false),
    LabSpeed, (1 * REGEXEXTRACT($BH$1, ""[\d.-]+"")) * {IF(Y60 =""Labs Speed"", 1+'Master Sheet'!$BK$5, LAB_SPEED_TOTAL())},
    MaxLevel, VLOOKUP(Y60,MS_Labs_Array,4,false),
   "&amp;" MaxOrTarget, IF(OR(TargetLevel = """",$AD$1 &lt;&gt; ""Target""), MaxLevel, TargetLevel),
    LabLevel, VLOOKUP(Y60,MS_Labs_Array,2,False),
    DVTColumn, MATCH(Y60, DVT_Laboratory!$A$1:BO$1, 0),
    xextTime, INDIRECT(""DVT_Laboratory!"" &amp; ADDRESS(LabLevel+3,"&amp;" DVTColumn)) / LabSpeed,
    remainingTime, SUM(INDIRECT(""DVT_Laboratory!"" &amp; ADDRESS(LabLevel+3, DVTColumn) &amp; "":"" &amp; ADDRESS(MaxOrTarget+2, DVTColumn))) / LabSpeed,
  Y60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0" s="1249"/>
      <c r="AC60" s="1249" t="str">
        <f>IFERROR(__xludf.DUMMYFUNCTION("""COMPUTED_VALUE"""),"Assist Module Bonus - Generator
  Lab Level:      0 / 30 (Max)
  Next Level:    0d 16h 28m
  Max Level:     319d  3h 13m")</f>
        <v>Assist Module Bonus - Generator
  Lab Level:      0 / 30 (Max)
  Next Level:    0d 16h 28m
  Max Level:     319d  3h 13m</v>
      </c>
      <c r="AD60" s="1249" t="str">
        <f>IFERROR(__xludf.DUMMYFUNCTION("""COMPUTED_VALUE"""),"")</f>
        <v/>
      </c>
      <c r="AE60" s="1249"/>
      <c r="AF60" s="1250" t="str">
        <f>IFERROR(__xludf.DUMMYFUNCTION("if(AE60 &lt;&gt; """", 
  LET( 
    TargetLevel, VLOOKUP(AE60,MS_Labs_Array,3,false),
    MaxLevel, VLOOKUP(AE60,MS_Labs_Array,4,false),
    MaxOrTarget, IF(OR(TargetLevel = """",$AD$1 &lt;&gt; ""Target""), MaxLevel, TargetLevel),
    LabLevel, VLOOKUP(AE60,MS_Labs_A"&amp;"rray,2,False),
    Levelprogress, LabLevel / MaxOrTarget,
    DVTColumn, MATCH(AE60,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0" s="1251" t="str">
        <f>IFERROR(__xludf.DUMMYFUNCTION("if(AE60 &lt;&gt; """", 
  LET(
    TargetLevel, VLOOKUP(AE60,MS_Labs_Array,3,false),
    LabSpeed, (1 * REGEXEXTRACT($BH$1, ""[\d.-]+"")) * {IF(AE60 =""Labs Speed"", 1+'Master Sheet'!$BK$5, LAB_SPEED_TOTAL())},
    MaxLevel, VLOOKUP(AE60,MS_Labs_Array,4,false),"&amp;"
    MaxOrTarget, IF(OR(TargetLevel = """",$AD$1 &lt;&gt; ""Target""), MaxLevel, TargetLevel),
    LabLevel, VLOOKUP(AE60,MS_Labs_Array,2,False),
    DVTColumn, MATCH(AE60, DVT_Laboratory!$A$1:BO$1, 0),
    xextTime, INDIRECT(""DVT_Laboratory!"" &amp; ADDRESS(LabLe"&amp;"vel+3, DVTColumn)) / LabSpeed,
    remainingTime, SUM(INDIRECT(""DVT_Laboratory!"" &amp; ADDRESS(LabLevel+3, DVTColumn) &amp; "":"" &amp; ADDRESS(MaxOrTarget+2, DVTColumn))) / LabSpeed,
  AE60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0" s="1249"/>
      <c r="AI60" s="1249" t="str">
        <f>IFERROR(__xludf.DUMMYFUNCTION("""COMPUTED_VALUE"""),"")</f>
        <v/>
      </c>
      <c r="AJ60" s="1249" t="str">
        <f>IFERROR(__xludf.DUMMYFUNCTION("""COMPUTED_VALUE"""),"")</f>
        <v/>
      </c>
      <c r="AK60" s="1249"/>
      <c r="AL60" s="1250" t="str">
        <f>IFERROR(__xludf.DUMMYFUNCTION("if(AK60 &lt;&gt; """", 
  LET( 
    TargetLevel, VLOOKUP(AK60,MS_Labs_Array,3,false),
    MaxLevel, VLOOKUP(AK60,MS_Labs_Array,4,false),
    MaxOrTarget, IF(OR(TargetLevel = """",$AD$1 &lt;&gt; ""Target""), MaxLevel, TargetLevel),
    LabLevel, VLOOKUP(AK60,MS_Labs_A"&amp;"rray,2,False),
    Levelprogress, LabLevel / MaxOrTarget,
    DVTColumn, MATCH(AK60,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0" s="1251" t="str">
        <f>IFERROR(__xludf.DUMMYFUNCTION("if(AK60 &lt;&gt; """", 
  LET(
    TargetLevel, VLOOKUP(AK60,MS_Labs_Array,3,false),
    LabSpeed, (1 * REGEXEXTRACT($BH$1, ""[\d.-]+"")) * {IF(AK60 =""Labs Speed"", 1+'Master Sheet'!$BK$5, LAB_SPEED_TOTAL())},
    MaxLevel, VLOOKUP(AK60,MS_Labs_Array,4,false),"&amp;"
    MaxOrTarget, IF(OR(TargetLevel = """",$AD$1 &lt;&gt; ""Target""), MaxLevel, TargetLevel),
    LabLevel, VLOOKUP(AK60,MS_Labs_Array,2,False),
    DVTColumn, MATCH(AK60, DVT_Laboratory!$A$1:BO$1, 0),
    xextTime, INDIRECT(""DVT_Laboratory!"" &amp; ADDRESS(LabLe"&amp;"vel+3, DVTColumn)) / LabSpeed,
    remainingTime, SUM(INDIRECT(""DVT_Laboratory!"" &amp; ADDRESS(LabLevel+3, DVTColumn) &amp; "":"" &amp; ADDRESS(MaxOrTarget+2, DVTColumn))) / LabSpeed,
  AK60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0" s="1249"/>
      <c r="AO60" s="1249" t="str">
        <f>IFERROR(__xludf.DUMMYFUNCTION("""COMPUTED_VALUE"""),"Energy Shields Down
  Lab Level:      0 / 10 (Max)
  Next Level:    1d 17h 10m
  Max Level:     68d  2h 47m")</f>
        <v>Energy Shields Down
  Lab Level:      0 / 10 (Max)
  Next Level:    1d 17h 10m
  Max Level:     68d  2h 47m</v>
      </c>
      <c r="AP60" s="1249" t="str">
        <f>IFERROR(__xludf.DUMMYFUNCTION("""COMPUTED_VALUE"""),"")</f>
        <v/>
      </c>
      <c r="AQ60" s="1249"/>
      <c r="AR60" s="1250" t="str">
        <f>IFERROR(__xludf.DUMMYFUNCTION("if(AQ60 &lt;&gt; """", 
  LET( 
    TargetLevel, VLOOKUP(AQ60,MS_Labs_Array,3,false),
    MaxLevel, VLOOKUP(AQ60,MS_Labs_Array,4,false),
    MaxOrTarget, IF(OR(TargetLevel = """",$AD$1 &lt;&gt; ""Target""), MaxLevel, TargetLevel),
    LabLevel, VLOOKUP(AQ60,MS_Labs_A"&amp;"rray,2,False),
    Levelprogress, LabLevel / MaxOrTarget,
    DVTColumn, MATCH(AQ60,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0" s="1251" t="str">
        <f>IFERROR(__xludf.DUMMYFUNCTION("if(AQ60 &lt;&gt; """", 
  LET(
    TargetLevel, VLOOKUP(AQ60,MS_Labs_Array,3,false),
    LabSpeed, (1 * REGEXEXTRACT($BH$1, ""[\d.-]+"")) * {IF(AQ60 =""Labs Speed"", 1+'Master Sheet'!$BK$5, LAB_SPEED_TOTAL())},
    MaxLevel, VLOOKUP(AQ60,MS_Labs_Array,4,false),"&amp;"
    MaxOrTarget, IF(OR(TargetLevel = """",$AD$1 &lt;&gt; ""Target""), MaxLevel, TargetLevel),
    LabLevel, VLOOKUP(AQ60,MS_Labs_Array,2,False),
    DVTColumn, MATCH(AQ60, DVT_Laboratory!$A$1:BO$1, 0),
    xextTime, INDIRECT(""DVT_Laboratory!"" &amp; ADDRESS(LabLe"&amp;"vel+3, DVTColumn)) / LabSpeed,
    remainingTime, SUM(INDIRECT(""DVT_Laboratory!"" &amp; ADDRESS(LabLevel+3, DVTColumn) &amp; "":"" &amp; ADDRESS(MaxOrTarget+2, DVTColumn))) / LabSpeed,
  AQ60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0" s="1249"/>
      <c r="AU60" s="1249" t="str">
        <f>IFERROR(__xludf.DUMMYFUNCTION("""COMPUTED_VALUE"""),"Protector's Ultimate
  Lab Level:      0 / 10 (Max)
  Next Level:    1d 17h 10m
  Max Level:     48d  0h 59m")</f>
        <v>Protector's Ultimate
  Lab Level:      0 / 10 (Max)
  Next Level:    1d 17h 10m
  Max Level:     48d  0h 59m</v>
      </c>
      <c r="AV60" s="1249" t="str">
        <f>IFERROR(__xludf.DUMMYFUNCTION("""COMPUTED_VALUE"""),"")</f>
        <v/>
      </c>
      <c r="AW60" s="1249"/>
      <c r="AX60" s="1250" t="str">
        <f>IFERROR(__xludf.DUMMYFUNCTION("if(AW60 &lt;&gt; """", 
  LET( 
    TargetLevel, VLOOKUP(AW60,MS_Labs_Array,3,false),
    MaxLevel, VLOOKUP(AW60,MS_Labs_Array,4,false),
    MaxOrTarget, IF(OR(TargetLevel = """",$AD$1 &lt;&gt; ""Target""), MaxLevel, TargetLevel),
    LabLevel, VLOOKUP(AW60,MS_Labs_A"&amp;"rray,2,False),
    Levelprogress, LabLevel / MaxOrTarget,
    DVTColumn, MATCH(AW60,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0" s="1251" t="str">
        <f>IFERROR(__xludf.DUMMYFUNCTION("if(AW60 &lt;&gt; """", 
  LET(
    TargetLevel, VLOOKUP(AW60,MS_Labs_Array,3,false),
    LabSpeed, (1 * REGEXEXTRACT($BH$1, ""[\d.-]+"")) * {IF(AW60 =""Labs Speed"", 1+'Master Sheet'!$BK$5, LAB_SPEED_TOTAL())},
    MaxLevel, VLOOKUP(AW60,MS_Labs_Array,4,false),"&amp;"
    MaxOrTarget, IF(OR(TargetLevel = """",$AD$1 &lt;&gt; ""Target""), MaxLevel, TargetLevel),
    LabLevel, VLOOKUP(AW60,MS_Labs_Array,2,False),
    DVTColumn, MATCH(AW60, DVT_Laboratory!$A$1:BO$1, 0),
    xextTime, INDIRECT(""DVT_Laboratory!"" &amp; ADDRESS(LabLe"&amp;"vel+3, DVTColumn)) / LabSpeed,
    remainingTime, SUM(INDIRECT(""DVT_Laboratory!"" &amp; ADDRESS(LabLevel+3, DVTColumn) &amp; "":"" &amp; ADDRESS(MaxOrTarget+2, DVTColumn))) / LabSpeed,
  AW60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0" s="1249"/>
      <c r="BA60" s="1249" t="str">
        <f>IFERROR(__xludf.DUMMYFUNCTION("""COMPUTED_VALUE"""),"Fast's Ultimate
  Lab Level:      0 / 10 (Max)
  Next Level:    1d 17h 10m
  Max Level:     48d  0h 59m")</f>
        <v>Fast's Ultimate
  Lab Level:      0 / 10 (Max)
  Next Level:    1d 17h 10m
  Max Level:     48d  0h 59m</v>
      </c>
      <c r="BB60" s="1249" t="str">
        <f>IFERROR(__xludf.DUMMYFUNCTION("""COMPUTED_VALUE"""),"")</f>
        <v/>
      </c>
      <c r="BC60" s="1249"/>
      <c r="BD60" s="1250" t="str">
        <f>IFERROR(__xludf.DUMMYFUNCTION("if(BC60 &lt;&gt; """", 
  LET( 
    TargetLevel, VLOOKUP(BC60,MS_Labs_Array,3,false),
    MaxLevel, VLOOKUP(BC60,MS_Labs_Array,4,false),
    MaxOrTarget, IF(OR(TargetLevel = """",$AD$1 &lt;&gt; ""Target""), MaxLevel, TargetLevel),
    LabLevel, VLOOKUP(BC60,MS_Labs_A"&amp;"rray,2,False),
    Levelprogress, LabLevel / MaxOrTarget,
    DVTColumn, MATCH(BC60,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0" s="1251" t="str">
        <f>IFERROR(__xludf.DUMMYFUNCTION("if(BC60 &lt;&gt; """", 
  LET(
    TargetLevel, VLOOKUP(BC60,MS_Labs_Array,3,false),
    LabSpeed, (1 * REGEXEXTRACT($BH$1, ""[\d.-]+"")) * {IF(BC60 =""Labs Speed"", 1+'Master Sheet'!$BK$5, LAB_SPEED_TOTAL())},
    MaxLevel, VLOOKUP(BC60,MS_Labs_Array,4,false),"&amp;"
    MaxOrTarget, IF(OR(TargetLevel = """",$AD$1 &lt;&gt; ""Target""), MaxLevel, TargetLevel),
    LabLevel, VLOOKUP(BC60,MS_Labs_Array,2,False),
    DVTColumn, MATCH(BC60, DVT_Laboratory!$A$1:BO$1, 0),
    xextTime, INDIRECT(""DVT_Laboratory!"" &amp; ADDRESS(LabLe"&amp;"vel+3, DVTColumn)) / LabSpeed,
    remainingTime, SUM(INDIRECT(""DVT_Laboratory!"" &amp; ADDRESS(LabLevel+3, DVTColumn) &amp; "":"" &amp; ADDRESS(MaxOrTarget+2, DVTColumn))) / LabSpeed,
  BC60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0" s="1249"/>
      <c r="BG60" s="1249" t="str">
        <f>IFERROR(__xludf.DUMMYFUNCTION("""COMPUTED_VALUE"""),"")</f>
        <v/>
      </c>
      <c r="BH60" s="1260" t="str">
        <f>IFERROR(__xludf.DUMMYFUNCTION("""COMPUTED_VALUE"""),"")</f>
        <v/>
      </c>
      <c r="BI60" s="1252"/>
      <c r="BJ60" s="1253" t="str">
        <f>IFERROR(__xludf.DUMMYFUNCTION("if(BI60 &lt;&gt; """", 
  LET( 
    TargetLevel, VLOOKUP(BI60,MS_Labs_Array,3,false),
    MaxLevel, VLOOKUP(BI60,MS_Labs_Array,4,false),
    MaxOrTarget, IF(OR(TargetLevel = """",$AD$1 &lt;&gt; ""Target""), MaxLevel, TargetLevel),
    LabLevel, VLOOKUP(BI60,MS_Labs_A"&amp;"rray,2,False),
    Levelprogress, IF(LabLevel &gt;= MaxOrTarget, 1, LabLevel / MaxOrTarget),
    DVTColumn, MATCH(BI60,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0" s="1254" t="str">
        <f>IFERROR(__xludf.DUMMYFUNCTION("if(BI60 &lt;&gt; """", 
  LET(
    TargetLevel, VLOOKUP(BI60,MS_Labs_Array,3,false),
    LabSpeed, (1 * REGEXEXTRACT($BH$1, ""[\d.-]+"")) * {IF(BI60 =""Labs Speed"", 1+'Master Sheet'!$BK$5, LAB_SPEED_TOTAL())},
    MaxLevel, VLOOKUP(BI60,MS_Labs_Array,4,false),"&amp;"
    MaxOrTarget, IF(OR(TargetLevel = """",$AD$1 &lt;&gt; ""Target""), MaxLevel, TargetLevel),
    LabLevel, VLOOKUP(BI60,MS_Labs_Array,2,False),
    DVTColumn, MATCH(BI60, DVT_Laboratory!$A$1:BO$1, 0),
    xextTime, INDIRECT(""DVT_Laboratory!"" &amp; ADDRESS(LabLe"&amp;"vel+3, DVTColumn)) / LabSpeed,
    remainingTime, SUM(INDIRECT(""DVT_Laboratory!"" &amp; ADDRESS(LabLevel+3, DVTColumn) &amp; "":"" &amp; ADDRESS(MaxOrTarget+2, DVTColumn))) / LabSpeed,
  BI60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0" s="1252"/>
      <c r="BM60" s="1252" t="str">
        <f>IFERROR(__xludf.DUMMYFUNCTION("""COMPUTED_VALUE"""),"Black Hole Disable Ranged Enemies
  Lab Level:      1 / 1 (Max)
  Next Level:    
  Max Level:     1d 20h  7m")</f>
        <v>Black Hole Disable Ranged Enemies
  Lab Level:      1 / 1 (Max)
  Next Level:    
  Max Level:     1d 20h  7m</v>
      </c>
      <c r="BN60" s="1222"/>
      <c r="BO60" s="1261"/>
    </row>
    <row r="61">
      <c r="A61" s="1222"/>
      <c r="B61" s="1240" t="s">
        <v>560</v>
      </c>
      <c r="C61" s="1303" t="s">
        <v>158</v>
      </c>
      <c r="D61" s="1280" t="str">
        <f>VLOOKUP(C61,'Remote Tier List'!A:D, 2, FALSE)</f>
        <v>F</v>
      </c>
      <c r="E61" s="1281" t="str">
        <f>VLOOKUP(C61,'Remote Tier List'!A:D, 3, FALSE)</f>
        <v/>
      </c>
      <c r="F61" s="1282" t="str">
        <f>VLOOKUP(C61,'Remote Tier List'!A:D, 4, FALSE)</f>
        <v>Useless; if a missile lives long enough for this to matter it was not needed</v>
      </c>
      <c r="G61" s="1245" t="b">
        <f>IFERROR(AND(VLOOKUP("Tier 7",'_IDS'!$BZ$3:$DT$23, 2, FALSE) &gt; 30,IDS_UW_OWN("Smart Missiles")), true)</f>
        <v>0</v>
      </c>
      <c r="H61" s="1246" t="str">
        <f t="array" ref="H61:I61">LET(
  Lab, $C61,
  Mode, $AD$1,
  Level, VLOOKUP(Lab, MS_Labs_Array, 2, FALSE),
  Target, VLOOKUP(Lab, MS_Labs_Array, 3, FALSE),
  Max, VLOOKUP(Lab, MS_Labs_Array, 4, FALSE),
  Result,
    IF(
      AND(
        Mode &lt;&gt; "Never",
        Level &gt;= IF(OR(Target = "", Mode = "Max"), Max, Target)
      ),
      "Completed",
      ""
    ),
  HSTACK(
    IF(Result &lt;&gt; "", Result, $D61),
    IF(Result &lt;&gt; "", Result, IF($E61 = "", $D61, $E61))
  )
)</f>
        <v>F</v>
      </c>
      <c r="I61" s="1247" t="s">
        <v>549</v>
      </c>
      <c r="J61" s="1248" t="str">
        <f t="shared" ref="J61:J99" si="18">if(ISBLANK(F61),J60, F61)</f>
        <v>Useless; if a missile lives long enough for this to matter it was not needed</v>
      </c>
      <c r="K61" s="1229"/>
      <c r="L61" s="1249"/>
      <c r="M61" s="1249"/>
      <c r="N61" s="1250" t="str">
        <f>IFERROR(__xludf.DUMMYFUNCTION("if(M61 &lt;&gt; """", 
  LET( 
    TargetLevel, VLOOKUP(M61,MS_Labs_Array,3,false),
    MaxLevel, VLOOKUP(M61,MS_Labs_Array,4,false),
    MaxOrTarget, IF(OR(TargetLevel = """",$AD$1 &lt;&gt; ""Target""), MaxLevel, TargetLevel),
    LabLevel, VLOOKUP(M61,MS_Labs_Array"&amp;",2,False),
    Levelprogress, LabLevel / MaxOrTarget,
    DVTColumn, MATCH(M61,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1" s="1251" t="str">
        <f>IFERROR(__xludf.DUMMYFUNCTION("if(M61 &lt;&gt; """", 
  LET(
    TargetLevel, VLOOKUP(M61,MS_Labs_Array,3,false),
    LabSpeed, (1 * REGEXEXTRACT($BH$1, ""[\d.-]+"")) * {IF(M61 =""Labs Speed"", 1+'Master Sheet'!$BK$5, LAB_SPEED_TOTAL())},
    MaxLevel, VLOOKUP(M61,MS_Labs_Array,4,false),
   "&amp;" MaxOrTarget, IF(OR(TargetLevel = """",$AD$1 &lt;&gt; ""Target""), MaxLevel, TargetLevel),
    LabLevel, VLOOKUP(M61,MS_Labs_Array,2,False),
    DVTColumn, MATCH(M61, DVT_Laboratory!$A$1:BO$1, 0),
    xextTime, INDIRECT(""DVT_Laboratory!"" &amp; ADDRESS(LabLevel+3,"&amp;" DVTColumn)) / LabSpeed,
    remainingTime, SUM(INDIRECT(""DVT_Laboratory!"" &amp; ADDRESS(LabLevel+3, DVTColumn) &amp; "":"" &amp; ADDRESS(MaxOrTarget+2, DVTColumn))) / LabSpeed,
  M61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1" s="1249"/>
      <c r="Q61" s="1249"/>
      <c r="R61" s="1249"/>
      <c r="S61" s="1249"/>
      <c r="T61" s="1250" t="str">
        <f>IFERROR(__xludf.DUMMYFUNCTION("if(S61 &lt;&gt; """", 
  LET( 
    TargetLevel, VLOOKUP(S61,MS_Labs_Array,3,false),
    MaxLevel, VLOOKUP(S61,MS_Labs_Array,4,false),
    MaxOrTarget, IF(OR(TargetLevel = """",$AD$1 &lt;&gt; ""Target""), MaxLevel, TargetLevel),
    LabLevel, VLOOKUP(S61,MS_Labs_Array"&amp;",2,False),
    Levelprogress, LabLevel / MaxOrTarget,
    DVTColumn, MATCH(S61,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1" s="1251" t="str">
        <f>IFERROR(__xludf.DUMMYFUNCTION("if(S61 &lt;&gt; """", 
  LET(
    TargetLevel, VLOOKUP(S61,MS_Labs_Array,3,false),
    LabSpeed, (1 * REGEXEXTRACT($BH$1, ""[\d.-]+"")) * {IF(S61 =""Labs Speed"", 1+'Master Sheet'!$BK$5, LAB_SPEED_TOTAL())},
    MaxLevel, VLOOKUP(S61,MS_Labs_Array,4,false),
   "&amp;" MaxOrTarget, IF(OR(TargetLevel = """",$AD$1 &lt;&gt; ""Target""), MaxLevel, TargetLevel),
    LabLevel, VLOOKUP(S61,MS_Labs_Array,2,False),
    DVTColumn, MATCH(S61, DVT_Laboratory!$A$1:BO$1, 0),
    xextTime, INDIRECT(""DVT_Laboratory!"" &amp; ADDRESS(LabLevel+3,"&amp;" DVTColumn)) / LabSpeed,
    remainingTime, SUM(INDIRECT(""DVT_Laboratory!"" &amp; ADDRESS(LabLevel+3, DVTColumn) &amp; "":"" &amp; ADDRESS(MaxOrTarget+2, DVTColumn))) / LabSpeed,
  S61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1" s="1249"/>
      <c r="W61" s="1249"/>
      <c r="X61" s="1293" t="str">
        <f>IFERROR(__xludf.DUMMYFUNCTION("""COMPUTED_VALUE"""),"Enemy Level Skip Reduction")</f>
        <v>Enemy Level Skip Reduction</v>
      </c>
      <c r="Y61" s="1249"/>
      <c r="Z61" s="1250" t="str">
        <f>IFERROR(__xludf.DUMMYFUNCTION("if(Y61 &lt;&gt; """", 
  LET( 
    TargetLevel, VLOOKUP(Y61,MS_Labs_Array,3,false),
    MaxLevel, VLOOKUP(Y61,MS_Labs_Array,4,false),
    MaxOrTarget, IF(OR(TargetLevel = """",$AD$1 &lt;&gt; ""Target""), MaxLevel, TargetLevel),
    LabLevel, VLOOKUP(Y61,MS_Labs_Array"&amp;",2,False),
    Levelprogress, LabLevel / MaxOrTarget,
    DVTColumn, MATCH(Y61,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1" s="1251" t="str">
        <f>IFERROR(__xludf.DUMMYFUNCTION("if(Y61 &lt;&gt; """", 
  LET(
    TargetLevel, VLOOKUP(Y61,MS_Labs_Array,3,false),
    LabSpeed, (1 * REGEXEXTRACT($BH$1, ""[\d.-]+"")) * {IF(Y61 =""Labs Speed"", 1+'Master Sheet'!$BK$5, LAB_SPEED_TOTAL())},
    MaxLevel, VLOOKUP(Y61,MS_Labs_Array,4,false),
   "&amp;" MaxOrTarget, IF(OR(TargetLevel = """",$AD$1 &lt;&gt; ""Target""), MaxLevel, TargetLevel),
    LabLevel, VLOOKUP(Y61,MS_Labs_Array,2,False),
    DVTColumn, MATCH(Y61, DVT_Laboratory!$A$1:BO$1, 0),
    xextTime, INDIRECT(""DVT_Laboratory!"" &amp; ADDRESS(LabLevel+3,"&amp;" DVTColumn)) / LabSpeed,
    remainingTime, SUM(INDIRECT(""DVT_Laboratory!"" &amp; ADDRESS(LabLevel+3, DVTColumn) &amp; "":"" &amp; ADDRESS(MaxOrTarget+2, DVTColumn))) / LabSpeed,
  Y61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1" s="1249"/>
      <c r="AC61" s="1249" t="str">
        <f>IFERROR(__xludf.DUMMYFUNCTION("""COMPUTED_VALUE"""),"Expensive and ELS is still very good in farm and milestones, mostly pointless for tourney with the way ELS BC works there")</f>
        <v>Expensive and ELS is still very good in farm and milestones, mostly pointless for tourney with the way ELS BC works there</v>
      </c>
      <c r="AD61" s="1249"/>
      <c r="AE61" s="1249"/>
      <c r="AF61" s="1250" t="str">
        <f>IFERROR(__xludf.DUMMYFUNCTION("if(AE61 &lt;&gt; """", 
  LET( 
    TargetLevel, VLOOKUP(AE61,MS_Labs_Array,3,false),
    MaxLevel, VLOOKUP(AE61,MS_Labs_Array,4,false),
    MaxOrTarget, IF(OR(TargetLevel = """",$AD$1 &lt;&gt; ""Target""), MaxLevel, TargetLevel),
    LabLevel, VLOOKUP(AE61,MS_Labs_A"&amp;"rray,2,False),
    Levelprogress, LabLevel / MaxOrTarget,
    DVTColumn, MATCH(AE61,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1" s="1251" t="str">
        <f>IFERROR(__xludf.DUMMYFUNCTION("if(AE61 &lt;&gt; """", 
  LET(
    TargetLevel, VLOOKUP(AE61,MS_Labs_Array,3,false),
    LabSpeed, (1 * REGEXEXTRACT($BH$1, ""[\d.-]+"")) * {IF(AE61 =""Labs Speed"", 1+'Master Sheet'!$BK$5, LAB_SPEED_TOTAL())},
    MaxLevel, VLOOKUP(AE61,MS_Labs_Array,4,false),"&amp;"
    MaxOrTarget, IF(OR(TargetLevel = """",$AD$1 &lt;&gt; ""Target""), MaxLevel, TargetLevel),
    LabLevel, VLOOKUP(AE61,MS_Labs_Array,2,False),
    DVTColumn, MATCH(AE61, DVT_Laboratory!$A$1:BO$1, 0),
    xextTime, INDIRECT(""DVT_Laboratory!"" &amp; ADDRESS(LabLe"&amp;"vel+3, DVTColumn)) / LabSpeed,
    remainingTime, SUM(INDIRECT(""DVT_Laboratory!"" &amp; ADDRESS(LabLevel+3, DVTColumn) &amp; "":"" &amp; ADDRESS(MaxOrTarget+2, DVTColumn))) / LabSpeed,
  AE61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1" s="1249"/>
      <c r="AI61" s="1249"/>
      <c r="AJ61" s="1249"/>
      <c r="AK61" s="1249"/>
      <c r="AL61" s="1250" t="str">
        <f>IFERROR(__xludf.DUMMYFUNCTION("if(AK61 &lt;&gt; """", 
  LET( 
    TargetLevel, VLOOKUP(AK61,MS_Labs_Array,3,false),
    MaxLevel, VLOOKUP(AK61,MS_Labs_Array,4,false),
    MaxOrTarget, IF(OR(TargetLevel = """",$AD$1 &lt;&gt; ""Target""), MaxLevel, TargetLevel),
    LabLevel, VLOOKUP(AK61,MS_Labs_A"&amp;"rray,2,False),
    Levelprogress, LabLevel / MaxOrTarget,
    DVTColumn, MATCH(AK61,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1" s="1251" t="str">
        <f>IFERROR(__xludf.DUMMYFUNCTION("if(AK61 &lt;&gt; """", 
  LET(
    TargetLevel, VLOOKUP(AK61,MS_Labs_Array,3,false),
    LabSpeed, (1 * REGEXEXTRACT($BH$1, ""[\d.-]+"")) * {IF(AK61 =""Labs Speed"", 1+'Master Sheet'!$BK$5, LAB_SPEED_TOTAL())},
    MaxLevel, VLOOKUP(AK61,MS_Labs_Array,4,false),"&amp;"
    MaxOrTarget, IF(OR(TargetLevel = """",$AD$1 &lt;&gt; ""Target""), MaxLevel, TargetLevel),
    LabLevel, VLOOKUP(AK61,MS_Labs_Array,2,False),
    DVTColumn, MATCH(AK61, DVT_Laboratory!$A$1:BO$1, 0),
    xextTime, INDIRECT(""DVT_Laboratory!"" &amp; ADDRESS(LabLe"&amp;"vel+3, DVTColumn)) / LabSpeed,
    remainingTime, SUM(INDIRECT(""DVT_Laboratory!"" &amp; ADDRESS(LabLevel+3, DVTColumn) &amp; "":"" &amp; ADDRESS(MaxOrTarget+2, DVTColumn))) / LabSpeed,
  AK61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1" s="1249"/>
      <c r="AO61" s="1249"/>
      <c r="AP61" s="1249"/>
      <c r="AQ61" s="1249"/>
      <c r="AR61" s="1250" t="str">
        <f>IFERROR(__xludf.DUMMYFUNCTION("if(AQ61 &lt;&gt; """", 
  LET( 
    TargetLevel, VLOOKUP(AQ61,MS_Labs_Array,3,false),
    MaxLevel, VLOOKUP(AQ61,MS_Labs_Array,4,false),
    MaxOrTarget, IF(OR(TargetLevel = """",$AD$1 &lt;&gt; ""Target""), MaxLevel, TargetLevel),
    LabLevel, VLOOKUP(AQ61,MS_Labs_A"&amp;"rray,2,False),
    Levelprogress, LabLevel / MaxOrTarget,
    DVTColumn, MATCH(AQ61,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1" s="1251" t="str">
        <f>IFERROR(__xludf.DUMMYFUNCTION("if(AQ61 &lt;&gt; """", 
  LET(
    TargetLevel, VLOOKUP(AQ61,MS_Labs_Array,3,false),
    LabSpeed, (1 * REGEXEXTRACT($BH$1, ""[\d.-]+"")) * {IF(AQ61 =""Labs Speed"", 1+'Master Sheet'!$BK$5, LAB_SPEED_TOTAL())},
    MaxLevel, VLOOKUP(AQ61,MS_Labs_Array,4,false),"&amp;"
    MaxOrTarget, IF(OR(TargetLevel = """",$AD$1 &lt;&gt; ""Target""), MaxLevel, TargetLevel),
    LabLevel, VLOOKUP(AQ61,MS_Labs_Array,2,False),
    DVTColumn, MATCH(AQ61, DVT_Laboratory!$A$1:BO$1, 0),
    xextTime, INDIRECT(""DVT_Laboratory!"" &amp; ADDRESS(LabLe"&amp;"vel+3, DVTColumn)) / LabSpeed,
    remainingTime, SUM(INDIRECT(""DVT_Laboratory!"" &amp; ADDRESS(LabLevel+3, DVTColumn) &amp; "":"" &amp; ADDRESS(MaxOrTarget+2, DVTColumn))) / LabSpeed,
  AQ61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1" s="1249"/>
      <c r="AU61" s="1249"/>
      <c r="AV61" s="1249" t="str">
        <f>IFERROR(__xludf.DUMMYFUNCTION("""COMPUTED_VALUE"""),"Ranged Ultimate")</f>
        <v>Ranged Ultimate</v>
      </c>
      <c r="AW61" s="1249"/>
      <c r="AX61" s="1250" t="str">
        <f>IFERROR(__xludf.DUMMYFUNCTION("if(AW61 &lt;&gt; """", 
  LET( 
    TargetLevel, VLOOKUP(AW61,MS_Labs_Array,3,false),
    MaxLevel, VLOOKUP(AW61,MS_Labs_Array,4,false),
    MaxOrTarget, IF(OR(TargetLevel = """",$AD$1 &lt;&gt; ""Target""), MaxLevel, TargetLevel),
    LabLevel, VLOOKUP(AW61,MS_Labs_A"&amp;"rray,2,False),
    Levelprogress, LabLevel / MaxOrTarget,
    DVTColumn, MATCH(AW61,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1" s="1251" t="str">
        <f>IFERROR(__xludf.DUMMYFUNCTION("if(AW61 &lt;&gt; """", 
  LET(
    TargetLevel, VLOOKUP(AW61,MS_Labs_Array,3,false),
    LabSpeed, (1 * REGEXEXTRACT($BH$1, ""[\d.-]+"")) * {IF(AW61 =""Labs Speed"", 1+'Master Sheet'!$BK$5, LAB_SPEED_TOTAL())},
    MaxLevel, VLOOKUP(AW61,MS_Labs_Array,4,false),"&amp;"
    MaxOrTarget, IF(OR(TargetLevel = """",$AD$1 &lt;&gt; ""Target""), MaxLevel, TargetLevel),
    LabLevel, VLOOKUP(AW61,MS_Labs_Array,2,False),
    DVTColumn, MATCH(AW61, DVT_Laboratory!$A$1:BO$1, 0),
    xextTime, INDIRECT(""DVT_Laboratory!"" &amp; ADDRESS(LabLe"&amp;"vel+3, DVTColumn)) / LabSpeed,
    remainingTime, SUM(INDIRECT(""DVT_Laboratory!"" &amp; ADDRESS(LabLevel+3, DVTColumn) &amp; "":"" &amp; ADDRESS(MaxOrTarget+2, DVTColumn))) / LabSpeed,
  AW61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1" s="1249"/>
      <c r="BA61" s="1249"/>
      <c r="BB61" s="1249"/>
      <c r="BC61" s="1249"/>
      <c r="BD61" s="1250" t="str">
        <f>IFERROR(__xludf.DUMMYFUNCTION("if(BC61 &lt;&gt; """", 
  LET( 
    TargetLevel, VLOOKUP(BC61,MS_Labs_Array,3,false),
    MaxLevel, VLOOKUP(BC61,MS_Labs_Array,4,false),
    MaxOrTarget, IF(OR(TargetLevel = """",$AD$1 &lt;&gt; ""Target""), MaxLevel, TargetLevel),
    LabLevel, VLOOKUP(BC61,MS_Labs_A"&amp;"rray,2,False),
    Levelprogress, LabLevel / MaxOrTarget,
    DVTColumn, MATCH(BC61,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1" s="1251" t="str">
        <f>IFERROR(__xludf.DUMMYFUNCTION("if(BC61 &lt;&gt; """", 
  LET(
    TargetLevel, VLOOKUP(BC61,MS_Labs_Array,3,false),
    LabSpeed, (1 * REGEXEXTRACT($BH$1, ""[\d.-]+"")) * {IF(BC61 =""Labs Speed"", 1+'Master Sheet'!$BK$5, LAB_SPEED_TOTAL())},
    MaxLevel, VLOOKUP(BC61,MS_Labs_Array,4,false),"&amp;"
    MaxOrTarget, IF(OR(TargetLevel = """",$AD$1 &lt;&gt; ""Target""), MaxLevel, TargetLevel),
    LabLevel, VLOOKUP(BC61,MS_Labs_Array,2,False),
    DVTColumn, MATCH(BC61, DVT_Laboratory!$A$1:BO$1, 0),
    xextTime, INDIRECT(""DVT_Laboratory!"" &amp; ADDRESS(LabLe"&amp;"vel+3, DVTColumn)) / LabSpeed,
    remainingTime, SUM(INDIRECT(""DVT_Laboratory!"" &amp; ADDRESS(LabLevel+3, DVTColumn) &amp; "":"" &amp; ADDRESS(MaxOrTarget+2, DVTColumn))) / LabSpeed,
  BC61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1" s="1249"/>
      <c r="BG61" s="1249"/>
      <c r="BH61" s="1260" t="str">
        <f>IFERROR(__xludf.DUMMYFUNCTION("""COMPUTED_VALUE"""),"Death Wave Cells Bonus")</f>
        <v>Death Wave Cells Bonus</v>
      </c>
      <c r="BI61" s="1252"/>
      <c r="BJ61" s="1253" t="str">
        <f>IFERROR(__xludf.DUMMYFUNCTION("if(BI61 &lt;&gt; """", 
  LET( 
    TargetLevel, VLOOKUP(BI61,MS_Labs_Array,3,false),
    MaxLevel, VLOOKUP(BI61,MS_Labs_Array,4,false),
    MaxOrTarget, IF(OR(TargetLevel = """",$AD$1 &lt;&gt; ""Target""), MaxLevel, TargetLevel),
    LabLevel, VLOOKUP(BI61,MS_Labs_A"&amp;"rray,2,False),
    Levelprogress, IF(LabLevel &gt;= MaxOrTarget, 1, LabLevel / MaxOrTarget),
    DVTColumn, MATCH(BI61,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1" s="1254" t="str">
        <f>IFERROR(__xludf.DUMMYFUNCTION("if(BI61 &lt;&gt; """", 
  LET(
    TargetLevel, VLOOKUP(BI61,MS_Labs_Array,3,false),
    LabSpeed, (1 * REGEXEXTRACT($BH$1, ""[\d.-]+"")) * {IF(BI61 =""Labs Speed"", 1+'Master Sheet'!$BK$5, LAB_SPEED_TOTAL())},
    MaxLevel, VLOOKUP(BI61,MS_Labs_Array,4,false),"&amp;"
    MaxOrTarget, IF(OR(TargetLevel = """",$AD$1 &lt;&gt; ""Target""), MaxLevel, TargetLevel),
    LabLevel, VLOOKUP(BI61,MS_Labs_Array,2,False),
    DVTColumn, MATCH(BI61, DVT_Laboratory!$A$1:BO$1, 0),
    xextTime, INDIRECT(""DVT_Laboratory!"" &amp; ADDRESS(LabLe"&amp;"vel+3, DVTColumn)) / LabSpeed,
    remainingTime, SUM(INDIRECT(""DVT_Laboratory!"" &amp; ADDRESS(LabLevel+3, DVTColumn) &amp; "":"" &amp; ADDRESS(MaxOrTarget+2, DVTColumn))) / LabSpeed,
  BI61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1" s="1252"/>
      <c r="BM61" s="1252" t="str">
        <f>IFERROR(__xludf.DUMMYFUNCTION("""COMPUTED_VALUE"""),"The only Cell multiplier in the game outside of WS+")</f>
        <v>The only Cell multiplier in the game outside of WS+</v>
      </c>
      <c r="BN61" s="1222"/>
      <c r="BO61" s="1261"/>
    </row>
    <row r="62" ht="7.5" customHeight="1">
      <c r="A62" s="1222"/>
      <c r="B62" s="1257"/>
      <c r="C62" s="1304" t="s">
        <v>173</v>
      </c>
      <c r="D62" s="1280" t="str">
        <f>VLOOKUP(C62,'Remote Tier List'!A:D, 2, FALSE)</f>
        <v>A</v>
      </c>
      <c r="E62" s="1281" t="str">
        <f>VLOOKUP(C62,'Remote Tier List'!A:D, 3, FALSE)</f>
        <v/>
      </c>
      <c r="F62" s="1284" t="str">
        <f>VLOOKUP(C62,'Remote Tier List'!A:D, 4, FALSE)</f>
        <v>Adds crucial splash damage to Missiles</v>
      </c>
      <c r="G62" s="1245" t="b">
        <f>IFERROR(AND(VLOOKUP("Tier 7",'_IDS'!$BZ$3:$DT$23, 2, FALSE) &gt; 30,IDS_UW_OWN("Smart Missiles")), true)</f>
        <v>0</v>
      </c>
      <c r="H62" s="1246" t="str">
        <f t="array" ref="H62:I62">LET(
  Lab, $C62,
  Mode, $AD$1,
  Level, VLOOKUP(Lab, MS_Labs_Array, 2, FALSE),
  Target, VLOOKUP(Lab, MS_Labs_Array, 3, FALSE),
  Max, VLOOKUP(Lab, MS_Labs_Array, 4, FALSE),
  Result,
    IF(
      AND(
        Mode &lt;&gt; "Never",
        Level &gt;= IF(OR(Target = "", Mode = "Max"), Max, Target)
      ),
      "Completed",
      ""
    ),
  HSTACK(
    IF(Result &lt;&gt; "", Result, $D62),
    IF(Result &lt;&gt; "", Result, IF($E62 = "", $D62, $E62))
  )
)</f>
        <v>A</v>
      </c>
      <c r="I62" s="1247" t="s">
        <v>545</v>
      </c>
      <c r="J62" s="1248" t="str">
        <f t="shared" si="18"/>
        <v>Adds crucial splash damage to Missiles</v>
      </c>
      <c r="K62" s="1229"/>
      <c r="L62" s="1249" t="str">
        <f>IFERROR(__xludf.DUMMYFUNCTION("""COMPUTED_VALUE"""),"")</f>
        <v/>
      </c>
      <c r="M62" s="1249"/>
      <c r="N62" s="1250" t="str">
        <f>IFERROR(__xludf.DUMMYFUNCTION("if(M62 &lt;&gt; """", 
  LET( 
    TargetLevel, VLOOKUP(M62,MS_Labs_Array,3,false),
    MaxLevel, VLOOKUP(M62,MS_Labs_Array,4,false),
    MaxOrTarget, IF(OR(TargetLevel = """",$AD$1 &lt;&gt; ""Target""), MaxLevel, TargetLevel),
    LabLevel, VLOOKUP(M62,MS_Labs_Array"&amp;",2,False),
    Levelprogress, LabLevel / MaxOrTarget,
    DVTColumn, MATCH(M62,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2" s="1251" t="str">
        <f>IFERROR(__xludf.DUMMYFUNCTION("if(M62 &lt;&gt; """", 
  LET(
    TargetLevel, VLOOKUP(M62,MS_Labs_Array,3,false),
    LabSpeed, (1 * REGEXEXTRACT($BH$1, ""[\d.-]+"")) * {IF(M62 =""Labs Speed"", 1+'Master Sheet'!$BK$5, LAB_SPEED_TOTAL())},
    MaxLevel, VLOOKUP(M62,MS_Labs_Array,4,false),
   "&amp;" MaxOrTarget, IF(OR(TargetLevel = """",$AD$1 &lt;&gt; ""Target""), MaxLevel, TargetLevel),
    LabLevel, VLOOKUP(M62,MS_Labs_Array,2,False),
    DVTColumn, MATCH(M62, DVT_Laboratory!$A$1:BO$1, 0),
    xextTime, INDIRECT(""DVT_Laboratory!"" &amp; ADDRESS(LabLevel+3,"&amp;" DVTColumn)) / LabSpeed,
    remainingTime, SUM(INDIRECT(""DVT_Laboratory!"" &amp; ADDRESS(LabLevel+3, DVTColumn) &amp; "":"" &amp; ADDRESS(MaxOrTarget+2, DVTColumn))) / LabSpeed,
  M62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2" s="1249"/>
      <c r="Q62" s="1249" t="str">
        <f>IFERROR(__xludf.DUMMYFUNCTION("""COMPUTED_VALUE"""),"")</f>
        <v/>
      </c>
      <c r="R62" s="1249" t="str">
        <f>IFERROR(__xludf.DUMMYFUNCTION("""COMPUTED_VALUE"""),"")</f>
        <v/>
      </c>
      <c r="S62" s="1249"/>
      <c r="T62" s="1250" t="str">
        <f>IFERROR(__xludf.DUMMYFUNCTION("if(S62 &lt;&gt; """", 
  LET( 
    TargetLevel, VLOOKUP(S62,MS_Labs_Array,3,false),
    MaxLevel, VLOOKUP(S62,MS_Labs_Array,4,false),
    MaxOrTarget, IF(OR(TargetLevel = """",$AD$1 &lt;&gt; ""Target""), MaxLevel, TargetLevel),
    LabLevel, VLOOKUP(S62,MS_Labs_Array"&amp;",2,False),
    Levelprogress, LabLevel / MaxOrTarget,
    DVTColumn, MATCH(S62,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2" s="1251" t="str">
        <f>IFERROR(__xludf.DUMMYFUNCTION("if(S62 &lt;&gt; """", 
  LET(
    TargetLevel, VLOOKUP(S62,MS_Labs_Array,3,false),
    LabSpeed, (1 * REGEXEXTRACT($BH$1, ""[\d.-]+"")) * {IF(S62 =""Labs Speed"", 1+'Master Sheet'!$BK$5, LAB_SPEED_TOTAL())},
    MaxLevel, VLOOKUP(S62,MS_Labs_Array,4,false),
   "&amp;" MaxOrTarget, IF(OR(TargetLevel = """",$AD$1 &lt;&gt; ""Target""), MaxLevel, TargetLevel),
    LabLevel, VLOOKUP(S62,MS_Labs_Array,2,False),
    DVTColumn, MATCH(S62, DVT_Laboratory!$A$1:BO$1, 0),
    xextTime, INDIRECT(""DVT_Laboratory!"" &amp; ADDRESS(LabLevel+3,"&amp;" DVTColumn)) / LabSpeed,
    remainingTime, SUM(INDIRECT(""DVT_Laboratory!"" &amp; ADDRESS(LabLevel+3, DVTColumn) &amp; "":"" &amp; ADDRESS(MaxOrTarget+2, DVTColumn))) / LabSpeed,
  S62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2" s="1249"/>
      <c r="W62" s="1249" t="str">
        <f>IFERROR(__xludf.DUMMYFUNCTION("""COMPUTED_VALUE"""),"")</f>
        <v/>
      </c>
      <c r="X62" s="1249" t="str">
        <f>IFERROR(__xludf.DUMMYFUNCTION("""COMPUTED_VALUE"""),"")</f>
        <v/>
      </c>
      <c r="Y62" s="1249"/>
      <c r="Z62" s="1250" t="str">
        <f>IFERROR(__xludf.DUMMYFUNCTION("if(Y62 &lt;&gt; """", 
  LET( 
    TargetLevel, VLOOKUP(Y62,MS_Labs_Array,3,false),
    MaxLevel, VLOOKUP(Y62,MS_Labs_Array,4,false),
    MaxOrTarget, IF(OR(TargetLevel = """",$AD$1 &lt;&gt; ""Target""), MaxLevel, TargetLevel),
    LabLevel, VLOOKUP(Y62,MS_Labs_Array"&amp;",2,False),
    Levelprogress, LabLevel / MaxOrTarget,
    DVTColumn, MATCH(Y62,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2" s="1251" t="str">
        <f>IFERROR(__xludf.DUMMYFUNCTION("if(Y62 &lt;&gt; """", 
  LET(
    TargetLevel, VLOOKUP(Y62,MS_Labs_Array,3,false),
    LabSpeed, (1 * REGEXEXTRACT($BH$1, ""[\d.-]+"")) * {IF(Y62 =""Labs Speed"", 1+'Master Sheet'!$BK$5, LAB_SPEED_TOTAL())},
    MaxLevel, VLOOKUP(Y62,MS_Labs_Array,4,false),
   "&amp;" MaxOrTarget, IF(OR(TargetLevel = """",$AD$1 &lt;&gt; ""Target""), MaxLevel, TargetLevel),
    LabLevel, VLOOKUP(Y62,MS_Labs_Array,2,False),
    DVTColumn, MATCH(Y62, DVT_Laboratory!$A$1:BO$1, 0),
    xextTime, INDIRECT(""DVT_Laboratory!"" &amp; ADDRESS(LabLevel+3,"&amp;" DVTColumn)) / LabSpeed,
    remainingTime, SUM(INDIRECT(""DVT_Laboratory!"" &amp; ADDRESS(LabLevel+3, DVTColumn) &amp; "":"" &amp; ADDRESS(MaxOrTarget+2, DVTColumn))) / LabSpeed,
  Y62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2" s="1249"/>
      <c r="AC62" s="1249" t="str">
        <f>IFERROR(__xludf.DUMMYFUNCTION("""COMPUTED_VALUE"""),"Enemy Level Skip Reduction
  Lab Level:      0 / 10 (Max)
  Next Level:    1d 17h 10m
  Max Level:     68d  2h 47m")</f>
        <v>Enemy Level Skip Reduction
  Lab Level:      0 / 10 (Max)
  Next Level:    1d 17h 10m
  Max Level:     68d  2h 47m</v>
      </c>
      <c r="AD62" s="1249" t="str">
        <f>IFERROR(__xludf.DUMMYFUNCTION("""COMPUTED_VALUE"""),"")</f>
        <v/>
      </c>
      <c r="AE62" s="1249"/>
      <c r="AF62" s="1250" t="str">
        <f>IFERROR(__xludf.DUMMYFUNCTION("if(AE62 &lt;&gt; """", 
  LET( 
    TargetLevel, VLOOKUP(AE62,MS_Labs_Array,3,false),
    MaxLevel, VLOOKUP(AE62,MS_Labs_Array,4,false),
    MaxOrTarget, IF(OR(TargetLevel = """",$AD$1 &lt;&gt; ""Target""), MaxLevel, TargetLevel),
    LabLevel, VLOOKUP(AE62,MS_Labs_A"&amp;"rray,2,False),
    Levelprogress, LabLevel / MaxOrTarget,
    DVTColumn, MATCH(AE62,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2" s="1251" t="str">
        <f>IFERROR(__xludf.DUMMYFUNCTION("if(AE62 &lt;&gt; """", 
  LET(
    TargetLevel, VLOOKUP(AE62,MS_Labs_Array,3,false),
    LabSpeed, (1 * REGEXEXTRACT($BH$1, ""[\d.-]+"")) * {IF(AE62 =""Labs Speed"", 1+'Master Sheet'!$BK$5, LAB_SPEED_TOTAL())},
    MaxLevel, VLOOKUP(AE62,MS_Labs_Array,4,false),"&amp;"
    MaxOrTarget, IF(OR(TargetLevel = """",$AD$1 &lt;&gt; ""Target""), MaxLevel, TargetLevel),
    LabLevel, VLOOKUP(AE62,MS_Labs_Array,2,False),
    DVTColumn, MATCH(AE62, DVT_Laboratory!$A$1:BO$1, 0),
    xextTime, INDIRECT(""DVT_Laboratory!"" &amp; ADDRESS(LabLe"&amp;"vel+3, DVTColumn)) / LabSpeed,
    remainingTime, SUM(INDIRECT(""DVT_Laboratory!"" &amp; ADDRESS(LabLevel+3, DVTColumn) &amp; "":"" &amp; ADDRESS(MaxOrTarget+2, DVTColumn))) / LabSpeed,
  AE62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2" s="1249"/>
      <c r="AI62" s="1249" t="str">
        <f>IFERROR(__xludf.DUMMYFUNCTION("""COMPUTED_VALUE"""),"")</f>
        <v/>
      </c>
      <c r="AJ62" s="1249" t="str">
        <f>IFERROR(__xludf.DUMMYFUNCTION("""COMPUTED_VALUE"""),"")</f>
        <v/>
      </c>
      <c r="AK62" s="1249"/>
      <c r="AL62" s="1250" t="str">
        <f>IFERROR(__xludf.DUMMYFUNCTION("if(AK62 &lt;&gt; """", 
  LET( 
    TargetLevel, VLOOKUP(AK62,MS_Labs_Array,3,false),
    MaxLevel, VLOOKUP(AK62,MS_Labs_Array,4,false),
    MaxOrTarget, IF(OR(TargetLevel = """",$AD$1 &lt;&gt; ""Target""), MaxLevel, TargetLevel),
    LabLevel, VLOOKUP(AK62,MS_Labs_A"&amp;"rray,2,False),
    Levelprogress, LabLevel / MaxOrTarget,
    DVTColumn, MATCH(AK62,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2" s="1251" t="str">
        <f>IFERROR(__xludf.DUMMYFUNCTION("if(AK62 &lt;&gt; """", 
  LET(
    TargetLevel, VLOOKUP(AK62,MS_Labs_Array,3,false),
    LabSpeed, (1 * REGEXEXTRACT($BH$1, ""[\d.-]+"")) * {IF(AK62 =""Labs Speed"", 1+'Master Sheet'!$BK$5, LAB_SPEED_TOTAL())},
    MaxLevel, VLOOKUP(AK62,MS_Labs_Array,4,false),"&amp;"
    MaxOrTarget, IF(OR(TargetLevel = """",$AD$1 &lt;&gt; ""Target""), MaxLevel, TargetLevel),
    LabLevel, VLOOKUP(AK62,MS_Labs_Array,2,False),
    DVTColumn, MATCH(AK62, DVT_Laboratory!$A$1:BO$1, 0),
    xextTime, INDIRECT(""DVT_Laboratory!"" &amp; ADDRESS(LabLe"&amp;"vel+3, DVTColumn)) / LabSpeed,
    remainingTime, SUM(INDIRECT(""DVT_Laboratory!"" &amp; ADDRESS(LabLevel+3, DVTColumn) &amp; "":"" &amp; ADDRESS(MaxOrTarget+2, DVTColumn))) / LabSpeed,
  AK62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2" s="1249"/>
      <c r="AO62" s="1249" t="str">
        <f>IFERROR(__xludf.DUMMYFUNCTION("""COMPUTED_VALUE"""),"")</f>
        <v/>
      </c>
      <c r="AP62" s="1249" t="str">
        <f>IFERROR(__xludf.DUMMYFUNCTION("""COMPUTED_VALUE"""),"")</f>
        <v/>
      </c>
      <c r="AQ62" s="1249"/>
      <c r="AR62" s="1250" t="str">
        <f>IFERROR(__xludf.DUMMYFUNCTION("if(AQ62 &lt;&gt; """", 
  LET( 
    TargetLevel, VLOOKUP(AQ62,MS_Labs_Array,3,false),
    MaxLevel, VLOOKUP(AQ62,MS_Labs_Array,4,false),
    MaxOrTarget, IF(OR(TargetLevel = """",$AD$1 &lt;&gt; ""Target""), MaxLevel, TargetLevel),
    LabLevel, VLOOKUP(AQ62,MS_Labs_A"&amp;"rray,2,False),
    Levelprogress, LabLevel / MaxOrTarget,
    DVTColumn, MATCH(AQ62,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2" s="1251" t="str">
        <f>IFERROR(__xludf.DUMMYFUNCTION("if(AQ62 &lt;&gt; """", 
  LET(
    TargetLevel, VLOOKUP(AQ62,MS_Labs_Array,3,false),
    LabSpeed, (1 * REGEXEXTRACT($BH$1, ""[\d.-]+"")) * {IF(AQ62 =""Labs Speed"", 1+'Master Sheet'!$BK$5, LAB_SPEED_TOTAL())},
    MaxLevel, VLOOKUP(AQ62,MS_Labs_Array,4,false),"&amp;"
    MaxOrTarget, IF(OR(TargetLevel = """",$AD$1 &lt;&gt; ""Target""), MaxLevel, TargetLevel),
    LabLevel, VLOOKUP(AQ62,MS_Labs_Array,2,False),
    DVTColumn, MATCH(AQ62, DVT_Laboratory!$A$1:BO$1, 0),
    xextTime, INDIRECT(""DVT_Laboratory!"" &amp; ADDRESS(LabLe"&amp;"vel+3, DVTColumn)) / LabSpeed,
    remainingTime, SUM(INDIRECT(""DVT_Laboratory!"" &amp; ADDRESS(LabLevel+3, DVTColumn) &amp; "":"" &amp; ADDRESS(MaxOrTarget+2, DVTColumn))) / LabSpeed,
  AQ62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2" s="1249"/>
      <c r="AU62" s="1249" t="str">
        <f>IFERROR(__xludf.DUMMYFUNCTION("""COMPUTED_VALUE"""),"")</f>
        <v/>
      </c>
      <c r="AV62" s="1249" t="str">
        <f>IFERROR(__xludf.DUMMYFUNCTION("""COMPUTED_VALUE"""),"")</f>
        <v/>
      </c>
      <c r="AW62" s="1249"/>
      <c r="AX62" s="1250" t="str">
        <f>IFERROR(__xludf.DUMMYFUNCTION("if(AW62 &lt;&gt; """", 
  LET( 
    TargetLevel, VLOOKUP(AW62,MS_Labs_Array,3,false),
    MaxLevel, VLOOKUP(AW62,MS_Labs_Array,4,false),
    MaxOrTarget, IF(OR(TargetLevel = """",$AD$1 &lt;&gt; ""Target""), MaxLevel, TargetLevel),
    LabLevel, VLOOKUP(AW62,MS_Labs_A"&amp;"rray,2,False),
    Levelprogress, LabLevel / MaxOrTarget,
    DVTColumn, MATCH(AW62,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2" s="1251" t="str">
        <f>IFERROR(__xludf.DUMMYFUNCTION("if(AW62 &lt;&gt; """", 
  LET(
    TargetLevel, VLOOKUP(AW62,MS_Labs_Array,3,false),
    LabSpeed, (1 * REGEXEXTRACT($BH$1, ""[\d.-]+"")) * {IF(AW62 =""Labs Speed"", 1+'Master Sheet'!$BK$5, LAB_SPEED_TOTAL())},
    MaxLevel, VLOOKUP(AW62,MS_Labs_Array,4,false),"&amp;"
    MaxOrTarget, IF(OR(TargetLevel = """",$AD$1 &lt;&gt; ""Target""), MaxLevel, TargetLevel),
    LabLevel, VLOOKUP(AW62,MS_Labs_Array,2,False),
    DVTColumn, MATCH(AW62, DVT_Laboratory!$A$1:BO$1, 0),
    xextTime, INDIRECT(""DVT_Laboratory!"" &amp; ADDRESS(LabLe"&amp;"vel+3, DVTColumn)) / LabSpeed,
    remainingTime, SUM(INDIRECT(""DVT_Laboratory!"" &amp; ADDRESS(LabLevel+3, DVTColumn) &amp; "":"" &amp; ADDRESS(MaxOrTarget+2, DVTColumn))) / LabSpeed,
  AW62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2" s="1249"/>
      <c r="BA62" s="1249" t="str">
        <f>IFERROR(__xludf.DUMMYFUNCTION("""COMPUTED_VALUE"""),"Ranged Ultimate
  Lab Level:      0 / 10 (Max)
  Next Level:    1d 17h 10m
  Max Level:     48d  0h 59m")</f>
        <v>Ranged Ultimate
  Lab Level:      0 / 10 (Max)
  Next Level:    1d 17h 10m
  Max Level:     48d  0h 59m</v>
      </c>
      <c r="BB62" s="1249" t="str">
        <f>IFERROR(__xludf.DUMMYFUNCTION("""COMPUTED_VALUE"""),"")</f>
        <v/>
      </c>
      <c r="BC62" s="1249"/>
      <c r="BD62" s="1250" t="str">
        <f>IFERROR(__xludf.DUMMYFUNCTION("if(BC62 &lt;&gt; """", 
  LET( 
    TargetLevel, VLOOKUP(BC62,MS_Labs_Array,3,false),
    MaxLevel, VLOOKUP(BC62,MS_Labs_Array,4,false),
    MaxOrTarget, IF(OR(TargetLevel = """",$AD$1 &lt;&gt; ""Target""), MaxLevel, TargetLevel),
    LabLevel, VLOOKUP(BC62,MS_Labs_A"&amp;"rray,2,False),
    Levelprogress, LabLevel / MaxOrTarget,
    DVTColumn, MATCH(BC62,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2" s="1251" t="str">
        <f>IFERROR(__xludf.DUMMYFUNCTION("if(BC62 &lt;&gt; """", 
  LET(
    TargetLevel, VLOOKUP(BC62,MS_Labs_Array,3,false),
    LabSpeed, (1 * REGEXEXTRACT($BH$1, ""[\d.-]+"")) * {IF(BC62 =""Labs Speed"", 1+'Master Sheet'!$BK$5, LAB_SPEED_TOTAL())},
    MaxLevel, VLOOKUP(BC62,MS_Labs_Array,4,false),"&amp;"
    MaxOrTarget, IF(OR(TargetLevel = """",$AD$1 &lt;&gt; ""Target""), MaxLevel, TargetLevel),
    LabLevel, VLOOKUP(BC62,MS_Labs_Array,2,False),
    DVTColumn, MATCH(BC62, DVT_Laboratory!$A$1:BO$1, 0),
    xextTime, INDIRECT(""DVT_Laboratory!"" &amp; ADDRESS(LabLe"&amp;"vel+3, DVTColumn)) / LabSpeed,
    remainingTime, SUM(INDIRECT(""DVT_Laboratory!"" &amp; ADDRESS(LabLevel+3, DVTColumn) &amp; "":"" &amp; ADDRESS(MaxOrTarget+2, DVTColumn))) / LabSpeed,
  BC62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2" s="1249"/>
      <c r="BG62" s="1249" t="str">
        <f>IFERROR(__xludf.DUMMYFUNCTION("""COMPUTED_VALUE"""),"")</f>
        <v/>
      </c>
      <c r="BH62" s="1260" t="str">
        <f>IFERROR(__xludf.DUMMYFUNCTION("""COMPUTED_VALUE"""),"")</f>
        <v/>
      </c>
      <c r="BI62" s="1252"/>
      <c r="BJ62" s="1253" t="str">
        <f>IFERROR(__xludf.DUMMYFUNCTION("if(BI62 &lt;&gt; """", 
  LET( 
    TargetLevel, VLOOKUP(BI62,MS_Labs_Array,3,false),
    MaxLevel, VLOOKUP(BI62,MS_Labs_Array,4,false),
    MaxOrTarget, IF(OR(TargetLevel = """",$AD$1 &lt;&gt; ""Target""), MaxLevel, TargetLevel),
    LabLevel, VLOOKUP(BI62,MS_Labs_A"&amp;"rray,2,False),
    Levelprogress, IF(LabLevel &gt;= MaxOrTarget, 1, LabLevel / MaxOrTarget),
    DVTColumn, MATCH(BI62,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2" s="1254" t="str">
        <f>IFERROR(__xludf.DUMMYFUNCTION("if(BI62 &lt;&gt; """", 
  LET(
    TargetLevel, VLOOKUP(BI62,MS_Labs_Array,3,false),
    LabSpeed, (1 * REGEXEXTRACT($BH$1, ""[\d.-]+"")) * {IF(BI62 =""Labs Speed"", 1+'Master Sheet'!$BK$5, LAB_SPEED_TOTAL())},
    MaxLevel, VLOOKUP(BI62,MS_Labs_Array,4,false),"&amp;"
    MaxOrTarget, IF(OR(TargetLevel = """",$AD$1 &lt;&gt; ""Target""), MaxLevel, TargetLevel),
    LabLevel, VLOOKUP(BI62,MS_Labs_Array,2,False),
    DVTColumn, MATCH(BI62, DVT_Laboratory!$A$1:BO$1, 0),
    xextTime, INDIRECT(""DVT_Laboratory!"" &amp; ADDRESS(LabLe"&amp;"vel+3, DVTColumn)) / LabSpeed,
    remainingTime, SUM(INDIRECT(""DVT_Laboratory!"" &amp; ADDRESS(LabLevel+3, DVTColumn) &amp; "":"" &amp; ADDRESS(MaxOrTarget+2, DVTColumn))) / LabSpeed,
  BI62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2" s="1252"/>
      <c r="BM62" s="1252" t="str">
        <f>IFERROR(__xludf.DUMMYFUNCTION("""COMPUTED_VALUE"""),"Death Wave Cells Bonus
  Lab Level:      20 / 20 (Max)
  Next Level:    
  Max Level:     1d 18h  1m")</f>
        <v>Death Wave Cells Bonus
  Lab Level:      20 / 20 (Max)
  Next Level:    
  Max Level:     1d 18h  1m</v>
      </c>
      <c r="BN62" s="1222"/>
      <c r="BO62" s="1261"/>
    </row>
    <row r="63">
      <c r="A63" s="1222"/>
      <c r="B63" s="1257"/>
      <c r="C63" s="1304" t="s">
        <v>184</v>
      </c>
      <c r="D63" s="1280" t="str">
        <f>VLOOKUP(C63,'Remote Tier List'!A:D, 2, FALSE)</f>
        <v>B</v>
      </c>
      <c r="E63" s="1281" t="str">
        <f>VLOOKUP(C63,'Remote Tier List'!A:D, 3, FALSE)</f>
        <v/>
      </c>
      <c r="F63" s="1300"/>
      <c r="G63" s="1245" t="b">
        <f>IFERROR(AND(VLOOKUP("Tier 7",'_IDS'!$BZ$3:$DT$23, 2, FALSE) &gt; 30,IDS_UW_OWN("Smart Missiles")), true)</f>
        <v>0</v>
      </c>
      <c r="H63" s="1246" t="str">
        <f t="array" ref="H63:I63">LET(
  Lab, $C63,
  Mode, $AD$1,
  Level, VLOOKUP(Lab, MS_Labs_Array, 2, FALSE),
  Target, VLOOKUP(Lab, MS_Labs_Array, 3, FALSE),
  Max, VLOOKUP(Lab, MS_Labs_Array, 4, FALSE),
  Result,
    IF(
      AND(
        Mode &lt;&gt; "Never",
        Level &gt;= IF(OR(Target = "", Mode = "Max"), Max, Target)
      ),
      "Completed",
      ""
    ),
  HSTACK(
    IF(Result &lt;&gt; "", Result, $D63),
    IF(Result &lt;&gt; "", Result, IF($E63 = "", $D63, $E63))
  )
)</f>
        <v>B</v>
      </c>
      <c r="I63" s="1247" t="s">
        <v>546</v>
      </c>
      <c r="J63" s="1248" t="str">
        <f t="shared" si="18"/>
        <v>Adds crucial splash damage to Missiles</v>
      </c>
      <c r="K63" s="1229"/>
      <c r="L63" s="1249"/>
      <c r="M63" s="1249"/>
      <c r="N63" s="1250" t="str">
        <f>IFERROR(__xludf.DUMMYFUNCTION("if(M63 &lt;&gt; """", 
  LET( 
    TargetLevel, VLOOKUP(M63,MS_Labs_Array,3,false),
    MaxLevel, VLOOKUP(M63,MS_Labs_Array,4,false),
    MaxOrTarget, IF(OR(TargetLevel = """",$AD$1 &lt;&gt; ""Target""), MaxLevel, TargetLevel),
    LabLevel, VLOOKUP(M63,MS_Labs_Array"&amp;",2,False),
    Levelprogress, LabLevel / MaxOrTarget,
    DVTColumn, MATCH(M63,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3" s="1251" t="str">
        <f>IFERROR(__xludf.DUMMYFUNCTION("if(M63 &lt;&gt; """", 
  LET(
    TargetLevel, VLOOKUP(M63,MS_Labs_Array,3,false),
    LabSpeed, (1 * REGEXEXTRACT($BH$1, ""[\d.-]+"")) * {IF(M63 =""Labs Speed"", 1+'Master Sheet'!$BK$5, LAB_SPEED_TOTAL())},
    MaxLevel, VLOOKUP(M63,MS_Labs_Array,4,false),
   "&amp;" MaxOrTarget, IF(OR(TargetLevel = """",$AD$1 &lt;&gt; ""Target""), MaxLevel, TargetLevel),
    LabLevel, VLOOKUP(M63,MS_Labs_Array,2,False),
    DVTColumn, MATCH(M63, DVT_Laboratory!$A$1:BO$1, 0),
    xextTime, INDIRECT(""DVT_Laboratory!"" &amp; ADDRESS(LabLevel+3,"&amp;" DVTColumn)) / LabSpeed,
    remainingTime, SUM(INDIRECT(""DVT_Laboratory!"" &amp; ADDRESS(LabLevel+3, DVTColumn) &amp; "":"" &amp; ADDRESS(MaxOrTarget+2, DVTColumn))) / LabSpeed,
  M63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3" s="1249"/>
      <c r="Q63" s="1249"/>
      <c r="R63" s="1249"/>
      <c r="S63" s="1249"/>
      <c r="T63" s="1250" t="str">
        <f>IFERROR(__xludf.DUMMYFUNCTION("if(S63 &lt;&gt; """", 
  LET( 
    TargetLevel, VLOOKUP(S63,MS_Labs_Array,3,false),
    MaxLevel, VLOOKUP(S63,MS_Labs_Array,4,false),
    MaxOrTarget, IF(OR(TargetLevel = """",$AD$1 &lt;&gt; ""Target""), MaxLevel, TargetLevel),
    LabLevel, VLOOKUP(S63,MS_Labs_Array"&amp;",2,False),
    Levelprogress, LabLevel / MaxOrTarget,
    DVTColumn, MATCH(S63,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3" s="1251" t="str">
        <f>IFERROR(__xludf.DUMMYFUNCTION("if(S63 &lt;&gt; """", 
  LET(
    TargetLevel, VLOOKUP(S63,MS_Labs_Array,3,false),
    LabSpeed, (1 * REGEXEXTRACT($BH$1, ""[\d.-]+"")) * {IF(S63 =""Labs Speed"", 1+'Master Sheet'!$BK$5, LAB_SPEED_TOTAL())},
    MaxLevel, VLOOKUP(S63,MS_Labs_Array,4,false),
   "&amp;" MaxOrTarget, IF(OR(TargetLevel = """",$AD$1 &lt;&gt; ""Target""), MaxLevel, TargetLevel),
    LabLevel, VLOOKUP(S63,MS_Labs_Array,2,False),
    DVTColumn, MATCH(S63, DVT_Laboratory!$A$1:BO$1, 0),
    xextTime, INDIRECT(""DVT_Laboratory!"" &amp; ADDRESS(LabLevel+3,"&amp;" DVTColumn)) / LabSpeed,
    remainingTime, SUM(INDIRECT(""DVT_Laboratory!"" &amp; ADDRESS(LabLevel+3, DVTColumn) &amp; "":"" &amp; ADDRESS(MaxOrTarget+2, DVTColumn))) / LabSpeed,
  S63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3" s="1249"/>
      <c r="W63" s="1249"/>
      <c r="X63" s="1249"/>
      <c r="Y63" s="1249"/>
      <c r="Z63" s="1250" t="str">
        <f>IFERROR(__xludf.DUMMYFUNCTION("if(Y63 &lt;&gt; """", 
  LET( 
    TargetLevel, VLOOKUP(Y63,MS_Labs_Array,3,false),
    MaxLevel, VLOOKUP(Y63,MS_Labs_Array,4,false),
    MaxOrTarget, IF(OR(TargetLevel = """",$AD$1 &lt;&gt; ""Target""), MaxLevel, TargetLevel),
    LabLevel, VLOOKUP(Y63,MS_Labs_Array"&amp;",2,False),
    Levelprogress, LabLevel / MaxOrTarget,
    DVTColumn, MATCH(Y63,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3" s="1251" t="str">
        <f>IFERROR(__xludf.DUMMYFUNCTION("if(Y63 &lt;&gt; """", 
  LET(
    TargetLevel, VLOOKUP(Y63,MS_Labs_Array,3,false),
    LabSpeed, (1 * REGEXEXTRACT($BH$1, ""[\d.-]+"")) * {IF(Y63 =""Labs Speed"", 1+'Master Sheet'!$BK$5, LAB_SPEED_TOTAL())},
    MaxLevel, VLOOKUP(Y63,MS_Labs_Array,4,false),
   "&amp;" MaxOrTarget, IF(OR(TargetLevel = """",$AD$1 &lt;&gt; ""Target""), MaxLevel, TargetLevel),
    LabLevel, VLOOKUP(Y63,MS_Labs_Array,2,False),
    DVTColumn, MATCH(Y63, DVT_Laboratory!$A$1:BO$1, 0),
    xextTime, INDIRECT(""DVT_Laboratory!"" &amp; ADDRESS(LabLevel+3,"&amp;" DVTColumn)) / LabSpeed,
    remainingTime, SUM(INDIRECT(""DVT_Laboratory!"" &amp; ADDRESS(LabLevel+3, DVTColumn) &amp; "":"" &amp; ADDRESS(MaxOrTarget+2, DVTColumn))) / LabSpeed,
  Y63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3" s="1249"/>
      <c r="AC63" s="1249"/>
      <c r="AD63" s="1249"/>
      <c r="AE63" s="1249"/>
      <c r="AF63" s="1250" t="str">
        <f>IFERROR(__xludf.DUMMYFUNCTION("if(AE63 &lt;&gt; """", 
  LET( 
    TargetLevel, VLOOKUP(AE63,MS_Labs_Array,3,false),
    MaxLevel, VLOOKUP(AE63,MS_Labs_Array,4,false),
    MaxOrTarget, IF(OR(TargetLevel = """",$AD$1 &lt;&gt; ""Target""), MaxLevel, TargetLevel),
    LabLevel, VLOOKUP(AE63,MS_Labs_A"&amp;"rray,2,False),
    Levelprogress, LabLevel / MaxOrTarget,
    DVTColumn, MATCH(AE63,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3" s="1251" t="str">
        <f>IFERROR(__xludf.DUMMYFUNCTION("if(AE63 &lt;&gt; """", 
  LET(
    TargetLevel, VLOOKUP(AE63,MS_Labs_Array,3,false),
    LabSpeed, (1 * REGEXEXTRACT($BH$1, ""[\d.-]+"")) * {IF(AE63 =""Labs Speed"", 1+'Master Sheet'!$BK$5, LAB_SPEED_TOTAL())},
    MaxLevel, VLOOKUP(AE63,MS_Labs_Array,4,false),"&amp;"
    MaxOrTarget, IF(OR(TargetLevel = """",$AD$1 &lt;&gt; ""Target""), MaxLevel, TargetLevel),
    LabLevel, VLOOKUP(AE63,MS_Labs_Array,2,False),
    DVTColumn, MATCH(AE63, DVT_Laboratory!$A$1:BO$1, 0),
    xextTime, INDIRECT(""DVT_Laboratory!"" &amp; ADDRESS(LabLe"&amp;"vel+3, DVTColumn)) / LabSpeed,
    remainingTime, SUM(INDIRECT(""DVT_Laboratory!"" &amp; ADDRESS(LabLevel+3, DVTColumn) &amp; "":"" &amp; ADDRESS(MaxOrTarget+2, DVTColumn))) / LabSpeed,
  AE63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3" s="1249"/>
      <c r="AI63" s="1249"/>
      <c r="AJ63" s="1249"/>
      <c r="AK63" s="1249"/>
      <c r="AL63" s="1250" t="str">
        <f>IFERROR(__xludf.DUMMYFUNCTION("if(AK63 &lt;&gt; """", 
  LET( 
    TargetLevel, VLOOKUP(AK63,MS_Labs_Array,3,false),
    MaxLevel, VLOOKUP(AK63,MS_Labs_Array,4,false),
    MaxOrTarget, IF(OR(TargetLevel = """",$AD$1 &lt;&gt; ""Target""), MaxLevel, TargetLevel),
    LabLevel, VLOOKUP(AK63,MS_Labs_A"&amp;"rray,2,False),
    Levelprogress, LabLevel / MaxOrTarget,
    DVTColumn, MATCH(AK63,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3" s="1251" t="str">
        <f>IFERROR(__xludf.DUMMYFUNCTION("if(AK63 &lt;&gt; """", 
  LET(
    TargetLevel, VLOOKUP(AK63,MS_Labs_Array,3,false),
    LabSpeed, (1 * REGEXEXTRACT($BH$1, ""[\d.-]+"")) * {IF(AK63 =""Labs Speed"", 1+'Master Sheet'!$BK$5, LAB_SPEED_TOTAL())},
    MaxLevel, VLOOKUP(AK63,MS_Labs_Array,4,false),"&amp;"
    MaxOrTarget, IF(OR(TargetLevel = """",$AD$1 &lt;&gt; ""Target""), MaxLevel, TargetLevel),
    LabLevel, VLOOKUP(AK63,MS_Labs_Array,2,False),
    DVTColumn, MATCH(AK63, DVT_Laboratory!$A$1:BO$1, 0),
    xextTime, INDIRECT(""DVT_Laboratory!"" &amp; ADDRESS(LabLe"&amp;"vel+3, DVTColumn)) / LabSpeed,
    remainingTime, SUM(INDIRECT(""DVT_Laboratory!"" &amp; ADDRESS(LabLevel+3, DVTColumn) &amp; "":"" &amp; ADDRESS(MaxOrTarget+2, DVTColumn))) / LabSpeed,
  AK63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3" s="1249"/>
      <c r="AO63" s="1249"/>
      <c r="AP63" s="1249"/>
      <c r="AQ63" s="1249"/>
      <c r="AR63" s="1250" t="str">
        <f>IFERROR(__xludf.DUMMYFUNCTION("if(AQ63 &lt;&gt; """", 
  LET( 
    TargetLevel, VLOOKUP(AQ63,MS_Labs_Array,3,false),
    MaxLevel, VLOOKUP(AQ63,MS_Labs_Array,4,false),
    MaxOrTarget, IF(OR(TargetLevel = """",$AD$1 &lt;&gt; ""Target""), MaxLevel, TargetLevel),
    LabLevel, VLOOKUP(AQ63,MS_Labs_A"&amp;"rray,2,False),
    Levelprogress, LabLevel / MaxOrTarget,
    DVTColumn, MATCH(AQ63,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3" s="1251" t="str">
        <f>IFERROR(__xludf.DUMMYFUNCTION("if(AQ63 &lt;&gt; """", 
  LET(
    TargetLevel, VLOOKUP(AQ63,MS_Labs_Array,3,false),
    LabSpeed, (1 * REGEXEXTRACT($BH$1, ""[\d.-]+"")) * {IF(AQ63 =""Labs Speed"", 1+'Master Sheet'!$BK$5, LAB_SPEED_TOTAL())},
    MaxLevel, VLOOKUP(AQ63,MS_Labs_Array,4,false),"&amp;"
    MaxOrTarget, IF(OR(TargetLevel = """",$AD$1 &lt;&gt; ""Target""), MaxLevel, TargetLevel),
    LabLevel, VLOOKUP(AQ63,MS_Labs_Array,2,False),
    DVTColumn, MATCH(AQ63, DVT_Laboratory!$A$1:BO$1, 0),
    xextTime, INDIRECT(""DVT_Laboratory!"" &amp; ADDRESS(LabLe"&amp;"vel+3, DVTColumn)) / LabSpeed,
    remainingTime, SUM(INDIRECT(""DVT_Laboratory!"" &amp; ADDRESS(LabLevel+3, DVTColumn) &amp; "":"" &amp; ADDRESS(MaxOrTarget+2, DVTColumn))) / LabSpeed,
  AQ63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3" s="1249"/>
      <c r="AU63" s="1249"/>
      <c r="AV63" s="1249" t="str">
        <f>IFERROR(__xludf.DUMMYFUNCTION("""COMPUTED_VALUE"""),"Basic's Ultimate")</f>
        <v>Basic's Ultimate</v>
      </c>
      <c r="AW63" s="1249"/>
      <c r="AX63" s="1250" t="str">
        <f>IFERROR(__xludf.DUMMYFUNCTION("if(AW63 &lt;&gt; """", 
  LET( 
    TargetLevel, VLOOKUP(AW63,MS_Labs_Array,3,false),
    MaxLevel, VLOOKUP(AW63,MS_Labs_Array,4,false),
    MaxOrTarget, IF(OR(TargetLevel = """",$AD$1 &lt;&gt; ""Target""), MaxLevel, TargetLevel),
    LabLevel, VLOOKUP(AW63,MS_Labs_A"&amp;"rray,2,False),
    Levelprogress, LabLevel / MaxOrTarget,
    DVTColumn, MATCH(AW63,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3" s="1251" t="str">
        <f>IFERROR(__xludf.DUMMYFUNCTION("if(AW63 &lt;&gt; """", 
  LET(
    TargetLevel, VLOOKUP(AW63,MS_Labs_Array,3,false),
    LabSpeed, (1 * REGEXEXTRACT($BH$1, ""[\d.-]+"")) * {IF(AW63 =""Labs Speed"", 1+'Master Sheet'!$BK$5, LAB_SPEED_TOTAL())},
    MaxLevel, VLOOKUP(AW63,MS_Labs_Array,4,false),"&amp;"
    MaxOrTarget, IF(OR(TargetLevel = """",$AD$1 &lt;&gt; ""Target""), MaxLevel, TargetLevel),
    LabLevel, VLOOKUP(AW63,MS_Labs_Array,2,False),
    DVTColumn, MATCH(AW63, DVT_Laboratory!$A$1:BO$1, 0),
    xextTime, INDIRECT(""DVT_Laboratory!"" &amp; ADDRESS(LabLe"&amp;"vel+3, DVTColumn)) / LabSpeed,
    remainingTime, SUM(INDIRECT(""DVT_Laboratory!"" &amp; ADDRESS(LabLevel+3, DVTColumn) &amp; "":"" &amp; ADDRESS(MaxOrTarget+2, DVTColumn))) / LabSpeed,
  AW63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3" s="1249"/>
      <c r="BA63" s="1249"/>
      <c r="BB63" s="1249"/>
      <c r="BC63" s="1249"/>
      <c r="BD63" s="1250" t="str">
        <f>IFERROR(__xludf.DUMMYFUNCTION("if(BC63 &lt;&gt; """", 
  LET( 
    TargetLevel, VLOOKUP(BC63,MS_Labs_Array,3,false),
    MaxLevel, VLOOKUP(BC63,MS_Labs_Array,4,false),
    MaxOrTarget, IF(OR(TargetLevel = """",$AD$1 &lt;&gt; ""Target""), MaxLevel, TargetLevel),
    LabLevel, VLOOKUP(BC63,MS_Labs_A"&amp;"rray,2,False),
    Levelprogress, LabLevel / MaxOrTarget,
    DVTColumn, MATCH(BC63,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3" s="1251" t="str">
        <f>IFERROR(__xludf.DUMMYFUNCTION("if(BC63 &lt;&gt; """", 
  LET(
    TargetLevel, VLOOKUP(BC63,MS_Labs_Array,3,false),
    LabSpeed, (1 * REGEXEXTRACT($BH$1, ""[\d.-]+"")) * {IF(BC63 =""Labs Speed"", 1+'Master Sheet'!$BK$5, LAB_SPEED_TOTAL())},
    MaxLevel, VLOOKUP(BC63,MS_Labs_Array,4,false),"&amp;"
    MaxOrTarget, IF(OR(TargetLevel = """",$AD$1 &lt;&gt; ""Target""), MaxLevel, TargetLevel),
    LabLevel, VLOOKUP(BC63,MS_Labs_Array,2,False),
    DVTColumn, MATCH(BC63, DVT_Laboratory!$A$1:BO$1, 0),
    xextTime, INDIRECT(""DVT_Laboratory!"" &amp; ADDRESS(LabLe"&amp;"vel+3, DVTColumn)) / LabSpeed,
    remainingTime, SUM(INDIRECT(""DVT_Laboratory!"" &amp; ADDRESS(LabLevel+3, DVTColumn) &amp; "":"" &amp; ADDRESS(MaxOrTarget+2, DVTColumn))) / LabSpeed,
  BC63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3" s="1249"/>
      <c r="BG63" s="1249"/>
      <c r="BH63" s="1260" t="str">
        <f>IFERROR(__xludf.DUMMYFUNCTION("""COMPUTED_VALUE"""),"Second Wind Blast")</f>
        <v>Second Wind Blast</v>
      </c>
      <c r="BI63" s="1252"/>
      <c r="BJ63" s="1253" t="str">
        <f>IFERROR(__xludf.DUMMYFUNCTION("if(BI63 &lt;&gt; """", 
  LET( 
    TargetLevel, VLOOKUP(BI63,MS_Labs_Array,3,false),
    MaxLevel, VLOOKUP(BI63,MS_Labs_Array,4,false),
    MaxOrTarget, IF(OR(TargetLevel = """",$AD$1 &lt;&gt; ""Target""), MaxLevel, TargetLevel),
    LabLevel, VLOOKUP(BI63,MS_Labs_A"&amp;"rray,2,False),
    Levelprogress, IF(LabLevel &gt;= MaxOrTarget, 1, LabLevel / MaxOrTarget),
    DVTColumn, MATCH(BI63,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3" s="1254" t="str">
        <f>IFERROR(__xludf.DUMMYFUNCTION("if(BI63 &lt;&gt; """", 
  LET(
    TargetLevel, VLOOKUP(BI63,MS_Labs_Array,3,false),
    LabSpeed, (1 * REGEXEXTRACT($BH$1, ""[\d.-]+"")) * {IF(BI63 =""Labs Speed"", 1+'Master Sheet'!$BK$5, LAB_SPEED_TOTAL())},
    MaxLevel, VLOOKUP(BI63,MS_Labs_Array,4,false),"&amp;"
    MaxOrTarget, IF(OR(TargetLevel = """",$AD$1 &lt;&gt; ""Target""), MaxLevel, TargetLevel),
    LabLevel, VLOOKUP(BI63,MS_Labs_Array,2,False),
    DVTColumn, MATCH(BI63, DVT_Laboratory!$A$1:BO$1, 0),
    xextTime, INDIRECT(""DVT_Laboratory!"" &amp; ADDRESS(LabLe"&amp;"vel+3, DVTColumn)) / LabSpeed,
    remainingTime, SUM(INDIRECT(""DVT_Laboratory!"" &amp; ADDRESS(LabLevel+3, DVTColumn) &amp; "":"" &amp; ADDRESS(MaxOrTarget+2, DVTColumn))) / LabSpeed,
  BI63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3" s="1252"/>
      <c r="BM63" s="1252" t="str">
        <f>IFERROR(__xludf.DUMMYFUNCTION("""COMPUTED_VALUE"""),"Acts like the nuke card when maxed, great for consistency especially in fleet tiers")</f>
        <v>Acts like the nuke card when maxed, great for consistency especially in fleet tiers</v>
      </c>
      <c r="BN63" s="1222"/>
      <c r="BO63" s="1261"/>
    </row>
    <row r="64" ht="7.5" customHeight="1">
      <c r="A64" s="1222"/>
      <c r="B64" s="1257"/>
      <c r="C64" s="1304" t="s">
        <v>201</v>
      </c>
      <c r="D64" s="1280" t="str">
        <f>VLOOKUP(C64,'Remote Tier List'!A:D, 2, FALSE)</f>
        <v>A</v>
      </c>
      <c r="E64" s="1281" t="str">
        <f>VLOOKUP(C64,'Remote Tier List'!A:D, 3, FALSE)</f>
        <v/>
      </c>
      <c r="F64" s="1284" t="str">
        <f>VLOOKUP(C64,'Remote Tier List'!A:D, 4, FALSE)</f>
        <v>Only research with intention to go for permanent CF</v>
      </c>
      <c r="G64" s="1245" t="b">
        <f>IFERROR(AND(VLOOKUP("Tier 7",'_IDS'!$BZ$3:$DT$23, 2, FALSE) &gt; 90,  IDS_UW_OWN("Chrono Field")), true)</f>
        <v>1</v>
      </c>
      <c r="H64" s="1246" t="str">
        <f t="array" ref="H64:I64">LET(
  Lab, $C64,
  Mode, $AD$1,
  Level, VLOOKUP(Lab, MS_Labs_Array, 2, FALSE),
  Target, VLOOKUP(Lab, MS_Labs_Array, 3, FALSE),
  Max, VLOOKUP(Lab, MS_Labs_Array, 4, FALSE),
  Result,
    IF(
      AND(
        Mode &lt;&gt; "Never",
        Level &gt;= IF(OR(Target = "", Mode = "Max"), Max, Target)
      ),
      "Completed",
      ""
    ),
  HSTACK(
    IF(Result &lt;&gt; "", Result, $D64),
    IF(Result &lt;&gt; "", Result, IF($E64 = "", $D64, $E64))
  )
)</f>
        <v>Completed</v>
      </c>
      <c r="I64" s="1247" t="s">
        <v>551</v>
      </c>
      <c r="J64" s="1248" t="str">
        <f t="shared" si="18"/>
        <v>Only research with intention to go for permanent CF</v>
      </c>
      <c r="K64" s="1229"/>
      <c r="L64" s="1249" t="str">
        <f>IFERROR(__xludf.DUMMYFUNCTION("""COMPUTED_VALUE"""),"")</f>
        <v/>
      </c>
      <c r="M64" s="1249"/>
      <c r="N64" s="1250" t="str">
        <f>IFERROR(__xludf.DUMMYFUNCTION("if(M64 &lt;&gt; """", 
  LET( 
    TargetLevel, VLOOKUP(M64,MS_Labs_Array,3,false),
    MaxLevel, VLOOKUP(M64,MS_Labs_Array,4,false),
    MaxOrTarget, IF(OR(TargetLevel = """",$AD$1 &lt;&gt; ""Target""), MaxLevel, TargetLevel),
    LabLevel, VLOOKUP(M64,MS_Labs_Array"&amp;",2,False),
    Levelprogress, LabLevel / MaxOrTarget,
    DVTColumn, MATCH(M64,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4" s="1251" t="str">
        <f>IFERROR(__xludf.DUMMYFUNCTION("if(M64 &lt;&gt; """", 
  LET(
    TargetLevel, VLOOKUP(M64,MS_Labs_Array,3,false),
    LabSpeed, (1 * REGEXEXTRACT($BH$1, ""[\d.-]+"")) * {IF(M64 =""Labs Speed"", 1+'Master Sheet'!$BK$5, LAB_SPEED_TOTAL())},
    MaxLevel, VLOOKUP(M64,MS_Labs_Array,4,false),
   "&amp;" MaxOrTarget, IF(OR(TargetLevel = """",$AD$1 &lt;&gt; ""Target""), MaxLevel, TargetLevel),
    LabLevel, VLOOKUP(M64,MS_Labs_Array,2,False),
    DVTColumn, MATCH(M64, DVT_Laboratory!$A$1:BO$1, 0),
    xextTime, INDIRECT(""DVT_Laboratory!"" &amp; ADDRESS(LabLevel+3,"&amp;" DVTColumn)) / LabSpeed,
    remainingTime, SUM(INDIRECT(""DVT_Laboratory!"" &amp; ADDRESS(LabLevel+3, DVTColumn) &amp; "":"" &amp; ADDRESS(MaxOrTarget+2, DVTColumn))) / LabSpeed,
  M64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4" s="1249"/>
      <c r="Q64" s="1249" t="str">
        <f>IFERROR(__xludf.DUMMYFUNCTION("""COMPUTED_VALUE"""),"")</f>
        <v/>
      </c>
      <c r="R64" s="1249" t="str">
        <f>IFERROR(__xludf.DUMMYFUNCTION("""COMPUTED_VALUE"""),"")</f>
        <v/>
      </c>
      <c r="S64" s="1249"/>
      <c r="T64" s="1250" t="str">
        <f>IFERROR(__xludf.DUMMYFUNCTION("if(S64 &lt;&gt; """", 
  LET( 
    TargetLevel, VLOOKUP(S64,MS_Labs_Array,3,false),
    MaxLevel, VLOOKUP(S64,MS_Labs_Array,4,false),
    MaxOrTarget, IF(OR(TargetLevel = """",$AD$1 &lt;&gt; ""Target""), MaxLevel, TargetLevel),
    LabLevel, VLOOKUP(S64,MS_Labs_Array"&amp;",2,False),
    Levelprogress, LabLevel / MaxOrTarget,
    DVTColumn, MATCH(S64,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4" s="1251" t="str">
        <f>IFERROR(__xludf.DUMMYFUNCTION("if(S64 &lt;&gt; """", 
  LET(
    TargetLevel, VLOOKUP(S64,MS_Labs_Array,3,false),
    LabSpeed, (1 * REGEXEXTRACT($BH$1, ""[\d.-]+"")) * {IF(S64 =""Labs Speed"", 1+'Master Sheet'!$BK$5, LAB_SPEED_TOTAL())},
    MaxLevel, VLOOKUP(S64,MS_Labs_Array,4,false),
   "&amp;" MaxOrTarget, IF(OR(TargetLevel = """",$AD$1 &lt;&gt; ""Target""), MaxLevel, TargetLevel),
    LabLevel, VLOOKUP(S64,MS_Labs_Array,2,False),
    DVTColumn, MATCH(S64, DVT_Laboratory!$A$1:BO$1, 0),
    xextTime, INDIRECT(""DVT_Laboratory!"" &amp; ADDRESS(LabLevel+3,"&amp;" DVTColumn)) / LabSpeed,
    remainingTime, SUM(INDIRECT(""DVT_Laboratory!"" &amp; ADDRESS(LabLevel+3, DVTColumn) &amp; "":"" &amp; ADDRESS(MaxOrTarget+2, DVTColumn))) / LabSpeed,
  S64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4" s="1249"/>
      <c r="W64" s="1249" t="str">
        <f>IFERROR(__xludf.DUMMYFUNCTION("""COMPUTED_VALUE"""),"")</f>
        <v/>
      </c>
      <c r="X64" s="1249" t="str">
        <f>IFERROR(__xludf.DUMMYFUNCTION("""COMPUTED_VALUE"""),"")</f>
        <v/>
      </c>
      <c r="Y64" s="1249"/>
      <c r="Z64" s="1250" t="str">
        <f>IFERROR(__xludf.DUMMYFUNCTION("if(Y64 &lt;&gt; """", 
  LET( 
    TargetLevel, VLOOKUP(Y64,MS_Labs_Array,3,false),
    MaxLevel, VLOOKUP(Y64,MS_Labs_Array,4,false),
    MaxOrTarget, IF(OR(TargetLevel = """",$AD$1 &lt;&gt; ""Target""), MaxLevel, TargetLevel),
    LabLevel, VLOOKUP(Y64,MS_Labs_Array"&amp;",2,False),
    Levelprogress, LabLevel / MaxOrTarget,
    DVTColumn, MATCH(Y64,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4" s="1251" t="str">
        <f>IFERROR(__xludf.DUMMYFUNCTION("if(Y64 &lt;&gt; """", 
  LET(
    TargetLevel, VLOOKUP(Y64,MS_Labs_Array,3,false),
    LabSpeed, (1 * REGEXEXTRACT($BH$1, ""[\d.-]+"")) * {IF(Y64 =""Labs Speed"", 1+'Master Sheet'!$BK$5, LAB_SPEED_TOTAL())},
    MaxLevel, VLOOKUP(Y64,MS_Labs_Array,4,false),
   "&amp;" MaxOrTarget, IF(OR(TargetLevel = """",$AD$1 &lt;&gt; ""Target""), MaxLevel, TargetLevel),
    LabLevel, VLOOKUP(Y64,MS_Labs_Array,2,False),
    DVTColumn, MATCH(Y64, DVT_Laboratory!$A$1:BO$1, 0),
    xextTime, INDIRECT(""DVT_Laboratory!"" &amp; ADDRESS(LabLevel+3,"&amp;" DVTColumn)) / LabSpeed,
    remainingTime, SUM(INDIRECT(""DVT_Laboratory!"" &amp; ADDRESS(LabLevel+3, DVTColumn) &amp; "":"" &amp; ADDRESS(MaxOrTarget+2, DVTColumn))) / LabSpeed,
  Y64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4" s="1249"/>
      <c r="AC64" s="1249" t="str">
        <f>IFERROR(__xludf.DUMMYFUNCTION("""COMPUTED_VALUE"""),"")</f>
        <v/>
      </c>
      <c r="AD64" s="1249" t="str">
        <f>IFERROR(__xludf.DUMMYFUNCTION("""COMPUTED_VALUE"""),"")</f>
        <v/>
      </c>
      <c r="AE64" s="1249"/>
      <c r="AF64" s="1250" t="str">
        <f>IFERROR(__xludf.DUMMYFUNCTION("if(AE64 &lt;&gt; """", 
  LET( 
    TargetLevel, VLOOKUP(AE64,MS_Labs_Array,3,false),
    MaxLevel, VLOOKUP(AE64,MS_Labs_Array,4,false),
    MaxOrTarget, IF(OR(TargetLevel = """",$AD$1 &lt;&gt; ""Target""), MaxLevel, TargetLevel),
    LabLevel, VLOOKUP(AE64,MS_Labs_A"&amp;"rray,2,False),
    Levelprogress, LabLevel / MaxOrTarget,
    DVTColumn, MATCH(AE64,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4" s="1251" t="str">
        <f>IFERROR(__xludf.DUMMYFUNCTION("if(AE64 &lt;&gt; """", 
  LET(
    TargetLevel, VLOOKUP(AE64,MS_Labs_Array,3,false),
    LabSpeed, (1 * REGEXEXTRACT($BH$1, ""[\d.-]+"")) * {IF(AE64 =""Labs Speed"", 1+'Master Sheet'!$BK$5, LAB_SPEED_TOTAL())},
    MaxLevel, VLOOKUP(AE64,MS_Labs_Array,4,false),"&amp;"
    MaxOrTarget, IF(OR(TargetLevel = """",$AD$1 &lt;&gt; ""Target""), MaxLevel, TargetLevel),
    LabLevel, VLOOKUP(AE64,MS_Labs_Array,2,False),
    DVTColumn, MATCH(AE64, DVT_Laboratory!$A$1:BO$1, 0),
    xextTime, INDIRECT(""DVT_Laboratory!"" &amp; ADDRESS(LabLe"&amp;"vel+3, DVTColumn)) / LabSpeed,
    remainingTime, SUM(INDIRECT(""DVT_Laboratory!"" &amp; ADDRESS(LabLevel+3, DVTColumn) &amp; "":"" &amp; ADDRESS(MaxOrTarget+2, DVTColumn))) / LabSpeed,
  AE64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4" s="1249"/>
      <c r="AI64" s="1249" t="str">
        <f>IFERROR(__xludf.DUMMYFUNCTION("""COMPUTED_VALUE"""),"")</f>
        <v/>
      </c>
      <c r="AJ64" s="1249" t="str">
        <f>IFERROR(__xludf.DUMMYFUNCTION("""COMPUTED_VALUE"""),"")</f>
        <v/>
      </c>
      <c r="AK64" s="1249"/>
      <c r="AL64" s="1250" t="str">
        <f>IFERROR(__xludf.DUMMYFUNCTION("if(AK64 &lt;&gt; """", 
  LET( 
    TargetLevel, VLOOKUP(AK64,MS_Labs_Array,3,false),
    MaxLevel, VLOOKUP(AK64,MS_Labs_Array,4,false),
    MaxOrTarget, IF(OR(TargetLevel = """",$AD$1 &lt;&gt; ""Target""), MaxLevel, TargetLevel),
    LabLevel, VLOOKUP(AK64,MS_Labs_A"&amp;"rray,2,False),
    Levelprogress, LabLevel / MaxOrTarget,
    DVTColumn, MATCH(AK64,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4" s="1251" t="str">
        <f>IFERROR(__xludf.DUMMYFUNCTION("if(AK64 &lt;&gt; """", 
  LET(
    TargetLevel, VLOOKUP(AK64,MS_Labs_Array,3,false),
    LabSpeed, (1 * REGEXEXTRACT($BH$1, ""[\d.-]+"")) * {IF(AK64 =""Labs Speed"", 1+'Master Sheet'!$BK$5, LAB_SPEED_TOTAL())},
    MaxLevel, VLOOKUP(AK64,MS_Labs_Array,4,false),"&amp;"
    MaxOrTarget, IF(OR(TargetLevel = """",$AD$1 &lt;&gt; ""Target""), MaxLevel, TargetLevel),
    LabLevel, VLOOKUP(AK64,MS_Labs_Array,2,False),
    DVTColumn, MATCH(AK64, DVT_Laboratory!$A$1:BO$1, 0),
    xextTime, INDIRECT(""DVT_Laboratory!"" &amp; ADDRESS(LabLe"&amp;"vel+3, DVTColumn)) / LabSpeed,
    remainingTime, SUM(INDIRECT(""DVT_Laboratory!"" &amp; ADDRESS(LabLevel+3, DVTColumn) &amp; "":"" &amp; ADDRESS(MaxOrTarget+2, DVTColumn))) / LabSpeed,
  AK64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4" s="1249"/>
      <c r="AO64" s="1249" t="str">
        <f>IFERROR(__xludf.DUMMYFUNCTION("""COMPUTED_VALUE"""),"")</f>
        <v/>
      </c>
      <c r="AP64" s="1249" t="str">
        <f>IFERROR(__xludf.DUMMYFUNCTION("""COMPUTED_VALUE"""),"")</f>
        <v/>
      </c>
      <c r="AQ64" s="1249"/>
      <c r="AR64" s="1250" t="str">
        <f>IFERROR(__xludf.DUMMYFUNCTION("if(AQ64 &lt;&gt; """", 
  LET( 
    TargetLevel, VLOOKUP(AQ64,MS_Labs_Array,3,false),
    MaxLevel, VLOOKUP(AQ64,MS_Labs_Array,4,false),
    MaxOrTarget, IF(OR(TargetLevel = """",$AD$1 &lt;&gt; ""Target""), MaxLevel, TargetLevel),
    LabLevel, VLOOKUP(AQ64,MS_Labs_A"&amp;"rray,2,False),
    Levelprogress, LabLevel / MaxOrTarget,
    DVTColumn, MATCH(AQ64,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4" s="1251" t="str">
        <f>IFERROR(__xludf.DUMMYFUNCTION("if(AQ64 &lt;&gt; """", 
  LET(
    TargetLevel, VLOOKUP(AQ64,MS_Labs_Array,3,false),
    LabSpeed, (1 * REGEXEXTRACT($BH$1, ""[\d.-]+"")) * {IF(AQ64 =""Labs Speed"", 1+'Master Sheet'!$BK$5, LAB_SPEED_TOTAL())},
    MaxLevel, VLOOKUP(AQ64,MS_Labs_Array,4,false),"&amp;"
    MaxOrTarget, IF(OR(TargetLevel = """",$AD$1 &lt;&gt; ""Target""), MaxLevel, TargetLevel),
    LabLevel, VLOOKUP(AQ64,MS_Labs_Array,2,False),
    DVTColumn, MATCH(AQ64, DVT_Laboratory!$A$1:BO$1, 0),
    xextTime, INDIRECT(""DVT_Laboratory!"" &amp; ADDRESS(LabLe"&amp;"vel+3, DVTColumn)) / LabSpeed,
    remainingTime, SUM(INDIRECT(""DVT_Laboratory!"" &amp; ADDRESS(LabLevel+3, DVTColumn) &amp; "":"" &amp; ADDRESS(MaxOrTarget+2, DVTColumn))) / LabSpeed,
  AQ64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4" s="1249"/>
      <c r="AU64" s="1249" t="str">
        <f>IFERROR(__xludf.DUMMYFUNCTION("""COMPUTED_VALUE"""),"")</f>
        <v/>
      </c>
      <c r="AV64" s="1249" t="str">
        <f>IFERROR(__xludf.DUMMYFUNCTION("""COMPUTED_VALUE"""),"")</f>
        <v/>
      </c>
      <c r="AW64" s="1249"/>
      <c r="AX64" s="1250" t="str">
        <f>IFERROR(__xludf.DUMMYFUNCTION("if(AW64 &lt;&gt; """", 
  LET( 
    TargetLevel, VLOOKUP(AW64,MS_Labs_Array,3,false),
    MaxLevel, VLOOKUP(AW64,MS_Labs_Array,4,false),
    MaxOrTarget, IF(OR(TargetLevel = """",$AD$1 &lt;&gt; ""Target""), MaxLevel, TargetLevel),
    LabLevel, VLOOKUP(AW64,MS_Labs_A"&amp;"rray,2,False),
    Levelprogress, LabLevel / MaxOrTarget,
    DVTColumn, MATCH(AW64,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4" s="1251" t="str">
        <f>IFERROR(__xludf.DUMMYFUNCTION("if(AW64 &lt;&gt; """", 
  LET(
    TargetLevel, VLOOKUP(AW64,MS_Labs_Array,3,false),
    LabSpeed, (1 * REGEXEXTRACT($BH$1, ""[\d.-]+"")) * {IF(AW64 =""Labs Speed"", 1+'Master Sheet'!$BK$5, LAB_SPEED_TOTAL())},
    MaxLevel, VLOOKUP(AW64,MS_Labs_Array,4,false),"&amp;"
    MaxOrTarget, IF(OR(TargetLevel = """",$AD$1 &lt;&gt; ""Target""), MaxLevel, TargetLevel),
    LabLevel, VLOOKUP(AW64,MS_Labs_Array,2,False),
    DVTColumn, MATCH(AW64, DVT_Laboratory!$A$1:BO$1, 0),
    xextTime, INDIRECT(""DVT_Laboratory!"" &amp; ADDRESS(LabLe"&amp;"vel+3, DVTColumn)) / LabSpeed,
    remainingTime, SUM(INDIRECT(""DVT_Laboratory!"" &amp; ADDRESS(LabLevel+3, DVTColumn) &amp; "":"" &amp; ADDRESS(MaxOrTarget+2, DVTColumn))) / LabSpeed,
  AW64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4" s="1249"/>
      <c r="BA64" s="1249" t="str">
        <f>IFERROR(__xludf.DUMMYFUNCTION("""COMPUTED_VALUE"""),"Basic's Ultimate
  Lab Level:      0 / 10 (Max)
  Next Level:    1d 17h 10m
  Max Level:     48d  0h 59m")</f>
        <v>Basic's Ultimate
  Lab Level:      0 / 10 (Max)
  Next Level:    1d 17h 10m
  Max Level:     48d  0h 59m</v>
      </c>
      <c r="BB64" s="1249" t="str">
        <f>IFERROR(__xludf.DUMMYFUNCTION("""COMPUTED_VALUE"""),"")</f>
        <v/>
      </c>
      <c r="BC64" s="1249"/>
      <c r="BD64" s="1250" t="str">
        <f>IFERROR(__xludf.DUMMYFUNCTION("if(BC64 &lt;&gt; """", 
  LET( 
    TargetLevel, VLOOKUP(BC64,MS_Labs_Array,3,false),
    MaxLevel, VLOOKUP(BC64,MS_Labs_Array,4,false),
    MaxOrTarget, IF(OR(TargetLevel = """",$AD$1 &lt;&gt; ""Target""), MaxLevel, TargetLevel),
    LabLevel, VLOOKUP(BC64,MS_Labs_A"&amp;"rray,2,False),
    Levelprogress, LabLevel / MaxOrTarget,
    DVTColumn, MATCH(BC64,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4" s="1251" t="str">
        <f>IFERROR(__xludf.DUMMYFUNCTION("if(BC64 &lt;&gt; """", 
  LET(
    TargetLevel, VLOOKUP(BC64,MS_Labs_Array,3,false),
    LabSpeed, (1 * REGEXEXTRACT($BH$1, ""[\d.-]+"")) * {IF(BC64 =""Labs Speed"", 1+'Master Sheet'!$BK$5, LAB_SPEED_TOTAL())},
    MaxLevel, VLOOKUP(BC64,MS_Labs_Array,4,false),"&amp;"
    MaxOrTarget, IF(OR(TargetLevel = """",$AD$1 &lt;&gt; ""Target""), MaxLevel, TargetLevel),
    LabLevel, VLOOKUP(BC64,MS_Labs_Array,2,False),
    DVTColumn, MATCH(BC64, DVT_Laboratory!$A$1:BO$1, 0),
    xextTime, INDIRECT(""DVT_Laboratory!"" &amp; ADDRESS(LabLe"&amp;"vel+3, DVTColumn)) / LabSpeed,
    remainingTime, SUM(INDIRECT(""DVT_Laboratory!"" &amp; ADDRESS(LabLevel+3, DVTColumn) &amp; "":"" &amp; ADDRESS(MaxOrTarget+2, DVTColumn))) / LabSpeed,
  BC64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4" s="1249"/>
      <c r="BG64" s="1249" t="str">
        <f>IFERROR(__xludf.DUMMYFUNCTION("""COMPUTED_VALUE"""),"")</f>
        <v/>
      </c>
      <c r="BH64" s="1260" t="str">
        <f>IFERROR(__xludf.DUMMYFUNCTION("""COMPUTED_VALUE"""),"")</f>
        <v/>
      </c>
      <c r="BI64" s="1252"/>
      <c r="BJ64" s="1253" t="str">
        <f>IFERROR(__xludf.DUMMYFUNCTION("if(BI64 &lt;&gt; """", 
  LET( 
    TargetLevel, VLOOKUP(BI64,MS_Labs_Array,3,false),
    MaxLevel, VLOOKUP(BI64,MS_Labs_Array,4,false),
    MaxOrTarget, IF(OR(TargetLevel = """",$AD$1 &lt;&gt; ""Target""), MaxLevel, TargetLevel),
    LabLevel, VLOOKUP(BI64,MS_Labs_A"&amp;"rray,2,False),
    Levelprogress, IF(LabLevel &gt;= MaxOrTarget, 1, LabLevel / MaxOrTarget),
    DVTColumn, MATCH(BI64,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4" s="1254" t="str">
        <f>IFERROR(__xludf.DUMMYFUNCTION("if(BI64 &lt;&gt; """", 
  LET(
    TargetLevel, VLOOKUP(BI64,MS_Labs_Array,3,false),
    LabSpeed, (1 * REGEXEXTRACT($BH$1, ""[\d.-]+"")) * {IF(BI64 =""Labs Speed"", 1+'Master Sheet'!$BK$5, LAB_SPEED_TOTAL())},
    MaxLevel, VLOOKUP(BI64,MS_Labs_Array,4,false),"&amp;"
    MaxOrTarget, IF(OR(TargetLevel = """",$AD$1 &lt;&gt; ""Target""), MaxLevel, TargetLevel),
    LabLevel, VLOOKUP(BI64,MS_Labs_Array,2,False),
    DVTColumn, MATCH(BI64, DVT_Laboratory!$A$1:BO$1, 0),
    xextTime, INDIRECT(""DVT_Laboratory!"" &amp; ADDRESS(LabLe"&amp;"vel+3, DVTColumn)) / LabSpeed,
    remainingTime, SUM(INDIRECT(""DVT_Laboratory!"" &amp; ADDRESS(LabLevel+3, DVTColumn) &amp; "":"" &amp; ADDRESS(MaxOrTarget+2, DVTColumn))) / LabSpeed,
  BI64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4" s="1252"/>
      <c r="BM64" s="1252" t="str">
        <f>IFERROR(__xludf.DUMMYFUNCTION("""COMPUTED_VALUE"""),"Second Wind Blast
  Lab Level:      4 / 4 (Max)
  Next Level:    
  Max Level:     0d  5h 17m")</f>
        <v>Second Wind Blast
  Lab Level:      4 / 4 (Max)
  Next Level:    
  Max Level:     0d  5h 17m</v>
      </c>
      <c r="BN64" s="1222"/>
      <c r="BO64" s="1261"/>
    </row>
    <row r="65">
      <c r="A65" s="1222"/>
      <c r="B65" s="1257"/>
      <c r="C65" s="1304" t="s">
        <v>219</v>
      </c>
      <c r="D65" s="1280" t="str">
        <f>VLOOKUP(C65,'Remote Tier List'!A:D, 2, FALSE)</f>
        <v>C</v>
      </c>
      <c r="E65" s="1281" t="str">
        <f>VLOOKUP(C65,'Remote Tier List'!A:D, 3, FALSE)</f>
        <v/>
      </c>
      <c r="F65" s="1258" t="str">
        <f>VLOOKUP(C65,'Remote Tier List'!A:D, 4, FALSE)</f>
        <v>Very long for any benefit past a certan point</v>
      </c>
      <c r="G65" s="1245" t="b">
        <f>IFERROR(AND(VLOOKUP("Tier 7",'_IDS'!$BZ$3:$DT$23, 2, FALSE) &gt; 90,  IDS_UW_OWN("Chrono Field")), true)</f>
        <v>1</v>
      </c>
      <c r="H65" s="1246" t="str">
        <f t="array" ref="H65:I65">LET(
  Lab, $C65,
  Mode, $AD$1,
  Level, VLOOKUP(Lab, MS_Labs_Array, 2, FALSE),
  Target, VLOOKUP(Lab, MS_Labs_Array, 3, FALSE),
  Max, VLOOKUP(Lab, MS_Labs_Array, 4, FALSE),
  Result,
    IF(
      AND(
        Mode &lt;&gt; "Never",
        Level &gt;= IF(OR(Target = "", Mode = "Max"), Max, Target)
      ),
      "Completed",
      ""
    ),
  HSTACK(
    IF(Result &lt;&gt; "", Result, $D65),
    IF(Result &lt;&gt; "", Result, IF($E65 = "", $D65, $E65))
  )
)</f>
        <v>Completed</v>
      </c>
      <c r="I65" s="1247" t="s">
        <v>551</v>
      </c>
      <c r="J65" s="1248" t="str">
        <f t="shared" si="18"/>
        <v>Very long for any benefit past a certan point</v>
      </c>
      <c r="K65" s="1229"/>
      <c r="L65" s="1249"/>
      <c r="M65" s="1249"/>
      <c r="N65" s="1250" t="str">
        <f>IFERROR(__xludf.DUMMYFUNCTION("if(M65 &lt;&gt; """", 
  LET( 
    TargetLevel, VLOOKUP(M65,MS_Labs_Array,3,false),
    MaxLevel, VLOOKUP(M65,MS_Labs_Array,4,false),
    MaxOrTarget, IF(OR(TargetLevel = """",$AD$1 &lt;&gt; ""Target""), MaxLevel, TargetLevel),
    LabLevel, VLOOKUP(M65,MS_Labs_Array"&amp;",2,False),
    Levelprogress, LabLevel / MaxOrTarget,
    DVTColumn, MATCH(M65,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5" s="1251" t="str">
        <f>IFERROR(__xludf.DUMMYFUNCTION("if(M65 &lt;&gt; """", 
  LET(
    TargetLevel, VLOOKUP(M65,MS_Labs_Array,3,false),
    LabSpeed, (1 * REGEXEXTRACT($BH$1, ""[\d.-]+"")) * {IF(M65 =""Labs Speed"", 1+'Master Sheet'!$BK$5, LAB_SPEED_TOTAL())},
    MaxLevel, VLOOKUP(M65,MS_Labs_Array,4,false),
   "&amp;" MaxOrTarget, IF(OR(TargetLevel = """",$AD$1 &lt;&gt; ""Target""), MaxLevel, TargetLevel),
    LabLevel, VLOOKUP(M65,MS_Labs_Array,2,False),
    DVTColumn, MATCH(M65, DVT_Laboratory!$A$1:BO$1, 0),
    xextTime, INDIRECT(""DVT_Laboratory!"" &amp; ADDRESS(LabLevel+3,"&amp;" DVTColumn)) / LabSpeed,
    remainingTime, SUM(INDIRECT(""DVT_Laboratory!"" &amp; ADDRESS(LabLevel+3, DVTColumn) &amp; "":"" &amp; ADDRESS(MaxOrTarget+2, DVTColumn))) / LabSpeed,
  M65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5" s="1249"/>
      <c r="Q65" s="1249"/>
      <c r="R65" s="1249"/>
      <c r="S65" s="1249"/>
      <c r="T65" s="1250" t="str">
        <f>IFERROR(__xludf.DUMMYFUNCTION("if(S65 &lt;&gt; """", 
  LET( 
    TargetLevel, VLOOKUP(S65,MS_Labs_Array,3,false),
    MaxLevel, VLOOKUP(S65,MS_Labs_Array,4,false),
    MaxOrTarget, IF(OR(TargetLevel = """",$AD$1 &lt;&gt; ""Target""), MaxLevel, TargetLevel),
    LabLevel, VLOOKUP(S65,MS_Labs_Array"&amp;",2,False),
    Levelprogress, LabLevel / MaxOrTarget,
    DVTColumn, MATCH(S65,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5" s="1251" t="str">
        <f>IFERROR(__xludf.DUMMYFUNCTION("if(S65 &lt;&gt; """", 
  LET(
    TargetLevel, VLOOKUP(S65,MS_Labs_Array,3,false),
    LabSpeed, (1 * REGEXEXTRACT($BH$1, ""[\d.-]+"")) * {IF(S65 =""Labs Speed"", 1+'Master Sheet'!$BK$5, LAB_SPEED_TOTAL())},
    MaxLevel, VLOOKUP(S65,MS_Labs_Array,4,false),
   "&amp;" MaxOrTarget, IF(OR(TargetLevel = """",$AD$1 &lt;&gt; ""Target""), MaxLevel, TargetLevel),
    LabLevel, VLOOKUP(S65,MS_Labs_Array,2,False),
    DVTColumn, MATCH(S65, DVT_Laboratory!$A$1:BO$1, 0),
    xextTime, INDIRECT(""DVT_Laboratory!"" &amp; ADDRESS(LabLevel+3,"&amp;" DVTColumn)) / LabSpeed,
    remainingTime, SUM(INDIRECT(""DVT_Laboratory!"" &amp; ADDRESS(LabLevel+3, DVTColumn) &amp; "":"" &amp; ADDRESS(MaxOrTarget+2, DVTColumn))) / LabSpeed,
  S65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5" s="1249"/>
      <c r="W65" s="1249"/>
      <c r="X65" s="1249"/>
      <c r="Y65" s="1249"/>
      <c r="Z65" s="1250" t="str">
        <f>IFERROR(__xludf.DUMMYFUNCTION("if(Y65 &lt;&gt; """", 
  LET( 
    TargetLevel, VLOOKUP(Y65,MS_Labs_Array,3,false),
    MaxLevel, VLOOKUP(Y65,MS_Labs_Array,4,false),
    MaxOrTarget, IF(OR(TargetLevel = """",$AD$1 &lt;&gt; ""Target""), MaxLevel, TargetLevel),
    LabLevel, VLOOKUP(Y65,MS_Labs_Array"&amp;",2,False),
    Levelprogress, LabLevel / MaxOrTarget,
    DVTColumn, MATCH(Y65,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5" s="1251" t="str">
        <f>IFERROR(__xludf.DUMMYFUNCTION("if(Y65 &lt;&gt; """", 
  LET(
    TargetLevel, VLOOKUP(Y65,MS_Labs_Array,3,false),
    LabSpeed, (1 * REGEXEXTRACT($BH$1, ""[\d.-]+"")) * {IF(Y65 =""Labs Speed"", 1+'Master Sheet'!$BK$5, LAB_SPEED_TOTAL())},
    MaxLevel, VLOOKUP(Y65,MS_Labs_Array,4,false),
   "&amp;" MaxOrTarget, IF(OR(TargetLevel = """",$AD$1 &lt;&gt; ""Target""), MaxLevel, TargetLevel),
    LabLevel, VLOOKUP(Y65,MS_Labs_Array,2,False),
    DVTColumn, MATCH(Y65, DVT_Laboratory!$A$1:BO$1, 0),
    xextTime, INDIRECT(""DVT_Laboratory!"" &amp; ADDRESS(LabLevel+3,"&amp;" DVTColumn)) / LabSpeed,
    remainingTime, SUM(INDIRECT(""DVT_Laboratory!"" &amp; ADDRESS(LabLevel+3, DVTColumn) &amp; "":"" &amp; ADDRESS(MaxOrTarget+2, DVTColumn))) / LabSpeed,
  Y65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5" s="1249"/>
      <c r="AC65" s="1249"/>
      <c r="AD65" s="1249"/>
      <c r="AE65" s="1249"/>
      <c r="AF65" s="1250" t="str">
        <f>IFERROR(__xludf.DUMMYFUNCTION("if(AE65 &lt;&gt; """", 
  LET( 
    TargetLevel, VLOOKUP(AE65,MS_Labs_Array,3,false),
    MaxLevel, VLOOKUP(AE65,MS_Labs_Array,4,false),
    MaxOrTarget, IF(OR(TargetLevel = """",$AD$1 &lt;&gt; ""Target""), MaxLevel, TargetLevel),
    LabLevel, VLOOKUP(AE65,MS_Labs_A"&amp;"rray,2,False),
    Levelprogress, LabLevel / MaxOrTarget,
    DVTColumn, MATCH(AE65,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5" s="1251" t="str">
        <f>IFERROR(__xludf.DUMMYFUNCTION("if(AE65 &lt;&gt; """", 
  LET(
    TargetLevel, VLOOKUP(AE65,MS_Labs_Array,3,false),
    LabSpeed, (1 * REGEXEXTRACT($BH$1, ""[\d.-]+"")) * {IF(AE65 =""Labs Speed"", 1+'Master Sheet'!$BK$5, LAB_SPEED_TOTAL())},
    MaxLevel, VLOOKUP(AE65,MS_Labs_Array,4,false),"&amp;"
    MaxOrTarget, IF(OR(TargetLevel = """",$AD$1 &lt;&gt; ""Target""), MaxLevel, TargetLevel),
    LabLevel, VLOOKUP(AE65,MS_Labs_Array,2,False),
    DVTColumn, MATCH(AE65, DVT_Laboratory!$A$1:BO$1, 0),
    xextTime, INDIRECT(""DVT_Laboratory!"" &amp; ADDRESS(LabLe"&amp;"vel+3, DVTColumn)) / LabSpeed,
    remainingTime, SUM(INDIRECT(""DVT_Laboratory!"" &amp; ADDRESS(LabLevel+3, DVTColumn) &amp; "":"" &amp; ADDRESS(MaxOrTarget+2, DVTColumn))) / LabSpeed,
  AE65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5" s="1249"/>
      <c r="AI65" s="1249"/>
      <c r="AJ65" s="1249"/>
      <c r="AK65" s="1249"/>
      <c r="AL65" s="1250" t="str">
        <f>IFERROR(__xludf.DUMMYFUNCTION("if(AK65 &lt;&gt; """", 
  LET( 
    TargetLevel, VLOOKUP(AK65,MS_Labs_Array,3,false),
    MaxLevel, VLOOKUP(AK65,MS_Labs_Array,4,false),
    MaxOrTarget, IF(OR(TargetLevel = """",$AD$1 &lt;&gt; ""Target""), MaxLevel, TargetLevel),
    LabLevel, VLOOKUP(AK65,MS_Labs_A"&amp;"rray,2,False),
    Levelprogress, LabLevel / MaxOrTarget,
    DVTColumn, MATCH(AK65,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5" s="1251" t="str">
        <f>IFERROR(__xludf.DUMMYFUNCTION("if(AK65 &lt;&gt; """", 
  LET(
    TargetLevel, VLOOKUP(AK65,MS_Labs_Array,3,false),
    LabSpeed, (1 * REGEXEXTRACT($BH$1, ""[\d.-]+"")) * {IF(AK65 =""Labs Speed"", 1+'Master Sheet'!$BK$5, LAB_SPEED_TOTAL())},
    MaxLevel, VLOOKUP(AK65,MS_Labs_Array,4,false),"&amp;"
    MaxOrTarget, IF(OR(TargetLevel = """",$AD$1 &lt;&gt; ""Target""), MaxLevel, TargetLevel),
    LabLevel, VLOOKUP(AK65,MS_Labs_Array,2,False),
    DVTColumn, MATCH(AK65, DVT_Laboratory!$A$1:BO$1, 0),
    xextTime, INDIRECT(""DVT_Laboratory!"" &amp; ADDRESS(LabLe"&amp;"vel+3, DVTColumn)) / LabSpeed,
    remainingTime, SUM(INDIRECT(""DVT_Laboratory!"" &amp; ADDRESS(LabLevel+3, DVTColumn) &amp; "":"" &amp; ADDRESS(MaxOrTarget+2, DVTColumn))) / LabSpeed,
  AK65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5" s="1249"/>
      <c r="AO65" s="1249"/>
      <c r="AP65" s="1249"/>
      <c r="AQ65" s="1249"/>
      <c r="AR65" s="1250" t="str">
        <f>IFERROR(__xludf.DUMMYFUNCTION("if(AQ65 &lt;&gt; """", 
  LET( 
    TargetLevel, VLOOKUP(AQ65,MS_Labs_Array,3,false),
    MaxLevel, VLOOKUP(AQ65,MS_Labs_Array,4,false),
    MaxOrTarget, IF(OR(TargetLevel = """",$AD$1 &lt;&gt; ""Target""), MaxLevel, TargetLevel),
    LabLevel, VLOOKUP(AQ65,MS_Labs_A"&amp;"rray,2,False),
    Levelprogress, LabLevel / MaxOrTarget,
    DVTColumn, MATCH(AQ65,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5" s="1251" t="str">
        <f>IFERROR(__xludf.DUMMYFUNCTION("if(AQ65 &lt;&gt; """", 
  LET(
    TargetLevel, VLOOKUP(AQ65,MS_Labs_Array,3,false),
    LabSpeed, (1 * REGEXEXTRACT($BH$1, ""[\d.-]+"")) * {IF(AQ65 =""Labs Speed"", 1+'Master Sheet'!$BK$5, LAB_SPEED_TOTAL())},
    MaxLevel, VLOOKUP(AQ65,MS_Labs_Array,4,false),"&amp;"
    MaxOrTarget, IF(OR(TargetLevel = """",$AD$1 &lt;&gt; ""Target""), MaxLevel, TargetLevel),
    LabLevel, VLOOKUP(AQ65,MS_Labs_Array,2,False),
    DVTColumn, MATCH(AQ65, DVT_Laboratory!$A$1:BO$1, 0),
    xextTime, INDIRECT(""DVT_Laboratory!"" &amp; ADDRESS(LabLe"&amp;"vel+3, DVTColumn)) / LabSpeed,
    remainingTime, SUM(INDIRECT(""DVT_Laboratory!"" &amp; ADDRESS(LabLevel+3, DVTColumn) &amp; "":"" &amp; ADDRESS(MaxOrTarget+2, DVTColumn))) / LabSpeed,
  AQ65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5" s="1249"/>
      <c r="AU65" s="1249"/>
      <c r="AV65" s="1249" t="str">
        <f>IFERROR(__xludf.DUMMYFUNCTION("""COMPUTED_VALUE"""),"Ultimate Weapon Durations")</f>
        <v>Ultimate Weapon Durations</v>
      </c>
      <c r="AW65" s="1249"/>
      <c r="AX65" s="1250" t="str">
        <f>IFERROR(__xludf.DUMMYFUNCTION("if(AW65 &lt;&gt; """", 
  LET( 
    TargetLevel, VLOOKUP(AW65,MS_Labs_Array,3,false),
    MaxLevel, VLOOKUP(AW65,MS_Labs_Array,4,false),
    MaxOrTarget, IF(OR(TargetLevel = """",$AD$1 &lt;&gt; ""Target""), MaxLevel, TargetLevel),
    LabLevel, VLOOKUP(AW65,MS_Labs_A"&amp;"rray,2,False),
    Levelprogress, LabLevel / MaxOrTarget,
    DVTColumn, MATCH(AW65,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5" s="1251" t="str">
        <f>IFERROR(__xludf.DUMMYFUNCTION("if(AW65 &lt;&gt; """", 
  LET(
    TargetLevel, VLOOKUP(AW65,MS_Labs_Array,3,false),
    LabSpeed, (1 * REGEXEXTRACT($BH$1, ""[\d.-]+"")) * {IF(AW65 =""Labs Speed"", 1+'Master Sheet'!$BK$5, LAB_SPEED_TOTAL())},
    MaxLevel, VLOOKUP(AW65,MS_Labs_Array,4,false),"&amp;"
    MaxOrTarget, IF(OR(TargetLevel = """",$AD$1 &lt;&gt; ""Target""), MaxLevel, TargetLevel),
    LabLevel, VLOOKUP(AW65,MS_Labs_Array,2,False),
    DVTColumn, MATCH(AW65, DVT_Laboratory!$A$1:BO$1, 0),
    xextTime, INDIRECT(""DVT_Laboratory!"" &amp; ADDRESS(LabLe"&amp;"vel+3, DVTColumn)) / LabSpeed,
    remainingTime, SUM(INDIRECT(""DVT_Laboratory!"" &amp; ADDRESS(LabLevel+3, DVTColumn) &amp; "":"" &amp; ADDRESS(MaxOrTarget+2, DVTColumn))) / LabSpeed,
  AW65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5" s="1249"/>
      <c r="BA65" s="1249" t="str">
        <f>IFERROR(__xludf.DUMMYFUNCTION("""COMPUTED_VALUE"""),"Max lab only gives you back 1 second")</f>
        <v>Max lab only gives you back 1 second</v>
      </c>
      <c r="BB65" s="1249"/>
      <c r="BC65" s="1249"/>
      <c r="BD65" s="1250" t="str">
        <f>IFERROR(__xludf.DUMMYFUNCTION("if(BC65 &lt;&gt; """", 
  LET( 
    TargetLevel, VLOOKUP(BC65,MS_Labs_Array,3,false),
    MaxLevel, VLOOKUP(BC65,MS_Labs_Array,4,false),
    MaxOrTarget, IF(OR(TargetLevel = """",$AD$1 &lt;&gt; ""Target""), MaxLevel, TargetLevel),
    LabLevel, VLOOKUP(BC65,MS_Labs_A"&amp;"rray,2,False),
    Levelprogress, LabLevel / MaxOrTarget,
    DVTColumn, MATCH(BC65,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5" s="1251" t="str">
        <f>IFERROR(__xludf.DUMMYFUNCTION("if(BC65 &lt;&gt; """", 
  LET(
    TargetLevel, VLOOKUP(BC65,MS_Labs_Array,3,false),
    LabSpeed, (1 * REGEXEXTRACT($BH$1, ""[\d.-]+"")) * {IF(BC65 =""Labs Speed"", 1+'Master Sheet'!$BK$5, LAB_SPEED_TOTAL())},
    MaxLevel, VLOOKUP(BC65,MS_Labs_Array,4,false),"&amp;"
    MaxOrTarget, IF(OR(TargetLevel = """",$AD$1 &lt;&gt; ""Target""), MaxLevel, TargetLevel),
    LabLevel, VLOOKUP(BC65,MS_Labs_Array,2,False),
    DVTColumn, MATCH(BC65, DVT_Laboratory!$A$1:BO$1, 0),
    xextTime, INDIRECT(""DVT_Laboratory!"" &amp; ADDRESS(LabLe"&amp;"vel+3, DVTColumn)) / LabSpeed,
    remainingTime, SUM(INDIRECT(""DVT_Laboratory!"" &amp; ADDRESS(LabLevel+3, DVTColumn) &amp; "":"" &amp; ADDRESS(MaxOrTarget+2, DVTColumn))) / LabSpeed,
  BC65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5" s="1249"/>
      <c r="BG65" s="1249"/>
      <c r="BH65" s="1260" t="str">
        <f>IFERROR(__xludf.DUMMYFUNCTION("""COMPUTED_VALUE"""),"Extra Orb Adjuster")</f>
        <v>Extra Orb Adjuster</v>
      </c>
      <c r="BI65" s="1252"/>
      <c r="BJ65" s="1253" t="str">
        <f>IFERROR(__xludf.DUMMYFUNCTION("if(BI65 &lt;&gt; """", 
  LET( 
    TargetLevel, VLOOKUP(BI65,MS_Labs_Array,3,false),
    MaxLevel, VLOOKUP(BI65,MS_Labs_Array,4,false),
    MaxOrTarget, IF(OR(TargetLevel = """",$AD$1 &lt;&gt; ""Target""), MaxLevel, TargetLevel),
    LabLevel, VLOOKUP(BI65,MS_Labs_A"&amp;"rray,2,False),
    Levelprogress, IF(LabLevel &gt;= MaxOrTarget, 1, LabLevel / MaxOrTarget),
    DVTColumn, MATCH(BI65,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5" s="1254" t="str">
        <f>IFERROR(__xludf.DUMMYFUNCTION("if(BI65 &lt;&gt; """", 
  LET(
    TargetLevel, VLOOKUP(BI65,MS_Labs_Array,3,false),
    LabSpeed, (1 * REGEXEXTRACT($BH$1, ""[\d.-]+"")) * {IF(BI65 =""Labs Speed"", 1+'Master Sheet'!$BK$5, LAB_SPEED_TOTAL())},
    MaxLevel, VLOOKUP(BI65,MS_Labs_Array,4,false),"&amp;"
    MaxOrTarget, IF(OR(TargetLevel = """",$AD$1 &lt;&gt; ""Target""), MaxLevel, TargetLevel),
    LabLevel, VLOOKUP(BI65,MS_Labs_Array,2,False),
    DVTColumn, MATCH(BI65, DVT_Laboratory!$A$1:BO$1, 0),
    xextTime, INDIRECT(""DVT_Laboratory!"" &amp; ADDRESS(LabLe"&amp;"vel+3, DVTColumn)) / LabSpeed,
    remainingTime, SUM(INDIRECT(""DVT_Laboratory!"" &amp; ADDRESS(LabLevel+3, DVTColumn) &amp; "":"" &amp; ADDRESS(MaxOrTarget+2, DVTColumn))) / LabSpeed,
  BI65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5" s="1252"/>
      <c r="BM65" s="1252" t="str">
        <f>IFERROR(__xludf.DUMMYFUNCTION("""COMPUTED_VALUE"""),"Makes extra orbs a lot more useful. Allows easy clearing of BH")</f>
        <v>Makes extra orbs a lot more useful. Allows easy clearing of BH</v>
      </c>
      <c r="BN65" s="1222"/>
      <c r="BO65" s="1261"/>
    </row>
    <row r="66" ht="7.5" customHeight="1">
      <c r="A66" s="1222"/>
      <c r="B66" s="1257"/>
      <c r="C66" s="1304" t="s">
        <v>231</v>
      </c>
      <c r="D66" s="1280" t="str">
        <f>VLOOKUP(C66,'Remote Tier List'!A:D, 2, FALSE)</f>
        <v>C</v>
      </c>
      <c r="E66" s="1281" t="str">
        <f>VLOOKUP(C66,'Remote Tier List'!A:D, 3, FALSE)</f>
        <v/>
      </c>
      <c r="F66" s="1264"/>
      <c r="G66" s="1245" t="b">
        <f>IFERROR(AND(VLOOKUP("Tier 7",'_IDS'!$BZ$3:$DT$23, 2, FALSE) &gt; 90,  IDS_UW_OWN("Chrono Field")), true)</f>
        <v>1</v>
      </c>
      <c r="H66" s="1246" t="str">
        <f t="array" ref="H66:I66">LET(
  Lab, $C66,
  Mode, $AD$1,
  Level, VLOOKUP(Lab, MS_Labs_Array, 2, FALSE),
  Target, VLOOKUP(Lab, MS_Labs_Array, 3, FALSE),
  Max, VLOOKUP(Lab, MS_Labs_Array, 4, FALSE),
  Result,
    IF(
      AND(
        Mode &lt;&gt; "Never",
        Level &gt;= IF(OR(Target = "", Mode = "Max"), Max, Target)
      ),
      "Completed",
      ""
    ),
  HSTACK(
    IF(Result &lt;&gt; "", Result, $D66),
    IF(Result &lt;&gt; "", Result, IF($E66 = "", $D66, $E66))
  )
)</f>
        <v>C</v>
      </c>
      <c r="I66" s="1247" t="s">
        <v>547</v>
      </c>
      <c r="J66" s="1248" t="str">
        <f t="shared" si="18"/>
        <v>Very long for any benefit past a certan point</v>
      </c>
      <c r="K66" s="1229"/>
      <c r="L66" s="1249" t="str">
        <f>IFERROR(__xludf.DUMMYFUNCTION("""COMPUTED_VALUE"""),"")</f>
        <v/>
      </c>
      <c r="M66" s="1249"/>
      <c r="N66" s="1250" t="str">
        <f>IFERROR(__xludf.DUMMYFUNCTION("if(M66 &lt;&gt; """", 
  LET( 
    TargetLevel, VLOOKUP(M66,MS_Labs_Array,3,false),
    MaxLevel, VLOOKUP(M66,MS_Labs_Array,4,false),
    MaxOrTarget, IF(OR(TargetLevel = """",$AD$1 &lt;&gt; ""Target""), MaxLevel, TargetLevel),
    LabLevel, VLOOKUP(M66,MS_Labs_Array"&amp;",2,False),
    Levelprogress, LabLevel / MaxOrTarget,
    DVTColumn, MATCH(M66,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6" s="1251" t="str">
        <f>IFERROR(__xludf.DUMMYFUNCTION("if(M66 &lt;&gt; """", 
  LET(
    TargetLevel, VLOOKUP(M66,MS_Labs_Array,3,false),
    LabSpeed, (1 * REGEXEXTRACT($BH$1, ""[\d.-]+"")) * {IF(M66 =""Labs Speed"", 1+'Master Sheet'!$BK$5, LAB_SPEED_TOTAL())},
    MaxLevel, VLOOKUP(M66,MS_Labs_Array,4,false),
   "&amp;" MaxOrTarget, IF(OR(TargetLevel = """",$AD$1 &lt;&gt; ""Target""), MaxLevel, TargetLevel),
    LabLevel, VLOOKUP(M66,MS_Labs_Array,2,False),
    DVTColumn, MATCH(M66, DVT_Laboratory!$A$1:BO$1, 0),
    xextTime, INDIRECT(""DVT_Laboratory!"" &amp; ADDRESS(LabLevel+3,"&amp;" DVTColumn)) / LabSpeed,
    remainingTime, SUM(INDIRECT(""DVT_Laboratory!"" &amp; ADDRESS(LabLevel+3, DVTColumn) &amp; "":"" &amp; ADDRESS(MaxOrTarget+2, DVTColumn))) / LabSpeed,
  M66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6" s="1249"/>
      <c r="Q66" s="1249" t="str">
        <f>IFERROR(__xludf.DUMMYFUNCTION("""COMPUTED_VALUE"""),"")</f>
        <v/>
      </c>
      <c r="R66" s="1249" t="str">
        <f>IFERROR(__xludf.DUMMYFUNCTION("""COMPUTED_VALUE"""),"")</f>
        <v/>
      </c>
      <c r="S66" s="1249"/>
      <c r="T66" s="1250" t="str">
        <f>IFERROR(__xludf.DUMMYFUNCTION("if(S66 &lt;&gt; """", 
  LET( 
    TargetLevel, VLOOKUP(S66,MS_Labs_Array,3,false),
    MaxLevel, VLOOKUP(S66,MS_Labs_Array,4,false),
    MaxOrTarget, IF(OR(TargetLevel = """",$AD$1 &lt;&gt; ""Target""), MaxLevel, TargetLevel),
    LabLevel, VLOOKUP(S66,MS_Labs_Array"&amp;",2,False),
    Levelprogress, LabLevel / MaxOrTarget,
    DVTColumn, MATCH(S66,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6" s="1251" t="str">
        <f>IFERROR(__xludf.DUMMYFUNCTION("if(S66 &lt;&gt; """", 
  LET(
    TargetLevel, VLOOKUP(S66,MS_Labs_Array,3,false),
    LabSpeed, (1 * REGEXEXTRACT($BH$1, ""[\d.-]+"")) * {IF(S66 =""Labs Speed"", 1+'Master Sheet'!$BK$5, LAB_SPEED_TOTAL())},
    MaxLevel, VLOOKUP(S66,MS_Labs_Array,4,false),
   "&amp;" MaxOrTarget, IF(OR(TargetLevel = """",$AD$1 &lt;&gt; ""Target""), MaxLevel, TargetLevel),
    LabLevel, VLOOKUP(S66,MS_Labs_Array,2,False),
    DVTColumn, MATCH(S66, DVT_Laboratory!$A$1:BO$1, 0),
    xextTime, INDIRECT(""DVT_Laboratory!"" &amp; ADDRESS(LabLevel+3,"&amp;" DVTColumn)) / LabSpeed,
    remainingTime, SUM(INDIRECT(""DVT_Laboratory!"" &amp; ADDRESS(LabLevel+3, DVTColumn) &amp; "":"" &amp; ADDRESS(MaxOrTarget+2, DVTColumn))) / LabSpeed,
  S66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6" s="1249"/>
      <c r="W66" s="1249" t="str">
        <f>IFERROR(__xludf.DUMMYFUNCTION("""COMPUTED_VALUE"""),"")</f>
        <v/>
      </c>
      <c r="X66" s="1249" t="str">
        <f>IFERROR(__xludf.DUMMYFUNCTION("""COMPUTED_VALUE"""),"")</f>
        <v/>
      </c>
      <c r="Y66" s="1249"/>
      <c r="Z66" s="1250" t="str">
        <f>IFERROR(__xludf.DUMMYFUNCTION("if(Y66 &lt;&gt; """", 
  LET( 
    TargetLevel, VLOOKUP(Y66,MS_Labs_Array,3,false),
    MaxLevel, VLOOKUP(Y66,MS_Labs_Array,4,false),
    MaxOrTarget, IF(OR(TargetLevel = """",$AD$1 &lt;&gt; ""Target""), MaxLevel, TargetLevel),
    LabLevel, VLOOKUP(Y66,MS_Labs_Array"&amp;",2,False),
    Levelprogress, LabLevel / MaxOrTarget,
    DVTColumn, MATCH(Y66,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6" s="1251" t="str">
        <f>IFERROR(__xludf.DUMMYFUNCTION("if(Y66 &lt;&gt; """", 
  LET(
    TargetLevel, VLOOKUP(Y66,MS_Labs_Array,3,false),
    LabSpeed, (1 * REGEXEXTRACT($BH$1, ""[\d.-]+"")) * {IF(Y66 =""Labs Speed"", 1+'Master Sheet'!$BK$5, LAB_SPEED_TOTAL())},
    MaxLevel, VLOOKUP(Y66,MS_Labs_Array,4,false),
   "&amp;" MaxOrTarget, IF(OR(TargetLevel = """",$AD$1 &lt;&gt; ""Target""), MaxLevel, TargetLevel),
    LabLevel, VLOOKUP(Y66,MS_Labs_Array,2,False),
    DVTColumn, MATCH(Y66, DVT_Laboratory!$A$1:BO$1, 0),
    xextTime, INDIRECT(""DVT_Laboratory!"" &amp; ADDRESS(LabLevel+3,"&amp;" DVTColumn)) / LabSpeed,
    remainingTime, SUM(INDIRECT(""DVT_Laboratory!"" &amp; ADDRESS(LabLevel+3, DVTColumn) &amp; "":"" &amp; ADDRESS(MaxOrTarget+2, DVTColumn))) / LabSpeed,
  Y66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6" s="1249"/>
      <c r="AC66" s="1249" t="str">
        <f>IFERROR(__xludf.DUMMYFUNCTION("""COMPUTED_VALUE"""),"")</f>
        <v/>
      </c>
      <c r="AD66" s="1249" t="str">
        <f>IFERROR(__xludf.DUMMYFUNCTION("""COMPUTED_VALUE"""),"")</f>
        <v/>
      </c>
      <c r="AE66" s="1249"/>
      <c r="AF66" s="1250" t="str">
        <f>IFERROR(__xludf.DUMMYFUNCTION("if(AE66 &lt;&gt; """", 
  LET( 
    TargetLevel, VLOOKUP(AE66,MS_Labs_Array,3,false),
    MaxLevel, VLOOKUP(AE66,MS_Labs_Array,4,false),
    MaxOrTarget, IF(OR(TargetLevel = """",$AD$1 &lt;&gt; ""Target""), MaxLevel, TargetLevel),
    LabLevel, VLOOKUP(AE66,MS_Labs_A"&amp;"rray,2,False),
    Levelprogress, LabLevel / MaxOrTarget,
    DVTColumn, MATCH(AE66,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6" s="1251" t="str">
        <f>IFERROR(__xludf.DUMMYFUNCTION("if(AE66 &lt;&gt; """", 
  LET(
    TargetLevel, VLOOKUP(AE66,MS_Labs_Array,3,false),
    LabSpeed, (1 * REGEXEXTRACT($BH$1, ""[\d.-]+"")) * {IF(AE66 =""Labs Speed"", 1+'Master Sheet'!$BK$5, LAB_SPEED_TOTAL())},
    MaxLevel, VLOOKUP(AE66,MS_Labs_Array,4,false),"&amp;"
    MaxOrTarget, IF(OR(TargetLevel = """",$AD$1 &lt;&gt; ""Target""), MaxLevel, TargetLevel),
    LabLevel, VLOOKUP(AE66,MS_Labs_Array,2,False),
    DVTColumn, MATCH(AE66, DVT_Laboratory!$A$1:BO$1, 0),
    xextTime, INDIRECT(""DVT_Laboratory!"" &amp; ADDRESS(LabLe"&amp;"vel+3, DVTColumn)) / LabSpeed,
    remainingTime, SUM(INDIRECT(""DVT_Laboratory!"" &amp; ADDRESS(LabLevel+3, DVTColumn) &amp; "":"" &amp; ADDRESS(MaxOrTarget+2, DVTColumn))) / LabSpeed,
  AE66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6" s="1249"/>
      <c r="AI66" s="1249" t="str">
        <f>IFERROR(__xludf.DUMMYFUNCTION("""COMPUTED_VALUE"""),"")</f>
        <v/>
      </c>
      <c r="AJ66" s="1249" t="str">
        <f>IFERROR(__xludf.DUMMYFUNCTION("""COMPUTED_VALUE"""),"")</f>
        <v/>
      </c>
      <c r="AK66" s="1249"/>
      <c r="AL66" s="1250" t="str">
        <f>IFERROR(__xludf.DUMMYFUNCTION("if(AK66 &lt;&gt; """", 
  LET( 
    TargetLevel, VLOOKUP(AK66,MS_Labs_Array,3,false),
    MaxLevel, VLOOKUP(AK66,MS_Labs_Array,4,false),
    MaxOrTarget, IF(OR(TargetLevel = """",$AD$1 &lt;&gt; ""Target""), MaxLevel, TargetLevel),
    LabLevel, VLOOKUP(AK66,MS_Labs_A"&amp;"rray,2,False),
    Levelprogress, LabLevel / MaxOrTarget,
    DVTColumn, MATCH(AK66,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6" s="1251" t="str">
        <f>IFERROR(__xludf.DUMMYFUNCTION("if(AK66 &lt;&gt; """", 
  LET(
    TargetLevel, VLOOKUP(AK66,MS_Labs_Array,3,false),
    LabSpeed, (1 * REGEXEXTRACT($BH$1, ""[\d.-]+"")) * {IF(AK66 =""Labs Speed"", 1+'Master Sheet'!$BK$5, LAB_SPEED_TOTAL())},
    MaxLevel, VLOOKUP(AK66,MS_Labs_Array,4,false),"&amp;"
    MaxOrTarget, IF(OR(TargetLevel = """",$AD$1 &lt;&gt; ""Target""), MaxLevel, TargetLevel),
    LabLevel, VLOOKUP(AK66,MS_Labs_Array,2,False),
    DVTColumn, MATCH(AK66, DVT_Laboratory!$A$1:BO$1, 0),
    xextTime, INDIRECT(""DVT_Laboratory!"" &amp; ADDRESS(LabLe"&amp;"vel+3, DVTColumn)) / LabSpeed,
    remainingTime, SUM(INDIRECT(""DVT_Laboratory!"" &amp; ADDRESS(LabLevel+3, DVTColumn) &amp; "":"" &amp; ADDRESS(MaxOrTarget+2, DVTColumn))) / LabSpeed,
  AK66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6" s="1249"/>
      <c r="AO66" s="1249" t="str">
        <f>IFERROR(__xludf.DUMMYFUNCTION("""COMPUTED_VALUE"""),"")</f>
        <v/>
      </c>
      <c r="AP66" s="1249" t="str">
        <f>IFERROR(__xludf.DUMMYFUNCTION("""COMPUTED_VALUE"""),"")</f>
        <v/>
      </c>
      <c r="AQ66" s="1249"/>
      <c r="AR66" s="1250" t="str">
        <f>IFERROR(__xludf.DUMMYFUNCTION("if(AQ66 &lt;&gt; """", 
  LET( 
    TargetLevel, VLOOKUP(AQ66,MS_Labs_Array,3,false),
    MaxLevel, VLOOKUP(AQ66,MS_Labs_Array,4,false),
    MaxOrTarget, IF(OR(TargetLevel = """",$AD$1 &lt;&gt; ""Target""), MaxLevel, TargetLevel),
    LabLevel, VLOOKUP(AQ66,MS_Labs_A"&amp;"rray,2,False),
    Levelprogress, LabLevel / MaxOrTarget,
    DVTColumn, MATCH(AQ66,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6" s="1251" t="str">
        <f>IFERROR(__xludf.DUMMYFUNCTION("if(AQ66 &lt;&gt; """", 
  LET(
    TargetLevel, VLOOKUP(AQ66,MS_Labs_Array,3,false),
    LabSpeed, (1 * REGEXEXTRACT($BH$1, ""[\d.-]+"")) * {IF(AQ66 =""Labs Speed"", 1+'Master Sheet'!$BK$5, LAB_SPEED_TOTAL())},
    MaxLevel, VLOOKUP(AQ66,MS_Labs_Array,4,false),"&amp;"
    MaxOrTarget, IF(OR(TargetLevel = """",$AD$1 &lt;&gt; ""Target""), MaxLevel, TargetLevel),
    LabLevel, VLOOKUP(AQ66,MS_Labs_Array,2,False),
    DVTColumn, MATCH(AQ66, DVT_Laboratory!$A$1:BO$1, 0),
    xextTime, INDIRECT(""DVT_Laboratory!"" &amp; ADDRESS(LabLe"&amp;"vel+3, DVTColumn)) / LabSpeed,
    remainingTime, SUM(INDIRECT(""DVT_Laboratory!"" &amp; ADDRESS(LabLevel+3, DVTColumn) &amp; "":"" &amp; ADDRESS(MaxOrTarget+2, DVTColumn))) / LabSpeed,
  AQ66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6" s="1249"/>
      <c r="AU66" s="1249" t="str">
        <f>IFERROR(__xludf.DUMMYFUNCTION("""COMPUTED_VALUE"""),"")</f>
        <v/>
      </c>
      <c r="AV66" s="1249" t="str">
        <f>IFERROR(__xludf.DUMMYFUNCTION("""COMPUTED_VALUE"""),"")</f>
        <v/>
      </c>
      <c r="AW66" s="1249"/>
      <c r="AX66" s="1250" t="str">
        <f>IFERROR(__xludf.DUMMYFUNCTION("if(AW66 &lt;&gt; """", 
  LET( 
    TargetLevel, VLOOKUP(AW66,MS_Labs_Array,3,false),
    MaxLevel, VLOOKUP(AW66,MS_Labs_Array,4,false),
    MaxOrTarget, IF(OR(TargetLevel = """",$AD$1 &lt;&gt; ""Target""), MaxLevel, TargetLevel),
    LabLevel, VLOOKUP(AW66,MS_Labs_A"&amp;"rray,2,False),
    Levelprogress, LabLevel / MaxOrTarget,
    DVTColumn, MATCH(AW66,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6" s="1251" t="str">
        <f>IFERROR(__xludf.DUMMYFUNCTION("if(AW66 &lt;&gt; """", 
  LET(
    TargetLevel, VLOOKUP(AW66,MS_Labs_Array,3,false),
    LabSpeed, (1 * REGEXEXTRACT($BH$1, ""[\d.-]+"")) * {IF(AW66 =""Labs Speed"", 1+'Master Sheet'!$BK$5, LAB_SPEED_TOTAL())},
    MaxLevel, VLOOKUP(AW66,MS_Labs_Array,4,false),"&amp;"
    MaxOrTarget, IF(OR(TargetLevel = """",$AD$1 &lt;&gt; ""Target""), MaxLevel, TargetLevel),
    LabLevel, VLOOKUP(AW66,MS_Labs_Array,2,False),
    DVTColumn, MATCH(AW66, DVT_Laboratory!$A$1:BO$1, 0),
    xextTime, INDIRECT(""DVT_Laboratory!"" &amp; ADDRESS(LabLe"&amp;"vel+3, DVTColumn)) / LabSpeed,
    remainingTime, SUM(INDIRECT(""DVT_Laboratory!"" &amp; ADDRESS(LabLevel+3, DVTColumn) &amp; "":"" &amp; ADDRESS(MaxOrTarget+2, DVTColumn))) / LabSpeed,
  AW66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6" s="1249"/>
      <c r="BA66" s="1249" t="str">
        <f>IFERROR(__xludf.DUMMYFUNCTION("""COMPUTED_VALUE"""),"Ultimate Weapon Durations
  Lab Level:      0 / 10 (Max)
  Next Level:    1d 17h 10m
  Max Level:     68d  2h 47m")</f>
        <v>Ultimate Weapon Durations
  Lab Level:      0 / 10 (Max)
  Next Level:    1d 17h 10m
  Max Level:     68d  2h 47m</v>
      </c>
      <c r="BB66" s="1249" t="str">
        <f>IFERROR(__xludf.DUMMYFUNCTION("""COMPUTED_VALUE"""),"")</f>
        <v/>
      </c>
      <c r="BC66" s="1249"/>
      <c r="BD66" s="1250" t="str">
        <f>IFERROR(__xludf.DUMMYFUNCTION("if(BC66 &lt;&gt; """", 
  LET( 
    TargetLevel, VLOOKUP(BC66,MS_Labs_Array,3,false),
    MaxLevel, VLOOKUP(BC66,MS_Labs_Array,4,false),
    MaxOrTarget, IF(OR(TargetLevel = """",$AD$1 &lt;&gt; ""Target""), MaxLevel, TargetLevel),
    LabLevel, VLOOKUP(BC66,MS_Labs_A"&amp;"rray,2,False),
    Levelprogress, LabLevel / MaxOrTarget,
    DVTColumn, MATCH(BC66,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6" s="1251" t="str">
        <f>IFERROR(__xludf.DUMMYFUNCTION("if(BC66 &lt;&gt; """", 
  LET(
    TargetLevel, VLOOKUP(BC66,MS_Labs_Array,3,false),
    LabSpeed, (1 * REGEXEXTRACT($BH$1, ""[\d.-]+"")) * {IF(BC66 =""Labs Speed"", 1+'Master Sheet'!$BK$5, LAB_SPEED_TOTAL())},
    MaxLevel, VLOOKUP(BC66,MS_Labs_Array,4,false),"&amp;"
    MaxOrTarget, IF(OR(TargetLevel = """",$AD$1 &lt;&gt; ""Target""), MaxLevel, TargetLevel),
    LabLevel, VLOOKUP(BC66,MS_Labs_Array,2,False),
    DVTColumn, MATCH(BC66, DVT_Laboratory!$A$1:BO$1, 0),
    xextTime, INDIRECT(""DVT_Laboratory!"" &amp; ADDRESS(LabLe"&amp;"vel+3, DVTColumn)) / LabSpeed,
    remainingTime, SUM(INDIRECT(""DVT_Laboratory!"" &amp; ADDRESS(LabLevel+3, DVTColumn) &amp; "":"" &amp; ADDRESS(MaxOrTarget+2, DVTColumn))) / LabSpeed,
  BC66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6" s="1249"/>
      <c r="BG66" s="1249" t="str">
        <f>IFERROR(__xludf.DUMMYFUNCTION("""COMPUTED_VALUE"""),"")</f>
        <v/>
      </c>
      <c r="BH66" s="1260" t="str">
        <f>IFERROR(__xludf.DUMMYFUNCTION("""COMPUTED_VALUE"""),"")</f>
        <v/>
      </c>
      <c r="BI66" s="1252"/>
      <c r="BJ66" s="1253" t="str">
        <f>IFERROR(__xludf.DUMMYFUNCTION("if(BI66 &lt;&gt; """", 
  LET( 
    TargetLevel, VLOOKUP(BI66,MS_Labs_Array,3,false),
    MaxLevel, VLOOKUP(BI66,MS_Labs_Array,4,false),
    MaxOrTarget, IF(OR(TargetLevel = """",$AD$1 &lt;&gt; ""Target""), MaxLevel, TargetLevel),
    LabLevel, VLOOKUP(BI66,MS_Labs_A"&amp;"rray,2,False),
    Levelprogress, IF(LabLevel &gt;= MaxOrTarget, 1, LabLevel / MaxOrTarget),
    DVTColumn, MATCH(BI66,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6" s="1254" t="str">
        <f>IFERROR(__xludf.DUMMYFUNCTION("if(BI66 &lt;&gt; """", 
  LET(
    TargetLevel, VLOOKUP(BI66,MS_Labs_Array,3,false),
    LabSpeed, (1 * REGEXEXTRACT($BH$1, ""[\d.-]+"")) * {IF(BI66 =""Labs Speed"", 1+'Master Sheet'!$BK$5, LAB_SPEED_TOTAL())},
    MaxLevel, VLOOKUP(BI66,MS_Labs_Array,4,false),"&amp;"
    MaxOrTarget, IF(OR(TargetLevel = """",$AD$1 &lt;&gt; ""Target""), MaxLevel, TargetLevel),
    LabLevel, VLOOKUP(BI66,MS_Labs_Array,2,False),
    DVTColumn, MATCH(BI66, DVT_Laboratory!$A$1:BO$1, 0),
    xextTime, INDIRECT(""DVT_Laboratory!"" &amp; ADDRESS(LabLe"&amp;"vel+3, DVTColumn)) / LabSpeed,
    remainingTime, SUM(INDIRECT(""DVT_Laboratory!"" &amp; ADDRESS(LabLevel+3, DVTColumn) &amp; "":"" &amp; ADDRESS(MaxOrTarget+2, DVTColumn))) / LabSpeed,
  BI66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6" s="1252"/>
      <c r="BM66" s="1252" t="str">
        <f>IFERROR(__xludf.DUMMYFUNCTION("""COMPUTED_VALUE"""),"Extra Orb Adjuster
  Lab Level:      1 / 1 (Max)
  Next Level:    
  Max Level:     0d  3h 10m")</f>
        <v>Extra Orb Adjuster
  Lab Level:      1 / 1 (Max)
  Next Level:    
  Max Level:     0d  3h 10m</v>
      </c>
      <c r="BN66" s="1222"/>
      <c r="BO66" s="1261"/>
    </row>
    <row r="67">
      <c r="A67" s="1222"/>
      <c r="B67" s="1257"/>
      <c r="C67" s="1304" t="s">
        <v>242</v>
      </c>
      <c r="D67" s="1280" t="str">
        <f>VLOOKUP(C67,'Remote Tier List'!A:D, 2, FALSE)</f>
        <v>F</v>
      </c>
      <c r="E67" s="1281" t="str">
        <f>VLOOKUP(C67,'Remote Tier List'!A:D, 3, FALSE)</f>
        <v>A</v>
      </c>
      <c r="F67" s="1258" t="str">
        <f>VLOOKUP(C67,'Remote Tier List'!A:D, 4, FALSE)</f>
        <v>Potential footgun regarding where the enemy gets stunned. Proceed with caution. Can be partly counteracted by using a higher range</v>
      </c>
      <c r="G67" s="1245" t="b">
        <f>IFERROR(AND(VLOOKUP("Tier 7",'_IDS'!$BZ$3:$DT$23, 2, FALSE) &gt; 50,  IDS_UW_OWN("Poison Swamp")), true)</f>
        <v>0</v>
      </c>
      <c r="H67" s="1265" t="str">
        <f t="array" ref="H67:I67">LET(
  Lab, $C67,
  Mode, $AD$1,
  Level, VLOOKUP(Lab, MS_Labs_Array, 2, FALSE),
  Target, VLOOKUP(Lab, MS_Labs_Array, 3, FALSE),
  Max, VLOOKUP(Lab, MS_Labs_Array, 4, FALSE),
  Result,
    IF(
      AND(
        Mode &lt;&gt; "Never",
        Level &gt;= IF(OR(Target = "", Mode = "Max"), Max, Target)
      ),
      "Completed",
      ""
    ),
  HSTACK(
    IF(Result &lt;&gt; "", Result, $D67),
    IF(Result &lt;&gt; "", Result, IF($E67 = "", $D67, $E67))
  )
)</f>
        <v>F</v>
      </c>
      <c r="I67" s="1265" t="s">
        <v>545</v>
      </c>
      <c r="J67" s="1248" t="str">
        <f t="shared" si="18"/>
        <v>Potential footgun regarding where the enemy gets stunned. Proceed with caution. Can be partly counteracted by using a higher range</v>
      </c>
      <c r="K67" s="1229"/>
      <c r="L67" s="1249"/>
      <c r="M67" s="1249"/>
      <c r="N67" s="1250" t="str">
        <f>IFERROR(__xludf.DUMMYFUNCTION("if(M67 &lt;&gt; """", 
  LET( 
    TargetLevel, VLOOKUP(M67,MS_Labs_Array,3,false),
    MaxLevel, VLOOKUP(M67,MS_Labs_Array,4,false),
    MaxOrTarget, IF(OR(TargetLevel = """",$AD$1 &lt;&gt; ""Target""), MaxLevel, TargetLevel),
    LabLevel, VLOOKUP(M67,MS_Labs_Array"&amp;",2,False),
    Levelprogress, LabLevel / MaxOrTarget,
    DVTColumn, MATCH(M67,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7" s="1251" t="str">
        <f>IFERROR(__xludf.DUMMYFUNCTION("if(M67 &lt;&gt; """", 
  LET(
    TargetLevel, VLOOKUP(M67,MS_Labs_Array,3,false),
    LabSpeed, (1 * REGEXEXTRACT($BH$1, ""[\d.-]+"")) * {IF(M67 =""Labs Speed"", 1+'Master Sheet'!$BK$5, LAB_SPEED_TOTAL())},
    MaxLevel, VLOOKUP(M67,MS_Labs_Array,4,false),
   "&amp;" MaxOrTarget, IF(OR(TargetLevel = """",$AD$1 &lt;&gt; ""Target""), MaxLevel, TargetLevel),
    LabLevel, VLOOKUP(M67,MS_Labs_Array,2,False),
    DVTColumn, MATCH(M67, DVT_Laboratory!$A$1:BO$1, 0),
    xextTime, INDIRECT(""DVT_Laboratory!"" &amp; ADDRESS(LabLevel+3,"&amp;" DVTColumn)) / LabSpeed,
    remainingTime, SUM(INDIRECT(""DVT_Laboratory!"" &amp; ADDRESS(LabLevel+3, DVTColumn) &amp; "":"" &amp; ADDRESS(MaxOrTarget+2, DVTColumn))) / LabSpeed,
  M67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7" s="1249"/>
      <c r="Q67" s="1249"/>
      <c r="R67" s="1249"/>
      <c r="S67" s="1249"/>
      <c r="T67" s="1250" t="str">
        <f>IFERROR(__xludf.DUMMYFUNCTION("if(S67 &lt;&gt; """", 
  LET( 
    TargetLevel, VLOOKUP(S67,MS_Labs_Array,3,false),
    MaxLevel, VLOOKUP(S67,MS_Labs_Array,4,false),
    MaxOrTarget, IF(OR(TargetLevel = """",$AD$1 &lt;&gt; ""Target""), MaxLevel, TargetLevel),
    LabLevel, VLOOKUP(S67,MS_Labs_Array"&amp;",2,False),
    Levelprogress, LabLevel / MaxOrTarget,
    DVTColumn, MATCH(S67,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7" s="1251" t="str">
        <f>IFERROR(__xludf.DUMMYFUNCTION("if(S67 &lt;&gt; """", 
  LET(
    TargetLevel, VLOOKUP(S67,MS_Labs_Array,3,false),
    LabSpeed, (1 * REGEXEXTRACT($BH$1, ""[\d.-]+"")) * {IF(S67 =""Labs Speed"", 1+'Master Sheet'!$BK$5, LAB_SPEED_TOTAL())},
    MaxLevel, VLOOKUP(S67,MS_Labs_Array,4,false),
   "&amp;" MaxOrTarget, IF(OR(TargetLevel = """",$AD$1 &lt;&gt; ""Target""), MaxLevel, TargetLevel),
    LabLevel, VLOOKUP(S67,MS_Labs_Array,2,False),
    DVTColumn, MATCH(S67, DVT_Laboratory!$A$1:BO$1, 0),
    xextTime, INDIRECT(""DVT_Laboratory!"" &amp; ADDRESS(LabLevel+3,"&amp;" DVTColumn)) / LabSpeed,
    remainingTime, SUM(INDIRECT(""DVT_Laboratory!"" &amp; ADDRESS(LabLevel+3, DVTColumn) &amp; "":"" &amp; ADDRESS(MaxOrTarget+2, DVTColumn))) / LabSpeed,
  S67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7" s="1249"/>
      <c r="W67" s="1249"/>
      <c r="X67" s="1249"/>
      <c r="Y67" s="1249"/>
      <c r="Z67" s="1250" t="str">
        <f>IFERROR(__xludf.DUMMYFUNCTION("if(Y67 &lt;&gt; """", 
  LET( 
    TargetLevel, VLOOKUP(Y67,MS_Labs_Array,3,false),
    MaxLevel, VLOOKUP(Y67,MS_Labs_Array,4,false),
    MaxOrTarget, IF(OR(TargetLevel = """",$AD$1 &lt;&gt; ""Target""), MaxLevel, TargetLevel),
    LabLevel, VLOOKUP(Y67,MS_Labs_Array"&amp;",2,False),
    Levelprogress, LabLevel / MaxOrTarget,
    DVTColumn, MATCH(Y67,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7" s="1251" t="str">
        <f>IFERROR(__xludf.DUMMYFUNCTION("if(Y67 &lt;&gt; """", 
  LET(
    TargetLevel, VLOOKUP(Y67,MS_Labs_Array,3,false),
    LabSpeed, (1 * REGEXEXTRACT($BH$1, ""[\d.-]+"")) * {IF(Y67 =""Labs Speed"", 1+'Master Sheet'!$BK$5, LAB_SPEED_TOTAL())},
    MaxLevel, VLOOKUP(Y67,MS_Labs_Array,4,false),
   "&amp;" MaxOrTarget, IF(OR(TargetLevel = """",$AD$1 &lt;&gt; ""Target""), MaxLevel, TargetLevel),
    LabLevel, VLOOKUP(Y67,MS_Labs_Array,2,False),
    DVTColumn, MATCH(Y67, DVT_Laboratory!$A$1:BO$1, 0),
    xextTime, INDIRECT(""DVT_Laboratory!"" &amp; ADDRESS(LabLevel+3,"&amp;" DVTColumn)) / LabSpeed,
    remainingTime, SUM(INDIRECT(""DVT_Laboratory!"" &amp; ADDRESS(LabLevel+3, DVTColumn) &amp; "":"" &amp; ADDRESS(MaxOrTarget+2, DVTColumn))) / LabSpeed,
  Y67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7" s="1249"/>
      <c r="AC67" s="1249"/>
      <c r="AD67" s="1249"/>
      <c r="AE67" s="1249"/>
      <c r="AF67" s="1250" t="str">
        <f>IFERROR(__xludf.DUMMYFUNCTION("if(AE67 &lt;&gt; """", 
  LET( 
    TargetLevel, VLOOKUP(AE67,MS_Labs_Array,3,false),
    MaxLevel, VLOOKUP(AE67,MS_Labs_Array,4,false),
    MaxOrTarget, IF(OR(TargetLevel = """",$AD$1 &lt;&gt; ""Target""), MaxLevel, TargetLevel),
    LabLevel, VLOOKUP(AE67,MS_Labs_A"&amp;"rray,2,False),
    Levelprogress, LabLevel / MaxOrTarget,
    DVTColumn, MATCH(AE67,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7" s="1251" t="str">
        <f>IFERROR(__xludf.DUMMYFUNCTION("if(AE67 &lt;&gt; """", 
  LET(
    TargetLevel, VLOOKUP(AE67,MS_Labs_Array,3,false),
    LabSpeed, (1 * REGEXEXTRACT($BH$1, ""[\d.-]+"")) * {IF(AE67 =""Labs Speed"", 1+'Master Sheet'!$BK$5, LAB_SPEED_TOTAL())},
    MaxLevel, VLOOKUP(AE67,MS_Labs_Array,4,false),"&amp;"
    MaxOrTarget, IF(OR(TargetLevel = """",$AD$1 &lt;&gt; ""Target""), MaxLevel, TargetLevel),
    LabLevel, VLOOKUP(AE67,MS_Labs_Array,2,False),
    DVTColumn, MATCH(AE67, DVT_Laboratory!$A$1:BO$1, 0),
    xextTime, INDIRECT(""DVT_Laboratory!"" &amp; ADDRESS(LabLe"&amp;"vel+3, DVTColumn)) / LabSpeed,
    remainingTime, SUM(INDIRECT(""DVT_Laboratory!"" &amp; ADDRESS(LabLevel+3, DVTColumn) &amp; "":"" &amp; ADDRESS(MaxOrTarget+2, DVTColumn))) / LabSpeed,
  AE67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7" s="1249"/>
      <c r="AI67" s="1249"/>
      <c r="AJ67" s="1249"/>
      <c r="AK67" s="1249"/>
      <c r="AL67" s="1250" t="str">
        <f>IFERROR(__xludf.DUMMYFUNCTION("if(AK67 &lt;&gt; """", 
  LET( 
    TargetLevel, VLOOKUP(AK67,MS_Labs_Array,3,false),
    MaxLevel, VLOOKUP(AK67,MS_Labs_Array,4,false),
    MaxOrTarget, IF(OR(TargetLevel = """",$AD$1 &lt;&gt; ""Target""), MaxLevel, TargetLevel),
    LabLevel, VLOOKUP(AK67,MS_Labs_A"&amp;"rray,2,False),
    Levelprogress, LabLevel / MaxOrTarget,
    DVTColumn, MATCH(AK67,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7" s="1251" t="str">
        <f>IFERROR(__xludf.DUMMYFUNCTION("if(AK67 &lt;&gt; """", 
  LET(
    TargetLevel, VLOOKUP(AK67,MS_Labs_Array,3,false),
    LabSpeed, (1 * REGEXEXTRACT($BH$1, ""[\d.-]+"")) * {IF(AK67 =""Labs Speed"", 1+'Master Sheet'!$BK$5, LAB_SPEED_TOTAL())},
    MaxLevel, VLOOKUP(AK67,MS_Labs_Array,4,false),"&amp;"
    MaxOrTarget, IF(OR(TargetLevel = """",$AD$1 &lt;&gt; ""Target""), MaxLevel, TargetLevel),
    LabLevel, VLOOKUP(AK67,MS_Labs_Array,2,False),
    DVTColumn, MATCH(AK67, DVT_Laboratory!$A$1:BO$1, 0),
    xextTime, INDIRECT(""DVT_Laboratory!"" &amp; ADDRESS(LabLe"&amp;"vel+3, DVTColumn)) / LabSpeed,
    remainingTime, SUM(INDIRECT(""DVT_Laboratory!"" &amp; ADDRESS(LabLevel+3, DVTColumn) &amp; "":"" &amp; ADDRESS(MaxOrTarget+2, DVTColumn))) / LabSpeed,
  AK67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7" s="1249"/>
      <c r="AO67" s="1249"/>
      <c r="AP67" s="1249"/>
      <c r="AQ67" s="1249"/>
      <c r="AR67" s="1250" t="str">
        <f>IFERROR(__xludf.DUMMYFUNCTION("if(AQ67 &lt;&gt; """", 
  LET( 
    TargetLevel, VLOOKUP(AQ67,MS_Labs_Array,3,false),
    MaxLevel, VLOOKUP(AQ67,MS_Labs_Array,4,false),
    MaxOrTarget, IF(OR(TargetLevel = """",$AD$1 &lt;&gt; ""Target""), MaxLevel, TargetLevel),
    LabLevel, VLOOKUP(AQ67,MS_Labs_A"&amp;"rray,2,False),
    Levelprogress, LabLevel / MaxOrTarget,
    DVTColumn, MATCH(AQ67,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7" s="1251" t="str">
        <f>IFERROR(__xludf.DUMMYFUNCTION("if(AQ67 &lt;&gt; """", 
  LET(
    TargetLevel, VLOOKUP(AQ67,MS_Labs_Array,3,false),
    LabSpeed, (1 * REGEXEXTRACT($BH$1, ""[\d.-]+"")) * {IF(AQ67 =""Labs Speed"", 1+'Master Sheet'!$BK$5, LAB_SPEED_TOTAL())},
    MaxLevel, VLOOKUP(AQ67,MS_Labs_Array,4,false),"&amp;"
    MaxOrTarget, IF(OR(TargetLevel = """",$AD$1 &lt;&gt; ""Target""), MaxLevel, TargetLevel),
    LabLevel, VLOOKUP(AQ67,MS_Labs_Array,2,False),
    DVTColumn, MATCH(AQ67, DVT_Laboratory!$A$1:BO$1, 0),
    xextTime, INDIRECT(""DVT_Laboratory!"" &amp; ADDRESS(LabLe"&amp;"vel+3, DVTColumn)) / LabSpeed,
    remainingTime, SUM(INDIRECT(""DVT_Laboratory!"" &amp; ADDRESS(LabLevel+3, DVTColumn) &amp; "":"" &amp; ADDRESS(MaxOrTarget+2, DVTColumn))) / LabSpeed,
  AQ67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7" s="1249"/>
      <c r="AU67" s="1249"/>
      <c r="AV67" s="1249"/>
      <c r="AW67" s="1249"/>
      <c r="AX67" s="1250" t="str">
        <f>IFERROR(__xludf.DUMMYFUNCTION("if(AW67 &lt;&gt; """", 
  LET( 
    TargetLevel, VLOOKUP(AW67,MS_Labs_Array,3,false),
    MaxLevel, VLOOKUP(AW67,MS_Labs_Array,4,false),
    MaxOrTarget, IF(OR(TargetLevel = """",$AD$1 &lt;&gt; ""Target""), MaxLevel, TargetLevel),
    LabLevel, VLOOKUP(AW67,MS_Labs_A"&amp;"rray,2,False),
    Levelprogress, LabLevel / MaxOrTarget,
    DVTColumn, MATCH(AW67,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7" s="1251" t="str">
        <f>IFERROR(__xludf.DUMMYFUNCTION("if(AW67 &lt;&gt; """", 
  LET(
    TargetLevel, VLOOKUP(AW67,MS_Labs_Array,3,false),
    LabSpeed, (1 * REGEXEXTRACT($BH$1, ""[\d.-]+"")) * {IF(AW67 =""Labs Speed"", 1+'Master Sheet'!$BK$5, LAB_SPEED_TOTAL())},
    MaxLevel, VLOOKUP(AW67,MS_Labs_Array,4,false),"&amp;"
    MaxOrTarget, IF(OR(TargetLevel = """",$AD$1 &lt;&gt; ""Target""), MaxLevel, TargetLevel),
    LabLevel, VLOOKUP(AW67,MS_Labs_Array,2,False),
    DVTColumn, MATCH(AW67, DVT_Laboratory!$A$1:BO$1, 0),
    xextTime, INDIRECT(""DVT_Laboratory!"" &amp; ADDRESS(LabLe"&amp;"vel+3, DVTColumn)) / LabSpeed,
    remainingTime, SUM(INDIRECT(""DVT_Laboratory!"" &amp; ADDRESS(LabLevel+3, DVTColumn) &amp; "":"" &amp; ADDRESS(MaxOrTarget+2, DVTColumn))) / LabSpeed,
  AW67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7" s="1249"/>
      <c r="BA67" s="1249"/>
      <c r="BB67" s="1249"/>
      <c r="BC67" s="1249"/>
      <c r="BD67" s="1250" t="str">
        <f>IFERROR(__xludf.DUMMYFUNCTION("if(BC67 &lt;&gt; """", 
  LET( 
    TargetLevel, VLOOKUP(BC67,MS_Labs_Array,3,false),
    MaxLevel, VLOOKUP(BC67,MS_Labs_Array,4,false),
    MaxOrTarget, IF(OR(TargetLevel = """",$AD$1 &lt;&gt; ""Target""), MaxLevel, TargetLevel),
    LabLevel, VLOOKUP(BC67,MS_Labs_A"&amp;"rray,2,False),
    Levelprogress, LabLevel / MaxOrTarget,
    DVTColumn, MATCH(BC67,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7" s="1251" t="str">
        <f>IFERROR(__xludf.DUMMYFUNCTION("if(BC67 &lt;&gt; """", 
  LET(
    TargetLevel, VLOOKUP(BC67,MS_Labs_Array,3,false),
    LabSpeed, (1 * REGEXEXTRACT($BH$1, ""[\d.-]+"")) * {IF(BC67 =""Labs Speed"", 1+'Master Sheet'!$BK$5, LAB_SPEED_TOTAL())},
    MaxLevel, VLOOKUP(BC67,MS_Labs_Array,4,false),"&amp;"
    MaxOrTarget, IF(OR(TargetLevel = """",$AD$1 &lt;&gt; ""Target""), MaxLevel, TargetLevel),
    LabLevel, VLOOKUP(BC67,MS_Labs_Array,2,False),
    DVTColumn, MATCH(BC67, DVT_Laboratory!$A$1:BO$1, 0),
    xextTime, INDIRECT(""DVT_Laboratory!"" &amp; ADDRESS(LabLe"&amp;"vel+3, DVTColumn)) / LabSpeed,
    remainingTime, SUM(INDIRECT(""DVT_Laboratory!"" &amp; ADDRESS(LabLevel+3, DVTColumn) &amp; "":"" &amp; ADDRESS(MaxOrTarget+2, DVTColumn))) / LabSpeed,
  BC67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7" s="1249"/>
      <c r="BG67" s="1249"/>
      <c r="BH67" s="1260" t="str">
        <f>IFERROR(__xludf.DUMMYFUNCTION("""COMPUTED_VALUE"""),"Extra Extra Orbs")</f>
        <v>Extra Extra Orbs</v>
      </c>
      <c r="BI67" s="1252"/>
      <c r="BJ67" s="1253" t="str">
        <f>IFERROR(__xludf.DUMMYFUNCTION("if(BI67 &lt;&gt; """", 
  LET( 
    TargetLevel, VLOOKUP(BI67,MS_Labs_Array,3,false),
    MaxLevel, VLOOKUP(BI67,MS_Labs_Array,4,false),
    MaxOrTarget, IF(OR(TargetLevel = """",$AD$1 &lt;&gt; ""Target""), MaxLevel, TargetLevel),
    LabLevel, VLOOKUP(BI67,MS_Labs_A"&amp;"rray,2,False),
    Levelprogress, IF(LabLevel &gt;= MaxOrTarget, 1, LabLevel / MaxOrTarget),
    DVTColumn, MATCH(BI67,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7" s="1254" t="str">
        <f>IFERROR(__xludf.DUMMYFUNCTION("if(BI67 &lt;&gt; """", 
  LET(
    TargetLevel, VLOOKUP(BI67,MS_Labs_Array,3,false),
    LabSpeed, (1 * REGEXEXTRACT($BH$1, ""[\d.-]+"")) * {IF(BI67 =""Labs Speed"", 1+'Master Sheet'!$BK$5, LAB_SPEED_TOTAL())},
    MaxLevel, VLOOKUP(BI67,MS_Labs_Array,4,false),"&amp;"
    MaxOrTarget, IF(OR(TargetLevel = """",$AD$1 &lt;&gt; ""Target""), MaxLevel, TargetLevel),
    LabLevel, VLOOKUP(BI67,MS_Labs_Array,2,False),
    DVTColumn, MATCH(BI67, DVT_Laboratory!$A$1:BO$1, 0),
    xextTime, INDIRECT(""DVT_Laboratory!"" &amp; ADDRESS(LabLe"&amp;"vel+3, DVTColumn)) / LabSpeed,
    remainingTime, SUM(INDIRECT(""DVT_Laboratory!"" &amp; ADDRESS(LabLevel+3, DVTColumn) &amp; "":"" &amp; ADDRESS(MaxOrTarget+2, DVTColumn))) / LabSpeed,
  BI67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7" s="1252"/>
      <c r="BM67" s="1252" t="str">
        <f>IFERROR(__xludf.DUMMYFUNCTION("""COMPUTED_VALUE"""),"The more the merrier")</f>
        <v>The more the merrier</v>
      </c>
      <c r="BN67" s="1222"/>
      <c r="BO67" s="1261"/>
    </row>
    <row r="68" ht="7.5" customHeight="1">
      <c r="A68" s="1222"/>
      <c r="B68" s="1257"/>
      <c r="C68" s="1304" t="s">
        <v>253</v>
      </c>
      <c r="D68" s="1280" t="str">
        <f>VLOOKUP(C68,'Remote Tier List'!A:D, 2, FALSE)</f>
        <v>A</v>
      </c>
      <c r="E68" s="1281" t="str">
        <f>VLOOKUP(C68,'Remote Tier List'!A:D, 3, FALSE)</f>
        <v/>
      </c>
      <c r="F68" s="1284" t="str">
        <f>VLOOKUP(C68,'Remote Tier List'!A:D, 4, FALSE)</f>
        <v>Great complementary source of crowd control</v>
      </c>
      <c r="G68" s="1245" t="b">
        <f>IFERROR(AND(VLOOKUP("Tier 7",'_IDS'!$BZ$3:$DT$23, 2, FALSE) &gt; 50,  IDS_UW_OWN("Poison Swamp")), true)</f>
        <v>0</v>
      </c>
      <c r="H68" s="1246" t="str">
        <f t="array" ref="H68:I68">LET(
  Lab, $C68,
  Mode, $AD$1,
  Level, VLOOKUP(Lab, MS_Labs_Array, 2, FALSE),
  Target, VLOOKUP(Lab, MS_Labs_Array, 3, FALSE),
  Max, VLOOKUP(Lab, MS_Labs_Array, 4, FALSE),
  Result,
    IF(
      AND(
        Mode &lt;&gt; "Never",
        Level &gt;= IF(OR(Target = "", Mode = "Max"), Max, Target)
      ),
      "Completed",
      ""
    ),
  HSTACK(
    IF(Result &lt;&gt; "", Result, $D68),
    IF(Result &lt;&gt; "", Result, IF($E68 = "", $D68, $E68))
  )
)</f>
        <v>A</v>
      </c>
      <c r="I68" s="1247" t="s">
        <v>545</v>
      </c>
      <c r="J68" s="1248" t="str">
        <f t="shared" si="18"/>
        <v>Great complementary source of crowd control</v>
      </c>
      <c r="K68" s="1229"/>
      <c r="L68" s="1249" t="str">
        <f>IFERROR(__xludf.DUMMYFUNCTION("""COMPUTED_VALUE"""),"")</f>
        <v/>
      </c>
      <c r="M68" s="1249"/>
      <c r="N68" s="1250" t="str">
        <f>IFERROR(__xludf.DUMMYFUNCTION("if(M68 &lt;&gt; """", 
  LET( 
    TargetLevel, VLOOKUP(M68,MS_Labs_Array,3,false),
    MaxLevel, VLOOKUP(M68,MS_Labs_Array,4,false),
    MaxOrTarget, IF(OR(TargetLevel = """",$AD$1 &lt;&gt; ""Target""), MaxLevel, TargetLevel),
    LabLevel, VLOOKUP(M68,MS_Labs_Array"&amp;",2,False),
    Levelprogress, LabLevel / MaxOrTarget,
    DVTColumn, MATCH(M68,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8" s="1251" t="str">
        <f>IFERROR(__xludf.DUMMYFUNCTION("if(M68 &lt;&gt; """", 
  LET(
    TargetLevel, VLOOKUP(M68,MS_Labs_Array,3,false),
    LabSpeed, (1 * REGEXEXTRACT($BH$1, ""[\d.-]+"")) * {IF(M68 =""Labs Speed"", 1+'Master Sheet'!$BK$5, LAB_SPEED_TOTAL())},
    MaxLevel, VLOOKUP(M68,MS_Labs_Array,4,false),
   "&amp;" MaxOrTarget, IF(OR(TargetLevel = """",$AD$1 &lt;&gt; ""Target""), MaxLevel, TargetLevel),
    LabLevel, VLOOKUP(M68,MS_Labs_Array,2,False),
    DVTColumn, MATCH(M68, DVT_Laboratory!$A$1:BO$1, 0),
    xextTime, INDIRECT(""DVT_Laboratory!"" &amp; ADDRESS(LabLevel+3,"&amp;" DVTColumn)) / LabSpeed,
    remainingTime, SUM(INDIRECT(""DVT_Laboratory!"" &amp; ADDRESS(LabLevel+3, DVTColumn) &amp; "":"" &amp; ADDRESS(MaxOrTarget+2, DVTColumn))) / LabSpeed,
  M68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8" s="1249"/>
      <c r="Q68" s="1249" t="str">
        <f>IFERROR(__xludf.DUMMYFUNCTION("""COMPUTED_VALUE"""),"")</f>
        <v/>
      </c>
      <c r="R68" s="1249" t="str">
        <f>IFERROR(__xludf.DUMMYFUNCTION("""COMPUTED_VALUE"""),"")</f>
        <v/>
      </c>
      <c r="S68" s="1249"/>
      <c r="T68" s="1250" t="str">
        <f>IFERROR(__xludf.DUMMYFUNCTION("if(S68 &lt;&gt; """", 
  LET( 
    TargetLevel, VLOOKUP(S68,MS_Labs_Array,3,false),
    MaxLevel, VLOOKUP(S68,MS_Labs_Array,4,false),
    MaxOrTarget, IF(OR(TargetLevel = """",$AD$1 &lt;&gt; ""Target""), MaxLevel, TargetLevel),
    LabLevel, VLOOKUP(S68,MS_Labs_Array"&amp;",2,False),
    Levelprogress, LabLevel / MaxOrTarget,
    DVTColumn, MATCH(S68,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8" s="1251" t="str">
        <f>IFERROR(__xludf.DUMMYFUNCTION("if(S68 &lt;&gt; """", 
  LET(
    TargetLevel, VLOOKUP(S68,MS_Labs_Array,3,false),
    LabSpeed, (1 * REGEXEXTRACT($BH$1, ""[\d.-]+"")) * {IF(S68 =""Labs Speed"", 1+'Master Sheet'!$BK$5, LAB_SPEED_TOTAL())},
    MaxLevel, VLOOKUP(S68,MS_Labs_Array,4,false),
   "&amp;" MaxOrTarget, IF(OR(TargetLevel = """",$AD$1 &lt;&gt; ""Target""), MaxLevel, TargetLevel),
    LabLevel, VLOOKUP(S68,MS_Labs_Array,2,False),
    DVTColumn, MATCH(S68, DVT_Laboratory!$A$1:BO$1, 0),
    xextTime, INDIRECT(""DVT_Laboratory!"" &amp; ADDRESS(LabLevel+3,"&amp;" DVTColumn)) / LabSpeed,
    remainingTime, SUM(INDIRECT(""DVT_Laboratory!"" &amp; ADDRESS(LabLevel+3, DVTColumn) &amp; "":"" &amp; ADDRESS(MaxOrTarget+2, DVTColumn))) / LabSpeed,
  S68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8" s="1249"/>
      <c r="W68" s="1249" t="str">
        <f>IFERROR(__xludf.DUMMYFUNCTION("""COMPUTED_VALUE"""),"")</f>
        <v/>
      </c>
      <c r="X68" s="1249" t="str">
        <f>IFERROR(__xludf.DUMMYFUNCTION("""COMPUTED_VALUE"""),"")</f>
        <v/>
      </c>
      <c r="Y68" s="1249"/>
      <c r="Z68" s="1250" t="str">
        <f>IFERROR(__xludf.DUMMYFUNCTION("if(Y68 &lt;&gt; """", 
  LET( 
    TargetLevel, VLOOKUP(Y68,MS_Labs_Array,3,false),
    MaxLevel, VLOOKUP(Y68,MS_Labs_Array,4,false),
    MaxOrTarget, IF(OR(TargetLevel = """",$AD$1 &lt;&gt; ""Target""), MaxLevel, TargetLevel),
    LabLevel, VLOOKUP(Y68,MS_Labs_Array"&amp;",2,False),
    Levelprogress, LabLevel / MaxOrTarget,
    DVTColumn, MATCH(Y68,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8" s="1251" t="str">
        <f>IFERROR(__xludf.DUMMYFUNCTION("if(Y68 &lt;&gt; """", 
  LET(
    TargetLevel, VLOOKUP(Y68,MS_Labs_Array,3,false),
    LabSpeed, (1 * REGEXEXTRACT($BH$1, ""[\d.-]+"")) * {IF(Y68 =""Labs Speed"", 1+'Master Sheet'!$BK$5, LAB_SPEED_TOTAL())},
    MaxLevel, VLOOKUP(Y68,MS_Labs_Array,4,false),
   "&amp;" MaxOrTarget, IF(OR(TargetLevel = """",$AD$1 &lt;&gt; ""Target""), MaxLevel, TargetLevel),
    LabLevel, VLOOKUP(Y68,MS_Labs_Array,2,False),
    DVTColumn, MATCH(Y68, DVT_Laboratory!$A$1:BO$1, 0),
    xextTime, INDIRECT(""DVT_Laboratory!"" &amp; ADDRESS(LabLevel+3,"&amp;" DVTColumn)) / LabSpeed,
    remainingTime, SUM(INDIRECT(""DVT_Laboratory!"" &amp; ADDRESS(LabLevel+3, DVTColumn) &amp; "":"" &amp; ADDRESS(MaxOrTarget+2, DVTColumn))) / LabSpeed,
  Y68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8" s="1249"/>
      <c r="AC68" s="1249" t="str">
        <f>IFERROR(__xludf.DUMMYFUNCTION("""COMPUTED_VALUE"""),"")</f>
        <v/>
      </c>
      <c r="AD68" s="1249" t="str">
        <f>IFERROR(__xludf.DUMMYFUNCTION("""COMPUTED_VALUE"""),"")</f>
        <v/>
      </c>
      <c r="AE68" s="1249"/>
      <c r="AF68" s="1250" t="str">
        <f>IFERROR(__xludf.DUMMYFUNCTION("if(AE68 &lt;&gt; """", 
  LET( 
    TargetLevel, VLOOKUP(AE68,MS_Labs_Array,3,false),
    MaxLevel, VLOOKUP(AE68,MS_Labs_Array,4,false),
    MaxOrTarget, IF(OR(TargetLevel = """",$AD$1 &lt;&gt; ""Target""), MaxLevel, TargetLevel),
    LabLevel, VLOOKUP(AE68,MS_Labs_A"&amp;"rray,2,False),
    Levelprogress, LabLevel / MaxOrTarget,
    DVTColumn, MATCH(AE68,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8" s="1251" t="str">
        <f>IFERROR(__xludf.DUMMYFUNCTION("if(AE68 &lt;&gt; """", 
  LET(
    TargetLevel, VLOOKUP(AE68,MS_Labs_Array,3,false),
    LabSpeed, (1 * REGEXEXTRACT($BH$1, ""[\d.-]+"")) * {IF(AE68 =""Labs Speed"", 1+'Master Sheet'!$BK$5, LAB_SPEED_TOTAL())},
    MaxLevel, VLOOKUP(AE68,MS_Labs_Array,4,false),"&amp;"
    MaxOrTarget, IF(OR(TargetLevel = """",$AD$1 &lt;&gt; ""Target""), MaxLevel, TargetLevel),
    LabLevel, VLOOKUP(AE68,MS_Labs_Array,2,False),
    DVTColumn, MATCH(AE68, DVT_Laboratory!$A$1:BO$1, 0),
    xextTime, INDIRECT(""DVT_Laboratory!"" &amp; ADDRESS(LabLe"&amp;"vel+3, DVTColumn)) / LabSpeed,
    remainingTime, SUM(INDIRECT(""DVT_Laboratory!"" &amp; ADDRESS(LabLevel+3, DVTColumn) &amp; "":"" &amp; ADDRESS(MaxOrTarget+2, DVTColumn))) / LabSpeed,
  AE68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8" s="1249"/>
      <c r="AI68" s="1249" t="str">
        <f>IFERROR(__xludf.DUMMYFUNCTION("""COMPUTED_VALUE"""),"")</f>
        <v/>
      </c>
      <c r="AJ68" s="1249" t="str">
        <f>IFERROR(__xludf.DUMMYFUNCTION("""COMPUTED_VALUE"""),"")</f>
        <v/>
      </c>
      <c r="AK68" s="1249"/>
      <c r="AL68" s="1250" t="str">
        <f>IFERROR(__xludf.DUMMYFUNCTION("if(AK68 &lt;&gt; """", 
  LET( 
    TargetLevel, VLOOKUP(AK68,MS_Labs_Array,3,false),
    MaxLevel, VLOOKUP(AK68,MS_Labs_Array,4,false),
    MaxOrTarget, IF(OR(TargetLevel = """",$AD$1 &lt;&gt; ""Target""), MaxLevel, TargetLevel),
    LabLevel, VLOOKUP(AK68,MS_Labs_A"&amp;"rray,2,False),
    Levelprogress, LabLevel / MaxOrTarget,
    DVTColumn, MATCH(AK68,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8" s="1251" t="str">
        <f>IFERROR(__xludf.DUMMYFUNCTION("if(AK68 &lt;&gt; """", 
  LET(
    TargetLevel, VLOOKUP(AK68,MS_Labs_Array,3,false),
    LabSpeed, (1 * REGEXEXTRACT($BH$1, ""[\d.-]+"")) * {IF(AK68 =""Labs Speed"", 1+'Master Sheet'!$BK$5, LAB_SPEED_TOTAL())},
    MaxLevel, VLOOKUP(AK68,MS_Labs_Array,4,false),"&amp;"
    MaxOrTarget, IF(OR(TargetLevel = """",$AD$1 &lt;&gt; ""Target""), MaxLevel, TargetLevel),
    LabLevel, VLOOKUP(AK68,MS_Labs_Array,2,False),
    DVTColumn, MATCH(AK68, DVT_Laboratory!$A$1:BO$1, 0),
    xextTime, INDIRECT(""DVT_Laboratory!"" &amp; ADDRESS(LabLe"&amp;"vel+3, DVTColumn)) / LabSpeed,
    remainingTime, SUM(INDIRECT(""DVT_Laboratory!"" &amp; ADDRESS(LabLevel+3, DVTColumn) &amp; "":"" &amp; ADDRESS(MaxOrTarget+2, DVTColumn))) / LabSpeed,
  AK68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8" s="1249"/>
      <c r="AO68" s="1249" t="str">
        <f>IFERROR(__xludf.DUMMYFUNCTION("""COMPUTED_VALUE"""),"")</f>
        <v/>
      </c>
      <c r="AP68" s="1249" t="str">
        <f>IFERROR(__xludf.DUMMYFUNCTION("""COMPUTED_VALUE"""),"")</f>
        <v/>
      </c>
      <c r="AQ68" s="1249"/>
      <c r="AR68" s="1250" t="str">
        <f>IFERROR(__xludf.DUMMYFUNCTION("if(AQ68 &lt;&gt; """", 
  LET( 
    TargetLevel, VLOOKUP(AQ68,MS_Labs_Array,3,false),
    MaxLevel, VLOOKUP(AQ68,MS_Labs_Array,4,false),
    MaxOrTarget, IF(OR(TargetLevel = """",$AD$1 &lt;&gt; ""Target""), MaxLevel, TargetLevel),
    LabLevel, VLOOKUP(AQ68,MS_Labs_A"&amp;"rray,2,False),
    Levelprogress, LabLevel / MaxOrTarget,
    DVTColumn, MATCH(AQ68,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8" s="1251" t="str">
        <f>IFERROR(__xludf.DUMMYFUNCTION("if(AQ68 &lt;&gt; """", 
  LET(
    TargetLevel, VLOOKUP(AQ68,MS_Labs_Array,3,false),
    LabSpeed, (1 * REGEXEXTRACT($BH$1, ""[\d.-]+"")) * {IF(AQ68 =""Labs Speed"", 1+'Master Sheet'!$BK$5, LAB_SPEED_TOTAL())},
    MaxLevel, VLOOKUP(AQ68,MS_Labs_Array,4,false),"&amp;"
    MaxOrTarget, IF(OR(TargetLevel = """",$AD$1 &lt;&gt; ""Target""), MaxLevel, TargetLevel),
    LabLevel, VLOOKUP(AQ68,MS_Labs_Array,2,False),
    DVTColumn, MATCH(AQ68, DVT_Laboratory!$A$1:BO$1, 0),
    xextTime, INDIRECT(""DVT_Laboratory!"" &amp; ADDRESS(LabLe"&amp;"vel+3, DVTColumn)) / LabSpeed,
    remainingTime, SUM(INDIRECT(""DVT_Laboratory!"" &amp; ADDRESS(LabLevel+3, DVTColumn) &amp; "":"" &amp; ADDRESS(MaxOrTarget+2, DVTColumn))) / LabSpeed,
  AQ68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8" s="1249"/>
      <c r="AU68" s="1249" t="str">
        <f>IFERROR(__xludf.DUMMYFUNCTION("""COMPUTED_VALUE"""),"")</f>
        <v/>
      </c>
      <c r="AV68" s="1249" t="str">
        <f>IFERROR(__xludf.DUMMYFUNCTION("""COMPUTED_VALUE"""),"")</f>
        <v/>
      </c>
      <c r="AW68" s="1249"/>
      <c r="AX68" s="1250" t="str">
        <f>IFERROR(__xludf.DUMMYFUNCTION("if(AW68 &lt;&gt; """", 
  LET( 
    TargetLevel, VLOOKUP(AW68,MS_Labs_Array,3,false),
    MaxLevel, VLOOKUP(AW68,MS_Labs_Array,4,false),
    MaxOrTarget, IF(OR(TargetLevel = """",$AD$1 &lt;&gt; ""Target""), MaxLevel, TargetLevel),
    LabLevel, VLOOKUP(AW68,MS_Labs_A"&amp;"rray,2,False),
    Levelprogress, LabLevel / MaxOrTarget,
    DVTColumn, MATCH(AW68,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8" s="1251" t="str">
        <f>IFERROR(__xludf.DUMMYFUNCTION("if(AW68 &lt;&gt; """", 
  LET(
    TargetLevel, VLOOKUP(AW68,MS_Labs_Array,3,false),
    LabSpeed, (1 * REGEXEXTRACT($BH$1, ""[\d.-]+"")) * {IF(AW68 =""Labs Speed"", 1+'Master Sheet'!$BK$5, LAB_SPEED_TOTAL())},
    MaxLevel, VLOOKUP(AW68,MS_Labs_Array,4,false),"&amp;"
    MaxOrTarget, IF(OR(TargetLevel = """",$AD$1 &lt;&gt; ""Target""), MaxLevel, TargetLevel),
    LabLevel, VLOOKUP(AW68,MS_Labs_Array,2,False),
    DVTColumn, MATCH(AW68, DVT_Laboratory!$A$1:BO$1, 0),
    xextTime, INDIRECT(""DVT_Laboratory!"" &amp; ADDRESS(LabLe"&amp;"vel+3, DVTColumn)) / LabSpeed,
    remainingTime, SUM(INDIRECT(""DVT_Laboratory!"" &amp; ADDRESS(LabLevel+3, DVTColumn) &amp; "":"" &amp; ADDRESS(MaxOrTarget+2, DVTColumn))) / LabSpeed,
  AW68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8" s="1249"/>
      <c r="BA68" s="1249" t="str">
        <f>IFERROR(__xludf.DUMMYFUNCTION("""COMPUTED_VALUE"""),"")</f>
        <v/>
      </c>
      <c r="BB68" s="1249" t="str">
        <f>IFERROR(__xludf.DUMMYFUNCTION("""COMPUTED_VALUE"""),"")</f>
        <v/>
      </c>
      <c r="BC68" s="1249"/>
      <c r="BD68" s="1250" t="str">
        <f>IFERROR(__xludf.DUMMYFUNCTION("if(BC68 &lt;&gt; """", 
  LET( 
    TargetLevel, VLOOKUP(BC68,MS_Labs_Array,3,false),
    MaxLevel, VLOOKUP(BC68,MS_Labs_Array,4,false),
    MaxOrTarget, IF(OR(TargetLevel = """",$AD$1 &lt;&gt; ""Target""), MaxLevel, TargetLevel),
    LabLevel, VLOOKUP(BC68,MS_Labs_A"&amp;"rray,2,False),
    Levelprogress, LabLevel / MaxOrTarget,
    DVTColumn, MATCH(BC68,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8" s="1251" t="str">
        <f>IFERROR(__xludf.DUMMYFUNCTION("if(BC68 &lt;&gt; """", 
  LET(
    TargetLevel, VLOOKUP(BC68,MS_Labs_Array,3,false),
    LabSpeed, (1 * REGEXEXTRACT($BH$1, ""[\d.-]+"")) * {IF(BC68 =""Labs Speed"", 1+'Master Sheet'!$BK$5, LAB_SPEED_TOTAL())},
    MaxLevel, VLOOKUP(BC68,MS_Labs_Array,4,false),"&amp;"
    MaxOrTarget, IF(OR(TargetLevel = """",$AD$1 &lt;&gt; ""Target""), MaxLevel, TargetLevel),
    LabLevel, VLOOKUP(BC68,MS_Labs_Array,2,False),
    DVTColumn, MATCH(BC68, DVT_Laboratory!$A$1:BO$1, 0),
    xextTime, INDIRECT(""DVT_Laboratory!"" &amp; ADDRESS(LabLe"&amp;"vel+3, DVTColumn)) / LabSpeed,
    remainingTime, SUM(INDIRECT(""DVT_Laboratory!"" &amp; ADDRESS(LabLevel+3, DVTColumn) &amp; "":"" &amp; ADDRESS(MaxOrTarget+2, DVTColumn))) / LabSpeed,
  BC68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8" s="1249"/>
      <c r="BG68" s="1249" t="str">
        <f>IFERROR(__xludf.DUMMYFUNCTION("""COMPUTED_VALUE"""),"")</f>
        <v/>
      </c>
      <c r="BH68" s="1260" t="str">
        <f>IFERROR(__xludf.DUMMYFUNCTION("""COMPUTED_VALUE"""),"")</f>
        <v/>
      </c>
      <c r="BI68" s="1252"/>
      <c r="BJ68" s="1253" t="str">
        <f>IFERROR(__xludf.DUMMYFUNCTION("if(BI68 &lt;&gt; """", 
  LET( 
    TargetLevel, VLOOKUP(BI68,MS_Labs_Array,3,false),
    MaxLevel, VLOOKUP(BI68,MS_Labs_Array,4,false),
    MaxOrTarget, IF(OR(TargetLevel = """",$AD$1 &lt;&gt; ""Target""), MaxLevel, TargetLevel),
    LabLevel, VLOOKUP(BI68,MS_Labs_A"&amp;"rray,2,False),
    Levelprogress, IF(LabLevel &gt;= MaxOrTarget, 1, LabLevel / MaxOrTarget),
    DVTColumn, MATCH(BI68,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8" s="1254" t="str">
        <f>IFERROR(__xludf.DUMMYFUNCTION("if(BI68 &lt;&gt; """", 
  LET(
    TargetLevel, VLOOKUP(BI68,MS_Labs_Array,3,false),
    LabSpeed, (1 * REGEXEXTRACT($BH$1, ""[\d.-]+"")) * {IF(BI68 =""Labs Speed"", 1+'Master Sheet'!$BK$5, LAB_SPEED_TOTAL())},
    MaxLevel, VLOOKUP(BI68,MS_Labs_Array,4,false),"&amp;"
    MaxOrTarget, IF(OR(TargetLevel = """",$AD$1 &lt;&gt; ""Target""), MaxLevel, TargetLevel),
    LabLevel, VLOOKUP(BI68,MS_Labs_Array,2,False),
    DVTColumn, MATCH(BI68, DVT_Laboratory!$A$1:BO$1, 0),
    xextTime, INDIRECT(""DVT_Laboratory!"" &amp; ADDRESS(LabLe"&amp;"vel+3, DVTColumn)) / LabSpeed,
    remainingTime, SUM(INDIRECT(""DVT_Laboratory!"" &amp; ADDRESS(LabLevel+3, DVTColumn) &amp; "":"" &amp; ADDRESS(MaxOrTarget+2, DVTColumn))) / LabSpeed,
  BI68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8" s="1252"/>
      <c r="BM68" s="1252" t="str">
        <f>IFERROR(__xludf.DUMMYFUNCTION("""COMPUTED_VALUE"""),"Extra Extra Orbs
  Lab Level:      2 / 2 (Max)
  Next Level:    
  Max Level:     0d  8h 49m")</f>
        <v>Extra Extra Orbs
  Lab Level:      2 / 2 (Max)
  Next Level:    
  Max Level:     0d  8h 49m</v>
      </c>
      <c r="BN68" s="1222"/>
      <c r="BO68" s="1261"/>
    </row>
    <row r="69">
      <c r="A69" s="1222"/>
      <c r="B69" s="1257"/>
      <c r="C69" s="1304" t="s">
        <v>264</v>
      </c>
      <c r="D69" s="1280" t="str">
        <f>VLOOKUP(C69,'Remote Tier List'!A:D, 2, FALSE)</f>
        <v>A</v>
      </c>
      <c r="E69" s="1281" t="str">
        <f>VLOOKUP(C69,'Remote Tier List'!A:D, 3, FALSE)</f>
        <v/>
      </c>
      <c r="F69" s="1300"/>
      <c r="G69" s="1245" t="b">
        <f>IFERROR(AND(VLOOKUP("Tier 7",'_IDS'!$BZ$3:$DT$23, 2, FALSE) &gt; 50,  IDS_UW_OWN("Poison Swamp")), true)</f>
        <v>0</v>
      </c>
      <c r="H69" s="1246" t="str">
        <f t="array" ref="H69:I69">LET(
  Lab, $C69,
  Mode, $AD$1,
  Level, VLOOKUP(Lab, MS_Labs_Array, 2, FALSE),
  Target, VLOOKUP(Lab, MS_Labs_Array, 3, FALSE),
  Max, VLOOKUP(Lab, MS_Labs_Array, 4, FALSE),
  Result,
    IF(
      AND(
        Mode &lt;&gt; "Never",
        Level &gt;= IF(OR(Target = "", Mode = "Max"), Max, Target)
      ),
      "Completed",
      ""
    ),
  HSTACK(
    IF(Result &lt;&gt; "", Result, $D69),
    IF(Result &lt;&gt; "", Result, IF($E69 = "", $D69, $E69))
  )
)</f>
        <v>A</v>
      </c>
      <c r="I69" s="1247" t="s">
        <v>545</v>
      </c>
      <c r="J69" s="1248" t="str">
        <f t="shared" si="18"/>
        <v>Great complementary source of crowd control</v>
      </c>
      <c r="K69" s="1229"/>
      <c r="L69" s="1249"/>
      <c r="M69" s="1249"/>
      <c r="N69" s="1250" t="str">
        <f>IFERROR(__xludf.DUMMYFUNCTION("if(M69 &lt;&gt; """", 
  LET( 
    TargetLevel, VLOOKUP(M69,MS_Labs_Array,3,false),
    MaxLevel, VLOOKUP(M69,MS_Labs_Array,4,false),
    MaxOrTarget, IF(OR(TargetLevel = """",$AD$1 &lt;&gt; ""Target""), MaxLevel, TargetLevel),
    LabLevel, VLOOKUP(M69,MS_Labs_Array"&amp;",2,False),
    Levelprogress, LabLevel / MaxOrTarget,
    DVTColumn, MATCH(M69,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9" s="1251" t="str">
        <f>IFERROR(__xludf.DUMMYFUNCTION("if(M69 &lt;&gt; """", 
  LET(
    TargetLevel, VLOOKUP(M69,MS_Labs_Array,3,false),
    LabSpeed, (1 * REGEXEXTRACT($BH$1, ""[\d.-]+"")) * {IF(M69 =""Labs Speed"", 1+'Master Sheet'!$BK$5, LAB_SPEED_TOTAL())},
    MaxLevel, VLOOKUP(M69,MS_Labs_Array,4,false),
   "&amp;" MaxOrTarget, IF(OR(TargetLevel = """",$AD$1 &lt;&gt; ""Target""), MaxLevel, TargetLevel),
    LabLevel, VLOOKUP(M69,MS_Labs_Array,2,False),
    DVTColumn, MATCH(M69, DVT_Laboratory!$A$1:BO$1, 0),
    xextTime, INDIRECT(""DVT_Laboratory!"" &amp; ADDRESS(LabLevel+3,"&amp;" DVTColumn)) / LabSpeed,
    remainingTime, SUM(INDIRECT(""DVT_Laboratory!"" &amp; ADDRESS(LabLevel+3, DVTColumn) &amp; "":"" &amp; ADDRESS(MaxOrTarget+2, DVTColumn))) / LabSpeed,
  M69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9" s="1249"/>
      <c r="Q69" s="1249"/>
      <c r="R69" s="1249"/>
      <c r="S69" s="1249"/>
      <c r="T69" s="1250" t="str">
        <f>IFERROR(__xludf.DUMMYFUNCTION("if(S69 &lt;&gt; """", 
  LET( 
    TargetLevel, VLOOKUP(S69,MS_Labs_Array,3,false),
    MaxLevel, VLOOKUP(S69,MS_Labs_Array,4,false),
    MaxOrTarget, IF(OR(TargetLevel = """",$AD$1 &lt;&gt; ""Target""), MaxLevel, TargetLevel),
    LabLevel, VLOOKUP(S69,MS_Labs_Array"&amp;",2,False),
    Levelprogress, LabLevel / MaxOrTarget,
    DVTColumn, MATCH(S69,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9" s="1251" t="str">
        <f>IFERROR(__xludf.DUMMYFUNCTION("if(S69 &lt;&gt; """", 
  LET(
    TargetLevel, VLOOKUP(S69,MS_Labs_Array,3,false),
    LabSpeed, (1 * REGEXEXTRACT($BH$1, ""[\d.-]+"")) * {IF(S69 =""Labs Speed"", 1+'Master Sheet'!$BK$5, LAB_SPEED_TOTAL())},
    MaxLevel, VLOOKUP(S69,MS_Labs_Array,4,false),
   "&amp;" MaxOrTarget, IF(OR(TargetLevel = """",$AD$1 &lt;&gt; ""Target""), MaxLevel, TargetLevel),
    LabLevel, VLOOKUP(S69,MS_Labs_Array,2,False),
    DVTColumn, MATCH(S69, DVT_Laboratory!$A$1:BO$1, 0),
    xextTime, INDIRECT(""DVT_Laboratory!"" &amp; ADDRESS(LabLevel+3,"&amp;" DVTColumn)) / LabSpeed,
    remainingTime, SUM(INDIRECT(""DVT_Laboratory!"" &amp; ADDRESS(LabLevel+3, DVTColumn) &amp; "":"" &amp; ADDRESS(MaxOrTarget+2, DVTColumn))) / LabSpeed,
  S69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9" s="1249"/>
      <c r="W69" s="1249"/>
      <c r="X69" s="1249"/>
      <c r="Y69" s="1249"/>
      <c r="Z69" s="1250" t="str">
        <f>IFERROR(__xludf.DUMMYFUNCTION("if(Y69 &lt;&gt; """", 
  LET( 
    TargetLevel, VLOOKUP(Y69,MS_Labs_Array,3,false),
    MaxLevel, VLOOKUP(Y69,MS_Labs_Array,4,false),
    MaxOrTarget, IF(OR(TargetLevel = """",$AD$1 &lt;&gt; ""Target""), MaxLevel, TargetLevel),
    LabLevel, VLOOKUP(Y69,MS_Labs_Array"&amp;",2,False),
    Levelprogress, LabLevel / MaxOrTarget,
    DVTColumn, MATCH(Y69,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9" s="1251" t="str">
        <f>IFERROR(__xludf.DUMMYFUNCTION("if(Y69 &lt;&gt; """", 
  LET(
    TargetLevel, VLOOKUP(Y69,MS_Labs_Array,3,false),
    LabSpeed, (1 * REGEXEXTRACT($BH$1, ""[\d.-]+"")) * {IF(Y69 =""Labs Speed"", 1+'Master Sheet'!$BK$5, LAB_SPEED_TOTAL())},
    MaxLevel, VLOOKUP(Y69,MS_Labs_Array,4,false),
   "&amp;" MaxOrTarget, IF(OR(TargetLevel = """",$AD$1 &lt;&gt; ""Target""), MaxLevel, TargetLevel),
    LabLevel, VLOOKUP(Y69,MS_Labs_Array,2,False),
    DVTColumn, MATCH(Y69, DVT_Laboratory!$A$1:BO$1, 0),
    xextTime, INDIRECT(""DVT_Laboratory!"" &amp; ADDRESS(LabLevel+3,"&amp;" DVTColumn)) / LabSpeed,
    remainingTime, SUM(INDIRECT(""DVT_Laboratory!"" &amp; ADDRESS(LabLevel+3, DVTColumn) &amp; "":"" &amp; ADDRESS(MaxOrTarget+2, DVTColumn))) / LabSpeed,
  Y69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9" s="1249"/>
      <c r="AC69" s="1249"/>
      <c r="AD69" s="1249"/>
      <c r="AE69" s="1249"/>
      <c r="AF69" s="1250" t="str">
        <f>IFERROR(__xludf.DUMMYFUNCTION("if(AE69 &lt;&gt; """", 
  LET( 
    TargetLevel, VLOOKUP(AE69,MS_Labs_Array,3,false),
    MaxLevel, VLOOKUP(AE69,MS_Labs_Array,4,false),
    MaxOrTarget, IF(OR(TargetLevel = """",$AD$1 &lt;&gt; ""Target""), MaxLevel, TargetLevel),
    LabLevel, VLOOKUP(AE69,MS_Labs_A"&amp;"rray,2,False),
    Levelprogress, LabLevel / MaxOrTarget,
    DVTColumn, MATCH(AE69,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9" s="1251" t="str">
        <f>IFERROR(__xludf.DUMMYFUNCTION("if(AE69 &lt;&gt; """", 
  LET(
    TargetLevel, VLOOKUP(AE69,MS_Labs_Array,3,false),
    LabSpeed, (1 * REGEXEXTRACT($BH$1, ""[\d.-]+"")) * {IF(AE69 =""Labs Speed"", 1+'Master Sheet'!$BK$5, LAB_SPEED_TOTAL())},
    MaxLevel, VLOOKUP(AE69,MS_Labs_Array,4,false),"&amp;"
    MaxOrTarget, IF(OR(TargetLevel = """",$AD$1 &lt;&gt; ""Target""), MaxLevel, TargetLevel),
    LabLevel, VLOOKUP(AE69,MS_Labs_Array,2,False),
    DVTColumn, MATCH(AE69, DVT_Laboratory!$A$1:BO$1, 0),
    xextTime, INDIRECT(""DVT_Laboratory!"" &amp; ADDRESS(LabLe"&amp;"vel+3, DVTColumn)) / LabSpeed,
    remainingTime, SUM(INDIRECT(""DVT_Laboratory!"" &amp; ADDRESS(LabLevel+3, DVTColumn) &amp; "":"" &amp; ADDRESS(MaxOrTarget+2, DVTColumn))) / LabSpeed,
  AE69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9" s="1249"/>
      <c r="AI69" s="1249"/>
      <c r="AJ69" s="1249"/>
      <c r="AK69" s="1249"/>
      <c r="AL69" s="1250" t="str">
        <f>IFERROR(__xludf.DUMMYFUNCTION("if(AK69 &lt;&gt; """", 
  LET( 
    TargetLevel, VLOOKUP(AK69,MS_Labs_Array,3,false),
    MaxLevel, VLOOKUP(AK69,MS_Labs_Array,4,false),
    MaxOrTarget, IF(OR(TargetLevel = """",$AD$1 &lt;&gt; ""Target""), MaxLevel, TargetLevel),
    LabLevel, VLOOKUP(AK69,MS_Labs_A"&amp;"rray,2,False),
    Levelprogress, LabLevel / MaxOrTarget,
    DVTColumn, MATCH(AK69,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9" s="1251" t="str">
        <f>IFERROR(__xludf.DUMMYFUNCTION("if(AK69 &lt;&gt; """", 
  LET(
    TargetLevel, VLOOKUP(AK69,MS_Labs_Array,3,false),
    LabSpeed, (1 * REGEXEXTRACT($BH$1, ""[\d.-]+"")) * {IF(AK69 =""Labs Speed"", 1+'Master Sheet'!$BK$5, LAB_SPEED_TOTAL())},
    MaxLevel, VLOOKUP(AK69,MS_Labs_Array,4,false),"&amp;"
    MaxOrTarget, IF(OR(TargetLevel = """",$AD$1 &lt;&gt; ""Target""), MaxLevel, TargetLevel),
    LabLevel, VLOOKUP(AK69,MS_Labs_Array,2,False),
    DVTColumn, MATCH(AK69, DVT_Laboratory!$A$1:BO$1, 0),
    xextTime, INDIRECT(""DVT_Laboratory!"" &amp; ADDRESS(LabLe"&amp;"vel+3, DVTColumn)) / LabSpeed,
    remainingTime, SUM(INDIRECT(""DVT_Laboratory!"" &amp; ADDRESS(LabLevel+3, DVTColumn) &amp; "":"" &amp; ADDRESS(MaxOrTarget+2, DVTColumn))) / LabSpeed,
  AK69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9" s="1249"/>
      <c r="AO69" s="1249"/>
      <c r="AP69" s="1249"/>
      <c r="AQ69" s="1249"/>
      <c r="AR69" s="1250" t="str">
        <f>IFERROR(__xludf.DUMMYFUNCTION("if(AQ69 &lt;&gt; """", 
  LET( 
    TargetLevel, VLOOKUP(AQ69,MS_Labs_Array,3,false),
    MaxLevel, VLOOKUP(AQ69,MS_Labs_Array,4,false),
    MaxOrTarget, IF(OR(TargetLevel = """",$AD$1 &lt;&gt; ""Target""), MaxLevel, TargetLevel),
    LabLevel, VLOOKUP(AQ69,MS_Labs_A"&amp;"rray,2,False),
    Levelprogress, LabLevel / MaxOrTarget,
    DVTColumn, MATCH(AQ69,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9" s="1251" t="str">
        <f>IFERROR(__xludf.DUMMYFUNCTION("if(AQ69 &lt;&gt; """", 
  LET(
    TargetLevel, VLOOKUP(AQ69,MS_Labs_Array,3,false),
    LabSpeed, (1 * REGEXEXTRACT($BH$1, ""[\d.-]+"")) * {IF(AQ69 =""Labs Speed"", 1+'Master Sheet'!$BK$5, LAB_SPEED_TOTAL())},
    MaxLevel, VLOOKUP(AQ69,MS_Labs_Array,4,false),"&amp;"
    MaxOrTarget, IF(OR(TargetLevel = """",$AD$1 &lt;&gt; ""Target""), MaxLevel, TargetLevel),
    LabLevel, VLOOKUP(AQ69,MS_Labs_Array,2,False),
    DVTColumn, MATCH(AQ69, DVT_Laboratory!$A$1:BO$1, 0),
    xextTime, INDIRECT(""DVT_Laboratory!"" &amp; ADDRESS(LabLe"&amp;"vel+3, DVTColumn)) / LabSpeed,
    remainingTime, SUM(INDIRECT(""DVT_Laboratory!"" &amp; ADDRESS(LabLevel+3, DVTColumn) &amp; "":"" &amp; ADDRESS(MaxOrTarget+2, DVTColumn))) / LabSpeed,
  AQ69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9" s="1249"/>
      <c r="AU69" s="1249"/>
      <c r="AV69" s="1249"/>
      <c r="AW69" s="1249"/>
      <c r="AX69" s="1250" t="str">
        <f>IFERROR(__xludf.DUMMYFUNCTION("if(AW69 &lt;&gt; """", 
  LET( 
    TargetLevel, VLOOKUP(AW69,MS_Labs_Array,3,false),
    MaxLevel, VLOOKUP(AW69,MS_Labs_Array,4,false),
    MaxOrTarget, IF(OR(TargetLevel = """",$AD$1 &lt;&gt; ""Target""), MaxLevel, TargetLevel),
    LabLevel, VLOOKUP(AW69,MS_Labs_A"&amp;"rray,2,False),
    Levelprogress, LabLevel / MaxOrTarget,
    DVTColumn, MATCH(AW69,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9" s="1251" t="str">
        <f>IFERROR(__xludf.DUMMYFUNCTION("if(AW69 &lt;&gt; """", 
  LET(
    TargetLevel, VLOOKUP(AW69,MS_Labs_Array,3,false),
    LabSpeed, (1 * REGEXEXTRACT($BH$1, ""[\d.-]+"")) * {IF(AW69 =""Labs Speed"", 1+'Master Sheet'!$BK$5, LAB_SPEED_TOTAL())},
    MaxLevel, VLOOKUP(AW69,MS_Labs_Array,4,false),"&amp;"
    MaxOrTarget, IF(OR(TargetLevel = """",$AD$1 &lt;&gt; ""Target""), MaxLevel, TargetLevel),
    LabLevel, VLOOKUP(AW69,MS_Labs_Array,2,False),
    DVTColumn, MATCH(AW69, DVT_Laboratory!$A$1:BO$1, 0),
    xextTime, INDIRECT(""DVT_Laboratory!"" &amp; ADDRESS(LabLe"&amp;"vel+3, DVTColumn)) / LabSpeed,
    remainingTime, SUM(INDIRECT(""DVT_Laboratory!"" &amp; ADDRESS(LabLevel+3, DVTColumn) &amp; "":"" &amp; ADDRESS(MaxOrTarget+2, DVTColumn))) / LabSpeed,
  AW69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9" s="1249"/>
      <c r="BA69" s="1249"/>
      <c r="BB69" s="1249"/>
      <c r="BC69" s="1249"/>
      <c r="BD69" s="1250" t="str">
        <f>IFERROR(__xludf.DUMMYFUNCTION("if(BC69 &lt;&gt; """", 
  LET( 
    TargetLevel, VLOOKUP(BC69,MS_Labs_Array,3,false),
    MaxLevel, VLOOKUP(BC69,MS_Labs_Array,4,false),
    MaxOrTarget, IF(OR(TargetLevel = """",$AD$1 &lt;&gt; ""Target""), MaxLevel, TargetLevel),
    LabLevel, VLOOKUP(BC69,MS_Labs_A"&amp;"rray,2,False),
    Levelprogress, LabLevel / MaxOrTarget,
    DVTColumn, MATCH(BC69,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9" s="1251" t="str">
        <f>IFERROR(__xludf.DUMMYFUNCTION("if(BC69 &lt;&gt; """", 
  LET(
    TargetLevel, VLOOKUP(BC69,MS_Labs_Array,3,false),
    LabSpeed, (1 * REGEXEXTRACT($BH$1, ""[\d.-]+"")) * {IF(BC69 =""Labs Speed"", 1+'Master Sheet'!$BK$5, LAB_SPEED_TOTAL())},
    MaxLevel, VLOOKUP(BC69,MS_Labs_Array,4,false),"&amp;"
    MaxOrTarget, IF(OR(TargetLevel = """",$AD$1 &lt;&gt; ""Target""), MaxLevel, TargetLevel),
    LabLevel, VLOOKUP(BC69,MS_Labs_Array,2,False),
    DVTColumn, MATCH(BC69, DVT_Laboratory!$A$1:BO$1, 0),
    xextTime, INDIRECT(""DVT_Laboratory!"" &amp; ADDRESS(LabLe"&amp;"vel+3, DVTColumn)) / LabSpeed,
    remainingTime, SUM(INDIRECT(""DVT_Laboratory!"" &amp; ADDRESS(LabLevel+3, DVTColumn) &amp; "":"" &amp; ADDRESS(MaxOrTarget+2, DVTColumn))) / LabSpeed,
  BC69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9" s="1249"/>
      <c r="BG69" s="1249"/>
      <c r="BH69" s="1260" t="str">
        <f>IFERROR(__xludf.DUMMYFUNCTION("""COMPUTED_VALUE"""),"Energy Shield Extra Hit")</f>
        <v>Energy Shield Extra Hit</v>
      </c>
      <c r="BI69" s="1252"/>
      <c r="BJ69" s="1253" t="str">
        <f>IFERROR(__xludf.DUMMYFUNCTION("if(BI69 &lt;&gt; """", 
  LET( 
    TargetLevel, VLOOKUP(BI69,MS_Labs_Array,3,false),
    MaxLevel, VLOOKUP(BI69,MS_Labs_Array,4,false),
    MaxOrTarget, IF(OR(TargetLevel = """",$AD$1 &lt;&gt; ""Target""), MaxLevel, TargetLevel),
    LabLevel, VLOOKUP(BI69,MS_Labs_A"&amp;"rray,2,False),
    Levelprogress, IF(LabLevel &gt;= MaxOrTarget, 1, LabLevel / MaxOrTarget),
    DVTColumn, MATCH(BI69,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9" s="1254" t="str">
        <f>IFERROR(__xludf.DUMMYFUNCTION("if(BI69 &lt;&gt; """", 
  LET(
    TargetLevel, VLOOKUP(BI69,MS_Labs_Array,3,false),
    LabSpeed, (1 * REGEXEXTRACT($BH$1, ""[\d.-]+"")) * {IF(BI69 =""Labs Speed"", 1+'Master Sheet'!$BK$5, LAB_SPEED_TOTAL())},
    MaxLevel, VLOOKUP(BI69,MS_Labs_Array,4,false),"&amp;"
    MaxOrTarget, IF(OR(TargetLevel = """",$AD$1 &lt;&gt; ""Target""), MaxLevel, TargetLevel),
    LabLevel, VLOOKUP(BI69,MS_Labs_Array,2,False),
    DVTColumn, MATCH(BI69, DVT_Laboratory!$A$1:BO$1, 0),
    xextTime, INDIRECT(""DVT_Laboratory!"" &amp; ADDRESS(LabLe"&amp;"vel+3, DVTColumn)) / LabSpeed,
    remainingTime, SUM(INDIRECT(""DVT_Laboratory!"" &amp; ADDRESS(LabLevel+3, DVTColumn) &amp; "":"" &amp; ADDRESS(MaxOrTarget+2, DVTColumn))) / LabSpeed,
  BI69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9" s="1252"/>
      <c r="BM69" s="1252" t="str">
        <f>IFERROR(__xludf.DUMMYFUNCTION("""COMPUTED_VALUE"""),"Okay early for the mission, truly incredible later (Legend tourney or Glass Cannon farm) with the way Death Defy is checked before charge is used")</f>
        <v>Okay early for the mission, truly incredible later (Legend tourney or Glass Cannon farm) with the way Death Defy is checked before charge is used</v>
      </c>
      <c r="BN69" s="1222"/>
      <c r="BO69" s="1261"/>
    </row>
    <row r="70" ht="7.5" customHeight="1">
      <c r="A70" s="1222"/>
      <c r="B70" s="1257"/>
      <c r="C70" s="1304" t="s">
        <v>273</v>
      </c>
      <c r="D70" s="1280" t="str">
        <f>VLOOKUP(C70,'Remote Tier List'!A:D, 2, FALSE)</f>
        <v>A</v>
      </c>
      <c r="E70" s="1281" t="str">
        <f>VLOOKUP(C70,'Remote Tier List'!A:D, 3, FALSE)</f>
        <v/>
      </c>
      <c r="F70" s="1300"/>
      <c r="G70" s="1245" t="b">
        <f>IFERROR(AND(VLOOKUP("Tier 7",'_IDS'!$BZ$3:$DT$23, 2, FALSE) &gt; 50,  IDS_UW_OWN("Poison Swamp")), true)</f>
        <v>0</v>
      </c>
      <c r="H70" s="1246" t="str">
        <f t="array" ref="H70:I70">LET(
  Lab, $C70,
  Mode, $AD$1,
  Level, VLOOKUP(Lab, MS_Labs_Array, 2, FALSE),
  Target, VLOOKUP(Lab, MS_Labs_Array, 3, FALSE),
  Max, VLOOKUP(Lab, MS_Labs_Array, 4, FALSE),
  Result,
    IF(
      AND(
        Mode &lt;&gt; "Never",
        Level &gt;= IF(OR(Target = "", Mode = "Max"), Max, Target)
      ),
      "Completed",
      ""
    ),
  HSTACK(
    IF(Result &lt;&gt; "", Result, $D70),
    IF(Result &lt;&gt; "", Result, IF($E70 = "", $D70, $E70))
  )
)</f>
        <v>A</v>
      </c>
      <c r="I70" s="1247" t="s">
        <v>545</v>
      </c>
      <c r="J70" s="1248" t="str">
        <f t="shared" si="18"/>
        <v>Great complementary source of crowd control</v>
      </c>
      <c r="K70" s="1229"/>
      <c r="L70" s="1249" t="str">
        <f>IFERROR(__xludf.DUMMYFUNCTION("""COMPUTED_VALUE"""),"")</f>
        <v/>
      </c>
      <c r="M70" s="1249"/>
      <c r="N70" s="1250" t="str">
        <f>IFERROR(__xludf.DUMMYFUNCTION("if(M70 &lt;&gt; """", 
  LET( 
    TargetLevel, VLOOKUP(M70,MS_Labs_Array,3,false),
    MaxLevel, VLOOKUP(M70,MS_Labs_Array,4,false),
    MaxOrTarget, IF(OR(TargetLevel = """",$AD$1 &lt;&gt; ""Target""), MaxLevel, TargetLevel),
    LabLevel, VLOOKUP(M70,MS_Labs_Array"&amp;",2,False),
    Levelprogress, LabLevel / MaxOrTarget,
    DVTColumn, MATCH(M70,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0" s="1251" t="str">
        <f>IFERROR(__xludf.DUMMYFUNCTION("if(M70 &lt;&gt; """", 
  LET(
    TargetLevel, VLOOKUP(M70,MS_Labs_Array,3,false),
    LabSpeed, (1 * REGEXEXTRACT($BH$1, ""[\d.-]+"")) * {IF(M70 =""Labs Speed"", 1+'Master Sheet'!$BK$5, LAB_SPEED_TOTAL())},
    MaxLevel, VLOOKUP(M70,MS_Labs_Array,4,false),
   "&amp;" MaxOrTarget, IF(OR(TargetLevel = """",$AD$1 &lt;&gt; ""Target""), MaxLevel, TargetLevel),
    LabLevel, VLOOKUP(M70,MS_Labs_Array,2,False),
    DVTColumn, MATCH(M70, DVT_Laboratory!$A$1:BO$1, 0),
    xextTime, INDIRECT(""DVT_Laboratory!"" &amp; ADDRESS(LabLevel+3,"&amp;" DVTColumn)) / LabSpeed,
    remainingTime, SUM(INDIRECT(""DVT_Laboratory!"" &amp; ADDRESS(LabLevel+3, DVTColumn) &amp; "":"" &amp; ADDRESS(MaxOrTarget+2, DVTColumn))) / LabSpeed,
  M70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0" s="1249"/>
      <c r="Q70" s="1249" t="str">
        <f>IFERROR(__xludf.DUMMYFUNCTION("""COMPUTED_VALUE"""),"")</f>
        <v/>
      </c>
      <c r="R70" s="1249" t="str">
        <f>IFERROR(__xludf.DUMMYFUNCTION("""COMPUTED_VALUE"""),"")</f>
        <v/>
      </c>
      <c r="S70" s="1249"/>
      <c r="T70" s="1250" t="str">
        <f>IFERROR(__xludf.DUMMYFUNCTION("if(S70 &lt;&gt; """", 
  LET( 
    TargetLevel, VLOOKUP(S70,MS_Labs_Array,3,false),
    MaxLevel, VLOOKUP(S70,MS_Labs_Array,4,false),
    MaxOrTarget, IF(OR(TargetLevel = """",$AD$1 &lt;&gt; ""Target""), MaxLevel, TargetLevel),
    LabLevel, VLOOKUP(S70,MS_Labs_Array"&amp;",2,False),
    Levelprogress, LabLevel / MaxOrTarget,
    DVTColumn, MATCH(S70,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0" s="1251" t="str">
        <f>IFERROR(__xludf.DUMMYFUNCTION("if(S70 &lt;&gt; """", 
  LET(
    TargetLevel, VLOOKUP(S70,MS_Labs_Array,3,false),
    LabSpeed, (1 * REGEXEXTRACT($BH$1, ""[\d.-]+"")) * {IF(S70 =""Labs Speed"", 1+'Master Sheet'!$BK$5, LAB_SPEED_TOTAL())},
    MaxLevel, VLOOKUP(S70,MS_Labs_Array,4,false),
   "&amp;" MaxOrTarget, IF(OR(TargetLevel = """",$AD$1 &lt;&gt; ""Target""), MaxLevel, TargetLevel),
    LabLevel, VLOOKUP(S70,MS_Labs_Array,2,False),
    DVTColumn, MATCH(S70, DVT_Laboratory!$A$1:BO$1, 0),
    xextTime, INDIRECT(""DVT_Laboratory!"" &amp; ADDRESS(LabLevel+3,"&amp;" DVTColumn)) / LabSpeed,
    remainingTime, SUM(INDIRECT(""DVT_Laboratory!"" &amp; ADDRESS(LabLevel+3, DVTColumn) &amp; "":"" &amp; ADDRESS(MaxOrTarget+2, DVTColumn))) / LabSpeed,
  S70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0" s="1249"/>
      <c r="W70" s="1249" t="str">
        <f>IFERROR(__xludf.DUMMYFUNCTION("""COMPUTED_VALUE"""),"")</f>
        <v/>
      </c>
      <c r="X70" s="1249" t="str">
        <f>IFERROR(__xludf.DUMMYFUNCTION("""COMPUTED_VALUE"""),"")</f>
        <v/>
      </c>
      <c r="Y70" s="1249"/>
      <c r="Z70" s="1250" t="str">
        <f>IFERROR(__xludf.DUMMYFUNCTION("if(Y70 &lt;&gt; """", 
  LET( 
    TargetLevel, VLOOKUP(Y70,MS_Labs_Array,3,false),
    MaxLevel, VLOOKUP(Y70,MS_Labs_Array,4,false),
    MaxOrTarget, IF(OR(TargetLevel = """",$AD$1 &lt;&gt; ""Target""), MaxLevel, TargetLevel),
    LabLevel, VLOOKUP(Y70,MS_Labs_Array"&amp;",2,False),
    Levelprogress, LabLevel / MaxOrTarget,
    DVTColumn, MATCH(Y70,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0" s="1251" t="str">
        <f>IFERROR(__xludf.DUMMYFUNCTION("if(Y70 &lt;&gt; """", 
  LET(
    TargetLevel, VLOOKUP(Y70,MS_Labs_Array,3,false),
    LabSpeed, (1 * REGEXEXTRACT($BH$1, ""[\d.-]+"")) * {IF(Y70 =""Labs Speed"", 1+'Master Sheet'!$BK$5, LAB_SPEED_TOTAL())},
    MaxLevel, VLOOKUP(Y70,MS_Labs_Array,4,false),
   "&amp;" MaxOrTarget, IF(OR(TargetLevel = """",$AD$1 &lt;&gt; ""Target""), MaxLevel, TargetLevel),
    LabLevel, VLOOKUP(Y70,MS_Labs_Array,2,False),
    DVTColumn, MATCH(Y70, DVT_Laboratory!$A$1:BO$1, 0),
    xextTime, INDIRECT(""DVT_Laboratory!"" &amp; ADDRESS(LabLevel+3,"&amp;" DVTColumn)) / LabSpeed,
    remainingTime, SUM(INDIRECT(""DVT_Laboratory!"" &amp; ADDRESS(LabLevel+3, DVTColumn) &amp; "":"" &amp; ADDRESS(MaxOrTarget+2, DVTColumn))) / LabSpeed,
  Y70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0" s="1249"/>
      <c r="AC70" s="1249" t="str">
        <f>IFERROR(__xludf.DUMMYFUNCTION("""COMPUTED_VALUE"""),"")</f>
        <v/>
      </c>
      <c r="AD70" s="1249" t="str">
        <f>IFERROR(__xludf.DUMMYFUNCTION("""COMPUTED_VALUE"""),"")</f>
        <v/>
      </c>
      <c r="AE70" s="1249"/>
      <c r="AF70" s="1250" t="str">
        <f>IFERROR(__xludf.DUMMYFUNCTION("if(AE70 &lt;&gt; """", 
  LET( 
    TargetLevel, VLOOKUP(AE70,MS_Labs_Array,3,false),
    MaxLevel, VLOOKUP(AE70,MS_Labs_Array,4,false),
    MaxOrTarget, IF(OR(TargetLevel = """",$AD$1 &lt;&gt; ""Target""), MaxLevel, TargetLevel),
    LabLevel, VLOOKUP(AE70,MS_Labs_A"&amp;"rray,2,False),
    Levelprogress, LabLevel / MaxOrTarget,
    DVTColumn, MATCH(AE70,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0" s="1251" t="str">
        <f>IFERROR(__xludf.DUMMYFUNCTION("if(AE70 &lt;&gt; """", 
  LET(
    TargetLevel, VLOOKUP(AE70,MS_Labs_Array,3,false),
    LabSpeed, (1 * REGEXEXTRACT($BH$1, ""[\d.-]+"")) * {IF(AE70 =""Labs Speed"", 1+'Master Sheet'!$BK$5, LAB_SPEED_TOTAL())},
    MaxLevel, VLOOKUP(AE70,MS_Labs_Array,4,false),"&amp;"
    MaxOrTarget, IF(OR(TargetLevel = """",$AD$1 &lt;&gt; ""Target""), MaxLevel, TargetLevel),
    LabLevel, VLOOKUP(AE70,MS_Labs_Array,2,False),
    DVTColumn, MATCH(AE70, DVT_Laboratory!$A$1:BO$1, 0),
    xextTime, INDIRECT(""DVT_Laboratory!"" &amp; ADDRESS(LabLe"&amp;"vel+3, DVTColumn)) / LabSpeed,
    remainingTime, SUM(INDIRECT(""DVT_Laboratory!"" &amp; ADDRESS(LabLevel+3, DVTColumn) &amp; "":"" &amp; ADDRESS(MaxOrTarget+2, DVTColumn))) / LabSpeed,
  AE70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0" s="1249"/>
      <c r="AI70" s="1249" t="str">
        <f>IFERROR(__xludf.DUMMYFUNCTION("""COMPUTED_VALUE"""),"")</f>
        <v/>
      </c>
      <c r="AJ70" s="1249" t="str">
        <f>IFERROR(__xludf.DUMMYFUNCTION("""COMPUTED_VALUE"""),"")</f>
        <v/>
      </c>
      <c r="AK70" s="1249"/>
      <c r="AL70" s="1250" t="str">
        <f>IFERROR(__xludf.DUMMYFUNCTION("if(AK70 &lt;&gt; """", 
  LET( 
    TargetLevel, VLOOKUP(AK70,MS_Labs_Array,3,false),
    MaxLevel, VLOOKUP(AK70,MS_Labs_Array,4,false),
    MaxOrTarget, IF(OR(TargetLevel = """",$AD$1 &lt;&gt; ""Target""), MaxLevel, TargetLevel),
    LabLevel, VLOOKUP(AK70,MS_Labs_A"&amp;"rray,2,False),
    Levelprogress, LabLevel / MaxOrTarget,
    DVTColumn, MATCH(AK70,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0" s="1251" t="str">
        <f>IFERROR(__xludf.DUMMYFUNCTION("if(AK70 &lt;&gt; """", 
  LET(
    TargetLevel, VLOOKUP(AK70,MS_Labs_Array,3,false),
    LabSpeed, (1 * REGEXEXTRACT($BH$1, ""[\d.-]+"")) * {IF(AK70 =""Labs Speed"", 1+'Master Sheet'!$BK$5, LAB_SPEED_TOTAL())},
    MaxLevel, VLOOKUP(AK70,MS_Labs_Array,4,false),"&amp;"
    MaxOrTarget, IF(OR(TargetLevel = """",$AD$1 &lt;&gt; ""Target""), MaxLevel, TargetLevel),
    LabLevel, VLOOKUP(AK70,MS_Labs_Array,2,False),
    DVTColumn, MATCH(AK70, DVT_Laboratory!$A$1:BO$1, 0),
    xextTime, INDIRECT(""DVT_Laboratory!"" &amp; ADDRESS(LabLe"&amp;"vel+3, DVTColumn)) / LabSpeed,
    remainingTime, SUM(INDIRECT(""DVT_Laboratory!"" &amp; ADDRESS(LabLevel+3, DVTColumn) &amp; "":"" &amp; ADDRESS(MaxOrTarget+2, DVTColumn))) / LabSpeed,
  AK70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0" s="1249"/>
      <c r="AO70" s="1249" t="str">
        <f>IFERROR(__xludf.DUMMYFUNCTION("""COMPUTED_VALUE"""),"")</f>
        <v/>
      </c>
      <c r="AP70" s="1249" t="str">
        <f>IFERROR(__xludf.DUMMYFUNCTION("""COMPUTED_VALUE"""),"")</f>
        <v/>
      </c>
      <c r="AQ70" s="1249"/>
      <c r="AR70" s="1250" t="str">
        <f>IFERROR(__xludf.DUMMYFUNCTION("if(AQ70 &lt;&gt; """", 
  LET( 
    TargetLevel, VLOOKUP(AQ70,MS_Labs_Array,3,false),
    MaxLevel, VLOOKUP(AQ70,MS_Labs_Array,4,false),
    MaxOrTarget, IF(OR(TargetLevel = """",$AD$1 &lt;&gt; ""Target""), MaxLevel, TargetLevel),
    LabLevel, VLOOKUP(AQ70,MS_Labs_A"&amp;"rray,2,False),
    Levelprogress, LabLevel / MaxOrTarget,
    DVTColumn, MATCH(AQ70,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0" s="1251" t="str">
        <f>IFERROR(__xludf.DUMMYFUNCTION("if(AQ70 &lt;&gt; """", 
  LET(
    TargetLevel, VLOOKUP(AQ70,MS_Labs_Array,3,false),
    LabSpeed, (1 * REGEXEXTRACT($BH$1, ""[\d.-]+"")) * {IF(AQ70 =""Labs Speed"", 1+'Master Sheet'!$BK$5, LAB_SPEED_TOTAL())},
    MaxLevel, VLOOKUP(AQ70,MS_Labs_Array,4,false),"&amp;"
    MaxOrTarget, IF(OR(TargetLevel = """",$AD$1 &lt;&gt; ""Target""), MaxLevel, TargetLevel),
    LabLevel, VLOOKUP(AQ70,MS_Labs_Array,2,False),
    DVTColumn, MATCH(AQ70, DVT_Laboratory!$A$1:BO$1, 0),
    xextTime, INDIRECT(""DVT_Laboratory!"" &amp; ADDRESS(LabLe"&amp;"vel+3, DVTColumn)) / LabSpeed,
    remainingTime, SUM(INDIRECT(""DVT_Laboratory!"" &amp; ADDRESS(LabLevel+3, DVTColumn) &amp; "":"" &amp; ADDRESS(MaxOrTarget+2, DVTColumn))) / LabSpeed,
  AQ70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0" s="1249"/>
      <c r="AU70" s="1249" t="str">
        <f>IFERROR(__xludf.DUMMYFUNCTION("""COMPUTED_VALUE"""),"")</f>
        <v/>
      </c>
      <c r="AV70" s="1249" t="str">
        <f>IFERROR(__xludf.DUMMYFUNCTION("""COMPUTED_VALUE"""),"")</f>
        <v/>
      </c>
      <c r="AW70" s="1249"/>
      <c r="AX70" s="1250" t="str">
        <f>IFERROR(__xludf.DUMMYFUNCTION("if(AW70 &lt;&gt; """", 
  LET( 
    TargetLevel, VLOOKUP(AW70,MS_Labs_Array,3,false),
    MaxLevel, VLOOKUP(AW70,MS_Labs_Array,4,false),
    MaxOrTarget, IF(OR(TargetLevel = """",$AD$1 &lt;&gt; ""Target""), MaxLevel, TargetLevel),
    LabLevel, VLOOKUP(AW70,MS_Labs_A"&amp;"rray,2,False),
    Levelprogress, LabLevel / MaxOrTarget,
    DVTColumn, MATCH(AW70,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0" s="1251" t="str">
        <f>IFERROR(__xludf.DUMMYFUNCTION("if(AW70 &lt;&gt; """", 
  LET(
    TargetLevel, VLOOKUP(AW70,MS_Labs_Array,3,false),
    LabSpeed, (1 * REGEXEXTRACT($BH$1, ""[\d.-]+"")) * {IF(AW70 =""Labs Speed"", 1+'Master Sheet'!$BK$5, LAB_SPEED_TOTAL())},
    MaxLevel, VLOOKUP(AW70,MS_Labs_Array,4,false),"&amp;"
    MaxOrTarget, IF(OR(TargetLevel = """",$AD$1 &lt;&gt; ""Target""), MaxLevel, TargetLevel),
    LabLevel, VLOOKUP(AW70,MS_Labs_Array,2,False),
    DVTColumn, MATCH(AW70, DVT_Laboratory!$A$1:BO$1, 0),
    xextTime, INDIRECT(""DVT_Laboratory!"" &amp; ADDRESS(LabLe"&amp;"vel+3, DVTColumn)) / LabSpeed,
    remainingTime, SUM(INDIRECT(""DVT_Laboratory!"" &amp; ADDRESS(LabLevel+3, DVTColumn) &amp; "":"" &amp; ADDRESS(MaxOrTarget+2, DVTColumn))) / LabSpeed,
  AW70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0" s="1249"/>
      <c r="BA70" s="1249" t="str">
        <f>IFERROR(__xludf.DUMMYFUNCTION("""COMPUTED_VALUE"""),"")</f>
        <v/>
      </c>
      <c r="BB70" s="1249" t="str">
        <f>IFERROR(__xludf.DUMMYFUNCTION("""COMPUTED_VALUE"""),"")</f>
        <v/>
      </c>
      <c r="BC70" s="1249"/>
      <c r="BD70" s="1250" t="str">
        <f>IFERROR(__xludf.DUMMYFUNCTION("if(BC70 &lt;&gt; """", 
  LET( 
    TargetLevel, VLOOKUP(BC70,MS_Labs_Array,3,false),
    MaxLevel, VLOOKUP(BC70,MS_Labs_Array,4,false),
    MaxOrTarget, IF(OR(TargetLevel = """",$AD$1 &lt;&gt; ""Target""), MaxLevel, TargetLevel),
    LabLevel, VLOOKUP(BC70,MS_Labs_A"&amp;"rray,2,False),
    Levelprogress, LabLevel / MaxOrTarget,
    DVTColumn, MATCH(BC70,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0" s="1251" t="str">
        <f>IFERROR(__xludf.DUMMYFUNCTION("if(BC70 &lt;&gt; """", 
  LET(
    TargetLevel, VLOOKUP(BC70,MS_Labs_Array,3,false),
    LabSpeed, (1 * REGEXEXTRACT($BH$1, ""[\d.-]+"")) * {IF(BC70 =""Labs Speed"", 1+'Master Sheet'!$BK$5, LAB_SPEED_TOTAL())},
    MaxLevel, VLOOKUP(BC70,MS_Labs_Array,4,false),"&amp;"
    MaxOrTarget, IF(OR(TargetLevel = """",$AD$1 &lt;&gt; ""Target""), MaxLevel, TargetLevel),
    LabLevel, VLOOKUP(BC70,MS_Labs_Array,2,False),
    DVTColumn, MATCH(BC70, DVT_Laboratory!$A$1:BO$1, 0),
    xextTime, INDIRECT(""DVT_Laboratory!"" &amp; ADDRESS(LabLe"&amp;"vel+3, DVTColumn)) / LabSpeed,
    remainingTime, SUM(INDIRECT(""DVT_Laboratory!"" &amp; ADDRESS(LabLevel+3, DVTColumn) &amp; "":"" &amp; ADDRESS(MaxOrTarget+2, DVTColumn))) / LabSpeed,
  BC70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0" s="1249"/>
      <c r="BG70" s="1249" t="str">
        <f>IFERROR(__xludf.DUMMYFUNCTION("""COMPUTED_VALUE"""),"")</f>
        <v/>
      </c>
      <c r="BH70" s="1260" t="str">
        <f>IFERROR(__xludf.DUMMYFUNCTION("""COMPUTED_VALUE"""),"")</f>
        <v/>
      </c>
      <c r="BI70" s="1252"/>
      <c r="BJ70" s="1253" t="str">
        <f>IFERROR(__xludf.DUMMYFUNCTION("if(BI70 &lt;&gt; """", 
  LET( 
    TargetLevel, VLOOKUP(BI70,MS_Labs_Array,3,false),
    MaxLevel, VLOOKUP(BI70,MS_Labs_Array,4,false),
    MaxOrTarget, IF(OR(TargetLevel = """",$AD$1 &lt;&gt; ""Target""), MaxLevel, TargetLevel),
    LabLevel, VLOOKUP(BI70,MS_Labs_A"&amp;"rray,2,False),
    Levelprogress, IF(LabLevel &gt;= MaxOrTarget, 1, LabLevel / MaxOrTarget),
    DVTColumn, MATCH(BI70,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0" s="1254" t="str">
        <f>IFERROR(__xludf.DUMMYFUNCTION("if(BI70 &lt;&gt; """", 
  LET(
    TargetLevel, VLOOKUP(BI70,MS_Labs_Array,3,false),
    LabSpeed, (1 * REGEXEXTRACT($BH$1, ""[\d.-]+"")) * {IF(BI70 =""Labs Speed"", 1+'Master Sheet'!$BK$5, LAB_SPEED_TOTAL())},
    MaxLevel, VLOOKUP(BI70,MS_Labs_Array,4,false),"&amp;"
    MaxOrTarget, IF(OR(TargetLevel = """",$AD$1 &lt;&gt; ""Target""), MaxLevel, TargetLevel),
    LabLevel, VLOOKUP(BI70,MS_Labs_Array,2,False),
    DVTColumn, MATCH(BI70, DVT_Laboratory!$A$1:BO$1, 0),
    xextTime, INDIRECT(""DVT_Laboratory!"" &amp; ADDRESS(LabLe"&amp;"vel+3, DVTColumn)) / LabSpeed,
    remainingTime, SUM(INDIRECT(""DVT_Laboratory!"" &amp; ADDRESS(LabLevel+3, DVTColumn) &amp; "":"" &amp; ADDRESS(MaxOrTarget+2, DVTColumn))) / LabSpeed,
  BI70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0" s="1252"/>
      <c r="BM70" s="1252" t="str">
        <f>IFERROR(__xludf.DUMMYFUNCTION("""COMPUTED_VALUE"""),"Energy Shield Extra Hit
  Lab Level:      2 / 2 (Max)
  Next Level:    
  Max Level:     2d  1h 25m")</f>
        <v>Energy Shield Extra Hit
  Lab Level:      2 / 2 (Max)
  Next Level:    
  Max Level:     2d  1h 25m</v>
      </c>
      <c r="BN70" s="1222"/>
      <c r="BO70" s="1261"/>
    </row>
    <row r="71">
      <c r="A71" s="1222"/>
      <c r="B71" s="1262" t="s">
        <v>554</v>
      </c>
      <c r="C71" s="1304" t="s">
        <v>281</v>
      </c>
      <c r="D71" s="1280" t="str">
        <f>VLOOKUP(C71,'Remote Tier List'!A:D, 2, FALSE)</f>
        <v>B</v>
      </c>
      <c r="E71" s="1281" t="str">
        <f>VLOOKUP(C71,'Remote Tier List'!A:D, 3, FALSE)</f>
        <v/>
      </c>
      <c r="F71" s="1284" t="str">
        <f>VLOOKUP(C71,'Remote Tier List'!A:D, 4, FALSE)</f>
        <v>One of the last econ labs to do</v>
      </c>
      <c r="G71" s="1245" t="b">
        <f>IFERROR(AND(VLOOKUP("Tier 4",'_IDS'!$BZ$3:$DT$23, 2, FALSE) &gt; 200,  IDS_UW_OWN("Golden Tower")), true)</f>
        <v>1</v>
      </c>
      <c r="H71" s="1246" t="str">
        <f t="array" ref="H71:I71">LET(
  Lab, $C71,
  Mode, $AD$1,
  Level, VLOOKUP(Lab, MS_Labs_Array, 2, FALSE),
  Target, VLOOKUP(Lab, MS_Labs_Array, 3, FALSE),
  Max, VLOOKUP(Lab, MS_Labs_Array, 4, FALSE),
  Result,
    IF(
      AND(
        Mode &lt;&gt; "Never",
        Level &gt;= IF(OR(Target = "", Mode = "Max"), Max, Target)
      ),
      "Completed",
      ""
    ),
  HSTACK(
    IF(Result &lt;&gt; "", Result, $D71),
    IF(Result &lt;&gt; "", Result, IF($E71 = "", $D71, $E71))
  )
)</f>
        <v>B</v>
      </c>
      <c r="I71" s="1247" t="s">
        <v>546</v>
      </c>
      <c r="J71" s="1248" t="str">
        <f t="shared" si="18"/>
        <v>One of the last econ labs to do</v>
      </c>
      <c r="K71" s="1229"/>
      <c r="L71" s="1249"/>
      <c r="M71" s="1249"/>
      <c r="N71" s="1250" t="str">
        <f>IFERROR(__xludf.DUMMYFUNCTION("if(M71 &lt;&gt; """", 
  LET( 
    TargetLevel, VLOOKUP(M71,MS_Labs_Array,3,false),
    MaxLevel, VLOOKUP(M71,MS_Labs_Array,4,false),
    MaxOrTarget, IF(OR(TargetLevel = """",$AD$1 &lt;&gt; ""Target""), MaxLevel, TargetLevel),
    LabLevel, VLOOKUP(M71,MS_Labs_Array"&amp;",2,False),
    Levelprogress, LabLevel / MaxOrTarget,
    DVTColumn, MATCH(M71,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1" s="1251" t="str">
        <f>IFERROR(__xludf.DUMMYFUNCTION("if(M71 &lt;&gt; """", 
  LET(
    TargetLevel, VLOOKUP(M71,MS_Labs_Array,3,false),
    LabSpeed, (1 * REGEXEXTRACT($BH$1, ""[\d.-]+"")) * {IF(M71 =""Labs Speed"", 1+'Master Sheet'!$BK$5, LAB_SPEED_TOTAL())},
    MaxLevel, VLOOKUP(M71,MS_Labs_Array,4,false),
   "&amp;" MaxOrTarget, IF(OR(TargetLevel = """",$AD$1 &lt;&gt; ""Target""), MaxLevel, TargetLevel),
    LabLevel, VLOOKUP(M71,MS_Labs_Array,2,False),
    DVTColumn, MATCH(M71, DVT_Laboratory!$A$1:BO$1, 0),
    xextTime, INDIRECT(""DVT_Laboratory!"" &amp; ADDRESS(LabLevel+3,"&amp;" DVTColumn)) / LabSpeed,
    remainingTime, SUM(INDIRECT(""DVT_Laboratory!"" &amp; ADDRESS(LabLevel+3, DVTColumn) &amp; "":"" &amp; ADDRESS(MaxOrTarget+2, DVTColumn))) / LabSpeed,
  M71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1" s="1249"/>
      <c r="Q71" s="1249"/>
      <c r="R71" s="1249"/>
      <c r="S71" s="1249"/>
      <c r="T71" s="1250" t="str">
        <f>IFERROR(__xludf.DUMMYFUNCTION("if(S71 &lt;&gt; """", 
  LET( 
    TargetLevel, VLOOKUP(S71,MS_Labs_Array,3,false),
    MaxLevel, VLOOKUP(S71,MS_Labs_Array,4,false),
    MaxOrTarget, IF(OR(TargetLevel = """",$AD$1 &lt;&gt; ""Target""), MaxLevel, TargetLevel),
    LabLevel, VLOOKUP(S71,MS_Labs_Array"&amp;",2,False),
    Levelprogress, LabLevel / MaxOrTarget,
    DVTColumn, MATCH(S71,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1" s="1251" t="str">
        <f>IFERROR(__xludf.DUMMYFUNCTION("if(S71 &lt;&gt; """", 
  LET(
    TargetLevel, VLOOKUP(S71,MS_Labs_Array,3,false),
    LabSpeed, (1 * REGEXEXTRACT($BH$1, ""[\d.-]+"")) * {IF(S71 =""Labs Speed"", 1+'Master Sheet'!$BK$5, LAB_SPEED_TOTAL())},
    MaxLevel, VLOOKUP(S71,MS_Labs_Array,4,false),
   "&amp;" MaxOrTarget, IF(OR(TargetLevel = """",$AD$1 &lt;&gt; ""Target""), MaxLevel, TargetLevel),
    LabLevel, VLOOKUP(S71,MS_Labs_Array,2,False),
    DVTColumn, MATCH(S71, DVT_Laboratory!$A$1:BO$1, 0),
    xextTime, INDIRECT(""DVT_Laboratory!"" &amp; ADDRESS(LabLevel+3,"&amp;" DVTColumn)) / LabSpeed,
    remainingTime, SUM(INDIRECT(""DVT_Laboratory!"" &amp; ADDRESS(LabLevel+3, DVTColumn) &amp; "":"" &amp; ADDRESS(MaxOrTarget+2, DVTColumn))) / LabSpeed,
  S71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1" s="1249"/>
      <c r="W71" s="1249"/>
      <c r="X71" s="1249"/>
      <c r="Y71" s="1249"/>
      <c r="Z71" s="1250" t="str">
        <f>IFERROR(__xludf.DUMMYFUNCTION("if(Y71 &lt;&gt; """", 
  LET( 
    TargetLevel, VLOOKUP(Y71,MS_Labs_Array,3,false),
    MaxLevel, VLOOKUP(Y71,MS_Labs_Array,4,false),
    MaxOrTarget, IF(OR(TargetLevel = """",$AD$1 &lt;&gt; ""Target""), MaxLevel, TargetLevel),
    LabLevel, VLOOKUP(Y71,MS_Labs_Array"&amp;",2,False),
    Levelprogress, LabLevel / MaxOrTarget,
    DVTColumn, MATCH(Y71,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1" s="1251" t="str">
        <f>IFERROR(__xludf.DUMMYFUNCTION("if(Y71 &lt;&gt; """", 
  LET(
    TargetLevel, VLOOKUP(Y71,MS_Labs_Array,3,false),
    LabSpeed, (1 * REGEXEXTRACT($BH$1, ""[\d.-]+"")) * {IF(Y71 =""Labs Speed"", 1+'Master Sheet'!$BK$5, LAB_SPEED_TOTAL())},
    MaxLevel, VLOOKUP(Y71,MS_Labs_Array,4,false),
   "&amp;" MaxOrTarget, IF(OR(TargetLevel = """",$AD$1 &lt;&gt; ""Target""), MaxLevel, TargetLevel),
    LabLevel, VLOOKUP(Y71,MS_Labs_Array,2,False),
    DVTColumn, MATCH(Y71, DVT_Laboratory!$A$1:BO$1, 0),
    xextTime, INDIRECT(""DVT_Laboratory!"" &amp; ADDRESS(LabLevel+3,"&amp;" DVTColumn)) / LabSpeed,
    remainingTime, SUM(INDIRECT(""DVT_Laboratory!"" &amp; ADDRESS(LabLevel+3, DVTColumn) &amp; "":"" &amp; ADDRESS(MaxOrTarget+2, DVTColumn))) / LabSpeed,
  Y71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1" s="1249"/>
      <c r="AC71" s="1249"/>
      <c r="AD71" s="1249"/>
      <c r="AE71" s="1249"/>
      <c r="AF71" s="1250" t="str">
        <f>IFERROR(__xludf.DUMMYFUNCTION("if(AE71 &lt;&gt; """", 
  LET( 
    TargetLevel, VLOOKUP(AE71,MS_Labs_Array,3,false),
    MaxLevel, VLOOKUP(AE71,MS_Labs_Array,4,false),
    MaxOrTarget, IF(OR(TargetLevel = """",$AD$1 &lt;&gt; ""Target""), MaxLevel, TargetLevel),
    LabLevel, VLOOKUP(AE71,MS_Labs_A"&amp;"rray,2,False),
    Levelprogress, LabLevel / MaxOrTarget,
    DVTColumn, MATCH(AE71,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1" s="1251" t="str">
        <f>IFERROR(__xludf.DUMMYFUNCTION("if(AE71 &lt;&gt; """", 
  LET(
    TargetLevel, VLOOKUP(AE71,MS_Labs_Array,3,false),
    LabSpeed, (1 * REGEXEXTRACT($BH$1, ""[\d.-]+"")) * {IF(AE71 =""Labs Speed"", 1+'Master Sheet'!$BK$5, LAB_SPEED_TOTAL())},
    MaxLevel, VLOOKUP(AE71,MS_Labs_Array,4,false),"&amp;"
    MaxOrTarget, IF(OR(TargetLevel = """",$AD$1 &lt;&gt; ""Target""), MaxLevel, TargetLevel),
    LabLevel, VLOOKUP(AE71,MS_Labs_Array,2,False),
    DVTColumn, MATCH(AE71, DVT_Laboratory!$A$1:BO$1, 0),
    xextTime, INDIRECT(""DVT_Laboratory!"" &amp; ADDRESS(LabLe"&amp;"vel+3, DVTColumn)) / LabSpeed,
    remainingTime, SUM(INDIRECT(""DVT_Laboratory!"" &amp; ADDRESS(LabLevel+3, DVTColumn) &amp; "":"" &amp; ADDRESS(MaxOrTarget+2, DVTColumn))) / LabSpeed,
  AE71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1" s="1249"/>
      <c r="AI71" s="1249"/>
      <c r="AJ71" s="1249"/>
      <c r="AK71" s="1249"/>
      <c r="AL71" s="1250" t="str">
        <f>IFERROR(__xludf.DUMMYFUNCTION("if(AK71 &lt;&gt; """", 
  LET( 
    TargetLevel, VLOOKUP(AK71,MS_Labs_Array,3,false),
    MaxLevel, VLOOKUP(AK71,MS_Labs_Array,4,false),
    MaxOrTarget, IF(OR(TargetLevel = """",$AD$1 &lt;&gt; ""Target""), MaxLevel, TargetLevel),
    LabLevel, VLOOKUP(AK71,MS_Labs_A"&amp;"rray,2,False),
    Levelprogress, LabLevel / MaxOrTarget,
    DVTColumn, MATCH(AK71,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1" s="1251" t="str">
        <f>IFERROR(__xludf.DUMMYFUNCTION("if(AK71 &lt;&gt; """", 
  LET(
    TargetLevel, VLOOKUP(AK71,MS_Labs_Array,3,false),
    LabSpeed, (1 * REGEXEXTRACT($BH$1, ""[\d.-]+"")) * {IF(AK71 =""Labs Speed"", 1+'Master Sheet'!$BK$5, LAB_SPEED_TOTAL())},
    MaxLevel, VLOOKUP(AK71,MS_Labs_Array,4,false),"&amp;"
    MaxOrTarget, IF(OR(TargetLevel = """",$AD$1 &lt;&gt; ""Target""), MaxLevel, TargetLevel),
    LabLevel, VLOOKUP(AK71,MS_Labs_Array,2,False),
    DVTColumn, MATCH(AK71, DVT_Laboratory!$A$1:BO$1, 0),
    xextTime, INDIRECT(""DVT_Laboratory!"" &amp; ADDRESS(LabLe"&amp;"vel+3, DVTColumn)) / LabSpeed,
    remainingTime, SUM(INDIRECT(""DVT_Laboratory!"" &amp; ADDRESS(LabLevel+3, DVTColumn) &amp; "":"" &amp; ADDRESS(MaxOrTarget+2, DVTColumn))) / LabSpeed,
  AK71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1" s="1249"/>
      <c r="AO71" s="1249"/>
      <c r="AP71" s="1249"/>
      <c r="AQ71" s="1249"/>
      <c r="AR71" s="1250" t="str">
        <f>IFERROR(__xludf.DUMMYFUNCTION("if(AQ71 &lt;&gt; """", 
  LET( 
    TargetLevel, VLOOKUP(AQ71,MS_Labs_Array,3,false),
    MaxLevel, VLOOKUP(AQ71,MS_Labs_Array,4,false),
    MaxOrTarget, IF(OR(TargetLevel = """",$AD$1 &lt;&gt; ""Target""), MaxLevel, TargetLevel),
    LabLevel, VLOOKUP(AQ71,MS_Labs_A"&amp;"rray,2,False),
    Levelprogress, LabLevel / MaxOrTarget,
    DVTColumn, MATCH(AQ71,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1" s="1251" t="str">
        <f>IFERROR(__xludf.DUMMYFUNCTION("if(AQ71 &lt;&gt; """", 
  LET(
    TargetLevel, VLOOKUP(AQ71,MS_Labs_Array,3,false),
    LabSpeed, (1 * REGEXEXTRACT($BH$1, ""[\d.-]+"")) * {IF(AQ71 =""Labs Speed"", 1+'Master Sheet'!$BK$5, LAB_SPEED_TOTAL())},
    MaxLevel, VLOOKUP(AQ71,MS_Labs_Array,4,false),"&amp;"
    MaxOrTarget, IF(OR(TargetLevel = """",$AD$1 &lt;&gt; ""Target""), MaxLevel, TargetLevel),
    LabLevel, VLOOKUP(AQ71,MS_Labs_Array,2,False),
    DVTColumn, MATCH(AQ71, DVT_Laboratory!$A$1:BO$1, 0),
    xextTime, INDIRECT(""DVT_Laboratory!"" &amp; ADDRESS(LabLe"&amp;"vel+3, DVTColumn)) / LabSpeed,
    remainingTime, SUM(INDIRECT(""DVT_Laboratory!"" &amp; ADDRESS(LabLevel+3, DVTColumn) &amp; "":"" &amp; ADDRESS(MaxOrTarget+2, DVTColumn))) / LabSpeed,
  AQ71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1" s="1249"/>
      <c r="AU71" s="1249"/>
      <c r="AV71" s="1249"/>
      <c r="AW71" s="1249"/>
      <c r="AX71" s="1250" t="str">
        <f>IFERROR(__xludf.DUMMYFUNCTION("if(AW71 &lt;&gt; """", 
  LET( 
    TargetLevel, VLOOKUP(AW71,MS_Labs_Array,3,false),
    MaxLevel, VLOOKUP(AW71,MS_Labs_Array,4,false),
    MaxOrTarget, IF(OR(TargetLevel = """",$AD$1 &lt;&gt; ""Target""), MaxLevel, TargetLevel),
    LabLevel, VLOOKUP(AW71,MS_Labs_A"&amp;"rray,2,False),
    Levelprogress, LabLevel / MaxOrTarget,
    DVTColumn, MATCH(AW71,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1" s="1251" t="str">
        <f>IFERROR(__xludf.DUMMYFUNCTION("if(AW71 &lt;&gt; """", 
  LET(
    TargetLevel, VLOOKUP(AW71,MS_Labs_Array,3,false),
    LabSpeed, (1 * REGEXEXTRACT($BH$1, ""[\d.-]+"")) * {IF(AW71 =""Labs Speed"", 1+'Master Sheet'!$BK$5, LAB_SPEED_TOTAL())},
    MaxLevel, VLOOKUP(AW71,MS_Labs_Array,4,false),"&amp;"
    MaxOrTarget, IF(OR(TargetLevel = """",$AD$1 &lt;&gt; ""Target""), MaxLevel, TargetLevel),
    LabLevel, VLOOKUP(AW71,MS_Labs_Array,2,False),
    DVTColumn, MATCH(AW71, DVT_Laboratory!$A$1:BO$1, 0),
    xextTime, INDIRECT(""DVT_Laboratory!"" &amp; ADDRESS(LabLe"&amp;"vel+3, DVTColumn)) / LabSpeed,
    remainingTime, SUM(INDIRECT(""DVT_Laboratory!"" &amp; ADDRESS(LabLevel+3, DVTColumn) &amp; "":"" &amp; ADDRESS(MaxOrTarget+2, DVTColumn))) / LabSpeed,
  AW71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1" s="1249"/>
      <c r="BA71" s="1249"/>
      <c r="BB71" s="1249"/>
      <c r="BC71" s="1249"/>
      <c r="BD71" s="1250" t="str">
        <f>IFERROR(__xludf.DUMMYFUNCTION("if(BC71 &lt;&gt; """", 
  LET( 
    TargetLevel, VLOOKUP(BC71,MS_Labs_Array,3,false),
    MaxLevel, VLOOKUP(BC71,MS_Labs_Array,4,false),
    MaxOrTarget, IF(OR(TargetLevel = """",$AD$1 &lt;&gt; ""Target""), MaxLevel, TargetLevel),
    LabLevel, VLOOKUP(BC71,MS_Labs_A"&amp;"rray,2,False),
    Levelprogress, LabLevel / MaxOrTarget,
    DVTColumn, MATCH(BC71,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1" s="1251" t="str">
        <f>IFERROR(__xludf.DUMMYFUNCTION("if(BC71 &lt;&gt; """", 
  LET(
    TargetLevel, VLOOKUP(BC71,MS_Labs_Array,3,false),
    LabSpeed, (1 * REGEXEXTRACT($BH$1, ""[\d.-]+"")) * {IF(BC71 =""Labs Speed"", 1+'Master Sheet'!$BK$5, LAB_SPEED_TOTAL())},
    MaxLevel, VLOOKUP(BC71,MS_Labs_Array,4,false),"&amp;"
    MaxOrTarget, IF(OR(TargetLevel = """",$AD$1 &lt;&gt; ""Target""), MaxLevel, TargetLevel),
    LabLevel, VLOOKUP(BC71,MS_Labs_Array,2,False),
    DVTColumn, MATCH(BC71, DVT_Laboratory!$A$1:BO$1, 0),
    xextTime, INDIRECT(""DVT_Laboratory!"" &amp; ADDRESS(LabLe"&amp;"vel+3, DVTColumn)) / LabSpeed,
    remainingTime, SUM(INDIRECT(""DVT_Laboratory!"" &amp; ADDRESS(LabLevel+3, DVTColumn) &amp; "":"" &amp; ADDRESS(MaxOrTarget+2, DVTColumn))) / LabSpeed,
  BC71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1" s="1249"/>
      <c r="BG71" s="1249"/>
      <c r="BH71" s="1260" t="str">
        <f>IFERROR(__xludf.DUMMYFUNCTION("""COMPUTED_VALUE"""),"Recharge Second Wind")</f>
        <v>Recharge Second Wind</v>
      </c>
      <c r="BI71" s="1252"/>
      <c r="BJ71" s="1253" t="str">
        <f>IFERROR(__xludf.DUMMYFUNCTION("if(BI71 &lt;&gt; """", 
  LET( 
    TargetLevel, VLOOKUP(BI71,MS_Labs_Array,3,false),
    MaxLevel, VLOOKUP(BI71,MS_Labs_Array,4,false),
    MaxOrTarget, IF(OR(TargetLevel = """",$AD$1 &lt;&gt; ""Target""), MaxLevel, TargetLevel),
    LabLevel, VLOOKUP(BI71,MS_Labs_A"&amp;"rray,2,False),
    Levelprogress, IF(LabLevel &gt;= MaxOrTarget, 1, LabLevel / MaxOrTarget),
    DVTColumn, MATCH(BI71,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1" s="1254" t="str">
        <f>IFERROR(__xludf.DUMMYFUNCTION("if(BI71 &lt;&gt; """", 
  LET(
    TargetLevel, VLOOKUP(BI71,MS_Labs_Array,3,false),
    LabSpeed, (1 * REGEXEXTRACT($BH$1, ""[\d.-]+"")) * {IF(BI71 =""Labs Speed"", 1+'Master Sheet'!$BK$5, LAB_SPEED_TOTAL())},
    MaxLevel, VLOOKUP(BI71,MS_Labs_Array,4,false),"&amp;"
    MaxOrTarget, IF(OR(TargetLevel = """",$AD$1 &lt;&gt; ""Target""), MaxLevel, TargetLevel),
    LabLevel, VLOOKUP(BI71,MS_Labs_Array,2,False),
    DVTColumn, MATCH(BI71, DVT_Laboratory!$A$1:BO$1, 0),
    xextTime, INDIRECT(""DVT_Laboratory!"" &amp; ADDRESS(LabLe"&amp;"vel+3, DVTColumn)) / LabSpeed,
    remainingTime, SUM(INDIRECT(""DVT_Laboratory!"" &amp; ADDRESS(LabLevel+3, DVTColumn) &amp; "":"" &amp; ADDRESS(MaxOrTarget+2, DVTColumn))) / LabSpeed,
  BI71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1" s="1252"/>
      <c r="BM71" s="1252" t="str">
        <f>IFERROR(__xludf.DUMMYFUNCTION("""COMPUTED_VALUE"""),"Essential to keep the effect of mastery going past 400 waves. Good for Fleets")</f>
        <v>Essential to keep the effect of mastery going past 400 waves. Good for Fleets</v>
      </c>
      <c r="BN71" s="1222"/>
      <c r="BO71" s="1261"/>
    </row>
    <row r="72" ht="7.5" customHeight="1">
      <c r="A72" s="1222"/>
      <c r="B72" s="1257"/>
      <c r="C72" s="1304" t="s">
        <v>289</v>
      </c>
      <c r="D72" s="1280" t="str">
        <f>VLOOKUP(C72,'Remote Tier List'!A:D, 2, FALSE)</f>
        <v>S</v>
      </c>
      <c r="E72" s="1281" t="str">
        <f>VLOOKUP(C72,'Remote Tier List'!A:D, 3, FALSE)</f>
        <v/>
      </c>
      <c r="F72" s="1284" t="str">
        <f>VLOOKUP(C72,'Remote Tier List'!A:D, 4, FALSE)</f>
        <v>A lab for something that otherwise costs stones is incredible. Getting duration past BH duration with perk has little value</v>
      </c>
      <c r="G72" s="1245" t="b">
        <f>IFERROR(AND(VLOOKUP("Tier 4",'_IDS'!$BZ$3:$DT$23, 2, FALSE) &gt; 200,  IDS_UW_OWN("Golden Tower")), true)</f>
        <v>1</v>
      </c>
      <c r="H72" s="1246" t="str">
        <f t="array" ref="H72:I72">LET(
  Lab, $C72,
  Mode, $AD$1,
  Level, VLOOKUP(Lab, MS_Labs_Array, 2, FALSE),
  Target, VLOOKUP(Lab, MS_Labs_Array, 3, FALSE),
  Max, VLOOKUP(Lab, MS_Labs_Array, 4, FALSE),
  Result,
    IF(
      AND(
        Mode &lt;&gt; "Never",
        Level &gt;= IF(OR(Target = "", Mode = "Max"), Max, Target)
      ),
      "Completed",
      ""
    ),
  HSTACK(
    IF(Result &lt;&gt; "", Result, $D72),
    IF(Result &lt;&gt; "", Result, IF($E72 = "", $D72, $E72))
  )
)</f>
        <v>S</v>
      </c>
      <c r="I72" s="1247" t="s">
        <v>544</v>
      </c>
      <c r="J72" s="1248" t="str">
        <f t="shared" si="18"/>
        <v>A lab for something that otherwise costs stones is incredible. Getting duration past BH duration with perk has little value</v>
      </c>
      <c r="K72" s="1229"/>
      <c r="L72" s="1249" t="str">
        <f>IFERROR(__xludf.DUMMYFUNCTION("""COMPUTED_VALUE"""),"")</f>
        <v/>
      </c>
      <c r="M72" s="1249"/>
      <c r="N72" s="1250" t="str">
        <f>IFERROR(__xludf.DUMMYFUNCTION("if(M72 &lt;&gt; """", 
  LET( 
    TargetLevel, VLOOKUP(M72,MS_Labs_Array,3,false),
    MaxLevel, VLOOKUP(M72,MS_Labs_Array,4,false),
    MaxOrTarget, IF(OR(TargetLevel = """",$AD$1 &lt;&gt; ""Target""), MaxLevel, TargetLevel),
    LabLevel, VLOOKUP(M72,MS_Labs_Array"&amp;",2,False),
    Levelprogress, LabLevel / MaxOrTarget,
    DVTColumn, MATCH(M72,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2" s="1251" t="str">
        <f>IFERROR(__xludf.DUMMYFUNCTION("if(M72 &lt;&gt; """", 
  LET(
    TargetLevel, VLOOKUP(M72,MS_Labs_Array,3,false),
    LabSpeed, (1 * REGEXEXTRACT($BH$1, ""[\d.-]+"")) * {IF(M72 =""Labs Speed"", 1+'Master Sheet'!$BK$5, LAB_SPEED_TOTAL())},
    MaxLevel, VLOOKUP(M72,MS_Labs_Array,4,false),
   "&amp;" MaxOrTarget, IF(OR(TargetLevel = """",$AD$1 &lt;&gt; ""Target""), MaxLevel, TargetLevel),
    LabLevel, VLOOKUP(M72,MS_Labs_Array,2,False),
    DVTColumn, MATCH(M72, DVT_Laboratory!$A$1:BO$1, 0),
    xextTime, INDIRECT(""DVT_Laboratory!"" &amp; ADDRESS(LabLevel+3,"&amp;" DVTColumn)) / LabSpeed,
    remainingTime, SUM(INDIRECT(""DVT_Laboratory!"" &amp; ADDRESS(LabLevel+3, DVTColumn) &amp; "":"" &amp; ADDRESS(MaxOrTarget+2, DVTColumn))) / LabSpeed,
  M72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2" s="1249"/>
      <c r="Q72" s="1249" t="str">
        <f>IFERROR(__xludf.DUMMYFUNCTION("""COMPUTED_VALUE"""),"")</f>
        <v/>
      </c>
      <c r="R72" s="1249" t="str">
        <f>IFERROR(__xludf.DUMMYFUNCTION("""COMPUTED_VALUE"""),"")</f>
        <v/>
      </c>
      <c r="S72" s="1249"/>
      <c r="T72" s="1250" t="str">
        <f>IFERROR(__xludf.DUMMYFUNCTION("if(S72 &lt;&gt; """", 
  LET( 
    TargetLevel, VLOOKUP(S72,MS_Labs_Array,3,false),
    MaxLevel, VLOOKUP(S72,MS_Labs_Array,4,false),
    MaxOrTarget, IF(OR(TargetLevel = """",$AD$1 &lt;&gt; ""Target""), MaxLevel, TargetLevel),
    LabLevel, VLOOKUP(S72,MS_Labs_Array"&amp;",2,False),
    Levelprogress, LabLevel / MaxOrTarget,
    DVTColumn, MATCH(S72,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2" s="1251" t="str">
        <f>IFERROR(__xludf.DUMMYFUNCTION("if(S72 &lt;&gt; """", 
  LET(
    TargetLevel, VLOOKUP(S72,MS_Labs_Array,3,false),
    LabSpeed, (1 * REGEXEXTRACT($BH$1, ""[\d.-]+"")) * {IF(S72 =""Labs Speed"", 1+'Master Sheet'!$BK$5, LAB_SPEED_TOTAL())},
    MaxLevel, VLOOKUP(S72,MS_Labs_Array,4,false),
   "&amp;" MaxOrTarget, IF(OR(TargetLevel = """",$AD$1 &lt;&gt; ""Target""), MaxLevel, TargetLevel),
    LabLevel, VLOOKUP(S72,MS_Labs_Array,2,False),
    DVTColumn, MATCH(S72, DVT_Laboratory!$A$1:BO$1, 0),
    xextTime, INDIRECT(""DVT_Laboratory!"" &amp; ADDRESS(LabLevel+3,"&amp;" DVTColumn)) / LabSpeed,
    remainingTime, SUM(INDIRECT(""DVT_Laboratory!"" &amp; ADDRESS(LabLevel+3, DVTColumn) &amp; "":"" &amp; ADDRESS(MaxOrTarget+2, DVTColumn))) / LabSpeed,
  S72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2" s="1249"/>
      <c r="W72" s="1249" t="str">
        <f>IFERROR(__xludf.DUMMYFUNCTION("""COMPUTED_VALUE"""),"")</f>
        <v/>
      </c>
      <c r="X72" s="1249" t="str">
        <f>IFERROR(__xludf.DUMMYFUNCTION("""COMPUTED_VALUE"""),"")</f>
        <v/>
      </c>
      <c r="Y72" s="1249"/>
      <c r="Z72" s="1250" t="str">
        <f>IFERROR(__xludf.DUMMYFUNCTION("if(Y72 &lt;&gt; """", 
  LET( 
    TargetLevel, VLOOKUP(Y72,MS_Labs_Array,3,false),
    MaxLevel, VLOOKUP(Y72,MS_Labs_Array,4,false),
    MaxOrTarget, IF(OR(TargetLevel = """",$AD$1 &lt;&gt; ""Target""), MaxLevel, TargetLevel),
    LabLevel, VLOOKUP(Y72,MS_Labs_Array"&amp;",2,False),
    Levelprogress, LabLevel / MaxOrTarget,
    DVTColumn, MATCH(Y72,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2" s="1251" t="str">
        <f>IFERROR(__xludf.DUMMYFUNCTION("if(Y72 &lt;&gt; """", 
  LET(
    TargetLevel, VLOOKUP(Y72,MS_Labs_Array,3,false),
    LabSpeed, (1 * REGEXEXTRACT($BH$1, ""[\d.-]+"")) * {IF(Y72 =""Labs Speed"", 1+'Master Sheet'!$BK$5, LAB_SPEED_TOTAL())},
    MaxLevel, VLOOKUP(Y72,MS_Labs_Array,4,false),
   "&amp;" MaxOrTarget, IF(OR(TargetLevel = """",$AD$1 &lt;&gt; ""Target""), MaxLevel, TargetLevel),
    LabLevel, VLOOKUP(Y72,MS_Labs_Array,2,False),
    DVTColumn, MATCH(Y72, DVT_Laboratory!$A$1:BO$1, 0),
    xextTime, INDIRECT(""DVT_Laboratory!"" &amp; ADDRESS(LabLevel+3,"&amp;" DVTColumn)) / LabSpeed,
    remainingTime, SUM(INDIRECT(""DVT_Laboratory!"" &amp; ADDRESS(LabLevel+3, DVTColumn) &amp; "":"" &amp; ADDRESS(MaxOrTarget+2, DVTColumn))) / LabSpeed,
  Y72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2" s="1249"/>
      <c r="AC72" s="1249" t="str">
        <f>IFERROR(__xludf.DUMMYFUNCTION("""COMPUTED_VALUE"""),"")</f>
        <v/>
      </c>
      <c r="AD72" s="1249" t="str">
        <f>IFERROR(__xludf.DUMMYFUNCTION("""COMPUTED_VALUE"""),"")</f>
        <v/>
      </c>
      <c r="AE72" s="1249"/>
      <c r="AF72" s="1250" t="str">
        <f>IFERROR(__xludf.DUMMYFUNCTION("if(AE72 &lt;&gt; """", 
  LET( 
    TargetLevel, VLOOKUP(AE72,MS_Labs_Array,3,false),
    MaxLevel, VLOOKUP(AE72,MS_Labs_Array,4,false),
    MaxOrTarget, IF(OR(TargetLevel = """",$AD$1 &lt;&gt; ""Target""), MaxLevel, TargetLevel),
    LabLevel, VLOOKUP(AE72,MS_Labs_A"&amp;"rray,2,False),
    Levelprogress, LabLevel / MaxOrTarget,
    DVTColumn, MATCH(AE72,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2" s="1251" t="str">
        <f>IFERROR(__xludf.DUMMYFUNCTION("if(AE72 &lt;&gt; """", 
  LET(
    TargetLevel, VLOOKUP(AE72,MS_Labs_Array,3,false),
    LabSpeed, (1 * REGEXEXTRACT($BH$1, ""[\d.-]+"")) * {IF(AE72 =""Labs Speed"", 1+'Master Sheet'!$BK$5, LAB_SPEED_TOTAL())},
    MaxLevel, VLOOKUP(AE72,MS_Labs_Array,4,false),"&amp;"
    MaxOrTarget, IF(OR(TargetLevel = """",$AD$1 &lt;&gt; ""Target""), MaxLevel, TargetLevel),
    LabLevel, VLOOKUP(AE72,MS_Labs_Array,2,False),
    DVTColumn, MATCH(AE72, DVT_Laboratory!$A$1:BO$1, 0),
    xextTime, INDIRECT(""DVT_Laboratory!"" &amp; ADDRESS(LabLe"&amp;"vel+3, DVTColumn)) / LabSpeed,
    remainingTime, SUM(INDIRECT(""DVT_Laboratory!"" &amp; ADDRESS(LabLevel+3, DVTColumn) &amp; "":"" &amp; ADDRESS(MaxOrTarget+2, DVTColumn))) / LabSpeed,
  AE72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2" s="1249"/>
      <c r="AI72" s="1249" t="str">
        <f>IFERROR(__xludf.DUMMYFUNCTION("""COMPUTED_VALUE"""),"")</f>
        <v/>
      </c>
      <c r="AJ72" s="1249" t="str">
        <f>IFERROR(__xludf.DUMMYFUNCTION("""COMPUTED_VALUE"""),"")</f>
        <v/>
      </c>
      <c r="AK72" s="1249"/>
      <c r="AL72" s="1250" t="str">
        <f>IFERROR(__xludf.DUMMYFUNCTION("if(AK72 &lt;&gt; """", 
  LET( 
    TargetLevel, VLOOKUP(AK72,MS_Labs_Array,3,false),
    MaxLevel, VLOOKUP(AK72,MS_Labs_Array,4,false),
    MaxOrTarget, IF(OR(TargetLevel = """",$AD$1 &lt;&gt; ""Target""), MaxLevel, TargetLevel),
    LabLevel, VLOOKUP(AK72,MS_Labs_A"&amp;"rray,2,False),
    Levelprogress, LabLevel / MaxOrTarget,
    DVTColumn, MATCH(AK72,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2" s="1251" t="str">
        <f>IFERROR(__xludf.DUMMYFUNCTION("if(AK72 &lt;&gt; """", 
  LET(
    TargetLevel, VLOOKUP(AK72,MS_Labs_Array,3,false),
    LabSpeed, (1 * REGEXEXTRACT($BH$1, ""[\d.-]+"")) * {IF(AK72 =""Labs Speed"", 1+'Master Sheet'!$BK$5, LAB_SPEED_TOTAL())},
    MaxLevel, VLOOKUP(AK72,MS_Labs_Array,4,false),"&amp;"
    MaxOrTarget, IF(OR(TargetLevel = """",$AD$1 &lt;&gt; ""Target""), MaxLevel, TargetLevel),
    LabLevel, VLOOKUP(AK72,MS_Labs_Array,2,False),
    DVTColumn, MATCH(AK72, DVT_Laboratory!$A$1:BO$1, 0),
    xextTime, INDIRECT(""DVT_Laboratory!"" &amp; ADDRESS(LabLe"&amp;"vel+3, DVTColumn)) / LabSpeed,
    remainingTime, SUM(INDIRECT(""DVT_Laboratory!"" &amp; ADDRESS(LabLevel+3, DVTColumn) &amp; "":"" &amp; ADDRESS(MaxOrTarget+2, DVTColumn))) / LabSpeed,
  AK72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2" s="1249"/>
      <c r="AO72" s="1249" t="str">
        <f>IFERROR(__xludf.DUMMYFUNCTION("""COMPUTED_VALUE"""),"")</f>
        <v/>
      </c>
      <c r="AP72" s="1249" t="str">
        <f>IFERROR(__xludf.DUMMYFUNCTION("""COMPUTED_VALUE"""),"")</f>
        <v/>
      </c>
      <c r="AQ72" s="1249"/>
      <c r="AR72" s="1250" t="str">
        <f>IFERROR(__xludf.DUMMYFUNCTION("if(AQ72 &lt;&gt; """", 
  LET( 
    TargetLevel, VLOOKUP(AQ72,MS_Labs_Array,3,false),
    MaxLevel, VLOOKUP(AQ72,MS_Labs_Array,4,false),
    MaxOrTarget, IF(OR(TargetLevel = """",$AD$1 &lt;&gt; ""Target""), MaxLevel, TargetLevel),
    LabLevel, VLOOKUP(AQ72,MS_Labs_A"&amp;"rray,2,False),
    Levelprogress, LabLevel / MaxOrTarget,
    DVTColumn, MATCH(AQ72,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2" s="1251" t="str">
        <f>IFERROR(__xludf.DUMMYFUNCTION("if(AQ72 &lt;&gt; """", 
  LET(
    TargetLevel, VLOOKUP(AQ72,MS_Labs_Array,3,false),
    LabSpeed, (1 * REGEXEXTRACT($BH$1, ""[\d.-]+"")) * {IF(AQ72 =""Labs Speed"", 1+'Master Sheet'!$BK$5, LAB_SPEED_TOTAL())},
    MaxLevel, VLOOKUP(AQ72,MS_Labs_Array,4,false),"&amp;"
    MaxOrTarget, IF(OR(TargetLevel = """",$AD$1 &lt;&gt; ""Target""), MaxLevel, TargetLevel),
    LabLevel, VLOOKUP(AQ72,MS_Labs_Array,2,False),
    DVTColumn, MATCH(AQ72, DVT_Laboratory!$A$1:BO$1, 0),
    xextTime, INDIRECT(""DVT_Laboratory!"" &amp; ADDRESS(LabLe"&amp;"vel+3, DVTColumn)) / LabSpeed,
    remainingTime, SUM(INDIRECT(""DVT_Laboratory!"" &amp; ADDRESS(LabLevel+3, DVTColumn) &amp; "":"" &amp; ADDRESS(MaxOrTarget+2, DVTColumn))) / LabSpeed,
  AQ72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2" s="1249"/>
      <c r="AU72" s="1249" t="str">
        <f>IFERROR(__xludf.DUMMYFUNCTION("""COMPUTED_VALUE"""),"")</f>
        <v/>
      </c>
      <c r="AV72" s="1249" t="str">
        <f>IFERROR(__xludf.DUMMYFUNCTION("""COMPUTED_VALUE"""),"")</f>
        <v/>
      </c>
      <c r="AW72" s="1249"/>
      <c r="AX72" s="1250" t="str">
        <f>IFERROR(__xludf.DUMMYFUNCTION("if(AW72 &lt;&gt; """", 
  LET( 
    TargetLevel, VLOOKUP(AW72,MS_Labs_Array,3,false),
    MaxLevel, VLOOKUP(AW72,MS_Labs_Array,4,false),
    MaxOrTarget, IF(OR(TargetLevel = """",$AD$1 &lt;&gt; ""Target""), MaxLevel, TargetLevel),
    LabLevel, VLOOKUP(AW72,MS_Labs_A"&amp;"rray,2,False),
    Levelprogress, LabLevel / MaxOrTarget,
    DVTColumn, MATCH(AW72,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2" s="1251" t="str">
        <f>IFERROR(__xludf.DUMMYFUNCTION("if(AW72 &lt;&gt; """", 
  LET(
    TargetLevel, VLOOKUP(AW72,MS_Labs_Array,3,false),
    LabSpeed, (1 * REGEXEXTRACT($BH$1, ""[\d.-]+"")) * {IF(AW72 =""Labs Speed"", 1+'Master Sheet'!$BK$5, LAB_SPEED_TOTAL())},
    MaxLevel, VLOOKUP(AW72,MS_Labs_Array,4,false),"&amp;"
    MaxOrTarget, IF(OR(TargetLevel = """",$AD$1 &lt;&gt; ""Target""), MaxLevel, TargetLevel),
    LabLevel, VLOOKUP(AW72,MS_Labs_Array,2,False),
    DVTColumn, MATCH(AW72, DVT_Laboratory!$A$1:BO$1, 0),
    xextTime, INDIRECT(""DVT_Laboratory!"" &amp; ADDRESS(LabLe"&amp;"vel+3, DVTColumn)) / LabSpeed,
    remainingTime, SUM(INDIRECT(""DVT_Laboratory!"" &amp; ADDRESS(LabLevel+3, DVTColumn) &amp; "":"" &amp; ADDRESS(MaxOrTarget+2, DVTColumn))) / LabSpeed,
  AW72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2" s="1249"/>
      <c r="BA72" s="1249" t="str">
        <f>IFERROR(__xludf.DUMMYFUNCTION("""COMPUTED_VALUE"""),"")</f>
        <v/>
      </c>
      <c r="BB72" s="1249" t="str">
        <f>IFERROR(__xludf.DUMMYFUNCTION("""COMPUTED_VALUE"""),"")</f>
        <v/>
      </c>
      <c r="BC72" s="1249"/>
      <c r="BD72" s="1250" t="str">
        <f>IFERROR(__xludf.DUMMYFUNCTION("if(BC72 &lt;&gt; """", 
  LET( 
    TargetLevel, VLOOKUP(BC72,MS_Labs_Array,3,false),
    MaxLevel, VLOOKUP(BC72,MS_Labs_Array,4,false),
    MaxOrTarget, IF(OR(TargetLevel = """",$AD$1 &lt;&gt; ""Target""), MaxLevel, TargetLevel),
    LabLevel, VLOOKUP(BC72,MS_Labs_A"&amp;"rray,2,False),
    Levelprogress, LabLevel / MaxOrTarget,
    DVTColumn, MATCH(BC72,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2" s="1251" t="str">
        <f>IFERROR(__xludf.DUMMYFUNCTION("if(BC72 &lt;&gt; """", 
  LET(
    TargetLevel, VLOOKUP(BC72,MS_Labs_Array,3,false),
    LabSpeed, (1 * REGEXEXTRACT($BH$1, ""[\d.-]+"")) * {IF(BC72 =""Labs Speed"", 1+'Master Sheet'!$BK$5, LAB_SPEED_TOTAL())},
    MaxLevel, VLOOKUP(BC72,MS_Labs_Array,4,false),"&amp;"
    MaxOrTarget, IF(OR(TargetLevel = """",$AD$1 &lt;&gt; ""Target""), MaxLevel, TargetLevel),
    LabLevel, VLOOKUP(BC72,MS_Labs_Array,2,False),
    DVTColumn, MATCH(BC72, DVT_Laboratory!$A$1:BO$1, 0),
    xextTime, INDIRECT(""DVT_Laboratory!"" &amp; ADDRESS(LabLe"&amp;"vel+3, DVTColumn)) / LabSpeed,
    remainingTime, SUM(INDIRECT(""DVT_Laboratory!"" &amp; ADDRESS(LabLevel+3, DVTColumn) &amp; "":"" &amp; ADDRESS(MaxOrTarget+2, DVTColumn))) / LabSpeed,
  BC72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2" s="1249"/>
      <c r="BG72" s="1249" t="str">
        <f>IFERROR(__xludf.DUMMYFUNCTION("""COMPUTED_VALUE"""),"")</f>
        <v/>
      </c>
      <c r="BH72" s="1260" t="str">
        <f>IFERROR(__xludf.DUMMYFUNCTION("""COMPUTED_VALUE"""),"")</f>
        <v/>
      </c>
      <c r="BI72" s="1252"/>
      <c r="BJ72" s="1253" t="str">
        <f>IFERROR(__xludf.DUMMYFUNCTION("if(BI72 &lt;&gt; """", 
  LET( 
    TargetLevel, VLOOKUP(BI72,MS_Labs_Array,3,false),
    MaxLevel, VLOOKUP(BI72,MS_Labs_Array,4,false),
    MaxOrTarget, IF(OR(TargetLevel = """",$AD$1 &lt;&gt; ""Target""), MaxLevel, TargetLevel),
    LabLevel, VLOOKUP(BI72,MS_Labs_A"&amp;"rray,2,False),
    Levelprogress, IF(LabLevel &gt;= MaxOrTarget, 1, LabLevel / MaxOrTarget),
    DVTColumn, MATCH(BI72,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2" s="1254" t="str">
        <f>IFERROR(__xludf.DUMMYFUNCTION("if(BI72 &lt;&gt; """", 
  LET(
    TargetLevel, VLOOKUP(BI72,MS_Labs_Array,3,false),
    LabSpeed, (1 * REGEXEXTRACT($BH$1, ""[\d.-]+"")) * {IF(BI72 =""Labs Speed"", 1+'Master Sheet'!$BK$5, LAB_SPEED_TOTAL())},
    MaxLevel, VLOOKUP(BI72,MS_Labs_Array,4,false),"&amp;"
    MaxOrTarget, IF(OR(TargetLevel = """",$AD$1 &lt;&gt; ""Target""), MaxLevel, TargetLevel),
    LabLevel, VLOOKUP(BI72,MS_Labs_Array,2,False),
    DVTColumn, MATCH(BI72, DVT_Laboratory!$A$1:BO$1, 0),
    xextTime, INDIRECT(""DVT_Laboratory!"" &amp; ADDRESS(LabLe"&amp;"vel+3, DVTColumn)) / LabSpeed,
    remainingTime, SUM(INDIRECT(""DVT_Laboratory!"" &amp; ADDRESS(LabLevel+3, DVTColumn) &amp; "":"" &amp; ADDRESS(MaxOrTarget+2, DVTColumn))) / LabSpeed,
  BI72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2" s="1252"/>
      <c r="BM72" s="1252" t="str">
        <f>IFERROR(__xludf.DUMMYFUNCTION("""COMPUTED_VALUE"""),"Recharge Second Wind
  Lab Level:      7 / 7 (Max)
  Next Level:    
  Max Level:     3d  6h 18m")</f>
        <v>Recharge Second Wind
  Lab Level:      7 / 7 (Max)
  Next Level:    
  Max Level:     3d  6h 18m</v>
      </c>
      <c r="BN72" s="1222"/>
      <c r="BO72" s="1261"/>
    </row>
    <row r="73">
      <c r="A73" s="1222"/>
      <c r="B73" s="1262" t="s">
        <v>560</v>
      </c>
      <c r="C73" s="1304" t="s">
        <v>296</v>
      </c>
      <c r="D73" s="1280" t="str">
        <f>VLOOKUP(C73,'Remote Tier List'!A:D, 2, FALSE)</f>
        <v>S</v>
      </c>
      <c r="E73" s="1281" t="str">
        <f>VLOOKUP(C73,'Remote Tier List'!A:D, 3, FALSE)</f>
        <v/>
      </c>
      <c r="F73" s="1284" t="str">
        <f>VLOOKUP(C73,'Remote Tier List'!A:D, 4, FALSE)</f>
        <v>Adds a global damage multiplier to CL</v>
      </c>
      <c r="G73" s="1245" t="b">
        <f>IFERROR(AND(VLOOKUP("Tier 7",'_IDS'!$BZ$3:$DT$23, 2, FALSE) &gt; 60,  IDS_UW_OWN("Chain Lightning")), true)</f>
        <v>1</v>
      </c>
      <c r="H73" s="1246" t="str">
        <f t="array" ref="H73:I73">LET(
  Lab, $C73,
  Mode, $AD$1,
  Level, VLOOKUP(Lab, MS_Labs_Array, 2, FALSE),
  Target, VLOOKUP(Lab, MS_Labs_Array, 3, FALSE),
  Max, VLOOKUP(Lab, MS_Labs_Array, 4, FALSE),
  Result,
    IF(
      AND(
        Mode &lt;&gt; "Never",
        Level &gt;= IF(OR(Target = "", Mode = "Max"), Max, Target)
      ),
      "Completed",
      ""
    ),
  HSTACK(
    IF(Result &lt;&gt; "", Result, $D73),
    IF(Result &lt;&gt; "", Result, IF($E73 = "", $D73, $E73))
  )
)</f>
        <v>Completed</v>
      </c>
      <c r="I73" s="1247" t="s">
        <v>551</v>
      </c>
      <c r="J73" s="1248" t="str">
        <f t="shared" si="18"/>
        <v>Adds a global damage multiplier to CL</v>
      </c>
      <c r="K73" s="1229"/>
      <c r="L73" s="1249"/>
      <c r="M73" s="1249"/>
      <c r="N73" s="1250" t="str">
        <f>IFERROR(__xludf.DUMMYFUNCTION("if(M73 &lt;&gt; """", 
  LET( 
    TargetLevel, VLOOKUP(M73,MS_Labs_Array,3,false),
    MaxLevel, VLOOKUP(M73,MS_Labs_Array,4,false),
    MaxOrTarget, IF(OR(TargetLevel = """",$AD$1 &lt;&gt; ""Target""), MaxLevel, TargetLevel),
    LabLevel, VLOOKUP(M73,MS_Labs_Array"&amp;",2,False),
    Levelprogress, LabLevel / MaxOrTarget,
    DVTColumn, MATCH(M73,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3" s="1251" t="str">
        <f>IFERROR(__xludf.DUMMYFUNCTION("if(M73 &lt;&gt; """", 
  LET(
    TargetLevel, VLOOKUP(M73,MS_Labs_Array,3,false),
    LabSpeed, (1 * REGEXEXTRACT($BH$1, ""[\d.-]+"")) * {IF(M73 =""Labs Speed"", 1+'Master Sheet'!$BK$5, LAB_SPEED_TOTAL())},
    MaxLevel, VLOOKUP(M73,MS_Labs_Array,4,false),
   "&amp;" MaxOrTarget, IF(OR(TargetLevel = """",$AD$1 &lt;&gt; ""Target""), MaxLevel, TargetLevel),
    LabLevel, VLOOKUP(M73,MS_Labs_Array,2,False),
    DVTColumn, MATCH(M73, DVT_Laboratory!$A$1:BO$1, 0),
    xextTime, INDIRECT(""DVT_Laboratory!"" &amp; ADDRESS(LabLevel+3,"&amp;" DVTColumn)) / LabSpeed,
    remainingTime, SUM(INDIRECT(""DVT_Laboratory!"" &amp; ADDRESS(LabLevel+3, DVTColumn) &amp; "":"" &amp; ADDRESS(MaxOrTarget+2, DVTColumn))) / LabSpeed,
  M73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3" s="1249"/>
      <c r="Q73" s="1249"/>
      <c r="R73" s="1249"/>
      <c r="S73" s="1249"/>
      <c r="T73" s="1250" t="str">
        <f>IFERROR(__xludf.DUMMYFUNCTION("if(S73 &lt;&gt; """", 
  LET( 
    TargetLevel, VLOOKUP(S73,MS_Labs_Array,3,false),
    MaxLevel, VLOOKUP(S73,MS_Labs_Array,4,false),
    MaxOrTarget, IF(OR(TargetLevel = """",$AD$1 &lt;&gt; ""Target""), MaxLevel, TargetLevel),
    LabLevel, VLOOKUP(S73,MS_Labs_Array"&amp;",2,False),
    Levelprogress, LabLevel / MaxOrTarget,
    DVTColumn, MATCH(S73,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3" s="1251" t="str">
        <f>IFERROR(__xludf.DUMMYFUNCTION("if(S73 &lt;&gt; """", 
  LET(
    TargetLevel, VLOOKUP(S73,MS_Labs_Array,3,false),
    LabSpeed, (1 * REGEXEXTRACT($BH$1, ""[\d.-]+"")) * {IF(S73 =""Labs Speed"", 1+'Master Sheet'!$BK$5, LAB_SPEED_TOTAL())},
    MaxLevel, VLOOKUP(S73,MS_Labs_Array,4,false),
   "&amp;" MaxOrTarget, IF(OR(TargetLevel = """",$AD$1 &lt;&gt; ""Target""), MaxLevel, TargetLevel),
    LabLevel, VLOOKUP(S73,MS_Labs_Array,2,False),
    DVTColumn, MATCH(S73, DVT_Laboratory!$A$1:BO$1, 0),
    xextTime, INDIRECT(""DVT_Laboratory!"" &amp; ADDRESS(LabLevel+3,"&amp;" DVTColumn)) / LabSpeed,
    remainingTime, SUM(INDIRECT(""DVT_Laboratory!"" &amp; ADDRESS(LabLevel+3, DVTColumn) &amp; "":"" &amp; ADDRESS(MaxOrTarget+2, DVTColumn))) / LabSpeed,
  S73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3" s="1249"/>
      <c r="W73" s="1249"/>
      <c r="X73" s="1249"/>
      <c r="Y73" s="1249"/>
      <c r="Z73" s="1250" t="str">
        <f>IFERROR(__xludf.DUMMYFUNCTION("if(Y73 &lt;&gt; """", 
  LET( 
    TargetLevel, VLOOKUP(Y73,MS_Labs_Array,3,false),
    MaxLevel, VLOOKUP(Y73,MS_Labs_Array,4,false),
    MaxOrTarget, IF(OR(TargetLevel = """",$AD$1 &lt;&gt; ""Target""), MaxLevel, TargetLevel),
    LabLevel, VLOOKUP(Y73,MS_Labs_Array"&amp;",2,False),
    Levelprogress, LabLevel / MaxOrTarget,
    DVTColumn, MATCH(Y73,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3" s="1251" t="str">
        <f>IFERROR(__xludf.DUMMYFUNCTION("if(Y73 &lt;&gt; """", 
  LET(
    TargetLevel, VLOOKUP(Y73,MS_Labs_Array,3,false),
    LabSpeed, (1 * REGEXEXTRACT($BH$1, ""[\d.-]+"")) * {IF(Y73 =""Labs Speed"", 1+'Master Sheet'!$BK$5, LAB_SPEED_TOTAL())},
    MaxLevel, VLOOKUP(Y73,MS_Labs_Array,4,false),
   "&amp;" MaxOrTarget, IF(OR(TargetLevel = """",$AD$1 &lt;&gt; ""Target""), MaxLevel, TargetLevel),
    LabLevel, VLOOKUP(Y73,MS_Labs_Array,2,False),
    DVTColumn, MATCH(Y73, DVT_Laboratory!$A$1:BO$1, 0),
    xextTime, INDIRECT(""DVT_Laboratory!"" &amp; ADDRESS(LabLevel+3,"&amp;" DVTColumn)) / LabSpeed,
    remainingTime, SUM(INDIRECT(""DVT_Laboratory!"" &amp; ADDRESS(LabLevel+3, DVTColumn) &amp; "":"" &amp; ADDRESS(MaxOrTarget+2, DVTColumn))) / LabSpeed,
  Y73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3" s="1249"/>
      <c r="AC73" s="1249"/>
      <c r="AD73" s="1249"/>
      <c r="AE73" s="1249"/>
      <c r="AF73" s="1250" t="str">
        <f>IFERROR(__xludf.DUMMYFUNCTION("if(AE73 &lt;&gt; """", 
  LET( 
    TargetLevel, VLOOKUP(AE73,MS_Labs_Array,3,false),
    MaxLevel, VLOOKUP(AE73,MS_Labs_Array,4,false),
    MaxOrTarget, IF(OR(TargetLevel = """",$AD$1 &lt;&gt; ""Target""), MaxLevel, TargetLevel),
    LabLevel, VLOOKUP(AE73,MS_Labs_A"&amp;"rray,2,False),
    Levelprogress, LabLevel / MaxOrTarget,
    DVTColumn, MATCH(AE73,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3" s="1251" t="str">
        <f>IFERROR(__xludf.DUMMYFUNCTION("if(AE73 &lt;&gt; """", 
  LET(
    TargetLevel, VLOOKUP(AE73,MS_Labs_Array,3,false),
    LabSpeed, (1 * REGEXEXTRACT($BH$1, ""[\d.-]+"")) * {IF(AE73 =""Labs Speed"", 1+'Master Sheet'!$BK$5, LAB_SPEED_TOTAL())},
    MaxLevel, VLOOKUP(AE73,MS_Labs_Array,4,false),"&amp;"
    MaxOrTarget, IF(OR(TargetLevel = """",$AD$1 &lt;&gt; ""Target""), MaxLevel, TargetLevel),
    LabLevel, VLOOKUP(AE73,MS_Labs_Array,2,False),
    DVTColumn, MATCH(AE73, DVT_Laboratory!$A$1:BO$1, 0),
    xextTime, INDIRECT(""DVT_Laboratory!"" &amp; ADDRESS(LabLe"&amp;"vel+3, DVTColumn)) / LabSpeed,
    remainingTime, SUM(INDIRECT(""DVT_Laboratory!"" &amp; ADDRESS(LabLevel+3, DVTColumn) &amp; "":"" &amp; ADDRESS(MaxOrTarget+2, DVTColumn))) / LabSpeed,
  AE73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3" s="1249"/>
      <c r="AI73" s="1249"/>
      <c r="AJ73" s="1249"/>
      <c r="AK73" s="1249"/>
      <c r="AL73" s="1250" t="str">
        <f>IFERROR(__xludf.DUMMYFUNCTION("if(AK73 &lt;&gt; """", 
  LET( 
    TargetLevel, VLOOKUP(AK73,MS_Labs_Array,3,false),
    MaxLevel, VLOOKUP(AK73,MS_Labs_Array,4,false),
    MaxOrTarget, IF(OR(TargetLevel = """",$AD$1 &lt;&gt; ""Target""), MaxLevel, TargetLevel),
    LabLevel, VLOOKUP(AK73,MS_Labs_A"&amp;"rray,2,False),
    Levelprogress, LabLevel / MaxOrTarget,
    DVTColumn, MATCH(AK73,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3" s="1251" t="str">
        <f>IFERROR(__xludf.DUMMYFUNCTION("if(AK73 &lt;&gt; """", 
  LET(
    TargetLevel, VLOOKUP(AK73,MS_Labs_Array,3,false),
    LabSpeed, (1 * REGEXEXTRACT($BH$1, ""[\d.-]+"")) * {IF(AK73 =""Labs Speed"", 1+'Master Sheet'!$BK$5, LAB_SPEED_TOTAL())},
    MaxLevel, VLOOKUP(AK73,MS_Labs_Array,4,false),"&amp;"
    MaxOrTarget, IF(OR(TargetLevel = """",$AD$1 &lt;&gt; ""Target""), MaxLevel, TargetLevel),
    LabLevel, VLOOKUP(AK73,MS_Labs_Array,2,False),
    DVTColumn, MATCH(AK73, DVT_Laboratory!$A$1:BO$1, 0),
    xextTime, INDIRECT(""DVT_Laboratory!"" &amp; ADDRESS(LabLe"&amp;"vel+3, DVTColumn)) / LabSpeed,
    remainingTime, SUM(INDIRECT(""DVT_Laboratory!"" &amp; ADDRESS(LabLevel+3, DVTColumn) &amp; "":"" &amp; ADDRESS(MaxOrTarget+2, DVTColumn))) / LabSpeed,
  AK73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3" s="1249"/>
      <c r="AO73" s="1249"/>
      <c r="AP73" s="1249"/>
      <c r="AQ73" s="1249"/>
      <c r="AR73" s="1250" t="str">
        <f>IFERROR(__xludf.DUMMYFUNCTION("if(AQ73 &lt;&gt; """", 
  LET( 
    TargetLevel, VLOOKUP(AQ73,MS_Labs_Array,3,false),
    MaxLevel, VLOOKUP(AQ73,MS_Labs_Array,4,false),
    MaxOrTarget, IF(OR(TargetLevel = """",$AD$1 &lt;&gt; ""Target""), MaxLevel, TargetLevel),
    LabLevel, VLOOKUP(AQ73,MS_Labs_A"&amp;"rray,2,False),
    Levelprogress, LabLevel / MaxOrTarget,
    DVTColumn, MATCH(AQ73,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3" s="1251" t="str">
        <f>IFERROR(__xludf.DUMMYFUNCTION("if(AQ73 &lt;&gt; """", 
  LET(
    TargetLevel, VLOOKUP(AQ73,MS_Labs_Array,3,false),
    LabSpeed, (1 * REGEXEXTRACT($BH$1, ""[\d.-]+"")) * {IF(AQ73 =""Labs Speed"", 1+'Master Sheet'!$BK$5, LAB_SPEED_TOTAL())},
    MaxLevel, VLOOKUP(AQ73,MS_Labs_Array,4,false),"&amp;"
    MaxOrTarget, IF(OR(TargetLevel = """",$AD$1 &lt;&gt; ""Target""), MaxLevel, TargetLevel),
    LabLevel, VLOOKUP(AQ73,MS_Labs_Array,2,False),
    DVTColumn, MATCH(AQ73, DVT_Laboratory!$A$1:BO$1, 0),
    xextTime, INDIRECT(""DVT_Laboratory!"" &amp; ADDRESS(LabLe"&amp;"vel+3, DVTColumn)) / LabSpeed,
    remainingTime, SUM(INDIRECT(""DVT_Laboratory!"" &amp; ADDRESS(LabLevel+3, DVTColumn) &amp; "":"" &amp; ADDRESS(MaxOrTarget+2, DVTColumn))) / LabSpeed,
  AQ73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3" s="1249"/>
      <c r="AU73" s="1249"/>
      <c r="AV73" s="1249"/>
      <c r="AW73" s="1249"/>
      <c r="AX73" s="1250" t="str">
        <f>IFERROR(__xludf.DUMMYFUNCTION("if(AW73 &lt;&gt; """", 
  LET( 
    TargetLevel, VLOOKUP(AW73,MS_Labs_Array,3,false),
    MaxLevel, VLOOKUP(AW73,MS_Labs_Array,4,false),
    MaxOrTarget, IF(OR(TargetLevel = """",$AD$1 &lt;&gt; ""Target""), MaxLevel, TargetLevel),
    LabLevel, VLOOKUP(AW73,MS_Labs_A"&amp;"rray,2,False),
    Levelprogress, LabLevel / MaxOrTarget,
    DVTColumn, MATCH(AW73,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3" s="1251" t="str">
        <f>IFERROR(__xludf.DUMMYFUNCTION("if(AW73 &lt;&gt; """", 
  LET(
    TargetLevel, VLOOKUP(AW73,MS_Labs_Array,3,false),
    LabSpeed, (1 * REGEXEXTRACT($BH$1, ""[\d.-]+"")) * {IF(AW73 =""Labs Speed"", 1+'Master Sheet'!$BK$5, LAB_SPEED_TOTAL())},
    MaxLevel, VLOOKUP(AW73,MS_Labs_Array,4,false),"&amp;"
    MaxOrTarget, IF(OR(TargetLevel = """",$AD$1 &lt;&gt; ""Target""), MaxLevel, TargetLevel),
    LabLevel, VLOOKUP(AW73,MS_Labs_Array,2,False),
    DVTColumn, MATCH(AW73, DVT_Laboratory!$A$1:BO$1, 0),
    xextTime, INDIRECT(""DVT_Laboratory!"" &amp; ADDRESS(LabLe"&amp;"vel+3, DVTColumn)) / LabSpeed,
    remainingTime, SUM(INDIRECT(""DVT_Laboratory!"" &amp; ADDRESS(LabLevel+3, DVTColumn) &amp; "":"" &amp; ADDRESS(MaxOrTarget+2, DVTColumn))) / LabSpeed,
  AW73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3" s="1249"/>
      <c r="BA73" s="1249"/>
      <c r="BB73" s="1249"/>
      <c r="BC73" s="1249"/>
      <c r="BD73" s="1250" t="str">
        <f>IFERROR(__xludf.DUMMYFUNCTION("if(BC73 &lt;&gt; """", 
  LET( 
    TargetLevel, VLOOKUP(BC73,MS_Labs_Array,3,false),
    MaxLevel, VLOOKUP(BC73,MS_Labs_Array,4,false),
    MaxOrTarget, IF(OR(TargetLevel = """",$AD$1 &lt;&gt; ""Target""), MaxLevel, TargetLevel),
    LabLevel, VLOOKUP(BC73,MS_Labs_A"&amp;"rray,2,False),
    Levelprogress, LabLevel / MaxOrTarget,
    DVTColumn, MATCH(BC73,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3" s="1251" t="str">
        <f>IFERROR(__xludf.DUMMYFUNCTION("if(BC73 &lt;&gt; """", 
  LET(
    TargetLevel, VLOOKUP(BC73,MS_Labs_Array,3,false),
    LabSpeed, (1 * REGEXEXTRACT($BH$1, ""[\d.-]+"")) * {IF(BC73 =""Labs Speed"", 1+'Master Sheet'!$BK$5, LAB_SPEED_TOTAL())},
    MaxLevel, VLOOKUP(BC73,MS_Labs_Array,4,false),"&amp;"
    MaxOrTarget, IF(OR(TargetLevel = """",$AD$1 &lt;&gt; ""Target""), MaxLevel, TargetLevel),
    LabLevel, VLOOKUP(BC73,MS_Labs_Array,2,False),
    DVTColumn, MATCH(BC73, DVT_Laboratory!$A$1:BO$1, 0),
    xextTime, INDIRECT(""DVT_Laboratory!"" &amp; ADDRESS(LabLe"&amp;"vel+3, DVTColumn)) / LabSpeed,
    remainingTime, SUM(INDIRECT(""DVT_Laboratory!"" &amp; ADDRESS(LabLevel+3, DVTColumn) &amp; "":"" &amp; ADDRESS(MaxOrTarget+2, DVTColumn))) / LabSpeed,
  BC73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3" s="1249"/>
      <c r="BG73" s="1249"/>
      <c r="BH73" s="1260" t="str">
        <f>IFERROR(__xludf.DUMMYFUNCTION("""COMPUTED_VALUE"""),"Unlock Perks")</f>
        <v>Unlock Perks</v>
      </c>
      <c r="BI73" s="1252"/>
      <c r="BJ73" s="1253" t="str">
        <f>IFERROR(__xludf.DUMMYFUNCTION("if(BI73 &lt;&gt; """", 
  LET( 
    TargetLevel, VLOOKUP(BI73,MS_Labs_Array,3,false),
    MaxLevel, VLOOKUP(BI73,MS_Labs_Array,4,false),
    MaxOrTarget, IF(OR(TargetLevel = """",$AD$1 &lt;&gt; ""Target""), MaxLevel, TargetLevel),
    LabLevel, VLOOKUP(BI73,MS_Labs_A"&amp;"rray,2,False),
    Levelprogress, IF(LabLevel &gt;= MaxOrTarget, 1, LabLevel / MaxOrTarget),
    DVTColumn, MATCH(BI73,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3" s="1254" t="str">
        <f>IFERROR(__xludf.DUMMYFUNCTION("if(BI73 &lt;&gt; """", 
  LET(
    TargetLevel, VLOOKUP(BI73,MS_Labs_Array,3,false),
    LabSpeed, (1 * REGEXEXTRACT($BH$1, ""[\d.-]+"")) * {IF(BI73 =""Labs Speed"", 1+'Master Sheet'!$BK$5, LAB_SPEED_TOTAL())},
    MaxLevel, VLOOKUP(BI73,MS_Labs_Array,4,false),"&amp;"
    MaxOrTarget, IF(OR(TargetLevel = """",$AD$1 &lt;&gt; ""Target""), MaxLevel, TargetLevel),
    LabLevel, VLOOKUP(BI73,MS_Labs_Array,2,False),
    DVTColumn, MATCH(BI73, DVT_Laboratory!$A$1:BO$1, 0),
    xextTime, INDIRECT(""DVT_Laboratory!"" &amp; ADDRESS(LabLe"&amp;"vel+3, DVTColumn)) / LabSpeed,
    remainingTime, SUM(INDIRECT(""DVT_Laboratory!"" &amp; ADDRESS(LabLevel+3, DVTColumn) &amp; "":"" &amp; ADDRESS(MaxOrTarget+2, DVTColumn))) / LabSpeed,
  BI73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3" s="1252"/>
      <c r="BM73" s="1252" t="str">
        <f>IFERROR(__xludf.DUMMYFUNCTION("""COMPUTED_VALUE"""),"Perks are great, they make your tower better at almost everything")</f>
        <v>Perks are great, they make your tower better at almost everything</v>
      </c>
      <c r="BN73" s="1222"/>
      <c r="BO73" s="1261"/>
    </row>
    <row r="74" ht="7.5" customHeight="1">
      <c r="A74" s="1222"/>
      <c r="B74" s="1257"/>
      <c r="C74" s="1304" t="s">
        <v>303</v>
      </c>
      <c r="D74" s="1280" t="str">
        <f>VLOOKUP(C74,'Remote Tier List'!A:D, 2, FALSE)</f>
        <v>A</v>
      </c>
      <c r="E74" s="1281" t="str">
        <f>VLOOKUP(C74,'Remote Tier List'!A:D, 3, FALSE)</f>
        <v/>
      </c>
      <c r="F74" s="1284" t="str">
        <f>VLOOKUP(C74,'Remote Tier List'!A:D, 4, FALSE)</f>
        <v>Shock will stack faster; no need to max, attack speed should handle maxing fast</v>
      </c>
      <c r="G74" s="1245" t="b">
        <f>IFERROR(AND(VLOOKUP("Tier 7",'_IDS'!$BZ$3:$DT$23, 2, FALSE) &gt; 60,  IDS_UW_OWN("Chain Lightning")), true)</f>
        <v>1</v>
      </c>
      <c r="H74" s="1246" t="str">
        <f t="array" ref="H74:I74">LET(
  Lab, $C74,
  Mode, $AD$1,
  Level, VLOOKUP(Lab, MS_Labs_Array, 2, FALSE),
  Target, VLOOKUP(Lab, MS_Labs_Array, 3, FALSE),
  Max, VLOOKUP(Lab, MS_Labs_Array, 4, FALSE),
  Result,
    IF(
      AND(
        Mode &lt;&gt; "Never",
        Level &gt;= IF(OR(Target = "", Mode = "Max"), Max, Target)
      ),
      "Completed",
      ""
    ),
  HSTACK(
    IF(Result &lt;&gt; "", Result, $D74),
    IF(Result &lt;&gt; "", Result, IF($E74 = "", $D74, $E74))
  )
)</f>
        <v>A</v>
      </c>
      <c r="I74" s="1247" t="s">
        <v>545</v>
      </c>
      <c r="J74" s="1248" t="str">
        <f t="shared" si="18"/>
        <v>Shock will stack faster; no need to max, attack speed should handle maxing fast</v>
      </c>
      <c r="K74" s="1229"/>
      <c r="L74" s="1249" t="str">
        <f>IFERROR(__xludf.DUMMYFUNCTION("""COMPUTED_VALUE"""),"")</f>
        <v/>
      </c>
      <c r="M74" s="1249"/>
      <c r="N74" s="1250" t="str">
        <f>IFERROR(__xludf.DUMMYFUNCTION("if(M74 &lt;&gt; """", 
  LET( 
    TargetLevel, VLOOKUP(M74,MS_Labs_Array,3,false),
    MaxLevel, VLOOKUP(M74,MS_Labs_Array,4,false),
    MaxOrTarget, IF(OR(TargetLevel = """",$AD$1 &lt;&gt; ""Target""), MaxLevel, TargetLevel),
    LabLevel, VLOOKUP(M74,MS_Labs_Array"&amp;",2,False),
    Levelprogress, LabLevel / MaxOrTarget,
    DVTColumn, MATCH(M74,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4" s="1251" t="str">
        <f>IFERROR(__xludf.DUMMYFUNCTION("if(M74 &lt;&gt; """", 
  LET(
    TargetLevel, VLOOKUP(M74,MS_Labs_Array,3,false),
    LabSpeed, (1 * REGEXEXTRACT($BH$1, ""[\d.-]+"")) * {IF(M74 =""Labs Speed"", 1+'Master Sheet'!$BK$5, LAB_SPEED_TOTAL())},
    MaxLevel, VLOOKUP(M74,MS_Labs_Array,4,false),
   "&amp;" MaxOrTarget, IF(OR(TargetLevel = """",$AD$1 &lt;&gt; ""Target""), MaxLevel, TargetLevel),
    LabLevel, VLOOKUP(M74,MS_Labs_Array,2,False),
    DVTColumn, MATCH(M74, DVT_Laboratory!$A$1:BO$1, 0),
    xextTime, INDIRECT(""DVT_Laboratory!"" &amp; ADDRESS(LabLevel+3,"&amp;" DVTColumn)) / LabSpeed,
    remainingTime, SUM(INDIRECT(""DVT_Laboratory!"" &amp; ADDRESS(LabLevel+3, DVTColumn) &amp; "":"" &amp; ADDRESS(MaxOrTarget+2, DVTColumn))) / LabSpeed,
  M74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4" s="1249"/>
      <c r="Q74" s="1249" t="str">
        <f>IFERROR(__xludf.DUMMYFUNCTION("""COMPUTED_VALUE"""),"")</f>
        <v/>
      </c>
      <c r="R74" s="1249" t="str">
        <f>IFERROR(__xludf.DUMMYFUNCTION("""COMPUTED_VALUE"""),"")</f>
        <v/>
      </c>
      <c r="S74" s="1249"/>
      <c r="T74" s="1250" t="str">
        <f>IFERROR(__xludf.DUMMYFUNCTION("if(S74 &lt;&gt; """", 
  LET( 
    TargetLevel, VLOOKUP(S74,MS_Labs_Array,3,false),
    MaxLevel, VLOOKUP(S74,MS_Labs_Array,4,false),
    MaxOrTarget, IF(OR(TargetLevel = """",$AD$1 &lt;&gt; ""Target""), MaxLevel, TargetLevel),
    LabLevel, VLOOKUP(S74,MS_Labs_Array"&amp;",2,False),
    Levelprogress, LabLevel / MaxOrTarget,
    DVTColumn, MATCH(S74,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4" s="1251" t="str">
        <f>IFERROR(__xludf.DUMMYFUNCTION("if(S74 &lt;&gt; """", 
  LET(
    TargetLevel, VLOOKUP(S74,MS_Labs_Array,3,false),
    LabSpeed, (1 * REGEXEXTRACT($BH$1, ""[\d.-]+"")) * {IF(S74 =""Labs Speed"", 1+'Master Sheet'!$BK$5, LAB_SPEED_TOTAL())},
    MaxLevel, VLOOKUP(S74,MS_Labs_Array,4,false),
   "&amp;" MaxOrTarget, IF(OR(TargetLevel = """",$AD$1 &lt;&gt; ""Target""), MaxLevel, TargetLevel),
    LabLevel, VLOOKUP(S74,MS_Labs_Array,2,False),
    DVTColumn, MATCH(S74, DVT_Laboratory!$A$1:BO$1, 0),
    xextTime, INDIRECT(""DVT_Laboratory!"" &amp; ADDRESS(LabLevel+3,"&amp;" DVTColumn)) / LabSpeed,
    remainingTime, SUM(INDIRECT(""DVT_Laboratory!"" &amp; ADDRESS(LabLevel+3, DVTColumn) &amp; "":"" &amp; ADDRESS(MaxOrTarget+2, DVTColumn))) / LabSpeed,
  S74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4" s="1249"/>
      <c r="W74" s="1249" t="str">
        <f>IFERROR(__xludf.DUMMYFUNCTION("""COMPUTED_VALUE"""),"")</f>
        <v/>
      </c>
      <c r="X74" s="1249" t="str">
        <f>IFERROR(__xludf.DUMMYFUNCTION("""COMPUTED_VALUE"""),"")</f>
        <v/>
      </c>
      <c r="Y74" s="1249"/>
      <c r="Z74" s="1250" t="str">
        <f>IFERROR(__xludf.DUMMYFUNCTION("if(Y74 &lt;&gt; """", 
  LET( 
    TargetLevel, VLOOKUP(Y74,MS_Labs_Array,3,false),
    MaxLevel, VLOOKUP(Y74,MS_Labs_Array,4,false),
    MaxOrTarget, IF(OR(TargetLevel = """",$AD$1 &lt;&gt; ""Target""), MaxLevel, TargetLevel),
    LabLevel, VLOOKUP(Y74,MS_Labs_Array"&amp;",2,False),
    Levelprogress, LabLevel / MaxOrTarget,
    DVTColumn, MATCH(Y74,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4" s="1251" t="str">
        <f>IFERROR(__xludf.DUMMYFUNCTION("if(Y74 &lt;&gt; """", 
  LET(
    TargetLevel, VLOOKUP(Y74,MS_Labs_Array,3,false),
    LabSpeed, (1 * REGEXEXTRACT($BH$1, ""[\d.-]+"")) * {IF(Y74 =""Labs Speed"", 1+'Master Sheet'!$BK$5, LAB_SPEED_TOTAL())},
    MaxLevel, VLOOKUP(Y74,MS_Labs_Array,4,false),
   "&amp;" MaxOrTarget, IF(OR(TargetLevel = """",$AD$1 &lt;&gt; ""Target""), MaxLevel, TargetLevel),
    LabLevel, VLOOKUP(Y74,MS_Labs_Array,2,False),
    DVTColumn, MATCH(Y74, DVT_Laboratory!$A$1:BO$1, 0),
    xextTime, INDIRECT(""DVT_Laboratory!"" &amp; ADDRESS(LabLevel+3,"&amp;" DVTColumn)) / LabSpeed,
    remainingTime, SUM(INDIRECT(""DVT_Laboratory!"" &amp; ADDRESS(LabLevel+3, DVTColumn) &amp; "":"" &amp; ADDRESS(MaxOrTarget+2, DVTColumn))) / LabSpeed,
  Y74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4" s="1249"/>
      <c r="AC74" s="1249" t="str">
        <f>IFERROR(__xludf.DUMMYFUNCTION("""COMPUTED_VALUE"""),"")</f>
        <v/>
      </c>
      <c r="AD74" s="1249" t="str">
        <f>IFERROR(__xludf.DUMMYFUNCTION("""COMPUTED_VALUE"""),"")</f>
        <v/>
      </c>
      <c r="AE74" s="1249"/>
      <c r="AF74" s="1250" t="str">
        <f>IFERROR(__xludf.DUMMYFUNCTION("if(AE74 &lt;&gt; """", 
  LET( 
    TargetLevel, VLOOKUP(AE74,MS_Labs_Array,3,false),
    MaxLevel, VLOOKUP(AE74,MS_Labs_Array,4,false),
    MaxOrTarget, IF(OR(TargetLevel = """",$AD$1 &lt;&gt; ""Target""), MaxLevel, TargetLevel),
    LabLevel, VLOOKUP(AE74,MS_Labs_A"&amp;"rray,2,False),
    Levelprogress, LabLevel / MaxOrTarget,
    DVTColumn, MATCH(AE74,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4" s="1251" t="str">
        <f>IFERROR(__xludf.DUMMYFUNCTION("if(AE74 &lt;&gt; """", 
  LET(
    TargetLevel, VLOOKUP(AE74,MS_Labs_Array,3,false),
    LabSpeed, (1 * REGEXEXTRACT($BH$1, ""[\d.-]+"")) * {IF(AE74 =""Labs Speed"", 1+'Master Sheet'!$BK$5, LAB_SPEED_TOTAL())},
    MaxLevel, VLOOKUP(AE74,MS_Labs_Array,4,false),"&amp;"
    MaxOrTarget, IF(OR(TargetLevel = """",$AD$1 &lt;&gt; ""Target""), MaxLevel, TargetLevel),
    LabLevel, VLOOKUP(AE74,MS_Labs_Array,2,False),
    DVTColumn, MATCH(AE74, DVT_Laboratory!$A$1:BO$1, 0),
    xextTime, INDIRECT(""DVT_Laboratory!"" &amp; ADDRESS(LabLe"&amp;"vel+3, DVTColumn)) / LabSpeed,
    remainingTime, SUM(INDIRECT(""DVT_Laboratory!"" &amp; ADDRESS(LabLevel+3, DVTColumn) &amp; "":"" &amp; ADDRESS(MaxOrTarget+2, DVTColumn))) / LabSpeed,
  AE74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4" s="1249"/>
      <c r="AI74" s="1249" t="str">
        <f>IFERROR(__xludf.DUMMYFUNCTION("""COMPUTED_VALUE"""),"")</f>
        <v/>
      </c>
      <c r="AJ74" s="1249" t="str">
        <f>IFERROR(__xludf.DUMMYFUNCTION("""COMPUTED_VALUE"""),"")</f>
        <v/>
      </c>
      <c r="AK74" s="1249"/>
      <c r="AL74" s="1250" t="str">
        <f>IFERROR(__xludf.DUMMYFUNCTION("if(AK74 &lt;&gt; """", 
  LET( 
    TargetLevel, VLOOKUP(AK74,MS_Labs_Array,3,false),
    MaxLevel, VLOOKUP(AK74,MS_Labs_Array,4,false),
    MaxOrTarget, IF(OR(TargetLevel = """",$AD$1 &lt;&gt; ""Target""), MaxLevel, TargetLevel),
    LabLevel, VLOOKUP(AK74,MS_Labs_A"&amp;"rray,2,False),
    Levelprogress, LabLevel / MaxOrTarget,
    DVTColumn, MATCH(AK74,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4" s="1251" t="str">
        <f>IFERROR(__xludf.DUMMYFUNCTION("if(AK74 &lt;&gt; """", 
  LET(
    TargetLevel, VLOOKUP(AK74,MS_Labs_Array,3,false),
    LabSpeed, (1 * REGEXEXTRACT($BH$1, ""[\d.-]+"")) * {IF(AK74 =""Labs Speed"", 1+'Master Sheet'!$BK$5, LAB_SPEED_TOTAL())},
    MaxLevel, VLOOKUP(AK74,MS_Labs_Array,4,false),"&amp;"
    MaxOrTarget, IF(OR(TargetLevel = """",$AD$1 &lt;&gt; ""Target""), MaxLevel, TargetLevel),
    LabLevel, VLOOKUP(AK74,MS_Labs_Array,2,False),
    DVTColumn, MATCH(AK74, DVT_Laboratory!$A$1:BO$1, 0),
    xextTime, INDIRECT(""DVT_Laboratory!"" &amp; ADDRESS(LabLe"&amp;"vel+3, DVTColumn)) / LabSpeed,
    remainingTime, SUM(INDIRECT(""DVT_Laboratory!"" &amp; ADDRESS(LabLevel+3, DVTColumn) &amp; "":"" &amp; ADDRESS(MaxOrTarget+2, DVTColumn))) / LabSpeed,
  AK74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4" s="1249"/>
      <c r="AO74" s="1249" t="str">
        <f>IFERROR(__xludf.DUMMYFUNCTION("""COMPUTED_VALUE"""),"")</f>
        <v/>
      </c>
      <c r="AP74" s="1249" t="str">
        <f>IFERROR(__xludf.DUMMYFUNCTION("""COMPUTED_VALUE"""),"")</f>
        <v/>
      </c>
      <c r="AQ74" s="1249"/>
      <c r="AR74" s="1250" t="str">
        <f>IFERROR(__xludf.DUMMYFUNCTION("if(AQ74 &lt;&gt; """", 
  LET( 
    TargetLevel, VLOOKUP(AQ74,MS_Labs_Array,3,false),
    MaxLevel, VLOOKUP(AQ74,MS_Labs_Array,4,false),
    MaxOrTarget, IF(OR(TargetLevel = """",$AD$1 &lt;&gt; ""Target""), MaxLevel, TargetLevel),
    LabLevel, VLOOKUP(AQ74,MS_Labs_A"&amp;"rray,2,False),
    Levelprogress, LabLevel / MaxOrTarget,
    DVTColumn, MATCH(AQ74,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4" s="1251" t="str">
        <f>IFERROR(__xludf.DUMMYFUNCTION("if(AQ74 &lt;&gt; """", 
  LET(
    TargetLevel, VLOOKUP(AQ74,MS_Labs_Array,3,false),
    LabSpeed, (1 * REGEXEXTRACT($BH$1, ""[\d.-]+"")) * {IF(AQ74 =""Labs Speed"", 1+'Master Sheet'!$BK$5, LAB_SPEED_TOTAL())},
    MaxLevel, VLOOKUP(AQ74,MS_Labs_Array,4,false),"&amp;"
    MaxOrTarget, IF(OR(TargetLevel = """",$AD$1 &lt;&gt; ""Target""), MaxLevel, TargetLevel),
    LabLevel, VLOOKUP(AQ74,MS_Labs_Array,2,False),
    DVTColumn, MATCH(AQ74, DVT_Laboratory!$A$1:BO$1, 0),
    xextTime, INDIRECT(""DVT_Laboratory!"" &amp; ADDRESS(LabLe"&amp;"vel+3, DVTColumn)) / LabSpeed,
    remainingTime, SUM(INDIRECT(""DVT_Laboratory!"" &amp; ADDRESS(LabLevel+3, DVTColumn) &amp; "":"" &amp; ADDRESS(MaxOrTarget+2, DVTColumn))) / LabSpeed,
  AQ74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4" s="1249"/>
      <c r="AU74" s="1249" t="str">
        <f>IFERROR(__xludf.DUMMYFUNCTION("""COMPUTED_VALUE"""),"")</f>
        <v/>
      </c>
      <c r="AV74" s="1249" t="str">
        <f>IFERROR(__xludf.DUMMYFUNCTION("""COMPUTED_VALUE"""),"")</f>
        <v/>
      </c>
      <c r="AW74" s="1249"/>
      <c r="AX74" s="1250" t="str">
        <f>IFERROR(__xludf.DUMMYFUNCTION("if(AW74 &lt;&gt; """", 
  LET( 
    TargetLevel, VLOOKUP(AW74,MS_Labs_Array,3,false),
    MaxLevel, VLOOKUP(AW74,MS_Labs_Array,4,false),
    MaxOrTarget, IF(OR(TargetLevel = """",$AD$1 &lt;&gt; ""Target""), MaxLevel, TargetLevel),
    LabLevel, VLOOKUP(AW74,MS_Labs_A"&amp;"rray,2,False),
    Levelprogress, LabLevel / MaxOrTarget,
    DVTColumn, MATCH(AW74,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4" s="1251" t="str">
        <f>IFERROR(__xludf.DUMMYFUNCTION("if(AW74 &lt;&gt; """", 
  LET(
    TargetLevel, VLOOKUP(AW74,MS_Labs_Array,3,false),
    LabSpeed, (1 * REGEXEXTRACT($BH$1, ""[\d.-]+"")) * {IF(AW74 =""Labs Speed"", 1+'Master Sheet'!$BK$5, LAB_SPEED_TOTAL())},
    MaxLevel, VLOOKUP(AW74,MS_Labs_Array,4,false),"&amp;"
    MaxOrTarget, IF(OR(TargetLevel = """",$AD$1 &lt;&gt; ""Target""), MaxLevel, TargetLevel),
    LabLevel, VLOOKUP(AW74,MS_Labs_Array,2,False),
    DVTColumn, MATCH(AW74, DVT_Laboratory!$A$1:BO$1, 0),
    xextTime, INDIRECT(""DVT_Laboratory!"" &amp; ADDRESS(LabLe"&amp;"vel+3, DVTColumn)) / LabSpeed,
    remainingTime, SUM(INDIRECT(""DVT_Laboratory!"" &amp; ADDRESS(LabLevel+3, DVTColumn) &amp; "":"" &amp; ADDRESS(MaxOrTarget+2, DVTColumn))) / LabSpeed,
  AW74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4" s="1249"/>
      <c r="BA74" s="1249" t="str">
        <f>IFERROR(__xludf.DUMMYFUNCTION("""COMPUTED_VALUE"""),"")</f>
        <v/>
      </c>
      <c r="BB74" s="1249" t="str">
        <f>IFERROR(__xludf.DUMMYFUNCTION("""COMPUTED_VALUE"""),"")</f>
        <v/>
      </c>
      <c r="BC74" s="1249"/>
      <c r="BD74" s="1250" t="str">
        <f>IFERROR(__xludf.DUMMYFUNCTION("if(BC74 &lt;&gt; """", 
  LET( 
    TargetLevel, VLOOKUP(BC74,MS_Labs_Array,3,false),
    MaxLevel, VLOOKUP(BC74,MS_Labs_Array,4,false),
    MaxOrTarget, IF(OR(TargetLevel = """",$AD$1 &lt;&gt; ""Target""), MaxLevel, TargetLevel),
    LabLevel, VLOOKUP(BC74,MS_Labs_A"&amp;"rray,2,False),
    Levelprogress, LabLevel / MaxOrTarget,
    DVTColumn, MATCH(BC74,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4" s="1251" t="str">
        <f>IFERROR(__xludf.DUMMYFUNCTION("if(BC74 &lt;&gt; """", 
  LET(
    TargetLevel, VLOOKUP(BC74,MS_Labs_Array,3,false),
    LabSpeed, (1 * REGEXEXTRACT($BH$1, ""[\d.-]+"")) * {IF(BC74 =""Labs Speed"", 1+'Master Sheet'!$BK$5, LAB_SPEED_TOTAL())},
    MaxLevel, VLOOKUP(BC74,MS_Labs_Array,4,false),"&amp;"
    MaxOrTarget, IF(OR(TargetLevel = """",$AD$1 &lt;&gt; ""Target""), MaxLevel, TargetLevel),
    LabLevel, VLOOKUP(BC74,MS_Labs_Array,2,False),
    DVTColumn, MATCH(BC74, DVT_Laboratory!$A$1:BO$1, 0),
    xextTime, INDIRECT(""DVT_Laboratory!"" &amp; ADDRESS(LabLe"&amp;"vel+3, DVTColumn)) / LabSpeed,
    remainingTime, SUM(INDIRECT(""DVT_Laboratory!"" &amp; ADDRESS(LabLevel+3, DVTColumn) &amp; "":"" &amp; ADDRESS(MaxOrTarget+2, DVTColumn))) / LabSpeed,
  BC74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4" s="1249"/>
      <c r="BG74" s="1249" t="str">
        <f>IFERROR(__xludf.DUMMYFUNCTION("""COMPUTED_VALUE"""),"")</f>
        <v/>
      </c>
      <c r="BH74" s="1260" t="str">
        <f>IFERROR(__xludf.DUMMYFUNCTION("""COMPUTED_VALUE"""),"")</f>
        <v/>
      </c>
      <c r="BI74" s="1252"/>
      <c r="BJ74" s="1253" t="str">
        <f>IFERROR(__xludf.DUMMYFUNCTION("if(BI74 &lt;&gt; """", 
  LET( 
    TargetLevel, VLOOKUP(BI74,MS_Labs_Array,3,false),
    MaxLevel, VLOOKUP(BI74,MS_Labs_Array,4,false),
    MaxOrTarget, IF(OR(TargetLevel = """",$AD$1 &lt;&gt; ""Target""), MaxLevel, TargetLevel),
    LabLevel, VLOOKUP(BI74,MS_Labs_A"&amp;"rray,2,False),
    Levelprogress, IF(LabLevel &gt;= MaxOrTarget, 1, LabLevel / MaxOrTarget),
    DVTColumn, MATCH(BI74,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4" s="1254" t="str">
        <f>IFERROR(__xludf.DUMMYFUNCTION("if(BI74 &lt;&gt; """", 
  LET(
    TargetLevel, VLOOKUP(BI74,MS_Labs_Array,3,false),
    LabSpeed, (1 * REGEXEXTRACT($BH$1, ""[\d.-]+"")) * {IF(BI74 =""Labs Speed"", 1+'Master Sheet'!$BK$5, LAB_SPEED_TOTAL())},
    MaxLevel, VLOOKUP(BI74,MS_Labs_Array,4,false),"&amp;"
    MaxOrTarget, IF(OR(TargetLevel = """",$AD$1 &lt;&gt; ""Target""), MaxLevel, TargetLevel),
    LabLevel, VLOOKUP(BI74,MS_Labs_Array,2,False),
    DVTColumn, MATCH(BI74, DVT_Laboratory!$A$1:BO$1, 0),
    xextTime, INDIRECT(""DVT_Laboratory!"" &amp; ADDRESS(LabLe"&amp;"vel+3, DVTColumn)) / LabSpeed,
    remainingTime, SUM(INDIRECT(""DVT_Laboratory!"" &amp; ADDRESS(LabLevel+3, DVTColumn) &amp; "":"" &amp; ADDRESS(MaxOrTarget+2, DVTColumn))) / LabSpeed,
  BI74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4" s="1252"/>
      <c r="BM74" s="1252" t="str">
        <f>IFERROR(__xludf.DUMMYFUNCTION("""COMPUTED_VALUE"""),"Unlock Perks
  Lab Level:      1 / 1 (Max)
  Next Level:    
  Max Level:     0d  5h 17m")</f>
        <v>Unlock Perks
  Lab Level:      1 / 1 (Max)
  Next Level:    
  Max Level:     0d  5h 17m</v>
      </c>
      <c r="BN74" s="1222"/>
      <c r="BO74" s="1261"/>
    </row>
    <row r="75">
      <c r="A75" s="1222"/>
      <c r="B75" s="1257"/>
      <c r="C75" s="1304" t="s">
        <v>310</v>
      </c>
      <c r="D75" s="1280" t="str">
        <f>VLOOKUP(C75,'Remote Tier List'!A:D, 2, FALSE)</f>
        <v>A</v>
      </c>
      <c r="E75" s="1281" t="str">
        <f>VLOOKUP(C75,'Remote Tier List'!A:D, 3, FALSE)</f>
        <v/>
      </c>
      <c r="F75" s="1284" t="str">
        <f>VLOOKUP(C75,'Remote Tier List'!A:D, 4, FALSE)</f>
        <v>Shock will stack higher; good to max</v>
      </c>
      <c r="G75" s="1245" t="b">
        <f>IFERROR(AND(VLOOKUP("Tier 7",'_IDS'!$BZ$3:$DT$23, 2, FALSE) &gt; 60,  IDS_UW_OWN("Chain Lightning")), true)</f>
        <v>1</v>
      </c>
      <c r="H75" s="1246" t="str">
        <f t="array" ref="H75:I75">LET(
  Lab, $C75,
  Mode, $AD$1,
  Level, VLOOKUP(Lab, MS_Labs_Array, 2, FALSE),
  Target, VLOOKUP(Lab, MS_Labs_Array, 3, FALSE),
  Max, VLOOKUP(Lab, MS_Labs_Array, 4, FALSE),
  Result,
    IF(
      AND(
        Mode &lt;&gt; "Never",
        Level &gt;= IF(OR(Target = "", Mode = "Max"), Max, Target)
      ),
      "Completed",
      ""
    ),
  HSTACK(
    IF(Result &lt;&gt; "", Result, $D75),
    IF(Result &lt;&gt; "", Result, IF($E75 = "", $D75, $E75))
  )
)</f>
        <v>Completed</v>
      </c>
      <c r="I75" s="1247" t="s">
        <v>551</v>
      </c>
      <c r="J75" s="1248" t="str">
        <f t="shared" si="18"/>
        <v>Shock will stack higher; good to max</v>
      </c>
      <c r="K75" s="1229"/>
      <c r="L75" s="1249"/>
      <c r="M75" s="1249"/>
      <c r="N75" s="1250" t="str">
        <f>IFERROR(__xludf.DUMMYFUNCTION("if(M75 &lt;&gt; """", 
  LET( 
    TargetLevel, VLOOKUP(M75,MS_Labs_Array,3,false),
    MaxLevel, VLOOKUP(M75,MS_Labs_Array,4,false),
    MaxOrTarget, IF(OR(TargetLevel = """",$AD$1 &lt;&gt; ""Target""), MaxLevel, TargetLevel),
    LabLevel, VLOOKUP(M75,MS_Labs_Array"&amp;",2,False),
    Levelprogress, LabLevel / MaxOrTarget,
    DVTColumn, MATCH(M75,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5" s="1251" t="str">
        <f>IFERROR(__xludf.DUMMYFUNCTION("if(M75 &lt;&gt; """", 
  LET(
    TargetLevel, VLOOKUP(M75,MS_Labs_Array,3,false),
    LabSpeed, (1 * REGEXEXTRACT($BH$1, ""[\d.-]+"")) * {IF(M75 =""Labs Speed"", 1+'Master Sheet'!$BK$5, LAB_SPEED_TOTAL())},
    MaxLevel, VLOOKUP(M75,MS_Labs_Array,4,false),
   "&amp;" MaxOrTarget, IF(OR(TargetLevel = """",$AD$1 &lt;&gt; ""Target""), MaxLevel, TargetLevel),
    LabLevel, VLOOKUP(M75,MS_Labs_Array,2,False),
    DVTColumn, MATCH(M75, DVT_Laboratory!$A$1:BO$1, 0),
    xextTime, INDIRECT(""DVT_Laboratory!"" &amp; ADDRESS(LabLevel+3,"&amp;" DVTColumn)) / LabSpeed,
    remainingTime, SUM(INDIRECT(""DVT_Laboratory!"" &amp; ADDRESS(LabLevel+3, DVTColumn) &amp; "":"" &amp; ADDRESS(MaxOrTarget+2, DVTColumn))) / LabSpeed,
  M75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5" s="1249"/>
      <c r="Q75" s="1249"/>
      <c r="R75" s="1249"/>
      <c r="S75" s="1249"/>
      <c r="T75" s="1250" t="str">
        <f>IFERROR(__xludf.DUMMYFUNCTION("if(S75 &lt;&gt; """", 
  LET( 
    TargetLevel, VLOOKUP(S75,MS_Labs_Array,3,false),
    MaxLevel, VLOOKUP(S75,MS_Labs_Array,4,false),
    MaxOrTarget, IF(OR(TargetLevel = """",$AD$1 &lt;&gt; ""Target""), MaxLevel, TargetLevel),
    LabLevel, VLOOKUP(S75,MS_Labs_Array"&amp;",2,False),
    Levelprogress, LabLevel / MaxOrTarget,
    DVTColumn, MATCH(S75,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5" s="1251" t="str">
        <f>IFERROR(__xludf.DUMMYFUNCTION("if(S75 &lt;&gt; """", 
  LET(
    TargetLevel, VLOOKUP(S75,MS_Labs_Array,3,false),
    LabSpeed, (1 * REGEXEXTRACT($BH$1, ""[\d.-]+"")) * {IF(S75 =""Labs Speed"", 1+'Master Sheet'!$BK$5, LAB_SPEED_TOTAL())},
    MaxLevel, VLOOKUP(S75,MS_Labs_Array,4,false),
   "&amp;" MaxOrTarget, IF(OR(TargetLevel = """",$AD$1 &lt;&gt; ""Target""), MaxLevel, TargetLevel),
    LabLevel, VLOOKUP(S75,MS_Labs_Array,2,False),
    DVTColumn, MATCH(S75, DVT_Laboratory!$A$1:BO$1, 0),
    xextTime, INDIRECT(""DVT_Laboratory!"" &amp; ADDRESS(LabLevel+3,"&amp;" DVTColumn)) / LabSpeed,
    remainingTime, SUM(INDIRECT(""DVT_Laboratory!"" &amp; ADDRESS(LabLevel+3, DVTColumn) &amp; "":"" &amp; ADDRESS(MaxOrTarget+2, DVTColumn))) / LabSpeed,
  S75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5" s="1249"/>
      <c r="W75" s="1249"/>
      <c r="X75" s="1249"/>
      <c r="Y75" s="1249"/>
      <c r="Z75" s="1250" t="str">
        <f>IFERROR(__xludf.DUMMYFUNCTION("if(Y75 &lt;&gt; """", 
  LET( 
    TargetLevel, VLOOKUP(Y75,MS_Labs_Array,3,false),
    MaxLevel, VLOOKUP(Y75,MS_Labs_Array,4,false),
    MaxOrTarget, IF(OR(TargetLevel = """",$AD$1 &lt;&gt; ""Target""), MaxLevel, TargetLevel),
    LabLevel, VLOOKUP(Y75,MS_Labs_Array"&amp;",2,False),
    Levelprogress, LabLevel / MaxOrTarget,
    DVTColumn, MATCH(Y75,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5" s="1251" t="str">
        <f>IFERROR(__xludf.DUMMYFUNCTION("if(Y75 &lt;&gt; """", 
  LET(
    TargetLevel, VLOOKUP(Y75,MS_Labs_Array,3,false),
    LabSpeed, (1 * REGEXEXTRACT($BH$1, ""[\d.-]+"")) * {IF(Y75 =""Labs Speed"", 1+'Master Sheet'!$BK$5, LAB_SPEED_TOTAL())},
    MaxLevel, VLOOKUP(Y75,MS_Labs_Array,4,false),
   "&amp;" MaxOrTarget, IF(OR(TargetLevel = """",$AD$1 &lt;&gt; ""Target""), MaxLevel, TargetLevel),
    LabLevel, VLOOKUP(Y75,MS_Labs_Array,2,False),
    DVTColumn, MATCH(Y75, DVT_Laboratory!$A$1:BO$1, 0),
    xextTime, INDIRECT(""DVT_Laboratory!"" &amp; ADDRESS(LabLevel+3,"&amp;" DVTColumn)) / LabSpeed,
    remainingTime, SUM(INDIRECT(""DVT_Laboratory!"" &amp; ADDRESS(LabLevel+3, DVTColumn) &amp; "":"" &amp; ADDRESS(MaxOrTarget+2, DVTColumn))) / LabSpeed,
  Y75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5" s="1249"/>
      <c r="AC75" s="1249"/>
      <c r="AD75" s="1249"/>
      <c r="AE75" s="1249"/>
      <c r="AF75" s="1250" t="str">
        <f>IFERROR(__xludf.DUMMYFUNCTION("if(AE75 &lt;&gt; """", 
  LET( 
    TargetLevel, VLOOKUP(AE75,MS_Labs_Array,3,false),
    MaxLevel, VLOOKUP(AE75,MS_Labs_Array,4,false),
    MaxOrTarget, IF(OR(TargetLevel = """",$AD$1 &lt;&gt; ""Target""), MaxLevel, TargetLevel),
    LabLevel, VLOOKUP(AE75,MS_Labs_A"&amp;"rray,2,False),
    Levelprogress, LabLevel / MaxOrTarget,
    DVTColumn, MATCH(AE75,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5" s="1251" t="str">
        <f>IFERROR(__xludf.DUMMYFUNCTION("if(AE75 &lt;&gt; """", 
  LET(
    TargetLevel, VLOOKUP(AE75,MS_Labs_Array,3,false),
    LabSpeed, (1 * REGEXEXTRACT($BH$1, ""[\d.-]+"")) * {IF(AE75 =""Labs Speed"", 1+'Master Sheet'!$BK$5, LAB_SPEED_TOTAL())},
    MaxLevel, VLOOKUP(AE75,MS_Labs_Array,4,false),"&amp;"
    MaxOrTarget, IF(OR(TargetLevel = """",$AD$1 &lt;&gt; ""Target""), MaxLevel, TargetLevel),
    LabLevel, VLOOKUP(AE75,MS_Labs_Array,2,False),
    DVTColumn, MATCH(AE75, DVT_Laboratory!$A$1:BO$1, 0),
    xextTime, INDIRECT(""DVT_Laboratory!"" &amp; ADDRESS(LabLe"&amp;"vel+3, DVTColumn)) / LabSpeed,
    remainingTime, SUM(INDIRECT(""DVT_Laboratory!"" &amp; ADDRESS(LabLevel+3, DVTColumn) &amp; "":"" &amp; ADDRESS(MaxOrTarget+2, DVTColumn))) / LabSpeed,
  AE75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5" s="1249"/>
      <c r="AI75" s="1249"/>
      <c r="AJ75" s="1249"/>
      <c r="AK75" s="1249"/>
      <c r="AL75" s="1250" t="str">
        <f>IFERROR(__xludf.DUMMYFUNCTION("if(AK75 &lt;&gt; """", 
  LET( 
    TargetLevel, VLOOKUP(AK75,MS_Labs_Array,3,false),
    MaxLevel, VLOOKUP(AK75,MS_Labs_Array,4,false),
    MaxOrTarget, IF(OR(TargetLevel = """",$AD$1 &lt;&gt; ""Target""), MaxLevel, TargetLevel),
    LabLevel, VLOOKUP(AK75,MS_Labs_A"&amp;"rray,2,False),
    Levelprogress, LabLevel / MaxOrTarget,
    DVTColumn, MATCH(AK75,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5" s="1251" t="str">
        <f>IFERROR(__xludf.DUMMYFUNCTION("if(AK75 &lt;&gt; """", 
  LET(
    TargetLevel, VLOOKUP(AK75,MS_Labs_Array,3,false),
    LabSpeed, (1 * REGEXEXTRACT($BH$1, ""[\d.-]+"")) * {IF(AK75 =""Labs Speed"", 1+'Master Sheet'!$BK$5, LAB_SPEED_TOTAL())},
    MaxLevel, VLOOKUP(AK75,MS_Labs_Array,4,false),"&amp;"
    MaxOrTarget, IF(OR(TargetLevel = """",$AD$1 &lt;&gt; ""Target""), MaxLevel, TargetLevel),
    LabLevel, VLOOKUP(AK75,MS_Labs_Array,2,False),
    DVTColumn, MATCH(AK75, DVT_Laboratory!$A$1:BO$1, 0),
    xextTime, INDIRECT(""DVT_Laboratory!"" &amp; ADDRESS(LabLe"&amp;"vel+3, DVTColumn)) / LabSpeed,
    remainingTime, SUM(INDIRECT(""DVT_Laboratory!"" &amp; ADDRESS(LabLevel+3, DVTColumn) &amp; "":"" &amp; ADDRESS(MaxOrTarget+2, DVTColumn))) / LabSpeed,
  AK75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5" s="1249"/>
      <c r="AO75" s="1249"/>
      <c r="AP75" s="1249"/>
      <c r="AQ75" s="1249"/>
      <c r="AR75" s="1250" t="str">
        <f>IFERROR(__xludf.DUMMYFUNCTION("if(AQ75 &lt;&gt; """", 
  LET( 
    TargetLevel, VLOOKUP(AQ75,MS_Labs_Array,3,false),
    MaxLevel, VLOOKUP(AQ75,MS_Labs_Array,4,false),
    MaxOrTarget, IF(OR(TargetLevel = """",$AD$1 &lt;&gt; ""Target""), MaxLevel, TargetLevel),
    LabLevel, VLOOKUP(AQ75,MS_Labs_A"&amp;"rray,2,False),
    Levelprogress, LabLevel / MaxOrTarget,
    DVTColumn, MATCH(AQ75,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5" s="1251" t="str">
        <f>IFERROR(__xludf.DUMMYFUNCTION("if(AQ75 &lt;&gt; """", 
  LET(
    TargetLevel, VLOOKUP(AQ75,MS_Labs_Array,3,false),
    LabSpeed, (1 * REGEXEXTRACT($BH$1, ""[\d.-]+"")) * {IF(AQ75 =""Labs Speed"", 1+'Master Sheet'!$BK$5, LAB_SPEED_TOTAL())},
    MaxLevel, VLOOKUP(AQ75,MS_Labs_Array,4,false),"&amp;"
    MaxOrTarget, IF(OR(TargetLevel = """",$AD$1 &lt;&gt; ""Target""), MaxLevel, TargetLevel),
    LabLevel, VLOOKUP(AQ75,MS_Labs_Array,2,False),
    DVTColumn, MATCH(AQ75, DVT_Laboratory!$A$1:BO$1, 0),
    xextTime, INDIRECT(""DVT_Laboratory!"" &amp; ADDRESS(LabLe"&amp;"vel+3, DVTColumn)) / LabSpeed,
    remainingTime, SUM(INDIRECT(""DVT_Laboratory!"" &amp; ADDRESS(LabLevel+3, DVTColumn) &amp; "":"" &amp; ADDRESS(MaxOrTarget+2, DVTColumn))) / LabSpeed,
  AQ75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5" s="1249"/>
      <c r="AU75" s="1249"/>
      <c r="AV75" s="1249"/>
      <c r="AW75" s="1249"/>
      <c r="AX75" s="1250" t="str">
        <f>IFERROR(__xludf.DUMMYFUNCTION("if(AW75 &lt;&gt; """", 
  LET( 
    TargetLevel, VLOOKUP(AW75,MS_Labs_Array,3,false),
    MaxLevel, VLOOKUP(AW75,MS_Labs_Array,4,false),
    MaxOrTarget, IF(OR(TargetLevel = """",$AD$1 &lt;&gt; ""Target""), MaxLevel, TargetLevel),
    LabLevel, VLOOKUP(AW75,MS_Labs_A"&amp;"rray,2,False),
    Levelprogress, LabLevel / MaxOrTarget,
    DVTColumn, MATCH(AW75,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5" s="1251" t="str">
        <f>IFERROR(__xludf.DUMMYFUNCTION("if(AW75 &lt;&gt; """", 
  LET(
    TargetLevel, VLOOKUP(AW75,MS_Labs_Array,3,false),
    LabSpeed, (1 * REGEXEXTRACT($BH$1, ""[\d.-]+"")) * {IF(AW75 =""Labs Speed"", 1+'Master Sheet'!$BK$5, LAB_SPEED_TOTAL())},
    MaxLevel, VLOOKUP(AW75,MS_Labs_Array,4,false),"&amp;"
    MaxOrTarget, IF(OR(TargetLevel = """",$AD$1 &lt;&gt; ""Target""), MaxLevel, TargetLevel),
    LabLevel, VLOOKUP(AW75,MS_Labs_Array,2,False),
    DVTColumn, MATCH(AW75, DVT_Laboratory!$A$1:BO$1, 0),
    xextTime, INDIRECT(""DVT_Laboratory!"" &amp; ADDRESS(LabLe"&amp;"vel+3, DVTColumn)) / LabSpeed,
    remainingTime, SUM(INDIRECT(""DVT_Laboratory!"" &amp; ADDRESS(LabLevel+3, DVTColumn) &amp; "":"" &amp; ADDRESS(MaxOrTarget+2, DVTColumn))) / LabSpeed,
  AW75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5" s="1249"/>
      <c r="BA75" s="1249"/>
      <c r="BB75" s="1249"/>
      <c r="BC75" s="1249"/>
      <c r="BD75" s="1250" t="str">
        <f>IFERROR(__xludf.DUMMYFUNCTION("if(BC75 &lt;&gt; """", 
  LET( 
    TargetLevel, VLOOKUP(BC75,MS_Labs_Array,3,false),
    MaxLevel, VLOOKUP(BC75,MS_Labs_Array,4,false),
    MaxOrTarget, IF(OR(TargetLevel = """",$AD$1 &lt;&gt; ""Target""), MaxLevel, TargetLevel),
    LabLevel, VLOOKUP(BC75,MS_Labs_A"&amp;"rray,2,False),
    Levelprogress, LabLevel / MaxOrTarget,
    DVTColumn, MATCH(BC75,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5" s="1251" t="str">
        <f>IFERROR(__xludf.DUMMYFUNCTION("if(BC75 &lt;&gt; """", 
  LET(
    TargetLevel, VLOOKUP(BC75,MS_Labs_Array,3,false),
    LabSpeed, (1 * REGEXEXTRACT($BH$1, ""[\d.-]+"")) * {IF(BC75 =""Labs Speed"", 1+'Master Sheet'!$BK$5, LAB_SPEED_TOTAL())},
    MaxLevel, VLOOKUP(BC75,MS_Labs_Array,4,false),"&amp;"
    MaxOrTarget, IF(OR(TargetLevel = """",$AD$1 &lt;&gt; ""Target""), MaxLevel, TargetLevel),
    LabLevel, VLOOKUP(BC75,MS_Labs_Array,2,False),
    DVTColumn, MATCH(BC75, DVT_Laboratory!$A$1:BO$1, 0),
    xextTime, INDIRECT(""DVT_Laboratory!"" &amp; ADDRESS(LabLe"&amp;"vel+3, DVTColumn)) / LabSpeed,
    remainingTime, SUM(INDIRECT(""DVT_Laboratory!"" &amp; ADDRESS(LabLevel+3, DVTColumn) &amp; "":"" &amp; ADDRESS(MaxOrTarget+2, DVTColumn))) / LabSpeed,
  BC75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5" s="1249"/>
      <c r="BG75" s="1249"/>
      <c r="BH75" s="1260" t="str">
        <f>IFERROR(__xludf.DUMMYFUNCTION("""COMPUTED_VALUE"""),"Auto Pick Perks")</f>
        <v>Auto Pick Perks</v>
      </c>
      <c r="BI75" s="1252"/>
      <c r="BJ75" s="1253" t="str">
        <f>IFERROR(__xludf.DUMMYFUNCTION("if(BI75 &lt;&gt; """", 
  LET( 
    TargetLevel, VLOOKUP(BI75,MS_Labs_Array,3,false),
    MaxLevel, VLOOKUP(BI75,MS_Labs_Array,4,false),
    MaxOrTarget, IF(OR(TargetLevel = """",$AD$1 &lt;&gt; ""Target""), MaxLevel, TargetLevel),
    LabLevel, VLOOKUP(BI75,MS_Labs_A"&amp;"rray,2,False),
    Levelprogress, IF(LabLevel &gt;= MaxOrTarget, 1, LabLevel / MaxOrTarget),
    DVTColumn, MATCH(BI75,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5" s="1254" t="str">
        <f>IFERROR(__xludf.DUMMYFUNCTION("if(BI75 &lt;&gt; """", 
  LET(
    TargetLevel, VLOOKUP(BI75,MS_Labs_Array,3,false),
    LabSpeed, (1 * REGEXEXTRACT($BH$1, ""[\d.-]+"")) * {IF(BI75 =""Labs Speed"", 1+'Master Sheet'!$BK$5, LAB_SPEED_TOTAL())},
    MaxLevel, VLOOKUP(BI75,MS_Labs_Array,4,false),"&amp;"
    MaxOrTarget, IF(OR(TargetLevel = """",$AD$1 &lt;&gt; ""Target""), MaxLevel, TargetLevel),
    LabLevel, VLOOKUP(BI75,MS_Labs_Array,2,False),
    DVTColumn, MATCH(BI75, DVT_Laboratory!$A$1:BO$1, 0),
    xextTime, INDIRECT(""DVT_Laboratory!"" &amp; ADDRESS(LabLe"&amp;"vel+3, DVTColumn)) / LabSpeed,
    remainingTime, SUM(INDIRECT(""DVT_Laboratory!"" &amp; ADDRESS(LabLevel+3, DVTColumn) &amp; "":"" &amp; ADDRESS(MaxOrTarget+2, DVTColumn))) / LabSpeed,
  BI75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5" s="1252"/>
      <c r="BM75" s="1252" t="str">
        <f>IFERROR(__xludf.DUMMYFUNCTION("""COMPUTED_VALUE"""),"Toggleable. Can be harmful to use if you are able to pick your perks by hand. Really hard to use before 4 perk choices and multiple bans.")</f>
        <v>Toggleable. Can be harmful to use if you are able to pick your perks by hand. Really hard to use before 4 perk choices and multiple bans.</v>
      </c>
      <c r="BN75" s="1222"/>
      <c r="BO75" s="1261"/>
    </row>
    <row r="76" ht="7.5" customHeight="1">
      <c r="A76" s="1222"/>
      <c r="B76" s="1262" t="s">
        <v>557</v>
      </c>
      <c r="C76" s="1304" t="s">
        <v>317</v>
      </c>
      <c r="D76" s="1280" t="str">
        <f>VLOOKUP(C76,'Remote Tier List'!A:D, 2, FALSE)</f>
        <v>B</v>
      </c>
      <c r="E76" s="1281" t="str">
        <f>VLOOKUP(C76,'Remote Tier List'!A:D, 3, FALSE)</f>
        <v/>
      </c>
      <c r="F76" s="1284" t="str">
        <f>VLOOKUP(C76,'Remote Tier List'!A:D, 4, FALSE)</f>
        <v>Very good for farm, dubious use in tourney</v>
      </c>
      <c r="G76" s="1245" t="b">
        <f>IFERROR(AND(VLOOKUP("Tier 3",'_IDS'!$BZ$3:$DT$23, 2, FALSE) &gt; 250, IDS_UW_OWN("Death Wave")), true)</f>
        <v>1</v>
      </c>
      <c r="H76" s="1246" t="str">
        <f t="array" ref="H76:I76">LET(
  Lab, $C76,
  Mode, $AD$1,
  Level, VLOOKUP(Lab, MS_Labs_Array, 2, FALSE),
  Target, VLOOKUP(Lab, MS_Labs_Array, 3, FALSE),
  Max, VLOOKUP(Lab, MS_Labs_Array, 4, FALSE),
  Result,
    IF(
      AND(
        Mode &lt;&gt; "Never",
        Level &gt;= IF(OR(Target = "", Mode = "Max"), Max, Target)
      ),
      "Completed",
      ""
    ),
  HSTACK(
    IF(Result &lt;&gt; "", Result, $D76),
    IF(Result &lt;&gt; "", Result, IF($E76 = "", $D76, $E76))
  )
)</f>
        <v>Completed</v>
      </c>
      <c r="I76" s="1247" t="s">
        <v>551</v>
      </c>
      <c r="J76" s="1248" t="str">
        <f t="shared" si="18"/>
        <v>Very good for farm, dubious use in tourney</v>
      </c>
      <c r="K76" s="1229"/>
      <c r="L76" s="1249" t="str">
        <f>IFERROR(__xludf.DUMMYFUNCTION("""COMPUTED_VALUE"""),"")</f>
        <v/>
      </c>
      <c r="M76" s="1249"/>
      <c r="N76" s="1250" t="str">
        <f>IFERROR(__xludf.DUMMYFUNCTION("if(M76 &lt;&gt; """", 
  LET( 
    TargetLevel, VLOOKUP(M76,MS_Labs_Array,3,false),
    MaxLevel, VLOOKUP(M76,MS_Labs_Array,4,false),
    MaxOrTarget, IF(OR(TargetLevel = """",$AD$1 &lt;&gt; ""Target""), MaxLevel, TargetLevel),
    LabLevel, VLOOKUP(M76,MS_Labs_Array"&amp;",2,False),
    Levelprogress, LabLevel / MaxOrTarget,
    DVTColumn, MATCH(M76,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6" s="1251" t="str">
        <f>IFERROR(__xludf.DUMMYFUNCTION("if(M76 &lt;&gt; """", 
  LET(
    TargetLevel, VLOOKUP(M76,MS_Labs_Array,3,false),
    LabSpeed, (1 * REGEXEXTRACT($BH$1, ""[\d.-]+"")) * {IF(M76 =""Labs Speed"", 1+'Master Sheet'!$BK$5, LAB_SPEED_TOTAL())},
    MaxLevel, VLOOKUP(M76,MS_Labs_Array,4,false),
   "&amp;" MaxOrTarget, IF(OR(TargetLevel = """",$AD$1 &lt;&gt; ""Target""), MaxLevel, TargetLevel),
    LabLevel, VLOOKUP(M76,MS_Labs_Array,2,False),
    DVTColumn, MATCH(M76, DVT_Laboratory!$A$1:BO$1, 0),
    xextTime, INDIRECT(""DVT_Laboratory!"" &amp; ADDRESS(LabLevel+3,"&amp;" DVTColumn)) / LabSpeed,
    remainingTime, SUM(INDIRECT(""DVT_Laboratory!"" &amp; ADDRESS(LabLevel+3, DVTColumn) &amp; "":"" &amp; ADDRESS(MaxOrTarget+2, DVTColumn))) / LabSpeed,
  M76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6" s="1249"/>
      <c r="Q76" s="1249" t="str">
        <f>IFERROR(__xludf.DUMMYFUNCTION("""COMPUTED_VALUE"""),"")</f>
        <v/>
      </c>
      <c r="R76" s="1249" t="str">
        <f>IFERROR(__xludf.DUMMYFUNCTION("""COMPUTED_VALUE"""),"")</f>
        <v/>
      </c>
      <c r="S76" s="1249"/>
      <c r="T76" s="1250" t="str">
        <f>IFERROR(__xludf.DUMMYFUNCTION("if(S76 &lt;&gt; """", 
  LET( 
    TargetLevel, VLOOKUP(S76,MS_Labs_Array,3,false),
    MaxLevel, VLOOKUP(S76,MS_Labs_Array,4,false),
    MaxOrTarget, IF(OR(TargetLevel = """",$AD$1 &lt;&gt; ""Target""), MaxLevel, TargetLevel),
    LabLevel, VLOOKUP(S76,MS_Labs_Array"&amp;",2,False),
    Levelprogress, LabLevel / MaxOrTarget,
    DVTColumn, MATCH(S76,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6" s="1251" t="str">
        <f>IFERROR(__xludf.DUMMYFUNCTION("if(S76 &lt;&gt; """", 
  LET(
    TargetLevel, VLOOKUP(S76,MS_Labs_Array,3,false),
    LabSpeed, (1 * REGEXEXTRACT($BH$1, ""[\d.-]+"")) * {IF(S76 =""Labs Speed"", 1+'Master Sheet'!$BK$5, LAB_SPEED_TOTAL())},
    MaxLevel, VLOOKUP(S76,MS_Labs_Array,4,false),
   "&amp;" MaxOrTarget, IF(OR(TargetLevel = """",$AD$1 &lt;&gt; ""Target""), MaxLevel, TargetLevel),
    LabLevel, VLOOKUP(S76,MS_Labs_Array,2,False),
    DVTColumn, MATCH(S76, DVT_Laboratory!$A$1:BO$1, 0),
    xextTime, INDIRECT(""DVT_Laboratory!"" &amp; ADDRESS(LabLevel+3,"&amp;" DVTColumn)) / LabSpeed,
    remainingTime, SUM(INDIRECT(""DVT_Laboratory!"" &amp; ADDRESS(LabLevel+3, DVTColumn) &amp; "":"" &amp; ADDRESS(MaxOrTarget+2, DVTColumn))) / LabSpeed,
  S76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6" s="1249"/>
      <c r="W76" s="1249" t="str">
        <f>IFERROR(__xludf.DUMMYFUNCTION("""COMPUTED_VALUE"""),"")</f>
        <v/>
      </c>
      <c r="X76" s="1249" t="str">
        <f>IFERROR(__xludf.DUMMYFUNCTION("""COMPUTED_VALUE"""),"")</f>
        <v/>
      </c>
      <c r="Y76" s="1249"/>
      <c r="Z76" s="1250" t="str">
        <f>IFERROR(__xludf.DUMMYFUNCTION("if(Y76 &lt;&gt; """", 
  LET( 
    TargetLevel, VLOOKUP(Y76,MS_Labs_Array,3,false),
    MaxLevel, VLOOKUP(Y76,MS_Labs_Array,4,false),
    MaxOrTarget, IF(OR(TargetLevel = """",$AD$1 &lt;&gt; ""Target""), MaxLevel, TargetLevel),
    LabLevel, VLOOKUP(Y76,MS_Labs_Array"&amp;",2,False),
    Levelprogress, LabLevel / MaxOrTarget,
    DVTColumn, MATCH(Y76,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6" s="1251" t="str">
        <f>IFERROR(__xludf.DUMMYFUNCTION("if(Y76 &lt;&gt; """", 
  LET(
    TargetLevel, VLOOKUP(Y76,MS_Labs_Array,3,false),
    LabSpeed, (1 * REGEXEXTRACT($BH$1, ""[\d.-]+"")) * {IF(Y76 =""Labs Speed"", 1+'Master Sheet'!$BK$5, LAB_SPEED_TOTAL())},
    MaxLevel, VLOOKUP(Y76,MS_Labs_Array,4,false),
   "&amp;" MaxOrTarget, IF(OR(TargetLevel = """",$AD$1 &lt;&gt; ""Target""), MaxLevel, TargetLevel),
    LabLevel, VLOOKUP(Y76,MS_Labs_Array,2,False),
    DVTColumn, MATCH(Y76, DVT_Laboratory!$A$1:BO$1, 0),
    xextTime, INDIRECT(""DVT_Laboratory!"" &amp; ADDRESS(LabLevel+3,"&amp;" DVTColumn)) / LabSpeed,
    remainingTime, SUM(INDIRECT(""DVT_Laboratory!"" &amp; ADDRESS(LabLevel+3, DVTColumn) &amp; "":"" &amp; ADDRESS(MaxOrTarget+2, DVTColumn))) / LabSpeed,
  Y76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6" s="1249"/>
      <c r="AC76" s="1249" t="str">
        <f>IFERROR(__xludf.DUMMYFUNCTION("""COMPUTED_VALUE"""),"")</f>
        <v/>
      </c>
      <c r="AD76" s="1249" t="str">
        <f>IFERROR(__xludf.DUMMYFUNCTION("""COMPUTED_VALUE"""),"")</f>
        <v/>
      </c>
      <c r="AE76" s="1249"/>
      <c r="AF76" s="1250" t="str">
        <f>IFERROR(__xludf.DUMMYFUNCTION("if(AE76 &lt;&gt; """", 
  LET( 
    TargetLevel, VLOOKUP(AE76,MS_Labs_Array,3,false),
    MaxLevel, VLOOKUP(AE76,MS_Labs_Array,4,false),
    MaxOrTarget, IF(OR(TargetLevel = """",$AD$1 &lt;&gt; ""Target""), MaxLevel, TargetLevel),
    LabLevel, VLOOKUP(AE76,MS_Labs_A"&amp;"rray,2,False),
    Levelprogress, LabLevel / MaxOrTarget,
    DVTColumn, MATCH(AE76,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6" s="1251" t="str">
        <f>IFERROR(__xludf.DUMMYFUNCTION("if(AE76 &lt;&gt; """", 
  LET(
    TargetLevel, VLOOKUP(AE76,MS_Labs_Array,3,false),
    LabSpeed, (1 * REGEXEXTRACT($BH$1, ""[\d.-]+"")) * {IF(AE76 =""Labs Speed"", 1+'Master Sheet'!$BK$5, LAB_SPEED_TOTAL())},
    MaxLevel, VLOOKUP(AE76,MS_Labs_Array,4,false),"&amp;"
    MaxOrTarget, IF(OR(TargetLevel = """",$AD$1 &lt;&gt; ""Target""), MaxLevel, TargetLevel),
    LabLevel, VLOOKUP(AE76,MS_Labs_Array,2,False),
    DVTColumn, MATCH(AE76, DVT_Laboratory!$A$1:BO$1, 0),
    xextTime, INDIRECT(""DVT_Laboratory!"" &amp; ADDRESS(LabLe"&amp;"vel+3, DVTColumn)) / LabSpeed,
    remainingTime, SUM(INDIRECT(""DVT_Laboratory!"" &amp; ADDRESS(LabLevel+3, DVTColumn) &amp; "":"" &amp; ADDRESS(MaxOrTarget+2, DVTColumn))) / LabSpeed,
  AE76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6" s="1249"/>
      <c r="AI76" s="1249" t="str">
        <f>IFERROR(__xludf.DUMMYFUNCTION("""COMPUTED_VALUE"""),"")</f>
        <v/>
      </c>
      <c r="AJ76" s="1249" t="str">
        <f>IFERROR(__xludf.DUMMYFUNCTION("""COMPUTED_VALUE"""),"")</f>
        <v/>
      </c>
      <c r="AK76" s="1249"/>
      <c r="AL76" s="1250" t="str">
        <f>IFERROR(__xludf.DUMMYFUNCTION("if(AK76 &lt;&gt; """", 
  LET( 
    TargetLevel, VLOOKUP(AK76,MS_Labs_Array,3,false),
    MaxLevel, VLOOKUP(AK76,MS_Labs_Array,4,false),
    MaxOrTarget, IF(OR(TargetLevel = """",$AD$1 &lt;&gt; ""Target""), MaxLevel, TargetLevel),
    LabLevel, VLOOKUP(AK76,MS_Labs_A"&amp;"rray,2,False),
    Levelprogress, LabLevel / MaxOrTarget,
    DVTColumn, MATCH(AK76,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6" s="1251" t="str">
        <f>IFERROR(__xludf.DUMMYFUNCTION("if(AK76 &lt;&gt; """", 
  LET(
    TargetLevel, VLOOKUP(AK76,MS_Labs_Array,3,false),
    LabSpeed, (1 * REGEXEXTRACT($BH$1, ""[\d.-]+"")) * {IF(AK76 =""Labs Speed"", 1+'Master Sheet'!$BK$5, LAB_SPEED_TOTAL())},
    MaxLevel, VLOOKUP(AK76,MS_Labs_Array,4,false),"&amp;"
    MaxOrTarget, IF(OR(TargetLevel = """",$AD$1 &lt;&gt; ""Target""), MaxLevel, TargetLevel),
    LabLevel, VLOOKUP(AK76,MS_Labs_Array,2,False),
    DVTColumn, MATCH(AK76, DVT_Laboratory!$A$1:BO$1, 0),
    xextTime, INDIRECT(""DVT_Laboratory!"" &amp; ADDRESS(LabLe"&amp;"vel+3, DVTColumn)) / LabSpeed,
    remainingTime, SUM(INDIRECT(""DVT_Laboratory!"" &amp; ADDRESS(LabLevel+3, DVTColumn) &amp; "":"" &amp; ADDRESS(MaxOrTarget+2, DVTColumn))) / LabSpeed,
  AK76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6" s="1249"/>
      <c r="AO76" s="1249" t="str">
        <f>IFERROR(__xludf.DUMMYFUNCTION("""COMPUTED_VALUE"""),"")</f>
        <v/>
      </c>
      <c r="AP76" s="1249" t="str">
        <f>IFERROR(__xludf.DUMMYFUNCTION("""COMPUTED_VALUE"""),"")</f>
        <v/>
      </c>
      <c r="AQ76" s="1249"/>
      <c r="AR76" s="1250" t="str">
        <f>IFERROR(__xludf.DUMMYFUNCTION("if(AQ76 &lt;&gt; """", 
  LET( 
    TargetLevel, VLOOKUP(AQ76,MS_Labs_Array,3,false),
    MaxLevel, VLOOKUP(AQ76,MS_Labs_Array,4,false),
    MaxOrTarget, IF(OR(TargetLevel = """",$AD$1 &lt;&gt; ""Target""), MaxLevel, TargetLevel),
    LabLevel, VLOOKUP(AQ76,MS_Labs_A"&amp;"rray,2,False),
    Levelprogress, LabLevel / MaxOrTarget,
    DVTColumn, MATCH(AQ76,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6" s="1251" t="str">
        <f>IFERROR(__xludf.DUMMYFUNCTION("if(AQ76 &lt;&gt; """", 
  LET(
    TargetLevel, VLOOKUP(AQ76,MS_Labs_Array,3,false),
    LabSpeed, (1 * REGEXEXTRACT($BH$1, ""[\d.-]+"")) * {IF(AQ76 =""Labs Speed"", 1+'Master Sheet'!$BK$5, LAB_SPEED_TOTAL())},
    MaxLevel, VLOOKUP(AQ76,MS_Labs_Array,4,false),"&amp;"
    MaxOrTarget, IF(OR(TargetLevel = """",$AD$1 &lt;&gt; ""Target""), MaxLevel, TargetLevel),
    LabLevel, VLOOKUP(AQ76,MS_Labs_Array,2,False),
    DVTColumn, MATCH(AQ76, DVT_Laboratory!$A$1:BO$1, 0),
    xextTime, INDIRECT(""DVT_Laboratory!"" &amp; ADDRESS(LabLe"&amp;"vel+3, DVTColumn)) / LabSpeed,
    remainingTime, SUM(INDIRECT(""DVT_Laboratory!"" &amp; ADDRESS(LabLevel+3, DVTColumn) &amp; "":"" &amp; ADDRESS(MaxOrTarget+2, DVTColumn))) / LabSpeed,
  AQ76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6" s="1249"/>
      <c r="AU76" s="1249" t="str">
        <f>IFERROR(__xludf.DUMMYFUNCTION("""COMPUTED_VALUE"""),"")</f>
        <v/>
      </c>
      <c r="AV76" s="1249" t="str">
        <f>IFERROR(__xludf.DUMMYFUNCTION("""COMPUTED_VALUE"""),"")</f>
        <v/>
      </c>
      <c r="AW76" s="1249"/>
      <c r="AX76" s="1250" t="str">
        <f>IFERROR(__xludf.DUMMYFUNCTION("if(AW76 &lt;&gt; """", 
  LET( 
    TargetLevel, VLOOKUP(AW76,MS_Labs_Array,3,false),
    MaxLevel, VLOOKUP(AW76,MS_Labs_Array,4,false),
    MaxOrTarget, IF(OR(TargetLevel = """",$AD$1 &lt;&gt; ""Target""), MaxLevel, TargetLevel),
    LabLevel, VLOOKUP(AW76,MS_Labs_A"&amp;"rray,2,False),
    Levelprogress, LabLevel / MaxOrTarget,
    DVTColumn, MATCH(AW76,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6" s="1251" t="str">
        <f>IFERROR(__xludf.DUMMYFUNCTION("if(AW76 &lt;&gt; """", 
  LET(
    TargetLevel, VLOOKUP(AW76,MS_Labs_Array,3,false),
    LabSpeed, (1 * REGEXEXTRACT($BH$1, ""[\d.-]+"")) * {IF(AW76 =""Labs Speed"", 1+'Master Sheet'!$BK$5, LAB_SPEED_TOTAL())},
    MaxLevel, VLOOKUP(AW76,MS_Labs_Array,4,false),"&amp;"
    MaxOrTarget, IF(OR(TargetLevel = """",$AD$1 &lt;&gt; ""Target""), MaxLevel, TargetLevel),
    LabLevel, VLOOKUP(AW76,MS_Labs_Array,2,False),
    DVTColumn, MATCH(AW76, DVT_Laboratory!$A$1:BO$1, 0),
    xextTime, INDIRECT(""DVT_Laboratory!"" &amp; ADDRESS(LabLe"&amp;"vel+3, DVTColumn)) / LabSpeed,
    remainingTime, SUM(INDIRECT(""DVT_Laboratory!"" &amp; ADDRESS(LabLevel+3, DVTColumn) &amp; "":"" &amp; ADDRESS(MaxOrTarget+2, DVTColumn))) / LabSpeed,
  AW76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6" s="1249"/>
      <c r="BA76" s="1249" t="str">
        <f>IFERROR(__xludf.DUMMYFUNCTION("""COMPUTED_VALUE"""),"")</f>
        <v/>
      </c>
      <c r="BB76" s="1249" t="str">
        <f>IFERROR(__xludf.DUMMYFUNCTION("""COMPUTED_VALUE"""),"")</f>
        <v/>
      </c>
      <c r="BC76" s="1249"/>
      <c r="BD76" s="1250" t="str">
        <f>IFERROR(__xludf.DUMMYFUNCTION("if(BC76 &lt;&gt; """", 
  LET( 
    TargetLevel, VLOOKUP(BC76,MS_Labs_Array,3,false),
    MaxLevel, VLOOKUP(BC76,MS_Labs_Array,4,false),
    MaxOrTarget, IF(OR(TargetLevel = """",$AD$1 &lt;&gt; ""Target""), MaxLevel, TargetLevel),
    LabLevel, VLOOKUP(BC76,MS_Labs_A"&amp;"rray,2,False),
    Levelprogress, LabLevel / MaxOrTarget,
    DVTColumn, MATCH(BC76,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6" s="1251" t="str">
        <f>IFERROR(__xludf.DUMMYFUNCTION("if(BC76 &lt;&gt; """", 
  LET(
    TargetLevel, VLOOKUP(BC76,MS_Labs_Array,3,false),
    LabSpeed, (1 * REGEXEXTRACT($BH$1, ""[\d.-]+"")) * {IF(BC76 =""Labs Speed"", 1+'Master Sheet'!$BK$5, LAB_SPEED_TOTAL())},
    MaxLevel, VLOOKUP(BC76,MS_Labs_Array,4,false),"&amp;"
    MaxOrTarget, IF(OR(TargetLevel = """",$AD$1 &lt;&gt; ""Target""), MaxLevel, TargetLevel),
    LabLevel, VLOOKUP(BC76,MS_Labs_Array,2,False),
    DVTColumn, MATCH(BC76, DVT_Laboratory!$A$1:BO$1, 0),
    xextTime, INDIRECT(""DVT_Laboratory!"" &amp; ADDRESS(LabLe"&amp;"vel+3, DVTColumn)) / LabSpeed,
    remainingTime, SUM(INDIRECT(""DVT_Laboratory!"" &amp; ADDRESS(LabLevel+3, DVTColumn) &amp; "":"" &amp; ADDRESS(MaxOrTarget+2, DVTColumn))) / LabSpeed,
  BC76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6" s="1249"/>
      <c r="BG76" s="1249" t="str">
        <f>IFERROR(__xludf.DUMMYFUNCTION("""COMPUTED_VALUE"""),"")</f>
        <v/>
      </c>
      <c r="BH76" s="1260" t="str">
        <f>IFERROR(__xludf.DUMMYFUNCTION("""COMPUTED_VALUE"""),"")</f>
        <v/>
      </c>
      <c r="BI76" s="1252"/>
      <c r="BJ76" s="1253" t="str">
        <f>IFERROR(__xludf.DUMMYFUNCTION("if(BI76 &lt;&gt; """", 
  LET( 
    TargetLevel, VLOOKUP(BI76,MS_Labs_Array,3,false),
    MaxLevel, VLOOKUP(BI76,MS_Labs_Array,4,false),
    MaxOrTarget, IF(OR(TargetLevel = """",$AD$1 &lt;&gt; ""Target""), MaxLevel, TargetLevel),
    LabLevel, VLOOKUP(BI76,MS_Labs_A"&amp;"rray,2,False),
    Levelprogress, IF(LabLevel &gt;= MaxOrTarget, 1, LabLevel / MaxOrTarget),
    DVTColumn, MATCH(BI76,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6" s="1254" t="str">
        <f>IFERROR(__xludf.DUMMYFUNCTION("if(BI76 &lt;&gt; """", 
  LET(
    TargetLevel, VLOOKUP(BI76,MS_Labs_Array,3,false),
    LabSpeed, (1 * REGEXEXTRACT($BH$1, ""[\d.-]+"")) * {IF(BI76 =""Labs Speed"", 1+'Master Sheet'!$BK$5, LAB_SPEED_TOTAL())},
    MaxLevel, VLOOKUP(BI76,MS_Labs_Array,4,false),"&amp;"
    MaxOrTarget, IF(OR(TargetLevel = """",$AD$1 &lt;&gt; ""Target""), MaxLevel, TargetLevel),
    LabLevel, VLOOKUP(BI76,MS_Labs_Array,2,False),
    DVTColumn, MATCH(BI76, DVT_Laboratory!$A$1:BO$1, 0),
    xextTime, INDIRECT(""DVT_Laboratory!"" &amp; ADDRESS(LabLe"&amp;"vel+3, DVTColumn)) / LabSpeed,
    remainingTime, SUM(INDIRECT(""DVT_Laboratory!"" &amp; ADDRESS(LabLevel+3, DVTColumn) &amp; "":"" &amp; ADDRESS(MaxOrTarget+2, DVTColumn))) / LabSpeed,
  BI76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6" s="1252"/>
      <c r="BM76" s="1252" t="str">
        <f>IFERROR(__xludf.DUMMYFUNCTION("""COMPUTED_VALUE"""),"Auto Pick Perks
  Lab Level:      1 / 1 (Max)
  Next Level:    
  Max Level:     0d  7h 35m")</f>
        <v>Auto Pick Perks
  Lab Level:      1 / 1 (Max)
  Next Level:    
  Max Level:     0d  7h 35m</v>
      </c>
      <c r="BN76" s="1222"/>
      <c r="BO76" s="1261"/>
    </row>
    <row r="77">
      <c r="A77" s="1222"/>
      <c r="B77" s="1257"/>
      <c r="C77" s="1304" t="s">
        <v>323</v>
      </c>
      <c r="D77" s="1280" t="str">
        <f>VLOOKUP(C77,'Remote Tier List'!A:D, 2, FALSE)</f>
        <v>A</v>
      </c>
      <c r="E77" s="1281" t="str">
        <f>VLOOKUP(C77,'Remote Tier List'!A:D, 3, FALSE)</f>
        <v/>
      </c>
      <c r="F77" s="1284" t="str">
        <f>VLOOKUP(C77,'Remote Tier List'!A:D, 4, FALSE)</f>
        <v>More econ always good</v>
      </c>
      <c r="G77" s="1245" t="b">
        <f>IFERROR(AND(VLOOKUP("Tier 3",'_IDS'!$BZ$3:$DT$23, 2, FALSE) &gt; 250, IDS_UW_OWN("Death Wave")), true)</f>
        <v>1</v>
      </c>
      <c r="H77" s="1246" t="str">
        <f t="array" ref="H77:I77">LET(
  Lab, $C77,
  Mode, $AD$1,
  Level, VLOOKUP(Lab, MS_Labs_Array, 2, FALSE),
  Target, VLOOKUP(Lab, MS_Labs_Array, 3, FALSE),
  Max, VLOOKUP(Lab, MS_Labs_Array, 4, FALSE),
  Result,
    IF(
      AND(
        Mode &lt;&gt; "Never",
        Level &gt;= IF(OR(Target = "", Mode = "Max"), Max, Target)
      ),
      "Completed",
      ""
    ),
  HSTACK(
    IF(Result &lt;&gt; "", Result, $D77),
    IF(Result &lt;&gt; "", Result, IF($E77 = "", $D77, $E77))
  )
)</f>
        <v>Completed</v>
      </c>
      <c r="I77" s="1247" t="s">
        <v>551</v>
      </c>
      <c r="J77" s="1248" t="str">
        <f t="shared" si="18"/>
        <v>More econ always good</v>
      </c>
      <c r="K77" s="1229"/>
      <c r="L77" s="1249"/>
      <c r="M77" s="1249"/>
      <c r="N77" s="1250" t="str">
        <f>IFERROR(__xludf.DUMMYFUNCTION("if(M77 &lt;&gt; """", 
  LET( 
    TargetLevel, VLOOKUP(M77,MS_Labs_Array,3,false),
    MaxLevel, VLOOKUP(M77,MS_Labs_Array,4,false),
    MaxOrTarget, IF(OR(TargetLevel = """",$AD$1 &lt;&gt; ""Target""), MaxLevel, TargetLevel),
    LabLevel, VLOOKUP(M77,MS_Labs_Array"&amp;",2,False),
    Levelprogress, LabLevel / MaxOrTarget,
    DVTColumn, MATCH(M77,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7" s="1251" t="str">
        <f>IFERROR(__xludf.DUMMYFUNCTION("if(M77 &lt;&gt; """", 
  LET(
    TargetLevel, VLOOKUP(M77,MS_Labs_Array,3,false),
    LabSpeed, (1 * REGEXEXTRACT($BH$1, ""[\d.-]+"")) * {IF(M77 =""Labs Speed"", 1+'Master Sheet'!$BK$5, LAB_SPEED_TOTAL())},
    MaxLevel, VLOOKUP(M77,MS_Labs_Array,4,false),
   "&amp;" MaxOrTarget, IF(OR(TargetLevel = """",$AD$1 &lt;&gt; ""Target""), MaxLevel, TargetLevel),
    LabLevel, VLOOKUP(M77,MS_Labs_Array,2,False),
    DVTColumn, MATCH(M77, DVT_Laboratory!$A$1:BO$1, 0),
    xextTime, INDIRECT(""DVT_Laboratory!"" &amp; ADDRESS(LabLevel+3,"&amp;" DVTColumn)) / LabSpeed,
    remainingTime, SUM(INDIRECT(""DVT_Laboratory!"" &amp; ADDRESS(LabLevel+3, DVTColumn) &amp; "":"" &amp; ADDRESS(MaxOrTarget+2, DVTColumn))) / LabSpeed,
  M77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7" s="1249"/>
      <c r="Q77" s="1249"/>
      <c r="R77" s="1249"/>
      <c r="S77" s="1249"/>
      <c r="T77" s="1250" t="str">
        <f>IFERROR(__xludf.DUMMYFUNCTION("if(S77 &lt;&gt; """", 
  LET( 
    TargetLevel, VLOOKUP(S77,MS_Labs_Array,3,false),
    MaxLevel, VLOOKUP(S77,MS_Labs_Array,4,false),
    MaxOrTarget, IF(OR(TargetLevel = """",$AD$1 &lt;&gt; ""Target""), MaxLevel, TargetLevel),
    LabLevel, VLOOKUP(S77,MS_Labs_Array"&amp;",2,False),
    Levelprogress, LabLevel / MaxOrTarget,
    DVTColumn, MATCH(S77,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7" s="1251" t="str">
        <f>IFERROR(__xludf.DUMMYFUNCTION("if(S77 &lt;&gt; """", 
  LET(
    TargetLevel, VLOOKUP(S77,MS_Labs_Array,3,false),
    LabSpeed, (1 * REGEXEXTRACT($BH$1, ""[\d.-]+"")) * {IF(S77 =""Labs Speed"", 1+'Master Sheet'!$BK$5, LAB_SPEED_TOTAL())},
    MaxLevel, VLOOKUP(S77,MS_Labs_Array,4,false),
   "&amp;" MaxOrTarget, IF(OR(TargetLevel = """",$AD$1 &lt;&gt; ""Target""), MaxLevel, TargetLevel),
    LabLevel, VLOOKUP(S77,MS_Labs_Array,2,False),
    DVTColumn, MATCH(S77, DVT_Laboratory!$A$1:BO$1, 0),
    xextTime, INDIRECT(""DVT_Laboratory!"" &amp; ADDRESS(LabLevel+3,"&amp;" DVTColumn)) / LabSpeed,
    remainingTime, SUM(INDIRECT(""DVT_Laboratory!"" &amp; ADDRESS(LabLevel+3, DVTColumn) &amp; "":"" &amp; ADDRESS(MaxOrTarget+2, DVTColumn))) / LabSpeed,
  S77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7" s="1249"/>
      <c r="W77" s="1249"/>
      <c r="X77" s="1249"/>
      <c r="Y77" s="1249"/>
      <c r="Z77" s="1250" t="str">
        <f>IFERROR(__xludf.DUMMYFUNCTION("if(Y77 &lt;&gt; """", 
  LET( 
    TargetLevel, VLOOKUP(Y77,MS_Labs_Array,3,false),
    MaxLevel, VLOOKUP(Y77,MS_Labs_Array,4,false),
    MaxOrTarget, IF(OR(TargetLevel = """",$AD$1 &lt;&gt; ""Target""), MaxLevel, TargetLevel),
    LabLevel, VLOOKUP(Y77,MS_Labs_Array"&amp;",2,False),
    Levelprogress, LabLevel / MaxOrTarget,
    DVTColumn, MATCH(Y77,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7" s="1251" t="str">
        <f>IFERROR(__xludf.DUMMYFUNCTION("if(Y77 &lt;&gt; """", 
  LET(
    TargetLevel, VLOOKUP(Y77,MS_Labs_Array,3,false),
    LabSpeed, (1 * REGEXEXTRACT($BH$1, ""[\d.-]+"")) * {IF(Y77 =""Labs Speed"", 1+'Master Sheet'!$BK$5, LAB_SPEED_TOTAL())},
    MaxLevel, VLOOKUP(Y77,MS_Labs_Array,4,false),
   "&amp;" MaxOrTarget, IF(OR(TargetLevel = """",$AD$1 &lt;&gt; ""Target""), MaxLevel, TargetLevel),
    LabLevel, VLOOKUP(Y77,MS_Labs_Array,2,False),
    DVTColumn, MATCH(Y77, DVT_Laboratory!$A$1:BO$1, 0),
    xextTime, INDIRECT(""DVT_Laboratory!"" &amp; ADDRESS(LabLevel+3,"&amp;" DVTColumn)) / LabSpeed,
    remainingTime, SUM(INDIRECT(""DVT_Laboratory!"" &amp; ADDRESS(LabLevel+3, DVTColumn) &amp; "":"" &amp; ADDRESS(MaxOrTarget+2, DVTColumn))) / LabSpeed,
  Y77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7" s="1249"/>
      <c r="AC77" s="1249"/>
      <c r="AD77" s="1249"/>
      <c r="AE77" s="1249"/>
      <c r="AF77" s="1250" t="str">
        <f>IFERROR(__xludf.DUMMYFUNCTION("if(AE77 &lt;&gt; """", 
  LET( 
    TargetLevel, VLOOKUP(AE77,MS_Labs_Array,3,false),
    MaxLevel, VLOOKUP(AE77,MS_Labs_Array,4,false),
    MaxOrTarget, IF(OR(TargetLevel = """",$AD$1 &lt;&gt; ""Target""), MaxLevel, TargetLevel),
    LabLevel, VLOOKUP(AE77,MS_Labs_A"&amp;"rray,2,False),
    Levelprogress, LabLevel / MaxOrTarget,
    DVTColumn, MATCH(AE77,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7" s="1251" t="str">
        <f>IFERROR(__xludf.DUMMYFUNCTION("if(AE77 &lt;&gt; """", 
  LET(
    TargetLevel, VLOOKUP(AE77,MS_Labs_Array,3,false),
    LabSpeed, (1 * REGEXEXTRACT($BH$1, ""[\d.-]+"")) * {IF(AE77 =""Labs Speed"", 1+'Master Sheet'!$BK$5, LAB_SPEED_TOTAL())},
    MaxLevel, VLOOKUP(AE77,MS_Labs_Array,4,false),"&amp;"
    MaxOrTarget, IF(OR(TargetLevel = """",$AD$1 &lt;&gt; ""Target""), MaxLevel, TargetLevel),
    LabLevel, VLOOKUP(AE77,MS_Labs_Array,2,False),
    DVTColumn, MATCH(AE77, DVT_Laboratory!$A$1:BO$1, 0),
    xextTime, INDIRECT(""DVT_Laboratory!"" &amp; ADDRESS(LabLe"&amp;"vel+3, DVTColumn)) / LabSpeed,
    remainingTime, SUM(INDIRECT(""DVT_Laboratory!"" &amp; ADDRESS(LabLevel+3, DVTColumn) &amp; "":"" &amp; ADDRESS(MaxOrTarget+2, DVTColumn))) / LabSpeed,
  AE77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7" s="1249"/>
      <c r="AI77" s="1249"/>
      <c r="AJ77" s="1249"/>
      <c r="AK77" s="1249"/>
      <c r="AL77" s="1250" t="str">
        <f>IFERROR(__xludf.DUMMYFUNCTION("if(AK77 &lt;&gt; """", 
  LET( 
    TargetLevel, VLOOKUP(AK77,MS_Labs_Array,3,false),
    MaxLevel, VLOOKUP(AK77,MS_Labs_Array,4,false),
    MaxOrTarget, IF(OR(TargetLevel = """",$AD$1 &lt;&gt; ""Target""), MaxLevel, TargetLevel),
    LabLevel, VLOOKUP(AK77,MS_Labs_A"&amp;"rray,2,False),
    Levelprogress, LabLevel / MaxOrTarget,
    DVTColumn, MATCH(AK77,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7" s="1251" t="str">
        <f>IFERROR(__xludf.DUMMYFUNCTION("if(AK77 &lt;&gt; """", 
  LET(
    TargetLevel, VLOOKUP(AK77,MS_Labs_Array,3,false),
    LabSpeed, (1 * REGEXEXTRACT($BH$1, ""[\d.-]+"")) * {IF(AK77 =""Labs Speed"", 1+'Master Sheet'!$BK$5, LAB_SPEED_TOTAL())},
    MaxLevel, VLOOKUP(AK77,MS_Labs_Array,4,false),"&amp;"
    MaxOrTarget, IF(OR(TargetLevel = """",$AD$1 &lt;&gt; ""Target""), MaxLevel, TargetLevel),
    LabLevel, VLOOKUP(AK77,MS_Labs_Array,2,False),
    DVTColumn, MATCH(AK77, DVT_Laboratory!$A$1:BO$1, 0),
    xextTime, INDIRECT(""DVT_Laboratory!"" &amp; ADDRESS(LabLe"&amp;"vel+3, DVTColumn)) / LabSpeed,
    remainingTime, SUM(INDIRECT(""DVT_Laboratory!"" &amp; ADDRESS(LabLevel+3, DVTColumn) &amp; "":"" &amp; ADDRESS(MaxOrTarget+2, DVTColumn))) / LabSpeed,
  AK77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7" s="1249"/>
      <c r="AO77" s="1249"/>
      <c r="AP77" s="1249"/>
      <c r="AQ77" s="1249"/>
      <c r="AR77" s="1250" t="str">
        <f>IFERROR(__xludf.DUMMYFUNCTION("if(AQ77 &lt;&gt; """", 
  LET( 
    TargetLevel, VLOOKUP(AQ77,MS_Labs_Array,3,false),
    MaxLevel, VLOOKUP(AQ77,MS_Labs_Array,4,false),
    MaxOrTarget, IF(OR(TargetLevel = """",$AD$1 &lt;&gt; ""Target""), MaxLevel, TargetLevel),
    LabLevel, VLOOKUP(AQ77,MS_Labs_A"&amp;"rray,2,False),
    Levelprogress, LabLevel / MaxOrTarget,
    DVTColumn, MATCH(AQ77,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7" s="1251" t="str">
        <f>IFERROR(__xludf.DUMMYFUNCTION("if(AQ77 &lt;&gt; """", 
  LET(
    TargetLevel, VLOOKUP(AQ77,MS_Labs_Array,3,false),
    LabSpeed, (1 * REGEXEXTRACT($BH$1, ""[\d.-]+"")) * {IF(AQ77 =""Labs Speed"", 1+'Master Sheet'!$BK$5, LAB_SPEED_TOTAL())},
    MaxLevel, VLOOKUP(AQ77,MS_Labs_Array,4,false),"&amp;"
    MaxOrTarget, IF(OR(TargetLevel = """",$AD$1 &lt;&gt; ""Target""), MaxLevel, TargetLevel),
    LabLevel, VLOOKUP(AQ77,MS_Labs_Array,2,False),
    DVTColumn, MATCH(AQ77, DVT_Laboratory!$A$1:BO$1, 0),
    xextTime, INDIRECT(""DVT_Laboratory!"" &amp; ADDRESS(LabLe"&amp;"vel+3, DVTColumn)) / LabSpeed,
    remainingTime, SUM(INDIRECT(""DVT_Laboratory!"" &amp; ADDRESS(LabLevel+3, DVTColumn) &amp; "":"" &amp; ADDRESS(MaxOrTarget+2, DVTColumn))) / LabSpeed,
  AQ77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7" s="1249"/>
      <c r="AU77" s="1249"/>
      <c r="AV77" s="1249"/>
      <c r="AW77" s="1249"/>
      <c r="AX77" s="1250" t="str">
        <f>IFERROR(__xludf.DUMMYFUNCTION("if(AW77 &lt;&gt; """", 
  LET( 
    TargetLevel, VLOOKUP(AW77,MS_Labs_Array,3,false),
    MaxLevel, VLOOKUP(AW77,MS_Labs_Array,4,false),
    MaxOrTarget, IF(OR(TargetLevel = """",$AD$1 &lt;&gt; ""Target""), MaxLevel, TargetLevel),
    LabLevel, VLOOKUP(AW77,MS_Labs_A"&amp;"rray,2,False),
    Levelprogress, LabLevel / MaxOrTarget,
    DVTColumn, MATCH(AW77,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7" s="1251" t="str">
        <f>IFERROR(__xludf.DUMMYFUNCTION("if(AW77 &lt;&gt; """", 
  LET(
    TargetLevel, VLOOKUP(AW77,MS_Labs_Array,3,false),
    LabSpeed, (1 * REGEXEXTRACT($BH$1, ""[\d.-]+"")) * {IF(AW77 =""Labs Speed"", 1+'Master Sheet'!$BK$5, LAB_SPEED_TOTAL())},
    MaxLevel, VLOOKUP(AW77,MS_Labs_Array,4,false),"&amp;"
    MaxOrTarget, IF(OR(TargetLevel = """",$AD$1 &lt;&gt; ""Target""), MaxLevel, TargetLevel),
    LabLevel, VLOOKUP(AW77,MS_Labs_Array,2,False),
    DVTColumn, MATCH(AW77, DVT_Laboratory!$A$1:BO$1, 0),
    xextTime, INDIRECT(""DVT_Laboratory!"" &amp; ADDRESS(LabLe"&amp;"vel+3, DVTColumn)) / LabSpeed,
    remainingTime, SUM(INDIRECT(""DVT_Laboratory!"" &amp; ADDRESS(LabLevel+3, DVTColumn) &amp; "":"" &amp; ADDRESS(MaxOrTarget+2, DVTColumn))) / LabSpeed,
  AW77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7" s="1249"/>
      <c r="BA77" s="1249"/>
      <c r="BB77" s="1249"/>
      <c r="BC77" s="1249"/>
      <c r="BD77" s="1250" t="str">
        <f>IFERROR(__xludf.DUMMYFUNCTION("if(BC77 &lt;&gt; """", 
  LET( 
    TargetLevel, VLOOKUP(BC77,MS_Labs_Array,3,false),
    MaxLevel, VLOOKUP(BC77,MS_Labs_Array,4,false),
    MaxOrTarget, IF(OR(TargetLevel = """",$AD$1 &lt;&gt; ""Target""), MaxLevel, TargetLevel),
    LabLevel, VLOOKUP(BC77,MS_Labs_A"&amp;"rray,2,False),
    Levelprogress, LabLevel / MaxOrTarget,
    DVTColumn, MATCH(BC77,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7" s="1251" t="str">
        <f>IFERROR(__xludf.DUMMYFUNCTION("if(BC77 &lt;&gt; """", 
  LET(
    TargetLevel, VLOOKUP(BC77,MS_Labs_Array,3,false),
    LabSpeed, (1 * REGEXEXTRACT($BH$1, ""[\d.-]+"")) * {IF(BC77 =""Labs Speed"", 1+'Master Sheet'!$BK$5, LAB_SPEED_TOTAL())},
    MaxLevel, VLOOKUP(BC77,MS_Labs_Array,4,false),"&amp;"
    MaxOrTarget, IF(OR(TargetLevel = """",$AD$1 &lt;&gt; ""Target""), MaxLevel, TargetLevel),
    LabLevel, VLOOKUP(BC77,MS_Labs_Array,2,False),
    DVTColumn, MATCH(BC77, DVT_Laboratory!$A$1:BO$1, 0),
    xextTime, INDIRECT(""DVT_Laboratory!"" &amp; ADDRESS(LabLe"&amp;"vel+3, DVTColumn)) / LabSpeed,
    remainingTime, SUM(INDIRECT(""DVT_Laboratory!"" &amp; ADDRESS(LabLevel+3, DVTColumn) &amp; "":"" &amp; ADDRESS(MaxOrTarget+2, DVTColumn))) / LabSpeed,
  BC77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7" s="1249"/>
      <c r="BG77" s="1249"/>
      <c r="BH77" s="1260" t="str">
        <f>IFERROR(__xludf.DUMMYFUNCTION("""COMPUTED_VALUE"""),"Standard Perks Bonus")</f>
        <v>Standard Perks Bonus</v>
      </c>
      <c r="BI77" s="1252"/>
      <c r="BJ77" s="1253" t="str">
        <f>IFERROR(__xludf.DUMMYFUNCTION("if(BI77 &lt;&gt; """", 
  LET( 
    TargetLevel, VLOOKUP(BI77,MS_Labs_Array,3,false),
    MaxLevel, VLOOKUP(BI77,MS_Labs_Array,4,false),
    MaxOrTarget, IF(OR(TargetLevel = """",$AD$1 &lt;&gt; ""Target""), MaxLevel, TargetLevel),
    LabLevel, VLOOKUP(BI77,MS_Labs_A"&amp;"rray,2,False),
    Levelprogress, IF(LabLevel &gt;= MaxOrTarget, 1, LabLevel / MaxOrTarget),
    DVTColumn, MATCH(BI77,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7" s="1254" t="str">
        <f>IFERROR(__xludf.DUMMYFUNCTION("if(BI77 &lt;&gt; """", 
  LET(
    TargetLevel, VLOOKUP(BI77,MS_Labs_Array,3,false),
    LabSpeed, (1 * REGEXEXTRACT($BH$1, ""[\d.-]+"")) * {IF(BI77 =""Labs Speed"", 1+'Master Sheet'!$BK$5, LAB_SPEED_TOTAL())},
    MaxLevel, VLOOKUP(BI77,MS_Labs_Array,4,false),"&amp;"
    MaxOrTarget, IF(OR(TargetLevel = """",$AD$1 &lt;&gt; ""Target""), MaxLevel, TargetLevel),
    LabLevel, VLOOKUP(BI77,MS_Labs_Array,2,False),
    DVTColumn, MATCH(BI77, DVT_Laboratory!$A$1:BO$1, 0),
    xextTime, INDIRECT(""DVT_Laboratory!"" &amp; ADDRESS(LabLe"&amp;"vel+3, DVTColumn)) / LabSpeed,
    remainingTime, SUM(INDIRECT(""DVT_Laboratory!"" &amp; ADDRESS(LabLevel+3, DVTColumn) &amp; "":"" &amp; ADDRESS(MaxOrTarget+2, DVTColumn))) / LabSpeed,
  BI77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7" s="1252"/>
      <c r="BM77" s="1252" t="str">
        <f>IFERROR(__xludf.DUMMYFUNCTION("""COMPUTED_VALUE"""),"Improves all common perks, including Perk wave requirement, leading to stronger and faster perks")</f>
        <v>Improves all common perks, including Perk wave requirement, leading to stronger and faster perks</v>
      </c>
      <c r="BN77" s="1222"/>
      <c r="BO77" s="1261"/>
    </row>
    <row r="78" ht="7.5" customHeight="1">
      <c r="A78" s="1222"/>
      <c r="B78" s="1262" t="s">
        <v>560</v>
      </c>
      <c r="C78" s="1304" t="s">
        <v>328</v>
      </c>
      <c r="D78" s="1280" t="str">
        <f>VLOOKUP(C78,'Remote Tier List'!A:D, 2, FALSE)</f>
        <v>B</v>
      </c>
      <c r="E78" s="1281" t="str">
        <f>VLOOKUP(C78,'Remote Tier List'!A:D, 3, FALSE)</f>
        <v/>
      </c>
      <c r="F78" s="1284" t="str">
        <f>VLOOKUP(C78,'Remote Tier List'!A:D, 4, FALSE)</f>
        <v>More radius enables more stuns</v>
      </c>
      <c r="G78" s="1245" t="b">
        <f>IFERROR(AND(VLOOKUP("Tier 7",'_IDS'!$BZ$3:$DT$23, 2, FALSE) &gt; 40,  IDS_UW_OWN("Inner Land Mines")), true)</f>
        <v>0</v>
      </c>
      <c r="H78" s="1246" t="str">
        <f t="array" ref="H78:I78">LET(
  Lab, $C78,
  Mode, $AD$1,
  Level, VLOOKUP(Lab, MS_Labs_Array, 2, FALSE),
  Target, VLOOKUP(Lab, MS_Labs_Array, 3, FALSE),
  Max, VLOOKUP(Lab, MS_Labs_Array, 4, FALSE),
  Result,
    IF(
      AND(
        Mode &lt;&gt; "Never",
        Level &gt;= IF(OR(Target = "", Mode = "Max"), Max, Target)
      ),
      "Completed",
      ""
    ),
  HSTACK(
    IF(Result &lt;&gt; "", Result, $D78),
    IF(Result &lt;&gt; "", Result, IF($E78 = "", $D78, $E78))
  )
)</f>
        <v>B</v>
      </c>
      <c r="I78" s="1247" t="s">
        <v>546</v>
      </c>
      <c r="J78" s="1248" t="str">
        <f t="shared" si="18"/>
        <v>More radius enables more stuns</v>
      </c>
      <c r="K78" s="1229"/>
      <c r="L78" s="1249" t="str">
        <f>IFERROR(__xludf.DUMMYFUNCTION("""COMPUTED_VALUE"""),"")</f>
        <v/>
      </c>
      <c r="M78" s="1249"/>
      <c r="N78" s="1250" t="str">
        <f>IFERROR(__xludf.DUMMYFUNCTION("if(M78 &lt;&gt; """", 
  LET( 
    TargetLevel, VLOOKUP(M78,MS_Labs_Array,3,false),
    MaxLevel, VLOOKUP(M78,MS_Labs_Array,4,false),
    MaxOrTarget, IF(OR(TargetLevel = """",$AD$1 &lt;&gt; ""Target""), MaxLevel, TargetLevel),
    LabLevel, VLOOKUP(M78,MS_Labs_Array"&amp;",2,False),
    Levelprogress, LabLevel / MaxOrTarget,
    DVTColumn, MATCH(M78,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8" s="1251" t="str">
        <f>IFERROR(__xludf.DUMMYFUNCTION("if(M78 &lt;&gt; """", 
  LET(
    TargetLevel, VLOOKUP(M78,MS_Labs_Array,3,false),
    LabSpeed, (1 * REGEXEXTRACT($BH$1, ""[\d.-]+"")) * {IF(M78 =""Labs Speed"", 1+'Master Sheet'!$BK$5, LAB_SPEED_TOTAL())},
    MaxLevel, VLOOKUP(M78,MS_Labs_Array,4,false),
   "&amp;" MaxOrTarget, IF(OR(TargetLevel = """",$AD$1 &lt;&gt; ""Target""), MaxLevel, TargetLevel),
    LabLevel, VLOOKUP(M78,MS_Labs_Array,2,False),
    DVTColumn, MATCH(M78, DVT_Laboratory!$A$1:BO$1, 0),
    xextTime, INDIRECT(""DVT_Laboratory!"" &amp; ADDRESS(LabLevel+3,"&amp;" DVTColumn)) / LabSpeed,
    remainingTime, SUM(INDIRECT(""DVT_Laboratory!"" &amp; ADDRESS(LabLevel+3, DVTColumn) &amp; "":"" &amp; ADDRESS(MaxOrTarget+2, DVTColumn))) / LabSpeed,
  M78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8" s="1249"/>
      <c r="Q78" s="1249" t="str">
        <f>IFERROR(__xludf.DUMMYFUNCTION("""COMPUTED_VALUE"""),"")</f>
        <v/>
      </c>
      <c r="R78" s="1249" t="str">
        <f>IFERROR(__xludf.DUMMYFUNCTION("""COMPUTED_VALUE"""),"")</f>
        <v/>
      </c>
      <c r="S78" s="1249"/>
      <c r="T78" s="1250" t="str">
        <f>IFERROR(__xludf.DUMMYFUNCTION("if(S78 &lt;&gt; """", 
  LET( 
    TargetLevel, VLOOKUP(S78,MS_Labs_Array,3,false),
    MaxLevel, VLOOKUP(S78,MS_Labs_Array,4,false),
    MaxOrTarget, IF(OR(TargetLevel = """",$AD$1 &lt;&gt; ""Target""), MaxLevel, TargetLevel),
    LabLevel, VLOOKUP(S78,MS_Labs_Array"&amp;",2,False),
    Levelprogress, LabLevel / MaxOrTarget,
    DVTColumn, MATCH(S78,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8" s="1251" t="str">
        <f>IFERROR(__xludf.DUMMYFUNCTION("if(S78 &lt;&gt; """", 
  LET(
    TargetLevel, VLOOKUP(S78,MS_Labs_Array,3,false),
    LabSpeed, (1 * REGEXEXTRACT($BH$1, ""[\d.-]+"")) * {IF(S78 =""Labs Speed"", 1+'Master Sheet'!$BK$5, LAB_SPEED_TOTAL())},
    MaxLevel, VLOOKUP(S78,MS_Labs_Array,4,false),
   "&amp;" MaxOrTarget, IF(OR(TargetLevel = """",$AD$1 &lt;&gt; ""Target""), MaxLevel, TargetLevel),
    LabLevel, VLOOKUP(S78,MS_Labs_Array,2,False),
    DVTColumn, MATCH(S78, DVT_Laboratory!$A$1:BO$1, 0),
    xextTime, INDIRECT(""DVT_Laboratory!"" &amp; ADDRESS(LabLevel+3,"&amp;" DVTColumn)) / LabSpeed,
    remainingTime, SUM(INDIRECT(""DVT_Laboratory!"" &amp; ADDRESS(LabLevel+3, DVTColumn) &amp; "":"" &amp; ADDRESS(MaxOrTarget+2, DVTColumn))) / LabSpeed,
  S78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8" s="1249"/>
      <c r="W78" s="1249" t="str">
        <f>IFERROR(__xludf.DUMMYFUNCTION("""COMPUTED_VALUE"""),"")</f>
        <v/>
      </c>
      <c r="X78" s="1249" t="str">
        <f>IFERROR(__xludf.DUMMYFUNCTION("""COMPUTED_VALUE"""),"")</f>
        <v/>
      </c>
      <c r="Y78" s="1249"/>
      <c r="Z78" s="1250" t="str">
        <f>IFERROR(__xludf.DUMMYFUNCTION("if(Y78 &lt;&gt; """", 
  LET( 
    TargetLevel, VLOOKUP(Y78,MS_Labs_Array,3,false),
    MaxLevel, VLOOKUP(Y78,MS_Labs_Array,4,false),
    MaxOrTarget, IF(OR(TargetLevel = """",$AD$1 &lt;&gt; ""Target""), MaxLevel, TargetLevel),
    LabLevel, VLOOKUP(Y78,MS_Labs_Array"&amp;",2,False),
    Levelprogress, LabLevel / MaxOrTarget,
    DVTColumn, MATCH(Y78,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8" s="1251" t="str">
        <f>IFERROR(__xludf.DUMMYFUNCTION("if(Y78 &lt;&gt; """", 
  LET(
    TargetLevel, VLOOKUP(Y78,MS_Labs_Array,3,false),
    LabSpeed, (1 * REGEXEXTRACT($BH$1, ""[\d.-]+"")) * {IF(Y78 =""Labs Speed"", 1+'Master Sheet'!$BK$5, LAB_SPEED_TOTAL())},
    MaxLevel, VLOOKUP(Y78,MS_Labs_Array,4,false),
   "&amp;" MaxOrTarget, IF(OR(TargetLevel = """",$AD$1 &lt;&gt; ""Target""), MaxLevel, TargetLevel),
    LabLevel, VLOOKUP(Y78,MS_Labs_Array,2,False),
    DVTColumn, MATCH(Y78, DVT_Laboratory!$A$1:BO$1, 0),
    xextTime, INDIRECT(""DVT_Laboratory!"" &amp; ADDRESS(LabLevel+3,"&amp;" DVTColumn)) / LabSpeed,
    remainingTime, SUM(INDIRECT(""DVT_Laboratory!"" &amp; ADDRESS(LabLevel+3, DVTColumn) &amp; "":"" &amp; ADDRESS(MaxOrTarget+2, DVTColumn))) / LabSpeed,
  Y78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8" s="1249"/>
      <c r="AC78" s="1249" t="str">
        <f>IFERROR(__xludf.DUMMYFUNCTION("""COMPUTED_VALUE"""),"")</f>
        <v/>
      </c>
      <c r="AD78" s="1249" t="str">
        <f>IFERROR(__xludf.DUMMYFUNCTION("""COMPUTED_VALUE"""),"")</f>
        <v/>
      </c>
      <c r="AE78" s="1249"/>
      <c r="AF78" s="1250" t="str">
        <f>IFERROR(__xludf.DUMMYFUNCTION("if(AE78 &lt;&gt; """", 
  LET( 
    TargetLevel, VLOOKUP(AE78,MS_Labs_Array,3,false),
    MaxLevel, VLOOKUP(AE78,MS_Labs_Array,4,false),
    MaxOrTarget, IF(OR(TargetLevel = """",$AD$1 &lt;&gt; ""Target""), MaxLevel, TargetLevel),
    LabLevel, VLOOKUP(AE78,MS_Labs_A"&amp;"rray,2,False),
    Levelprogress, LabLevel / MaxOrTarget,
    DVTColumn, MATCH(AE78,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8" s="1251" t="str">
        <f>IFERROR(__xludf.DUMMYFUNCTION("if(AE78 &lt;&gt; """", 
  LET(
    TargetLevel, VLOOKUP(AE78,MS_Labs_Array,3,false),
    LabSpeed, (1 * REGEXEXTRACT($BH$1, ""[\d.-]+"")) * {IF(AE78 =""Labs Speed"", 1+'Master Sheet'!$BK$5, LAB_SPEED_TOTAL())},
    MaxLevel, VLOOKUP(AE78,MS_Labs_Array,4,false),"&amp;"
    MaxOrTarget, IF(OR(TargetLevel = """",$AD$1 &lt;&gt; ""Target""), MaxLevel, TargetLevel),
    LabLevel, VLOOKUP(AE78,MS_Labs_Array,2,False),
    DVTColumn, MATCH(AE78, DVT_Laboratory!$A$1:BO$1, 0),
    xextTime, INDIRECT(""DVT_Laboratory!"" &amp; ADDRESS(LabLe"&amp;"vel+3, DVTColumn)) / LabSpeed,
    remainingTime, SUM(INDIRECT(""DVT_Laboratory!"" &amp; ADDRESS(LabLevel+3, DVTColumn) &amp; "":"" &amp; ADDRESS(MaxOrTarget+2, DVTColumn))) / LabSpeed,
  AE78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8" s="1249"/>
      <c r="AI78" s="1249" t="str">
        <f>IFERROR(__xludf.DUMMYFUNCTION("""COMPUTED_VALUE"""),"")</f>
        <v/>
      </c>
      <c r="AJ78" s="1249" t="str">
        <f>IFERROR(__xludf.DUMMYFUNCTION("""COMPUTED_VALUE"""),"")</f>
        <v/>
      </c>
      <c r="AK78" s="1249"/>
      <c r="AL78" s="1250" t="str">
        <f>IFERROR(__xludf.DUMMYFUNCTION("if(AK78 &lt;&gt; """", 
  LET( 
    TargetLevel, VLOOKUP(AK78,MS_Labs_Array,3,false),
    MaxLevel, VLOOKUP(AK78,MS_Labs_Array,4,false),
    MaxOrTarget, IF(OR(TargetLevel = """",$AD$1 &lt;&gt; ""Target""), MaxLevel, TargetLevel),
    LabLevel, VLOOKUP(AK78,MS_Labs_A"&amp;"rray,2,False),
    Levelprogress, LabLevel / MaxOrTarget,
    DVTColumn, MATCH(AK78,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8" s="1251" t="str">
        <f>IFERROR(__xludf.DUMMYFUNCTION("if(AK78 &lt;&gt; """", 
  LET(
    TargetLevel, VLOOKUP(AK78,MS_Labs_Array,3,false),
    LabSpeed, (1 * REGEXEXTRACT($BH$1, ""[\d.-]+"")) * {IF(AK78 =""Labs Speed"", 1+'Master Sheet'!$BK$5, LAB_SPEED_TOTAL())},
    MaxLevel, VLOOKUP(AK78,MS_Labs_Array,4,false),"&amp;"
    MaxOrTarget, IF(OR(TargetLevel = """",$AD$1 &lt;&gt; ""Target""), MaxLevel, TargetLevel),
    LabLevel, VLOOKUP(AK78,MS_Labs_Array,2,False),
    DVTColumn, MATCH(AK78, DVT_Laboratory!$A$1:BO$1, 0),
    xextTime, INDIRECT(""DVT_Laboratory!"" &amp; ADDRESS(LabLe"&amp;"vel+3, DVTColumn)) / LabSpeed,
    remainingTime, SUM(INDIRECT(""DVT_Laboratory!"" &amp; ADDRESS(LabLevel+3, DVTColumn) &amp; "":"" &amp; ADDRESS(MaxOrTarget+2, DVTColumn))) / LabSpeed,
  AK78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8" s="1249"/>
      <c r="AO78" s="1249" t="str">
        <f>IFERROR(__xludf.DUMMYFUNCTION("""COMPUTED_VALUE"""),"")</f>
        <v/>
      </c>
      <c r="AP78" s="1249" t="str">
        <f>IFERROR(__xludf.DUMMYFUNCTION("""COMPUTED_VALUE"""),"")</f>
        <v/>
      </c>
      <c r="AQ78" s="1249"/>
      <c r="AR78" s="1250" t="str">
        <f>IFERROR(__xludf.DUMMYFUNCTION("if(AQ78 &lt;&gt; """", 
  LET( 
    TargetLevel, VLOOKUP(AQ78,MS_Labs_Array,3,false),
    MaxLevel, VLOOKUP(AQ78,MS_Labs_Array,4,false),
    MaxOrTarget, IF(OR(TargetLevel = """",$AD$1 &lt;&gt; ""Target""), MaxLevel, TargetLevel),
    LabLevel, VLOOKUP(AQ78,MS_Labs_A"&amp;"rray,2,False),
    Levelprogress, LabLevel / MaxOrTarget,
    DVTColumn, MATCH(AQ78,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8" s="1251" t="str">
        <f>IFERROR(__xludf.DUMMYFUNCTION("if(AQ78 &lt;&gt; """", 
  LET(
    TargetLevel, VLOOKUP(AQ78,MS_Labs_Array,3,false),
    LabSpeed, (1 * REGEXEXTRACT($BH$1, ""[\d.-]+"")) * {IF(AQ78 =""Labs Speed"", 1+'Master Sheet'!$BK$5, LAB_SPEED_TOTAL())},
    MaxLevel, VLOOKUP(AQ78,MS_Labs_Array,4,false),"&amp;"
    MaxOrTarget, IF(OR(TargetLevel = """",$AD$1 &lt;&gt; ""Target""), MaxLevel, TargetLevel),
    LabLevel, VLOOKUP(AQ78,MS_Labs_Array,2,False),
    DVTColumn, MATCH(AQ78, DVT_Laboratory!$A$1:BO$1, 0),
    xextTime, INDIRECT(""DVT_Laboratory!"" &amp; ADDRESS(LabLe"&amp;"vel+3, DVTColumn)) / LabSpeed,
    remainingTime, SUM(INDIRECT(""DVT_Laboratory!"" &amp; ADDRESS(LabLevel+3, DVTColumn) &amp; "":"" &amp; ADDRESS(MaxOrTarget+2, DVTColumn))) / LabSpeed,
  AQ78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8" s="1249"/>
      <c r="AU78" s="1249" t="str">
        <f>IFERROR(__xludf.DUMMYFUNCTION("""COMPUTED_VALUE"""),"")</f>
        <v/>
      </c>
      <c r="AV78" s="1249" t="str">
        <f>IFERROR(__xludf.DUMMYFUNCTION("""COMPUTED_VALUE"""),"")</f>
        <v/>
      </c>
      <c r="AW78" s="1249"/>
      <c r="AX78" s="1250" t="str">
        <f>IFERROR(__xludf.DUMMYFUNCTION("if(AW78 &lt;&gt; """", 
  LET( 
    TargetLevel, VLOOKUP(AW78,MS_Labs_Array,3,false),
    MaxLevel, VLOOKUP(AW78,MS_Labs_Array,4,false),
    MaxOrTarget, IF(OR(TargetLevel = """",$AD$1 &lt;&gt; ""Target""), MaxLevel, TargetLevel),
    LabLevel, VLOOKUP(AW78,MS_Labs_A"&amp;"rray,2,False),
    Levelprogress, LabLevel / MaxOrTarget,
    DVTColumn, MATCH(AW78,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8" s="1251" t="str">
        <f>IFERROR(__xludf.DUMMYFUNCTION("if(AW78 &lt;&gt; """", 
  LET(
    TargetLevel, VLOOKUP(AW78,MS_Labs_Array,3,false),
    LabSpeed, (1 * REGEXEXTRACT($BH$1, ""[\d.-]+"")) * {IF(AW78 =""Labs Speed"", 1+'Master Sheet'!$BK$5, LAB_SPEED_TOTAL())},
    MaxLevel, VLOOKUP(AW78,MS_Labs_Array,4,false),"&amp;"
    MaxOrTarget, IF(OR(TargetLevel = """",$AD$1 &lt;&gt; ""Target""), MaxLevel, TargetLevel),
    LabLevel, VLOOKUP(AW78,MS_Labs_Array,2,False),
    DVTColumn, MATCH(AW78, DVT_Laboratory!$A$1:BO$1, 0),
    xextTime, INDIRECT(""DVT_Laboratory!"" &amp; ADDRESS(LabLe"&amp;"vel+3, DVTColumn)) / LabSpeed,
    remainingTime, SUM(INDIRECT(""DVT_Laboratory!"" &amp; ADDRESS(LabLevel+3, DVTColumn) &amp; "":"" &amp; ADDRESS(MaxOrTarget+2, DVTColumn))) / LabSpeed,
  AW78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8" s="1249"/>
      <c r="BA78" s="1249" t="str">
        <f>IFERROR(__xludf.DUMMYFUNCTION("""COMPUTED_VALUE"""),"")</f>
        <v/>
      </c>
      <c r="BB78" s="1249" t="str">
        <f>IFERROR(__xludf.DUMMYFUNCTION("""COMPUTED_VALUE"""),"")</f>
        <v/>
      </c>
      <c r="BC78" s="1249"/>
      <c r="BD78" s="1250" t="str">
        <f>IFERROR(__xludf.DUMMYFUNCTION("if(BC78 &lt;&gt; """", 
  LET( 
    TargetLevel, VLOOKUP(BC78,MS_Labs_Array,3,false),
    MaxLevel, VLOOKUP(BC78,MS_Labs_Array,4,false),
    MaxOrTarget, IF(OR(TargetLevel = """",$AD$1 &lt;&gt; ""Target""), MaxLevel, TargetLevel),
    LabLevel, VLOOKUP(BC78,MS_Labs_A"&amp;"rray,2,False),
    Levelprogress, LabLevel / MaxOrTarget,
    DVTColumn, MATCH(BC78,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8" s="1251" t="str">
        <f>IFERROR(__xludf.DUMMYFUNCTION("if(BC78 &lt;&gt; """", 
  LET(
    TargetLevel, VLOOKUP(BC78,MS_Labs_Array,3,false),
    LabSpeed, (1 * REGEXEXTRACT($BH$1, ""[\d.-]+"")) * {IF(BC78 =""Labs Speed"", 1+'Master Sheet'!$BK$5, LAB_SPEED_TOTAL())},
    MaxLevel, VLOOKUP(BC78,MS_Labs_Array,4,false),"&amp;"
    MaxOrTarget, IF(OR(TargetLevel = """",$AD$1 &lt;&gt; ""Target""), MaxLevel, TargetLevel),
    LabLevel, VLOOKUP(BC78,MS_Labs_Array,2,False),
    DVTColumn, MATCH(BC78, DVT_Laboratory!$A$1:BO$1, 0),
    xextTime, INDIRECT(""DVT_Laboratory!"" &amp; ADDRESS(LabLe"&amp;"vel+3, DVTColumn)) / LabSpeed,
    remainingTime, SUM(INDIRECT(""DVT_Laboratory!"" &amp; ADDRESS(LabLevel+3, DVTColumn) &amp; "":"" &amp; ADDRESS(MaxOrTarget+2, DVTColumn))) / LabSpeed,
  BC78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8" s="1249"/>
      <c r="BG78" s="1249" t="str">
        <f>IFERROR(__xludf.DUMMYFUNCTION("""COMPUTED_VALUE"""),"")</f>
        <v/>
      </c>
      <c r="BH78" s="1260" t="str">
        <f>IFERROR(__xludf.DUMMYFUNCTION("""COMPUTED_VALUE"""),"")</f>
        <v/>
      </c>
      <c r="BI78" s="1252"/>
      <c r="BJ78" s="1253" t="str">
        <f>IFERROR(__xludf.DUMMYFUNCTION("if(BI78 &lt;&gt; """", 
  LET( 
    TargetLevel, VLOOKUP(BI78,MS_Labs_Array,3,false),
    MaxLevel, VLOOKUP(BI78,MS_Labs_Array,4,false),
    MaxOrTarget, IF(OR(TargetLevel = """",$AD$1 &lt;&gt; ""Target""), MaxLevel, TargetLevel),
    LabLevel, VLOOKUP(BI78,MS_Labs_A"&amp;"rray,2,False),
    Levelprogress, IF(LabLevel &gt;= MaxOrTarget, 1, LabLevel / MaxOrTarget),
    DVTColumn, MATCH(BI78,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8" s="1254" t="str">
        <f>IFERROR(__xludf.DUMMYFUNCTION("if(BI78 &lt;&gt; """", 
  LET(
    TargetLevel, VLOOKUP(BI78,MS_Labs_Array,3,false),
    LabSpeed, (1 * REGEXEXTRACT($BH$1, ""[\d.-]+"")) * {IF(BI78 =""Labs Speed"", 1+'Master Sheet'!$BK$5, LAB_SPEED_TOTAL())},
    MaxLevel, VLOOKUP(BI78,MS_Labs_Array,4,false),"&amp;"
    MaxOrTarget, IF(OR(TargetLevel = """",$AD$1 &lt;&gt; ""Target""), MaxLevel, TargetLevel),
    LabLevel, VLOOKUP(BI78,MS_Labs_Array,2,False),
    DVTColumn, MATCH(BI78, DVT_Laboratory!$A$1:BO$1, 0),
    xextTime, INDIRECT(""DVT_Laboratory!"" &amp; ADDRESS(LabLe"&amp;"vel+3, DVTColumn)) / LabSpeed,
    remainingTime, SUM(INDIRECT(""DVT_Laboratory!"" &amp; ADDRESS(LabLevel+3, DVTColumn) &amp; "":"" &amp; ADDRESS(MaxOrTarget+2, DVTColumn))) / LabSpeed,
  BI78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8" s="1252"/>
      <c r="BM78" s="1252" t="str">
        <f>IFERROR(__xludf.DUMMYFUNCTION("""COMPUTED_VALUE"""),"Standard Perks Bonus
  Lab Level:      25 / 25 (Max)
  Next Level:    
  Max Level:     3d 17h 43m")</f>
        <v>Standard Perks Bonus
  Lab Level:      25 / 25 (Max)
  Next Level:    
  Max Level:     3d 17h 43m</v>
      </c>
      <c r="BN78" s="1222"/>
      <c r="BO78" s="1261"/>
    </row>
    <row r="79">
      <c r="A79" s="1222"/>
      <c r="B79" s="1257"/>
      <c r="C79" s="1304" t="s">
        <v>333</v>
      </c>
      <c r="D79" s="1280" t="str">
        <f>VLOOKUP(C79,'Remote Tier List'!A:D, 2, FALSE)</f>
        <v>A</v>
      </c>
      <c r="E79" s="1281" t="str">
        <f>VLOOKUP(C79,'Remote Tier List'!A:D, 3, FALSE)</f>
        <v/>
      </c>
      <c r="F79" s="1284" t="str">
        <f>VLOOKUP(C79,'Remote Tier List'!A:D, 4, FALSE)</f>
        <v>Helps with hitting bosses by multiple mines</v>
      </c>
      <c r="G79" s="1245" t="b">
        <f>IFERROR(AND(VLOOKUP("Tier 7",'_IDS'!$BZ$3:$DT$23, 2, FALSE) &gt; 40,  IDS_UW_OWN("Inner Land Mines")), true)</f>
        <v>0</v>
      </c>
      <c r="H79" s="1246" t="str">
        <f t="array" ref="H79:I79">LET(
  Lab, $C79,
  Mode, $AD$1,
  Level, VLOOKUP(Lab, MS_Labs_Array, 2, FALSE),
  Target, VLOOKUP(Lab, MS_Labs_Array, 3, FALSE),
  Max, VLOOKUP(Lab, MS_Labs_Array, 4, FALSE),
  Result,
    IF(
      AND(
        Mode &lt;&gt; "Never",
        Level &gt;= IF(OR(Target = "", Mode = "Max"), Max, Target)
      ),
      "Completed",
      ""
    ),
  HSTACK(
    IF(Result &lt;&gt; "", Result, $D79),
    IF(Result &lt;&gt; "", Result, IF($E79 = "", $D79, $E79))
  )
)</f>
        <v>A</v>
      </c>
      <c r="I79" s="1247" t="s">
        <v>545</v>
      </c>
      <c r="J79" s="1248" t="str">
        <f t="shared" si="18"/>
        <v>Helps with hitting bosses by multiple mines</v>
      </c>
      <c r="K79" s="1229"/>
      <c r="L79" s="1249"/>
      <c r="M79" s="1249"/>
      <c r="N79" s="1250" t="str">
        <f>IFERROR(__xludf.DUMMYFUNCTION("if(M79 &lt;&gt; """", 
  LET( 
    TargetLevel, VLOOKUP(M79,MS_Labs_Array,3,false),
    MaxLevel, VLOOKUP(M79,MS_Labs_Array,4,false),
    MaxOrTarget, IF(OR(TargetLevel = """",$AD$1 &lt;&gt; ""Target""), MaxLevel, TargetLevel),
    LabLevel, VLOOKUP(M79,MS_Labs_Array"&amp;",2,False),
    Levelprogress, LabLevel / MaxOrTarget,
    DVTColumn, MATCH(M79,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9" s="1251" t="str">
        <f>IFERROR(__xludf.DUMMYFUNCTION("if(M79 &lt;&gt; """", 
  LET(
    TargetLevel, VLOOKUP(M79,MS_Labs_Array,3,false),
    LabSpeed, (1 * REGEXEXTRACT($BH$1, ""[\d.-]+"")) * {IF(M79 =""Labs Speed"", 1+'Master Sheet'!$BK$5, LAB_SPEED_TOTAL())},
    MaxLevel, VLOOKUP(M79,MS_Labs_Array,4,false),
   "&amp;" MaxOrTarget, IF(OR(TargetLevel = """",$AD$1 &lt;&gt; ""Target""), MaxLevel, TargetLevel),
    LabLevel, VLOOKUP(M79,MS_Labs_Array,2,False),
    DVTColumn, MATCH(M79, DVT_Laboratory!$A$1:BO$1, 0),
    xextTime, INDIRECT(""DVT_Laboratory!"" &amp; ADDRESS(LabLevel+3,"&amp;" DVTColumn)) / LabSpeed,
    remainingTime, SUM(INDIRECT(""DVT_Laboratory!"" &amp; ADDRESS(LabLevel+3, DVTColumn) &amp; "":"" &amp; ADDRESS(MaxOrTarget+2, DVTColumn))) / LabSpeed,
  M79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9" s="1249"/>
      <c r="Q79" s="1249"/>
      <c r="R79" s="1249"/>
      <c r="S79" s="1249"/>
      <c r="T79" s="1250" t="str">
        <f>IFERROR(__xludf.DUMMYFUNCTION("if(S79 &lt;&gt; """", 
  LET( 
    TargetLevel, VLOOKUP(S79,MS_Labs_Array,3,false),
    MaxLevel, VLOOKUP(S79,MS_Labs_Array,4,false),
    MaxOrTarget, IF(OR(TargetLevel = """",$AD$1 &lt;&gt; ""Target""), MaxLevel, TargetLevel),
    LabLevel, VLOOKUP(S79,MS_Labs_Array"&amp;",2,False),
    Levelprogress, LabLevel / MaxOrTarget,
    DVTColumn, MATCH(S79,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9" s="1251" t="str">
        <f>IFERROR(__xludf.DUMMYFUNCTION("if(S79 &lt;&gt; """", 
  LET(
    TargetLevel, VLOOKUP(S79,MS_Labs_Array,3,false),
    LabSpeed, (1 * REGEXEXTRACT($BH$1, ""[\d.-]+"")) * {IF(S79 =""Labs Speed"", 1+'Master Sheet'!$BK$5, LAB_SPEED_TOTAL())},
    MaxLevel, VLOOKUP(S79,MS_Labs_Array,4,false),
   "&amp;" MaxOrTarget, IF(OR(TargetLevel = """",$AD$1 &lt;&gt; ""Target""), MaxLevel, TargetLevel),
    LabLevel, VLOOKUP(S79,MS_Labs_Array,2,False),
    DVTColumn, MATCH(S79, DVT_Laboratory!$A$1:BO$1, 0),
    xextTime, INDIRECT(""DVT_Laboratory!"" &amp; ADDRESS(LabLevel+3,"&amp;" DVTColumn)) / LabSpeed,
    remainingTime, SUM(INDIRECT(""DVT_Laboratory!"" &amp; ADDRESS(LabLevel+3, DVTColumn) &amp; "":"" &amp; ADDRESS(MaxOrTarget+2, DVTColumn))) / LabSpeed,
  S79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9" s="1249"/>
      <c r="W79" s="1249"/>
      <c r="X79" s="1249"/>
      <c r="Y79" s="1249"/>
      <c r="Z79" s="1250" t="str">
        <f>IFERROR(__xludf.DUMMYFUNCTION("if(Y79 &lt;&gt; """", 
  LET( 
    TargetLevel, VLOOKUP(Y79,MS_Labs_Array,3,false),
    MaxLevel, VLOOKUP(Y79,MS_Labs_Array,4,false),
    MaxOrTarget, IF(OR(TargetLevel = """",$AD$1 &lt;&gt; ""Target""), MaxLevel, TargetLevel),
    LabLevel, VLOOKUP(Y79,MS_Labs_Array"&amp;",2,False),
    Levelprogress, LabLevel / MaxOrTarget,
    DVTColumn, MATCH(Y79,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9" s="1251" t="str">
        <f>IFERROR(__xludf.DUMMYFUNCTION("if(Y79 &lt;&gt; """", 
  LET(
    TargetLevel, VLOOKUP(Y79,MS_Labs_Array,3,false),
    LabSpeed, (1 * REGEXEXTRACT($BH$1, ""[\d.-]+"")) * {IF(Y79 =""Labs Speed"", 1+'Master Sheet'!$BK$5, LAB_SPEED_TOTAL())},
    MaxLevel, VLOOKUP(Y79,MS_Labs_Array,4,false),
   "&amp;" MaxOrTarget, IF(OR(TargetLevel = """",$AD$1 &lt;&gt; ""Target""), MaxLevel, TargetLevel),
    LabLevel, VLOOKUP(Y79,MS_Labs_Array,2,False),
    DVTColumn, MATCH(Y79, DVT_Laboratory!$A$1:BO$1, 0),
    xextTime, INDIRECT(""DVT_Laboratory!"" &amp; ADDRESS(LabLevel+3,"&amp;" DVTColumn)) / LabSpeed,
    remainingTime, SUM(INDIRECT(""DVT_Laboratory!"" &amp; ADDRESS(LabLevel+3, DVTColumn) &amp; "":"" &amp; ADDRESS(MaxOrTarget+2, DVTColumn))) / LabSpeed,
  Y79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9" s="1249"/>
      <c r="AC79" s="1249"/>
      <c r="AD79" s="1249"/>
      <c r="AE79" s="1249"/>
      <c r="AF79" s="1250" t="str">
        <f>IFERROR(__xludf.DUMMYFUNCTION("if(AE79 &lt;&gt; """", 
  LET( 
    TargetLevel, VLOOKUP(AE79,MS_Labs_Array,3,false),
    MaxLevel, VLOOKUP(AE79,MS_Labs_Array,4,false),
    MaxOrTarget, IF(OR(TargetLevel = """",$AD$1 &lt;&gt; ""Target""), MaxLevel, TargetLevel),
    LabLevel, VLOOKUP(AE79,MS_Labs_A"&amp;"rray,2,False),
    Levelprogress, LabLevel / MaxOrTarget,
    DVTColumn, MATCH(AE79,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9" s="1251" t="str">
        <f>IFERROR(__xludf.DUMMYFUNCTION("if(AE79 &lt;&gt; """", 
  LET(
    TargetLevel, VLOOKUP(AE79,MS_Labs_Array,3,false),
    LabSpeed, (1 * REGEXEXTRACT($BH$1, ""[\d.-]+"")) * {IF(AE79 =""Labs Speed"", 1+'Master Sheet'!$BK$5, LAB_SPEED_TOTAL())},
    MaxLevel, VLOOKUP(AE79,MS_Labs_Array,4,false),"&amp;"
    MaxOrTarget, IF(OR(TargetLevel = """",$AD$1 &lt;&gt; ""Target""), MaxLevel, TargetLevel),
    LabLevel, VLOOKUP(AE79,MS_Labs_Array,2,False),
    DVTColumn, MATCH(AE79, DVT_Laboratory!$A$1:BO$1, 0),
    xextTime, INDIRECT(""DVT_Laboratory!"" &amp; ADDRESS(LabLe"&amp;"vel+3, DVTColumn)) / LabSpeed,
    remainingTime, SUM(INDIRECT(""DVT_Laboratory!"" &amp; ADDRESS(LabLevel+3, DVTColumn) &amp; "":"" &amp; ADDRESS(MaxOrTarget+2, DVTColumn))) / LabSpeed,
  AE79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9" s="1249"/>
      <c r="AI79" s="1249"/>
      <c r="AJ79" s="1249"/>
      <c r="AK79" s="1249"/>
      <c r="AL79" s="1250" t="str">
        <f>IFERROR(__xludf.DUMMYFUNCTION("if(AK79 &lt;&gt; """", 
  LET( 
    TargetLevel, VLOOKUP(AK79,MS_Labs_Array,3,false),
    MaxLevel, VLOOKUP(AK79,MS_Labs_Array,4,false),
    MaxOrTarget, IF(OR(TargetLevel = """",$AD$1 &lt;&gt; ""Target""), MaxLevel, TargetLevel),
    LabLevel, VLOOKUP(AK79,MS_Labs_A"&amp;"rray,2,False),
    Levelprogress, LabLevel / MaxOrTarget,
    DVTColumn, MATCH(AK79,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9" s="1251" t="str">
        <f>IFERROR(__xludf.DUMMYFUNCTION("if(AK79 &lt;&gt; """", 
  LET(
    TargetLevel, VLOOKUP(AK79,MS_Labs_Array,3,false),
    LabSpeed, (1 * REGEXEXTRACT($BH$1, ""[\d.-]+"")) * {IF(AK79 =""Labs Speed"", 1+'Master Sheet'!$BK$5, LAB_SPEED_TOTAL())},
    MaxLevel, VLOOKUP(AK79,MS_Labs_Array,4,false),"&amp;"
    MaxOrTarget, IF(OR(TargetLevel = """",$AD$1 &lt;&gt; ""Target""), MaxLevel, TargetLevel),
    LabLevel, VLOOKUP(AK79,MS_Labs_Array,2,False),
    DVTColumn, MATCH(AK79, DVT_Laboratory!$A$1:BO$1, 0),
    xextTime, INDIRECT(""DVT_Laboratory!"" &amp; ADDRESS(LabLe"&amp;"vel+3, DVTColumn)) / LabSpeed,
    remainingTime, SUM(INDIRECT(""DVT_Laboratory!"" &amp; ADDRESS(LabLevel+3, DVTColumn) &amp; "":"" &amp; ADDRESS(MaxOrTarget+2, DVTColumn))) / LabSpeed,
  AK79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9" s="1249"/>
      <c r="AO79" s="1249"/>
      <c r="AP79" s="1249"/>
      <c r="AQ79" s="1249"/>
      <c r="AR79" s="1250" t="str">
        <f>IFERROR(__xludf.DUMMYFUNCTION("if(AQ79 &lt;&gt; """", 
  LET( 
    TargetLevel, VLOOKUP(AQ79,MS_Labs_Array,3,false),
    MaxLevel, VLOOKUP(AQ79,MS_Labs_Array,4,false),
    MaxOrTarget, IF(OR(TargetLevel = """",$AD$1 &lt;&gt; ""Target""), MaxLevel, TargetLevel),
    LabLevel, VLOOKUP(AQ79,MS_Labs_A"&amp;"rray,2,False),
    Levelprogress, LabLevel / MaxOrTarget,
    DVTColumn, MATCH(AQ79,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9" s="1251" t="str">
        <f>IFERROR(__xludf.DUMMYFUNCTION("if(AQ79 &lt;&gt; """", 
  LET(
    TargetLevel, VLOOKUP(AQ79,MS_Labs_Array,3,false),
    LabSpeed, (1 * REGEXEXTRACT($BH$1, ""[\d.-]+"")) * {IF(AQ79 =""Labs Speed"", 1+'Master Sheet'!$BK$5, LAB_SPEED_TOTAL())},
    MaxLevel, VLOOKUP(AQ79,MS_Labs_Array,4,false),"&amp;"
    MaxOrTarget, IF(OR(TargetLevel = """",$AD$1 &lt;&gt; ""Target""), MaxLevel, TargetLevel),
    LabLevel, VLOOKUP(AQ79,MS_Labs_Array,2,False),
    DVTColumn, MATCH(AQ79, DVT_Laboratory!$A$1:BO$1, 0),
    xextTime, INDIRECT(""DVT_Laboratory!"" &amp; ADDRESS(LabLe"&amp;"vel+3, DVTColumn)) / LabSpeed,
    remainingTime, SUM(INDIRECT(""DVT_Laboratory!"" &amp; ADDRESS(LabLevel+3, DVTColumn) &amp; "":"" &amp; ADDRESS(MaxOrTarget+2, DVTColumn))) / LabSpeed,
  AQ79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9" s="1249"/>
      <c r="AU79" s="1249"/>
      <c r="AV79" s="1249"/>
      <c r="AW79" s="1249"/>
      <c r="AX79" s="1250" t="str">
        <f>IFERROR(__xludf.DUMMYFUNCTION("if(AW79 &lt;&gt; """", 
  LET( 
    TargetLevel, VLOOKUP(AW79,MS_Labs_Array,3,false),
    MaxLevel, VLOOKUP(AW79,MS_Labs_Array,4,false),
    MaxOrTarget, IF(OR(TargetLevel = """",$AD$1 &lt;&gt; ""Target""), MaxLevel, TargetLevel),
    LabLevel, VLOOKUP(AW79,MS_Labs_A"&amp;"rray,2,False),
    Levelprogress, LabLevel / MaxOrTarget,
    DVTColumn, MATCH(AW79,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9" s="1251" t="str">
        <f>IFERROR(__xludf.DUMMYFUNCTION("if(AW79 &lt;&gt; """", 
  LET(
    TargetLevel, VLOOKUP(AW79,MS_Labs_Array,3,false),
    LabSpeed, (1 * REGEXEXTRACT($BH$1, ""[\d.-]+"")) * {IF(AW79 =""Labs Speed"", 1+'Master Sheet'!$BK$5, LAB_SPEED_TOTAL())},
    MaxLevel, VLOOKUP(AW79,MS_Labs_Array,4,false),"&amp;"
    MaxOrTarget, IF(OR(TargetLevel = """",$AD$1 &lt;&gt; ""Target""), MaxLevel, TargetLevel),
    LabLevel, VLOOKUP(AW79,MS_Labs_Array,2,False),
    DVTColumn, MATCH(AW79, DVT_Laboratory!$A$1:BO$1, 0),
    xextTime, INDIRECT(""DVT_Laboratory!"" &amp; ADDRESS(LabLe"&amp;"vel+3, DVTColumn)) / LabSpeed,
    remainingTime, SUM(INDIRECT(""DVT_Laboratory!"" &amp; ADDRESS(LabLevel+3, DVTColumn) &amp; "":"" &amp; ADDRESS(MaxOrTarget+2, DVTColumn))) / LabSpeed,
  AW79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9" s="1249"/>
      <c r="BA79" s="1249"/>
      <c r="BB79" s="1249"/>
      <c r="BC79" s="1249"/>
      <c r="BD79" s="1250" t="str">
        <f>IFERROR(__xludf.DUMMYFUNCTION("if(BC79 &lt;&gt; """", 
  LET( 
    TargetLevel, VLOOKUP(BC79,MS_Labs_Array,3,false),
    MaxLevel, VLOOKUP(BC79,MS_Labs_Array,4,false),
    MaxOrTarget, IF(OR(TargetLevel = """",$AD$1 &lt;&gt; ""Target""), MaxLevel, TargetLevel),
    LabLevel, VLOOKUP(BC79,MS_Labs_A"&amp;"rray,2,False),
    Levelprogress, LabLevel / MaxOrTarget,
    DVTColumn, MATCH(BC79,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9" s="1251" t="str">
        <f>IFERROR(__xludf.DUMMYFUNCTION("if(BC79 &lt;&gt; """", 
  LET(
    TargetLevel, VLOOKUP(BC79,MS_Labs_Array,3,false),
    LabSpeed, (1 * REGEXEXTRACT($BH$1, ""[\d.-]+"")) * {IF(BC79 =""Labs Speed"", 1+'Master Sheet'!$BK$5, LAB_SPEED_TOTAL())},
    MaxLevel, VLOOKUP(BC79,MS_Labs_Array,4,false),"&amp;"
    MaxOrTarget, IF(OR(TargetLevel = """",$AD$1 &lt;&gt; ""Target""), MaxLevel, TargetLevel),
    LabLevel, VLOOKUP(BC79,MS_Labs_Array,2,False),
    DVTColumn, MATCH(BC79, DVT_Laboratory!$A$1:BO$1, 0),
    xextTime, INDIRECT(""DVT_Laboratory!"" &amp; ADDRESS(LabLe"&amp;"vel+3, DVTColumn)) / LabSpeed,
    remainingTime, SUM(INDIRECT(""DVT_Laboratory!"" &amp; ADDRESS(LabLevel+3, DVTColumn) &amp; "":"" &amp; ADDRESS(MaxOrTarget+2, DVTColumn))) / LabSpeed,
  BC79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9" s="1249"/>
      <c r="BG79" s="1249"/>
      <c r="BH79" s="1260" t="str">
        <f>IFERROR(__xludf.DUMMYFUNCTION("""COMPUTED_VALUE"""),"Perk Option Quantity")</f>
        <v>Perk Option Quantity</v>
      </c>
      <c r="BI79" s="1252"/>
      <c r="BJ79" s="1253" t="str">
        <f>IFERROR(__xludf.DUMMYFUNCTION("if(BI79 &lt;&gt; """", 
  LET( 
    TargetLevel, VLOOKUP(BI79,MS_Labs_Array,3,false),
    MaxLevel, VLOOKUP(BI79,MS_Labs_Array,4,false),
    MaxOrTarget, IF(OR(TargetLevel = """",$AD$1 &lt;&gt; ""Target""), MaxLevel, TargetLevel),
    LabLevel, VLOOKUP(BI79,MS_Labs_A"&amp;"rray,2,False),
    Levelprogress, IF(LabLevel &gt;= MaxOrTarget, 1, LabLevel / MaxOrTarget),
    DVTColumn, MATCH(BI79,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9" s="1254" t="str">
        <f>IFERROR(__xludf.DUMMYFUNCTION("if(BI79 &lt;&gt; """", 
  LET(
    TargetLevel, VLOOKUP(BI79,MS_Labs_Array,3,false),
    LabSpeed, (1 * REGEXEXTRACT($BH$1, ""[\d.-]+"")) * {IF(BI79 =""Labs Speed"", 1+'Master Sheet'!$BK$5, LAB_SPEED_TOTAL())},
    MaxLevel, VLOOKUP(BI79,MS_Labs_Array,4,false),"&amp;"
    MaxOrTarget, IF(OR(TargetLevel = """",$AD$1 &lt;&gt; ""Target""), MaxLevel, TargetLevel),
    LabLevel, VLOOKUP(BI79,MS_Labs_Array,2,False),
    DVTColumn, MATCH(BI79, DVT_Laboratory!$A$1:BO$1, 0),
    xextTime, INDIRECT(""DVT_Laboratory!"" &amp; ADDRESS(LabLe"&amp;"vel+3, DVTColumn)) / LabSpeed,
    remainingTime, SUM(INDIRECT(""DVT_Laboratory!"" &amp; ADDRESS(LabLevel+3, DVTColumn) &amp; "":"" &amp; ADDRESS(MaxOrTarget+2, DVTColumn))) / LabSpeed,
  BI79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9" s="1252"/>
      <c r="BM79" s="1252" t="str">
        <f>IFERROR(__xludf.DUMMYFUNCTION("""COMPUTED_VALUE"""),"Reduces RNG in perks by a lot")</f>
        <v>Reduces RNG in perks by a lot</v>
      </c>
      <c r="BN79" s="1222"/>
      <c r="BO79" s="1261"/>
    </row>
    <row r="80" ht="7.5" customHeight="1">
      <c r="A80" s="1222"/>
      <c r="B80" s="1257"/>
      <c r="C80" s="1304" t="s">
        <v>338</v>
      </c>
      <c r="D80" s="1280" t="str">
        <f>VLOOKUP(C80,'Remote Tier List'!A:D, 2, FALSE)</f>
        <v>B</v>
      </c>
      <c r="E80" s="1281" t="str">
        <f>VLOOKUP(C80,'Remote Tier List'!A:D, 3, FALSE)</f>
        <v/>
      </c>
      <c r="F80" s="1284" t="str">
        <f>VLOOKUP(C80,'Remote Tier List'!A:D, 4, FALSE)</f>
        <v>The more the better however be wary as it can be harmful without perma CF</v>
      </c>
      <c r="G80" s="1245" t="b">
        <f>IFERROR(AND(VLOOKUP("Tier 7",'_IDS'!$BZ$3:$DT$23, 2, FALSE) &gt; 90,  IDS_UW_OWN("Chrono Field")), true)</f>
        <v>1</v>
      </c>
      <c r="H80" s="1246" t="str">
        <f t="array" ref="H80:I80">LET(
  Lab, $C80,
  Mode, $AD$1,
  Level, VLOOKUP(Lab, MS_Labs_Array, 2, FALSE),
  Target, VLOOKUP(Lab, MS_Labs_Array, 3, FALSE),
  Max, VLOOKUP(Lab, MS_Labs_Array, 4, FALSE),
  Result,
    IF(
      AND(
        Mode &lt;&gt; "Never",
        Level &gt;= IF(OR(Target = "", Mode = "Max"), Max, Target)
      ),
      "Completed",
      ""
    ),
  HSTACK(
    IF(Result &lt;&gt; "", Result, $D80),
    IF(Result &lt;&gt; "", Result, IF($E80 = "", $D80, $E80))
  )
)</f>
        <v>B</v>
      </c>
      <c r="I80" s="1247" t="s">
        <v>546</v>
      </c>
      <c r="J80" s="1248" t="str">
        <f t="shared" si="18"/>
        <v>The more the better however be wary as it can be harmful without perma CF</v>
      </c>
      <c r="K80" s="1229"/>
      <c r="L80" s="1249" t="str">
        <f>IFERROR(__xludf.DUMMYFUNCTION("""COMPUTED_VALUE"""),"")</f>
        <v/>
      </c>
      <c r="M80" s="1249"/>
      <c r="N80" s="1250" t="str">
        <f>IFERROR(__xludf.DUMMYFUNCTION("if(M80 &lt;&gt; """", 
  LET( 
    TargetLevel, VLOOKUP(M80,MS_Labs_Array,3,false),
    MaxLevel, VLOOKUP(M80,MS_Labs_Array,4,false),
    MaxOrTarget, IF(OR(TargetLevel = """",$AD$1 &lt;&gt; ""Target""), MaxLevel, TargetLevel),
    LabLevel, VLOOKUP(M80,MS_Labs_Array"&amp;",2,False),
    Levelprogress, LabLevel / MaxOrTarget,
    DVTColumn, MATCH(M80,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0" s="1251" t="str">
        <f>IFERROR(__xludf.DUMMYFUNCTION("if(M80 &lt;&gt; """", 
  LET(
    TargetLevel, VLOOKUP(M80,MS_Labs_Array,3,false),
    LabSpeed, (1 * REGEXEXTRACT($BH$1, ""[\d.-]+"")) * {IF(M80 =""Labs Speed"", 1+'Master Sheet'!$BK$5, LAB_SPEED_TOTAL())},
    MaxLevel, VLOOKUP(M80,MS_Labs_Array,4,false),
   "&amp;" MaxOrTarget, IF(OR(TargetLevel = """",$AD$1 &lt;&gt; ""Target""), MaxLevel, TargetLevel),
    LabLevel, VLOOKUP(M80,MS_Labs_Array,2,False),
    DVTColumn, MATCH(M80, DVT_Laboratory!$A$1:BO$1, 0),
    xextTime, INDIRECT(""DVT_Laboratory!"" &amp; ADDRESS(LabLevel+3,"&amp;" DVTColumn)) / LabSpeed,
    remainingTime, SUM(INDIRECT(""DVT_Laboratory!"" &amp; ADDRESS(LabLevel+3, DVTColumn) &amp; "":"" &amp; ADDRESS(MaxOrTarget+2, DVTColumn))) / LabSpeed,
  M80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0" s="1249"/>
      <c r="Q80" s="1249" t="str">
        <f>IFERROR(__xludf.DUMMYFUNCTION("""COMPUTED_VALUE"""),"")</f>
        <v/>
      </c>
      <c r="R80" s="1249" t="str">
        <f>IFERROR(__xludf.DUMMYFUNCTION("""COMPUTED_VALUE"""),"")</f>
        <v/>
      </c>
      <c r="S80" s="1249"/>
      <c r="T80" s="1250" t="str">
        <f>IFERROR(__xludf.DUMMYFUNCTION("if(S80 &lt;&gt; """", 
  LET( 
    TargetLevel, VLOOKUP(S80,MS_Labs_Array,3,false),
    MaxLevel, VLOOKUP(S80,MS_Labs_Array,4,false),
    MaxOrTarget, IF(OR(TargetLevel = """",$AD$1 &lt;&gt; ""Target""), MaxLevel, TargetLevel),
    LabLevel, VLOOKUP(S80,MS_Labs_Array"&amp;",2,False),
    Levelprogress, LabLevel / MaxOrTarget,
    DVTColumn, MATCH(S80,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0" s="1251" t="str">
        <f>IFERROR(__xludf.DUMMYFUNCTION("if(S80 &lt;&gt; """", 
  LET(
    TargetLevel, VLOOKUP(S80,MS_Labs_Array,3,false),
    LabSpeed, (1 * REGEXEXTRACT($BH$1, ""[\d.-]+"")) * {IF(S80 =""Labs Speed"", 1+'Master Sheet'!$BK$5, LAB_SPEED_TOTAL())},
    MaxLevel, VLOOKUP(S80,MS_Labs_Array,4,false),
   "&amp;" MaxOrTarget, IF(OR(TargetLevel = """",$AD$1 &lt;&gt; ""Target""), MaxLevel, TargetLevel),
    LabLevel, VLOOKUP(S80,MS_Labs_Array,2,False),
    DVTColumn, MATCH(S80, DVT_Laboratory!$A$1:BO$1, 0),
    xextTime, INDIRECT(""DVT_Laboratory!"" &amp; ADDRESS(LabLevel+3,"&amp;" DVTColumn)) / LabSpeed,
    remainingTime, SUM(INDIRECT(""DVT_Laboratory!"" &amp; ADDRESS(LabLevel+3, DVTColumn) &amp; "":"" &amp; ADDRESS(MaxOrTarget+2, DVTColumn))) / LabSpeed,
  S80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0" s="1249"/>
      <c r="W80" s="1249" t="str">
        <f>IFERROR(__xludf.DUMMYFUNCTION("""COMPUTED_VALUE"""),"")</f>
        <v/>
      </c>
      <c r="X80" s="1249" t="str">
        <f>IFERROR(__xludf.DUMMYFUNCTION("""COMPUTED_VALUE"""),"")</f>
        <v/>
      </c>
      <c r="Y80" s="1249"/>
      <c r="Z80" s="1250" t="str">
        <f>IFERROR(__xludf.DUMMYFUNCTION("if(Y80 &lt;&gt; """", 
  LET( 
    TargetLevel, VLOOKUP(Y80,MS_Labs_Array,3,false),
    MaxLevel, VLOOKUP(Y80,MS_Labs_Array,4,false),
    MaxOrTarget, IF(OR(TargetLevel = """",$AD$1 &lt;&gt; ""Target""), MaxLevel, TargetLevel),
    LabLevel, VLOOKUP(Y80,MS_Labs_Array"&amp;",2,False),
    Levelprogress, LabLevel / MaxOrTarget,
    DVTColumn, MATCH(Y80,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0" s="1251" t="str">
        <f>IFERROR(__xludf.DUMMYFUNCTION("if(Y80 &lt;&gt; """", 
  LET(
    TargetLevel, VLOOKUP(Y80,MS_Labs_Array,3,false),
    LabSpeed, (1 * REGEXEXTRACT($BH$1, ""[\d.-]+"")) * {IF(Y80 =""Labs Speed"", 1+'Master Sheet'!$BK$5, LAB_SPEED_TOTAL())},
    MaxLevel, VLOOKUP(Y80,MS_Labs_Array,4,false),
   "&amp;" MaxOrTarget, IF(OR(TargetLevel = """",$AD$1 &lt;&gt; ""Target""), MaxLevel, TargetLevel),
    LabLevel, VLOOKUP(Y80,MS_Labs_Array,2,False),
    DVTColumn, MATCH(Y80, DVT_Laboratory!$A$1:BO$1, 0),
    xextTime, INDIRECT(""DVT_Laboratory!"" &amp; ADDRESS(LabLevel+3,"&amp;" DVTColumn)) / LabSpeed,
    remainingTime, SUM(INDIRECT(""DVT_Laboratory!"" &amp; ADDRESS(LabLevel+3, DVTColumn) &amp; "":"" &amp; ADDRESS(MaxOrTarget+2, DVTColumn))) / LabSpeed,
  Y80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0" s="1249"/>
      <c r="AC80" s="1249" t="str">
        <f>IFERROR(__xludf.DUMMYFUNCTION("""COMPUTED_VALUE"""),"")</f>
        <v/>
      </c>
      <c r="AD80" s="1249" t="str">
        <f>IFERROR(__xludf.DUMMYFUNCTION("""COMPUTED_VALUE"""),"")</f>
        <v/>
      </c>
      <c r="AE80" s="1249"/>
      <c r="AF80" s="1250" t="str">
        <f>IFERROR(__xludf.DUMMYFUNCTION("if(AE80 &lt;&gt; """", 
  LET( 
    TargetLevel, VLOOKUP(AE80,MS_Labs_Array,3,false),
    MaxLevel, VLOOKUP(AE80,MS_Labs_Array,4,false),
    MaxOrTarget, IF(OR(TargetLevel = """",$AD$1 &lt;&gt; ""Target""), MaxLevel, TargetLevel),
    LabLevel, VLOOKUP(AE80,MS_Labs_A"&amp;"rray,2,False),
    Levelprogress, LabLevel / MaxOrTarget,
    DVTColumn, MATCH(AE80,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0" s="1251" t="str">
        <f>IFERROR(__xludf.DUMMYFUNCTION("if(AE80 &lt;&gt; """", 
  LET(
    TargetLevel, VLOOKUP(AE80,MS_Labs_Array,3,false),
    LabSpeed, (1 * REGEXEXTRACT($BH$1, ""[\d.-]+"")) * {IF(AE80 =""Labs Speed"", 1+'Master Sheet'!$BK$5, LAB_SPEED_TOTAL())},
    MaxLevel, VLOOKUP(AE80,MS_Labs_Array,4,false),"&amp;"
    MaxOrTarget, IF(OR(TargetLevel = """",$AD$1 &lt;&gt; ""Target""), MaxLevel, TargetLevel),
    LabLevel, VLOOKUP(AE80,MS_Labs_Array,2,False),
    DVTColumn, MATCH(AE80, DVT_Laboratory!$A$1:BO$1, 0),
    xextTime, INDIRECT(""DVT_Laboratory!"" &amp; ADDRESS(LabLe"&amp;"vel+3, DVTColumn)) / LabSpeed,
    remainingTime, SUM(INDIRECT(""DVT_Laboratory!"" &amp; ADDRESS(LabLevel+3, DVTColumn) &amp; "":"" &amp; ADDRESS(MaxOrTarget+2, DVTColumn))) / LabSpeed,
  AE80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0" s="1249"/>
      <c r="AI80" s="1249" t="str">
        <f>IFERROR(__xludf.DUMMYFUNCTION("""COMPUTED_VALUE"""),"")</f>
        <v/>
      </c>
      <c r="AJ80" s="1249" t="str">
        <f>IFERROR(__xludf.DUMMYFUNCTION("""COMPUTED_VALUE"""),"")</f>
        <v/>
      </c>
      <c r="AK80" s="1249"/>
      <c r="AL80" s="1250" t="str">
        <f>IFERROR(__xludf.DUMMYFUNCTION("if(AK80 &lt;&gt; """", 
  LET( 
    TargetLevel, VLOOKUP(AK80,MS_Labs_Array,3,false),
    MaxLevel, VLOOKUP(AK80,MS_Labs_Array,4,false),
    MaxOrTarget, IF(OR(TargetLevel = """",$AD$1 &lt;&gt; ""Target""), MaxLevel, TargetLevel),
    LabLevel, VLOOKUP(AK80,MS_Labs_A"&amp;"rray,2,False),
    Levelprogress, LabLevel / MaxOrTarget,
    DVTColumn, MATCH(AK80,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0" s="1251" t="str">
        <f>IFERROR(__xludf.DUMMYFUNCTION("if(AK80 &lt;&gt; """", 
  LET(
    TargetLevel, VLOOKUP(AK80,MS_Labs_Array,3,false),
    LabSpeed, (1 * REGEXEXTRACT($BH$1, ""[\d.-]+"")) * {IF(AK80 =""Labs Speed"", 1+'Master Sheet'!$BK$5, LAB_SPEED_TOTAL())},
    MaxLevel, VLOOKUP(AK80,MS_Labs_Array,4,false),"&amp;"
    MaxOrTarget, IF(OR(TargetLevel = """",$AD$1 &lt;&gt; ""Target""), MaxLevel, TargetLevel),
    LabLevel, VLOOKUP(AK80,MS_Labs_Array,2,False),
    DVTColumn, MATCH(AK80, DVT_Laboratory!$A$1:BO$1, 0),
    xextTime, INDIRECT(""DVT_Laboratory!"" &amp; ADDRESS(LabLe"&amp;"vel+3, DVTColumn)) / LabSpeed,
    remainingTime, SUM(INDIRECT(""DVT_Laboratory!"" &amp; ADDRESS(LabLevel+3, DVTColumn) &amp; "":"" &amp; ADDRESS(MaxOrTarget+2, DVTColumn))) / LabSpeed,
  AK80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0" s="1249"/>
      <c r="AO80" s="1249" t="str">
        <f>IFERROR(__xludf.DUMMYFUNCTION("""COMPUTED_VALUE"""),"")</f>
        <v/>
      </c>
      <c r="AP80" s="1249" t="str">
        <f>IFERROR(__xludf.DUMMYFUNCTION("""COMPUTED_VALUE"""),"")</f>
        <v/>
      </c>
      <c r="AQ80" s="1249"/>
      <c r="AR80" s="1250" t="str">
        <f>IFERROR(__xludf.DUMMYFUNCTION("if(AQ80 &lt;&gt; """", 
  LET( 
    TargetLevel, VLOOKUP(AQ80,MS_Labs_Array,3,false),
    MaxLevel, VLOOKUP(AQ80,MS_Labs_Array,4,false),
    MaxOrTarget, IF(OR(TargetLevel = """",$AD$1 &lt;&gt; ""Target""), MaxLevel, TargetLevel),
    LabLevel, VLOOKUP(AQ80,MS_Labs_A"&amp;"rray,2,False),
    Levelprogress, LabLevel / MaxOrTarget,
    DVTColumn, MATCH(AQ80,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0" s="1251" t="str">
        <f>IFERROR(__xludf.DUMMYFUNCTION("if(AQ80 &lt;&gt; """", 
  LET(
    TargetLevel, VLOOKUP(AQ80,MS_Labs_Array,3,false),
    LabSpeed, (1 * REGEXEXTRACT($BH$1, ""[\d.-]+"")) * {IF(AQ80 =""Labs Speed"", 1+'Master Sheet'!$BK$5, LAB_SPEED_TOTAL())},
    MaxLevel, VLOOKUP(AQ80,MS_Labs_Array,4,false),"&amp;"
    MaxOrTarget, IF(OR(TargetLevel = """",$AD$1 &lt;&gt; ""Target""), MaxLevel, TargetLevel),
    LabLevel, VLOOKUP(AQ80,MS_Labs_Array,2,False),
    DVTColumn, MATCH(AQ80, DVT_Laboratory!$A$1:BO$1, 0),
    xextTime, INDIRECT(""DVT_Laboratory!"" &amp; ADDRESS(LabLe"&amp;"vel+3, DVTColumn)) / LabSpeed,
    remainingTime, SUM(INDIRECT(""DVT_Laboratory!"" &amp; ADDRESS(LabLevel+3, DVTColumn) &amp; "":"" &amp; ADDRESS(MaxOrTarget+2, DVTColumn))) / LabSpeed,
  AQ80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0" s="1249"/>
      <c r="AU80" s="1249" t="str">
        <f>IFERROR(__xludf.DUMMYFUNCTION("""COMPUTED_VALUE"""),"")</f>
        <v/>
      </c>
      <c r="AV80" s="1249" t="str">
        <f>IFERROR(__xludf.DUMMYFUNCTION("""COMPUTED_VALUE"""),"")</f>
        <v/>
      </c>
      <c r="AW80" s="1249"/>
      <c r="AX80" s="1250" t="str">
        <f>IFERROR(__xludf.DUMMYFUNCTION("if(AW80 &lt;&gt; """", 
  LET( 
    TargetLevel, VLOOKUP(AW80,MS_Labs_Array,3,false),
    MaxLevel, VLOOKUP(AW80,MS_Labs_Array,4,false),
    MaxOrTarget, IF(OR(TargetLevel = """",$AD$1 &lt;&gt; ""Target""), MaxLevel, TargetLevel),
    LabLevel, VLOOKUP(AW80,MS_Labs_A"&amp;"rray,2,False),
    Levelprogress, LabLevel / MaxOrTarget,
    DVTColumn, MATCH(AW80,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0" s="1251" t="str">
        <f>IFERROR(__xludf.DUMMYFUNCTION("if(AW80 &lt;&gt; """", 
  LET(
    TargetLevel, VLOOKUP(AW80,MS_Labs_Array,3,false),
    LabSpeed, (1 * REGEXEXTRACT($BH$1, ""[\d.-]+"")) * {IF(AW80 =""Labs Speed"", 1+'Master Sheet'!$BK$5, LAB_SPEED_TOTAL())},
    MaxLevel, VLOOKUP(AW80,MS_Labs_Array,4,false),"&amp;"
    MaxOrTarget, IF(OR(TargetLevel = """",$AD$1 &lt;&gt; ""Target""), MaxLevel, TargetLevel),
    LabLevel, VLOOKUP(AW80,MS_Labs_Array,2,False),
    DVTColumn, MATCH(AW80, DVT_Laboratory!$A$1:BO$1, 0),
    xextTime, INDIRECT(""DVT_Laboratory!"" &amp; ADDRESS(LabLe"&amp;"vel+3, DVTColumn)) / LabSpeed,
    remainingTime, SUM(INDIRECT(""DVT_Laboratory!"" &amp; ADDRESS(LabLevel+3, DVTColumn) &amp; "":"" &amp; ADDRESS(MaxOrTarget+2, DVTColumn))) / LabSpeed,
  AW80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0" s="1249"/>
      <c r="BA80" s="1249" t="str">
        <f>IFERROR(__xludf.DUMMYFUNCTION("""COMPUTED_VALUE"""),"")</f>
        <v/>
      </c>
      <c r="BB80" s="1249" t="str">
        <f>IFERROR(__xludf.DUMMYFUNCTION("""COMPUTED_VALUE"""),"")</f>
        <v/>
      </c>
      <c r="BC80" s="1249"/>
      <c r="BD80" s="1250" t="str">
        <f>IFERROR(__xludf.DUMMYFUNCTION("if(BC80 &lt;&gt; """", 
  LET( 
    TargetLevel, VLOOKUP(BC80,MS_Labs_Array,3,false),
    MaxLevel, VLOOKUP(BC80,MS_Labs_Array,4,false),
    MaxOrTarget, IF(OR(TargetLevel = """",$AD$1 &lt;&gt; ""Target""), MaxLevel, TargetLevel),
    LabLevel, VLOOKUP(BC80,MS_Labs_A"&amp;"rray,2,False),
    Levelprogress, LabLevel / MaxOrTarget,
    DVTColumn, MATCH(BC80,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0" s="1251" t="str">
        <f>IFERROR(__xludf.DUMMYFUNCTION("if(BC80 &lt;&gt; """", 
  LET(
    TargetLevel, VLOOKUP(BC80,MS_Labs_Array,3,false),
    LabSpeed, (1 * REGEXEXTRACT($BH$1, ""[\d.-]+"")) * {IF(BC80 =""Labs Speed"", 1+'Master Sheet'!$BK$5, LAB_SPEED_TOTAL())},
    MaxLevel, VLOOKUP(BC80,MS_Labs_Array,4,false),"&amp;"
    MaxOrTarget, IF(OR(TargetLevel = """",$AD$1 &lt;&gt; ""Target""), MaxLevel, TargetLevel),
    LabLevel, VLOOKUP(BC80,MS_Labs_Array,2,False),
    DVTColumn, MATCH(BC80, DVT_Laboratory!$A$1:BO$1, 0),
    xextTime, INDIRECT(""DVT_Laboratory!"" &amp; ADDRESS(LabLe"&amp;"vel+3, DVTColumn)) / LabSpeed,
    remainingTime, SUM(INDIRECT(""DVT_Laboratory!"" &amp; ADDRESS(LabLevel+3, DVTColumn) &amp; "":"" &amp; ADDRESS(MaxOrTarget+2, DVTColumn))) / LabSpeed,
  BC80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0" s="1249"/>
      <c r="BG80" s="1249" t="str">
        <f>IFERROR(__xludf.DUMMYFUNCTION("""COMPUTED_VALUE"""),"")</f>
        <v/>
      </c>
      <c r="BH80" s="1260" t="str">
        <f>IFERROR(__xludf.DUMMYFUNCTION("""COMPUTED_VALUE"""),"")</f>
        <v/>
      </c>
      <c r="BI80" s="1252"/>
      <c r="BJ80" s="1253" t="str">
        <f>IFERROR(__xludf.DUMMYFUNCTION("if(BI80 &lt;&gt; """", 
  LET( 
    TargetLevel, VLOOKUP(BI80,MS_Labs_Array,3,false),
    MaxLevel, VLOOKUP(BI80,MS_Labs_Array,4,false),
    MaxOrTarget, IF(OR(TargetLevel = """",$AD$1 &lt;&gt; ""Target""), MaxLevel, TargetLevel),
    LabLevel, VLOOKUP(BI80,MS_Labs_A"&amp;"rray,2,False),
    Levelprogress, IF(LabLevel &gt;= MaxOrTarget, 1, LabLevel / MaxOrTarget),
    DVTColumn, MATCH(BI80,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0" s="1254" t="str">
        <f>IFERROR(__xludf.DUMMYFUNCTION("if(BI80 &lt;&gt; """", 
  LET(
    TargetLevel, VLOOKUP(BI80,MS_Labs_Array,3,false),
    LabSpeed, (1 * REGEXEXTRACT($BH$1, ""[\d.-]+"")) * {IF(BI80 =""Labs Speed"", 1+'Master Sheet'!$BK$5, LAB_SPEED_TOTAL())},
    MaxLevel, VLOOKUP(BI80,MS_Labs_Array,4,false),"&amp;"
    MaxOrTarget, IF(OR(TargetLevel = """",$AD$1 &lt;&gt; ""Target""), MaxLevel, TargetLevel),
    LabLevel, VLOOKUP(BI80,MS_Labs_Array,2,False),
    DVTColumn, MATCH(BI80, DVT_Laboratory!$A$1:BO$1, 0),
    xextTime, INDIRECT(""DVT_Laboratory!"" &amp; ADDRESS(LabLe"&amp;"vel+3, DVTColumn)) / LabSpeed,
    remainingTime, SUM(INDIRECT(""DVT_Laboratory!"" &amp; ADDRESS(LabLevel+3, DVTColumn) &amp; "":"" &amp; ADDRESS(MaxOrTarget+2, DVTColumn))) / LabSpeed,
  BI80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0" s="1252"/>
      <c r="BM80" s="1252" t="str">
        <f>IFERROR(__xludf.DUMMYFUNCTION("""COMPUTED_VALUE"""),"Perk Option Quantity
  Lab Level:      2 / 2 (Max)
  Next Level:    
  Max Level:     0d 15h 32m")</f>
        <v>Perk Option Quantity
  Lab Level:      2 / 2 (Max)
  Next Level:    
  Max Level:     0d 15h 32m</v>
      </c>
      <c r="BN80" s="1222"/>
      <c r="BO80" s="1261"/>
    </row>
    <row r="81">
      <c r="A81" s="1222"/>
      <c r="B81" s="1257"/>
      <c r="C81" s="1304" t="s">
        <v>343</v>
      </c>
      <c r="D81" s="1280" t="str">
        <f>VLOOKUP(C81,'Remote Tier List'!A:D, 2, FALSE)</f>
        <v>B</v>
      </c>
      <c r="E81" s="1281" t="str">
        <f>VLOOKUP(C81,'Remote Tier List'!A:D, 3, FALSE)</f>
        <v/>
      </c>
      <c r="F81" s="1284" t="str">
        <f>VLOOKUP(C81,'Remote Tier List'!A:D, 4, FALSE)</f>
        <v>Adds an essential SM-only damage multiplier</v>
      </c>
      <c r="G81" s="1245" t="b">
        <f>IFERROR(AND(VLOOKUP("Tier 7",'_IDS'!$BZ$3:$DT$23, 2, FALSE) &gt; 30,IDS_UW_OWN("Smart Missiles")), true)</f>
        <v>0</v>
      </c>
      <c r="H81" s="1246" t="str">
        <f t="array" ref="H81:I81">LET(
  Lab, $C81,
  Mode, $AD$1,
  Level, VLOOKUP(Lab, MS_Labs_Array, 2, FALSE),
  Target, VLOOKUP(Lab, MS_Labs_Array, 3, FALSE),
  Max, VLOOKUP(Lab, MS_Labs_Array, 4, FALSE),
  Result,
    IF(
      AND(
        Mode &lt;&gt; "Never",
        Level &gt;= IF(OR(Target = "", Mode = "Max"), Max, Target)
      ),
      "Completed",
      ""
    ),
  HSTACK(
    IF(Result &lt;&gt; "", Result, $D81),
    IF(Result &lt;&gt; "", Result, IF($E81 = "", $D81, $E81))
  )
)</f>
        <v>B</v>
      </c>
      <c r="I81" s="1247" t="s">
        <v>546</v>
      </c>
      <c r="J81" s="1248" t="str">
        <f t="shared" si="18"/>
        <v>Adds an essential SM-only damage multiplier</v>
      </c>
      <c r="K81" s="1229"/>
      <c r="L81" s="1249"/>
      <c r="M81" s="1249"/>
      <c r="N81" s="1250" t="str">
        <f>IFERROR(__xludf.DUMMYFUNCTION("if(M81 &lt;&gt; """", 
  LET( 
    TargetLevel, VLOOKUP(M81,MS_Labs_Array,3,false),
    MaxLevel, VLOOKUP(M81,MS_Labs_Array,4,false),
    MaxOrTarget, IF(OR(TargetLevel = """",$AD$1 &lt;&gt; ""Target""), MaxLevel, TargetLevel),
    LabLevel, VLOOKUP(M81,MS_Labs_Array"&amp;",2,False),
    Levelprogress, LabLevel / MaxOrTarget,
    DVTColumn, MATCH(M81,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1" s="1251" t="str">
        <f>IFERROR(__xludf.DUMMYFUNCTION("if(M81 &lt;&gt; """", 
  LET(
    TargetLevel, VLOOKUP(M81,MS_Labs_Array,3,false),
    LabSpeed, (1 * REGEXEXTRACT($BH$1, ""[\d.-]+"")) * {IF(M81 =""Labs Speed"", 1+'Master Sheet'!$BK$5, LAB_SPEED_TOTAL())},
    MaxLevel, VLOOKUP(M81,MS_Labs_Array,4,false),
   "&amp;" MaxOrTarget, IF(OR(TargetLevel = """",$AD$1 &lt;&gt; ""Target""), MaxLevel, TargetLevel),
    LabLevel, VLOOKUP(M81,MS_Labs_Array,2,False),
    DVTColumn, MATCH(M81, DVT_Laboratory!$A$1:BO$1, 0),
    xextTime, INDIRECT(""DVT_Laboratory!"" &amp; ADDRESS(LabLevel+3,"&amp;" DVTColumn)) / LabSpeed,
    remainingTime, SUM(INDIRECT(""DVT_Laboratory!"" &amp; ADDRESS(LabLevel+3, DVTColumn) &amp; "":"" &amp; ADDRESS(MaxOrTarget+2, DVTColumn))) / LabSpeed,
  M81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1" s="1249"/>
      <c r="Q81" s="1249"/>
      <c r="R81" s="1249"/>
      <c r="S81" s="1249"/>
      <c r="T81" s="1250" t="str">
        <f>IFERROR(__xludf.DUMMYFUNCTION("if(S81 &lt;&gt; """", 
  LET( 
    TargetLevel, VLOOKUP(S81,MS_Labs_Array,3,false),
    MaxLevel, VLOOKUP(S81,MS_Labs_Array,4,false),
    MaxOrTarget, IF(OR(TargetLevel = """",$AD$1 &lt;&gt; ""Target""), MaxLevel, TargetLevel),
    LabLevel, VLOOKUP(S81,MS_Labs_Array"&amp;",2,False),
    Levelprogress, LabLevel / MaxOrTarget,
    DVTColumn, MATCH(S81,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1" s="1251" t="str">
        <f>IFERROR(__xludf.DUMMYFUNCTION("if(S81 &lt;&gt; """", 
  LET(
    TargetLevel, VLOOKUP(S81,MS_Labs_Array,3,false),
    LabSpeed, (1 * REGEXEXTRACT($BH$1, ""[\d.-]+"")) * {IF(S81 =""Labs Speed"", 1+'Master Sheet'!$BK$5, LAB_SPEED_TOTAL())},
    MaxLevel, VLOOKUP(S81,MS_Labs_Array,4,false),
   "&amp;" MaxOrTarget, IF(OR(TargetLevel = """",$AD$1 &lt;&gt; ""Target""), MaxLevel, TargetLevel),
    LabLevel, VLOOKUP(S81,MS_Labs_Array,2,False),
    DVTColumn, MATCH(S81, DVT_Laboratory!$A$1:BO$1, 0),
    xextTime, INDIRECT(""DVT_Laboratory!"" &amp; ADDRESS(LabLevel+3,"&amp;" DVTColumn)) / LabSpeed,
    remainingTime, SUM(INDIRECT(""DVT_Laboratory!"" &amp; ADDRESS(LabLevel+3, DVTColumn) &amp; "":"" &amp; ADDRESS(MaxOrTarget+2, DVTColumn))) / LabSpeed,
  S81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1" s="1249"/>
      <c r="W81" s="1249"/>
      <c r="X81" s="1249"/>
      <c r="Y81" s="1249"/>
      <c r="Z81" s="1250" t="str">
        <f>IFERROR(__xludf.DUMMYFUNCTION("if(Y81 &lt;&gt; """", 
  LET( 
    TargetLevel, VLOOKUP(Y81,MS_Labs_Array,3,false),
    MaxLevel, VLOOKUP(Y81,MS_Labs_Array,4,false),
    MaxOrTarget, IF(OR(TargetLevel = """",$AD$1 &lt;&gt; ""Target""), MaxLevel, TargetLevel),
    LabLevel, VLOOKUP(Y81,MS_Labs_Array"&amp;",2,False),
    Levelprogress, LabLevel / MaxOrTarget,
    DVTColumn, MATCH(Y81,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1" s="1251" t="str">
        <f>IFERROR(__xludf.DUMMYFUNCTION("if(Y81 &lt;&gt; """", 
  LET(
    TargetLevel, VLOOKUP(Y81,MS_Labs_Array,3,false),
    LabSpeed, (1 * REGEXEXTRACT($BH$1, ""[\d.-]+"")) * {IF(Y81 =""Labs Speed"", 1+'Master Sheet'!$BK$5, LAB_SPEED_TOTAL())},
    MaxLevel, VLOOKUP(Y81,MS_Labs_Array,4,false),
   "&amp;" MaxOrTarget, IF(OR(TargetLevel = """",$AD$1 &lt;&gt; ""Target""), MaxLevel, TargetLevel),
    LabLevel, VLOOKUP(Y81,MS_Labs_Array,2,False),
    DVTColumn, MATCH(Y81, DVT_Laboratory!$A$1:BO$1, 0),
    xextTime, INDIRECT(""DVT_Laboratory!"" &amp; ADDRESS(LabLevel+3,"&amp;" DVTColumn)) / LabSpeed,
    remainingTime, SUM(INDIRECT(""DVT_Laboratory!"" &amp; ADDRESS(LabLevel+3, DVTColumn) &amp; "":"" &amp; ADDRESS(MaxOrTarget+2, DVTColumn))) / LabSpeed,
  Y81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1" s="1249"/>
      <c r="AC81" s="1249"/>
      <c r="AD81" s="1249"/>
      <c r="AE81" s="1249"/>
      <c r="AF81" s="1250" t="str">
        <f>IFERROR(__xludf.DUMMYFUNCTION("if(AE81 &lt;&gt; """", 
  LET( 
    TargetLevel, VLOOKUP(AE81,MS_Labs_Array,3,false),
    MaxLevel, VLOOKUP(AE81,MS_Labs_Array,4,false),
    MaxOrTarget, IF(OR(TargetLevel = """",$AD$1 &lt;&gt; ""Target""), MaxLevel, TargetLevel),
    LabLevel, VLOOKUP(AE81,MS_Labs_A"&amp;"rray,2,False),
    Levelprogress, LabLevel / MaxOrTarget,
    DVTColumn, MATCH(AE81,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1" s="1251" t="str">
        <f>IFERROR(__xludf.DUMMYFUNCTION("if(AE81 &lt;&gt; """", 
  LET(
    TargetLevel, VLOOKUP(AE81,MS_Labs_Array,3,false),
    LabSpeed, (1 * REGEXEXTRACT($BH$1, ""[\d.-]+"")) * {IF(AE81 =""Labs Speed"", 1+'Master Sheet'!$BK$5, LAB_SPEED_TOTAL())},
    MaxLevel, VLOOKUP(AE81,MS_Labs_Array,4,false),"&amp;"
    MaxOrTarget, IF(OR(TargetLevel = """",$AD$1 &lt;&gt; ""Target""), MaxLevel, TargetLevel),
    LabLevel, VLOOKUP(AE81,MS_Labs_Array,2,False),
    DVTColumn, MATCH(AE81, DVT_Laboratory!$A$1:BO$1, 0),
    xextTime, INDIRECT(""DVT_Laboratory!"" &amp; ADDRESS(LabLe"&amp;"vel+3, DVTColumn)) / LabSpeed,
    remainingTime, SUM(INDIRECT(""DVT_Laboratory!"" &amp; ADDRESS(LabLevel+3, DVTColumn) &amp; "":"" &amp; ADDRESS(MaxOrTarget+2, DVTColumn))) / LabSpeed,
  AE81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1" s="1249"/>
      <c r="AI81" s="1249"/>
      <c r="AJ81" s="1249"/>
      <c r="AK81" s="1249"/>
      <c r="AL81" s="1250" t="str">
        <f>IFERROR(__xludf.DUMMYFUNCTION("if(AK81 &lt;&gt; """", 
  LET( 
    TargetLevel, VLOOKUP(AK81,MS_Labs_Array,3,false),
    MaxLevel, VLOOKUP(AK81,MS_Labs_Array,4,false),
    MaxOrTarget, IF(OR(TargetLevel = """",$AD$1 &lt;&gt; ""Target""), MaxLevel, TargetLevel),
    LabLevel, VLOOKUP(AK81,MS_Labs_A"&amp;"rray,2,False),
    Levelprogress, LabLevel / MaxOrTarget,
    DVTColumn, MATCH(AK81,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1" s="1251" t="str">
        <f>IFERROR(__xludf.DUMMYFUNCTION("if(AK81 &lt;&gt; """", 
  LET(
    TargetLevel, VLOOKUP(AK81,MS_Labs_Array,3,false),
    LabSpeed, (1 * REGEXEXTRACT($BH$1, ""[\d.-]+"")) * {IF(AK81 =""Labs Speed"", 1+'Master Sheet'!$BK$5, LAB_SPEED_TOTAL())},
    MaxLevel, VLOOKUP(AK81,MS_Labs_Array,4,false),"&amp;"
    MaxOrTarget, IF(OR(TargetLevel = """",$AD$1 &lt;&gt; ""Target""), MaxLevel, TargetLevel),
    LabLevel, VLOOKUP(AK81,MS_Labs_Array,2,False),
    DVTColumn, MATCH(AK81, DVT_Laboratory!$A$1:BO$1, 0),
    xextTime, INDIRECT(""DVT_Laboratory!"" &amp; ADDRESS(LabLe"&amp;"vel+3, DVTColumn)) / LabSpeed,
    remainingTime, SUM(INDIRECT(""DVT_Laboratory!"" &amp; ADDRESS(LabLevel+3, DVTColumn) &amp; "":"" &amp; ADDRESS(MaxOrTarget+2, DVTColumn))) / LabSpeed,
  AK81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1" s="1249"/>
      <c r="AO81" s="1249"/>
      <c r="AP81" s="1249"/>
      <c r="AQ81" s="1249"/>
      <c r="AR81" s="1250" t="str">
        <f>IFERROR(__xludf.DUMMYFUNCTION("if(AQ81 &lt;&gt; """", 
  LET( 
    TargetLevel, VLOOKUP(AQ81,MS_Labs_Array,3,false),
    MaxLevel, VLOOKUP(AQ81,MS_Labs_Array,4,false),
    MaxOrTarget, IF(OR(TargetLevel = """",$AD$1 &lt;&gt; ""Target""), MaxLevel, TargetLevel),
    LabLevel, VLOOKUP(AQ81,MS_Labs_A"&amp;"rray,2,False),
    Levelprogress, LabLevel / MaxOrTarget,
    DVTColumn, MATCH(AQ81,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1" s="1251" t="str">
        <f>IFERROR(__xludf.DUMMYFUNCTION("if(AQ81 &lt;&gt; """", 
  LET(
    TargetLevel, VLOOKUP(AQ81,MS_Labs_Array,3,false),
    LabSpeed, (1 * REGEXEXTRACT($BH$1, ""[\d.-]+"")) * {IF(AQ81 =""Labs Speed"", 1+'Master Sheet'!$BK$5, LAB_SPEED_TOTAL())},
    MaxLevel, VLOOKUP(AQ81,MS_Labs_Array,4,false),"&amp;"
    MaxOrTarget, IF(OR(TargetLevel = """",$AD$1 &lt;&gt; ""Target""), MaxLevel, TargetLevel),
    LabLevel, VLOOKUP(AQ81,MS_Labs_Array,2,False),
    DVTColumn, MATCH(AQ81, DVT_Laboratory!$A$1:BO$1, 0),
    xextTime, INDIRECT(""DVT_Laboratory!"" &amp; ADDRESS(LabLe"&amp;"vel+3, DVTColumn)) / LabSpeed,
    remainingTime, SUM(INDIRECT(""DVT_Laboratory!"" &amp; ADDRESS(LabLevel+3, DVTColumn) &amp; "":"" &amp; ADDRESS(MaxOrTarget+2, DVTColumn))) / LabSpeed,
  AQ81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1" s="1249"/>
      <c r="AU81" s="1249"/>
      <c r="AV81" s="1249"/>
      <c r="AW81" s="1249"/>
      <c r="AX81" s="1250" t="str">
        <f>IFERROR(__xludf.DUMMYFUNCTION("if(AW81 &lt;&gt; """", 
  LET( 
    TargetLevel, VLOOKUP(AW81,MS_Labs_Array,3,false),
    MaxLevel, VLOOKUP(AW81,MS_Labs_Array,4,false),
    MaxOrTarget, IF(OR(TargetLevel = """",$AD$1 &lt;&gt; ""Target""), MaxLevel, TargetLevel),
    LabLevel, VLOOKUP(AW81,MS_Labs_A"&amp;"rray,2,False),
    Levelprogress, LabLevel / MaxOrTarget,
    DVTColumn, MATCH(AW81,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1" s="1251" t="str">
        <f>IFERROR(__xludf.DUMMYFUNCTION("if(AW81 &lt;&gt; """", 
  LET(
    TargetLevel, VLOOKUP(AW81,MS_Labs_Array,3,false),
    LabSpeed, (1 * REGEXEXTRACT($BH$1, ""[\d.-]+"")) * {IF(AW81 =""Labs Speed"", 1+'Master Sheet'!$BK$5, LAB_SPEED_TOTAL())},
    MaxLevel, VLOOKUP(AW81,MS_Labs_Array,4,false),"&amp;"
    MaxOrTarget, IF(OR(TargetLevel = """",$AD$1 &lt;&gt; ""Target""), MaxLevel, TargetLevel),
    LabLevel, VLOOKUP(AW81,MS_Labs_Array,2,False),
    DVTColumn, MATCH(AW81, DVT_Laboratory!$A$1:BO$1, 0),
    xextTime, INDIRECT(""DVT_Laboratory!"" &amp; ADDRESS(LabLe"&amp;"vel+3, DVTColumn)) / LabSpeed,
    remainingTime, SUM(INDIRECT(""DVT_Laboratory!"" &amp; ADDRESS(LabLevel+3, DVTColumn) &amp; "":"" &amp; ADDRESS(MaxOrTarget+2, DVTColumn))) / LabSpeed,
  AW81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1" s="1249"/>
      <c r="BA81" s="1249"/>
      <c r="BB81" s="1249"/>
      <c r="BC81" s="1249"/>
      <c r="BD81" s="1250" t="str">
        <f>IFERROR(__xludf.DUMMYFUNCTION("if(BC81 &lt;&gt; """", 
  LET( 
    TargetLevel, VLOOKUP(BC81,MS_Labs_Array,3,false),
    MaxLevel, VLOOKUP(BC81,MS_Labs_Array,4,false),
    MaxOrTarget, IF(OR(TargetLevel = """",$AD$1 &lt;&gt; ""Target""), MaxLevel, TargetLevel),
    LabLevel, VLOOKUP(BC81,MS_Labs_A"&amp;"rray,2,False),
    Levelprogress, LabLevel / MaxOrTarget,
    DVTColumn, MATCH(BC81,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1" s="1251" t="str">
        <f>IFERROR(__xludf.DUMMYFUNCTION("if(BC81 &lt;&gt; """", 
  LET(
    TargetLevel, VLOOKUP(BC81,MS_Labs_Array,3,false),
    LabSpeed, (1 * REGEXEXTRACT($BH$1, ""[\d.-]+"")) * {IF(BC81 =""Labs Speed"", 1+'Master Sheet'!$BK$5, LAB_SPEED_TOTAL())},
    MaxLevel, VLOOKUP(BC81,MS_Labs_Array,4,false),"&amp;"
    MaxOrTarget, IF(OR(TargetLevel = """",$AD$1 &lt;&gt; ""Target""), MaxLevel, TargetLevel),
    LabLevel, VLOOKUP(BC81,MS_Labs_Array,2,False),
    DVTColumn, MATCH(BC81, DVT_Laboratory!$A$1:BO$1, 0),
    xextTime, INDIRECT(""DVT_Laboratory!"" &amp; ADDRESS(LabLe"&amp;"vel+3, DVTColumn)) / LabSpeed,
    remainingTime, SUM(INDIRECT(""DVT_Laboratory!"" &amp; ADDRESS(LabLevel+3, DVTColumn) &amp; "":"" &amp; ADDRESS(MaxOrTarget+2, DVTColumn))) / LabSpeed,
  BC81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1" s="1249"/>
      <c r="BG81" s="1249"/>
      <c r="BH81" s="1260" t="str">
        <f>IFERROR(__xludf.DUMMYFUNCTION("""COMPUTED_VALUE"""),"First Perk Choice")</f>
        <v>First Perk Choice</v>
      </c>
      <c r="BI81" s="1252"/>
      <c r="BJ81" s="1253" t="str">
        <f>IFERROR(__xludf.DUMMYFUNCTION("if(BI81 &lt;&gt; """", 
  LET( 
    TargetLevel, VLOOKUP(BI81,MS_Labs_Array,3,false),
    MaxLevel, VLOOKUP(BI81,MS_Labs_Array,4,false),
    MaxOrTarget, IF(OR(TargetLevel = """",$AD$1 &lt;&gt; ""Target""), MaxLevel, TargetLevel),
    LabLevel, VLOOKUP(BI81,MS_Labs_A"&amp;"rray,2,False),
    Levelprogress, IF(LabLevel &gt;= MaxOrTarget, 1, LabLevel / MaxOrTarget),
    DVTColumn, MATCH(BI81,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1" s="1254" t="str">
        <f>IFERROR(__xludf.DUMMYFUNCTION("if(BI81 &lt;&gt; """", 
  LET(
    TargetLevel, VLOOKUP(BI81,MS_Labs_Array,3,false),
    LabSpeed, (1 * REGEXEXTRACT($BH$1, ""[\d.-]+"")) * {IF(BI81 =""Labs Speed"", 1+'Master Sheet'!$BK$5, LAB_SPEED_TOTAL())},
    MaxLevel, VLOOKUP(BI81,MS_Labs_Array,4,false),"&amp;"
    MaxOrTarget, IF(OR(TargetLevel = """",$AD$1 &lt;&gt; ""Target""), MaxLevel, TargetLevel),
    LabLevel, VLOOKUP(BI81,MS_Labs_Array,2,False),
    DVTColumn, MATCH(BI81, DVT_Laboratory!$A$1:BO$1, 0),
    xextTime, INDIRECT(""DVT_Laboratory!"" &amp; ADDRESS(LabLe"&amp;"vel+3, DVTColumn)) / LabSpeed,
    remainingTime, SUM(INDIRECT(""DVT_Laboratory!"" &amp; ADDRESS(LabLevel+3, DVTColumn) &amp; "":"" &amp; ADDRESS(MaxOrTarget+2, DVTColumn))) / LabSpeed,
  BI81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1" s="1252"/>
      <c r="BM81" s="1252" t="str">
        <f>IFERROR(__xludf.DUMMYFUNCTION("""COMPUTED_VALUE"""),"Guarantees you can get PWR first in farm runs")</f>
        <v>Guarantees you can get PWR first in farm runs</v>
      </c>
      <c r="BN81" s="1222"/>
      <c r="BO81" s="1261"/>
    </row>
    <row r="82" ht="7.5" customHeight="1">
      <c r="A82" s="1222"/>
      <c r="B82" s="1262" t="s">
        <v>562</v>
      </c>
      <c r="C82" s="1304" t="s">
        <v>346</v>
      </c>
      <c r="D82" s="1280" t="str">
        <f>VLOOKUP(C82,'Remote Tier List'!A:D, 2, FALSE)</f>
        <v>D</v>
      </c>
      <c r="E82" s="1281" t="str">
        <f>VLOOKUP(C82,'Remote Tier List'!A:D, 3, FALSE)</f>
        <v/>
      </c>
      <c r="F82" s="1284" t="str">
        <f>VLOOKUP(C82,'Remote Tier List'!A:D, 4, FALSE)</f>
        <v>SM based Panic Button. Helpful with "SM hits" event mission</v>
      </c>
      <c r="G82" s="1245" t="b">
        <f>IFERROR(AND(VLOOKUP("Tier 8",'_IDS'!$BZ$3:$DT$23, 2, FALSE) &gt; 50,  IDS_UW_OWN("Smart Missiles")), true)</f>
        <v>0</v>
      </c>
      <c r="H82" s="1246" t="str">
        <f t="array" ref="H82:I82">LET(
  Lab, $C82,
  Mode, $AD$1,
  Level, VLOOKUP(Lab, MS_Labs_Array, 2, FALSE),
  Target, VLOOKUP(Lab, MS_Labs_Array, 3, FALSE),
  Max, VLOOKUP(Lab, MS_Labs_Array, 4, FALSE),
  Result,
    IF(
      AND(
        Mode &lt;&gt; "Never",
        Level &gt;= IF(OR(Target = "", Mode = "Max"), Max, Target)
      ),
      "Completed",
      ""
    ),
  HSTACK(
    IF(Result &lt;&gt; "", Result, $D82),
    IF(Result &lt;&gt; "", Result, IF($E82 = "", $D82, $E82))
  )
)</f>
        <v>D</v>
      </c>
      <c r="I82" s="1247" t="s">
        <v>548</v>
      </c>
      <c r="J82" s="1248" t="str">
        <f t="shared" si="18"/>
        <v>SM based Panic Button. Helpful with "SM hits" event mission</v>
      </c>
      <c r="K82" s="1229"/>
      <c r="L82" s="1249" t="str">
        <f>IFERROR(__xludf.DUMMYFUNCTION("""COMPUTED_VALUE"""),"")</f>
        <v/>
      </c>
      <c r="M82" s="1249"/>
      <c r="N82" s="1250" t="str">
        <f>IFERROR(__xludf.DUMMYFUNCTION("if(M82 &lt;&gt; """", 
  LET( 
    TargetLevel, VLOOKUP(M82,MS_Labs_Array,3,false),
    MaxLevel, VLOOKUP(M82,MS_Labs_Array,4,false),
    MaxOrTarget, IF(OR(TargetLevel = """",$AD$1 &lt;&gt; ""Target""), MaxLevel, TargetLevel),
    LabLevel, VLOOKUP(M82,MS_Labs_Array"&amp;",2,False),
    Levelprogress, LabLevel / MaxOrTarget,
    DVTColumn, MATCH(M82,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2" s="1251" t="str">
        <f>IFERROR(__xludf.DUMMYFUNCTION("if(M82 &lt;&gt; """", 
  LET(
    TargetLevel, VLOOKUP(M82,MS_Labs_Array,3,false),
    LabSpeed, (1 * REGEXEXTRACT($BH$1, ""[\d.-]+"")) * {IF(M82 =""Labs Speed"", 1+'Master Sheet'!$BK$5, LAB_SPEED_TOTAL())},
    MaxLevel, VLOOKUP(M82,MS_Labs_Array,4,false),
   "&amp;" MaxOrTarget, IF(OR(TargetLevel = """",$AD$1 &lt;&gt; ""Target""), MaxLevel, TargetLevel),
    LabLevel, VLOOKUP(M82,MS_Labs_Array,2,False),
    DVTColumn, MATCH(M82, DVT_Laboratory!$A$1:BO$1, 0),
    xextTime, INDIRECT(""DVT_Laboratory!"" &amp; ADDRESS(LabLevel+3,"&amp;" DVTColumn)) / LabSpeed,
    remainingTime, SUM(INDIRECT(""DVT_Laboratory!"" &amp; ADDRESS(LabLevel+3, DVTColumn) &amp; "":"" &amp; ADDRESS(MaxOrTarget+2, DVTColumn))) / LabSpeed,
  M82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2" s="1249"/>
      <c r="Q82" s="1249" t="str">
        <f>IFERROR(__xludf.DUMMYFUNCTION("""COMPUTED_VALUE"""),"")</f>
        <v/>
      </c>
      <c r="R82" s="1249" t="str">
        <f>IFERROR(__xludf.DUMMYFUNCTION("""COMPUTED_VALUE"""),"")</f>
        <v/>
      </c>
      <c r="S82" s="1249"/>
      <c r="T82" s="1250" t="str">
        <f>IFERROR(__xludf.DUMMYFUNCTION("if(S82 &lt;&gt; """", 
  LET( 
    TargetLevel, VLOOKUP(S82,MS_Labs_Array,3,false),
    MaxLevel, VLOOKUP(S82,MS_Labs_Array,4,false),
    MaxOrTarget, IF(OR(TargetLevel = """",$AD$1 &lt;&gt; ""Target""), MaxLevel, TargetLevel),
    LabLevel, VLOOKUP(S82,MS_Labs_Array"&amp;",2,False),
    Levelprogress, LabLevel / MaxOrTarget,
    DVTColumn, MATCH(S82,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2" s="1251" t="str">
        <f>IFERROR(__xludf.DUMMYFUNCTION("if(S82 &lt;&gt; """", 
  LET(
    TargetLevel, VLOOKUP(S82,MS_Labs_Array,3,false),
    LabSpeed, (1 * REGEXEXTRACT($BH$1, ""[\d.-]+"")) * {IF(S82 =""Labs Speed"", 1+'Master Sheet'!$BK$5, LAB_SPEED_TOTAL())},
    MaxLevel, VLOOKUP(S82,MS_Labs_Array,4,false),
   "&amp;" MaxOrTarget, IF(OR(TargetLevel = """",$AD$1 &lt;&gt; ""Target""), MaxLevel, TargetLevel),
    LabLevel, VLOOKUP(S82,MS_Labs_Array,2,False),
    DVTColumn, MATCH(S82, DVT_Laboratory!$A$1:BO$1, 0),
    xextTime, INDIRECT(""DVT_Laboratory!"" &amp; ADDRESS(LabLevel+3,"&amp;" DVTColumn)) / LabSpeed,
    remainingTime, SUM(INDIRECT(""DVT_Laboratory!"" &amp; ADDRESS(LabLevel+3, DVTColumn) &amp; "":"" &amp; ADDRESS(MaxOrTarget+2, DVTColumn))) / LabSpeed,
  S82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2" s="1249"/>
      <c r="W82" s="1249" t="str">
        <f>IFERROR(__xludf.DUMMYFUNCTION("""COMPUTED_VALUE"""),"")</f>
        <v/>
      </c>
      <c r="X82" s="1249" t="str">
        <f>IFERROR(__xludf.DUMMYFUNCTION("""COMPUTED_VALUE"""),"")</f>
        <v/>
      </c>
      <c r="Y82" s="1249"/>
      <c r="Z82" s="1250" t="str">
        <f>IFERROR(__xludf.DUMMYFUNCTION("if(Y82 &lt;&gt; """", 
  LET( 
    TargetLevel, VLOOKUP(Y82,MS_Labs_Array,3,false),
    MaxLevel, VLOOKUP(Y82,MS_Labs_Array,4,false),
    MaxOrTarget, IF(OR(TargetLevel = """",$AD$1 &lt;&gt; ""Target""), MaxLevel, TargetLevel),
    LabLevel, VLOOKUP(Y82,MS_Labs_Array"&amp;",2,False),
    Levelprogress, LabLevel / MaxOrTarget,
    DVTColumn, MATCH(Y82,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2" s="1251" t="str">
        <f>IFERROR(__xludf.DUMMYFUNCTION("if(Y82 &lt;&gt; """", 
  LET(
    TargetLevel, VLOOKUP(Y82,MS_Labs_Array,3,false),
    LabSpeed, (1 * REGEXEXTRACT($BH$1, ""[\d.-]+"")) * {IF(Y82 =""Labs Speed"", 1+'Master Sheet'!$BK$5, LAB_SPEED_TOTAL())},
    MaxLevel, VLOOKUP(Y82,MS_Labs_Array,4,false),
   "&amp;" MaxOrTarget, IF(OR(TargetLevel = """",$AD$1 &lt;&gt; ""Target""), MaxLevel, TargetLevel),
    LabLevel, VLOOKUP(Y82,MS_Labs_Array,2,False),
    DVTColumn, MATCH(Y82, DVT_Laboratory!$A$1:BO$1, 0),
    xextTime, INDIRECT(""DVT_Laboratory!"" &amp; ADDRESS(LabLevel+3,"&amp;" DVTColumn)) / LabSpeed,
    remainingTime, SUM(INDIRECT(""DVT_Laboratory!"" &amp; ADDRESS(LabLevel+3, DVTColumn) &amp; "":"" &amp; ADDRESS(MaxOrTarget+2, DVTColumn))) / LabSpeed,
  Y82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2" s="1249"/>
      <c r="AC82" s="1249" t="str">
        <f>IFERROR(__xludf.DUMMYFUNCTION("""COMPUTED_VALUE"""),"")</f>
        <v/>
      </c>
      <c r="AD82" s="1249" t="str">
        <f>IFERROR(__xludf.DUMMYFUNCTION("""COMPUTED_VALUE"""),"")</f>
        <v/>
      </c>
      <c r="AE82" s="1249"/>
      <c r="AF82" s="1250" t="str">
        <f>IFERROR(__xludf.DUMMYFUNCTION("if(AE82 &lt;&gt; """", 
  LET( 
    TargetLevel, VLOOKUP(AE82,MS_Labs_Array,3,false),
    MaxLevel, VLOOKUP(AE82,MS_Labs_Array,4,false),
    MaxOrTarget, IF(OR(TargetLevel = """",$AD$1 &lt;&gt; ""Target""), MaxLevel, TargetLevel),
    LabLevel, VLOOKUP(AE82,MS_Labs_A"&amp;"rray,2,False),
    Levelprogress, LabLevel / MaxOrTarget,
    DVTColumn, MATCH(AE82,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2" s="1251" t="str">
        <f>IFERROR(__xludf.DUMMYFUNCTION("if(AE82 &lt;&gt; """", 
  LET(
    TargetLevel, VLOOKUP(AE82,MS_Labs_Array,3,false),
    LabSpeed, (1 * REGEXEXTRACT($BH$1, ""[\d.-]+"")) * {IF(AE82 =""Labs Speed"", 1+'Master Sheet'!$BK$5, LAB_SPEED_TOTAL())},
    MaxLevel, VLOOKUP(AE82,MS_Labs_Array,4,false),"&amp;"
    MaxOrTarget, IF(OR(TargetLevel = """",$AD$1 &lt;&gt; ""Target""), MaxLevel, TargetLevel),
    LabLevel, VLOOKUP(AE82,MS_Labs_Array,2,False),
    DVTColumn, MATCH(AE82, DVT_Laboratory!$A$1:BO$1, 0),
    xextTime, INDIRECT(""DVT_Laboratory!"" &amp; ADDRESS(LabLe"&amp;"vel+3, DVTColumn)) / LabSpeed,
    remainingTime, SUM(INDIRECT(""DVT_Laboratory!"" &amp; ADDRESS(LabLevel+3, DVTColumn) &amp; "":"" &amp; ADDRESS(MaxOrTarget+2, DVTColumn))) / LabSpeed,
  AE82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2" s="1249"/>
      <c r="AI82" s="1249" t="str">
        <f>IFERROR(__xludf.DUMMYFUNCTION("""COMPUTED_VALUE"""),"")</f>
        <v/>
      </c>
      <c r="AJ82" s="1249" t="str">
        <f>IFERROR(__xludf.DUMMYFUNCTION("""COMPUTED_VALUE"""),"")</f>
        <v/>
      </c>
      <c r="AK82" s="1249"/>
      <c r="AL82" s="1250" t="str">
        <f>IFERROR(__xludf.DUMMYFUNCTION("if(AK82 &lt;&gt; """", 
  LET( 
    TargetLevel, VLOOKUP(AK82,MS_Labs_Array,3,false),
    MaxLevel, VLOOKUP(AK82,MS_Labs_Array,4,false),
    MaxOrTarget, IF(OR(TargetLevel = """",$AD$1 &lt;&gt; ""Target""), MaxLevel, TargetLevel),
    LabLevel, VLOOKUP(AK82,MS_Labs_A"&amp;"rray,2,False),
    Levelprogress, LabLevel / MaxOrTarget,
    DVTColumn, MATCH(AK82,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2" s="1251" t="str">
        <f>IFERROR(__xludf.DUMMYFUNCTION("if(AK82 &lt;&gt; """", 
  LET(
    TargetLevel, VLOOKUP(AK82,MS_Labs_Array,3,false),
    LabSpeed, (1 * REGEXEXTRACT($BH$1, ""[\d.-]+"")) * {IF(AK82 =""Labs Speed"", 1+'Master Sheet'!$BK$5, LAB_SPEED_TOTAL())},
    MaxLevel, VLOOKUP(AK82,MS_Labs_Array,4,false),"&amp;"
    MaxOrTarget, IF(OR(TargetLevel = """",$AD$1 &lt;&gt; ""Target""), MaxLevel, TargetLevel),
    LabLevel, VLOOKUP(AK82,MS_Labs_Array,2,False),
    DVTColumn, MATCH(AK82, DVT_Laboratory!$A$1:BO$1, 0),
    xextTime, INDIRECT(""DVT_Laboratory!"" &amp; ADDRESS(LabLe"&amp;"vel+3, DVTColumn)) / LabSpeed,
    remainingTime, SUM(INDIRECT(""DVT_Laboratory!"" &amp; ADDRESS(LabLevel+3, DVTColumn) &amp; "":"" &amp; ADDRESS(MaxOrTarget+2, DVTColumn))) / LabSpeed,
  AK82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2" s="1249"/>
      <c r="AO82" s="1249" t="str">
        <f>IFERROR(__xludf.DUMMYFUNCTION("""COMPUTED_VALUE"""),"")</f>
        <v/>
      </c>
      <c r="AP82" s="1249" t="str">
        <f>IFERROR(__xludf.DUMMYFUNCTION("""COMPUTED_VALUE"""),"")</f>
        <v/>
      </c>
      <c r="AQ82" s="1249"/>
      <c r="AR82" s="1250" t="str">
        <f>IFERROR(__xludf.DUMMYFUNCTION("if(AQ82 &lt;&gt; """", 
  LET( 
    TargetLevel, VLOOKUP(AQ82,MS_Labs_Array,3,false),
    MaxLevel, VLOOKUP(AQ82,MS_Labs_Array,4,false),
    MaxOrTarget, IF(OR(TargetLevel = """",$AD$1 &lt;&gt; ""Target""), MaxLevel, TargetLevel),
    LabLevel, VLOOKUP(AQ82,MS_Labs_A"&amp;"rray,2,False),
    Levelprogress, LabLevel / MaxOrTarget,
    DVTColumn, MATCH(AQ82,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2" s="1251" t="str">
        <f>IFERROR(__xludf.DUMMYFUNCTION("if(AQ82 &lt;&gt; """", 
  LET(
    TargetLevel, VLOOKUP(AQ82,MS_Labs_Array,3,false),
    LabSpeed, (1 * REGEXEXTRACT($BH$1, ""[\d.-]+"")) * {IF(AQ82 =""Labs Speed"", 1+'Master Sheet'!$BK$5, LAB_SPEED_TOTAL())},
    MaxLevel, VLOOKUP(AQ82,MS_Labs_Array,4,false),"&amp;"
    MaxOrTarget, IF(OR(TargetLevel = """",$AD$1 &lt;&gt; ""Target""), MaxLevel, TargetLevel),
    LabLevel, VLOOKUP(AQ82,MS_Labs_Array,2,False),
    DVTColumn, MATCH(AQ82, DVT_Laboratory!$A$1:BO$1, 0),
    xextTime, INDIRECT(""DVT_Laboratory!"" &amp; ADDRESS(LabLe"&amp;"vel+3, DVTColumn)) / LabSpeed,
    remainingTime, SUM(INDIRECT(""DVT_Laboratory!"" &amp; ADDRESS(LabLevel+3, DVTColumn) &amp; "":"" &amp; ADDRESS(MaxOrTarget+2, DVTColumn))) / LabSpeed,
  AQ82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2" s="1249"/>
      <c r="AU82" s="1249" t="str">
        <f>IFERROR(__xludf.DUMMYFUNCTION("""COMPUTED_VALUE"""),"")</f>
        <v/>
      </c>
      <c r="AV82" s="1249" t="str">
        <f>IFERROR(__xludf.DUMMYFUNCTION("""COMPUTED_VALUE"""),"")</f>
        <v/>
      </c>
      <c r="AW82" s="1249"/>
      <c r="AX82" s="1250" t="str">
        <f>IFERROR(__xludf.DUMMYFUNCTION("if(AW82 &lt;&gt; """", 
  LET( 
    TargetLevel, VLOOKUP(AW82,MS_Labs_Array,3,false),
    MaxLevel, VLOOKUP(AW82,MS_Labs_Array,4,false),
    MaxOrTarget, IF(OR(TargetLevel = """",$AD$1 &lt;&gt; ""Target""), MaxLevel, TargetLevel),
    LabLevel, VLOOKUP(AW82,MS_Labs_A"&amp;"rray,2,False),
    Levelprogress, LabLevel / MaxOrTarget,
    DVTColumn, MATCH(AW82,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2" s="1251" t="str">
        <f>IFERROR(__xludf.DUMMYFUNCTION("if(AW82 &lt;&gt; """", 
  LET(
    TargetLevel, VLOOKUP(AW82,MS_Labs_Array,3,false),
    LabSpeed, (1 * REGEXEXTRACT($BH$1, ""[\d.-]+"")) * {IF(AW82 =""Labs Speed"", 1+'Master Sheet'!$BK$5, LAB_SPEED_TOTAL())},
    MaxLevel, VLOOKUP(AW82,MS_Labs_Array,4,false),"&amp;"
    MaxOrTarget, IF(OR(TargetLevel = """",$AD$1 &lt;&gt; ""Target""), MaxLevel, TargetLevel),
    LabLevel, VLOOKUP(AW82,MS_Labs_Array,2,False),
    DVTColumn, MATCH(AW82, DVT_Laboratory!$A$1:BO$1, 0),
    xextTime, INDIRECT(""DVT_Laboratory!"" &amp; ADDRESS(LabLe"&amp;"vel+3, DVTColumn)) / LabSpeed,
    remainingTime, SUM(INDIRECT(""DVT_Laboratory!"" &amp; ADDRESS(LabLevel+3, DVTColumn) &amp; "":"" &amp; ADDRESS(MaxOrTarget+2, DVTColumn))) / LabSpeed,
  AW82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2" s="1249"/>
      <c r="BA82" s="1249" t="str">
        <f>IFERROR(__xludf.DUMMYFUNCTION("""COMPUTED_VALUE"""),"")</f>
        <v/>
      </c>
      <c r="BB82" s="1249" t="str">
        <f>IFERROR(__xludf.DUMMYFUNCTION("""COMPUTED_VALUE"""),"")</f>
        <v/>
      </c>
      <c r="BC82" s="1249"/>
      <c r="BD82" s="1250" t="str">
        <f>IFERROR(__xludf.DUMMYFUNCTION("if(BC82 &lt;&gt; """", 
  LET( 
    TargetLevel, VLOOKUP(BC82,MS_Labs_Array,3,false),
    MaxLevel, VLOOKUP(BC82,MS_Labs_Array,4,false),
    MaxOrTarget, IF(OR(TargetLevel = """",$AD$1 &lt;&gt; ""Target""), MaxLevel, TargetLevel),
    LabLevel, VLOOKUP(BC82,MS_Labs_A"&amp;"rray,2,False),
    Levelprogress, LabLevel / MaxOrTarget,
    DVTColumn, MATCH(BC82,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2" s="1251" t="str">
        <f>IFERROR(__xludf.DUMMYFUNCTION("if(BC82 &lt;&gt; """", 
  LET(
    TargetLevel, VLOOKUP(BC82,MS_Labs_Array,3,false),
    LabSpeed, (1 * REGEXEXTRACT($BH$1, ""[\d.-]+"")) * {IF(BC82 =""Labs Speed"", 1+'Master Sheet'!$BK$5, LAB_SPEED_TOTAL())},
    MaxLevel, VLOOKUP(BC82,MS_Labs_Array,4,false),"&amp;"
    MaxOrTarget, IF(OR(TargetLevel = """",$AD$1 &lt;&gt; ""Target""), MaxLevel, TargetLevel),
    LabLevel, VLOOKUP(BC82,MS_Labs_Array,2,False),
    DVTColumn, MATCH(BC82, DVT_Laboratory!$A$1:BO$1, 0),
    xextTime, INDIRECT(""DVT_Laboratory!"" &amp; ADDRESS(LabLe"&amp;"vel+3, DVTColumn)) / LabSpeed,
    remainingTime, SUM(INDIRECT(""DVT_Laboratory!"" &amp; ADDRESS(LabLevel+3, DVTColumn) &amp; "":"" &amp; ADDRESS(MaxOrTarget+2, DVTColumn))) / LabSpeed,
  BC82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2" s="1249"/>
      <c r="BG82" s="1249" t="str">
        <f>IFERROR(__xludf.DUMMYFUNCTION("""COMPUTED_VALUE"""),"")</f>
        <v/>
      </c>
      <c r="BH82" s="1260" t="str">
        <f>IFERROR(__xludf.DUMMYFUNCTION("""COMPUTED_VALUE"""),"")</f>
        <v/>
      </c>
      <c r="BI82" s="1252"/>
      <c r="BJ82" s="1253" t="str">
        <f>IFERROR(__xludf.DUMMYFUNCTION("if(BI82 &lt;&gt; """", 
  LET( 
    TargetLevel, VLOOKUP(BI82,MS_Labs_Array,3,false),
    MaxLevel, VLOOKUP(BI82,MS_Labs_Array,4,false),
    MaxOrTarget, IF(OR(TargetLevel = """",$AD$1 &lt;&gt; ""Target""), MaxLevel, TargetLevel),
    LabLevel, VLOOKUP(BI82,MS_Labs_A"&amp;"rray,2,False),
    Levelprogress, IF(LabLevel &gt;= MaxOrTarget, 1, LabLevel / MaxOrTarget),
    DVTColumn, MATCH(BI82,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2" s="1254" t="str">
        <f>IFERROR(__xludf.DUMMYFUNCTION("if(BI82 &lt;&gt; """", 
  LET(
    TargetLevel, VLOOKUP(BI82,MS_Labs_Array,3,false),
    LabSpeed, (1 * REGEXEXTRACT($BH$1, ""[\d.-]+"")) * {IF(BI82 =""Labs Speed"", 1+'Master Sheet'!$BK$5, LAB_SPEED_TOTAL())},
    MaxLevel, VLOOKUP(BI82,MS_Labs_Array,4,false),"&amp;"
    MaxOrTarget, IF(OR(TargetLevel = """",$AD$1 &lt;&gt; ""Target""), MaxLevel, TargetLevel),
    LabLevel, VLOOKUP(BI82,MS_Labs_Array,2,False),
    DVTColumn, MATCH(BI82, DVT_Laboratory!$A$1:BO$1, 0),
    xextTime, INDIRECT(""DVT_Laboratory!"" &amp; ADDRESS(LabLe"&amp;"vel+3, DVTColumn)) / LabSpeed,
    remainingTime, SUM(INDIRECT(""DVT_Laboratory!"" &amp; ADDRESS(LabLevel+3, DVTColumn) &amp; "":"" &amp; ADDRESS(MaxOrTarget+2, DVTColumn))) / LabSpeed,
  BI82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2" s="1252"/>
      <c r="BM82" s="1252" t="str">
        <f>IFERROR(__xludf.DUMMYFUNCTION("""COMPUTED_VALUE"""),"First Perk Choice
  Lab Level:      1 / 1 (Max)
  Next Level:    
  Max Level:     0d  7h  3m")</f>
        <v>First Perk Choice
  Lab Level:      1 / 1 (Max)
  Next Level:    
  Max Level:     0d  7h  3m</v>
      </c>
      <c r="BN82" s="1222"/>
      <c r="BO82" s="1261"/>
    </row>
    <row r="83">
      <c r="A83" s="1222"/>
      <c r="B83" s="1257"/>
      <c r="C83" s="1304" t="s">
        <v>348</v>
      </c>
      <c r="D83" s="1280" t="str">
        <f>VLOOKUP(C83,'Remote Tier List'!A:D, 2, FALSE)</f>
        <v>D</v>
      </c>
      <c r="E83" s="1281" t="str">
        <f>VLOOKUP(C83,'Remote Tier List'!A:D, 3, FALSE)</f>
        <v/>
      </c>
      <c r="F83" s="1284" t="str">
        <f>VLOOKUP(C83,'Remote Tier List'!A:D, 4, FALSE)</f>
        <v>Panic Button gains more missiles</v>
      </c>
      <c r="G83" s="1245" t="b">
        <f>IFERROR(AND(VLOOKUP("Tier 8",'_IDS'!$BZ$3:$DT$23, 2, FALSE) &gt; 50,  IDS_UW_OWN("Smart Missiles")), true)</f>
        <v>0</v>
      </c>
      <c r="H83" s="1246" t="str">
        <f t="array" ref="H83:I83">LET(
  Lab, $C83,
  Mode, $AD$1,
  Level, VLOOKUP(Lab, MS_Labs_Array, 2, FALSE),
  Target, VLOOKUP(Lab, MS_Labs_Array, 3, FALSE),
  Max, VLOOKUP(Lab, MS_Labs_Array, 4, FALSE),
  Result,
    IF(
      AND(
        Mode &lt;&gt; "Never",
        Level &gt;= IF(OR(Target = "", Mode = "Max"), Max, Target)
      ),
      "Completed",
      ""
    ),
  HSTACK(
    IF(Result &lt;&gt; "", Result, $D83),
    IF(Result &lt;&gt; "", Result, IF($E83 = "", $D83, $E83))
  )
)</f>
        <v>D</v>
      </c>
      <c r="I83" s="1247" t="s">
        <v>548</v>
      </c>
      <c r="J83" s="1248" t="str">
        <f t="shared" si="18"/>
        <v>Panic Button gains more missiles</v>
      </c>
      <c r="K83" s="1229"/>
      <c r="L83" s="1249"/>
      <c r="M83" s="1249"/>
      <c r="N83" s="1250" t="str">
        <f>IFERROR(__xludf.DUMMYFUNCTION("if(M83 &lt;&gt; """", 
  LET( 
    TargetLevel, VLOOKUP(M83,MS_Labs_Array,3,false),
    MaxLevel, VLOOKUP(M83,MS_Labs_Array,4,false),
    MaxOrTarget, IF(OR(TargetLevel = """",$AD$1 &lt;&gt; ""Target""), MaxLevel, TargetLevel),
    LabLevel, VLOOKUP(M83,MS_Labs_Array"&amp;",2,False),
    Levelprogress, LabLevel / MaxOrTarget,
    DVTColumn, MATCH(M83,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3" s="1251" t="str">
        <f>IFERROR(__xludf.DUMMYFUNCTION("if(M83 &lt;&gt; """", 
  LET(
    TargetLevel, VLOOKUP(M83,MS_Labs_Array,3,false),
    LabSpeed, (1 * REGEXEXTRACT($BH$1, ""[\d.-]+"")) * {IF(M83 =""Labs Speed"", 1+'Master Sheet'!$BK$5, LAB_SPEED_TOTAL())},
    MaxLevel, VLOOKUP(M83,MS_Labs_Array,4,false),
   "&amp;" MaxOrTarget, IF(OR(TargetLevel = """",$AD$1 &lt;&gt; ""Target""), MaxLevel, TargetLevel),
    LabLevel, VLOOKUP(M83,MS_Labs_Array,2,False),
    DVTColumn, MATCH(M83, DVT_Laboratory!$A$1:BO$1, 0),
    xextTime, INDIRECT(""DVT_Laboratory!"" &amp; ADDRESS(LabLevel+3,"&amp;" DVTColumn)) / LabSpeed,
    remainingTime, SUM(INDIRECT(""DVT_Laboratory!"" &amp; ADDRESS(LabLevel+3, DVTColumn) &amp; "":"" &amp; ADDRESS(MaxOrTarget+2, DVTColumn))) / LabSpeed,
  M83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3" s="1249"/>
      <c r="Q83" s="1249"/>
      <c r="R83" s="1249"/>
      <c r="S83" s="1249"/>
      <c r="T83" s="1250" t="str">
        <f>IFERROR(__xludf.DUMMYFUNCTION("if(S83 &lt;&gt; """", 
  LET( 
    TargetLevel, VLOOKUP(S83,MS_Labs_Array,3,false),
    MaxLevel, VLOOKUP(S83,MS_Labs_Array,4,false),
    MaxOrTarget, IF(OR(TargetLevel = """",$AD$1 &lt;&gt; ""Target""), MaxLevel, TargetLevel),
    LabLevel, VLOOKUP(S83,MS_Labs_Array"&amp;",2,False),
    Levelprogress, LabLevel / MaxOrTarget,
    DVTColumn, MATCH(S83,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3" s="1251" t="str">
        <f>IFERROR(__xludf.DUMMYFUNCTION("if(S83 &lt;&gt; """", 
  LET(
    TargetLevel, VLOOKUP(S83,MS_Labs_Array,3,false),
    LabSpeed, (1 * REGEXEXTRACT($BH$1, ""[\d.-]+"")) * {IF(S83 =""Labs Speed"", 1+'Master Sheet'!$BK$5, LAB_SPEED_TOTAL())},
    MaxLevel, VLOOKUP(S83,MS_Labs_Array,4,false),
   "&amp;" MaxOrTarget, IF(OR(TargetLevel = """",$AD$1 &lt;&gt; ""Target""), MaxLevel, TargetLevel),
    LabLevel, VLOOKUP(S83,MS_Labs_Array,2,False),
    DVTColumn, MATCH(S83, DVT_Laboratory!$A$1:BO$1, 0),
    xextTime, INDIRECT(""DVT_Laboratory!"" &amp; ADDRESS(LabLevel+3,"&amp;" DVTColumn)) / LabSpeed,
    remainingTime, SUM(INDIRECT(""DVT_Laboratory!"" &amp; ADDRESS(LabLevel+3, DVTColumn) &amp; "":"" &amp; ADDRESS(MaxOrTarget+2, DVTColumn))) / LabSpeed,
  S83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3" s="1249"/>
      <c r="W83" s="1249"/>
      <c r="X83" s="1249"/>
      <c r="Y83" s="1249"/>
      <c r="Z83" s="1250" t="str">
        <f>IFERROR(__xludf.DUMMYFUNCTION("if(Y83 &lt;&gt; """", 
  LET( 
    TargetLevel, VLOOKUP(Y83,MS_Labs_Array,3,false),
    MaxLevel, VLOOKUP(Y83,MS_Labs_Array,4,false),
    MaxOrTarget, IF(OR(TargetLevel = """",$AD$1 &lt;&gt; ""Target""), MaxLevel, TargetLevel),
    LabLevel, VLOOKUP(Y83,MS_Labs_Array"&amp;",2,False),
    Levelprogress, LabLevel / MaxOrTarget,
    DVTColumn, MATCH(Y83,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3" s="1251" t="str">
        <f>IFERROR(__xludf.DUMMYFUNCTION("if(Y83 &lt;&gt; """", 
  LET(
    TargetLevel, VLOOKUP(Y83,MS_Labs_Array,3,false),
    LabSpeed, (1 * REGEXEXTRACT($BH$1, ""[\d.-]+"")) * {IF(Y83 =""Labs Speed"", 1+'Master Sheet'!$BK$5, LAB_SPEED_TOTAL())},
    MaxLevel, VLOOKUP(Y83,MS_Labs_Array,4,false),
   "&amp;" MaxOrTarget, IF(OR(TargetLevel = """",$AD$1 &lt;&gt; ""Target""), MaxLevel, TargetLevel),
    LabLevel, VLOOKUP(Y83,MS_Labs_Array,2,False),
    DVTColumn, MATCH(Y83, DVT_Laboratory!$A$1:BO$1, 0),
    xextTime, INDIRECT(""DVT_Laboratory!"" &amp; ADDRESS(LabLevel+3,"&amp;" DVTColumn)) / LabSpeed,
    remainingTime, SUM(INDIRECT(""DVT_Laboratory!"" &amp; ADDRESS(LabLevel+3, DVTColumn) &amp; "":"" &amp; ADDRESS(MaxOrTarget+2, DVTColumn))) / LabSpeed,
  Y83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3" s="1249"/>
      <c r="AC83" s="1249"/>
      <c r="AD83" s="1249"/>
      <c r="AE83" s="1249"/>
      <c r="AF83" s="1250" t="str">
        <f>IFERROR(__xludf.DUMMYFUNCTION("if(AE83 &lt;&gt; """", 
  LET( 
    TargetLevel, VLOOKUP(AE83,MS_Labs_Array,3,false),
    MaxLevel, VLOOKUP(AE83,MS_Labs_Array,4,false),
    MaxOrTarget, IF(OR(TargetLevel = """",$AD$1 &lt;&gt; ""Target""), MaxLevel, TargetLevel),
    LabLevel, VLOOKUP(AE83,MS_Labs_A"&amp;"rray,2,False),
    Levelprogress, LabLevel / MaxOrTarget,
    DVTColumn, MATCH(AE83,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3" s="1251" t="str">
        <f>IFERROR(__xludf.DUMMYFUNCTION("if(AE83 &lt;&gt; """", 
  LET(
    TargetLevel, VLOOKUP(AE83,MS_Labs_Array,3,false),
    LabSpeed, (1 * REGEXEXTRACT($BH$1, ""[\d.-]+"")) * {IF(AE83 =""Labs Speed"", 1+'Master Sheet'!$BK$5, LAB_SPEED_TOTAL())},
    MaxLevel, VLOOKUP(AE83,MS_Labs_Array,4,false),"&amp;"
    MaxOrTarget, IF(OR(TargetLevel = """",$AD$1 &lt;&gt; ""Target""), MaxLevel, TargetLevel),
    LabLevel, VLOOKUP(AE83,MS_Labs_Array,2,False),
    DVTColumn, MATCH(AE83, DVT_Laboratory!$A$1:BO$1, 0),
    xextTime, INDIRECT(""DVT_Laboratory!"" &amp; ADDRESS(LabLe"&amp;"vel+3, DVTColumn)) / LabSpeed,
    remainingTime, SUM(INDIRECT(""DVT_Laboratory!"" &amp; ADDRESS(LabLevel+3, DVTColumn) &amp; "":"" &amp; ADDRESS(MaxOrTarget+2, DVTColumn))) / LabSpeed,
  AE83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3" s="1249"/>
      <c r="AI83" s="1249"/>
      <c r="AJ83" s="1249"/>
      <c r="AK83" s="1249"/>
      <c r="AL83" s="1250" t="str">
        <f>IFERROR(__xludf.DUMMYFUNCTION("if(AK83 &lt;&gt; """", 
  LET( 
    TargetLevel, VLOOKUP(AK83,MS_Labs_Array,3,false),
    MaxLevel, VLOOKUP(AK83,MS_Labs_Array,4,false),
    MaxOrTarget, IF(OR(TargetLevel = """",$AD$1 &lt;&gt; ""Target""), MaxLevel, TargetLevel),
    LabLevel, VLOOKUP(AK83,MS_Labs_A"&amp;"rray,2,False),
    Levelprogress, LabLevel / MaxOrTarget,
    DVTColumn, MATCH(AK83,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3" s="1251" t="str">
        <f>IFERROR(__xludf.DUMMYFUNCTION("if(AK83 &lt;&gt; """", 
  LET(
    TargetLevel, VLOOKUP(AK83,MS_Labs_Array,3,false),
    LabSpeed, (1 * REGEXEXTRACT($BH$1, ""[\d.-]+"")) * {IF(AK83 =""Labs Speed"", 1+'Master Sheet'!$BK$5, LAB_SPEED_TOTAL())},
    MaxLevel, VLOOKUP(AK83,MS_Labs_Array,4,false),"&amp;"
    MaxOrTarget, IF(OR(TargetLevel = """",$AD$1 &lt;&gt; ""Target""), MaxLevel, TargetLevel),
    LabLevel, VLOOKUP(AK83,MS_Labs_Array,2,False),
    DVTColumn, MATCH(AK83, DVT_Laboratory!$A$1:BO$1, 0),
    xextTime, INDIRECT(""DVT_Laboratory!"" &amp; ADDRESS(LabLe"&amp;"vel+3, DVTColumn)) / LabSpeed,
    remainingTime, SUM(INDIRECT(""DVT_Laboratory!"" &amp; ADDRESS(LabLevel+3, DVTColumn) &amp; "":"" &amp; ADDRESS(MaxOrTarget+2, DVTColumn))) / LabSpeed,
  AK83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3" s="1249"/>
      <c r="AO83" s="1249"/>
      <c r="AP83" s="1249"/>
      <c r="AQ83" s="1249"/>
      <c r="AR83" s="1250" t="str">
        <f>IFERROR(__xludf.DUMMYFUNCTION("if(AQ83 &lt;&gt; """", 
  LET( 
    TargetLevel, VLOOKUP(AQ83,MS_Labs_Array,3,false),
    MaxLevel, VLOOKUP(AQ83,MS_Labs_Array,4,false),
    MaxOrTarget, IF(OR(TargetLevel = """",$AD$1 &lt;&gt; ""Target""), MaxLevel, TargetLevel),
    LabLevel, VLOOKUP(AQ83,MS_Labs_A"&amp;"rray,2,False),
    Levelprogress, LabLevel / MaxOrTarget,
    DVTColumn, MATCH(AQ83,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3" s="1251" t="str">
        <f>IFERROR(__xludf.DUMMYFUNCTION("if(AQ83 &lt;&gt; """", 
  LET(
    TargetLevel, VLOOKUP(AQ83,MS_Labs_Array,3,false),
    LabSpeed, (1 * REGEXEXTRACT($BH$1, ""[\d.-]+"")) * {IF(AQ83 =""Labs Speed"", 1+'Master Sheet'!$BK$5, LAB_SPEED_TOTAL())},
    MaxLevel, VLOOKUP(AQ83,MS_Labs_Array,4,false),"&amp;"
    MaxOrTarget, IF(OR(TargetLevel = """",$AD$1 &lt;&gt; ""Target""), MaxLevel, TargetLevel),
    LabLevel, VLOOKUP(AQ83,MS_Labs_Array,2,False),
    DVTColumn, MATCH(AQ83, DVT_Laboratory!$A$1:BO$1, 0),
    xextTime, INDIRECT(""DVT_Laboratory!"" &amp; ADDRESS(LabLe"&amp;"vel+3, DVTColumn)) / LabSpeed,
    remainingTime, SUM(INDIRECT(""DVT_Laboratory!"" &amp; ADDRESS(LabLevel+3, DVTColumn) &amp; "":"" &amp; ADDRESS(MaxOrTarget+2, DVTColumn))) / LabSpeed,
  AQ83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3" s="1249"/>
      <c r="AU83" s="1249"/>
      <c r="AV83" s="1249"/>
      <c r="AW83" s="1249"/>
      <c r="AX83" s="1250" t="str">
        <f>IFERROR(__xludf.DUMMYFUNCTION("if(AW83 &lt;&gt; """", 
  LET( 
    TargetLevel, VLOOKUP(AW83,MS_Labs_Array,3,false),
    MaxLevel, VLOOKUP(AW83,MS_Labs_Array,4,false),
    MaxOrTarget, IF(OR(TargetLevel = """",$AD$1 &lt;&gt; ""Target""), MaxLevel, TargetLevel),
    LabLevel, VLOOKUP(AW83,MS_Labs_A"&amp;"rray,2,False),
    Levelprogress, LabLevel / MaxOrTarget,
    DVTColumn, MATCH(AW83,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3" s="1251" t="str">
        <f>IFERROR(__xludf.DUMMYFUNCTION("if(AW83 &lt;&gt; """", 
  LET(
    TargetLevel, VLOOKUP(AW83,MS_Labs_Array,3,false),
    LabSpeed, (1 * REGEXEXTRACT($BH$1, ""[\d.-]+"")) * {IF(AW83 =""Labs Speed"", 1+'Master Sheet'!$BK$5, LAB_SPEED_TOTAL())},
    MaxLevel, VLOOKUP(AW83,MS_Labs_Array,4,false),"&amp;"
    MaxOrTarget, IF(OR(TargetLevel = """",$AD$1 &lt;&gt; ""Target""), MaxLevel, TargetLevel),
    LabLevel, VLOOKUP(AW83,MS_Labs_Array,2,False),
    DVTColumn, MATCH(AW83, DVT_Laboratory!$A$1:BO$1, 0),
    xextTime, INDIRECT(""DVT_Laboratory!"" &amp; ADDRESS(LabLe"&amp;"vel+3, DVTColumn)) / LabSpeed,
    remainingTime, SUM(INDIRECT(""DVT_Laboratory!"" &amp; ADDRESS(LabLevel+3, DVTColumn) &amp; "":"" &amp; ADDRESS(MaxOrTarget+2, DVTColumn))) / LabSpeed,
  AW83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3" s="1249"/>
      <c r="BA83" s="1249"/>
      <c r="BB83" s="1249"/>
      <c r="BC83" s="1249"/>
      <c r="BD83" s="1250" t="str">
        <f>IFERROR(__xludf.DUMMYFUNCTION("if(BC83 &lt;&gt; """", 
  LET( 
    TargetLevel, VLOOKUP(BC83,MS_Labs_Array,3,false),
    MaxLevel, VLOOKUP(BC83,MS_Labs_Array,4,false),
    MaxOrTarget, IF(OR(TargetLevel = """",$AD$1 &lt;&gt; ""Target""), MaxLevel, TargetLevel),
    LabLevel, VLOOKUP(BC83,MS_Labs_A"&amp;"rray,2,False),
    Levelprogress, LabLevel / MaxOrTarget,
    DVTColumn, MATCH(BC83,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3" s="1251" t="str">
        <f>IFERROR(__xludf.DUMMYFUNCTION("if(BC83 &lt;&gt; """", 
  LET(
    TargetLevel, VLOOKUP(BC83,MS_Labs_Array,3,false),
    LabSpeed, (1 * REGEXEXTRACT($BH$1, ""[\d.-]+"")) * {IF(BC83 =""Labs Speed"", 1+'Master Sheet'!$BK$5, LAB_SPEED_TOTAL())},
    MaxLevel, VLOOKUP(BC83,MS_Labs_Array,4,false),"&amp;"
    MaxOrTarget, IF(OR(TargetLevel = """",$AD$1 &lt;&gt; ""Target""), MaxLevel, TargetLevel),
    LabLevel, VLOOKUP(BC83,MS_Labs_Array,2,False),
    DVTColumn, MATCH(BC83, DVT_Laboratory!$A$1:BO$1, 0),
    xextTime, INDIRECT(""DVT_Laboratory!"" &amp; ADDRESS(LabLe"&amp;"vel+3, DVTColumn)) / LabSpeed,
    remainingTime, SUM(INDIRECT(""DVT_Laboratory!"" &amp; ADDRESS(LabLevel+3, DVTColumn) &amp; "":"" &amp; ADDRESS(MaxOrTarget+2, DVTColumn))) / LabSpeed,
  BC83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3" s="1249"/>
      <c r="BG83" s="1249"/>
      <c r="BH83" s="1260" t="str">
        <f>IFERROR(__xludf.DUMMYFUNCTION("""COMPUTED_VALUE"""),"Improve Trade-off Perks")</f>
        <v>Improve Trade-off Perks</v>
      </c>
      <c r="BI83" s="1252"/>
      <c r="BJ83" s="1253" t="str">
        <f>IFERROR(__xludf.DUMMYFUNCTION("if(BI83 &lt;&gt; """", 
  LET( 
    TargetLevel, VLOOKUP(BI83,MS_Labs_Array,3,false),
    MaxLevel, VLOOKUP(BI83,MS_Labs_Array,4,false),
    MaxOrTarget, IF(OR(TargetLevel = """",$AD$1 &lt;&gt; ""Target""), MaxLevel, TargetLevel),
    LabLevel, VLOOKUP(BI83,MS_Labs_A"&amp;"rray,2,False),
    Levelprogress, IF(LabLevel &gt;= MaxOrTarget, 1, LabLevel / MaxOrTarget),
    DVTColumn, MATCH(BI83,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3" s="1254" t="str">
        <f>IFERROR(__xludf.DUMMYFUNCTION("if(BI83 &lt;&gt; """", 
  LET(
    TargetLevel, VLOOKUP(BI83,MS_Labs_Array,3,false),
    LabSpeed, (1 * REGEXEXTRACT($BH$1, ""[\d.-]+"")) * {IF(BI83 =""Labs Speed"", 1+'Master Sheet'!$BK$5, LAB_SPEED_TOTAL())},
    MaxLevel, VLOOKUP(BI83,MS_Labs_Array,4,false),"&amp;"
    MaxOrTarget, IF(OR(TargetLevel = """",$AD$1 &lt;&gt; ""Target""), MaxLevel, TargetLevel),
    LabLevel, VLOOKUP(BI83,MS_Labs_Array,2,False),
    DVTColumn, MATCH(BI83, DVT_Laboratory!$A$1:BO$1, 0),
    xextTime, INDIRECT(""DVT_Laboratory!"" &amp; ADDRESS(LabLe"&amp;"vel+3, DVTColumn)) / LabSpeed,
    remainingTime, SUM(INDIRECT(""DVT_Laboratory!"" &amp; ADDRESS(LabLevel+3, DVTColumn) &amp; "":"" &amp; ADDRESS(MaxOrTarget+2, DVTColumn))) / LabSpeed,
  BI83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3" s="1252"/>
      <c r="BM83" s="1252" t="str">
        <f>IFERROR(__xludf.DUMMYFUNCTION("""COMPUTED_VALUE"""),"Makes TO perks better")</f>
        <v>Makes TO perks better</v>
      </c>
      <c r="BN83" s="1222"/>
      <c r="BO83" s="1261"/>
    </row>
    <row r="84" ht="7.5" customHeight="1">
      <c r="A84" s="1222"/>
      <c r="B84" s="1262" t="s">
        <v>560</v>
      </c>
      <c r="C84" s="1304" t="s">
        <v>350</v>
      </c>
      <c r="D84" s="1280" t="str">
        <f>VLOOKUP(C84,'Remote Tier List'!A:D, 2, FALSE)</f>
        <v>S</v>
      </c>
      <c r="E84" s="1281" t="str">
        <f>VLOOKUP(C84,'Remote Tier List'!A:D, 3, FALSE)</f>
        <v/>
      </c>
      <c r="F84" s="1284" t="str">
        <f>VLOOKUP(C84,'Remote Tier List'!A:D, 4, FALSE)</f>
        <v>Turns ILM into a CC machine when combined with Rotation</v>
      </c>
      <c r="G84" s="1245" t="b">
        <f>IFERROR(AND(VLOOKUP("Tier 7",'_IDS'!$BZ$3:$DT$23, 2, FALSE) &gt; 40,  IDS_UW_OWN("Inner Land Mines")), true)</f>
        <v>0</v>
      </c>
      <c r="H84" s="1246" t="str">
        <f t="array" ref="H84:I84">LET(
  Lab, $C84,
  Mode, $AD$1,
  Level, VLOOKUP(Lab, MS_Labs_Array, 2, FALSE),
  Target, VLOOKUP(Lab, MS_Labs_Array, 3, FALSE),
  Max, VLOOKUP(Lab, MS_Labs_Array, 4, FALSE),
  Result,
    IF(
      AND(
        Mode &lt;&gt; "Never",
        Level &gt;= IF(OR(Target = "", Mode = "Max"), Max, Target)
      ),
      "Completed",
      ""
    ),
  HSTACK(
    IF(Result &lt;&gt; "", Result, $D84),
    IF(Result &lt;&gt; "", Result, IF($E84 = "", $D84, $E84))
  )
)</f>
        <v>S</v>
      </c>
      <c r="I84" s="1247" t="s">
        <v>544</v>
      </c>
      <c r="J84" s="1248" t="str">
        <f t="shared" si="18"/>
        <v>Turns ILM into a CC machine when combined with Rotation</v>
      </c>
      <c r="K84" s="1229"/>
      <c r="L84" s="1249" t="str">
        <f>IFERROR(__xludf.DUMMYFUNCTION("""COMPUTED_VALUE"""),"")</f>
        <v/>
      </c>
      <c r="M84" s="1249"/>
      <c r="N84" s="1250" t="str">
        <f>IFERROR(__xludf.DUMMYFUNCTION("if(M84 &lt;&gt; """", 
  LET( 
    TargetLevel, VLOOKUP(M84,MS_Labs_Array,3,false),
    MaxLevel, VLOOKUP(M84,MS_Labs_Array,4,false),
    MaxOrTarget, IF(OR(TargetLevel = """",$AD$1 &lt;&gt; ""Target""), MaxLevel, TargetLevel),
    LabLevel, VLOOKUP(M84,MS_Labs_Array"&amp;",2,False),
    Levelprogress, LabLevel / MaxOrTarget,
    DVTColumn, MATCH(M84,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4" s="1251" t="str">
        <f>IFERROR(__xludf.DUMMYFUNCTION("if(M84 &lt;&gt; """", 
  LET(
    TargetLevel, VLOOKUP(M84,MS_Labs_Array,3,false),
    LabSpeed, (1 * REGEXEXTRACT($BH$1, ""[\d.-]+"")) * {IF(M84 =""Labs Speed"", 1+'Master Sheet'!$BK$5, LAB_SPEED_TOTAL())},
    MaxLevel, VLOOKUP(M84,MS_Labs_Array,4,false),
   "&amp;" MaxOrTarget, IF(OR(TargetLevel = """",$AD$1 &lt;&gt; ""Target""), MaxLevel, TargetLevel),
    LabLevel, VLOOKUP(M84,MS_Labs_Array,2,False),
    DVTColumn, MATCH(M84, DVT_Laboratory!$A$1:BO$1, 0),
    xextTime, INDIRECT(""DVT_Laboratory!"" &amp; ADDRESS(LabLevel+3,"&amp;" DVTColumn)) / LabSpeed,
    remainingTime, SUM(INDIRECT(""DVT_Laboratory!"" &amp; ADDRESS(LabLevel+3, DVTColumn) &amp; "":"" &amp; ADDRESS(MaxOrTarget+2, DVTColumn))) / LabSpeed,
  M84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4" s="1249"/>
      <c r="Q84" s="1249" t="str">
        <f>IFERROR(__xludf.DUMMYFUNCTION("""COMPUTED_VALUE"""),"")</f>
        <v/>
      </c>
      <c r="R84" s="1249" t="str">
        <f>IFERROR(__xludf.DUMMYFUNCTION("""COMPUTED_VALUE"""),"")</f>
        <v/>
      </c>
      <c r="S84" s="1249"/>
      <c r="T84" s="1250" t="str">
        <f>IFERROR(__xludf.DUMMYFUNCTION("if(S84 &lt;&gt; """", 
  LET( 
    TargetLevel, VLOOKUP(S84,MS_Labs_Array,3,false),
    MaxLevel, VLOOKUP(S84,MS_Labs_Array,4,false),
    MaxOrTarget, IF(OR(TargetLevel = """",$AD$1 &lt;&gt; ""Target""), MaxLevel, TargetLevel),
    LabLevel, VLOOKUP(S84,MS_Labs_Array"&amp;",2,False),
    Levelprogress, LabLevel / MaxOrTarget,
    DVTColumn, MATCH(S84,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4" s="1251" t="str">
        <f>IFERROR(__xludf.DUMMYFUNCTION("if(S84 &lt;&gt; """", 
  LET(
    TargetLevel, VLOOKUP(S84,MS_Labs_Array,3,false),
    LabSpeed, (1 * REGEXEXTRACT($BH$1, ""[\d.-]+"")) * {IF(S84 =""Labs Speed"", 1+'Master Sheet'!$BK$5, LAB_SPEED_TOTAL())},
    MaxLevel, VLOOKUP(S84,MS_Labs_Array,4,false),
   "&amp;" MaxOrTarget, IF(OR(TargetLevel = """",$AD$1 &lt;&gt; ""Target""), MaxLevel, TargetLevel),
    LabLevel, VLOOKUP(S84,MS_Labs_Array,2,False),
    DVTColumn, MATCH(S84, DVT_Laboratory!$A$1:BO$1, 0),
    xextTime, INDIRECT(""DVT_Laboratory!"" &amp; ADDRESS(LabLevel+3,"&amp;" DVTColumn)) / LabSpeed,
    remainingTime, SUM(INDIRECT(""DVT_Laboratory!"" &amp; ADDRESS(LabLevel+3, DVTColumn) &amp; "":"" &amp; ADDRESS(MaxOrTarget+2, DVTColumn))) / LabSpeed,
  S84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4" s="1249"/>
      <c r="W84" s="1249" t="str">
        <f>IFERROR(__xludf.DUMMYFUNCTION("""COMPUTED_VALUE"""),"")</f>
        <v/>
      </c>
      <c r="X84" s="1249" t="str">
        <f>IFERROR(__xludf.DUMMYFUNCTION("""COMPUTED_VALUE"""),"")</f>
        <v/>
      </c>
      <c r="Y84" s="1249"/>
      <c r="Z84" s="1250" t="str">
        <f>IFERROR(__xludf.DUMMYFUNCTION("if(Y84 &lt;&gt; """", 
  LET( 
    TargetLevel, VLOOKUP(Y84,MS_Labs_Array,3,false),
    MaxLevel, VLOOKUP(Y84,MS_Labs_Array,4,false),
    MaxOrTarget, IF(OR(TargetLevel = """",$AD$1 &lt;&gt; ""Target""), MaxLevel, TargetLevel),
    LabLevel, VLOOKUP(Y84,MS_Labs_Array"&amp;",2,False),
    Levelprogress, LabLevel / MaxOrTarget,
    DVTColumn, MATCH(Y84,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4" s="1251" t="str">
        <f>IFERROR(__xludf.DUMMYFUNCTION("if(Y84 &lt;&gt; """", 
  LET(
    TargetLevel, VLOOKUP(Y84,MS_Labs_Array,3,false),
    LabSpeed, (1 * REGEXEXTRACT($BH$1, ""[\d.-]+"")) * {IF(Y84 =""Labs Speed"", 1+'Master Sheet'!$BK$5, LAB_SPEED_TOTAL())},
    MaxLevel, VLOOKUP(Y84,MS_Labs_Array,4,false),
   "&amp;" MaxOrTarget, IF(OR(TargetLevel = """",$AD$1 &lt;&gt; ""Target""), MaxLevel, TargetLevel),
    LabLevel, VLOOKUP(Y84,MS_Labs_Array,2,False),
    DVTColumn, MATCH(Y84, DVT_Laboratory!$A$1:BO$1, 0),
    xextTime, INDIRECT(""DVT_Laboratory!"" &amp; ADDRESS(LabLevel+3,"&amp;" DVTColumn)) / LabSpeed,
    remainingTime, SUM(INDIRECT(""DVT_Laboratory!"" &amp; ADDRESS(LabLevel+3, DVTColumn) &amp; "":"" &amp; ADDRESS(MaxOrTarget+2, DVTColumn))) / LabSpeed,
  Y84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4" s="1249"/>
      <c r="AC84" s="1249" t="str">
        <f>IFERROR(__xludf.DUMMYFUNCTION("""COMPUTED_VALUE"""),"")</f>
        <v/>
      </c>
      <c r="AD84" s="1249" t="str">
        <f>IFERROR(__xludf.DUMMYFUNCTION("""COMPUTED_VALUE"""),"")</f>
        <v/>
      </c>
      <c r="AE84" s="1249"/>
      <c r="AF84" s="1250" t="str">
        <f>IFERROR(__xludf.DUMMYFUNCTION("if(AE84 &lt;&gt; """", 
  LET( 
    TargetLevel, VLOOKUP(AE84,MS_Labs_Array,3,false),
    MaxLevel, VLOOKUP(AE84,MS_Labs_Array,4,false),
    MaxOrTarget, IF(OR(TargetLevel = """",$AD$1 &lt;&gt; ""Target""), MaxLevel, TargetLevel),
    LabLevel, VLOOKUP(AE84,MS_Labs_A"&amp;"rray,2,False),
    Levelprogress, LabLevel / MaxOrTarget,
    DVTColumn, MATCH(AE84,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4" s="1251" t="str">
        <f>IFERROR(__xludf.DUMMYFUNCTION("if(AE84 &lt;&gt; """", 
  LET(
    TargetLevel, VLOOKUP(AE84,MS_Labs_Array,3,false),
    LabSpeed, (1 * REGEXEXTRACT($BH$1, ""[\d.-]+"")) * {IF(AE84 =""Labs Speed"", 1+'Master Sheet'!$BK$5, LAB_SPEED_TOTAL())},
    MaxLevel, VLOOKUP(AE84,MS_Labs_Array,4,false),"&amp;"
    MaxOrTarget, IF(OR(TargetLevel = """",$AD$1 &lt;&gt; ""Target""), MaxLevel, TargetLevel),
    LabLevel, VLOOKUP(AE84,MS_Labs_Array,2,False),
    DVTColumn, MATCH(AE84, DVT_Laboratory!$A$1:BO$1, 0),
    xextTime, INDIRECT(""DVT_Laboratory!"" &amp; ADDRESS(LabLe"&amp;"vel+3, DVTColumn)) / LabSpeed,
    remainingTime, SUM(INDIRECT(""DVT_Laboratory!"" &amp; ADDRESS(LabLevel+3, DVTColumn) &amp; "":"" &amp; ADDRESS(MaxOrTarget+2, DVTColumn))) / LabSpeed,
  AE84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4" s="1249"/>
      <c r="AI84" s="1249" t="str">
        <f>IFERROR(__xludf.DUMMYFUNCTION("""COMPUTED_VALUE"""),"")</f>
        <v/>
      </c>
      <c r="AJ84" s="1249" t="str">
        <f>IFERROR(__xludf.DUMMYFUNCTION("""COMPUTED_VALUE"""),"")</f>
        <v/>
      </c>
      <c r="AK84" s="1249"/>
      <c r="AL84" s="1250" t="str">
        <f>IFERROR(__xludf.DUMMYFUNCTION("if(AK84 &lt;&gt; """", 
  LET( 
    TargetLevel, VLOOKUP(AK84,MS_Labs_Array,3,false),
    MaxLevel, VLOOKUP(AK84,MS_Labs_Array,4,false),
    MaxOrTarget, IF(OR(TargetLevel = """",$AD$1 &lt;&gt; ""Target""), MaxLevel, TargetLevel),
    LabLevel, VLOOKUP(AK84,MS_Labs_A"&amp;"rray,2,False),
    Levelprogress, LabLevel / MaxOrTarget,
    DVTColumn, MATCH(AK84,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4" s="1251" t="str">
        <f>IFERROR(__xludf.DUMMYFUNCTION("if(AK84 &lt;&gt; """", 
  LET(
    TargetLevel, VLOOKUP(AK84,MS_Labs_Array,3,false),
    LabSpeed, (1 * REGEXEXTRACT($BH$1, ""[\d.-]+"")) * {IF(AK84 =""Labs Speed"", 1+'Master Sheet'!$BK$5, LAB_SPEED_TOTAL())},
    MaxLevel, VLOOKUP(AK84,MS_Labs_Array,4,false),"&amp;"
    MaxOrTarget, IF(OR(TargetLevel = """",$AD$1 &lt;&gt; ""Target""), MaxLevel, TargetLevel),
    LabLevel, VLOOKUP(AK84,MS_Labs_Array,2,False),
    DVTColumn, MATCH(AK84, DVT_Laboratory!$A$1:BO$1, 0),
    xextTime, INDIRECT(""DVT_Laboratory!"" &amp; ADDRESS(LabLe"&amp;"vel+3, DVTColumn)) / LabSpeed,
    remainingTime, SUM(INDIRECT(""DVT_Laboratory!"" &amp; ADDRESS(LabLevel+3, DVTColumn) &amp; "":"" &amp; ADDRESS(MaxOrTarget+2, DVTColumn))) / LabSpeed,
  AK84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4" s="1249"/>
      <c r="AO84" s="1249" t="str">
        <f>IFERROR(__xludf.DUMMYFUNCTION("""COMPUTED_VALUE"""),"")</f>
        <v/>
      </c>
      <c r="AP84" s="1249" t="str">
        <f>IFERROR(__xludf.DUMMYFUNCTION("""COMPUTED_VALUE"""),"")</f>
        <v/>
      </c>
      <c r="AQ84" s="1249"/>
      <c r="AR84" s="1250" t="str">
        <f>IFERROR(__xludf.DUMMYFUNCTION("if(AQ84 &lt;&gt; """", 
  LET( 
    TargetLevel, VLOOKUP(AQ84,MS_Labs_Array,3,false),
    MaxLevel, VLOOKUP(AQ84,MS_Labs_Array,4,false),
    MaxOrTarget, IF(OR(TargetLevel = """",$AD$1 &lt;&gt; ""Target""), MaxLevel, TargetLevel),
    LabLevel, VLOOKUP(AQ84,MS_Labs_A"&amp;"rray,2,False),
    Levelprogress, LabLevel / MaxOrTarget,
    DVTColumn, MATCH(AQ84,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4" s="1251" t="str">
        <f>IFERROR(__xludf.DUMMYFUNCTION("if(AQ84 &lt;&gt; """", 
  LET(
    TargetLevel, VLOOKUP(AQ84,MS_Labs_Array,3,false),
    LabSpeed, (1 * REGEXEXTRACT($BH$1, ""[\d.-]+"")) * {IF(AQ84 =""Labs Speed"", 1+'Master Sheet'!$BK$5, LAB_SPEED_TOTAL())},
    MaxLevel, VLOOKUP(AQ84,MS_Labs_Array,4,false),"&amp;"
    MaxOrTarget, IF(OR(TargetLevel = """",$AD$1 &lt;&gt; ""Target""), MaxLevel, TargetLevel),
    LabLevel, VLOOKUP(AQ84,MS_Labs_Array,2,False),
    DVTColumn, MATCH(AQ84, DVT_Laboratory!$A$1:BO$1, 0),
    xextTime, INDIRECT(""DVT_Laboratory!"" &amp; ADDRESS(LabLe"&amp;"vel+3, DVTColumn)) / LabSpeed,
    remainingTime, SUM(INDIRECT(""DVT_Laboratory!"" &amp; ADDRESS(LabLevel+3, DVTColumn) &amp; "":"" &amp; ADDRESS(MaxOrTarget+2, DVTColumn))) / LabSpeed,
  AQ84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4" s="1249"/>
      <c r="AU84" s="1249" t="str">
        <f>IFERROR(__xludf.DUMMYFUNCTION("""COMPUTED_VALUE"""),"")</f>
        <v/>
      </c>
      <c r="AV84" s="1249" t="str">
        <f>IFERROR(__xludf.DUMMYFUNCTION("""COMPUTED_VALUE"""),"")</f>
        <v/>
      </c>
      <c r="AW84" s="1249"/>
      <c r="AX84" s="1250" t="str">
        <f>IFERROR(__xludf.DUMMYFUNCTION("if(AW84 &lt;&gt; """", 
  LET( 
    TargetLevel, VLOOKUP(AW84,MS_Labs_Array,3,false),
    MaxLevel, VLOOKUP(AW84,MS_Labs_Array,4,false),
    MaxOrTarget, IF(OR(TargetLevel = """",$AD$1 &lt;&gt; ""Target""), MaxLevel, TargetLevel),
    LabLevel, VLOOKUP(AW84,MS_Labs_A"&amp;"rray,2,False),
    Levelprogress, LabLevel / MaxOrTarget,
    DVTColumn, MATCH(AW84,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4" s="1251" t="str">
        <f>IFERROR(__xludf.DUMMYFUNCTION("if(AW84 &lt;&gt; """", 
  LET(
    TargetLevel, VLOOKUP(AW84,MS_Labs_Array,3,false),
    LabSpeed, (1 * REGEXEXTRACT($BH$1, ""[\d.-]+"")) * {IF(AW84 =""Labs Speed"", 1+'Master Sheet'!$BK$5, LAB_SPEED_TOTAL())},
    MaxLevel, VLOOKUP(AW84,MS_Labs_Array,4,false),"&amp;"
    MaxOrTarget, IF(OR(TargetLevel = """",$AD$1 &lt;&gt; ""Target""), MaxLevel, TargetLevel),
    LabLevel, VLOOKUP(AW84,MS_Labs_Array,2,False),
    DVTColumn, MATCH(AW84, DVT_Laboratory!$A$1:BO$1, 0),
    xextTime, INDIRECT(""DVT_Laboratory!"" &amp; ADDRESS(LabLe"&amp;"vel+3, DVTColumn)) / LabSpeed,
    remainingTime, SUM(INDIRECT(""DVT_Laboratory!"" &amp; ADDRESS(LabLevel+3, DVTColumn) &amp; "":"" &amp; ADDRESS(MaxOrTarget+2, DVTColumn))) / LabSpeed,
  AW84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4" s="1249"/>
      <c r="BA84" s="1249" t="str">
        <f>IFERROR(__xludf.DUMMYFUNCTION("""COMPUTED_VALUE"""),"")</f>
        <v/>
      </c>
      <c r="BB84" s="1249" t="str">
        <f>IFERROR(__xludf.DUMMYFUNCTION("""COMPUTED_VALUE"""),"")</f>
        <v/>
      </c>
      <c r="BC84" s="1249"/>
      <c r="BD84" s="1250" t="str">
        <f>IFERROR(__xludf.DUMMYFUNCTION("if(BC84 &lt;&gt; """", 
  LET( 
    TargetLevel, VLOOKUP(BC84,MS_Labs_Array,3,false),
    MaxLevel, VLOOKUP(BC84,MS_Labs_Array,4,false),
    MaxOrTarget, IF(OR(TargetLevel = """",$AD$1 &lt;&gt; ""Target""), MaxLevel, TargetLevel),
    LabLevel, VLOOKUP(BC84,MS_Labs_A"&amp;"rray,2,False),
    Levelprogress, LabLevel / MaxOrTarget,
    DVTColumn, MATCH(BC84,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4" s="1251" t="str">
        <f>IFERROR(__xludf.DUMMYFUNCTION("if(BC84 &lt;&gt; """", 
  LET(
    TargetLevel, VLOOKUP(BC84,MS_Labs_Array,3,false),
    LabSpeed, (1 * REGEXEXTRACT($BH$1, ""[\d.-]+"")) * {IF(BC84 =""Labs Speed"", 1+'Master Sheet'!$BK$5, LAB_SPEED_TOTAL())},
    MaxLevel, VLOOKUP(BC84,MS_Labs_Array,4,false),"&amp;"
    MaxOrTarget, IF(OR(TargetLevel = """",$AD$1 &lt;&gt; ""Target""), MaxLevel, TargetLevel),
    LabLevel, VLOOKUP(BC84,MS_Labs_Array,2,False),
    DVTColumn, MATCH(BC84, DVT_Laboratory!$A$1:BO$1, 0),
    xextTime, INDIRECT(""DVT_Laboratory!"" &amp; ADDRESS(LabLe"&amp;"vel+3, DVTColumn)) / LabSpeed,
    remainingTime, SUM(INDIRECT(""DVT_Laboratory!"" &amp; ADDRESS(LabLevel+3, DVTColumn) &amp; "":"" &amp; ADDRESS(MaxOrTarget+2, DVTColumn))) / LabSpeed,
  BC84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4" s="1249"/>
      <c r="BG84" s="1249" t="str">
        <f>IFERROR(__xludf.DUMMYFUNCTION("""COMPUTED_VALUE"""),"")</f>
        <v/>
      </c>
      <c r="BH84" s="1260" t="str">
        <f>IFERROR(__xludf.DUMMYFUNCTION("""COMPUTED_VALUE"""),"")</f>
        <v/>
      </c>
      <c r="BI84" s="1252"/>
      <c r="BJ84" s="1253" t="str">
        <f>IFERROR(__xludf.DUMMYFUNCTION("if(BI84 &lt;&gt; """", 
  LET( 
    TargetLevel, VLOOKUP(BI84,MS_Labs_Array,3,false),
    MaxLevel, VLOOKUP(BI84,MS_Labs_Array,4,false),
    MaxOrTarget, IF(OR(TargetLevel = """",$AD$1 &lt;&gt; ""Target""), MaxLevel, TargetLevel),
    LabLevel, VLOOKUP(BI84,MS_Labs_A"&amp;"rray,2,False),
    Levelprogress, IF(LabLevel &gt;= MaxOrTarget, 1, LabLevel / MaxOrTarget),
    DVTColumn, MATCH(BI84,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4" s="1254" t="str">
        <f>IFERROR(__xludf.DUMMYFUNCTION("if(BI84 &lt;&gt; """", 
  LET(
    TargetLevel, VLOOKUP(BI84,MS_Labs_Array,3,false),
    LabSpeed, (1 * REGEXEXTRACT($BH$1, ""[\d.-]+"")) * {IF(BI84 =""Labs Speed"", 1+'Master Sheet'!$BK$5, LAB_SPEED_TOTAL())},
    MaxLevel, VLOOKUP(BI84,MS_Labs_Array,4,false),"&amp;"
    MaxOrTarget, IF(OR(TargetLevel = """",$AD$1 &lt;&gt; ""Target""), MaxLevel, TargetLevel),
    LabLevel, VLOOKUP(BI84,MS_Labs_Array,2,False),
    DVTColumn, MATCH(BI84, DVT_Laboratory!$A$1:BO$1, 0),
    xextTime, INDIRECT(""DVT_Laboratory!"" &amp; ADDRESS(LabLe"&amp;"vel+3, DVTColumn)) / LabSpeed,
    remainingTime, SUM(INDIRECT(""DVT_Laboratory!"" &amp; ADDRESS(LabLevel+3, DVTColumn) &amp; "":"" &amp; ADDRESS(MaxOrTarget+2, DVTColumn))) / LabSpeed,
  BI84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4" s="1252"/>
      <c r="BM84" s="1252" t="str">
        <f>IFERROR(__xludf.DUMMYFUNCTION("""COMPUTED_VALUE"""),"Improve Trade-off Perks
  Lab Level:      10 / 10 (Max)
  Next Level:    
  Max Level:     0d 12h 53m")</f>
        <v>Improve Trade-off Perks
  Lab Level:      10 / 10 (Max)
  Next Level:    
  Max Level:     0d 12h 53m</v>
      </c>
      <c r="BN84" s="1222"/>
      <c r="BO84" s="1261"/>
    </row>
    <row r="85">
      <c r="A85" s="1222"/>
      <c r="B85" s="1262" t="s">
        <v>558</v>
      </c>
      <c r="C85" s="1304" t="s">
        <v>352</v>
      </c>
      <c r="D85" s="1280" t="str">
        <f>VLOOKUP(C85,'Remote Tier List'!A:D, 2, FALSE)</f>
        <v>S</v>
      </c>
      <c r="E85" s="1281" t="str">
        <f>VLOOKUP(C85,'Remote Tier List'!A:D, 3, FALSE)</f>
        <v/>
      </c>
      <c r="F85" s="1284" t="str">
        <f>VLOOKUP(C85,'Remote Tier List'!A:D, 4, FALSE)</f>
        <v>Does a % of max enemy health every second they are inside BH, the go to protector killer for early towers</v>
      </c>
      <c r="G85" s="1245" t="b">
        <f>IFERROR(AND(VLOOKUP("Tier 5",'_IDS'!$BZ$3:$DT$23, 2, FALSE) &gt; 150,  IDS_UW_OWN("Black Hole")), true)</f>
        <v>1</v>
      </c>
      <c r="H85" s="1246" t="str">
        <f t="array" ref="H85:I85">LET(
  Lab, $C85,
  Mode, $AD$1,
  Level, VLOOKUP(Lab, MS_Labs_Array, 2, FALSE),
  Target, VLOOKUP(Lab, MS_Labs_Array, 3, FALSE),
  Max, VLOOKUP(Lab, MS_Labs_Array, 4, FALSE),
  Result,
    IF(
      AND(
        Mode &lt;&gt; "Never",
        Level &gt;= IF(OR(Target = "", Mode = "Max"), Max, Target)
      ),
      "Completed",
      ""
    ),
  HSTACK(
    IF(Result &lt;&gt; "", Result, $D85),
    IF(Result &lt;&gt; "", Result, IF($E85 = "", $D85, $E85))
  )
)</f>
        <v>Completed</v>
      </c>
      <c r="I85" s="1247" t="s">
        <v>551</v>
      </c>
      <c r="J85" s="1248" t="str">
        <f t="shared" si="18"/>
        <v>Does a % of max enemy health every second they are inside BH, the go to protector killer for early towers</v>
      </c>
      <c r="K85" s="1229"/>
      <c r="L85" s="1249"/>
      <c r="M85" s="1249"/>
      <c r="N85" s="1250" t="str">
        <f>IFERROR(__xludf.DUMMYFUNCTION("if(M85 &lt;&gt; """", 
  LET( 
    TargetLevel, VLOOKUP(M85,MS_Labs_Array,3,false),
    MaxLevel, VLOOKUP(M85,MS_Labs_Array,4,false),
    MaxOrTarget, IF(OR(TargetLevel = """",$AD$1 &lt;&gt; ""Target""), MaxLevel, TargetLevel),
    LabLevel, VLOOKUP(M85,MS_Labs_Array"&amp;",2,False),
    Levelprogress, LabLevel / MaxOrTarget,
    DVTColumn, MATCH(M85,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5" s="1251" t="str">
        <f>IFERROR(__xludf.DUMMYFUNCTION("if(M85 &lt;&gt; """", 
  LET(
    TargetLevel, VLOOKUP(M85,MS_Labs_Array,3,false),
    LabSpeed, (1 * REGEXEXTRACT($BH$1, ""[\d.-]+"")) * {IF(M85 =""Labs Speed"", 1+'Master Sheet'!$BK$5, LAB_SPEED_TOTAL())},
    MaxLevel, VLOOKUP(M85,MS_Labs_Array,4,false),
   "&amp;" MaxOrTarget, IF(OR(TargetLevel = """",$AD$1 &lt;&gt; ""Target""), MaxLevel, TargetLevel),
    LabLevel, VLOOKUP(M85,MS_Labs_Array,2,False),
    DVTColumn, MATCH(M85, DVT_Laboratory!$A$1:BO$1, 0),
    xextTime, INDIRECT(""DVT_Laboratory!"" &amp; ADDRESS(LabLevel+3,"&amp;" DVTColumn)) / LabSpeed,
    remainingTime, SUM(INDIRECT(""DVT_Laboratory!"" &amp; ADDRESS(LabLevel+3, DVTColumn) &amp; "":"" &amp; ADDRESS(MaxOrTarget+2, DVTColumn))) / LabSpeed,
  M85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5" s="1249"/>
      <c r="Q85" s="1249"/>
      <c r="R85" s="1249"/>
      <c r="S85" s="1249"/>
      <c r="T85" s="1250" t="str">
        <f>IFERROR(__xludf.DUMMYFUNCTION("if(S85 &lt;&gt; """", 
  LET( 
    TargetLevel, VLOOKUP(S85,MS_Labs_Array,3,false),
    MaxLevel, VLOOKUP(S85,MS_Labs_Array,4,false),
    MaxOrTarget, IF(OR(TargetLevel = """",$AD$1 &lt;&gt; ""Target""), MaxLevel, TargetLevel),
    LabLevel, VLOOKUP(S85,MS_Labs_Array"&amp;",2,False),
    Levelprogress, LabLevel / MaxOrTarget,
    DVTColumn, MATCH(S85,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5" s="1251" t="str">
        <f>IFERROR(__xludf.DUMMYFUNCTION("if(S85 &lt;&gt; """", 
  LET(
    TargetLevel, VLOOKUP(S85,MS_Labs_Array,3,false),
    LabSpeed, (1 * REGEXEXTRACT($BH$1, ""[\d.-]+"")) * {IF(S85 =""Labs Speed"", 1+'Master Sheet'!$BK$5, LAB_SPEED_TOTAL())},
    MaxLevel, VLOOKUP(S85,MS_Labs_Array,4,false),
   "&amp;" MaxOrTarget, IF(OR(TargetLevel = """",$AD$1 &lt;&gt; ""Target""), MaxLevel, TargetLevel),
    LabLevel, VLOOKUP(S85,MS_Labs_Array,2,False),
    DVTColumn, MATCH(S85, DVT_Laboratory!$A$1:BO$1, 0),
    xextTime, INDIRECT(""DVT_Laboratory!"" &amp; ADDRESS(LabLevel+3,"&amp;" DVTColumn)) / LabSpeed,
    remainingTime, SUM(INDIRECT(""DVT_Laboratory!"" &amp; ADDRESS(LabLevel+3, DVTColumn) &amp; "":"" &amp; ADDRESS(MaxOrTarget+2, DVTColumn))) / LabSpeed,
  S85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5" s="1249"/>
      <c r="W85" s="1249"/>
      <c r="X85" s="1249"/>
      <c r="Y85" s="1249"/>
      <c r="Z85" s="1250" t="str">
        <f>IFERROR(__xludf.DUMMYFUNCTION("if(Y85 &lt;&gt; """", 
  LET( 
    TargetLevel, VLOOKUP(Y85,MS_Labs_Array,3,false),
    MaxLevel, VLOOKUP(Y85,MS_Labs_Array,4,false),
    MaxOrTarget, IF(OR(TargetLevel = """",$AD$1 &lt;&gt; ""Target""), MaxLevel, TargetLevel),
    LabLevel, VLOOKUP(Y85,MS_Labs_Array"&amp;",2,False),
    Levelprogress, LabLevel / MaxOrTarget,
    DVTColumn, MATCH(Y85,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5" s="1251" t="str">
        <f>IFERROR(__xludf.DUMMYFUNCTION("if(Y85 &lt;&gt; """", 
  LET(
    TargetLevel, VLOOKUP(Y85,MS_Labs_Array,3,false),
    LabSpeed, (1 * REGEXEXTRACT($BH$1, ""[\d.-]+"")) * {IF(Y85 =""Labs Speed"", 1+'Master Sheet'!$BK$5, LAB_SPEED_TOTAL())},
    MaxLevel, VLOOKUP(Y85,MS_Labs_Array,4,false),
   "&amp;" MaxOrTarget, IF(OR(TargetLevel = """",$AD$1 &lt;&gt; ""Target""), MaxLevel, TargetLevel),
    LabLevel, VLOOKUP(Y85,MS_Labs_Array,2,False),
    DVTColumn, MATCH(Y85, DVT_Laboratory!$A$1:BO$1, 0),
    xextTime, INDIRECT(""DVT_Laboratory!"" &amp; ADDRESS(LabLevel+3,"&amp;" DVTColumn)) / LabSpeed,
    remainingTime, SUM(INDIRECT(""DVT_Laboratory!"" &amp; ADDRESS(LabLevel+3, DVTColumn) &amp; "":"" &amp; ADDRESS(MaxOrTarget+2, DVTColumn))) / LabSpeed,
  Y85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5" s="1249"/>
      <c r="AC85" s="1249"/>
      <c r="AD85" s="1249"/>
      <c r="AE85" s="1249"/>
      <c r="AF85" s="1250" t="str">
        <f>IFERROR(__xludf.DUMMYFUNCTION("if(AE85 &lt;&gt; """", 
  LET( 
    TargetLevel, VLOOKUP(AE85,MS_Labs_Array,3,false),
    MaxLevel, VLOOKUP(AE85,MS_Labs_Array,4,false),
    MaxOrTarget, IF(OR(TargetLevel = """",$AD$1 &lt;&gt; ""Target""), MaxLevel, TargetLevel),
    LabLevel, VLOOKUP(AE85,MS_Labs_A"&amp;"rray,2,False),
    Levelprogress, LabLevel / MaxOrTarget,
    DVTColumn, MATCH(AE85,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5" s="1251" t="str">
        <f>IFERROR(__xludf.DUMMYFUNCTION("if(AE85 &lt;&gt; """", 
  LET(
    TargetLevel, VLOOKUP(AE85,MS_Labs_Array,3,false),
    LabSpeed, (1 * REGEXEXTRACT($BH$1, ""[\d.-]+"")) * {IF(AE85 =""Labs Speed"", 1+'Master Sheet'!$BK$5, LAB_SPEED_TOTAL())},
    MaxLevel, VLOOKUP(AE85,MS_Labs_Array,4,false),"&amp;"
    MaxOrTarget, IF(OR(TargetLevel = """",$AD$1 &lt;&gt; ""Target""), MaxLevel, TargetLevel),
    LabLevel, VLOOKUP(AE85,MS_Labs_Array,2,False),
    DVTColumn, MATCH(AE85, DVT_Laboratory!$A$1:BO$1, 0),
    xextTime, INDIRECT(""DVT_Laboratory!"" &amp; ADDRESS(LabLe"&amp;"vel+3, DVTColumn)) / LabSpeed,
    remainingTime, SUM(INDIRECT(""DVT_Laboratory!"" &amp; ADDRESS(LabLevel+3, DVTColumn) &amp; "":"" &amp; ADDRESS(MaxOrTarget+2, DVTColumn))) / LabSpeed,
  AE85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5" s="1249"/>
      <c r="AI85" s="1249"/>
      <c r="AJ85" s="1249"/>
      <c r="AK85" s="1249"/>
      <c r="AL85" s="1250" t="str">
        <f>IFERROR(__xludf.DUMMYFUNCTION("if(AK85 &lt;&gt; """", 
  LET( 
    TargetLevel, VLOOKUP(AK85,MS_Labs_Array,3,false),
    MaxLevel, VLOOKUP(AK85,MS_Labs_Array,4,false),
    MaxOrTarget, IF(OR(TargetLevel = """",$AD$1 &lt;&gt; ""Target""), MaxLevel, TargetLevel),
    LabLevel, VLOOKUP(AK85,MS_Labs_A"&amp;"rray,2,False),
    Levelprogress, LabLevel / MaxOrTarget,
    DVTColumn, MATCH(AK85,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5" s="1251" t="str">
        <f>IFERROR(__xludf.DUMMYFUNCTION("if(AK85 &lt;&gt; """", 
  LET(
    TargetLevel, VLOOKUP(AK85,MS_Labs_Array,3,false),
    LabSpeed, (1 * REGEXEXTRACT($BH$1, ""[\d.-]+"")) * {IF(AK85 =""Labs Speed"", 1+'Master Sheet'!$BK$5, LAB_SPEED_TOTAL())},
    MaxLevel, VLOOKUP(AK85,MS_Labs_Array,4,false),"&amp;"
    MaxOrTarget, IF(OR(TargetLevel = """",$AD$1 &lt;&gt; ""Target""), MaxLevel, TargetLevel),
    LabLevel, VLOOKUP(AK85,MS_Labs_Array,2,False),
    DVTColumn, MATCH(AK85, DVT_Laboratory!$A$1:BO$1, 0),
    xextTime, INDIRECT(""DVT_Laboratory!"" &amp; ADDRESS(LabLe"&amp;"vel+3, DVTColumn)) / LabSpeed,
    remainingTime, SUM(INDIRECT(""DVT_Laboratory!"" &amp; ADDRESS(LabLevel+3, DVTColumn) &amp; "":"" &amp; ADDRESS(MaxOrTarget+2, DVTColumn))) / LabSpeed,
  AK85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5" s="1249"/>
      <c r="AO85" s="1249"/>
      <c r="AP85" s="1249"/>
      <c r="AQ85" s="1249"/>
      <c r="AR85" s="1250" t="str">
        <f>IFERROR(__xludf.DUMMYFUNCTION("if(AQ85 &lt;&gt; """", 
  LET( 
    TargetLevel, VLOOKUP(AQ85,MS_Labs_Array,3,false),
    MaxLevel, VLOOKUP(AQ85,MS_Labs_Array,4,false),
    MaxOrTarget, IF(OR(TargetLevel = """",$AD$1 &lt;&gt; ""Target""), MaxLevel, TargetLevel),
    LabLevel, VLOOKUP(AQ85,MS_Labs_A"&amp;"rray,2,False),
    Levelprogress, LabLevel / MaxOrTarget,
    DVTColumn, MATCH(AQ85,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5" s="1251" t="str">
        <f>IFERROR(__xludf.DUMMYFUNCTION("if(AQ85 &lt;&gt; """", 
  LET(
    TargetLevel, VLOOKUP(AQ85,MS_Labs_Array,3,false),
    LabSpeed, (1 * REGEXEXTRACT($BH$1, ""[\d.-]+"")) * {IF(AQ85 =""Labs Speed"", 1+'Master Sheet'!$BK$5, LAB_SPEED_TOTAL())},
    MaxLevel, VLOOKUP(AQ85,MS_Labs_Array,4,false),"&amp;"
    MaxOrTarget, IF(OR(TargetLevel = """",$AD$1 &lt;&gt; ""Target""), MaxLevel, TargetLevel),
    LabLevel, VLOOKUP(AQ85,MS_Labs_Array,2,False),
    DVTColumn, MATCH(AQ85, DVT_Laboratory!$A$1:BO$1, 0),
    xextTime, INDIRECT(""DVT_Laboratory!"" &amp; ADDRESS(LabLe"&amp;"vel+3, DVTColumn)) / LabSpeed,
    remainingTime, SUM(INDIRECT(""DVT_Laboratory!"" &amp; ADDRESS(LabLevel+3, DVTColumn) &amp; "":"" &amp; ADDRESS(MaxOrTarget+2, DVTColumn))) / LabSpeed,
  AQ85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5" s="1249"/>
      <c r="AU85" s="1249"/>
      <c r="AV85" s="1249"/>
      <c r="AW85" s="1249"/>
      <c r="AX85" s="1250" t="str">
        <f>IFERROR(__xludf.DUMMYFUNCTION("if(AW85 &lt;&gt; """", 
  LET( 
    TargetLevel, VLOOKUP(AW85,MS_Labs_Array,3,false),
    MaxLevel, VLOOKUP(AW85,MS_Labs_Array,4,false),
    MaxOrTarget, IF(OR(TargetLevel = """",$AD$1 &lt;&gt; ""Target""), MaxLevel, TargetLevel),
    LabLevel, VLOOKUP(AW85,MS_Labs_A"&amp;"rray,2,False),
    Levelprogress, LabLevel / MaxOrTarget,
    DVTColumn, MATCH(AW85,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5" s="1251" t="str">
        <f>IFERROR(__xludf.DUMMYFUNCTION("if(AW85 &lt;&gt; """", 
  LET(
    TargetLevel, VLOOKUP(AW85,MS_Labs_Array,3,false),
    LabSpeed, (1 * REGEXEXTRACT($BH$1, ""[\d.-]+"")) * {IF(AW85 =""Labs Speed"", 1+'Master Sheet'!$BK$5, LAB_SPEED_TOTAL())},
    MaxLevel, VLOOKUP(AW85,MS_Labs_Array,4,false),"&amp;"
    MaxOrTarget, IF(OR(TargetLevel = """",$AD$1 &lt;&gt; ""Target""), MaxLevel, TargetLevel),
    LabLevel, VLOOKUP(AW85,MS_Labs_Array,2,False),
    DVTColumn, MATCH(AW85, DVT_Laboratory!$A$1:BO$1, 0),
    xextTime, INDIRECT(""DVT_Laboratory!"" &amp; ADDRESS(LabLe"&amp;"vel+3, DVTColumn)) / LabSpeed,
    remainingTime, SUM(INDIRECT(""DVT_Laboratory!"" &amp; ADDRESS(LabLevel+3, DVTColumn) &amp; "":"" &amp; ADDRESS(MaxOrTarget+2, DVTColumn))) / LabSpeed,
  AW85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5" s="1249"/>
      <c r="BA85" s="1249"/>
      <c r="BB85" s="1249"/>
      <c r="BC85" s="1249"/>
      <c r="BD85" s="1250" t="str">
        <f>IFERROR(__xludf.DUMMYFUNCTION("if(BC85 &lt;&gt; """", 
  LET( 
    TargetLevel, VLOOKUP(BC85,MS_Labs_Array,3,false),
    MaxLevel, VLOOKUP(BC85,MS_Labs_Array,4,false),
    MaxOrTarget, IF(OR(TargetLevel = """",$AD$1 &lt;&gt; ""Target""), MaxLevel, TargetLevel),
    LabLevel, VLOOKUP(BC85,MS_Labs_A"&amp;"rray,2,False),
    Levelprogress, LabLevel / MaxOrTarget,
    DVTColumn, MATCH(BC85,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5" s="1251" t="str">
        <f>IFERROR(__xludf.DUMMYFUNCTION("if(BC85 &lt;&gt; """", 
  LET(
    TargetLevel, VLOOKUP(BC85,MS_Labs_Array,3,false),
    LabSpeed, (1 * REGEXEXTRACT($BH$1, ""[\d.-]+"")) * {IF(BC85 =""Labs Speed"", 1+'Master Sheet'!$BK$5, LAB_SPEED_TOTAL())},
    MaxLevel, VLOOKUP(BC85,MS_Labs_Array,4,false),"&amp;"
    MaxOrTarget, IF(OR(TargetLevel = """",$AD$1 &lt;&gt; ""Target""), MaxLevel, TargetLevel),
    LabLevel, VLOOKUP(BC85,MS_Labs_Array,2,False),
    DVTColumn, MATCH(BC85, DVT_Laboratory!$A$1:BO$1, 0),
    xextTime, INDIRECT(""DVT_Laboratory!"" &amp; ADDRESS(LabLe"&amp;"vel+3, DVTColumn)) / LabSpeed,
    remainingTime, SUM(INDIRECT(""DVT_Laboratory!"" &amp; ADDRESS(LabLevel+3, DVTColumn) &amp; "":"" &amp; ADDRESS(MaxOrTarget+2, DVTColumn))) / LabSpeed,
  BC85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5" s="1249"/>
      <c r="BG85" s="1249"/>
      <c r="BH85" s="1260" t="str">
        <f>IFERROR(__xludf.DUMMYFUNCTION("""COMPUTED_VALUE"""),"Flame Bot - Cooldown")</f>
        <v>Flame Bot - Cooldown</v>
      </c>
      <c r="BI85" s="1252"/>
      <c r="BJ85" s="1253" t="str">
        <f>IFERROR(__xludf.DUMMYFUNCTION("if(BI85 &lt;&gt; """", 
  LET( 
    TargetLevel, VLOOKUP(BI85,MS_Labs_Array,3,false),
    MaxLevel, VLOOKUP(BI85,MS_Labs_Array,4,false),
    MaxOrTarget, IF(OR(TargetLevel = """",$AD$1 &lt;&gt; ""Target""), MaxLevel, TargetLevel),
    LabLevel, VLOOKUP(BI85,MS_Labs_A"&amp;"rray,2,False),
    Levelprogress, IF(LabLevel &gt;= MaxOrTarget, 1, LabLevel / MaxOrTarget),
    DVTColumn, MATCH(BI85,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5" s="1254" t="str">
        <f>IFERROR(__xludf.DUMMYFUNCTION("if(BI85 &lt;&gt; """", 
  LET(
    TargetLevel, VLOOKUP(BI85,MS_Labs_Array,3,false),
    LabSpeed, (1 * REGEXEXTRACT($BH$1, ""[\d.-]+"")) * {IF(BI85 =""Labs Speed"", 1+'Master Sheet'!$BK$5, LAB_SPEED_TOTAL())},
    MaxLevel, VLOOKUP(BI85,MS_Labs_Array,4,false),"&amp;"
    MaxOrTarget, IF(OR(TargetLevel = """",$AD$1 &lt;&gt; ""Target""), MaxLevel, TargetLevel),
    LabLevel, VLOOKUP(BI85,MS_Labs_Array,2,False),
    DVTColumn, MATCH(BI85, DVT_Laboratory!$A$1:BO$1, 0),
    xextTime, INDIRECT(""DVT_Laboratory!"" &amp; ADDRESS(LabLe"&amp;"vel+3, DVTColumn)) / LabSpeed,
    remainingTime, SUM(INDIRECT(""DVT_Laboratory!"" &amp; ADDRESS(LabLevel+3, DVTColumn) &amp; "":"" &amp; ADDRESS(MaxOrTarget+2, DVTColumn))) / LabSpeed,
  BI85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5" s="1252"/>
      <c r="BM85" s="1252" t="str">
        <f>IFERROR(__xludf.DUMMYFUNCTION("""COMPUTED_VALUE"""),"Required for consistent damage reduction")</f>
        <v>Required for consistent damage reduction</v>
      </c>
      <c r="BN85" s="1222"/>
      <c r="BO85" s="1261"/>
    </row>
    <row r="86" ht="7.5" customHeight="1">
      <c r="A86" s="1222"/>
      <c r="B86" s="1257"/>
      <c r="C86" s="1304" t="s">
        <v>354</v>
      </c>
      <c r="D86" s="1280" t="str">
        <f>VLOOKUP(C86,'Remote Tier List'!A:D, 2, FALSE)</f>
        <v>S+</v>
      </c>
      <c r="E86" s="1281" t="str">
        <f>VLOOKUP(C86,'Remote Tier List'!A:D, 3, FALSE)</f>
        <v/>
      </c>
      <c r="F86" s="1284" t="str">
        <f>VLOOKUP(C86,'Remote Tier List'!A:D, 4, FALSE)</f>
        <v>Self explanatory. Probably the only lab to consider rushing before ancestral modules</v>
      </c>
      <c r="G86" s="1245" t="b">
        <f>IFERROR(AND(VLOOKUP("Tier 5",'_IDS'!$BZ$3:$DT$23, 2, FALSE) &gt; 500,  IDS_UW_OWN("Black Hole")), true)</f>
        <v>1</v>
      </c>
      <c r="H86" s="1246" t="str">
        <f t="array" ref="H86:I86">LET(
  Lab, $C86,
  Mode, $AD$1,
  Level, VLOOKUP(Lab, MS_Labs_Array, 2, FALSE),
  Target, VLOOKUP(Lab, MS_Labs_Array, 3, FALSE),
  Max, VLOOKUP(Lab, MS_Labs_Array, 4, FALSE),
  Result,
    IF(
      AND(
        Mode &lt;&gt; "Never",
        Level &gt;= IF(OR(Target = "", Mode = "Max"), Max, Target)
      ),
      "Completed",
      ""
    ),
  HSTACK(
    IF(Result &lt;&gt; "", Result, $D86),
    IF(Result &lt;&gt; "", Result, IF($E86 = "", $D86, $E86))
  )
)</f>
        <v>Completed</v>
      </c>
      <c r="I86" s="1247" t="s">
        <v>551</v>
      </c>
      <c r="J86" s="1248" t="str">
        <f t="shared" si="18"/>
        <v>Self explanatory. Probably the only lab to consider rushing before ancestral modules</v>
      </c>
      <c r="K86" s="1229"/>
      <c r="L86" s="1249" t="str">
        <f>IFERROR(__xludf.DUMMYFUNCTION("""COMPUTED_VALUE"""),"")</f>
        <v/>
      </c>
      <c r="M86" s="1249"/>
      <c r="N86" s="1250" t="str">
        <f>IFERROR(__xludf.DUMMYFUNCTION("if(M86 &lt;&gt; """", 
  LET( 
    TargetLevel, VLOOKUP(M86,MS_Labs_Array,3,false),
    MaxLevel, VLOOKUP(M86,MS_Labs_Array,4,false),
    MaxOrTarget, IF(OR(TargetLevel = """",$AD$1 &lt;&gt; ""Target""), MaxLevel, TargetLevel),
    LabLevel, VLOOKUP(M86,MS_Labs_Array"&amp;",2,False),
    Levelprogress, LabLevel / MaxOrTarget,
    DVTColumn, MATCH(M86,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6" s="1251" t="str">
        <f>IFERROR(__xludf.DUMMYFUNCTION("if(M86 &lt;&gt; """", 
  LET(
    TargetLevel, VLOOKUP(M86,MS_Labs_Array,3,false),
    LabSpeed, (1 * REGEXEXTRACT($BH$1, ""[\d.-]+"")) * {IF(M86 =""Labs Speed"", 1+'Master Sheet'!$BK$5, LAB_SPEED_TOTAL())},
    MaxLevel, VLOOKUP(M86,MS_Labs_Array,4,false),
   "&amp;" MaxOrTarget, IF(OR(TargetLevel = """",$AD$1 &lt;&gt; ""Target""), MaxLevel, TargetLevel),
    LabLevel, VLOOKUP(M86,MS_Labs_Array,2,False),
    DVTColumn, MATCH(M86, DVT_Laboratory!$A$1:BO$1, 0),
    xextTime, INDIRECT(""DVT_Laboratory!"" &amp; ADDRESS(LabLevel+3,"&amp;" DVTColumn)) / LabSpeed,
    remainingTime, SUM(INDIRECT(""DVT_Laboratory!"" &amp; ADDRESS(LabLevel+3, DVTColumn) &amp; "":"" &amp; ADDRESS(MaxOrTarget+2, DVTColumn))) / LabSpeed,
  M86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6" s="1249"/>
      <c r="Q86" s="1249" t="str">
        <f>IFERROR(__xludf.DUMMYFUNCTION("""COMPUTED_VALUE"""),"")</f>
        <v/>
      </c>
      <c r="R86" s="1249" t="str">
        <f>IFERROR(__xludf.DUMMYFUNCTION("""COMPUTED_VALUE"""),"")</f>
        <v/>
      </c>
      <c r="S86" s="1249"/>
      <c r="T86" s="1250" t="str">
        <f>IFERROR(__xludf.DUMMYFUNCTION("if(S86 &lt;&gt; """", 
  LET( 
    TargetLevel, VLOOKUP(S86,MS_Labs_Array,3,false),
    MaxLevel, VLOOKUP(S86,MS_Labs_Array,4,false),
    MaxOrTarget, IF(OR(TargetLevel = """",$AD$1 &lt;&gt; ""Target""), MaxLevel, TargetLevel),
    LabLevel, VLOOKUP(S86,MS_Labs_Array"&amp;",2,False),
    Levelprogress, LabLevel / MaxOrTarget,
    DVTColumn, MATCH(S86,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6" s="1251" t="str">
        <f>IFERROR(__xludf.DUMMYFUNCTION("if(S86 &lt;&gt; """", 
  LET(
    TargetLevel, VLOOKUP(S86,MS_Labs_Array,3,false),
    LabSpeed, (1 * REGEXEXTRACT($BH$1, ""[\d.-]+"")) * {IF(S86 =""Labs Speed"", 1+'Master Sheet'!$BK$5, LAB_SPEED_TOTAL())},
    MaxLevel, VLOOKUP(S86,MS_Labs_Array,4,false),
   "&amp;" MaxOrTarget, IF(OR(TargetLevel = """",$AD$1 &lt;&gt; ""Target""), MaxLevel, TargetLevel),
    LabLevel, VLOOKUP(S86,MS_Labs_Array,2,False),
    DVTColumn, MATCH(S86, DVT_Laboratory!$A$1:BO$1, 0),
    xextTime, INDIRECT(""DVT_Laboratory!"" &amp; ADDRESS(LabLevel+3,"&amp;" DVTColumn)) / LabSpeed,
    remainingTime, SUM(INDIRECT(""DVT_Laboratory!"" &amp; ADDRESS(LabLevel+3, DVTColumn) &amp; "":"" &amp; ADDRESS(MaxOrTarget+2, DVTColumn))) / LabSpeed,
  S86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6" s="1249"/>
      <c r="W86" s="1249" t="str">
        <f>IFERROR(__xludf.DUMMYFUNCTION("""COMPUTED_VALUE"""),"")</f>
        <v/>
      </c>
      <c r="X86" s="1249" t="str">
        <f>IFERROR(__xludf.DUMMYFUNCTION("""COMPUTED_VALUE"""),"")</f>
        <v/>
      </c>
      <c r="Y86" s="1249"/>
      <c r="Z86" s="1250" t="str">
        <f>IFERROR(__xludf.DUMMYFUNCTION("if(Y86 &lt;&gt; """", 
  LET( 
    TargetLevel, VLOOKUP(Y86,MS_Labs_Array,3,false),
    MaxLevel, VLOOKUP(Y86,MS_Labs_Array,4,false),
    MaxOrTarget, IF(OR(TargetLevel = """",$AD$1 &lt;&gt; ""Target""), MaxLevel, TargetLevel),
    LabLevel, VLOOKUP(Y86,MS_Labs_Array"&amp;",2,False),
    Levelprogress, LabLevel / MaxOrTarget,
    DVTColumn, MATCH(Y86,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6" s="1251" t="str">
        <f>IFERROR(__xludf.DUMMYFUNCTION("if(Y86 &lt;&gt; """", 
  LET(
    TargetLevel, VLOOKUP(Y86,MS_Labs_Array,3,false),
    LabSpeed, (1 * REGEXEXTRACT($BH$1, ""[\d.-]+"")) * {IF(Y86 =""Labs Speed"", 1+'Master Sheet'!$BK$5, LAB_SPEED_TOTAL())},
    MaxLevel, VLOOKUP(Y86,MS_Labs_Array,4,false),
   "&amp;" MaxOrTarget, IF(OR(TargetLevel = """",$AD$1 &lt;&gt; ""Target""), MaxLevel, TargetLevel),
    LabLevel, VLOOKUP(Y86,MS_Labs_Array,2,False),
    DVTColumn, MATCH(Y86, DVT_Laboratory!$A$1:BO$1, 0),
    xextTime, INDIRECT(""DVT_Laboratory!"" &amp; ADDRESS(LabLevel+3,"&amp;" DVTColumn)) / LabSpeed,
    remainingTime, SUM(INDIRECT(""DVT_Laboratory!"" &amp; ADDRESS(LabLevel+3, DVTColumn) &amp; "":"" &amp; ADDRESS(MaxOrTarget+2, DVTColumn))) / LabSpeed,
  Y86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6" s="1249"/>
      <c r="AC86" s="1249" t="str">
        <f>IFERROR(__xludf.DUMMYFUNCTION("""COMPUTED_VALUE"""),"")</f>
        <v/>
      </c>
      <c r="AD86" s="1249" t="str">
        <f>IFERROR(__xludf.DUMMYFUNCTION("""COMPUTED_VALUE"""),"")</f>
        <v/>
      </c>
      <c r="AE86" s="1249"/>
      <c r="AF86" s="1250" t="str">
        <f>IFERROR(__xludf.DUMMYFUNCTION("if(AE86 &lt;&gt; """", 
  LET( 
    TargetLevel, VLOOKUP(AE86,MS_Labs_Array,3,false),
    MaxLevel, VLOOKUP(AE86,MS_Labs_Array,4,false),
    MaxOrTarget, IF(OR(TargetLevel = """",$AD$1 &lt;&gt; ""Target""), MaxLevel, TargetLevel),
    LabLevel, VLOOKUP(AE86,MS_Labs_A"&amp;"rray,2,False),
    Levelprogress, LabLevel / MaxOrTarget,
    DVTColumn, MATCH(AE86,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6" s="1251" t="str">
        <f>IFERROR(__xludf.DUMMYFUNCTION("if(AE86 &lt;&gt; """", 
  LET(
    TargetLevel, VLOOKUP(AE86,MS_Labs_Array,3,false),
    LabSpeed, (1 * REGEXEXTRACT($BH$1, ""[\d.-]+"")) * {IF(AE86 =""Labs Speed"", 1+'Master Sheet'!$BK$5, LAB_SPEED_TOTAL())},
    MaxLevel, VLOOKUP(AE86,MS_Labs_Array,4,false),"&amp;"
    MaxOrTarget, IF(OR(TargetLevel = """",$AD$1 &lt;&gt; ""Target""), MaxLevel, TargetLevel),
    LabLevel, VLOOKUP(AE86,MS_Labs_Array,2,False),
    DVTColumn, MATCH(AE86, DVT_Laboratory!$A$1:BO$1, 0),
    xextTime, INDIRECT(""DVT_Laboratory!"" &amp; ADDRESS(LabLe"&amp;"vel+3, DVTColumn)) / LabSpeed,
    remainingTime, SUM(INDIRECT(""DVT_Laboratory!"" &amp; ADDRESS(LabLevel+3, DVTColumn) &amp; "":"" &amp; ADDRESS(MaxOrTarget+2, DVTColumn))) / LabSpeed,
  AE86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6" s="1249"/>
      <c r="AI86" s="1249" t="str">
        <f>IFERROR(__xludf.DUMMYFUNCTION("""COMPUTED_VALUE"""),"")</f>
        <v/>
      </c>
      <c r="AJ86" s="1249" t="str">
        <f>IFERROR(__xludf.DUMMYFUNCTION("""COMPUTED_VALUE"""),"")</f>
        <v/>
      </c>
      <c r="AK86" s="1249"/>
      <c r="AL86" s="1250" t="str">
        <f>IFERROR(__xludf.DUMMYFUNCTION("if(AK86 &lt;&gt; """", 
  LET( 
    TargetLevel, VLOOKUP(AK86,MS_Labs_Array,3,false),
    MaxLevel, VLOOKUP(AK86,MS_Labs_Array,4,false),
    MaxOrTarget, IF(OR(TargetLevel = """",$AD$1 &lt;&gt; ""Target""), MaxLevel, TargetLevel),
    LabLevel, VLOOKUP(AK86,MS_Labs_A"&amp;"rray,2,False),
    Levelprogress, LabLevel / MaxOrTarget,
    DVTColumn, MATCH(AK86,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6" s="1251" t="str">
        <f>IFERROR(__xludf.DUMMYFUNCTION("if(AK86 &lt;&gt; """", 
  LET(
    TargetLevel, VLOOKUP(AK86,MS_Labs_Array,3,false),
    LabSpeed, (1 * REGEXEXTRACT($BH$1, ""[\d.-]+"")) * {IF(AK86 =""Labs Speed"", 1+'Master Sheet'!$BK$5, LAB_SPEED_TOTAL())},
    MaxLevel, VLOOKUP(AK86,MS_Labs_Array,4,false),"&amp;"
    MaxOrTarget, IF(OR(TargetLevel = """",$AD$1 &lt;&gt; ""Target""), MaxLevel, TargetLevel),
    LabLevel, VLOOKUP(AK86,MS_Labs_Array,2,False),
    DVTColumn, MATCH(AK86, DVT_Laboratory!$A$1:BO$1, 0),
    xextTime, INDIRECT(""DVT_Laboratory!"" &amp; ADDRESS(LabLe"&amp;"vel+3, DVTColumn)) / LabSpeed,
    remainingTime, SUM(INDIRECT(""DVT_Laboratory!"" &amp; ADDRESS(LabLevel+3, DVTColumn) &amp; "":"" &amp; ADDRESS(MaxOrTarget+2, DVTColumn))) / LabSpeed,
  AK86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6" s="1249"/>
      <c r="AO86" s="1249" t="str">
        <f>IFERROR(__xludf.DUMMYFUNCTION("""COMPUTED_VALUE"""),"")</f>
        <v/>
      </c>
      <c r="AP86" s="1249" t="str">
        <f>IFERROR(__xludf.DUMMYFUNCTION("""COMPUTED_VALUE"""),"")</f>
        <v/>
      </c>
      <c r="AQ86" s="1249"/>
      <c r="AR86" s="1250" t="str">
        <f>IFERROR(__xludf.DUMMYFUNCTION("if(AQ86 &lt;&gt; """", 
  LET( 
    TargetLevel, VLOOKUP(AQ86,MS_Labs_Array,3,false),
    MaxLevel, VLOOKUP(AQ86,MS_Labs_Array,4,false),
    MaxOrTarget, IF(OR(TargetLevel = """",$AD$1 &lt;&gt; ""Target""), MaxLevel, TargetLevel),
    LabLevel, VLOOKUP(AQ86,MS_Labs_A"&amp;"rray,2,False),
    Levelprogress, LabLevel / MaxOrTarget,
    DVTColumn, MATCH(AQ86,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6" s="1251" t="str">
        <f>IFERROR(__xludf.DUMMYFUNCTION("if(AQ86 &lt;&gt; """", 
  LET(
    TargetLevel, VLOOKUP(AQ86,MS_Labs_Array,3,false),
    LabSpeed, (1 * REGEXEXTRACT($BH$1, ""[\d.-]+"")) * {IF(AQ86 =""Labs Speed"", 1+'Master Sheet'!$BK$5, LAB_SPEED_TOTAL())},
    MaxLevel, VLOOKUP(AQ86,MS_Labs_Array,4,false),"&amp;"
    MaxOrTarget, IF(OR(TargetLevel = """",$AD$1 &lt;&gt; ""Target""), MaxLevel, TargetLevel),
    LabLevel, VLOOKUP(AQ86,MS_Labs_Array,2,False),
    DVTColumn, MATCH(AQ86, DVT_Laboratory!$A$1:BO$1, 0),
    xextTime, INDIRECT(""DVT_Laboratory!"" &amp; ADDRESS(LabLe"&amp;"vel+3, DVTColumn)) / LabSpeed,
    remainingTime, SUM(INDIRECT(""DVT_Laboratory!"" &amp; ADDRESS(LabLevel+3, DVTColumn) &amp; "":"" &amp; ADDRESS(MaxOrTarget+2, DVTColumn))) / LabSpeed,
  AQ86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6" s="1249"/>
      <c r="AU86" s="1249" t="str">
        <f>IFERROR(__xludf.DUMMYFUNCTION("""COMPUTED_VALUE"""),"")</f>
        <v/>
      </c>
      <c r="AV86" s="1249" t="str">
        <f>IFERROR(__xludf.DUMMYFUNCTION("""COMPUTED_VALUE"""),"")</f>
        <v/>
      </c>
      <c r="AW86" s="1249"/>
      <c r="AX86" s="1250" t="str">
        <f>IFERROR(__xludf.DUMMYFUNCTION("if(AW86 &lt;&gt; """", 
  LET( 
    TargetLevel, VLOOKUP(AW86,MS_Labs_Array,3,false),
    MaxLevel, VLOOKUP(AW86,MS_Labs_Array,4,false),
    MaxOrTarget, IF(OR(TargetLevel = """",$AD$1 &lt;&gt; ""Target""), MaxLevel, TargetLevel),
    LabLevel, VLOOKUP(AW86,MS_Labs_A"&amp;"rray,2,False),
    Levelprogress, LabLevel / MaxOrTarget,
    DVTColumn, MATCH(AW86,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6" s="1251" t="str">
        <f>IFERROR(__xludf.DUMMYFUNCTION("if(AW86 &lt;&gt; """", 
  LET(
    TargetLevel, VLOOKUP(AW86,MS_Labs_Array,3,false),
    LabSpeed, (1 * REGEXEXTRACT($BH$1, ""[\d.-]+"")) * {IF(AW86 =""Labs Speed"", 1+'Master Sheet'!$BK$5, LAB_SPEED_TOTAL())},
    MaxLevel, VLOOKUP(AW86,MS_Labs_Array,4,false),"&amp;"
    MaxOrTarget, IF(OR(TargetLevel = """",$AD$1 &lt;&gt; ""Target""), MaxLevel, TargetLevel),
    LabLevel, VLOOKUP(AW86,MS_Labs_Array,2,False),
    DVTColumn, MATCH(AW86, DVT_Laboratory!$A$1:BO$1, 0),
    xextTime, INDIRECT(""DVT_Laboratory!"" &amp; ADDRESS(LabLe"&amp;"vel+3, DVTColumn)) / LabSpeed,
    remainingTime, SUM(INDIRECT(""DVT_Laboratory!"" &amp; ADDRESS(LabLevel+3, DVTColumn) &amp; "":"" &amp; ADDRESS(MaxOrTarget+2, DVTColumn))) / LabSpeed,
  AW86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6" s="1249"/>
      <c r="BA86" s="1249" t="str">
        <f>IFERROR(__xludf.DUMMYFUNCTION("""COMPUTED_VALUE"""),"")</f>
        <v/>
      </c>
      <c r="BB86" s="1249" t="str">
        <f>IFERROR(__xludf.DUMMYFUNCTION("""COMPUTED_VALUE"""),"")</f>
        <v/>
      </c>
      <c r="BC86" s="1249"/>
      <c r="BD86" s="1250" t="str">
        <f>IFERROR(__xludf.DUMMYFUNCTION("if(BC86 &lt;&gt; """", 
  LET( 
    TargetLevel, VLOOKUP(BC86,MS_Labs_Array,3,false),
    MaxLevel, VLOOKUP(BC86,MS_Labs_Array,4,false),
    MaxOrTarget, IF(OR(TargetLevel = """",$AD$1 &lt;&gt; ""Target""), MaxLevel, TargetLevel),
    LabLevel, VLOOKUP(BC86,MS_Labs_A"&amp;"rray,2,False),
    Levelprogress, LabLevel / MaxOrTarget,
    DVTColumn, MATCH(BC86,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6" s="1251" t="str">
        <f>IFERROR(__xludf.DUMMYFUNCTION("if(BC86 &lt;&gt; """", 
  LET(
    TargetLevel, VLOOKUP(BC86,MS_Labs_Array,3,false),
    LabSpeed, (1 * REGEXEXTRACT($BH$1, ""[\d.-]+"")) * {IF(BC86 =""Labs Speed"", 1+'Master Sheet'!$BK$5, LAB_SPEED_TOTAL())},
    MaxLevel, VLOOKUP(BC86,MS_Labs_Array,4,false),"&amp;"
    MaxOrTarget, IF(OR(TargetLevel = """",$AD$1 &lt;&gt; ""Target""), MaxLevel, TargetLevel),
    LabLevel, VLOOKUP(BC86,MS_Labs_Array,2,False),
    DVTColumn, MATCH(BC86, DVT_Laboratory!$A$1:BO$1, 0),
    xextTime, INDIRECT(""DVT_Laboratory!"" &amp; ADDRESS(LabLe"&amp;"vel+3, DVTColumn)) / LabSpeed,
    remainingTime, SUM(INDIRECT(""DVT_Laboratory!"" &amp; ADDRESS(LabLevel+3, DVTColumn) &amp; "":"" &amp; ADDRESS(MaxOrTarget+2, DVTColumn))) / LabSpeed,
  BC86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6" s="1249"/>
      <c r="BG86" s="1249" t="str">
        <f>IFERROR(__xludf.DUMMYFUNCTION("""COMPUTED_VALUE"""),"")</f>
        <v/>
      </c>
      <c r="BH86" s="1260" t="str">
        <f>IFERROR(__xludf.DUMMYFUNCTION("""COMPUTED_VALUE"""),"")</f>
        <v/>
      </c>
      <c r="BI86" s="1252"/>
      <c r="BJ86" s="1253" t="str">
        <f>IFERROR(__xludf.DUMMYFUNCTION("if(BI86 &lt;&gt; """", 
  LET( 
    TargetLevel, VLOOKUP(BI86,MS_Labs_Array,3,false),
    MaxLevel, VLOOKUP(BI86,MS_Labs_Array,4,false),
    MaxOrTarget, IF(OR(TargetLevel = """",$AD$1 &lt;&gt; ""Target""), MaxLevel, TargetLevel),
    LabLevel, VLOOKUP(BI86,MS_Labs_A"&amp;"rray,2,False),
    Levelprogress, IF(LabLevel &gt;= MaxOrTarget, 1, LabLevel / MaxOrTarget),
    DVTColumn, MATCH(BI86,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6" s="1254" t="str">
        <f>IFERROR(__xludf.DUMMYFUNCTION("if(BI86 &lt;&gt; """", 
  LET(
    TargetLevel, VLOOKUP(BI86,MS_Labs_Array,3,false),
    LabSpeed, (1 * REGEXEXTRACT($BH$1, ""[\d.-]+"")) * {IF(BI86 =""Labs Speed"", 1+'Master Sheet'!$BK$5, LAB_SPEED_TOTAL())},
    MaxLevel, VLOOKUP(BI86,MS_Labs_Array,4,false),"&amp;"
    MaxOrTarget, IF(OR(TargetLevel = """",$AD$1 &lt;&gt; ""Target""), MaxLevel, TargetLevel),
    LabLevel, VLOOKUP(BI86,MS_Labs_Array,2,False),
    DVTColumn, MATCH(BI86, DVT_Laboratory!$A$1:BO$1, 0),
    xextTime, INDIRECT(""DVT_Laboratory!"" &amp; ADDRESS(LabLe"&amp;"vel+3, DVTColumn)) / LabSpeed,
    remainingTime, SUM(INDIRECT(""DVT_Laboratory!"" &amp; ADDRESS(LabLevel+3, DVTColumn) &amp; "":"" &amp; ADDRESS(MaxOrTarget+2, DVTColumn))) / LabSpeed,
  BI86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6" s="1252"/>
      <c r="BM86" s="1252" t="str">
        <f>IFERROR(__xludf.DUMMYFUNCTION("""COMPUTED_VALUE"""),"Flame Bot - Cooldown
  Lab Level:      25 / 25 (Max)
  Next Level:    
  Max Level:     5d 10h 10m")</f>
        <v>Flame Bot - Cooldown
  Lab Level:      25 / 25 (Max)
  Next Level:    
  Max Level:     5d 10h 10m</v>
      </c>
      <c r="BN86" s="1222"/>
      <c r="BO86" s="1261"/>
    </row>
    <row r="87">
      <c r="A87" s="1222"/>
      <c r="B87" s="1257"/>
      <c r="C87" s="1304" t="s">
        <v>356</v>
      </c>
      <c r="D87" s="1280" t="str">
        <f>VLOOKUP(C87,'Remote Tier List'!A:D, 2, FALSE)</f>
        <v>S</v>
      </c>
      <c r="E87" s="1281" t="str">
        <f>VLOOKUP(C87,'Remote Tier List'!A:D, 3, FALSE)</f>
        <v/>
      </c>
      <c r="F87" s="1284" t="str">
        <f>VLOOKUP(C87,'Remote Tier List'!A:D, 4, FALSE)</f>
        <v>Best coin multiplier that isn't GT</v>
      </c>
      <c r="G87" s="1245" t="b">
        <f>IFERROR(AND(VLOOKUP("Tier 5",'_IDS'!$BZ$3:$DT$23, 2, FALSE) &gt; 150,  IDS_UW_OWN("Black Hole")), true)</f>
        <v>1</v>
      </c>
      <c r="H87" s="1246" t="str">
        <f t="array" ref="H87:I87">LET(
  Lab, $C87,
  Mode, $AD$1,
  Level, VLOOKUP(Lab, MS_Labs_Array, 2, FALSE),
  Target, VLOOKUP(Lab, MS_Labs_Array, 3, FALSE),
  Max, VLOOKUP(Lab, MS_Labs_Array, 4, FALSE),
  Result,
    IF(
      AND(
        Mode &lt;&gt; "Never",
        Level &gt;= IF(OR(Target = "", Mode = "Max"), Max, Target)
      ),
      "Completed",
      ""
    ),
  HSTACK(
    IF(Result &lt;&gt; "", Result, $D87),
    IF(Result &lt;&gt; "", Result, IF($E87 = "", $D87, $E87))
  )
)</f>
        <v>Completed</v>
      </c>
      <c r="I87" s="1247" t="s">
        <v>551</v>
      </c>
      <c r="J87" s="1248" t="str">
        <f t="shared" si="18"/>
        <v>Best coin multiplier that isn't GT</v>
      </c>
      <c r="K87" s="1229"/>
      <c r="L87" s="1249"/>
      <c r="M87" s="1249"/>
      <c r="N87" s="1250" t="str">
        <f>IFERROR(__xludf.DUMMYFUNCTION("if(M87 &lt;&gt; """", 
  LET( 
    TargetLevel, VLOOKUP(M87,MS_Labs_Array,3,false),
    MaxLevel, VLOOKUP(M87,MS_Labs_Array,4,false),
    MaxOrTarget, IF(OR(TargetLevel = """",$AD$1 &lt;&gt; ""Target""), MaxLevel, TargetLevel),
    LabLevel, VLOOKUP(M87,MS_Labs_Array"&amp;",2,False),
    Levelprogress, LabLevel / MaxOrTarget,
    DVTColumn, MATCH(M87,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7" s="1251" t="str">
        <f>IFERROR(__xludf.DUMMYFUNCTION("if(M87 &lt;&gt; """", 
  LET(
    TargetLevel, VLOOKUP(M87,MS_Labs_Array,3,false),
    LabSpeed, (1 * REGEXEXTRACT($BH$1, ""[\d.-]+"")) * {IF(M87 =""Labs Speed"", 1+'Master Sheet'!$BK$5, LAB_SPEED_TOTAL())},
    MaxLevel, VLOOKUP(M87,MS_Labs_Array,4,false),
   "&amp;" MaxOrTarget, IF(OR(TargetLevel = """",$AD$1 &lt;&gt; ""Target""), MaxLevel, TargetLevel),
    LabLevel, VLOOKUP(M87,MS_Labs_Array,2,False),
    DVTColumn, MATCH(M87, DVT_Laboratory!$A$1:BO$1, 0),
    xextTime, INDIRECT(""DVT_Laboratory!"" &amp; ADDRESS(LabLevel+3,"&amp;" DVTColumn)) / LabSpeed,
    remainingTime, SUM(INDIRECT(""DVT_Laboratory!"" &amp; ADDRESS(LabLevel+3, DVTColumn) &amp; "":"" &amp; ADDRESS(MaxOrTarget+2, DVTColumn))) / LabSpeed,
  M87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7" s="1249"/>
      <c r="Q87" s="1249"/>
      <c r="R87" s="1249"/>
      <c r="S87" s="1249"/>
      <c r="T87" s="1250" t="str">
        <f>IFERROR(__xludf.DUMMYFUNCTION("if(S87 &lt;&gt; """", 
  LET( 
    TargetLevel, VLOOKUP(S87,MS_Labs_Array,3,false),
    MaxLevel, VLOOKUP(S87,MS_Labs_Array,4,false),
    MaxOrTarget, IF(OR(TargetLevel = """",$AD$1 &lt;&gt; ""Target""), MaxLevel, TargetLevel),
    LabLevel, VLOOKUP(S87,MS_Labs_Array"&amp;",2,False),
    Levelprogress, LabLevel / MaxOrTarget,
    DVTColumn, MATCH(S87,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7" s="1251" t="str">
        <f>IFERROR(__xludf.DUMMYFUNCTION("if(S87 &lt;&gt; """", 
  LET(
    TargetLevel, VLOOKUP(S87,MS_Labs_Array,3,false),
    LabSpeed, (1 * REGEXEXTRACT($BH$1, ""[\d.-]+"")) * {IF(S87 =""Labs Speed"", 1+'Master Sheet'!$BK$5, LAB_SPEED_TOTAL())},
    MaxLevel, VLOOKUP(S87,MS_Labs_Array,4,false),
   "&amp;" MaxOrTarget, IF(OR(TargetLevel = """",$AD$1 &lt;&gt; ""Target""), MaxLevel, TargetLevel),
    LabLevel, VLOOKUP(S87,MS_Labs_Array,2,False),
    DVTColumn, MATCH(S87, DVT_Laboratory!$A$1:BO$1, 0),
    xextTime, INDIRECT(""DVT_Laboratory!"" &amp; ADDRESS(LabLevel+3,"&amp;" DVTColumn)) / LabSpeed,
    remainingTime, SUM(INDIRECT(""DVT_Laboratory!"" &amp; ADDRESS(LabLevel+3, DVTColumn) &amp; "":"" &amp; ADDRESS(MaxOrTarget+2, DVTColumn))) / LabSpeed,
  S87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7" s="1249"/>
      <c r="W87" s="1249"/>
      <c r="X87" s="1249"/>
      <c r="Y87" s="1249"/>
      <c r="Z87" s="1250" t="str">
        <f>IFERROR(__xludf.DUMMYFUNCTION("if(Y87 &lt;&gt; """", 
  LET( 
    TargetLevel, VLOOKUP(Y87,MS_Labs_Array,3,false),
    MaxLevel, VLOOKUP(Y87,MS_Labs_Array,4,false),
    MaxOrTarget, IF(OR(TargetLevel = """",$AD$1 &lt;&gt; ""Target""), MaxLevel, TargetLevel),
    LabLevel, VLOOKUP(Y87,MS_Labs_Array"&amp;",2,False),
    Levelprogress, LabLevel / MaxOrTarget,
    DVTColumn, MATCH(Y87,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7" s="1251" t="str">
        <f>IFERROR(__xludf.DUMMYFUNCTION("if(Y87 &lt;&gt; """", 
  LET(
    TargetLevel, VLOOKUP(Y87,MS_Labs_Array,3,false),
    LabSpeed, (1 * REGEXEXTRACT($BH$1, ""[\d.-]+"")) * {IF(Y87 =""Labs Speed"", 1+'Master Sheet'!$BK$5, LAB_SPEED_TOTAL())},
    MaxLevel, VLOOKUP(Y87,MS_Labs_Array,4,false),
   "&amp;" MaxOrTarget, IF(OR(TargetLevel = """",$AD$1 &lt;&gt; ""Target""), MaxLevel, TargetLevel),
    LabLevel, VLOOKUP(Y87,MS_Labs_Array,2,False),
    DVTColumn, MATCH(Y87, DVT_Laboratory!$A$1:BO$1, 0),
    xextTime, INDIRECT(""DVT_Laboratory!"" &amp; ADDRESS(LabLevel+3,"&amp;" DVTColumn)) / LabSpeed,
    remainingTime, SUM(INDIRECT(""DVT_Laboratory!"" &amp; ADDRESS(LabLevel+3, DVTColumn) &amp; "":"" &amp; ADDRESS(MaxOrTarget+2, DVTColumn))) / LabSpeed,
  Y87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7" s="1249"/>
      <c r="AC87" s="1249"/>
      <c r="AD87" s="1249"/>
      <c r="AE87" s="1249"/>
      <c r="AF87" s="1250" t="str">
        <f>IFERROR(__xludf.DUMMYFUNCTION("if(AE87 &lt;&gt; """", 
  LET( 
    TargetLevel, VLOOKUP(AE87,MS_Labs_Array,3,false),
    MaxLevel, VLOOKUP(AE87,MS_Labs_Array,4,false),
    MaxOrTarget, IF(OR(TargetLevel = """",$AD$1 &lt;&gt; ""Target""), MaxLevel, TargetLevel),
    LabLevel, VLOOKUP(AE87,MS_Labs_A"&amp;"rray,2,False),
    Levelprogress, LabLevel / MaxOrTarget,
    DVTColumn, MATCH(AE87,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7" s="1251" t="str">
        <f>IFERROR(__xludf.DUMMYFUNCTION("if(AE87 &lt;&gt; """", 
  LET(
    TargetLevel, VLOOKUP(AE87,MS_Labs_Array,3,false),
    LabSpeed, (1 * REGEXEXTRACT($BH$1, ""[\d.-]+"")) * {IF(AE87 =""Labs Speed"", 1+'Master Sheet'!$BK$5, LAB_SPEED_TOTAL())},
    MaxLevel, VLOOKUP(AE87,MS_Labs_Array,4,false),"&amp;"
    MaxOrTarget, IF(OR(TargetLevel = """",$AD$1 &lt;&gt; ""Target""), MaxLevel, TargetLevel),
    LabLevel, VLOOKUP(AE87,MS_Labs_Array,2,False),
    DVTColumn, MATCH(AE87, DVT_Laboratory!$A$1:BO$1, 0),
    xextTime, INDIRECT(""DVT_Laboratory!"" &amp; ADDRESS(LabLe"&amp;"vel+3, DVTColumn)) / LabSpeed,
    remainingTime, SUM(INDIRECT(""DVT_Laboratory!"" &amp; ADDRESS(LabLevel+3, DVTColumn) &amp; "":"" &amp; ADDRESS(MaxOrTarget+2, DVTColumn))) / LabSpeed,
  AE87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7" s="1249"/>
      <c r="AI87" s="1249"/>
      <c r="AJ87" s="1249"/>
      <c r="AK87" s="1249"/>
      <c r="AL87" s="1250" t="str">
        <f>IFERROR(__xludf.DUMMYFUNCTION("if(AK87 &lt;&gt; """", 
  LET( 
    TargetLevel, VLOOKUP(AK87,MS_Labs_Array,3,false),
    MaxLevel, VLOOKUP(AK87,MS_Labs_Array,4,false),
    MaxOrTarget, IF(OR(TargetLevel = """",$AD$1 &lt;&gt; ""Target""), MaxLevel, TargetLevel),
    LabLevel, VLOOKUP(AK87,MS_Labs_A"&amp;"rray,2,False),
    Levelprogress, LabLevel / MaxOrTarget,
    DVTColumn, MATCH(AK87,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7" s="1251" t="str">
        <f>IFERROR(__xludf.DUMMYFUNCTION("if(AK87 &lt;&gt; """", 
  LET(
    TargetLevel, VLOOKUP(AK87,MS_Labs_Array,3,false),
    LabSpeed, (1 * REGEXEXTRACT($BH$1, ""[\d.-]+"")) * {IF(AK87 =""Labs Speed"", 1+'Master Sheet'!$BK$5, LAB_SPEED_TOTAL())},
    MaxLevel, VLOOKUP(AK87,MS_Labs_Array,4,false),"&amp;"
    MaxOrTarget, IF(OR(TargetLevel = """",$AD$1 &lt;&gt; ""Target""), MaxLevel, TargetLevel),
    LabLevel, VLOOKUP(AK87,MS_Labs_Array,2,False),
    DVTColumn, MATCH(AK87, DVT_Laboratory!$A$1:BO$1, 0),
    xextTime, INDIRECT(""DVT_Laboratory!"" &amp; ADDRESS(LabLe"&amp;"vel+3, DVTColumn)) / LabSpeed,
    remainingTime, SUM(INDIRECT(""DVT_Laboratory!"" &amp; ADDRESS(LabLevel+3, DVTColumn) &amp; "":"" &amp; ADDRESS(MaxOrTarget+2, DVTColumn))) / LabSpeed,
  AK87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7" s="1249"/>
      <c r="AO87" s="1249"/>
      <c r="AP87" s="1249"/>
      <c r="AQ87" s="1249"/>
      <c r="AR87" s="1250" t="str">
        <f>IFERROR(__xludf.DUMMYFUNCTION("if(AQ87 &lt;&gt; """", 
  LET( 
    TargetLevel, VLOOKUP(AQ87,MS_Labs_Array,3,false),
    MaxLevel, VLOOKUP(AQ87,MS_Labs_Array,4,false),
    MaxOrTarget, IF(OR(TargetLevel = """",$AD$1 &lt;&gt; ""Target""), MaxLevel, TargetLevel),
    LabLevel, VLOOKUP(AQ87,MS_Labs_A"&amp;"rray,2,False),
    Levelprogress, LabLevel / MaxOrTarget,
    DVTColumn, MATCH(AQ87,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7" s="1251" t="str">
        <f>IFERROR(__xludf.DUMMYFUNCTION("if(AQ87 &lt;&gt; """", 
  LET(
    TargetLevel, VLOOKUP(AQ87,MS_Labs_Array,3,false),
    LabSpeed, (1 * REGEXEXTRACT($BH$1, ""[\d.-]+"")) * {IF(AQ87 =""Labs Speed"", 1+'Master Sheet'!$BK$5, LAB_SPEED_TOTAL())},
    MaxLevel, VLOOKUP(AQ87,MS_Labs_Array,4,false),"&amp;"
    MaxOrTarget, IF(OR(TargetLevel = """",$AD$1 &lt;&gt; ""Target""), MaxLevel, TargetLevel),
    LabLevel, VLOOKUP(AQ87,MS_Labs_Array,2,False),
    DVTColumn, MATCH(AQ87, DVT_Laboratory!$A$1:BO$1, 0),
    xextTime, INDIRECT(""DVT_Laboratory!"" &amp; ADDRESS(LabLe"&amp;"vel+3, DVTColumn)) / LabSpeed,
    remainingTime, SUM(INDIRECT(""DVT_Laboratory!"" &amp; ADDRESS(LabLevel+3, DVTColumn) &amp; "":"" &amp; ADDRESS(MaxOrTarget+2, DVTColumn))) / LabSpeed,
  AQ87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7" s="1249"/>
      <c r="AU87" s="1249"/>
      <c r="AV87" s="1249"/>
      <c r="AW87" s="1249"/>
      <c r="AX87" s="1250" t="str">
        <f>IFERROR(__xludf.DUMMYFUNCTION("if(AW87 &lt;&gt; """", 
  LET( 
    TargetLevel, VLOOKUP(AW87,MS_Labs_Array,3,false),
    MaxLevel, VLOOKUP(AW87,MS_Labs_Array,4,false),
    MaxOrTarget, IF(OR(TargetLevel = """",$AD$1 &lt;&gt; ""Target""), MaxLevel, TargetLevel),
    LabLevel, VLOOKUP(AW87,MS_Labs_A"&amp;"rray,2,False),
    Levelprogress, LabLevel / MaxOrTarget,
    DVTColumn, MATCH(AW87,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7" s="1251" t="str">
        <f>IFERROR(__xludf.DUMMYFUNCTION("if(AW87 &lt;&gt; """", 
  LET(
    TargetLevel, VLOOKUP(AW87,MS_Labs_Array,3,false),
    LabSpeed, (1 * REGEXEXTRACT($BH$1, ""[\d.-]+"")) * {IF(AW87 =""Labs Speed"", 1+'Master Sheet'!$BK$5, LAB_SPEED_TOTAL())},
    MaxLevel, VLOOKUP(AW87,MS_Labs_Array,4,false),"&amp;"
    MaxOrTarget, IF(OR(TargetLevel = """",$AD$1 &lt;&gt; ""Target""), MaxLevel, TargetLevel),
    LabLevel, VLOOKUP(AW87,MS_Labs_Array,2,False),
    DVTColumn, MATCH(AW87, DVT_Laboratory!$A$1:BO$1, 0),
    xextTime, INDIRECT(""DVT_Laboratory!"" &amp; ADDRESS(LabLe"&amp;"vel+3, DVTColumn)) / LabSpeed,
    remainingTime, SUM(INDIRECT(""DVT_Laboratory!"" &amp; ADDRESS(LabLevel+3, DVTColumn) &amp; "":"" &amp; ADDRESS(MaxOrTarget+2, DVTColumn))) / LabSpeed,
  AW87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7" s="1249"/>
      <c r="BA87" s="1249"/>
      <c r="BB87" s="1249"/>
      <c r="BC87" s="1249"/>
      <c r="BD87" s="1250" t="str">
        <f>IFERROR(__xludf.DUMMYFUNCTION("if(BC87 &lt;&gt; """", 
  LET( 
    TargetLevel, VLOOKUP(BC87,MS_Labs_Array,3,false),
    MaxLevel, VLOOKUP(BC87,MS_Labs_Array,4,false),
    MaxOrTarget, IF(OR(TargetLevel = """",$AD$1 &lt;&gt; ""Target""), MaxLevel, TargetLevel),
    LabLevel, VLOOKUP(BC87,MS_Labs_A"&amp;"rray,2,False),
    Levelprogress, LabLevel / MaxOrTarget,
    DVTColumn, MATCH(BC87,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7" s="1251" t="str">
        <f>IFERROR(__xludf.DUMMYFUNCTION("if(BC87 &lt;&gt; """", 
  LET(
    TargetLevel, VLOOKUP(BC87,MS_Labs_Array,3,false),
    LabSpeed, (1 * REGEXEXTRACT($BH$1, ""[\d.-]+"")) * {IF(BC87 =""Labs Speed"", 1+'Master Sheet'!$BK$5, LAB_SPEED_TOTAL())},
    MaxLevel, VLOOKUP(BC87,MS_Labs_Array,4,false),"&amp;"
    MaxOrTarget, IF(OR(TargetLevel = """",$AD$1 &lt;&gt; ""Target""), MaxLevel, TargetLevel),
    LabLevel, VLOOKUP(BC87,MS_Labs_Array,2,False),
    DVTColumn, MATCH(BC87, DVT_Laboratory!$A$1:BO$1, 0),
    xextTime, INDIRECT(""DVT_Laboratory!"" &amp; ADDRESS(LabLe"&amp;"vel+3, DVTColumn)) / LabSpeed,
    remainingTime, SUM(INDIRECT(""DVT_Laboratory!"" &amp; ADDRESS(LabLevel+3, DVTColumn) &amp; "":"" &amp; ADDRESS(MaxOrTarget+2, DVTColumn))) / LabSpeed,
  BC87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7" s="1249"/>
      <c r="BG87" s="1249"/>
      <c r="BH87" s="1260" t="str">
        <f>IFERROR(__xludf.DUMMYFUNCTION("""COMPUTED_VALUE"""),"Common Drop Chance")</f>
        <v>Common Drop Chance</v>
      </c>
      <c r="BI87" s="1252"/>
      <c r="BJ87" s="1253" t="str">
        <f>IFERROR(__xludf.DUMMYFUNCTION("if(BI87 &lt;&gt; """", 
  LET( 
    TargetLevel, VLOOKUP(BI87,MS_Labs_Array,3,false),
    MaxLevel, VLOOKUP(BI87,MS_Labs_Array,4,false),
    MaxOrTarget, IF(OR(TargetLevel = """",$AD$1 &lt;&gt; ""Target""), MaxLevel, TargetLevel),
    LabLevel, VLOOKUP(BI87,MS_Labs_A"&amp;"rray,2,False),
    Levelprogress, IF(LabLevel &gt;= MaxOrTarget, 1, LabLevel / MaxOrTarget),
    DVTColumn, MATCH(BI87,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7" s="1254" t="str">
        <f>IFERROR(__xludf.DUMMYFUNCTION("if(BI87 &lt;&gt; """", 
  LET(
    TargetLevel, VLOOKUP(BI87,MS_Labs_Array,3,false),
    LabSpeed, (1 * REGEXEXTRACT($BH$1, ""[\d.-]+"")) * {IF(BI87 =""Labs Speed"", 1+'Master Sheet'!$BK$5, LAB_SPEED_TOTAL())},
    MaxLevel, VLOOKUP(BI87,MS_Labs_Array,4,false),"&amp;"
    MaxOrTarget, IF(OR(TargetLevel = """",$AD$1 &lt;&gt; ""Target""), MaxLevel, TargetLevel),
    LabLevel, VLOOKUP(BI87,MS_Labs_Array,2,False),
    DVTColumn, MATCH(BI87, DVT_Laboratory!$A$1:BO$1, 0),
    xextTime, INDIRECT(""DVT_Laboratory!"" &amp; ADDRESS(LabLe"&amp;"vel+3, DVTColumn)) / LabSpeed,
    remainingTime, SUM(INDIRECT(""DVT_Laboratory!"" &amp; ADDRESS(LabLevel+3, DVTColumn) &amp; "":"" &amp; ADDRESS(MaxOrTarget+2, DVTColumn))) / LabSpeed,
  BI87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7" s="1252"/>
      <c r="BM87" s="1252" t="str">
        <f>IFERROR(__xludf.DUMMYFUNCTION("""COMPUTED_VALUE"""),"Very important long term for shard income. Affects most stats")</f>
        <v>Very important long term for shard income. Affects most stats</v>
      </c>
      <c r="BN87" s="1222"/>
      <c r="BO87" s="1261"/>
    </row>
    <row r="88" ht="7.5" customHeight="1">
      <c r="A88" s="1222"/>
      <c r="B88" s="1262" t="s">
        <v>560</v>
      </c>
      <c r="C88" s="1304" t="s">
        <v>358</v>
      </c>
      <c r="D88" s="1280" t="str">
        <f>VLOOKUP(C88,'Remote Tier List'!A:D, 2, FALSE)</f>
        <v>A</v>
      </c>
      <c r="E88" s="1281" t="str">
        <f>VLOOKUP(C88,'Remote Tier List'!A:D, 3, FALSE)</f>
        <v/>
      </c>
      <c r="F88" s="1284" t="str">
        <f>VLOOKUP(C88,'Remote Tier List'!A:D, 4, FALSE)</f>
        <v>Third best coin multiplier</v>
      </c>
      <c r="G88" s="1245" t="b">
        <f>IFERROR(AND(VLOOKUP("Tier 7",'_IDS'!$BZ$3:$DT$23, 2, FALSE) &gt; 80,  IDS_UW_OWN("Spotlight")), true)</f>
        <v>1</v>
      </c>
      <c r="H88" s="1246" t="str">
        <f t="array" ref="H88:I88">LET(
  Lab, $C88,
  Mode, $AD$1,
  Level, VLOOKUP(Lab, MS_Labs_Array, 2, FALSE),
  Target, VLOOKUP(Lab, MS_Labs_Array, 3, FALSE),
  Max, VLOOKUP(Lab, MS_Labs_Array, 4, FALSE),
  Result,
    IF(
      AND(
        Mode &lt;&gt; "Never",
        Level &gt;= IF(OR(Target = "", Mode = "Max"), Max, Target)
      ),
      "Completed",
      ""
    ),
  HSTACK(
    IF(Result &lt;&gt; "", Result, $D88),
    IF(Result &lt;&gt; "", Result, IF($E88 = "", $D88, $E88))
  )
)</f>
        <v>Completed</v>
      </c>
      <c r="I88" s="1247" t="s">
        <v>551</v>
      </c>
      <c r="J88" s="1248" t="str">
        <f t="shared" si="18"/>
        <v>Third best coin multiplier</v>
      </c>
      <c r="K88" s="1229"/>
      <c r="L88" s="1249" t="str">
        <f>IFERROR(__xludf.DUMMYFUNCTION("""COMPUTED_VALUE"""),"")</f>
        <v/>
      </c>
      <c r="M88" s="1249"/>
      <c r="N88" s="1250" t="str">
        <f>IFERROR(__xludf.DUMMYFUNCTION("if(M88 &lt;&gt; """", 
  LET( 
    TargetLevel, VLOOKUP(M88,MS_Labs_Array,3,false),
    MaxLevel, VLOOKUP(M88,MS_Labs_Array,4,false),
    MaxOrTarget, IF(OR(TargetLevel = """",$AD$1 &lt;&gt; ""Target""), MaxLevel, TargetLevel),
    LabLevel, VLOOKUP(M88,MS_Labs_Array"&amp;",2,False),
    Levelprogress, LabLevel / MaxOrTarget,
    DVTColumn, MATCH(M88,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8" s="1251" t="str">
        <f>IFERROR(__xludf.DUMMYFUNCTION("if(M88 &lt;&gt; """", 
  LET(
    TargetLevel, VLOOKUP(M88,MS_Labs_Array,3,false),
    LabSpeed, (1 * REGEXEXTRACT($BH$1, ""[\d.-]+"")) * {IF(M88 =""Labs Speed"", 1+'Master Sheet'!$BK$5, LAB_SPEED_TOTAL())},
    MaxLevel, VLOOKUP(M88,MS_Labs_Array,4,false),
   "&amp;" MaxOrTarget, IF(OR(TargetLevel = """",$AD$1 &lt;&gt; ""Target""), MaxLevel, TargetLevel),
    LabLevel, VLOOKUP(M88,MS_Labs_Array,2,False),
    DVTColumn, MATCH(M88, DVT_Laboratory!$A$1:BO$1, 0),
    xextTime, INDIRECT(""DVT_Laboratory!"" &amp; ADDRESS(LabLevel+3,"&amp;" DVTColumn)) / LabSpeed,
    remainingTime, SUM(INDIRECT(""DVT_Laboratory!"" &amp; ADDRESS(LabLevel+3, DVTColumn) &amp; "":"" &amp; ADDRESS(MaxOrTarget+2, DVTColumn))) / LabSpeed,
  M88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8" s="1249"/>
      <c r="Q88" s="1249" t="str">
        <f>IFERROR(__xludf.DUMMYFUNCTION("""COMPUTED_VALUE"""),"")</f>
        <v/>
      </c>
      <c r="R88" s="1249" t="str">
        <f>IFERROR(__xludf.DUMMYFUNCTION("""COMPUTED_VALUE"""),"")</f>
        <v/>
      </c>
      <c r="S88" s="1249"/>
      <c r="T88" s="1250" t="str">
        <f>IFERROR(__xludf.DUMMYFUNCTION("if(S88 &lt;&gt; """", 
  LET( 
    TargetLevel, VLOOKUP(S88,MS_Labs_Array,3,false),
    MaxLevel, VLOOKUP(S88,MS_Labs_Array,4,false),
    MaxOrTarget, IF(OR(TargetLevel = """",$AD$1 &lt;&gt; ""Target""), MaxLevel, TargetLevel),
    LabLevel, VLOOKUP(S88,MS_Labs_Array"&amp;",2,False),
    Levelprogress, LabLevel / MaxOrTarget,
    DVTColumn, MATCH(S88,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8" s="1251" t="str">
        <f>IFERROR(__xludf.DUMMYFUNCTION("if(S88 &lt;&gt; """", 
  LET(
    TargetLevel, VLOOKUP(S88,MS_Labs_Array,3,false),
    LabSpeed, (1 * REGEXEXTRACT($BH$1, ""[\d.-]+"")) * {IF(S88 =""Labs Speed"", 1+'Master Sheet'!$BK$5, LAB_SPEED_TOTAL())},
    MaxLevel, VLOOKUP(S88,MS_Labs_Array,4,false),
   "&amp;" MaxOrTarget, IF(OR(TargetLevel = """",$AD$1 &lt;&gt; ""Target""), MaxLevel, TargetLevel),
    LabLevel, VLOOKUP(S88,MS_Labs_Array,2,False),
    DVTColumn, MATCH(S88, DVT_Laboratory!$A$1:BO$1, 0),
    xextTime, INDIRECT(""DVT_Laboratory!"" &amp; ADDRESS(LabLevel+3,"&amp;" DVTColumn)) / LabSpeed,
    remainingTime, SUM(INDIRECT(""DVT_Laboratory!"" &amp; ADDRESS(LabLevel+3, DVTColumn) &amp; "":"" &amp; ADDRESS(MaxOrTarget+2, DVTColumn))) / LabSpeed,
  S88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8" s="1249"/>
      <c r="W88" s="1249" t="str">
        <f>IFERROR(__xludf.DUMMYFUNCTION("""COMPUTED_VALUE"""),"")</f>
        <v/>
      </c>
      <c r="X88" s="1249" t="str">
        <f>IFERROR(__xludf.DUMMYFUNCTION("""COMPUTED_VALUE"""),"")</f>
        <v/>
      </c>
      <c r="Y88" s="1249"/>
      <c r="Z88" s="1250" t="str">
        <f>IFERROR(__xludf.DUMMYFUNCTION("if(Y88 &lt;&gt; """", 
  LET( 
    TargetLevel, VLOOKUP(Y88,MS_Labs_Array,3,false),
    MaxLevel, VLOOKUP(Y88,MS_Labs_Array,4,false),
    MaxOrTarget, IF(OR(TargetLevel = """",$AD$1 &lt;&gt; ""Target""), MaxLevel, TargetLevel),
    LabLevel, VLOOKUP(Y88,MS_Labs_Array"&amp;",2,False),
    Levelprogress, LabLevel / MaxOrTarget,
    DVTColumn, MATCH(Y88,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8" s="1251" t="str">
        <f>IFERROR(__xludf.DUMMYFUNCTION("if(Y88 &lt;&gt; """", 
  LET(
    TargetLevel, VLOOKUP(Y88,MS_Labs_Array,3,false),
    LabSpeed, (1 * REGEXEXTRACT($BH$1, ""[\d.-]+"")) * {IF(Y88 =""Labs Speed"", 1+'Master Sheet'!$BK$5, LAB_SPEED_TOTAL())},
    MaxLevel, VLOOKUP(Y88,MS_Labs_Array,4,false),
   "&amp;" MaxOrTarget, IF(OR(TargetLevel = """",$AD$1 &lt;&gt; ""Target""), MaxLevel, TargetLevel),
    LabLevel, VLOOKUP(Y88,MS_Labs_Array,2,False),
    DVTColumn, MATCH(Y88, DVT_Laboratory!$A$1:BO$1, 0),
    xextTime, INDIRECT(""DVT_Laboratory!"" &amp; ADDRESS(LabLevel+3,"&amp;" DVTColumn)) / LabSpeed,
    remainingTime, SUM(INDIRECT(""DVT_Laboratory!"" &amp; ADDRESS(LabLevel+3, DVTColumn) &amp; "":"" &amp; ADDRESS(MaxOrTarget+2, DVTColumn))) / LabSpeed,
  Y88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8" s="1249"/>
      <c r="AC88" s="1249" t="str">
        <f>IFERROR(__xludf.DUMMYFUNCTION("""COMPUTED_VALUE"""),"")</f>
        <v/>
      </c>
      <c r="AD88" s="1249" t="str">
        <f>IFERROR(__xludf.DUMMYFUNCTION("""COMPUTED_VALUE"""),"")</f>
        <v/>
      </c>
      <c r="AE88" s="1249"/>
      <c r="AF88" s="1250" t="str">
        <f>IFERROR(__xludf.DUMMYFUNCTION("if(AE88 &lt;&gt; """", 
  LET( 
    TargetLevel, VLOOKUP(AE88,MS_Labs_Array,3,false),
    MaxLevel, VLOOKUP(AE88,MS_Labs_Array,4,false),
    MaxOrTarget, IF(OR(TargetLevel = """",$AD$1 &lt;&gt; ""Target""), MaxLevel, TargetLevel),
    LabLevel, VLOOKUP(AE88,MS_Labs_A"&amp;"rray,2,False),
    Levelprogress, LabLevel / MaxOrTarget,
    DVTColumn, MATCH(AE88,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8" s="1251" t="str">
        <f>IFERROR(__xludf.DUMMYFUNCTION("if(AE88 &lt;&gt; """", 
  LET(
    TargetLevel, VLOOKUP(AE88,MS_Labs_Array,3,false),
    LabSpeed, (1 * REGEXEXTRACT($BH$1, ""[\d.-]+"")) * {IF(AE88 =""Labs Speed"", 1+'Master Sheet'!$BK$5, LAB_SPEED_TOTAL())},
    MaxLevel, VLOOKUP(AE88,MS_Labs_Array,4,false),"&amp;"
    MaxOrTarget, IF(OR(TargetLevel = """",$AD$1 &lt;&gt; ""Target""), MaxLevel, TargetLevel),
    LabLevel, VLOOKUP(AE88,MS_Labs_Array,2,False),
    DVTColumn, MATCH(AE88, DVT_Laboratory!$A$1:BO$1, 0),
    xextTime, INDIRECT(""DVT_Laboratory!"" &amp; ADDRESS(LabLe"&amp;"vel+3, DVTColumn)) / LabSpeed,
    remainingTime, SUM(INDIRECT(""DVT_Laboratory!"" &amp; ADDRESS(LabLevel+3, DVTColumn) &amp; "":"" &amp; ADDRESS(MaxOrTarget+2, DVTColumn))) / LabSpeed,
  AE88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8" s="1249"/>
      <c r="AI88" s="1249" t="str">
        <f>IFERROR(__xludf.DUMMYFUNCTION("""COMPUTED_VALUE"""),"")</f>
        <v/>
      </c>
      <c r="AJ88" s="1249" t="str">
        <f>IFERROR(__xludf.DUMMYFUNCTION("""COMPUTED_VALUE"""),"")</f>
        <v/>
      </c>
      <c r="AK88" s="1249"/>
      <c r="AL88" s="1250" t="str">
        <f>IFERROR(__xludf.DUMMYFUNCTION("if(AK88 &lt;&gt; """", 
  LET( 
    TargetLevel, VLOOKUP(AK88,MS_Labs_Array,3,false),
    MaxLevel, VLOOKUP(AK88,MS_Labs_Array,4,false),
    MaxOrTarget, IF(OR(TargetLevel = """",$AD$1 &lt;&gt; ""Target""), MaxLevel, TargetLevel),
    LabLevel, VLOOKUP(AK88,MS_Labs_A"&amp;"rray,2,False),
    Levelprogress, LabLevel / MaxOrTarget,
    DVTColumn, MATCH(AK88,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8" s="1251" t="str">
        <f>IFERROR(__xludf.DUMMYFUNCTION("if(AK88 &lt;&gt; """", 
  LET(
    TargetLevel, VLOOKUP(AK88,MS_Labs_Array,3,false),
    LabSpeed, (1 * REGEXEXTRACT($BH$1, ""[\d.-]+"")) * {IF(AK88 =""Labs Speed"", 1+'Master Sheet'!$BK$5, LAB_SPEED_TOTAL())},
    MaxLevel, VLOOKUP(AK88,MS_Labs_Array,4,false),"&amp;"
    MaxOrTarget, IF(OR(TargetLevel = """",$AD$1 &lt;&gt; ""Target""), MaxLevel, TargetLevel),
    LabLevel, VLOOKUP(AK88,MS_Labs_Array,2,False),
    DVTColumn, MATCH(AK88, DVT_Laboratory!$A$1:BO$1, 0),
    xextTime, INDIRECT(""DVT_Laboratory!"" &amp; ADDRESS(LabLe"&amp;"vel+3, DVTColumn)) / LabSpeed,
    remainingTime, SUM(INDIRECT(""DVT_Laboratory!"" &amp; ADDRESS(LabLevel+3, DVTColumn) &amp; "":"" &amp; ADDRESS(MaxOrTarget+2, DVTColumn))) / LabSpeed,
  AK88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8" s="1249"/>
      <c r="AO88" s="1249" t="str">
        <f>IFERROR(__xludf.DUMMYFUNCTION("""COMPUTED_VALUE"""),"")</f>
        <v/>
      </c>
      <c r="AP88" s="1249" t="str">
        <f>IFERROR(__xludf.DUMMYFUNCTION("""COMPUTED_VALUE"""),"")</f>
        <v/>
      </c>
      <c r="AQ88" s="1249"/>
      <c r="AR88" s="1250" t="str">
        <f>IFERROR(__xludf.DUMMYFUNCTION("if(AQ88 &lt;&gt; """", 
  LET( 
    TargetLevel, VLOOKUP(AQ88,MS_Labs_Array,3,false),
    MaxLevel, VLOOKUP(AQ88,MS_Labs_Array,4,false),
    MaxOrTarget, IF(OR(TargetLevel = """",$AD$1 &lt;&gt; ""Target""), MaxLevel, TargetLevel),
    LabLevel, VLOOKUP(AQ88,MS_Labs_A"&amp;"rray,2,False),
    Levelprogress, LabLevel / MaxOrTarget,
    DVTColumn, MATCH(AQ88,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8" s="1251" t="str">
        <f>IFERROR(__xludf.DUMMYFUNCTION("if(AQ88 &lt;&gt; """", 
  LET(
    TargetLevel, VLOOKUP(AQ88,MS_Labs_Array,3,false),
    LabSpeed, (1 * REGEXEXTRACT($BH$1, ""[\d.-]+"")) * {IF(AQ88 =""Labs Speed"", 1+'Master Sheet'!$BK$5, LAB_SPEED_TOTAL())},
    MaxLevel, VLOOKUP(AQ88,MS_Labs_Array,4,false),"&amp;"
    MaxOrTarget, IF(OR(TargetLevel = """",$AD$1 &lt;&gt; ""Target""), MaxLevel, TargetLevel),
    LabLevel, VLOOKUP(AQ88,MS_Labs_Array,2,False),
    DVTColumn, MATCH(AQ88, DVT_Laboratory!$A$1:BO$1, 0),
    xextTime, INDIRECT(""DVT_Laboratory!"" &amp; ADDRESS(LabLe"&amp;"vel+3, DVTColumn)) / LabSpeed,
    remainingTime, SUM(INDIRECT(""DVT_Laboratory!"" &amp; ADDRESS(LabLevel+3, DVTColumn) &amp; "":"" &amp; ADDRESS(MaxOrTarget+2, DVTColumn))) / LabSpeed,
  AQ88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8" s="1249"/>
      <c r="AU88" s="1249" t="str">
        <f>IFERROR(__xludf.DUMMYFUNCTION("""COMPUTED_VALUE"""),"")</f>
        <v/>
      </c>
      <c r="AV88" s="1249" t="str">
        <f>IFERROR(__xludf.DUMMYFUNCTION("""COMPUTED_VALUE"""),"")</f>
        <v/>
      </c>
      <c r="AW88" s="1249"/>
      <c r="AX88" s="1250" t="str">
        <f>IFERROR(__xludf.DUMMYFUNCTION("if(AW88 &lt;&gt; """", 
  LET( 
    TargetLevel, VLOOKUP(AW88,MS_Labs_Array,3,false),
    MaxLevel, VLOOKUP(AW88,MS_Labs_Array,4,false),
    MaxOrTarget, IF(OR(TargetLevel = """",$AD$1 &lt;&gt; ""Target""), MaxLevel, TargetLevel),
    LabLevel, VLOOKUP(AW88,MS_Labs_A"&amp;"rray,2,False),
    Levelprogress, LabLevel / MaxOrTarget,
    DVTColumn, MATCH(AW88,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8" s="1251" t="str">
        <f>IFERROR(__xludf.DUMMYFUNCTION("if(AW88 &lt;&gt; """", 
  LET(
    TargetLevel, VLOOKUP(AW88,MS_Labs_Array,3,false),
    LabSpeed, (1 * REGEXEXTRACT($BH$1, ""[\d.-]+"")) * {IF(AW88 =""Labs Speed"", 1+'Master Sheet'!$BK$5, LAB_SPEED_TOTAL())},
    MaxLevel, VLOOKUP(AW88,MS_Labs_Array,4,false),"&amp;"
    MaxOrTarget, IF(OR(TargetLevel = """",$AD$1 &lt;&gt; ""Target""), MaxLevel, TargetLevel),
    LabLevel, VLOOKUP(AW88,MS_Labs_Array,2,False),
    DVTColumn, MATCH(AW88, DVT_Laboratory!$A$1:BO$1, 0),
    xextTime, INDIRECT(""DVT_Laboratory!"" &amp; ADDRESS(LabLe"&amp;"vel+3, DVTColumn)) / LabSpeed,
    remainingTime, SUM(INDIRECT(""DVT_Laboratory!"" &amp; ADDRESS(LabLevel+3, DVTColumn) &amp; "":"" &amp; ADDRESS(MaxOrTarget+2, DVTColumn))) / LabSpeed,
  AW88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8" s="1249"/>
      <c r="BA88" s="1249" t="str">
        <f>IFERROR(__xludf.DUMMYFUNCTION("""COMPUTED_VALUE"""),"")</f>
        <v/>
      </c>
      <c r="BB88" s="1249" t="str">
        <f>IFERROR(__xludf.DUMMYFUNCTION("""COMPUTED_VALUE"""),"")</f>
        <v/>
      </c>
      <c r="BC88" s="1249"/>
      <c r="BD88" s="1250" t="str">
        <f>IFERROR(__xludf.DUMMYFUNCTION("if(BC88 &lt;&gt; """", 
  LET( 
    TargetLevel, VLOOKUP(BC88,MS_Labs_Array,3,false),
    MaxLevel, VLOOKUP(BC88,MS_Labs_Array,4,false),
    MaxOrTarget, IF(OR(TargetLevel = """",$AD$1 &lt;&gt; ""Target""), MaxLevel, TargetLevel),
    LabLevel, VLOOKUP(BC88,MS_Labs_A"&amp;"rray,2,False),
    Levelprogress, LabLevel / MaxOrTarget,
    DVTColumn, MATCH(BC88,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8" s="1251" t="str">
        <f>IFERROR(__xludf.DUMMYFUNCTION("if(BC88 &lt;&gt; """", 
  LET(
    TargetLevel, VLOOKUP(BC88,MS_Labs_Array,3,false),
    LabSpeed, (1 * REGEXEXTRACT($BH$1, ""[\d.-]+"")) * {IF(BC88 =""Labs Speed"", 1+'Master Sheet'!$BK$5, LAB_SPEED_TOTAL())},
    MaxLevel, VLOOKUP(BC88,MS_Labs_Array,4,false),"&amp;"
    MaxOrTarget, IF(OR(TargetLevel = """",$AD$1 &lt;&gt; ""Target""), MaxLevel, TargetLevel),
    LabLevel, VLOOKUP(BC88,MS_Labs_Array,2,False),
    DVTColumn, MATCH(BC88, DVT_Laboratory!$A$1:BO$1, 0),
    xextTime, INDIRECT(""DVT_Laboratory!"" &amp; ADDRESS(LabLe"&amp;"vel+3, DVTColumn)) / LabSpeed,
    remainingTime, SUM(INDIRECT(""DVT_Laboratory!"" &amp; ADDRESS(LabLevel+3, DVTColumn) &amp; "":"" &amp; ADDRESS(MaxOrTarget+2, DVTColumn))) / LabSpeed,
  BC88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8" s="1249"/>
      <c r="BG88" s="1249" t="str">
        <f>IFERROR(__xludf.DUMMYFUNCTION("""COMPUTED_VALUE"""),"")</f>
        <v/>
      </c>
      <c r="BH88" s="1260" t="str">
        <f>IFERROR(__xludf.DUMMYFUNCTION("""COMPUTED_VALUE"""),"")</f>
        <v/>
      </c>
      <c r="BI88" s="1252"/>
      <c r="BJ88" s="1253" t="str">
        <f>IFERROR(__xludf.DUMMYFUNCTION("if(BI88 &lt;&gt; """", 
  LET( 
    TargetLevel, VLOOKUP(BI88,MS_Labs_Array,3,false),
    MaxLevel, VLOOKUP(BI88,MS_Labs_Array,4,false),
    MaxOrTarget, IF(OR(TargetLevel = """",$AD$1 &lt;&gt; ""Target""), MaxLevel, TargetLevel),
    LabLevel, VLOOKUP(BI88,MS_Labs_A"&amp;"rray,2,False),
    Levelprogress, IF(LabLevel &gt;= MaxOrTarget, 1, LabLevel / MaxOrTarget),
    DVTColumn, MATCH(BI88,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8" s="1254" t="str">
        <f>IFERROR(__xludf.DUMMYFUNCTION("if(BI88 &lt;&gt; """", 
  LET(
    TargetLevel, VLOOKUP(BI88,MS_Labs_Array,3,false),
    LabSpeed, (1 * REGEXEXTRACT($BH$1, ""[\d.-]+"")) * {IF(BI88 =""Labs Speed"", 1+'Master Sheet'!$BK$5, LAB_SPEED_TOTAL())},
    MaxLevel, VLOOKUP(BI88,MS_Labs_Array,4,false),"&amp;"
    MaxOrTarget, IF(OR(TargetLevel = """",$AD$1 &lt;&gt; ""Target""), MaxLevel, TargetLevel),
    LabLevel, VLOOKUP(BI88,MS_Labs_Array,2,False),
    DVTColumn, MATCH(BI88, DVT_Laboratory!$A$1:BO$1, 0),
    xextTime, INDIRECT(""DVT_Laboratory!"" &amp; ADDRESS(LabLe"&amp;"vel+3, DVTColumn)) / LabSpeed,
    remainingTime, SUM(INDIRECT(""DVT_Laboratory!"" &amp; ADDRESS(LabLevel+3, DVTColumn) &amp; "":"" &amp; ADDRESS(MaxOrTarget+2, DVTColumn))) / LabSpeed,
  BI88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8" s="1252"/>
      <c r="BM88" s="1252" t="str">
        <f>IFERROR(__xludf.DUMMYFUNCTION("""COMPUTED_VALUE"""),"Common Drop Chance
  Lab Level:      10 / 10 (Max)
  Next Level:    
  Max Level:     0d 12h 31m")</f>
        <v>Common Drop Chance
  Lab Level:      10 / 10 (Max)
  Next Level:    
  Max Level:     0d 12h 31m</v>
      </c>
      <c r="BN88" s="1222"/>
      <c r="BO88" s="1261"/>
    </row>
    <row r="89">
      <c r="A89" s="1222"/>
      <c r="B89" s="1262" t="s">
        <v>557</v>
      </c>
      <c r="C89" s="1304" t="s">
        <v>360</v>
      </c>
      <c r="D89" s="1280" t="str">
        <f>VLOOKUP(C89,'Remote Tier List'!A:D, 2, FALSE)</f>
        <v>D</v>
      </c>
      <c r="E89" s="1281" t="str">
        <f>VLOOKUP(C89,'Remote Tier List'!A:D, 3, FALSE)</f>
        <v>A</v>
      </c>
      <c r="F89" s="1258" t="str">
        <f>VLOOKUP(C89,'Remote Tier List'!A:D, 4, FALSE)</f>
        <v>Basically useless prior to owning SM other than for an event mission, enables SLM Orbless with SM</v>
      </c>
      <c r="G89" s="1245" t="b">
        <f>IFERROR(AND(VLOOKUP("Tier 3",'_IDS'!$BZ$3:$DT$23, 2, FALSE) &gt; 400,  IDS_UW_OWN("Spotlight")), true)</f>
        <v>1</v>
      </c>
      <c r="H89" s="1265" t="str">
        <f t="array" ref="H89:I89">LET(
  Lab, $C89,
  Mode, $AD$1,
  Level, VLOOKUP(Lab, MS_Labs_Array, 2, FALSE),
  Target, VLOOKUP(Lab, MS_Labs_Array, 3, FALSE),
  Max, VLOOKUP(Lab, MS_Labs_Array, 4, FALSE),
  Result,
    IF(
      AND(
        Mode &lt;&gt; "Never",
        Level &gt;= IF(OR(Target = "", Mode = "Max"), Max, Target)
      ),
      "Completed",
      ""
    ),
  HSTACK(
    IF(Result &lt;&gt; "", Result, $D89),
    IF(Result &lt;&gt; "", Result, IF($E89 = "", $D89, $E89))
  )
)</f>
        <v>D</v>
      </c>
      <c r="I89" s="1265" t="s">
        <v>545</v>
      </c>
      <c r="J89" s="1248" t="str">
        <f t="shared" si="18"/>
        <v>Basically useless prior to owning SM other than for an event mission, enables SLM Orbless with SM</v>
      </c>
      <c r="K89" s="1229"/>
      <c r="L89" s="1249"/>
      <c r="M89" s="1249"/>
      <c r="N89" s="1250" t="str">
        <f>IFERROR(__xludf.DUMMYFUNCTION("if(M89 &lt;&gt; """", 
  LET( 
    TargetLevel, VLOOKUP(M89,MS_Labs_Array,3,false),
    MaxLevel, VLOOKUP(M89,MS_Labs_Array,4,false),
    MaxOrTarget, IF(OR(TargetLevel = """",$AD$1 &lt;&gt; ""Target""), MaxLevel, TargetLevel),
    LabLevel, VLOOKUP(M89,MS_Labs_Array"&amp;",2,False),
    Levelprogress, LabLevel / MaxOrTarget,
    DVTColumn, MATCH(M89,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9" s="1251" t="str">
        <f>IFERROR(__xludf.DUMMYFUNCTION("if(M89 &lt;&gt; """", 
  LET(
    TargetLevel, VLOOKUP(M89,MS_Labs_Array,3,false),
    LabSpeed, (1 * REGEXEXTRACT($BH$1, ""[\d.-]+"")) * {IF(M89 =""Labs Speed"", 1+'Master Sheet'!$BK$5, LAB_SPEED_TOTAL())},
    MaxLevel, VLOOKUP(M89,MS_Labs_Array,4,false),
   "&amp;" MaxOrTarget, IF(OR(TargetLevel = """",$AD$1 &lt;&gt; ""Target""), MaxLevel, TargetLevel),
    LabLevel, VLOOKUP(M89,MS_Labs_Array,2,False),
    DVTColumn, MATCH(M89, DVT_Laboratory!$A$1:BO$1, 0),
    xextTime, INDIRECT(""DVT_Laboratory!"" &amp; ADDRESS(LabLevel+3,"&amp;" DVTColumn)) / LabSpeed,
    remainingTime, SUM(INDIRECT(""DVT_Laboratory!"" &amp; ADDRESS(LabLevel+3, DVTColumn) &amp; "":"" &amp; ADDRESS(MaxOrTarget+2, DVTColumn))) / LabSpeed,
  M89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9" s="1249"/>
      <c r="Q89" s="1249"/>
      <c r="R89" s="1249"/>
      <c r="S89" s="1249"/>
      <c r="T89" s="1250" t="str">
        <f>IFERROR(__xludf.DUMMYFUNCTION("if(S89 &lt;&gt; """", 
  LET( 
    TargetLevel, VLOOKUP(S89,MS_Labs_Array,3,false),
    MaxLevel, VLOOKUP(S89,MS_Labs_Array,4,false),
    MaxOrTarget, IF(OR(TargetLevel = """",$AD$1 &lt;&gt; ""Target""), MaxLevel, TargetLevel),
    LabLevel, VLOOKUP(S89,MS_Labs_Array"&amp;",2,False),
    Levelprogress, LabLevel / MaxOrTarget,
    DVTColumn, MATCH(S89,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9" s="1251" t="str">
        <f>IFERROR(__xludf.DUMMYFUNCTION("if(S89 &lt;&gt; """", 
  LET(
    TargetLevel, VLOOKUP(S89,MS_Labs_Array,3,false),
    LabSpeed, (1 * REGEXEXTRACT($BH$1, ""[\d.-]+"")) * {IF(S89 =""Labs Speed"", 1+'Master Sheet'!$BK$5, LAB_SPEED_TOTAL())},
    MaxLevel, VLOOKUP(S89,MS_Labs_Array,4,false),
   "&amp;" MaxOrTarget, IF(OR(TargetLevel = """",$AD$1 &lt;&gt; ""Target""), MaxLevel, TargetLevel),
    LabLevel, VLOOKUP(S89,MS_Labs_Array,2,False),
    DVTColumn, MATCH(S89, DVT_Laboratory!$A$1:BO$1, 0),
    xextTime, INDIRECT(""DVT_Laboratory!"" &amp; ADDRESS(LabLevel+3,"&amp;" DVTColumn)) / LabSpeed,
    remainingTime, SUM(INDIRECT(""DVT_Laboratory!"" &amp; ADDRESS(LabLevel+3, DVTColumn) &amp; "":"" &amp; ADDRESS(MaxOrTarget+2, DVTColumn))) / LabSpeed,
  S89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9" s="1249"/>
      <c r="W89" s="1249"/>
      <c r="X89" s="1249"/>
      <c r="Y89" s="1249"/>
      <c r="Z89" s="1250" t="str">
        <f>IFERROR(__xludf.DUMMYFUNCTION("if(Y89 &lt;&gt; """", 
  LET( 
    TargetLevel, VLOOKUP(Y89,MS_Labs_Array,3,false),
    MaxLevel, VLOOKUP(Y89,MS_Labs_Array,4,false),
    MaxOrTarget, IF(OR(TargetLevel = """",$AD$1 &lt;&gt; ""Target""), MaxLevel, TargetLevel),
    LabLevel, VLOOKUP(Y89,MS_Labs_Array"&amp;",2,False),
    Levelprogress, LabLevel / MaxOrTarget,
    DVTColumn, MATCH(Y89,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9" s="1251" t="str">
        <f>IFERROR(__xludf.DUMMYFUNCTION("if(Y89 &lt;&gt; """", 
  LET(
    TargetLevel, VLOOKUP(Y89,MS_Labs_Array,3,false),
    LabSpeed, (1 * REGEXEXTRACT($BH$1, ""[\d.-]+"")) * {IF(Y89 =""Labs Speed"", 1+'Master Sheet'!$BK$5, LAB_SPEED_TOTAL())},
    MaxLevel, VLOOKUP(Y89,MS_Labs_Array,4,false),
   "&amp;" MaxOrTarget, IF(OR(TargetLevel = """",$AD$1 &lt;&gt; ""Target""), MaxLevel, TargetLevel),
    LabLevel, VLOOKUP(Y89,MS_Labs_Array,2,False),
    DVTColumn, MATCH(Y89, DVT_Laboratory!$A$1:BO$1, 0),
    xextTime, INDIRECT(""DVT_Laboratory!"" &amp; ADDRESS(LabLevel+3,"&amp;" DVTColumn)) / LabSpeed,
    remainingTime, SUM(INDIRECT(""DVT_Laboratory!"" &amp; ADDRESS(LabLevel+3, DVTColumn) &amp; "":"" &amp; ADDRESS(MaxOrTarget+2, DVTColumn))) / LabSpeed,
  Y89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9" s="1249"/>
      <c r="AC89" s="1249"/>
      <c r="AD89" s="1249"/>
      <c r="AE89" s="1249"/>
      <c r="AF89" s="1250" t="str">
        <f>IFERROR(__xludf.DUMMYFUNCTION("if(AE89 &lt;&gt; """", 
  LET( 
    TargetLevel, VLOOKUP(AE89,MS_Labs_Array,3,false),
    MaxLevel, VLOOKUP(AE89,MS_Labs_Array,4,false),
    MaxOrTarget, IF(OR(TargetLevel = """",$AD$1 &lt;&gt; ""Target""), MaxLevel, TargetLevel),
    LabLevel, VLOOKUP(AE89,MS_Labs_A"&amp;"rray,2,False),
    Levelprogress, LabLevel / MaxOrTarget,
    DVTColumn, MATCH(AE89,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9" s="1251" t="str">
        <f>IFERROR(__xludf.DUMMYFUNCTION("if(AE89 &lt;&gt; """", 
  LET(
    TargetLevel, VLOOKUP(AE89,MS_Labs_Array,3,false),
    LabSpeed, (1 * REGEXEXTRACT($BH$1, ""[\d.-]+"")) * {IF(AE89 =""Labs Speed"", 1+'Master Sheet'!$BK$5, LAB_SPEED_TOTAL())},
    MaxLevel, VLOOKUP(AE89,MS_Labs_Array,4,false),"&amp;"
    MaxOrTarget, IF(OR(TargetLevel = """",$AD$1 &lt;&gt; ""Target""), MaxLevel, TargetLevel),
    LabLevel, VLOOKUP(AE89,MS_Labs_Array,2,False),
    DVTColumn, MATCH(AE89, DVT_Laboratory!$A$1:BO$1, 0),
    xextTime, INDIRECT(""DVT_Laboratory!"" &amp; ADDRESS(LabLe"&amp;"vel+3, DVTColumn)) / LabSpeed,
    remainingTime, SUM(INDIRECT(""DVT_Laboratory!"" &amp; ADDRESS(LabLevel+3, DVTColumn) &amp; "":"" &amp; ADDRESS(MaxOrTarget+2, DVTColumn))) / LabSpeed,
  AE89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9" s="1249"/>
      <c r="AI89" s="1249"/>
      <c r="AJ89" s="1249"/>
      <c r="AK89" s="1249"/>
      <c r="AL89" s="1250" t="str">
        <f>IFERROR(__xludf.DUMMYFUNCTION("if(AK89 &lt;&gt; """", 
  LET( 
    TargetLevel, VLOOKUP(AK89,MS_Labs_Array,3,false),
    MaxLevel, VLOOKUP(AK89,MS_Labs_Array,4,false),
    MaxOrTarget, IF(OR(TargetLevel = """",$AD$1 &lt;&gt; ""Target""), MaxLevel, TargetLevel),
    LabLevel, VLOOKUP(AK89,MS_Labs_A"&amp;"rray,2,False),
    Levelprogress, LabLevel / MaxOrTarget,
    DVTColumn, MATCH(AK89,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9" s="1251" t="str">
        <f>IFERROR(__xludf.DUMMYFUNCTION("if(AK89 &lt;&gt; """", 
  LET(
    TargetLevel, VLOOKUP(AK89,MS_Labs_Array,3,false),
    LabSpeed, (1 * REGEXEXTRACT($BH$1, ""[\d.-]+"")) * {IF(AK89 =""Labs Speed"", 1+'Master Sheet'!$BK$5, LAB_SPEED_TOTAL())},
    MaxLevel, VLOOKUP(AK89,MS_Labs_Array,4,false),"&amp;"
    MaxOrTarget, IF(OR(TargetLevel = """",$AD$1 &lt;&gt; ""Target""), MaxLevel, TargetLevel),
    LabLevel, VLOOKUP(AK89,MS_Labs_Array,2,False),
    DVTColumn, MATCH(AK89, DVT_Laboratory!$A$1:BO$1, 0),
    xextTime, INDIRECT(""DVT_Laboratory!"" &amp; ADDRESS(LabLe"&amp;"vel+3, DVTColumn)) / LabSpeed,
    remainingTime, SUM(INDIRECT(""DVT_Laboratory!"" &amp; ADDRESS(LabLevel+3, DVTColumn) &amp; "":"" &amp; ADDRESS(MaxOrTarget+2, DVTColumn))) / LabSpeed,
  AK89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9" s="1249"/>
      <c r="AO89" s="1249"/>
      <c r="AP89" s="1249"/>
      <c r="AQ89" s="1249"/>
      <c r="AR89" s="1250" t="str">
        <f>IFERROR(__xludf.DUMMYFUNCTION("if(AQ89 &lt;&gt; """", 
  LET( 
    TargetLevel, VLOOKUP(AQ89,MS_Labs_Array,3,false),
    MaxLevel, VLOOKUP(AQ89,MS_Labs_Array,4,false),
    MaxOrTarget, IF(OR(TargetLevel = """",$AD$1 &lt;&gt; ""Target""), MaxLevel, TargetLevel),
    LabLevel, VLOOKUP(AQ89,MS_Labs_A"&amp;"rray,2,False),
    Levelprogress, LabLevel / MaxOrTarget,
    DVTColumn, MATCH(AQ89,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9" s="1251" t="str">
        <f>IFERROR(__xludf.DUMMYFUNCTION("if(AQ89 &lt;&gt; """", 
  LET(
    TargetLevel, VLOOKUP(AQ89,MS_Labs_Array,3,false),
    LabSpeed, (1 * REGEXEXTRACT($BH$1, ""[\d.-]+"")) * {IF(AQ89 =""Labs Speed"", 1+'Master Sheet'!$BK$5, LAB_SPEED_TOTAL())},
    MaxLevel, VLOOKUP(AQ89,MS_Labs_Array,4,false),"&amp;"
    MaxOrTarget, IF(OR(TargetLevel = """",$AD$1 &lt;&gt; ""Target""), MaxLevel, TargetLevel),
    LabLevel, VLOOKUP(AQ89,MS_Labs_Array,2,False),
    DVTColumn, MATCH(AQ89, DVT_Laboratory!$A$1:BO$1, 0),
    xextTime, INDIRECT(""DVT_Laboratory!"" &amp; ADDRESS(LabLe"&amp;"vel+3, DVTColumn)) / LabSpeed,
    remainingTime, SUM(INDIRECT(""DVT_Laboratory!"" &amp; ADDRESS(LabLevel+3, DVTColumn) &amp; "":"" &amp; ADDRESS(MaxOrTarget+2, DVTColumn))) / LabSpeed,
  AQ89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9" s="1249"/>
      <c r="AU89" s="1249"/>
      <c r="AV89" s="1249"/>
      <c r="AW89" s="1249"/>
      <c r="AX89" s="1250" t="str">
        <f>IFERROR(__xludf.DUMMYFUNCTION("if(AW89 &lt;&gt; """", 
  LET( 
    TargetLevel, VLOOKUP(AW89,MS_Labs_Array,3,false),
    MaxLevel, VLOOKUP(AW89,MS_Labs_Array,4,false),
    MaxOrTarget, IF(OR(TargetLevel = """",$AD$1 &lt;&gt; ""Target""), MaxLevel, TargetLevel),
    LabLevel, VLOOKUP(AW89,MS_Labs_A"&amp;"rray,2,False),
    Levelprogress, LabLevel / MaxOrTarget,
    DVTColumn, MATCH(AW89,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9" s="1251" t="str">
        <f>IFERROR(__xludf.DUMMYFUNCTION("if(AW89 &lt;&gt; """", 
  LET(
    TargetLevel, VLOOKUP(AW89,MS_Labs_Array,3,false),
    LabSpeed, (1 * REGEXEXTRACT($BH$1, ""[\d.-]+"")) * {IF(AW89 =""Labs Speed"", 1+'Master Sheet'!$BK$5, LAB_SPEED_TOTAL())},
    MaxLevel, VLOOKUP(AW89,MS_Labs_Array,4,false),"&amp;"
    MaxOrTarget, IF(OR(TargetLevel = """",$AD$1 &lt;&gt; ""Target""), MaxLevel, TargetLevel),
    LabLevel, VLOOKUP(AW89,MS_Labs_Array,2,False),
    DVTColumn, MATCH(AW89, DVT_Laboratory!$A$1:BO$1, 0),
    xextTime, INDIRECT(""DVT_Laboratory!"" &amp; ADDRESS(LabLe"&amp;"vel+3, DVTColumn)) / LabSpeed,
    remainingTime, SUM(INDIRECT(""DVT_Laboratory!"" &amp; ADDRESS(LabLevel+3, DVTColumn) &amp; "":"" &amp; ADDRESS(MaxOrTarget+2, DVTColumn))) / LabSpeed,
  AW89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9" s="1249"/>
      <c r="BA89" s="1249"/>
      <c r="BB89" s="1249"/>
      <c r="BC89" s="1249"/>
      <c r="BD89" s="1250" t="str">
        <f>IFERROR(__xludf.DUMMYFUNCTION("if(BC89 &lt;&gt; """", 
  LET( 
    TargetLevel, VLOOKUP(BC89,MS_Labs_Array,3,false),
    MaxLevel, VLOOKUP(BC89,MS_Labs_Array,4,false),
    MaxOrTarget, IF(OR(TargetLevel = """",$AD$1 &lt;&gt; ""Target""), MaxLevel, TargetLevel),
    LabLevel, VLOOKUP(BC89,MS_Labs_A"&amp;"rray,2,False),
    Levelprogress, LabLevel / MaxOrTarget,
    DVTColumn, MATCH(BC89,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9" s="1251" t="str">
        <f>IFERROR(__xludf.DUMMYFUNCTION("if(BC89 &lt;&gt; """", 
  LET(
    TargetLevel, VLOOKUP(BC89,MS_Labs_Array,3,false),
    LabSpeed, (1 * REGEXEXTRACT($BH$1, ""[\d.-]+"")) * {IF(BC89 =""Labs Speed"", 1+'Master Sheet'!$BK$5, LAB_SPEED_TOTAL())},
    MaxLevel, VLOOKUP(BC89,MS_Labs_Array,4,false),"&amp;"
    MaxOrTarget, IF(OR(TargetLevel = """",$AD$1 &lt;&gt; ""Target""), MaxLevel, TargetLevel),
    LabLevel, VLOOKUP(BC89,MS_Labs_Array,2,False),
    DVTColumn, MATCH(BC89, DVT_Laboratory!$A$1:BO$1, 0),
    xextTime, INDIRECT(""DVT_Laboratory!"" &amp; ADDRESS(LabLe"&amp;"vel+3, DVTColumn)) / LabSpeed,
    remainingTime, SUM(INDIRECT(""DVT_Laboratory!"" &amp; ADDRESS(LabLevel+3, DVTColumn) &amp; "":"" &amp; ADDRESS(MaxOrTarget+2, DVTColumn))) / LabSpeed,
  BC89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9" s="1249"/>
      <c r="BG89" s="1249"/>
      <c r="BH89" s="1260" t="str">
        <f>IFERROR(__xludf.DUMMYFUNCTION("""COMPUTED_VALUE"""),"Reroll Shards")</f>
        <v>Reroll Shards</v>
      </c>
      <c r="BI89" s="1252"/>
      <c r="BJ89" s="1253" t="str">
        <f>IFERROR(__xludf.DUMMYFUNCTION("if(BI89 &lt;&gt; """", 
  LET( 
    TargetLevel, VLOOKUP(BI89,MS_Labs_Array,3,false),
    MaxLevel, VLOOKUP(BI89,MS_Labs_Array,4,false),
    MaxOrTarget, IF(OR(TargetLevel = """",$AD$1 &lt;&gt; ""Target""), MaxLevel, TargetLevel),
    LabLevel, VLOOKUP(BI89,MS_Labs_A"&amp;"rray,2,False),
    Levelprogress, IF(LabLevel &gt;= MaxOrTarget, 1, LabLevel / MaxOrTarget),
    DVTColumn, MATCH(BI89,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9" s="1254" t="str">
        <f>IFERROR(__xludf.DUMMYFUNCTION("if(BI89 &lt;&gt; """", 
  LET(
    TargetLevel, VLOOKUP(BI89,MS_Labs_Array,3,false),
    LabSpeed, (1 * REGEXEXTRACT($BH$1, ""[\d.-]+"")) * {IF(BI89 =""Labs Speed"", 1+'Master Sheet'!$BK$5, LAB_SPEED_TOTAL())},
    MaxLevel, VLOOKUP(BI89,MS_Labs_Array,4,false),"&amp;"
    MaxOrTarget, IF(OR(TargetLevel = """",$AD$1 &lt;&gt; ""Target""), MaxLevel, TargetLevel),
    LabLevel, VLOOKUP(BI89,MS_Labs_Array,2,False),
    DVTColumn, MATCH(BI89, DVT_Laboratory!$A$1:BO$1, 0),
    xextTime, INDIRECT(""DVT_Laboratory!"" &amp; ADDRESS(LabLe"&amp;"vel+3, DVTColumn)) / LabSpeed,
    remainingTime, SUM(INDIRECT(""DVT_Laboratory!"" &amp; ADDRESS(LabLevel+3, DVTColumn) &amp; "":"" &amp; ADDRESS(MaxOrTarget+2, DVTColumn))) / LabSpeed,
  BI89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9" s="1252"/>
      <c r="BM89" s="1252" t="str">
        <f>IFERROR(__xludf.DUMMYFUNCTION("""COMPUTED_VALUE"""),"The costs of rerolling get really high with better developed modules")</f>
        <v>The costs of rerolling get really high with better developed modules</v>
      </c>
      <c r="BN89" s="1222"/>
      <c r="BO89" s="1261"/>
    </row>
    <row r="90" ht="7.5" customHeight="1">
      <c r="A90" s="1222"/>
      <c r="B90" s="1268" t="s">
        <v>564</v>
      </c>
      <c r="C90" s="1304" t="s">
        <v>362</v>
      </c>
      <c r="D90" s="1280" t="str">
        <f>VLOOKUP(C90,'Remote Tier List'!A:D, 2, FALSE)</f>
        <v>C</v>
      </c>
      <c r="E90" s="1281" t="str">
        <f>VLOOKUP(C90,'Remote Tier List'!A:D, 3, FALSE)</f>
        <v/>
      </c>
      <c r="F90" s="1284" t="str">
        <f>VLOOKUP(C90,'Remote Tier List'!A:D, 4, FALSE)</f>
        <v>Mostly for perma BH</v>
      </c>
      <c r="G90" s="1245" t="b">
        <f>IFERROR(AND(VLOOKUP("Tier 14",'_IDS'!$BZ$3:$DT$23, 2, FALSE) &gt; 20,  IDS_UW_OWN("Black Hole")), true)</f>
        <v>1</v>
      </c>
      <c r="H90" s="1246" t="str">
        <f t="array" ref="H90:I90">LET(
  Lab, $C90,
  Mode, $AD$1,
  Level, VLOOKUP(Lab, MS_Labs_Array, 2, FALSE),
  Target, VLOOKUP(Lab, MS_Labs_Array, 3, FALSE),
  Max, VLOOKUP(Lab, MS_Labs_Array, 4, FALSE),
  Result,
    IF(
      AND(
        Mode &lt;&gt; "Never",
        Level &gt;= IF(OR(Target = "", Mode = "Max"), Max, Target)
      ),
      "Completed",
      ""
    ),
  HSTACK(
    IF(Result &lt;&gt; "", Result, $D90),
    IF(Result &lt;&gt; "", Result, IF($E90 = "", $D90, $E90))
  )
)</f>
        <v>Completed</v>
      </c>
      <c r="I90" s="1247" t="s">
        <v>551</v>
      </c>
      <c r="J90" s="1248" t="str">
        <f t="shared" si="18"/>
        <v>Mostly for perma BH</v>
      </c>
      <c r="K90" s="1229"/>
      <c r="L90" s="1249" t="str">
        <f>IFERROR(__xludf.DUMMYFUNCTION("""COMPUTED_VALUE"""),"")</f>
        <v/>
      </c>
      <c r="M90" s="1249"/>
      <c r="N90" s="1250" t="str">
        <f>IFERROR(__xludf.DUMMYFUNCTION("if(M90 &lt;&gt; """", 
  LET( 
    TargetLevel, VLOOKUP(M90,MS_Labs_Array,3,false),
    MaxLevel, VLOOKUP(M90,MS_Labs_Array,4,false),
    MaxOrTarget, IF(OR(TargetLevel = """",$AD$1 &lt;&gt; ""Target""), MaxLevel, TargetLevel),
    LabLevel, VLOOKUP(M90,MS_Labs_Array"&amp;",2,False),
    Levelprogress, LabLevel / MaxOrTarget,
    DVTColumn, MATCH(M90,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0" s="1251" t="str">
        <f>IFERROR(__xludf.DUMMYFUNCTION("if(M90 &lt;&gt; """", 
  LET(
    TargetLevel, VLOOKUP(M90,MS_Labs_Array,3,false),
    LabSpeed, (1 * REGEXEXTRACT($BH$1, ""[\d.-]+"")) * {IF(M90 =""Labs Speed"", 1+'Master Sheet'!$BK$5, LAB_SPEED_TOTAL())},
    MaxLevel, VLOOKUP(M90,MS_Labs_Array,4,false),
   "&amp;" MaxOrTarget, IF(OR(TargetLevel = """",$AD$1 &lt;&gt; ""Target""), MaxLevel, TargetLevel),
    LabLevel, VLOOKUP(M90,MS_Labs_Array,2,False),
    DVTColumn, MATCH(M90, DVT_Laboratory!$A$1:BO$1, 0),
    xextTime, INDIRECT(""DVT_Laboratory!"" &amp; ADDRESS(LabLevel+3,"&amp;" DVTColumn)) / LabSpeed,
    remainingTime, SUM(INDIRECT(""DVT_Laboratory!"" &amp; ADDRESS(LabLevel+3, DVTColumn) &amp; "":"" &amp; ADDRESS(MaxOrTarget+2, DVTColumn))) / LabSpeed,
  M90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0" s="1249"/>
      <c r="Q90" s="1249" t="str">
        <f>IFERROR(__xludf.DUMMYFUNCTION("""COMPUTED_VALUE"""),"")</f>
        <v/>
      </c>
      <c r="R90" s="1249" t="str">
        <f>IFERROR(__xludf.DUMMYFUNCTION("""COMPUTED_VALUE"""),"")</f>
        <v/>
      </c>
      <c r="S90" s="1249"/>
      <c r="T90" s="1250" t="str">
        <f>IFERROR(__xludf.DUMMYFUNCTION("if(S90 &lt;&gt; """", 
  LET( 
    TargetLevel, VLOOKUP(S90,MS_Labs_Array,3,false),
    MaxLevel, VLOOKUP(S90,MS_Labs_Array,4,false),
    MaxOrTarget, IF(OR(TargetLevel = """",$AD$1 &lt;&gt; ""Target""), MaxLevel, TargetLevel),
    LabLevel, VLOOKUP(S90,MS_Labs_Array"&amp;",2,False),
    Levelprogress, LabLevel / MaxOrTarget,
    DVTColumn, MATCH(S90,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0" s="1251" t="str">
        <f>IFERROR(__xludf.DUMMYFUNCTION("if(S90 &lt;&gt; """", 
  LET(
    TargetLevel, VLOOKUP(S90,MS_Labs_Array,3,false),
    LabSpeed, (1 * REGEXEXTRACT($BH$1, ""[\d.-]+"")) * {IF(S90 =""Labs Speed"", 1+'Master Sheet'!$BK$5, LAB_SPEED_TOTAL())},
    MaxLevel, VLOOKUP(S90,MS_Labs_Array,4,false),
   "&amp;" MaxOrTarget, IF(OR(TargetLevel = """",$AD$1 &lt;&gt; ""Target""), MaxLevel, TargetLevel),
    LabLevel, VLOOKUP(S90,MS_Labs_Array,2,False),
    DVTColumn, MATCH(S90, DVT_Laboratory!$A$1:BO$1, 0),
    xextTime, INDIRECT(""DVT_Laboratory!"" &amp; ADDRESS(LabLevel+3,"&amp;" DVTColumn)) / LabSpeed,
    remainingTime, SUM(INDIRECT(""DVT_Laboratory!"" &amp; ADDRESS(LabLevel+3, DVTColumn) &amp; "":"" &amp; ADDRESS(MaxOrTarget+2, DVTColumn))) / LabSpeed,
  S90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0" s="1249"/>
      <c r="W90" s="1249" t="str">
        <f>IFERROR(__xludf.DUMMYFUNCTION("""COMPUTED_VALUE"""),"")</f>
        <v/>
      </c>
      <c r="X90" s="1249" t="str">
        <f>IFERROR(__xludf.DUMMYFUNCTION("""COMPUTED_VALUE"""),"")</f>
        <v/>
      </c>
      <c r="Y90" s="1249"/>
      <c r="Z90" s="1250" t="str">
        <f>IFERROR(__xludf.DUMMYFUNCTION("if(Y90 &lt;&gt; """", 
  LET( 
    TargetLevel, VLOOKUP(Y90,MS_Labs_Array,3,false),
    MaxLevel, VLOOKUP(Y90,MS_Labs_Array,4,false),
    MaxOrTarget, IF(OR(TargetLevel = """",$AD$1 &lt;&gt; ""Target""), MaxLevel, TargetLevel),
    LabLevel, VLOOKUP(Y90,MS_Labs_Array"&amp;",2,False),
    Levelprogress, LabLevel / MaxOrTarget,
    DVTColumn, MATCH(Y90,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0" s="1251" t="str">
        <f>IFERROR(__xludf.DUMMYFUNCTION("if(Y90 &lt;&gt; """", 
  LET(
    TargetLevel, VLOOKUP(Y90,MS_Labs_Array,3,false),
    LabSpeed, (1 * REGEXEXTRACT($BH$1, ""[\d.-]+"")) * {IF(Y90 =""Labs Speed"", 1+'Master Sheet'!$BK$5, LAB_SPEED_TOTAL())},
    MaxLevel, VLOOKUP(Y90,MS_Labs_Array,4,false),
   "&amp;" MaxOrTarget, IF(OR(TargetLevel = """",$AD$1 &lt;&gt; ""Target""), MaxLevel, TargetLevel),
    LabLevel, VLOOKUP(Y90,MS_Labs_Array,2,False),
    DVTColumn, MATCH(Y90, DVT_Laboratory!$A$1:BO$1, 0),
    xextTime, INDIRECT(""DVT_Laboratory!"" &amp; ADDRESS(LabLevel+3,"&amp;" DVTColumn)) / LabSpeed,
    remainingTime, SUM(INDIRECT(""DVT_Laboratory!"" &amp; ADDRESS(LabLevel+3, DVTColumn) &amp; "":"" &amp; ADDRESS(MaxOrTarget+2, DVTColumn))) / LabSpeed,
  Y90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0" s="1249"/>
      <c r="AC90" s="1249" t="str">
        <f>IFERROR(__xludf.DUMMYFUNCTION("""COMPUTED_VALUE"""),"")</f>
        <v/>
      </c>
      <c r="AD90" s="1249" t="str">
        <f>IFERROR(__xludf.DUMMYFUNCTION("""COMPUTED_VALUE"""),"")</f>
        <v/>
      </c>
      <c r="AE90" s="1249"/>
      <c r="AF90" s="1250" t="str">
        <f>IFERROR(__xludf.DUMMYFUNCTION("if(AE90 &lt;&gt; """", 
  LET( 
    TargetLevel, VLOOKUP(AE90,MS_Labs_Array,3,false),
    MaxLevel, VLOOKUP(AE90,MS_Labs_Array,4,false),
    MaxOrTarget, IF(OR(TargetLevel = """",$AD$1 &lt;&gt; ""Target""), MaxLevel, TargetLevel),
    LabLevel, VLOOKUP(AE90,MS_Labs_A"&amp;"rray,2,False),
    Levelprogress, LabLevel / MaxOrTarget,
    DVTColumn, MATCH(AE90,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0" s="1251" t="str">
        <f>IFERROR(__xludf.DUMMYFUNCTION("if(AE90 &lt;&gt; """", 
  LET(
    TargetLevel, VLOOKUP(AE90,MS_Labs_Array,3,false),
    LabSpeed, (1 * REGEXEXTRACT($BH$1, ""[\d.-]+"")) * {IF(AE90 =""Labs Speed"", 1+'Master Sheet'!$BK$5, LAB_SPEED_TOTAL())},
    MaxLevel, VLOOKUP(AE90,MS_Labs_Array,4,false),"&amp;"
    MaxOrTarget, IF(OR(TargetLevel = """",$AD$1 &lt;&gt; ""Target""), MaxLevel, TargetLevel),
    LabLevel, VLOOKUP(AE90,MS_Labs_Array,2,False),
    DVTColumn, MATCH(AE90, DVT_Laboratory!$A$1:BO$1, 0),
    xextTime, INDIRECT(""DVT_Laboratory!"" &amp; ADDRESS(LabLe"&amp;"vel+3, DVTColumn)) / LabSpeed,
    remainingTime, SUM(INDIRECT(""DVT_Laboratory!"" &amp; ADDRESS(LabLevel+3, DVTColumn) &amp; "":"" &amp; ADDRESS(MaxOrTarget+2, DVTColumn))) / LabSpeed,
  AE90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0" s="1249"/>
      <c r="AI90" s="1249" t="str">
        <f>IFERROR(__xludf.DUMMYFUNCTION("""COMPUTED_VALUE"""),"")</f>
        <v/>
      </c>
      <c r="AJ90" s="1249" t="str">
        <f>IFERROR(__xludf.DUMMYFUNCTION("""COMPUTED_VALUE"""),"")</f>
        <v/>
      </c>
      <c r="AK90" s="1249"/>
      <c r="AL90" s="1250" t="str">
        <f>IFERROR(__xludf.DUMMYFUNCTION("if(AK90 &lt;&gt; """", 
  LET( 
    TargetLevel, VLOOKUP(AK90,MS_Labs_Array,3,false),
    MaxLevel, VLOOKUP(AK90,MS_Labs_Array,4,false),
    MaxOrTarget, IF(OR(TargetLevel = """",$AD$1 &lt;&gt; ""Target""), MaxLevel, TargetLevel),
    LabLevel, VLOOKUP(AK90,MS_Labs_A"&amp;"rray,2,False),
    Levelprogress, LabLevel / MaxOrTarget,
    DVTColumn, MATCH(AK90,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0" s="1251" t="str">
        <f>IFERROR(__xludf.DUMMYFUNCTION("if(AK90 &lt;&gt; """", 
  LET(
    TargetLevel, VLOOKUP(AK90,MS_Labs_Array,3,false),
    LabSpeed, (1 * REGEXEXTRACT($BH$1, ""[\d.-]+"")) * {IF(AK90 =""Labs Speed"", 1+'Master Sheet'!$BK$5, LAB_SPEED_TOTAL())},
    MaxLevel, VLOOKUP(AK90,MS_Labs_Array,4,false),"&amp;"
    MaxOrTarget, IF(OR(TargetLevel = """",$AD$1 &lt;&gt; ""Target""), MaxLevel, TargetLevel),
    LabLevel, VLOOKUP(AK90,MS_Labs_Array,2,False),
    DVTColumn, MATCH(AK90, DVT_Laboratory!$A$1:BO$1, 0),
    xextTime, INDIRECT(""DVT_Laboratory!"" &amp; ADDRESS(LabLe"&amp;"vel+3, DVTColumn)) / LabSpeed,
    remainingTime, SUM(INDIRECT(""DVT_Laboratory!"" &amp; ADDRESS(LabLevel+3, DVTColumn) &amp; "":"" &amp; ADDRESS(MaxOrTarget+2, DVTColumn))) / LabSpeed,
  AK90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0" s="1249"/>
      <c r="AO90" s="1249" t="str">
        <f>IFERROR(__xludf.DUMMYFUNCTION("""COMPUTED_VALUE"""),"")</f>
        <v/>
      </c>
      <c r="AP90" s="1249" t="str">
        <f>IFERROR(__xludf.DUMMYFUNCTION("""COMPUTED_VALUE"""),"")</f>
        <v/>
      </c>
      <c r="AQ90" s="1249"/>
      <c r="AR90" s="1250" t="str">
        <f>IFERROR(__xludf.DUMMYFUNCTION("if(AQ90 &lt;&gt; """", 
  LET( 
    TargetLevel, VLOOKUP(AQ90,MS_Labs_Array,3,false),
    MaxLevel, VLOOKUP(AQ90,MS_Labs_Array,4,false),
    MaxOrTarget, IF(OR(TargetLevel = """",$AD$1 &lt;&gt; ""Target""), MaxLevel, TargetLevel),
    LabLevel, VLOOKUP(AQ90,MS_Labs_A"&amp;"rray,2,False),
    Levelprogress, LabLevel / MaxOrTarget,
    DVTColumn, MATCH(AQ90,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0" s="1251" t="str">
        <f>IFERROR(__xludf.DUMMYFUNCTION("if(AQ90 &lt;&gt; """", 
  LET(
    TargetLevel, VLOOKUP(AQ90,MS_Labs_Array,3,false),
    LabSpeed, (1 * REGEXEXTRACT($BH$1, ""[\d.-]+"")) * {IF(AQ90 =""Labs Speed"", 1+'Master Sheet'!$BK$5, LAB_SPEED_TOTAL())},
    MaxLevel, VLOOKUP(AQ90,MS_Labs_Array,4,false),"&amp;"
    MaxOrTarget, IF(OR(TargetLevel = """",$AD$1 &lt;&gt; ""Target""), MaxLevel, TargetLevel),
    LabLevel, VLOOKUP(AQ90,MS_Labs_Array,2,False),
    DVTColumn, MATCH(AQ90, DVT_Laboratory!$A$1:BO$1, 0),
    xextTime, INDIRECT(""DVT_Laboratory!"" &amp; ADDRESS(LabLe"&amp;"vel+3, DVTColumn)) / LabSpeed,
    remainingTime, SUM(INDIRECT(""DVT_Laboratory!"" &amp; ADDRESS(LabLevel+3, DVTColumn) &amp; "":"" &amp; ADDRESS(MaxOrTarget+2, DVTColumn))) / LabSpeed,
  AQ90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0" s="1249"/>
      <c r="AU90" s="1249" t="str">
        <f>IFERROR(__xludf.DUMMYFUNCTION("""COMPUTED_VALUE"""),"")</f>
        <v/>
      </c>
      <c r="AV90" s="1249" t="str">
        <f>IFERROR(__xludf.DUMMYFUNCTION("""COMPUTED_VALUE"""),"")</f>
        <v/>
      </c>
      <c r="AW90" s="1249"/>
      <c r="AX90" s="1250" t="str">
        <f>IFERROR(__xludf.DUMMYFUNCTION("if(AW90 &lt;&gt; """", 
  LET( 
    TargetLevel, VLOOKUP(AW90,MS_Labs_Array,3,false),
    MaxLevel, VLOOKUP(AW90,MS_Labs_Array,4,false),
    MaxOrTarget, IF(OR(TargetLevel = """",$AD$1 &lt;&gt; ""Target""), MaxLevel, TargetLevel),
    LabLevel, VLOOKUP(AW90,MS_Labs_A"&amp;"rray,2,False),
    Levelprogress, LabLevel / MaxOrTarget,
    DVTColumn, MATCH(AW90,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0" s="1251" t="str">
        <f>IFERROR(__xludf.DUMMYFUNCTION("if(AW90 &lt;&gt; """", 
  LET(
    TargetLevel, VLOOKUP(AW90,MS_Labs_Array,3,false),
    LabSpeed, (1 * REGEXEXTRACT($BH$1, ""[\d.-]+"")) * {IF(AW90 =""Labs Speed"", 1+'Master Sheet'!$BK$5, LAB_SPEED_TOTAL())},
    MaxLevel, VLOOKUP(AW90,MS_Labs_Array,4,false),"&amp;"
    MaxOrTarget, IF(OR(TargetLevel = """",$AD$1 &lt;&gt; ""Target""), MaxLevel, TargetLevel),
    LabLevel, VLOOKUP(AW90,MS_Labs_Array,2,False),
    DVTColumn, MATCH(AW90, DVT_Laboratory!$A$1:BO$1, 0),
    xextTime, INDIRECT(""DVT_Laboratory!"" &amp; ADDRESS(LabLe"&amp;"vel+3, DVTColumn)) / LabSpeed,
    remainingTime, SUM(INDIRECT(""DVT_Laboratory!"" &amp; ADDRESS(LabLevel+3, DVTColumn) &amp; "":"" &amp; ADDRESS(MaxOrTarget+2, DVTColumn))) / LabSpeed,
  AW90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0" s="1249"/>
      <c r="BA90" s="1249" t="str">
        <f>IFERROR(__xludf.DUMMYFUNCTION("""COMPUTED_VALUE"""),"")</f>
        <v/>
      </c>
      <c r="BB90" s="1249" t="str">
        <f>IFERROR(__xludf.DUMMYFUNCTION("""COMPUTED_VALUE"""),"")</f>
        <v/>
      </c>
      <c r="BC90" s="1249"/>
      <c r="BD90" s="1250" t="str">
        <f>IFERROR(__xludf.DUMMYFUNCTION("if(BC90 &lt;&gt; """", 
  LET( 
    TargetLevel, VLOOKUP(BC90,MS_Labs_Array,3,false),
    MaxLevel, VLOOKUP(BC90,MS_Labs_Array,4,false),
    MaxOrTarget, IF(OR(TargetLevel = """",$AD$1 &lt;&gt; ""Target""), MaxLevel, TargetLevel),
    LabLevel, VLOOKUP(BC90,MS_Labs_A"&amp;"rray,2,False),
    Levelprogress, LabLevel / MaxOrTarget,
    DVTColumn, MATCH(BC90,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0" s="1251" t="str">
        <f>IFERROR(__xludf.DUMMYFUNCTION("if(BC90 &lt;&gt; """", 
  LET(
    TargetLevel, VLOOKUP(BC90,MS_Labs_Array,3,false),
    LabSpeed, (1 * REGEXEXTRACT($BH$1, ""[\d.-]+"")) * {IF(BC90 =""Labs Speed"", 1+'Master Sheet'!$BK$5, LAB_SPEED_TOTAL())},
    MaxLevel, VLOOKUP(BC90,MS_Labs_Array,4,false),"&amp;"
    MaxOrTarget, IF(OR(TargetLevel = """",$AD$1 &lt;&gt; ""Target""), MaxLevel, TargetLevel),
    LabLevel, VLOOKUP(BC90,MS_Labs_Array,2,False),
    DVTColumn, MATCH(BC90, DVT_Laboratory!$A$1:BO$1, 0),
    xextTime, INDIRECT(""DVT_Laboratory!"" &amp; ADDRESS(LabLe"&amp;"vel+3, DVTColumn)) / LabSpeed,
    remainingTime, SUM(INDIRECT(""DVT_Laboratory!"" &amp; ADDRESS(LabLevel+3, DVTColumn) &amp; "":"" &amp; ADDRESS(MaxOrTarget+2, DVTColumn))) / LabSpeed,
  BC90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0" s="1249"/>
      <c r="BG90" s="1249" t="str">
        <f>IFERROR(__xludf.DUMMYFUNCTION("""COMPUTED_VALUE"""),"")</f>
        <v/>
      </c>
      <c r="BH90" s="1260" t="str">
        <f>IFERROR(__xludf.DUMMYFUNCTION("""COMPUTED_VALUE"""),"")</f>
        <v/>
      </c>
      <c r="BI90" s="1252"/>
      <c r="BJ90" s="1253" t="str">
        <f>IFERROR(__xludf.DUMMYFUNCTION("if(BI90 &lt;&gt; """", 
  LET( 
    TargetLevel, VLOOKUP(BI90,MS_Labs_Array,3,false),
    MaxLevel, VLOOKUP(BI90,MS_Labs_Array,4,false),
    MaxOrTarget, IF(OR(TargetLevel = """",$AD$1 &lt;&gt; ""Target""), MaxLevel, TargetLevel),
    LabLevel, VLOOKUP(BI90,MS_Labs_A"&amp;"rray,2,False),
    Levelprogress, IF(LabLevel &gt;= MaxOrTarget, 1, LabLevel / MaxOrTarget),
    DVTColumn, MATCH(BI90,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0" s="1254" t="str">
        <f>IFERROR(__xludf.DUMMYFUNCTION("if(BI90 &lt;&gt; """", 
  LET(
    TargetLevel, VLOOKUP(BI90,MS_Labs_Array,3,false),
    LabSpeed, (1 * REGEXEXTRACT($BH$1, ""[\d.-]+"")) * {IF(BI90 =""Labs Speed"", 1+'Master Sheet'!$BK$5, LAB_SPEED_TOTAL())},
    MaxLevel, VLOOKUP(BI90,MS_Labs_Array,4,false),"&amp;"
    MaxOrTarget, IF(OR(TargetLevel = """",$AD$1 &lt;&gt; ""Target""), MaxLevel, TargetLevel),
    LabLevel, VLOOKUP(BI90,MS_Labs_Array,2,False),
    DVTColumn, MATCH(BI90, DVT_Laboratory!$A$1:BO$1, 0),
    xextTime, INDIRECT(""DVT_Laboratory!"" &amp; ADDRESS(LabLe"&amp;"vel+3, DVTColumn)) / LabSpeed,
    remainingTime, SUM(INDIRECT(""DVT_Laboratory!"" &amp; ADDRESS(LabLevel+3, DVTColumn) &amp; "":"" &amp; ADDRESS(MaxOrTarget+2, DVTColumn))) / LabSpeed,
  BI90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0" s="1252"/>
      <c r="BM90" s="1252" t="str">
        <f>IFERROR(__xludf.DUMMYFUNCTION("""COMPUTED_VALUE"""),"Reroll Shards
  Lab Level:      100 / 100 (Target)
  Next Level:    30d 18h 56m
  Target Level: 31d  9h 57m")</f>
        <v>Reroll Shards
  Lab Level:      100 / 100 (Target)
  Next Level:    30d 18h 56m
  Target Level: 31d  9h 57m</v>
      </c>
      <c r="BN90" s="1222"/>
      <c r="BO90" s="1261"/>
    </row>
    <row r="91">
      <c r="A91" s="1222"/>
      <c r="B91" s="1257"/>
      <c r="C91" s="1304" t="s">
        <v>364</v>
      </c>
      <c r="D91" s="1280" t="str">
        <f>VLOOKUP(C91,'Remote Tier List'!A:D, 2, FALSE)</f>
        <v>F</v>
      </c>
      <c r="E91" s="1281" t="str">
        <f>VLOOKUP(C91,'Remote Tier List'!A:D, 3, FALSE)</f>
        <v/>
      </c>
      <c r="F91" s="1284" t="str">
        <f>VLOOKUP(C91,'Remote Tier List'!A:D, 4, FALSE)</f>
        <v>Panic Button can be reused, however the cooldown is too long to matter on top of being a lackluster ability</v>
      </c>
      <c r="G91" s="1245" t="b">
        <f>IFERROR(AND(VLOOKUP("Tier 14",'_IDS'!$BZ$3:$DT$23, 2, FALSE) &gt; 60,  IDS_UW_OWN("Smart Missiles")), true)</f>
        <v>0</v>
      </c>
      <c r="H91" s="1246" t="str">
        <f t="array" ref="H91:I91">LET(
  Lab, $C91,
  Mode, $AD$1,
  Level, VLOOKUP(Lab, MS_Labs_Array, 2, FALSE),
  Target, VLOOKUP(Lab, MS_Labs_Array, 3, FALSE),
  Max, VLOOKUP(Lab, MS_Labs_Array, 4, FALSE),
  Result,
    IF(
      AND(
        Mode &lt;&gt; "Never",
        Level &gt;= IF(OR(Target = "", Mode = "Max"), Max, Target)
      ),
      "Completed",
      ""
    ),
  HSTACK(
    IF(Result &lt;&gt; "", Result, $D91),
    IF(Result &lt;&gt; "", Result, IF($E91 = "", $D91, $E91))
  )
)</f>
        <v>F</v>
      </c>
      <c r="I91" s="1247" t="s">
        <v>549</v>
      </c>
      <c r="J91" s="1248" t="str">
        <f t="shared" si="18"/>
        <v>Panic Button can be reused, however the cooldown is too long to matter on top of being a lackluster ability</v>
      </c>
      <c r="K91" s="1229"/>
      <c r="L91" s="1249"/>
      <c r="M91" s="1249"/>
      <c r="N91" s="1250" t="str">
        <f>IFERROR(__xludf.DUMMYFUNCTION("if(M91 &lt;&gt; """", 
  LET( 
    TargetLevel, VLOOKUP(M91,MS_Labs_Array,3,false),
    MaxLevel, VLOOKUP(M91,MS_Labs_Array,4,false),
    MaxOrTarget, IF(OR(TargetLevel = """",$AD$1 &lt;&gt; ""Target""), MaxLevel, TargetLevel),
    LabLevel, VLOOKUP(M91,MS_Labs_Array"&amp;",2,False),
    Levelprogress, LabLevel / MaxOrTarget,
    DVTColumn, MATCH(M91,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1" s="1251" t="str">
        <f>IFERROR(__xludf.DUMMYFUNCTION("if(M91 &lt;&gt; """", 
  LET(
    TargetLevel, VLOOKUP(M91,MS_Labs_Array,3,false),
    LabSpeed, (1 * REGEXEXTRACT($BH$1, ""[\d.-]+"")) * {IF(M91 =""Labs Speed"", 1+'Master Sheet'!$BK$5, LAB_SPEED_TOTAL())},
    MaxLevel, VLOOKUP(M91,MS_Labs_Array,4,false),
   "&amp;" MaxOrTarget, IF(OR(TargetLevel = """",$AD$1 &lt;&gt; ""Target""), MaxLevel, TargetLevel),
    LabLevel, VLOOKUP(M91,MS_Labs_Array,2,False),
    DVTColumn, MATCH(M91, DVT_Laboratory!$A$1:BO$1, 0),
    xextTime, INDIRECT(""DVT_Laboratory!"" &amp; ADDRESS(LabLevel+3,"&amp;" DVTColumn)) / LabSpeed,
    remainingTime, SUM(INDIRECT(""DVT_Laboratory!"" &amp; ADDRESS(LabLevel+3, DVTColumn) &amp; "":"" &amp; ADDRESS(MaxOrTarget+2, DVTColumn))) / LabSpeed,
  M91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1" s="1249"/>
      <c r="Q91" s="1249"/>
      <c r="R91" s="1249"/>
      <c r="S91" s="1249"/>
      <c r="T91" s="1250" t="str">
        <f>IFERROR(__xludf.DUMMYFUNCTION("if(S91 &lt;&gt; """", 
  LET( 
    TargetLevel, VLOOKUP(S91,MS_Labs_Array,3,false),
    MaxLevel, VLOOKUP(S91,MS_Labs_Array,4,false),
    MaxOrTarget, IF(OR(TargetLevel = """",$AD$1 &lt;&gt; ""Target""), MaxLevel, TargetLevel),
    LabLevel, VLOOKUP(S91,MS_Labs_Array"&amp;",2,False),
    Levelprogress, LabLevel / MaxOrTarget,
    DVTColumn, MATCH(S91,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1" s="1251" t="str">
        <f>IFERROR(__xludf.DUMMYFUNCTION("if(S91 &lt;&gt; """", 
  LET(
    TargetLevel, VLOOKUP(S91,MS_Labs_Array,3,false),
    LabSpeed, (1 * REGEXEXTRACT($BH$1, ""[\d.-]+"")) * {IF(S91 =""Labs Speed"", 1+'Master Sheet'!$BK$5, LAB_SPEED_TOTAL())},
    MaxLevel, VLOOKUP(S91,MS_Labs_Array,4,false),
   "&amp;" MaxOrTarget, IF(OR(TargetLevel = """",$AD$1 &lt;&gt; ""Target""), MaxLevel, TargetLevel),
    LabLevel, VLOOKUP(S91,MS_Labs_Array,2,False),
    DVTColumn, MATCH(S91, DVT_Laboratory!$A$1:BO$1, 0),
    xextTime, INDIRECT(""DVT_Laboratory!"" &amp; ADDRESS(LabLevel+3,"&amp;" DVTColumn)) / LabSpeed,
    remainingTime, SUM(INDIRECT(""DVT_Laboratory!"" &amp; ADDRESS(LabLevel+3, DVTColumn) &amp; "":"" &amp; ADDRESS(MaxOrTarget+2, DVTColumn))) / LabSpeed,
  S91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1" s="1249"/>
      <c r="W91" s="1249"/>
      <c r="X91" s="1249"/>
      <c r="Y91" s="1249"/>
      <c r="Z91" s="1250" t="str">
        <f>IFERROR(__xludf.DUMMYFUNCTION("if(Y91 &lt;&gt; """", 
  LET( 
    TargetLevel, VLOOKUP(Y91,MS_Labs_Array,3,false),
    MaxLevel, VLOOKUP(Y91,MS_Labs_Array,4,false),
    MaxOrTarget, IF(OR(TargetLevel = """",$AD$1 &lt;&gt; ""Target""), MaxLevel, TargetLevel),
    LabLevel, VLOOKUP(Y91,MS_Labs_Array"&amp;",2,False),
    Levelprogress, LabLevel / MaxOrTarget,
    DVTColumn, MATCH(Y91,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1" s="1251" t="str">
        <f>IFERROR(__xludf.DUMMYFUNCTION("if(Y91 &lt;&gt; """", 
  LET(
    TargetLevel, VLOOKUP(Y91,MS_Labs_Array,3,false),
    LabSpeed, (1 * REGEXEXTRACT($BH$1, ""[\d.-]+"")) * {IF(Y91 =""Labs Speed"", 1+'Master Sheet'!$BK$5, LAB_SPEED_TOTAL())},
    MaxLevel, VLOOKUP(Y91,MS_Labs_Array,4,false),
   "&amp;" MaxOrTarget, IF(OR(TargetLevel = """",$AD$1 &lt;&gt; ""Target""), MaxLevel, TargetLevel),
    LabLevel, VLOOKUP(Y91,MS_Labs_Array,2,False),
    DVTColumn, MATCH(Y91, DVT_Laboratory!$A$1:BO$1, 0),
    xextTime, INDIRECT(""DVT_Laboratory!"" &amp; ADDRESS(LabLevel+3,"&amp;" DVTColumn)) / LabSpeed,
    remainingTime, SUM(INDIRECT(""DVT_Laboratory!"" &amp; ADDRESS(LabLevel+3, DVTColumn) &amp; "":"" &amp; ADDRESS(MaxOrTarget+2, DVTColumn))) / LabSpeed,
  Y91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1" s="1249"/>
      <c r="AC91" s="1249"/>
      <c r="AD91" s="1249"/>
      <c r="AE91" s="1249"/>
      <c r="AF91" s="1250" t="str">
        <f>IFERROR(__xludf.DUMMYFUNCTION("if(AE91 &lt;&gt; """", 
  LET( 
    TargetLevel, VLOOKUP(AE91,MS_Labs_Array,3,false),
    MaxLevel, VLOOKUP(AE91,MS_Labs_Array,4,false),
    MaxOrTarget, IF(OR(TargetLevel = """",$AD$1 &lt;&gt; ""Target""), MaxLevel, TargetLevel),
    LabLevel, VLOOKUP(AE91,MS_Labs_A"&amp;"rray,2,False),
    Levelprogress, LabLevel / MaxOrTarget,
    DVTColumn, MATCH(AE91,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1" s="1251" t="str">
        <f>IFERROR(__xludf.DUMMYFUNCTION("if(AE91 &lt;&gt; """", 
  LET(
    TargetLevel, VLOOKUP(AE91,MS_Labs_Array,3,false),
    LabSpeed, (1 * REGEXEXTRACT($BH$1, ""[\d.-]+"")) * {IF(AE91 =""Labs Speed"", 1+'Master Sheet'!$BK$5, LAB_SPEED_TOTAL())},
    MaxLevel, VLOOKUP(AE91,MS_Labs_Array,4,false),"&amp;"
    MaxOrTarget, IF(OR(TargetLevel = """",$AD$1 &lt;&gt; ""Target""), MaxLevel, TargetLevel),
    LabLevel, VLOOKUP(AE91,MS_Labs_Array,2,False),
    DVTColumn, MATCH(AE91, DVT_Laboratory!$A$1:BO$1, 0),
    xextTime, INDIRECT(""DVT_Laboratory!"" &amp; ADDRESS(LabLe"&amp;"vel+3, DVTColumn)) / LabSpeed,
    remainingTime, SUM(INDIRECT(""DVT_Laboratory!"" &amp; ADDRESS(LabLevel+3, DVTColumn) &amp; "":"" &amp; ADDRESS(MaxOrTarget+2, DVTColumn))) / LabSpeed,
  AE91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1" s="1249"/>
      <c r="AI91" s="1249"/>
      <c r="AJ91" s="1249"/>
      <c r="AK91" s="1249"/>
      <c r="AL91" s="1250" t="str">
        <f>IFERROR(__xludf.DUMMYFUNCTION("if(AK91 &lt;&gt; """", 
  LET( 
    TargetLevel, VLOOKUP(AK91,MS_Labs_Array,3,false),
    MaxLevel, VLOOKUP(AK91,MS_Labs_Array,4,false),
    MaxOrTarget, IF(OR(TargetLevel = """",$AD$1 &lt;&gt; ""Target""), MaxLevel, TargetLevel),
    LabLevel, VLOOKUP(AK91,MS_Labs_A"&amp;"rray,2,False),
    Levelprogress, LabLevel / MaxOrTarget,
    DVTColumn, MATCH(AK91,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1" s="1251" t="str">
        <f>IFERROR(__xludf.DUMMYFUNCTION("if(AK91 &lt;&gt; """", 
  LET(
    TargetLevel, VLOOKUP(AK91,MS_Labs_Array,3,false),
    LabSpeed, (1 * REGEXEXTRACT($BH$1, ""[\d.-]+"")) * {IF(AK91 =""Labs Speed"", 1+'Master Sheet'!$BK$5, LAB_SPEED_TOTAL())},
    MaxLevel, VLOOKUP(AK91,MS_Labs_Array,4,false),"&amp;"
    MaxOrTarget, IF(OR(TargetLevel = """",$AD$1 &lt;&gt; ""Target""), MaxLevel, TargetLevel),
    LabLevel, VLOOKUP(AK91,MS_Labs_Array,2,False),
    DVTColumn, MATCH(AK91, DVT_Laboratory!$A$1:BO$1, 0),
    xextTime, INDIRECT(""DVT_Laboratory!"" &amp; ADDRESS(LabLe"&amp;"vel+3, DVTColumn)) / LabSpeed,
    remainingTime, SUM(INDIRECT(""DVT_Laboratory!"" &amp; ADDRESS(LabLevel+3, DVTColumn) &amp; "":"" &amp; ADDRESS(MaxOrTarget+2, DVTColumn))) / LabSpeed,
  AK91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1" s="1249"/>
      <c r="AO91" s="1249"/>
      <c r="AP91" s="1249"/>
      <c r="AQ91" s="1249"/>
      <c r="AR91" s="1250" t="str">
        <f>IFERROR(__xludf.DUMMYFUNCTION("if(AQ91 &lt;&gt; """", 
  LET( 
    TargetLevel, VLOOKUP(AQ91,MS_Labs_Array,3,false),
    MaxLevel, VLOOKUP(AQ91,MS_Labs_Array,4,false),
    MaxOrTarget, IF(OR(TargetLevel = """",$AD$1 &lt;&gt; ""Target""), MaxLevel, TargetLevel),
    LabLevel, VLOOKUP(AQ91,MS_Labs_A"&amp;"rray,2,False),
    Levelprogress, LabLevel / MaxOrTarget,
    DVTColumn, MATCH(AQ91,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1" s="1251" t="str">
        <f>IFERROR(__xludf.DUMMYFUNCTION("if(AQ91 &lt;&gt; """", 
  LET(
    TargetLevel, VLOOKUP(AQ91,MS_Labs_Array,3,false),
    LabSpeed, (1 * REGEXEXTRACT($BH$1, ""[\d.-]+"")) * {IF(AQ91 =""Labs Speed"", 1+'Master Sheet'!$BK$5, LAB_SPEED_TOTAL())},
    MaxLevel, VLOOKUP(AQ91,MS_Labs_Array,4,false),"&amp;"
    MaxOrTarget, IF(OR(TargetLevel = """",$AD$1 &lt;&gt; ""Target""), MaxLevel, TargetLevel),
    LabLevel, VLOOKUP(AQ91,MS_Labs_Array,2,False),
    DVTColumn, MATCH(AQ91, DVT_Laboratory!$A$1:BO$1, 0),
    xextTime, INDIRECT(""DVT_Laboratory!"" &amp; ADDRESS(LabLe"&amp;"vel+3, DVTColumn)) / LabSpeed,
    remainingTime, SUM(INDIRECT(""DVT_Laboratory!"" &amp; ADDRESS(LabLevel+3, DVTColumn) &amp; "":"" &amp; ADDRESS(MaxOrTarget+2, DVTColumn))) / LabSpeed,
  AQ91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1" s="1249"/>
      <c r="AU91" s="1249"/>
      <c r="AV91" s="1249"/>
      <c r="AW91" s="1249"/>
      <c r="AX91" s="1250" t="str">
        <f>IFERROR(__xludf.DUMMYFUNCTION("if(AW91 &lt;&gt; """", 
  LET( 
    TargetLevel, VLOOKUP(AW91,MS_Labs_Array,3,false),
    MaxLevel, VLOOKUP(AW91,MS_Labs_Array,4,false),
    MaxOrTarget, IF(OR(TargetLevel = """",$AD$1 &lt;&gt; ""Target""), MaxLevel, TargetLevel),
    LabLevel, VLOOKUP(AW91,MS_Labs_A"&amp;"rray,2,False),
    Levelprogress, LabLevel / MaxOrTarget,
    DVTColumn, MATCH(AW91,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1" s="1251" t="str">
        <f>IFERROR(__xludf.DUMMYFUNCTION("if(AW91 &lt;&gt; """", 
  LET(
    TargetLevel, VLOOKUP(AW91,MS_Labs_Array,3,false),
    LabSpeed, (1 * REGEXEXTRACT($BH$1, ""[\d.-]+"")) * {IF(AW91 =""Labs Speed"", 1+'Master Sheet'!$BK$5, LAB_SPEED_TOTAL())},
    MaxLevel, VLOOKUP(AW91,MS_Labs_Array,4,false),"&amp;"
    MaxOrTarget, IF(OR(TargetLevel = """",$AD$1 &lt;&gt; ""Target""), MaxLevel, TargetLevel),
    LabLevel, VLOOKUP(AW91,MS_Labs_Array,2,False),
    DVTColumn, MATCH(AW91, DVT_Laboratory!$A$1:BO$1, 0),
    xextTime, INDIRECT(""DVT_Laboratory!"" &amp; ADDRESS(LabLe"&amp;"vel+3, DVTColumn)) / LabSpeed,
    remainingTime, SUM(INDIRECT(""DVT_Laboratory!"" &amp; ADDRESS(LabLevel+3, DVTColumn) &amp; "":"" &amp; ADDRESS(MaxOrTarget+2, DVTColumn))) / LabSpeed,
  AW91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1" s="1249"/>
      <c r="BA91" s="1249"/>
      <c r="BB91" s="1249"/>
      <c r="BC91" s="1249"/>
      <c r="BD91" s="1250" t="str">
        <f>IFERROR(__xludf.DUMMYFUNCTION("if(BC91 &lt;&gt; """", 
  LET( 
    TargetLevel, VLOOKUP(BC91,MS_Labs_Array,3,false),
    MaxLevel, VLOOKUP(BC91,MS_Labs_Array,4,false),
    MaxOrTarget, IF(OR(TargetLevel = """",$AD$1 &lt;&gt; ""Target""), MaxLevel, TargetLevel),
    LabLevel, VLOOKUP(BC91,MS_Labs_A"&amp;"rray,2,False),
    Levelprogress, LabLevel / MaxOrTarget,
    DVTColumn, MATCH(BC91,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1" s="1251" t="str">
        <f>IFERROR(__xludf.DUMMYFUNCTION("if(BC91 &lt;&gt; """", 
  LET(
    TargetLevel, VLOOKUP(BC91,MS_Labs_Array,3,false),
    LabSpeed, (1 * REGEXEXTRACT($BH$1, ""[\d.-]+"")) * {IF(BC91 =""Labs Speed"", 1+'Master Sheet'!$BK$5, LAB_SPEED_TOTAL())},
    MaxLevel, VLOOKUP(BC91,MS_Labs_Array,4,false),"&amp;"
    MaxOrTarget, IF(OR(TargetLevel = """",$AD$1 &lt;&gt; ""Target""), MaxLevel, TargetLevel),
    LabLevel, VLOOKUP(BC91,MS_Labs_Array,2,False),
    DVTColumn, MATCH(BC91, DVT_Laboratory!$A$1:BO$1, 0),
    xextTime, INDIRECT(""DVT_Laboratory!"" &amp; ADDRESS(LabLe"&amp;"vel+3, DVTColumn)) / LabSpeed,
    remainingTime, SUM(INDIRECT(""DVT_Laboratory!"" &amp; ADDRESS(LabLevel+3, DVTColumn) &amp; "":"" &amp; ADDRESS(MaxOrTarget+2, DVTColumn))) / LabSpeed,
  BC91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1" s="1249"/>
      <c r="BG91" s="1249"/>
      <c r="BH91" s="1260" t="str">
        <f>IFERROR(__xludf.DUMMYFUNCTION("""COMPUTED_VALUE"""),"Daily Mission Shards")</f>
        <v>Daily Mission Shards</v>
      </c>
      <c r="BI91" s="1252"/>
      <c r="BJ91" s="1253" t="str">
        <f>IFERROR(__xludf.DUMMYFUNCTION("if(BI91 &lt;&gt; """", 
  LET( 
    TargetLevel, VLOOKUP(BI91,MS_Labs_Array,3,false),
    MaxLevel, VLOOKUP(BI91,MS_Labs_Array,4,false),
    MaxOrTarget, IF(OR(TargetLevel = """",$AD$1 &lt;&gt; ""Target""), MaxLevel, TargetLevel),
    LabLevel, VLOOKUP(BI91,MS_Labs_A"&amp;"rray,2,False),
    Levelprogress, IF(LabLevel &gt;= MaxOrTarget, 1, LabLevel / MaxOrTarget),
    DVTColumn, MATCH(BI91,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1" s="1254" t="str">
        <f>IFERROR(__xludf.DUMMYFUNCTION("if(BI91 &lt;&gt; """", 
  LET(
    TargetLevel, VLOOKUP(BI91,MS_Labs_Array,3,false),
    LabSpeed, (1 * REGEXEXTRACT($BH$1, ""[\d.-]+"")) * {IF(BI91 =""Labs Speed"", 1+'Master Sheet'!$BK$5, LAB_SPEED_TOTAL())},
    MaxLevel, VLOOKUP(BI91,MS_Labs_Array,4,false),"&amp;"
    MaxOrTarget, IF(OR(TargetLevel = """",$AD$1 &lt;&gt; ""Target""), MaxLevel, TargetLevel),
    LabLevel, VLOOKUP(BI91,MS_Labs_Array,2,False),
    DVTColumn, MATCH(BI91, DVT_Laboratory!$A$1:BO$1, 0),
    xextTime, INDIRECT(""DVT_Laboratory!"" &amp; ADDRESS(LabLe"&amp;"vel+3, DVTColumn)) / LabSpeed,
    remainingTime, SUM(INDIRECT(""DVT_Laboratory!"" &amp; ADDRESS(LabLevel+3, DVTColumn) &amp; "":"" &amp; ADDRESS(MaxOrTarget+2, DVTColumn))) / LabSpeed,
  BI91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1" s="1252"/>
      <c r="BM91" s="1252" t="str">
        <f>IFERROR(__xludf.DUMMYFUNCTION("""COMPUTED_VALUE"""),"Very important long term for shard income. Affects most stats")</f>
        <v>Very important long term for shard income. Affects most stats</v>
      </c>
      <c r="BN91" s="1222"/>
      <c r="BO91" s="1261"/>
    </row>
    <row r="92" ht="7.5" customHeight="1">
      <c r="A92" s="1222"/>
      <c r="B92" s="1268" t="s">
        <v>566</v>
      </c>
      <c r="C92" s="1304" t="s">
        <v>366</v>
      </c>
      <c r="D92" s="1280" t="str">
        <f>VLOOKUP(C92,'Remote Tier List'!A:D, 2, FALSE)</f>
        <v>B</v>
      </c>
      <c r="E92" s="1281" t="str">
        <f>VLOOKUP(C92,'Remote Tier List'!A:D, 3, FALSE)</f>
        <v/>
      </c>
      <c r="F92" s="1284" t="str">
        <f>VLOOKUP(C92,'Remote Tier List'!A:D, 4, FALSE)</f>
        <v>An important part in making PS damage matter and even strong. Great against Ultimate Tanks</v>
      </c>
      <c r="G92" s="1245" t="b">
        <f>IFERROR(AND(VLOOKUP("Tier 16",'_IDS'!$BZ$3:$DT$23, 2, FALSE) &gt; 50,  IDS_UW_OWN("Poison Swamp")), true)</f>
        <v>0</v>
      </c>
      <c r="H92" s="1246" t="str">
        <f t="array" ref="H92:I92">LET(
  Lab, $C92,
  Mode, $AD$1,
  Level, VLOOKUP(Lab, MS_Labs_Array, 2, FALSE),
  Target, VLOOKUP(Lab, MS_Labs_Array, 3, FALSE),
  Max, VLOOKUP(Lab, MS_Labs_Array, 4, FALSE),
  Result,
    IF(
      AND(
        Mode &lt;&gt; "Never",
        Level &gt;= IF(OR(Target = "", Mode = "Max"), Max, Target)
      ),
      "Completed",
      ""
    ),
  HSTACK(
    IF(Result &lt;&gt; "", Result, $D92),
    IF(Result &lt;&gt; "", Result, IF($E92 = "", $D92, $E92))
  )
)</f>
        <v>B</v>
      </c>
      <c r="I92" s="1247" t="s">
        <v>546</v>
      </c>
      <c r="J92" s="1248" t="str">
        <f t="shared" si="18"/>
        <v>An important part in making PS damage matter and even strong. Great against Ultimate Tanks</v>
      </c>
      <c r="K92" s="1229"/>
      <c r="L92" s="1249" t="str">
        <f>IFERROR(__xludf.DUMMYFUNCTION("""COMPUTED_VALUE"""),"")</f>
        <v/>
      </c>
      <c r="M92" s="1249"/>
      <c r="N92" s="1250" t="str">
        <f>IFERROR(__xludf.DUMMYFUNCTION("if(M92 &lt;&gt; """", 
  LET( 
    TargetLevel, VLOOKUP(M92,MS_Labs_Array,3,false),
    MaxLevel, VLOOKUP(M92,MS_Labs_Array,4,false),
    MaxOrTarget, IF(OR(TargetLevel = """",$AD$1 &lt;&gt; ""Target""), MaxLevel, TargetLevel),
    LabLevel, VLOOKUP(M92,MS_Labs_Array"&amp;",2,False),
    Levelprogress, LabLevel / MaxOrTarget,
    DVTColumn, MATCH(M92,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2" s="1251" t="str">
        <f>IFERROR(__xludf.DUMMYFUNCTION("if(M92 &lt;&gt; """", 
  LET(
    TargetLevel, VLOOKUP(M92,MS_Labs_Array,3,false),
    LabSpeed, (1 * REGEXEXTRACT($BH$1, ""[\d.-]+"")) * {IF(M92 =""Labs Speed"", 1+'Master Sheet'!$BK$5, LAB_SPEED_TOTAL())},
    MaxLevel, VLOOKUP(M92,MS_Labs_Array,4,false),
   "&amp;" MaxOrTarget, IF(OR(TargetLevel = """",$AD$1 &lt;&gt; ""Target""), MaxLevel, TargetLevel),
    LabLevel, VLOOKUP(M92,MS_Labs_Array,2,False),
    DVTColumn, MATCH(M92, DVT_Laboratory!$A$1:BO$1, 0),
    xextTime, INDIRECT(""DVT_Laboratory!"" &amp; ADDRESS(LabLevel+3,"&amp;" DVTColumn)) / LabSpeed,
    remainingTime, SUM(INDIRECT(""DVT_Laboratory!"" &amp; ADDRESS(LabLevel+3, DVTColumn) &amp; "":"" &amp; ADDRESS(MaxOrTarget+2, DVTColumn))) / LabSpeed,
  M92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2" s="1249"/>
      <c r="Q92" s="1249" t="str">
        <f>IFERROR(__xludf.DUMMYFUNCTION("""COMPUTED_VALUE"""),"")</f>
        <v/>
      </c>
      <c r="R92" s="1249" t="str">
        <f>IFERROR(__xludf.DUMMYFUNCTION("""COMPUTED_VALUE"""),"")</f>
        <v/>
      </c>
      <c r="S92" s="1249"/>
      <c r="T92" s="1250" t="str">
        <f>IFERROR(__xludf.DUMMYFUNCTION("if(S92 &lt;&gt; """", 
  LET( 
    TargetLevel, VLOOKUP(S92,MS_Labs_Array,3,false),
    MaxLevel, VLOOKUP(S92,MS_Labs_Array,4,false),
    MaxOrTarget, IF(OR(TargetLevel = """",$AD$1 &lt;&gt; ""Target""), MaxLevel, TargetLevel),
    LabLevel, VLOOKUP(S92,MS_Labs_Array"&amp;",2,False),
    Levelprogress, LabLevel / MaxOrTarget,
    DVTColumn, MATCH(S92,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2" s="1251" t="str">
        <f>IFERROR(__xludf.DUMMYFUNCTION("if(S92 &lt;&gt; """", 
  LET(
    TargetLevel, VLOOKUP(S92,MS_Labs_Array,3,false),
    LabSpeed, (1 * REGEXEXTRACT($BH$1, ""[\d.-]+"")) * {IF(S92 =""Labs Speed"", 1+'Master Sheet'!$BK$5, LAB_SPEED_TOTAL())},
    MaxLevel, VLOOKUP(S92,MS_Labs_Array,4,false),
   "&amp;" MaxOrTarget, IF(OR(TargetLevel = """",$AD$1 &lt;&gt; ""Target""), MaxLevel, TargetLevel),
    LabLevel, VLOOKUP(S92,MS_Labs_Array,2,False),
    DVTColumn, MATCH(S92, DVT_Laboratory!$A$1:BO$1, 0),
    xextTime, INDIRECT(""DVT_Laboratory!"" &amp; ADDRESS(LabLevel+3,"&amp;" DVTColumn)) / LabSpeed,
    remainingTime, SUM(INDIRECT(""DVT_Laboratory!"" &amp; ADDRESS(LabLevel+3, DVTColumn) &amp; "":"" &amp; ADDRESS(MaxOrTarget+2, DVTColumn))) / LabSpeed,
  S92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2" s="1249"/>
      <c r="W92" s="1249" t="str">
        <f>IFERROR(__xludf.DUMMYFUNCTION("""COMPUTED_VALUE"""),"")</f>
        <v/>
      </c>
      <c r="X92" s="1249" t="str">
        <f>IFERROR(__xludf.DUMMYFUNCTION("""COMPUTED_VALUE"""),"")</f>
        <v/>
      </c>
      <c r="Y92" s="1249"/>
      <c r="Z92" s="1250" t="str">
        <f>IFERROR(__xludf.DUMMYFUNCTION("if(Y92 &lt;&gt; """", 
  LET( 
    TargetLevel, VLOOKUP(Y92,MS_Labs_Array,3,false),
    MaxLevel, VLOOKUP(Y92,MS_Labs_Array,4,false),
    MaxOrTarget, IF(OR(TargetLevel = """",$AD$1 &lt;&gt; ""Target""), MaxLevel, TargetLevel),
    LabLevel, VLOOKUP(Y92,MS_Labs_Array"&amp;",2,False),
    Levelprogress, LabLevel / MaxOrTarget,
    DVTColumn, MATCH(Y92,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2" s="1251" t="str">
        <f>IFERROR(__xludf.DUMMYFUNCTION("if(Y92 &lt;&gt; """", 
  LET(
    TargetLevel, VLOOKUP(Y92,MS_Labs_Array,3,false),
    LabSpeed, (1 * REGEXEXTRACT($BH$1, ""[\d.-]+"")) * {IF(Y92 =""Labs Speed"", 1+'Master Sheet'!$BK$5, LAB_SPEED_TOTAL())},
    MaxLevel, VLOOKUP(Y92,MS_Labs_Array,4,false),
   "&amp;" MaxOrTarget, IF(OR(TargetLevel = """",$AD$1 &lt;&gt; ""Target""), MaxLevel, TargetLevel),
    LabLevel, VLOOKUP(Y92,MS_Labs_Array,2,False),
    DVTColumn, MATCH(Y92, DVT_Laboratory!$A$1:BO$1, 0),
    xextTime, INDIRECT(""DVT_Laboratory!"" &amp; ADDRESS(LabLevel+3,"&amp;" DVTColumn)) / LabSpeed,
    remainingTime, SUM(INDIRECT(""DVT_Laboratory!"" &amp; ADDRESS(LabLevel+3, DVTColumn) &amp; "":"" &amp; ADDRESS(MaxOrTarget+2, DVTColumn))) / LabSpeed,
  Y92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2" s="1249"/>
      <c r="AC92" s="1249" t="str">
        <f>IFERROR(__xludf.DUMMYFUNCTION("""COMPUTED_VALUE"""),"")</f>
        <v/>
      </c>
      <c r="AD92" s="1249" t="str">
        <f>IFERROR(__xludf.DUMMYFUNCTION("""COMPUTED_VALUE"""),"")</f>
        <v/>
      </c>
      <c r="AE92" s="1249"/>
      <c r="AF92" s="1250" t="str">
        <f>IFERROR(__xludf.DUMMYFUNCTION("if(AE92 &lt;&gt; """", 
  LET( 
    TargetLevel, VLOOKUP(AE92,MS_Labs_Array,3,false),
    MaxLevel, VLOOKUP(AE92,MS_Labs_Array,4,false),
    MaxOrTarget, IF(OR(TargetLevel = """",$AD$1 &lt;&gt; ""Target""), MaxLevel, TargetLevel),
    LabLevel, VLOOKUP(AE92,MS_Labs_A"&amp;"rray,2,False),
    Levelprogress, LabLevel / MaxOrTarget,
    DVTColumn, MATCH(AE92,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2" s="1251" t="str">
        <f>IFERROR(__xludf.DUMMYFUNCTION("if(AE92 &lt;&gt; """", 
  LET(
    TargetLevel, VLOOKUP(AE92,MS_Labs_Array,3,false),
    LabSpeed, (1 * REGEXEXTRACT($BH$1, ""[\d.-]+"")) * {IF(AE92 =""Labs Speed"", 1+'Master Sheet'!$BK$5, LAB_SPEED_TOTAL())},
    MaxLevel, VLOOKUP(AE92,MS_Labs_Array,4,false),"&amp;"
    MaxOrTarget, IF(OR(TargetLevel = """",$AD$1 &lt;&gt; ""Target""), MaxLevel, TargetLevel),
    LabLevel, VLOOKUP(AE92,MS_Labs_Array,2,False),
    DVTColumn, MATCH(AE92, DVT_Laboratory!$A$1:BO$1, 0),
    xextTime, INDIRECT(""DVT_Laboratory!"" &amp; ADDRESS(LabLe"&amp;"vel+3, DVTColumn)) / LabSpeed,
    remainingTime, SUM(INDIRECT(""DVT_Laboratory!"" &amp; ADDRESS(LabLevel+3, DVTColumn) &amp; "":"" &amp; ADDRESS(MaxOrTarget+2, DVTColumn))) / LabSpeed,
  AE92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2" s="1249"/>
      <c r="AI92" s="1249" t="str">
        <f>IFERROR(__xludf.DUMMYFUNCTION("""COMPUTED_VALUE"""),"")</f>
        <v/>
      </c>
      <c r="AJ92" s="1249" t="str">
        <f>IFERROR(__xludf.DUMMYFUNCTION("""COMPUTED_VALUE"""),"")</f>
        <v/>
      </c>
      <c r="AK92" s="1249"/>
      <c r="AL92" s="1250" t="str">
        <f>IFERROR(__xludf.DUMMYFUNCTION("if(AK92 &lt;&gt; """", 
  LET( 
    TargetLevel, VLOOKUP(AK92,MS_Labs_Array,3,false),
    MaxLevel, VLOOKUP(AK92,MS_Labs_Array,4,false),
    MaxOrTarget, IF(OR(TargetLevel = """",$AD$1 &lt;&gt; ""Target""), MaxLevel, TargetLevel),
    LabLevel, VLOOKUP(AK92,MS_Labs_A"&amp;"rray,2,False),
    Levelprogress, LabLevel / MaxOrTarget,
    DVTColumn, MATCH(AK92,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2" s="1251" t="str">
        <f>IFERROR(__xludf.DUMMYFUNCTION("if(AK92 &lt;&gt; """", 
  LET(
    TargetLevel, VLOOKUP(AK92,MS_Labs_Array,3,false),
    LabSpeed, (1 * REGEXEXTRACT($BH$1, ""[\d.-]+"")) * {IF(AK92 =""Labs Speed"", 1+'Master Sheet'!$BK$5, LAB_SPEED_TOTAL())},
    MaxLevel, VLOOKUP(AK92,MS_Labs_Array,4,false),"&amp;"
    MaxOrTarget, IF(OR(TargetLevel = """",$AD$1 &lt;&gt; ""Target""), MaxLevel, TargetLevel),
    LabLevel, VLOOKUP(AK92,MS_Labs_Array,2,False),
    DVTColumn, MATCH(AK92, DVT_Laboratory!$A$1:BO$1, 0),
    xextTime, INDIRECT(""DVT_Laboratory!"" &amp; ADDRESS(LabLe"&amp;"vel+3, DVTColumn)) / LabSpeed,
    remainingTime, SUM(INDIRECT(""DVT_Laboratory!"" &amp; ADDRESS(LabLevel+3, DVTColumn) &amp; "":"" &amp; ADDRESS(MaxOrTarget+2, DVTColumn))) / LabSpeed,
  AK92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2" s="1249"/>
      <c r="AO92" s="1249" t="str">
        <f>IFERROR(__xludf.DUMMYFUNCTION("""COMPUTED_VALUE"""),"")</f>
        <v/>
      </c>
      <c r="AP92" s="1249" t="str">
        <f>IFERROR(__xludf.DUMMYFUNCTION("""COMPUTED_VALUE"""),"")</f>
        <v/>
      </c>
      <c r="AQ92" s="1249"/>
      <c r="AR92" s="1250" t="str">
        <f>IFERROR(__xludf.DUMMYFUNCTION("if(AQ92 &lt;&gt; """", 
  LET( 
    TargetLevel, VLOOKUP(AQ92,MS_Labs_Array,3,false),
    MaxLevel, VLOOKUP(AQ92,MS_Labs_Array,4,false),
    MaxOrTarget, IF(OR(TargetLevel = """",$AD$1 &lt;&gt; ""Target""), MaxLevel, TargetLevel),
    LabLevel, VLOOKUP(AQ92,MS_Labs_A"&amp;"rray,2,False),
    Levelprogress, LabLevel / MaxOrTarget,
    DVTColumn, MATCH(AQ92,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2" s="1251" t="str">
        <f>IFERROR(__xludf.DUMMYFUNCTION("if(AQ92 &lt;&gt; """", 
  LET(
    TargetLevel, VLOOKUP(AQ92,MS_Labs_Array,3,false),
    LabSpeed, (1 * REGEXEXTRACT($BH$1, ""[\d.-]+"")) * {IF(AQ92 =""Labs Speed"", 1+'Master Sheet'!$BK$5, LAB_SPEED_TOTAL())},
    MaxLevel, VLOOKUP(AQ92,MS_Labs_Array,4,false),"&amp;"
    MaxOrTarget, IF(OR(TargetLevel = """",$AD$1 &lt;&gt; ""Target""), MaxLevel, TargetLevel),
    LabLevel, VLOOKUP(AQ92,MS_Labs_Array,2,False),
    DVTColumn, MATCH(AQ92, DVT_Laboratory!$A$1:BO$1, 0),
    xextTime, INDIRECT(""DVT_Laboratory!"" &amp; ADDRESS(LabLe"&amp;"vel+3, DVTColumn)) / LabSpeed,
    remainingTime, SUM(INDIRECT(""DVT_Laboratory!"" &amp; ADDRESS(LabLevel+3, DVTColumn) &amp; "":"" &amp; ADDRESS(MaxOrTarget+2, DVTColumn))) / LabSpeed,
  AQ92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2" s="1249"/>
      <c r="AU92" s="1249" t="str">
        <f>IFERROR(__xludf.DUMMYFUNCTION("""COMPUTED_VALUE"""),"")</f>
        <v/>
      </c>
      <c r="AV92" s="1249" t="str">
        <f>IFERROR(__xludf.DUMMYFUNCTION("""COMPUTED_VALUE"""),"")</f>
        <v/>
      </c>
      <c r="AW92" s="1249"/>
      <c r="AX92" s="1250" t="str">
        <f>IFERROR(__xludf.DUMMYFUNCTION("if(AW92 &lt;&gt; """", 
  LET( 
    TargetLevel, VLOOKUP(AW92,MS_Labs_Array,3,false),
    MaxLevel, VLOOKUP(AW92,MS_Labs_Array,4,false),
    MaxOrTarget, IF(OR(TargetLevel = """",$AD$1 &lt;&gt; ""Target""), MaxLevel, TargetLevel),
    LabLevel, VLOOKUP(AW92,MS_Labs_A"&amp;"rray,2,False),
    Levelprogress, LabLevel / MaxOrTarget,
    DVTColumn, MATCH(AW92,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2" s="1251" t="str">
        <f>IFERROR(__xludf.DUMMYFUNCTION("if(AW92 &lt;&gt; """", 
  LET(
    TargetLevel, VLOOKUP(AW92,MS_Labs_Array,3,false),
    LabSpeed, (1 * REGEXEXTRACT($BH$1, ""[\d.-]+"")) * {IF(AW92 =""Labs Speed"", 1+'Master Sheet'!$BK$5, LAB_SPEED_TOTAL())},
    MaxLevel, VLOOKUP(AW92,MS_Labs_Array,4,false),"&amp;"
    MaxOrTarget, IF(OR(TargetLevel = """",$AD$1 &lt;&gt; ""Target""), MaxLevel, TargetLevel),
    LabLevel, VLOOKUP(AW92,MS_Labs_Array,2,False),
    DVTColumn, MATCH(AW92, DVT_Laboratory!$A$1:BO$1, 0),
    xextTime, INDIRECT(""DVT_Laboratory!"" &amp; ADDRESS(LabLe"&amp;"vel+3, DVTColumn)) / LabSpeed,
    remainingTime, SUM(INDIRECT(""DVT_Laboratory!"" &amp; ADDRESS(LabLevel+3, DVTColumn) &amp; "":"" &amp; ADDRESS(MaxOrTarget+2, DVTColumn))) / LabSpeed,
  AW92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2" s="1249"/>
      <c r="BA92" s="1249" t="str">
        <f>IFERROR(__xludf.DUMMYFUNCTION("""COMPUTED_VALUE"""),"")</f>
        <v/>
      </c>
      <c r="BB92" s="1249" t="str">
        <f>IFERROR(__xludf.DUMMYFUNCTION("""COMPUTED_VALUE"""),"")</f>
        <v/>
      </c>
      <c r="BC92" s="1249"/>
      <c r="BD92" s="1250" t="str">
        <f>IFERROR(__xludf.DUMMYFUNCTION("if(BC92 &lt;&gt; """", 
  LET( 
    TargetLevel, VLOOKUP(BC92,MS_Labs_Array,3,false),
    MaxLevel, VLOOKUP(BC92,MS_Labs_Array,4,false),
    MaxOrTarget, IF(OR(TargetLevel = """",$AD$1 &lt;&gt; ""Target""), MaxLevel, TargetLevel),
    LabLevel, VLOOKUP(BC92,MS_Labs_A"&amp;"rray,2,False),
    Levelprogress, LabLevel / MaxOrTarget,
    DVTColumn, MATCH(BC92,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2" s="1251" t="str">
        <f>IFERROR(__xludf.DUMMYFUNCTION("if(BC92 &lt;&gt; """", 
  LET(
    TargetLevel, VLOOKUP(BC92,MS_Labs_Array,3,false),
    LabSpeed, (1 * REGEXEXTRACT($BH$1, ""[\d.-]+"")) * {IF(BC92 =""Labs Speed"", 1+'Master Sheet'!$BK$5, LAB_SPEED_TOTAL())},
    MaxLevel, VLOOKUP(BC92,MS_Labs_Array,4,false),"&amp;"
    MaxOrTarget, IF(OR(TargetLevel = """",$AD$1 &lt;&gt; ""Target""), MaxLevel, TargetLevel),
    LabLevel, VLOOKUP(BC92,MS_Labs_Array,2,False),
    DVTColumn, MATCH(BC92, DVT_Laboratory!$A$1:BO$1, 0),
    xextTime, INDIRECT(""DVT_Laboratory!"" &amp; ADDRESS(LabLe"&amp;"vel+3, DVTColumn)) / LabSpeed,
    remainingTime, SUM(INDIRECT(""DVT_Laboratory!"" &amp; ADDRESS(LabLevel+3, DVTColumn) &amp; "":"" &amp; ADDRESS(MaxOrTarget+2, DVTColumn))) / LabSpeed,
  BC92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2" s="1249"/>
      <c r="BG92" s="1249" t="str">
        <f>IFERROR(__xludf.DUMMYFUNCTION("""COMPUTED_VALUE"""),"")</f>
        <v/>
      </c>
      <c r="BH92" s="1260" t="str">
        <f>IFERROR(__xludf.DUMMYFUNCTION("""COMPUTED_VALUE"""),"")</f>
        <v/>
      </c>
      <c r="BI92" s="1252"/>
      <c r="BJ92" s="1253" t="str">
        <f>IFERROR(__xludf.DUMMYFUNCTION("if(BI92 &lt;&gt; """", 
  LET( 
    TargetLevel, VLOOKUP(BI92,MS_Labs_Array,3,false),
    MaxLevel, VLOOKUP(BI92,MS_Labs_Array,4,false),
    MaxOrTarget, IF(OR(TargetLevel = """",$AD$1 &lt;&gt; ""Target""), MaxLevel, TargetLevel),
    LabLevel, VLOOKUP(BI92,MS_Labs_A"&amp;"rray,2,False),
    Levelprogress, IF(LabLevel &gt;= MaxOrTarget, 1, LabLevel / MaxOrTarget),
    DVTColumn, MATCH(BI92,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2" s="1254" t="str">
        <f>IFERROR(__xludf.DUMMYFUNCTION("if(BI92 &lt;&gt; """", 
  LET(
    TargetLevel, VLOOKUP(BI92,MS_Labs_Array,3,false),
    LabSpeed, (1 * REGEXEXTRACT($BH$1, ""[\d.-]+"")) * {IF(BI92 =""Labs Speed"", 1+'Master Sheet'!$BK$5, LAB_SPEED_TOTAL())},
    MaxLevel, VLOOKUP(BI92,MS_Labs_Array,4,false),"&amp;"
    MaxOrTarget, IF(OR(TargetLevel = """",$AD$1 &lt;&gt; ""Target""), MaxLevel, TargetLevel),
    LabLevel, VLOOKUP(BI92,MS_Labs_Array,2,False),
    DVTColumn, MATCH(BI92, DVT_Laboratory!$A$1:BO$1, 0),
    xextTime, INDIRECT(""DVT_Laboratory!"" &amp; ADDRESS(LabLe"&amp;"vel+3, DVTColumn)) / LabSpeed,
    remainingTime, SUM(INDIRECT(""DVT_Laboratory!"" &amp; ADDRESS(LabLevel+3, DVTColumn) &amp; "":"" &amp; ADDRESS(MaxOrTarget+2, DVTColumn))) / LabSpeed,
  BI92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2" s="1252"/>
      <c r="BM92" s="1252" t="str">
        <f>IFERROR(__xludf.DUMMYFUNCTION("""COMPUTED_VALUE"""),"Daily Mission Shards
  Lab Level:      50 / 50 (Target)
  Next Level:    
  Target Level: 0d 18h 47m")</f>
        <v>Daily Mission Shards
  Lab Level:      50 / 50 (Target)
  Next Level:    
  Target Level: 0d 18h 47m</v>
      </c>
      <c r="BN92" s="1222"/>
      <c r="BO92" s="1261"/>
    </row>
    <row r="93">
      <c r="A93" s="1222"/>
      <c r="B93" s="1257"/>
      <c r="C93" s="1304" t="s">
        <v>368</v>
      </c>
      <c r="D93" s="1280" t="str">
        <f>VLOOKUP(C93,'Remote Tier List'!A:D, 2, FALSE)</f>
        <v>B</v>
      </c>
      <c r="E93" s="1281" t="str">
        <f>VLOOKUP(C93,'Remote Tier List'!A:D, 3, FALSE)</f>
        <v/>
      </c>
      <c r="F93" s="1284" t="str">
        <f>VLOOKUP(C93,'Remote Tier List'!A:D, 4, FALSE)</f>
        <v>When PS has any use in damage, good to make the multiplier affect everything</v>
      </c>
      <c r="G93" s="1245" t="b">
        <f>IFERROR(AND(VLOOKUP("Tier 16",'_IDS'!$BZ$3:$DT$23, 2, FALSE) &gt; 50,  IDS_UW_OWN("Poison Swamp")), true)</f>
        <v>0</v>
      </c>
      <c r="H93" s="1246" t="str">
        <f t="array" ref="H93:I93">LET(
  Lab, $C93,
  Mode, $AD$1,
  Level, VLOOKUP(Lab, MS_Labs_Array, 2, FALSE),
  Target, VLOOKUP(Lab, MS_Labs_Array, 3, FALSE),
  Max, VLOOKUP(Lab, MS_Labs_Array, 4, FALSE),
  Result,
    IF(
      AND(
        Mode &lt;&gt; "Never",
        Level &gt;= IF(OR(Target = "", Mode = "Max"), Max, Target)
      ),
      "Completed",
      ""
    ),
  HSTACK(
    IF(Result &lt;&gt; "", Result, $D93),
    IF(Result &lt;&gt; "", Result, IF($E93 = "", $D93, $E93))
  )
)</f>
        <v>B</v>
      </c>
      <c r="I93" s="1247" t="s">
        <v>546</v>
      </c>
      <c r="J93" s="1248" t="str">
        <f t="shared" si="18"/>
        <v>When PS has any use in damage, good to make the multiplier affect everything</v>
      </c>
      <c r="K93" s="1229"/>
      <c r="L93" s="1249"/>
      <c r="M93" s="1249"/>
      <c r="N93" s="1250" t="str">
        <f>IFERROR(__xludf.DUMMYFUNCTION("if(M93 &lt;&gt; """", 
  LET( 
    TargetLevel, VLOOKUP(M93,MS_Labs_Array,3,false),
    MaxLevel, VLOOKUP(M93,MS_Labs_Array,4,false),
    MaxOrTarget, IF(OR(TargetLevel = """",$AD$1 &lt;&gt; ""Target""), MaxLevel, TargetLevel),
    LabLevel, VLOOKUP(M93,MS_Labs_Array"&amp;",2,False),
    Levelprogress, LabLevel / MaxOrTarget,
    DVTColumn, MATCH(M93,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3" s="1251" t="str">
        <f>IFERROR(__xludf.DUMMYFUNCTION("if(M93 &lt;&gt; """", 
  LET(
    TargetLevel, VLOOKUP(M93,MS_Labs_Array,3,false),
    LabSpeed, (1 * REGEXEXTRACT($BH$1, ""[\d.-]+"")) * {IF(M93 =""Labs Speed"", 1+'Master Sheet'!$BK$5, LAB_SPEED_TOTAL())},
    MaxLevel, VLOOKUP(M93,MS_Labs_Array,4,false),
   "&amp;" MaxOrTarget, IF(OR(TargetLevel = """",$AD$1 &lt;&gt; ""Target""), MaxLevel, TargetLevel),
    LabLevel, VLOOKUP(M93,MS_Labs_Array,2,False),
    DVTColumn, MATCH(M93, DVT_Laboratory!$A$1:BO$1, 0),
    xextTime, INDIRECT(""DVT_Laboratory!"" &amp; ADDRESS(LabLevel+3,"&amp;" DVTColumn)) / LabSpeed,
    remainingTime, SUM(INDIRECT(""DVT_Laboratory!"" &amp; ADDRESS(LabLevel+3, DVTColumn) &amp; "":"" &amp; ADDRESS(MaxOrTarget+2, DVTColumn))) / LabSpeed,
  M93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3" s="1249"/>
      <c r="Q93" s="1249"/>
      <c r="R93" s="1249"/>
      <c r="S93" s="1249"/>
      <c r="T93" s="1250" t="str">
        <f>IFERROR(__xludf.DUMMYFUNCTION("if(S93 &lt;&gt; """", 
  LET( 
    TargetLevel, VLOOKUP(S93,MS_Labs_Array,3,false),
    MaxLevel, VLOOKUP(S93,MS_Labs_Array,4,false),
    MaxOrTarget, IF(OR(TargetLevel = """",$AD$1 &lt;&gt; ""Target""), MaxLevel, TargetLevel),
    LabLevel, VLOOKUP(S93,MS_Labs_Array"&amp;",2,False),
    Levelprogress, LabLevel / MaxOrTarget,
    DVTColumn, MATCH(S93,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3" s="1251" t="str">
        <f>IFERROR(__xludf.DUMMYFUNCTION("if(S93 &lt;&gt; """", 
  LET(
    TargetLevel, VLOOKUP(S93,MS_Labs_Array,3,false),
    LabSpeed, (1 * REGEXEXTRACT($BH$1, ""[\d.-]+"")) * {IF(S93 =""Labs Speed"", 1+'Master Sheet'!$BK$5, LAB_SPEED_TOTAL())},
    MaxLevel, VLOOKUP(S93,MS_Labs_Array,4,false),
   "&amp;" MaxOrTarget, IF(OR(TargetLevel = """",$AD$1 &lt;&gt; ""Target""), MaxLevel, TargetLevel),
    LabLevel, VLOOKUP(S93,MS_Labs_Array,2,False),
    DVTColumn, MATCH(S93, DVT_Laboratory!$A$1:BO$1, 0),
    xextTime, INDIRECT(""DVT_Laboratory!"" &amp; ADDRESS(LabLevel+3,"&amp;" DVTColumn)) / LabSpeed,
    remainingTime, SUM(INDIRECT(""DVT_Laboratory!"" &amp; ADDRESS(LabLevel+3, DVTColumn) &amp; "":"" &amp; ADDRESS(MaxOrTarget+2, DVTColumn))) / LabSpeed,
  S93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3" s="1249"/>
      <c r="W93" s="1249"/>
      <c r="X93" s="1249"/>
      <c r="Y93" s="1249"/>
      <c r="Z93" s="1250" t="str">
        <f>IFERROR(__xludf.DUMMYFUNCTION("if(Y93 &lt;&gt; """", 
  LET( 
    TargetLevel, VLOOKUP(Y93,MS_Labs_Array,3,false),
    MaxLevel, VLOOKUP(Y93,MS_Labs_Array,4,false),
    MaxOrTarget, IF(OR(TargetLevel = """",$AD$1 &lt;&gt; ""Target""), MaxLevel, TargetLevel),
    LabLevel, VLOOKUP(Y93,MS_Labs_Array"&amp;",2,False),
    Levelprogress, LabLevel / MaxOrTarget,
    DVTColumn, MATCH(Y93,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3" s="1251" t="str">
        <f>IFERROR(__xludf.DUMMYFUNCTION("if(Y93 &lt;&gt; """", 
  LET(
    TargetLevel, VLOOKUP(Y93,MS_Labs_Array,3,false),
    LabSpeed, (1 * REGEXEXTRACT($BH$1, ""[\d.-]+"")) * {IF(Y93 =""Labs Speed"", 1+'Master Sheet'!$BK$5, LAB_SPEED_TOTAL())},
    MaxLevel, VLOOKUP(Y93,MS_Labs_Array,4,false),
   "&amp;" MaxOrTarget, IF(OR(TargetLevel = """",$AD$1 &lt;&gt; ""Target""), MaxLevel, TargetLevel),
    LabLevel, VLOOKUP(Y93,MS_Labs_Array,2,False),
    DVTColumn, MATCH(Y93, DVT_Laboratory!$A$1:BO$1, 0),
    xextTime, INDIRECT(""DVT_Laboratory!"" &amp; ADDRESS(LabLevel+3,"&amp;" DVTColumn)) / LabSpeed,
    remainingTime, SUM(INDIRECT(""DVT_Laboratory!"" &amp; ADDRESS(LabLevel+3, DVTColumn) &amp; "":"" &amp; ADDRESS(MaxOrTarget+2, DVTColumn))) / LabSpeed,
  Y93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3" s="1249"/>
      <c r="AC93" s="1249"/>
      <c r="AD93" s="1249"/>
      <c r="AE93" s="1249"/>
      <c r="AF93" s="1250" t="str">
        <f>IFERROR(__xludf.DUMMYFUNCTION("if(AE93 &lt;&gt; """", 
  LET( 
    TargetLevel, VLOOKUP(AE93,MS_Labs_Array,3,false),
    MaxLevel, VLOOKUP(AE93,MS_Labs_Array,4,false),
    MaxOrTarget, IF(OR(TargetLevel = """",$AD$1 &lt;&gt; ""Target""), MaxLevel, TargetLevel),
    LabLevel, VLOOKUP(AE93,MS_Labs_A"&amp;"rray,2,False),
    Levelprogress, LabLevel / MaxOrTarget,
    DVTColumn, MATCH(AE93,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3" s="1251" t="str">
        <f>IFERROR(__xludf.DUMMYFUNCTION("if(AE93 &lt;&gt; """", 
  LET(
    TargetLevel, VLOOKUP(AE93,MS_Labs_Array,3,false),
    LabSpeed, (1 * REGEXEXTRACT($BH$1, ""[\d.-]+"")) * {IF(AE93 =""Labs Speed"", 1+'Master Sheet'!$BK$5, LAB_SPEED_TOTAL())},
    MaxLevel, VLOOKUP(AE93,MS_Labs_Array,4,false),"&amp;"
    MaxOrTarget, IF(OR(TargetLevel = """",$AD$1 &lt;&gt; ""Target""), MaxLevel, TargetLevel),
    LabLevel, VLOOKUP(AE93,MS_Labs_Array,2,False),
    DVTColumn, MATCH(AE93, DVT_Laboratory!$A$1:BO$1, 0),
    xextTime, INDIRECT(""DVT_Laboratory!"" &amp; ADDRESS(LabLe"&amp;"vel+3, DVTColumn)) / LabSpeed,
    remainingTime, SUM(INDIRECT(""DVT_Laboratory!"" &amp; ADDRESS(LabLevel+3, DVTColumn) &amp; "":"" &amp; ADDRESS(MaxOrTarget+2, DVTColumn))) / LabSpeed,
  AE93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3" s="1249"/>
      <c r="AI93" s="1249"/>
      <c r="AJ93" s="1249"/>
      <c r="AK93" s="1249"/>
      <c r="AL93" s="1250" t="str">
        <f>IFERROR(__xludf.DUMMYFUNCTION("if(AK93 &lt;&gt; """", 
  LET( 
    TargetLevel, VLOOKUP(AK93,MS_Labs_Array,3,false),
    MaxLevel, VLOOKUP(AK93,MS_Labs_Array,4,false),
    MaxOrTarget, IF(OR(TargetLevel = """",$AD$1 &lt;&gt; ""Target""), MaxLevel, TargetLevel),
    LabLevel, VLOOKUP(AK93,MS_Labs_A"&amp;"rray,2,False),
    Levelprogress, LabLevel / MaxOrTarget,
    DVTColumn, MATCH(AK93,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3" s="1251" t="str">
        <f>IFERROR(__xludf.DUMMYFUNCTION("if(AK93 &lt;&gt; """", 
  LET(
    TargetLevel, VLOOKUP(AK93,MS_Labs_Array,3,false),
    LabSpeed, (1 * REGEXEXTRACT($BH$1, ""[\d.-]+"")) * {IF(AK93 =""Labs Speed"", 1+'Master Sheet'!$BK$5, LAB_SPEED_TOTAL())},
    MaxLevel, VLOOKUP(AK93,MS_Labs_Array,4,false),"&amp;"
    MaxOrTarget, IF(OR(TargetLevel = """",$AD$1 &lt;&gt; ""Target""), MaxLevel, TargetLevel),
    LabLevel, VLOOKUP(AK93,MS_Labs_Array,2,False),
    DVTColumn, MATCH(AK93, DVT_Laboratory!$A$1:BO$1, 0),
    xextTime, INDIRECT(""DVT_Laboratory!"" &amp; ADDRESS(LabLe"&amp;"vel+3, DVTColumn)) / LabSpeed,
    remainingTime, SUM(INDIRECT(""DVT_Laboratory!"" &amp; ADDRESS(LabLevel+3, DVTColumn) &amp; "":"" &amp; ADDRESS(MaxOrTarget+2, DVTColumn))) / LabSpeed,
  AK93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3" s="1249"/>
      <c r="AO93" s="1249"/>
      <c r="AP93" s="1249"/>
      <c r="AQ93" s="1249"/>
      <c r="AR93" s="1250" t="str">
        <f>IFERROR(__xludf.DUMMYFUNCTION("if(AQ93 &lt;&gt; """", 
  LET( 
    TargetLevel, VLOOKUP(AQ93,MS_Labs_Array,3,false),
    MaxLevel, VLOOKUP(AQ93,MS_Labs_Array,4,false),
    MaxOrTarget, IF(OR(TargetLevel = """",$AD$1 &lt;&gt; ""Target""), MaxLevel, TargetLevel),
    LabLevel, VLOOKUP(AQ93,MS_Labs_A"&amp;"rray,2,False),
    Levelprogress, LabLevel / MaxOrTarget,
    DVTColumn, MATCH(AQ93,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3" s="1251" t="str">
        <f>IFERROR(__xludf.DUMMYFUNCTION("if(AQ93 &lt;&gt; """", 
  LET(
    TargetLevel, VLOOKUP(AQ93,MS_Labs_Array,3,false),
    LabSpeed, (1 * REGEXEXTRACT($BH$1, ""[\d.-]+"")) * {IF(AQ93 =""Labs Speed"", 1+'Master Sheet'!$BK$5, LAB_SPEED_TOTAL())},
    MaxLevel, VLOOKUP(AQ93,MS_Labs_Array,4,false),"&amp;"
    MaxOrTarget, IF(OR(TargetLevel = """",$AD$1 &lt;&gt; ""Target""), MaxLevel, TargetLevel),
    LabLevel, VLOOKUP(AQ93,MS_Labs_Array,2,False),
    DVTColumn, MATCH(AQ93, DVT_Laboratory!$A$1:BO$1, 0),
    xextTime, INDIRECT(""DVT_Laboratory!"" &amp; ADDRESS(LabLe"&amp;"vel+3, DVTColumn)) / LabSpeed,
    remainingTime, SUM(INDIRECT(""DVT_Laboratory!"" &amp; ADDRESS(LabLevel+3, DVTColumn) &amp; "":"" &amp; ADDRESS(MaxOrTarget+2, DVTColumn))) / LabSpeed,
  AQ93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3" s="1249"/>
      <c r="AU93" s="1249"/>
      <c r="AV93" s="1249"/>
      <c r="AW93" s="1249"/>
      <c r="AX93" s="1250" t="str">
        <f>IFERROR(__xludf.DUMMYFUNCTION("if(AW93 &lt;&gt; """", 
  LET( 
    TargetLevel, VLOOKUP(AW93,MS_Labs_Array,3,false),
    MaxLevel, VLOOKUP(AW93,MS_Labs_Array,4,false),
    MaxOrTarget, IF(OR(TargetLevel = """",$AD$1 &lt;&gt; ""Target""), MaxLevel, TargetLevel),
    LabLevel, VLOOKUP(AW93,MS_Labs_A"&amp;"rray,2,False),
    Levelprogress, LabLevel / MaxOrTarget,
    DVTColumn, MATCH(AW93,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3" s="1251" t="str">
        <f>IFERROR(__xludf.DUMMYFUNCTION("if(AW93 &lt;&gt; """", 
  LET(
    TargetLevel, VLOOKUP(AW93,MS_Labs_Array,3,false),
    LabSpeed, (1 * REGEXEXTRACT($BH$1, ""[\d.-]+"")) * {IF(AW93 =""Labs Speed"", 1+'Master Sheet'!$BK$5, LAB_SPEED_TOTAL())},
    MaxLevel, VLOOKUP(AW93,MS_Labs_Array,4,false),"&amp;"
    MaxOrTarget, IF(OR(TargetLevel = """",$AD$1 &lt;&gt; ""Target""), MaxLevel, TargetLevel),
    LabLevel, VLOOKUP(AW93,MS_Labs_Array,2,False),
    DVTColumn, MATCH(AW93, DVT_Laboratory!$A$1:BO$1, 0),
    xextTime, INDIRECT(""DVT_Laboratory!"" &amp; ADDRESS(LabLe"&amp;"vel+3, DVTColumn)) / LabSpeed,
    remainingTime, SUM(INDIRECT(""DVT_Laboratory!"" &amp; ADDRESS(LabLevel+3, DVTColumn) &amp; "":"" &amp; ADDRESS(MaxOrTarget+2, DVTColumn))) / LabSpeed,
  AW93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3" s="1249"/>
      <c r="BA93" s="1249"/>
      <c r="BB93" s="1249"/>
      <c r="BC93" s="1249"/>
      <c r="BD93" s="1250" t="str">
        <f>IFERROR(__xludf.DUMMYFUNCTION("if(BC93 &lt;&gt; """", 
  LET( 
    TargetLevel, VLOOKUP(BC93,MS_Labs_Array,3,false),
    MaxLevel, VLOOKUP(BC93,MS_Labs_Array,4,false),
    MaxOrTarget, IF(OR(TargetLevel = """",$AD$1 &lt;&gt; ""Target""), MaxLevel, TargetLevel),
    LabLevel, VLOOKUP(BC93,MS_Labs_A"&amp;"rray,2,False),
    Levelprogress, LabLevel / MaxOrTarget,
    DVTColumn, MATCH(BC93,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3" s="1251" t="str">
        <f>IFERROR(__xludf.DUMMYFUNCTION("if(BC93 &lt;&gt; """", 
  LET(
    TargetLevel, VLOOKUP(BC93,MS_Labs_Array,3,false),
    LabSpeed, (1 * REGEXEXTRACT($BH$1, ""[\d.-]+"")) * {IF(BC93 =""Labs Speed"", 1+'Master Sheet'!$BK$5, LAB_SPEED_TOTAL())},
    MaxLevel, VLOOKUP(BC93,MS_Labs_Array,4,false),"&amp;"
    MaxOrTarget, IF(OR(TargetLevel = """",$AD$1 &lt;&gt; ""Target""), MaxLevel, TargetLevel),
    LabLevel, VLOOKUP(BC93,MS_Labs_Array,2,False),
    DVTColumn, MATCH(BC93, DVT_Laboratory!$A$1:BO$1, 0),
    xextTime, INDIRECT(""DVT_Laboratory!"" &amp; ADDRESS(LabLe"&amp;"vel+3, DVTColumn)) / LabSpeed,
    remainingTime, SUM(INDIRECT(""DVT_Laboratory!"" &amp; ADDRESS(LabLevel+3, DVTColumn) &amp; "":"" &amp; ADDRESS(MaxOrTarget+2, DVTColumn))) / LabSpeed,
  BC93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3" s="1249"/>
      <c r="BG93" s="1249"/>
      <c r="BH93" s="1260" t="str">
        <f>IFERROR(__xludf.DUMMYFUNCTION("""COMPUTED_VALUE"""),"Module Shards Cost")</f>
        <v>Module Shards Cost</v>
      </c>
      <c r="BI93" s="1252"/>
      <c r="BJ93" s="1253" t="str">
        <f>IFERROR(__xludf.DUMMYFUNCTION("if(BI93 &lt;&gt; """", 
  LET( 
    TargetLevel, VLOOKUP(BI93,MS_Labs_Array,3,false),
    MaxLevel, VLOOKUP(BI93,MS_Labs_Array,4,false),
    MaxOrTarget, IF(OR(TargetLevel = """",$AD$1 &lt;&gt; ""Target""), MaxLevel, TargetLevel),
    LabLevel, VLOOKUP(BI93,MS_Labs_A"&amp;"rray,2,False),
    Levelprogress, IF(LabLevel &gt;= MaxOrTarget, 1, LabLevel / MaxOrTarget),
    DVTColumn, MATCH(BI93,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3" s="1254" t="str">
        <f>IFERROR(__xludf.DUMMYFUNCTION("if(BI93 &lt;&gt; """", 
  LET(
    TargetLevel, VLOOKUP(BI93,MS_Labs_Array,3,false),
    LabSpeed, (1 * REGEXEXTRACT($BH$1, ""[\d.-]+"")) * {IF(BI93 =""Labs Speed"", 1+'Master Sheet'!$BK$5, LAB_SPEED_TOTAL())},
    MaxLevel, VLOOKUP(BI93,MS_Labs_Array,4,false),"&amp;"
    MaxOrTarget, IF(OR(TargetLevel = """",$AD$1 &lt;&gt; ""Target""), MaxLevel, TargetLevel),
    LabLevel, VLOOKUP(BI93,MS_Labs_Array,2,False),
    DVTColumn, MATCH(BI93, DVT_Laboratory!$A$1:BO$1, 0),
    xextTime, INDIRECT(""DVT_Laboratory!"" &amp; ADDRESS(LabLe"&amp;"vel+3, DVTColumn)) / LabSpeed,
    remainingTime, SUM(INDIRECT(""DVT_Laboratory!"" &amp; ADDRESS(LabLevel+3, DVTColumn) &amp; "":"" &amp; ADDRESS(MaxOrTarget+2, DVTColumn))) / LabSpeed,
  BI93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3" s="1252"/>
      <c r="BM93" s="1252" t="str">
        <f>IFERROR(__xludf.DUMMYFUNCTION("""COMPUTED_VALUE"""),"Important but also retroactive")</f>
        <v>Important but also retroactive</v>
      </c>
      <c r="BN93" s="1222"/>
      <c r="BO93" s="1261"/>
    </row>
    <row r="94" ht="7.5" customHeight="1">
      <c r="A94" s="1222"/>
      <c r="B94" s="1257"/>
      <c r="C94" s="1304" t="s">
        <v>370</v>
      </c>
      <c r="D94" s="1280" t="str">
        <f>VLOOKUP(C94,'Remote Tier List'!A:D, 2, FALSE)</f>
        <v>F</v>
      </c>
      <c r="E94" s="1281" t="str">
        <f>VLOOKUP(C94,'Remote Tier List'!A:D, 3, FALSE)</f>
        <v>C</v>
      </c>
      <c r="F94" s="1284" t="str">
        <f>VLOOKUP(C94,'Remote Tier List'!A:D, 4, FALSE)</f>
        <v>Extremely good at what it does; however the effect of it is not that desirable by the time you unlock it. Basically requires CL+, costs 40q coins to max</v>
      </c>
      <c r="G94" s="1245" t="b">
        <f>IFERROR(AND(VLOOKUP("Tier 16",'_IDS'!$BZ$3:$DT$23, 2, FALSE) &gt; 60, IDS_UW_OWN("Chain Lightning")), true)</f>
        <v>1</v>
      </c>
      <c r="H94" s="1265" t="str">
        <f t="array" ref="H94:I94">LET(
  Lab, $C94,
  Mode, $AD$1,
  Level, VLOOKUP(Lab, MS_Labs_Array, 2, FALSE),
  Target, VLOOKUP(Lab, MS_Labs_Array, 3, FALSE),
  Max, VLOOKUP(Lab, MS_Labs_Array, 4, FALSE),
  Result,
    IF(
      AND(
        Mode &lt;&gt; "Never",
        Level &gt;= IF(OR(Target = "", Mode = "Max"), Max, Target)
      ),
      "Completed",
      ""
    ),
  HSTACK(
    IF(Result &lt;&gt; "", Result, $D94),
    IF(Result &lt;&gt; "", Result, IF($E94 = "", $D94, $E94))
  )
)</f>
        <v>F</v>
      </c>
      <c r="I94" s="1265" t="s">
        <v>547</v>
      </c>
      <c r="J94" s="1248" t="str">
        <f t="shared" si="18"/>
        <v>Extremely good at what it does; however the effect of it is not that desirable by the time you unlock it. Basically requires CL+, costs 40q coins to max</v>
      </c>
      <c r="K94" s="1229"/>
      <c r="L94" s="1249" t="str">
        <f>IFERROR(__xludf.DUMMYFUNCTION("""COMPUTED_VALUE"""),"")</f>
        <v/>
      </c>
      <c r="M94" s="1249"/>
      <c r="N94" s="1250" t="str">
        <f>IFERROR(__xludf.DUMMYFUNCTION("if(M94 &lt;&gt; """", 
  LET( 
    TargetLevel, VLOOKUP(M94,MS_Labs_Array,3,false),
    MaxLevel, VLOOKUP(M94,MS_Labs_Array,4,false),
    MaxOrTarget, IF(OR(TargetLevel = """",$AD$1 &lt;&gt; ""Target""), MaxLevel, TargetLevel),
    LabLevel, VLOOKUP(M94,MS_Labs_Array"&amp;",2,False),
    Levelprogress, LabLevel / MaxOrTarget,
    DVTColumn, MATCH(M94,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4" s="1251" t="str">
        <f>IFERROR(__xludf.DUMMYFUNCTION("if(M94 &lt;&gt; """", 
  LET(
    TargetLevel, VLOOKUP(M94,MS_Labs_Array,3,false),
    LabSpeed, (1 * REGEXEXTRACT($BH$1, ""[\d.-]+"")) * {IF(M94 =""Labs Speed"", 1+'Master Sheet'!$BK$5, LAB_SPEED_TOTAL())},
    MaxLevel, VLOOKUP(M94,MS_Labs_Array,4,false),
   "&amp;" MaxOrTarget, IF(OR(TargetLevel = """",$AD$1 &lt;&gt; ""Target""), MaxLevel, TargetLevel),
    LabLevel, VLOOKUP(M94,MS_Labs_Array,2,False),
    DVTColumn, MATCH(M94, DVT_Laboratory!$A$1:BO$1, 0),
    xextTime, INDIRECT(""DVT_Laboratory!"" &amp; ADDRESS(LabLevel+3,"&amp;" DVTColumn)) / LabSpeed,
    remainingTime, SUM(INDIRECT(""DVT_Laboratory!"" &amp; ADDRESS(LabLevel+3, DVTColumn) &amp; "":"" &amp; ADDRESS(MaxOrTarget+2, DVTColumn))) / LabSpeed,
  M94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4" s="1249"/>
      <c r="Q94" s="1249" t="str">
        <f>IFERROR(__xludf.DUMMYFUNCTION("""COMPUTED_VALUE"""),"")</f>
        <v/>
      </c>
      <c r="R94" s="1249" t="str">
        <f>IFERROR(__xludf.DUMMYFUNCTION("""COMPUTED_VALUE"""),"")</f>
        <v/>
      </c>
      <c r="S94" s="1249"/>
      <c r="T94" s="1250" t="str">
        <f>IFERROR(__xludf.DUMMYFUNCTION("if(S94 &lt;&gt; """", 
  LET( 
    TargetLevel, VLOOKUP(S94,MS_Labs_Array,3,false),
    MaxLevel, VLOOKUP(S94,MS_Labs_Array,4,false),
    MaxOrTarget, IF(OR(TargetLevel = """",$AD$1 &lt;&gt; ""Target""), MaxLevel, TargetLevel),
    LabLevel, VLOOKUP(S94,MS_Labs_Array"&amp;",2,False),
    Levelprogress, LabLevel / MaxOrTarget,
    DVTColumn, MATCH(S94,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4" s="1251" t="str">
        <f>IFERROR(__xludf.DUMMYFUNCTION("if(S94 &lt;&gt; """", 
  LET(
    TargetLevel, VLOOKUP(S94,MS_Labs_Array,3,false),
    LabSpeed, (1 * REGEXEXTRACT($BH$1, ""[\d.-]+"")) * {IF(S94 =""Labs Speed"", 1+'Master Sheet'!$BK$5, LAB_SPEED_TOTAL())},
    MaxLevel, VLOOKUP(S94,MS_Labs_Array,4,false),
   "&amp;" MaxOrTarget, IF(OR(TargetLevel = """",$AD$1 &lt;&gt; ""Target""), MaxLevel, TargetLevel),
    LabLevel, VLOOKUP(S94,MS_Labs_Array,2,False),
    DVTColumn, MATCH(S94, DVT_Laboratory!$A$1:BO$1, 0),
    xextTime, INDIRECT(""DVT_Laboratory!"" &amp; ADDRESS(LabLevel+3,"&amp;" DVTColumn)) / LabSpeed,
    remainingTime, SUM(INDIRECT(""DVT_Laboratory!"" &amp; ADDRESS(LabLevel+3, DVTColumn) &amp; "":"" &amp; ADDRESS(MaxOrTarget+2, DVTColumn))) / LabSpeed,
  S94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4" s="1249"/>
      <c r="W94" s="1249" t="str">
        <f>IFERROR(__xludf.DUMMYFUNCTION("""COMPUTED_VALUE"""),"")</f>
        <v/>
      </c>
      <c r="X94" s="1249" t="str">
        <f>IFERROR(__xludf.DUMMYFUNCTION("""COMPUTED_VALUE"""),"")</f>
        <v/>
      </c>
      <c r="Y94" s="1249"/>
      <c r="Z94" s="1250" t="str">
        <f>IFERROR(__xludf.DUMMYFUNCTION("if(Y94 &lt;&gt; """", 
  LET( 
    TargetLevel, VLOOKUP(Y94,MS_Labs_Array,3,false),
    MaxLevel, VLOOKUP(Y94,MS_Labs_Array,4,false),
    MaxOrTarget, IF(OR(TargetLevel = """",$AD$1 &lt;&gt; ""Target""), MaxLevel, TargetLevel),
    LabLevel, VLOOKUP(Y94,MS_Labs_Array"&amp;",2,False),
    Levelprogress, LabLevel / MaxOrTarget,
    DVTColumn, MATCH(Y94,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4" s="1251" t="str">
        <f>IFERROR(__xludf.DUMMYFUNCTION("if(Y94 &lt;&gt; """", 
  LET(
    TargetLevel, VLOOKUP(Y94,MS_Labs_Array,3,false),
    LabSpeed, (1 * REGEXEXTRACT($BH$1, ""[\d.-]+"")) * {IF(Y94 =""Labs Speed"", 1+'Master Sheet'!$BK$5, LAB_SPEED_TOTAL())},
    MaxLevel, VLOOKUP(Y94,MS_Labs_Array,4,false),
   "&amp;" MaxOrTarget, IF(OR(TargetLevel = """",$AD$1 &lt;&gt; ""Target""), MaxLevel, TargetLevel),
    LabLevel, VLOOKUP(Y94,MS_Labs_Array,2,False),
    DVTColumn, MATCH(Y94, DVT_Laboratory!$A$1:BO$1, 0),
    xextTime, INDIRECT(""DVT_Laboratory!"" &amp; ADDRESS(LabLevel+3,"&amp;" DVTColumn)) / LabSpeed,
    remainingTime, SUM(INDIRECT(""DVT_Laboratory!"" &amp; ADDRESS(LabLevel+3, DVTColumn) &amp; "":"" &amp; ADDRESS(MaxOrTarget+2, DVTColumn))) / LabSpeed,
  Y94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4" s="1249"/>
      <c r="AC94" s="1249" t="str">
        <f>IFERROR(__xludf.DUMMYFUNCTION("""COMPUTED_VALUE"""),"")</f>
        <v/>
      </c>
      <c r="AD94" s="1249" t="str">
        <f>IFERROR(__xludf.DUMMYFUNCTION("""COMPUTED_VALUE"""),"")</f>
        <v/>
      </c>
      <c r="AE94" s="1249"/>
      <c r="AF94" s="1250" t="str">
        <f>IFERROR(__xludf.DUMMYFUNCTION("if(AE94 &lt;&gt; """", 
  LET( 
    TargetLevel, VLOOKUP(AE94,MS_Labs_Array,3,false),
    MaxLevel, VLOOKUP(AE94,MS_Labs_Array,4,false),
    MaxOrTarget, IF(OR(TargetLevel = """",$AD$1 &lt;&gt; ""Target""), MaxLevel, TargetLevel),
    LabLevel, VLOOKUP(AE94,MS_Labs_A"&amp;"rray,2,False),
    Levelprogress, LabLevel / MaxOrTarget,
    DVTColumn, MATCH(AE94,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4" s="1251" t="str">
        <f>IFERROR(__xludf.DUMMYFUNCTION("if(AE94 &lt;&gt; """", 
  LET(
    TargetLevel, VLOOKUP(AE94,MS_Labs_Array,3,false),
    LabSpeed, (1 * REGEXEXTRACT($BH$1, ""[\d.-]+"")) * {IF(AE94 =""Labs Speed"", 1+'Master Sheet'!$BK$5, LAB_SPEED_TOTAL())},
    MaxLevel, VLOOKUP(AE94,MS_Labs_Array,4,false),"&amp;"
    MaxOrTarget, IF(OR(TargetLevel = """",$AD$1 &lt;&gt; ""Target""), MaxLevel, TargetLevel),
    LabLevel, VLOOKUP(AE94,MS_Labs_Array,2,False),
    DVTColumn, MATCH(AE94, DVT_Laboratory!$A$1:BO$1, 0),
    xextTime, INDIRECT(""DVT_Laboratory!"" &amp; ADDRESS(LabLe"&amp;"vel+3, DVTColumn)) / LabSpeed,
    remainingTime, SUM(INDIRECT(""DVT_Laboratory!"" &amp; ADDRESS(LabLevel+3, DVTColumn) &amp; "":"" &amp; ADDRESS(MaxOrTarget+2, DVTColumn))) / LabSpeed,
  AE94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4" s="1249"/>
      <c r="AI94" s="1249" t="str">
        <f>IFERROR(__xludf.DUMMYFUNCTION("""COMPUTED_VALUE"""),"")</f>
        <v/>
      </c>
      <c r="AJ94" s="1249" t="str">
        <f>IFERROR(__xludf.DUMMYFUNCTION("""COMPUTED_VALUE"""),"")</f>
        <v/>
      </c>
      <c r="AK94" s="1249"/>
      <c r="AL94" s="1250" t="str">
        <f>IFERROR(__xludf.DUMMYFUNCTION("if(AK94 &lt;&gt; """", 
  LET( 
    TargetLevel, VLOOKUP(AK94,MS_Labs_Array,3,false),
    MaxLevel, VLOOKUP(AK94,MS_Labs_Array,4,false),
    MaxOrTarget, IF(OR(TargetLevel = """",$AD$1 &lt;&gt; ""Target""), MaxLevel, TargetLevel),
    LabLevel, VLOOKUP(AK94,MS_Labs_A"&amp;"rray,2,False),
    Levelprogress, LabLevel / MaxOrTarget,
    DVTColumn, MATCH(AK94,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4" s="1251" t="str">
        <f>IFERROR(__xludf.DUMMYFUNCTION("if(AK94 &lt;&gt; """", 
  LET(
    TargetLevel, VLOOKUP(AK94,MS_Labs_Array,3,false),
    LabSpeed, (1 * REGEXEXTRACT($BH$1, ""[\d.-]+"")) * {IF(AK94 =""Labs Speed"", 1+'Master Sheet'!$BK$5, LAB_SPEED_TOTAL())},
    MaxLevel, VLOOKUP(AK94,MS_Labs_Array,4,false),"&amp;"
    MaxOrTarget, IF(OR(TargetLevel = """",$AD$1 &lt;&gt; ""Target""), MaxLevel, TargetLevel),
    LabLevel, VLOOKUP(AK94,MS_Labs_Array,2,False),
    DVTColumn, MATCH(AK94, DVT_Laboratory!$A$1:BO$1, 0),
    xextTime, INDIRECT(""DVT_Laboratory!"" &amp; ADDRESS(LabLe"&amp;"vel+3, DVTColumn)) / LabSpeed,
    remainingTime, SUM(INDIRECT(""DVT_Laboratory!"" &amp; ADDRESS(LabLevel+3, DVTColumn) &amp; "":"" &amp; ADDRESS(MaxOrTarget+2, DVTColumn))) / LabSpeed,
  AK94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4" s="1249"/>
      <c r="AO94" s="1249" t="str">
        <f>IFERROR(__xludf.DUMMYFUNCTION("""COMPUTED_VALUE"""),"")</f>
        <v/>
      </c>
      <c r="AP94" s="1249" t="str">
        <f>IFERROR(__xludf.DUMMYFUNCTION("""COMPUTED_VALUE"""),"")</f>
        <v/>
      </c>
      <c r="AQ94" s="1249"/>
      <c r="AR94" s="1250" t="str">
        <f>IFERROR(__xludf.DUMMYFUNCTION("if(AQ94 &lt;&gt; """", 
  LET( 
    TargetLevel, VLOOKUP(AQ94,MS_Labs_Array,3,false),
    MaxLevel, VLOOKUP(AQ94,MS_Labs_Array,4,false),
    MaxOrTarget, IF(OR(TargetLevel = """",$AD$1 &lt;&gt; ""Target""), MaxLevel, TargetLevel),
    LabLevel, VLOOKUP(AQ94,MS_Labs_A"&amp;"rray,2,False),
    Levelprogress, LabLevel / MaxOrTarget,
    DVTColumn, MATCH(AQ94,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4" s="1251" t="str">
        <f>IFERROR(__xludf.DUMMYFUNCTION("if(AQ94 &lt;&gt; """", 
  LET(
    TargetLevel, VLOOKUP(AQ94,MS_Labs_Array,3,false),
    LabSpeed, (1 * REGEXEXTRACT($BH$1, ""[\d.-]+"")) * {IF(AQ94 =""Labs Speed"", 1+'Master Sheet'!$BK$5, LAB_SPEED_TOTAL())},
    MaxLevel, VLOOKUP(AQ94,MS_Labs_Array,4,false),"&amp;"
    MaxOrTarget, IF(OR(TargetLevel = """",$AD$1 &lt;&gt; ""Target""), MaxLevel, TargetLevel),
    LabLevel, VLOOKUP(AQ94,MS_Labs_Array,2,False),
    DVTColumn, MATCH(AQ94, DVT_Laboratory!$A$1:BO$1, 0),
    xextTime, INDIRECT(""DVT_Laboratory!"" &amp; ADDRESS(LabLe"&amp;"vel+3, DVTColumn)) / LabSpeed,
    remainingTime, SUM(INDIRECT(""DVT_Laboratory!"" &amp; ADDRESS(LabLevel+3, DVTColumn) &amp; "":"" &amp; ADDRESS(MaxOrTarget+2, DVTColumn))) / LabSpeed,
  AQ94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4" s="1249"/>
      <c r="AU94" s="1249" t="str">
        <f>IFERROR(__xludf.DUMMYFUNCTION("""COMPUTED_VALUE"""),"")</f>
        <v/>
      </c>
      <c r="AV94" s="1249" t="str">
        <f>IFERROR(__xludf.DUMMYFUNCTION("""COMPUTED_VALUE"""),"")</f>
        <v/>
      </c>
      <c r="AW94" s="1249"/>
      <c r="AX94" s="1250" t="str">
        <f>IFERROR(__xludf.DUMMYFUNCTION("if(AW94 &lt;&gt; """", 
  LET( 
    TargetLevel, VLOOKUP(AW94,MS_Labs_Array,3,false),
    MaxLevel, VLOOKUP(AW94,MS_Labs_Array,4,false),
    MaxOrTarget, IF(OR(TargetLevel = """",$AD$1 &lt;&gt; ""Target""), MaxLevel, TargetLevel),
    LabLevel, VLOOKUP(AW94,MS_Labs_A"&amp;"rray,2,False),
    Levelprogress, LabLevel / MaxOrTarget,
    DVTColumn, MATCH(AW94,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4" s="1251" t="str">
        <f>IFERROR(__xludf.DUMMYFUNCTION("if(AW94 &lt;&gt; """", 
  LET(
    TargetLevel, VLOOKUP(AW94,MS_Labs_Array,3,false),
    LabSpeed, (1 * REGEXEXTRACT($BH$1, ""[\d.-]+"")) * {IF(AW94 =""Labs Speed"", 1+'Master Sheet'!$BK$5, LAB_SPEED_TOTAL())},
    MaxLevel, VLOOKUP(AW94,MS_Labs_Array,4,false),"&amp;"
    MaxOrTarget, IF(OR(TargetLevel = """",$AD$1 &lt;&gt; ""Target""), MaxLevel, TargetLevel),
    LabLevel, VLOOKUP(AW94,MS_Labs_Array,2,False),
    DVTColumn, MATCH(AW94, DVT_Laboratory!$A$1:BO$1, 0),
    xextTime, INDIRECT(""DVT_Laboratory!"" &amp; ADDRESS(LabLe"&amp;"vel+3, DVTColumn)) / LabSpeed,
    remainingTime, SUM(INDIRECT(""DVT_Laboratory!"" &amp; ADDRESS(LabLevel+3, DVTColumn) &amp; "":"" &amp; ADDRESS(MaxOrTarget+2, DVTColumn))) / LabSpeed,
  AW94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4" s="1249"/>
      <c r="BA94" s="1249" t="str">
        <f>IFERROR(__xludf.DUMMYFUNCTION("""COMPUTED_VALUE"""),"")</f>
        <v/>
      </c>
      <c r="BB94" s="1249" t="str">
        <f>IFERROR(__xludf.DUMMYFUNCTION("""COMPUTED_VALUE"""),"")</f>
        <v/>
      </c>
      <c r="BC94" s="1249"/>
      <c r="BD94" s="1250" t="str">
        <f>IFERROR(__xludf.DUMMYFUNCTION("if(BC94 &lt;&gt; """", 
  LET( 
    TargetLevel, VLOOKUP(BC94,MS_Labs_Array,3,false),
    MaxLevel, VLOOKUP(BC94,MS_Labs_Array,4,false),
    MaxOrTarget, IF(OR(TargetLevel = """",$AD$1 &lt;&gt; ""Target""), MaxLevel, TargetLevel),
    LabLevel, VLOOKUP(BC94,MS_Labs_A"&amp;"rray,2,False),
    Levelprogress, LabLevel / MaxOrTarget,
    DVTColumn, MATCH(BC94,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4" s="1251" t="str">
        <f>IFERROR(__xludf.DUMMYFUNCTION("if(BC94 &lt;&gt; """", 
  LET(
    TargetLevel, VLOOKUP(BC94,MS_Labs_Array,3,false),
    LabSpeed, (1 * REGEXEXTRACT($BH$1, ""[\d.-]+"")) * {IF(BC94 =""Labs Speed"", 1+'Master Sheet'!$BK$5, LAB_SPEED_TOTAL())},
    MaxLevel, VLOOKUP(BC94,MS_Labs_Array,4,false),"&amp;"
    MaxOrTarget, IF(OR(TargetLevel = """",$AD$1 &lt;&gt; ""Target""), MaxLevel, TargetLevel),
    LabLevel, VLOOKUP(BC94,MS_Labs_Array,2,False),
    DVTColumn, MATCH(BC94, DVT_Laboratory!$A$1:BO$1, 0),
    xextTime, INDIRECT(""DVT_Laboratory!"" &amp; ADDRESS(LabLe"&amp;"vel+3, DVTColumn)) / LabSpeed,
    remainingTime, SUM(INDIRECT(""DVT_Laboratory!"" &amp; ADDRESS(LabLevel+3, DVTColumn) &amp; "":"" &amp; ADDRESS(MaxOrTarget+2, DVTColumn))) / LabSpeed,
  BC94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4" s="1249"/>
      <c r="BG94" s="1249" t="str">
        <f>IFERROR(__xludf.DUMMYFUNCTION("""COMPUTED_VALUE"""),"")</f>
        <v/>
      </c>
      <c r="BH94" s="1260" t="str">
        <f>IFERROR(__xludf.DUMMYFUNCTION("""COMPUTED_VALUE"""),"")</f>
        <v/>
      </c>
      <c r="BI94" s="1252"/>
      <c r="BJ94" s="1253" t="str">
        <f>IFERROR(__xludf.DUMMYFUNCTION("if(BI94 &lt;&gt; """", 
  LET( 
    TargetLevel, VLOOKUP(BI94,MS_Labs_Array,3,false),
    MaxLevel, VLOOKUP(BI94,MS_Labs_Array,4,false),
    MaxOrTarget, IF(OR(TargetLevel = """",$AD$1 &lt;&gt; ""Target""), MaxLevel, TargetLevel),
    LabLevel, VLOOKUP(BI94,MS_Labs_A"&amp;"rray,2,False),
    Levelprogress, IF(LabLevel &gt;= MaxOrTarget, 1, LabLevel / MaxOrTarget),
    DVTColumn, MATCH(BI94,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4" s="1254" t="str">
        <f>IFERROR(__xludf.DUMMYFUNCTION("if(BI94 &lt;&gt; """", 
  LET(
    TargetLevel, VLOOKUP(BI94,MS_Labs_Array,3,false),
    LabSpeed, (1 * REGEXEXTRACT($BH$1, ""[\d.-]+"")) * {IF(BI94 =""Labs Speed"", 1+'Master Sheet'!$BK$5, LAB_SPEED_TOTAL())},
    MaxLevel, VLOOKUP(BI94,MS_Labs_Array,4,false),"&amp;"
    MaxOrTarget, IF(OR(TargetLevel = """",$AD$1 &lt;&gt; ""Target""), MaxLevel, TargetLevel),
    LabLevel, VLOOKUP(BI94,MS_Labs_Array,2,False),
    DVTColumn, MATCH(BI94, DVT_Laboratory!$A$1:BO$1, 0),
    xextTime, INDIRECT(""DVT_Laboratory!"" &amp; ADDRESS(LabLe"&amp;"vel+3, DVTColumn)) / LabSpeed,
    remainingTime, SUM(INDIRECT(""DVT_Laboratory!"" &amp; ADDRESS(LabLevel+3, DVTColumn) &amp; "":"" &amp; ADDRESS(MaxOrTarget+2, DVTColumn))) / LabSpeed,
  BI94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4" s="1252"/>
      <c r="BM94" s="1252" t="str">
        <f>IFERROR(__xludf.DUMMYFUNCTION("""COMPUTED_VALUE"""),"Module Shards Cost
  Lab Level:      30 / 30 (Max)
  Next Level:    
  Max Level:     1d  6h 59m")</f>
        <v>Module Shards Cost
  Lab Level:      30 / 30 (Max)
  Next Level:    
  Max Level:     1d  6h 59m</v>
      </c>
      <c r="BN94" s="1222"/>
      <c r="BO94" s="1261"/>
    </row>
    <row r="95">
      <c r="A95" s="1222"/>
      <c r="B95" s="1257"/>
      <c r="C95" s="1304" t="s">
        <v>372</v>
      </c>
      <c r="D95" s="1280" t="str">
        <f>VLOOKUP(C95,'Remote Tier List'!A:D, 2, FALSE)</f>
        <v>S+</v>
      </c>
      <c r="E95" s="1281" t="str">
        <f>VLOOKUP(C95,'Remote Tier List'!A:D, 3, FALSE)</f>
        <v>B</v>
      </c>
      <c r="F95" s="1284" t="str">
        <f>VLOOKUP(C95,'Remote Tier List'!A:D, 4, FALSE)</f>
        <v>A few levels solve scatters for the most part. More levels should solve the problem if they ever become a danger again</v>
      </c>
      <c r="G95" s="1245" t="b">
        <f>IFERROR(AND(VLOOKUP("Tier 16",'_IDS'!$BZ$3:$DT$23, 2, FALSE) &gt; 60, IDS_UW_OWN("Chain Lightning")), true)</f>
        <v>1</v>
      </c>
      <c r="H95" s="1246" t="str">
        <f t="array" ref="H95:I95">LET(
  Lab, $C95,
  Mode, $AD$1,
  Level, VLOOKUP(Lab, MS_Labs_Array, 2, FALSE),
  Target, VLOOKUP(Lab, MS_Labs_Array, 3, FALSE),
  Max, VLOOKUP(Lab, MS_Labs_Array, 4, FALSE),
  Result,
    IF(
      AND(
        Mode &lt;&gt; "Never",
        Level &gt;= IF(OR(Target = "", Mode = "Max"), Max, Target)
      ),
      "Completed",
      ""
    ),
  HSTACK(
    IF(Result &lt;&gt; "", Result, $D95),
    IF(Result &lt;&gt; "", Result, IF($E95 = "", $D95, $E95))
  )
)</f>
        <v>S+</v>
      </c>
      <c r="I95" s="1247" t="s">
        <v>546</v>
      </c>
      <c r="J95" s="1248" t="str">
        <f t="shared" si="18"/>
        <v>A few levels solve scatters for the most part. More levels should solve the problem if they ever become a danger again</v>
      </c>
      <c r="K95" s="1229"/>
      <c r="L95" s="1249"/>
      <c r="M95" s="1249"/>
      <c r="N95" s="1250" t="str">
        <f>IFERROR(__xludf.DUMMYFUNCTION("if(M95 &lt;&gt; """", 
  LET( 
    TargetLevel, VLOOKUP(M95,MS_Labs_Array,3,false),
    MaxLevel, VLOOKUP(M95,MS_Labs_Array,4,false),
    MaxOrTarget, IF(OR(TargetLevel = """",$AD$1 &lt;&gt; ""Target""), MaxLevel, TargetLevel),
    LabLevel, VLOOKUP(M95,MS_Labs_Array"&amp;",2,False),
    Levelprogress, LabLevel / MaxOrTarget,
    DVTColumn, MATCH(M95,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5" s="1251" t="str">
        <f>IFERROR(__xludf.DUMMYFUNCTION("if(M95 &lt;&gt; """", 
  LET(
    TargetLevel, VLOOKUP(M95,MS_Labs_Array,3,false),
    LabSpeed, (1 * REGEXEXTRACT($BH$1, ""[\d.-]+"")) * {IF(M95 =""Labs Speed"", 1+'Master Sheet'!$BK$5, LAB_SPEED_TOTAL())},
    MaxLevel, VLOOKUP(M95,MS_Labs_Array,4,false),
   "&amp;" MaxOrTarget, IF(OR(TargetLevel = """",$AD$1 &lt;&gt; ""Target""), MaxLevel, TargetLevel),
    LabLevel, VLOOKUP(M95,MS_Labs_Array,2,False),
    DVTColumn, MATCH(M95, DVT_Laboratory!$A$1:BO$1, 0),
    xextTime, INDIRECT(""DVT_Laboratory!"" &amp; ADDRESS(LabLevel+3,"&amp;" DVTColumn)) / LabSpeed,
    remainingTime, SUM(INDIRECT(""DVT_Laboratory!"" &amp; ADDRESS(LabLevel+3, DVTColumn) &amp; "":"" &amp; ADDRESS(MaxOrTarget+2, DVTColumn))) / LabSpeed,
  M95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5" s="1249"/>
      <c r="Q95" s="1249"/>
      <c r="R95" s="1249"/>
      <c r="S95" s="1249"/>
      <c r="T95" s="1250" t="str">
        <f>IFERROR(__xludf.DUMMYFUNCTION("if(S95 &lt;&gt; """", 
  LET( 
    TargetLevel, VLOOKUP(S95,MS_Labs_Array,3,false),
    MaxLevel, VLOOKUP(S95,MS_Labs_Array,4,false),
    MaxOrTarget, IF(OR(TargetLevel = """",$AD$1 &lt;&gt; ""Target""), MaxLevel, TargetLevel),
    LabLevel, VLOOKUP(S95,MS_Labs_Array"&amp;",2,False),
    Levelprogress, LabLevel / MaxOrTarget,
    DVTColumn, MATCH(S95,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5" s="1251" t="str">
        <f>IFERROR(__xludf.DUMMYFUNCTION("if(S95 &lt;&gt; """", 
  LET(
    TargetLevel, VLOOKUP(S95,MS_Labs_Array,3,false),
    LabSpeed, (1 * REGEXEXTRACT($BH$1, ""[\d.-]+"")) * {IF(S95 =""Labs Speed"", 1+'Master Sheet'!$BK$5, LAB_SPEED_TOTAL())},
    MaxLevel, VLOOKUP(S95,MS_Labs_Array,4,false),
   "&amp;" MaxOrTarget, IF(OR(TargetLevel = """",$AD$1 &lt;&gt; ""Target""), MaxLevel, TargetLevel),
    LabLevel, VLOOKUP(S95,MS_Labs_Array,2,False),
    DVTColumn, MATCH(S95, DVT_Laboratory!$A$1:BO$1, 0),
    xextTime, INDIRECT(""DVT_Laboratory!"" &amp; ADDRESS(LabLevel+3,"&amp;" DVTColumn)) / LabSpeed,
    remainingTime, SUM(INDIRECT(""DVT_Laboratory!"" &amp; ADDRESS(LabLevel+3, DVTColumn) &amp; "":"" &amp; ADDRESS(MaxOrTarget+2, DVTColumn))) / LabSpeed,
  S95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5" s="1249"/>
      <c r="W95" s="1249"/>
      <c r="X95" s="1249"/>
      <c r="Y95" s="1249"/>
      <c r="Z95" s="1250" t="str">
        <f>IFERROR(__xludf.DUMMYFUNCTION("if(Y95 &lt;&gt; """", 
  LET( 
    TargetLevel, VLOOKUP(Y95,MS_Labs_Array,3,false),
    MaxLevel, VLOOKUP(Y95,MS_Labs_Array,4,false),
    MaxOrTarget, IF(OR(TargetLevel = """",$AD$1 &lt;&gt; ""Target""), MaxLevel, TargetLevel),
    LabLevel, VLOOKUP(Y95,MS_Labs_Array"&amp;",2,False),
    Levelprogress, LabLevel / MaxOrTarget,
    DVTColumn, MATCH(Y95,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5" s="1251" t="str">
        <f>IFERROR(__xludf.DUMMYFUNCTION("if(Y95 &lt;&gt; """", 
  LET(
    TargetLevel, VLOOKUP(Y95,MS_Labs_Array,3,false),
    LabSpeed, (1 * REGEXEXTRACT($BH$1, ""[\d.-]+"")) * {IF(Y95 =""Labs Speed"", 1+'Master Sheet'!$BK$5, LAB_SPEED_TOTAL())},
    MaxLevel, VLOOKUP(Y95,MS_Labs_Array,4,false),
   "&amp;" MaxOrTarget, IF(OR(TargetLevel = """",$AD$1 &lt;&gt; ""Target""), MaxLevel, TargetLevel),
    LabLevel, VLOOKUP(Y95,MS_Labs_Array,2,False),
    DVTColumn, MATCH(Y95, DVT_Laboratory!$A$1:BO$1, 0),
    xextTime, INDIRECT(""DVT_Laboratory!"" &amp; ADDRESS(LabLevel+3,"&amp;" DVTColumn)) / LabSpeed,
    remainingTime, SUM(INDIRECT(""DVT_Laboratory!"" &amp; ADDRESS(LabLevel+3, DVTColumn) &amp; "":"" &amp; ADDRESS(MaxOrTarget+2, DVTColumn))) / LabSpeed,
  Y95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5" s="1249"/>
      <c r="AC95" s="1249"/>
      <c r="AD95" s="1249"/>
      <c r="AE95" s="1249"/>
      <c r="AF95" s="1250" t="str">
        <f>IFERROR(__xludf.DUMMYFUNCTION("if(AE95 &lt;&gt; """", 
  LET( 
    TargetLevel, VLOOKUP(AE95,MS_Labs_Array,3,false),
    MaxLevel, VLOOKUP(AE95,MS_Labs_Array,4,false),
    MaxOrTarget, IF(OR(TargetLevel = """",$AD$1 &lt;&gt; ""Target""), MaxLevel, TargetLevel),
    LabLevel, VLOOKUP(AE95,MS_Labs_A"&amp;"rray,2,False),
    Levelprogress, LabLevel / MaxOrTarget,
    DVTColumn, MATCH(AE95,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5" s="1251" t="str">
        <f>IFERROR(__xludf.DUMMYFUNCTION("if(AE95 &lt;&gt; """", 
  LET(
    TargetLevel, VLOOKUP(AE95,MS_Labs_Array,3,false),
    LabSpeed, (1 * REGEXEXTRACT($BH$1, ""[\d.-]+"")) * {IF(AE95 =""Labs Speed"", 1+'Master Sheet'!$BK$5, LAB_SPEED_TOTAL())},
    MaxLevel, VLOOKUP(AE95,MS_Labs_Array,4,false),"&amp;"
    MaxOrTarget, IF(OR(TargetLevel = """",$AD$1 &lt;&gt; ""Target""), MaxLevel, TargetLevel),
    LabLevel, VLOOKUP(AE95,MS_Labs_Array,2,False),
    DVTColumn, MATCH(AE95, DVT_Laboratory!$A$1:BO$1, 0),
    xextTime, INDIRECT(""DVT_Laboratory!"" &amp; ADDRESS(LabLe"&amp;"vel+3, DVTColumn)) / LabSpeed,
    remainingTime, SUM(INDIRECT(""DVT_Laboratory!"" &amp; ADDRESS(LabLevel+3, DVTColumn) &amp; "":"" &amp; ADDRESS(MaxOrTarget+2, DVTColumn))) / LabSpeed,
  AE95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5" s="1249"/>
      <c r="AI95" s="1249"/>
      <c r="AJ95" s="1249"/>
      <c r="AK95" s="1249"/>
      <c r="AL95" s="1250" t="str">
        <f>IFERROR(__xludf.DUMMYFUNCTION("if(AK95 &lt;&gt; """", 
  LET( 
    TargetLevel, VLOOKUP(AK95,MS_Labs_Array,3,false),
    MaxLevel, VLOOKUP(AK95,MS_Labs_Array,4,false),
    MaxOrTarget, IF(OR(TargetLevel = """",$AD$1 &lt;&gt; ""Target""), MaxLevel, TargetLevel),
    LabLevel, VLOOKUP(AK95,MS_Labs_A"&amp;"rray,2,False),
    Levelprogress, LabLevel / MaxOrTarget,
    DVTColumn, MATCH(AK95,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5" s="1251" t="str">
        <f>IFERROR(__xludf.DUMMYFUNCTION("if(AK95 &lt;&gt; """", 
  LET(
    TargetLevel, VLOOKUP(AK95,MS_Labs_Array,3,false),
    LabSpeed, (1 * REGEXEXTRACT($BH$1, ""[\d.-]+"")) * {IF(AK95 =""Labs Speed"", 1+'Master Sheet'!$BK$5, LAB_SPEED_TOTAL())},
    MaxLevel, VLOOKUP(AK95,MS_Labs_Array,4,false),"&amp;"
    MaxOrTarget, IF(OR(TargetLevel = """",$AD$1 &lt;&gt; ""Target""), MaxLevel, TargetLevel),
    LabLevel, VLOOKUP(AK95,MS_Labs_Array,2,False),
    DVTColumn, MATCH(AK95, DVT_Laboratory!$A$1:BO$1, 0),
    xextTime, INDIRECT(""DVT_Laboratory!"" &amp; ADDRESS(LabLe"&amp;"vel+3, DVTColumn)) / LabSpeed,
    remainingTime, SUM(INDIRECT(""DVT_Laboratory!"" &amp; ADDRESS(LabLevel+3, DVTColumn) &amp; "":"" &amp; ADDRESS(MaxOrTarget+2, DVTColumn))) / LabSpeed,
  AK95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5" s="1249"/>
      <c r="AO95" s="1249"/>
      <c r="AP95" s="1249"/>
      <c r="AQ95" s="1249"/>
      <c r="AR95" s="1250" t="str">
        <f>IFERROR(__xludf.DUMMYFUNCTION("if(AQ95 &lt;&gt; """", 
  LET( 
    TargetLevel, VLOOKUP(AQ95,MS_Labs_Array,3,false),
    MaxLevel, VLOOKUP(AQ95,MS_Labs_Array,4,false),
    MaxOrTarget, IF(OR(TargetLevel = """",$AD$1 &lt;&gt; ""Target""), MaxLevel, TargetLevel),
    LabLevel, VLOOKUP(AQ95,MS_Labs_A"&amp;"rray,2,False),
    Levelprogress, LabLevel / MaxOrTarget,
    DVTColumn, MATCH(AQ95,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5" s="1251" t="str">
        <f>IFERROR(__xludf.DUMMYFUNCTION("if(AQ95 &lt;&gt; """", 
  LET(
    TargetLevel, VLOOKUP(AQ95,MS_Labs_Array,3,false),
    LabSpeed, (1 * REGEXEXTRACT($BH$1, ""[\d.-]+"")) * {IF(AQ95 =""Labs Speed"", 1+'Master Sheet'!$BK$5, LAB_SPEED_TOTAL())},
    MaxLevel, VLOOKUP(AQ95,MS_Labs_Array,4,false),"&amp;"
    MaxOrTarget, IF(OR(TargetLevel = """",$AD$1 &lt;&gt; ""Target""), MaxLevel, TargetLevel),
    LabLevel, VLOOKUP(AQ95,MS_Labs_Array,2,False),
    DVTColumn, MATCH(AQ95, DVT_Laboratory!$A$1:BO$1, 0),
    xextTime, INDIRECT(""DVT_Laboratory!"" &amp; ADDRESS(LabLe"&amp;"vel+3, DVTColumn)) / LabSpeed,
    remainingTime, SUM(INDIRECT(""DVT_Laboratory!"" &amp; ADDRESS(LabLevel+3, DVTColumn) &amp; "":"" &amp; ADDRESS(MaxOrTarget+2, DVTColumn))) / LabSpeed,
  AQ95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5" s="1249"/>
      <c r="AU95" s="1249"/>
      <c r="AV95" s="1249"/>
      <c r="AW95" s="1249"/>
      <c r="AX95" s="1250" t="str">
        <f>IFERROR(__xludf.DUMMYFUNCTION("if(AW95 &lt;&gt; """", 
  LET( 
    TargetLevel, VLOOKUP(AW95,MS_Labs_Array,3,false),
    MaxLevel, VLOOKUP(AW95,MS_Labs_Array,4,false),
    MaxOrTarget, IF(OR(TargetLevel = """",$AD$1 &lt;&gt; ""Target""), MaxLevel, TargetLevel),
    LabLevel, VLOOKUP(AW95,MS_Labs_A"&amp;"rray,2,False),
    Levelprogress, LabLevel / MaxOrTarget,
    DVTColumn, MATCH(AW95,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5" s="1251" t="str">
        <f>IFERROR(__xludf.DUMMYFUNCTION("if(AW95 &lt;&gt; """", 
  LET(
    TargetLevel, VLOOKUP(AW95,MS_Labs_Array,3,false),
    LabSpeed, (1 * REGEXEXTRACT($BH$1, ""[\d.-]+"")) * {IF(AW95 =""Labs Speed"", 1+'Master Sheet'!$BK$5, LAB_SPEED_TOTAL())},
    MaxLevel, VLOOKUP(AW95,MS_Labs_Array,4,false),"&amp;"
    MaxOrTarget, IF(OR(TargetLevel = """",$AD$1 &lt;&gt; ""Target""), MaxLevel, TargetLevel),
    LabLevel, VLOOKUP(AW95,MS_Labs_Array,2,False),
    DVTColumn, MATCH(AW95, DVT_Laboratory!$A$1:BO$1, 0),
    xextTime, INDIRECT(""DVT_Laboratory!"" &amp; ADDRESS(LabLe"&amp;"vel+3, DVTColumn)) / LabSpeed,
    remainingTime, SUM(INDIRECT(""DVT_Laboratory!"" &amp; ADDRESS(LabLevel+3, DVTColumn) &amp; "":"" &amp; ADDRESS(MaxOrTarget+2, DVTColumn))) / LabSpeed,
  AW95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5" s="1249"/>
      <c r="BA95" s="1249"/>
      <c r="BB95" s="1249"/>
      <c r="BC95" s="1249"/>
      <c r="BD95" s="1250" t="str">
        <f>IFERROR(__xludf.DUMMYFUNCTION("if(BC95 &lt;&gt; """", 
  LET( 
    TargetLevel, VLOOKUP(BC95,MS_Labs_Array,3,false),
    MaxLevel, VLOOKUP(BC95,MS_Labs_Array,4,false),
    MaxOrTarget, IF(OR(TargetLevel = """",$AD$1 &lt;&gt; ""Target""), MaxLevel, TargetLevel),
    LabLevel, VLOOKUP(BC95,MS_Labs_A"&amp;"rray,2,False),
    Levelprogress, LabLevel / MaxOrTarget,
    DVTColumn, MATCH(BC95,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5" s="1251" t="str">
        <f>IFERROR(__xludf.DUMMYFUNCTION("if(BC95 &lt;&gt; """", 
  LET(
    TargetLevel, VLOOKUP(BC95,MS_Labs_Array,3,false),
    LabSpeed, (1 * REGEXEXTRACT($BH$1, ""[\d.-]+"")) * {IF(BC95 =""Labs Speed"", 1+'Master Sheet'!$BK$5, LAB_SPEED_TOTAL())},
    MaxLevel, VLOOKUP(BC95,MS_Labs_Array,4,false),"&amp;"
    MaxOrTarget, IF(OR(TargetLevel = """",$AD$1 &lt;&gt; ""Target""), MaxLevel, TargetLevel),
    LabLevel, VLOOKUP(BC95,MS_Labs_Array,2,False),
    DVTColumn, MATCH(BC95, DVT_Laboratory!$A$1:BO$1, 0),
    xextTime, INDIRECT(""DVT_Laboratory!"" &amp; ADDRESS(LabLe"&amp;"vel+3, DVTColumn)) / LabSpeed,
    remainingTime, SUM(INDIRECT(""DVT_Laboratory!"" &amp; ADDRESS(LabLevel+3, DVTColumn) &amp; "":"" &amp; ADDRESS(MaxOrTarget+2, DVTColumn))) / LabSpeed,
  BC95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5" s="1249"/>
      <c r="BG95" s="1249"/>
      <c r="BH95" s="1260" t="str">
        <f>IFERROR(__xludf.DUMMYFUNCTION("""COMPUTED_VALUE"""),"Rare Drop Chance")</f>
        <v>Rare Drop Chance</v>
      </c>
      <c r="BI95" s="1252"/>
      <c r="BJ95" s="1253" t="str">
        <f>IFERROR(__xludf.DUMMYFUNCTION("if(BI95 &lt;&gt; """", 
  LET( 
    TargetLevel, VLOOKUP(BI95,MS_Labs_Array,3,false),
    MaxLevel, VLOOKUP(BI95,MS_Labs_Array,4,false),
    MaxOrTarget, IF(OR(TargetLevel = """",$AD$1 &lt;&gt; ""Target""), MaxLevel, TargetLevel),
    LabLevel, VLOOKUP(BI95,MS_Labs_A"&amp;"rray,2,False),
    Levelprogress, IF(LabLevel &gt;= MaxOrTarget, 1, LabLevel / MaxOrTarget),
    DVTColumn, MATCH(BI95,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5" s="1254" t="str">
        <f>IFERROR(__xludf.DUMMYFUNCTION("if(BI95 &lt;&gt; """", 
  LET(
    TargetLevel, VLOOKUP(BI95,MS_Labs_Array,3,false),
    LabSpeed, (1 * REGEXEXTRACT($BH$1, ""[\d.-]+"")) * {IF(BI95 =""Labs Speed"", 1+'Master Sheet'!$BK$5, LAB_SPEED_TOTAL())},
    MaxLevel, VLOOKUP(BI95,MS_Labs_Array,4,false),"&amp;"
    MaxOrTarget, IF(OR(TargetLevel = """",$AD$1 &lt;&gt; ""Target""), MaxLevel, TargetLevel),
    LabLevel, VLOOKUP(BI95,MS_Labs_Array,2,False),
    DVTColumn, MATCH(BI95, DVT_Laboratory!$A$1:BO$1, 0),
    xextTime, INDIRECT(""DVT_Laboratory!"" &amp; ADDRESS(LabLe"&amp;"vel+3, DVTColumn)) / LabSpeed,
    remainingTime, SUM(INDIRECT(""DVT_Laboratory!"" &amp; ADDRESS(LabLevel+3, DVTColumn) &amp; "":"" &amp; ADDRESS(MaxOrTarget+2, DVTColumn))) / LabSpeed,
  BI95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5" s="1252"/>
      <c r="BM95" s="1252" t="str">
        <f>IFERROR(__xludf.DUMMYFUNCTION("""COMPUTED_VALUE"""),"Very important long term for fodder and shard income. Each level brings a big increase in the drop rate ")</f>
        <v>Very important long term for fodder and shard income. Each level brings a big increase in the drop rate </v>
      </c>
      <c r="BN95" s="1222"/>
      <c r="BO95" s="1261"/>
    </row>
    <row r="96" ht="7.5" customHeight="1">
      <c r="A96" s="1222"/>
      <c r="B96" s="1262" t="s">
        <v>557</v>
      </c>
      <c r="C96" s="1304" t="s">
        <v>374</v>
      </c>
      <c r="D96" s="1280" t="str">
        <f>VLOOKUP(C96,'Remote Tier List'!A:D, 2, FALSE)</f>
        <v>A</v>
      </c>
      <c r="E96" s="1281" t="str">
        <f>VLOOKUP(C96,'Remote Tier List'!A:D, 3, FALSE)</f>
        <v/>
      </c>
      <c r="F96" s="1284" t="str">
        <f>VLOOKUP(C96,'Remote Tier List'!A:D, 4, FALSE)</f>
        <v>The only Cell multiplier in the game outside of WS+</v>
      </c>
      <c r="G96" s="1245" t="b">
        <f>IFERROR(AND(VLOOKUP("Tier 3",'_IDS'!$BZ$3:$DT$23, 2, FALSE) &gt; 250, IDS_UW_OWN("Death Wave")), true)</f>
        <v>1</v>
      </c>
      <c r="H96" s="1246" t="str">
        <f t="array" ref="H96:I96">LET(
  Lab, $C96,
  Mode, $AD$1,
  Level, VLOOKUP(Lab, MS_Labs_Array, 2, FALSE),
  Target, VLOOKUP(Lab, MS_Labs_Array, 3, FALSE),
  Max, VLOOKUP(Lab, MS_Labs_Array, 4, FALSE),
  Result,
    IF(
      AND(
        Mode &lt;&gt; "Never",
        Level &gt;= IF(OR(Target = "", Mode = "Max"), Max, Target)
      ),
      "Completed",
      ""
    ),
  HSTACK(
    IF(Result &lt;&gt; "", Result, $D96),
    IF(Result &lt;&gt; "", Result, IF($E96 = "", $D96, $E96))
  )
)</f>
        <v>Completed</v>
      </c>
      <c r="I96" s="1247" t="s">
        <v>551</v>
      </c>
      <c r="J96" s="1248" t="str">
        <f t="shared" si="18"/>
        <v>The only Cell multiplier in the game outside of WS+</v>
      </c>
      <c r="K96" s="1229"/>
      <c r="L96" s="1249" t="str">
        <f>IFERROR(__xludf.DUMMYFUNCTION("""COMPUTED_VALUE"""),"")</f>
        <v/>
      </c>
      <c r="M96" s="1249"/>
      <c r="N96" s="1250" t="str">
        <f>IFERROR(__xludf.DUMMYFUNCTION("if(M96 &lt;&gt; """", 
  LET( 
    TargetLevel, VLOOKUP(M96,MS_Labs_Array,3,false),
    MaxLevel, VLOOKUP(M96,MS_Labs_Array,4,false),
    MaxOrTarget, IF(OR(TargetLevel = """",$AD$1 &lt;&gt; ""Target""), MaxLevel, TargetLevel),
    LabLevel, VLOOKUP(M96,MS_Labs_Array"&amp;",2,False),
    Levelprogress, LabLevel / MaxOrTarget,
    DVTColumn, MATCH(M96,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6" s="1251" t="str">
        <f>IFERROR(__xludf.DUMMYFUNCTION("if(M96 &lt;&gt; """", 
  LET(
    TargetLevel, VLOOKUP(M96,MS_Labs_Array,3,false),
    LabSpeed, (1 * REGEXEXTRACT($BH$1, ""[\d.-]+"")) * {IF(M96 =""Labs Speed"", 1+'Master Sheet'!$BK$5, LAB_SPEED_TOTAL())},
    MaxLevel, VLOOKUP(M96,MS_Labs_Array,4,false),
   "&amp;" MaxOrTarget, IF(OR(TargetLevel = """",$AD$1 &lt;&gt; ""Target""), MaxLevel, TargetLevel),
    LabLevel, VLOOKUP(M96,MS_Labs_Array,2,False),
    DVTColumn, MATCH(M96, DVT_Laboratory!$A$1:BO$1, 0),
    xextTime, INDIRECT(""DVT_Laboratory!"" &amp; ADDRESS(LabLevel+3,"&amp;" DVTColumn)) / LabSpeed,
    remainingTime, SUM(INDIRECT(""DVT_Laboratory!"" &amp; ADDRESS(LabLevel+3, DVTColumn) &amp; "":"" &amp; ADDRESS(MaxOrTarget+2, DVTColumn))) / LabSpeed,
  M96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6" s="1249"/>
      <c r="Q96" s="1249" t="str">
        <f>IFERROR(__xludf.DUMMYFUNCTION("""COMPUTED_VALUE"""),"")</f>
        <v/>
      </c>
      <c r="R96" s="1249" t="str">
        <f>IFERROR(__xludf.DUMMYFUNCTION("""COMPUTED_VALUE"""),"")</f>
        <v/>
      </c>
      <c r="S96" s="1249"/>
      <c r="T96" s="1250" t="str">
        <f>IFERROR(__xludf.DUMMYFUNCTION("if(S96 &lt;&gt; """", 
  LET( 
    TargetLevel, VLOOKUP(S96,MS_Labs_Array,3,false),
    MaxLevel, VLOOKUP(S96,MS_Labs_Array,4,false),
    MaxOrTarget, IF(OR(TargetLevel = """",$AD$1 &lt;&gt; ""Target""), MaxLevel, TargetLevel),
    LabLevel, VLOOKUP(S96,MS_Labs_Array"&amp;",2,False),
    Levelprogress, LabLevel / MaxOrTarget,
    DVTColumn, MATCH(S96,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6" s="1251" t="str">
        <f>IFERROR(__xludf.DUMMYFUNCTION("if(S96 &lt;&gt; """", 
  LET(
    TargetLevel, VLOOKUP(S96,MS_Labs_Array,3,false),
    LabSpeed, (1 * REGEXEXTRACT($BH$1, ""[\d.-]+"")) * {IF(S96 =""Labs Speed"", 1+'Master Sheet'!$BK$5, LAB_SPEED_TOTAL())},
    MaxLevel, VLOOKUP(S96,MS_Labs_Array,4,false),
   "&amp;" MaxOrTarget, IF(OR(TargetLevel = """",$AD$1 &lt;&gt; ""Target""), MaxLevel, TargetLevel),
    LabLevel, VLOOKUP(S96,MS_Labs_Array,2,False),
    DVTColumn, MATCH(S96, DVT_Laboratory!$A$1:BO$1, 0),
    xextTime, INDIRECT(""DVT_Laboratory!"" &amp; ADDRESS(LabLevel+3,"&amp;" DVTColumn)) / LabSpeed,
    remainingTime, SUM(INDIRECT(""DVT_Laboratory!"" &amp; ADDRESS(LabLevel+3, DVTColumn) &amp; "":"" &amp; ADDRESS(MaxOrTarget+2, DVTColumn))) / LabSpeed,
  S96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6" s="1249"/>
      <c r="W96" s="1249" t="str">
        <f>IFERROR(__xludf.DUMMYFUNCTION("""COMPUTED_VALUE"""),"")</f>
        <v/>
      </c>
      <c r="X96" s="1249" t="str">
        <f>IFERROR(__xludf.DUMMYFUNCTION("""COMPUTED_VALUE"""),"")</f>
        <v/>
      </c>
      <c r="Y96" s="1249"/>
      <c r="Z96" s="1250" t="str">
        <f>IFERROR(__xludf.DUMMYFUNCTION("if(Y96 &lt;&gt; """", 
  LET( 
    TargetLevel, VLOOKUP(Y96,MS_Labs_Array,3,false),
    MaxLevel, VLOOKUP(Y96,MS_Labs_Array,4,false),
    MaxOrTarget, IF(OR(TargetLevel = """",$AD$1 &lt;&gt; ""Target""), MaxLevel, TargetLevel),
    LabLevel, VLOOKUP(Y96,MS_Labs_Array"&amp;",2,False),
    Levelprogress, LabLevel / MaxOrTarget,
    DVTColumn, MATCH(Y96,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6" s="1251" t="str">
        <f>IFERROR(__xludf.DUMMYFUNCTION("if(Y96 &lt;&gt; """", 
  LET(
    TargetLevel, VLOOKUP(Y96,MS_Labs_Array,3,false),
    LabSpeed, (1 * REGEXEXTRACT($BH$1, ""[\d.-]+"")) * {IF(Y96 =""Labs Speed"", 1+'Master Sheet'!$BK$5, LAB_SPEED_TOTAL())},
    MaxLevel, VLOOKUP(Y96,MS_Labs_Array,4,false),
   "&amp;" MaxOrTarget, IF(OR(TargetLevel = """",$AD$1 &lt;&gt; ""Target""), MaxLevel, TargetLevel),
    LabLevel, VLOOKUP(Y96,MS_Labs_Array,2,False),
    DVTColumn, MATCH(Y96, DVT_Laboratory!$A$1:BO$1, 0),
    xextTime, INDIRECT(""DVT_Laboratory!"" &amp; ADDRESS(LabLevel+3,"&amp;" DVTColumn)) / LabSpeed,
    remainingTime, SUM(INDIRECT(""DVT_Laboratory!"" &amp; ADDRESS(LabLevel+3, DVTColumn) &amp; "":"" &amp; ADDRESS(MaxOrTarget+2, DVTColumn))) / LabSpeed,
  Y96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6" s="1249"/>
      <c r="AC96" s="1249" t="str">
        <f>IFERROR(__xludf.DUMMYFUNCTION("""COMPUTED_VALUE"""),"")</f>
        <v/>
      </c>
      <c r="AD96" s="1249" t="str">
        <f>IFERROR(__xludf.DUMMYFUNCTION("""COMPUTED_VALUE"""),"")</f>
        <v/>
      </c>
      <c r="AE96" s="1249"/>
      <c r="AF96" s="1250" t="str">
        <f>IFERROR(__xludf.DUMMYFUNCTION("if(AE96 &lt;&gt; """", 
  LET( 
    TargetLevel, VLOOKUP(AE96,MS_Labs_Array,3,false),
    MaxLevel, VLOOKUP(AE96,MS_Labs_Array,4,false),
    MaxOrTarget, IF(OR(TargetLevel = """",$AD$1 &lt;&gt; ""Target""), MaxLevel, TargetLevel),
    LabLevel, VLOOKUP(AE96,MS_Labs_A"&amp;"rray,2,False),
    Levelprogress, LabLevel / MaxOrTarget,
    DVTColumn, MATCH(AE96,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6" s="1251" t="str">
        <f>IFERROR(__xludf.DUMMYFUNCTION("if(AE96 &lt;&gt; """", 
  LET(
    TargetLevel, VLOOKUP(AE96,MS_Labs_Array,3,false),
    LabSpeed, (1 * REGEXEXTRACT($BH$1, ""[\d.-]+"")) * {IF(AE96 =""Labs Speed"", 1+'Master Sheet'!$BK$5, LAB_SPEED_TOTAL())},
    MaxLevel, VLOOKUP(AE96,MS_Labs_Array,4,false),"&amp;"
    MaxOrTarget, IF(OR(TargetLevel = """",$AD$1 &lt;&gt; ""Target""), MaxLevel, TargetLevel),
    LabLevel, VLOOKUP(AE96,MS_Labs_Array,2,False),
    DVTColumn, MATCH(AE96, DVT_Laboratory!$A$1:BO$1, 0),
    xextTime, INDIRECT(""DVT_Laboratory!"" &amp; ADDRESS(LabLe"&amp;"vel+3, DVTColumn)) / LabSpeed,
    remainingTime, SUM(INDIRECT(""DVT_Laboratory!"" &amp; ADDRESS(LabLevel+3, DVTColumn) &amp; "":"" &amp; ADDRESS(MaxOrTarget+2, DVTColumn))) / LabSpeed,
  AE96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6" s="1249"/>
      <c r="AI96" s="1249" t="str">
        <f>IFERROR(__xludf.DUMMYFUNCTION("""COMPUTED_VALUE"""),"")</f>
        <v/>
      </c>
      <c r="AJ96" s="1249" t="str">
        <f>IFERROR(__xludf.DUMMYFUNCTION("""COMPUTED_VALUE"""),"")</f>
        <v/>
      </c>
      <c r="AK96" s="1249"/>
      <c r="AL96" s="1250" t="str">
        <f>IFERROR(__xludf.DUMMYFUNCTION("if(AK96 &lt;&gt; """", 
  LET( 
    TargetLevel, VLOOKUP(AK96,MS_Labs_Array,3,false),
    MaxLevel, VLOOKUP(AK96,MS_Labs_Array,4,false),
    MaxOrTarget, IF(OR(TargetLevel = """",$AD$1 &lt;&gt; ""Target""), MaxLevel, TargetLevel),
    LabLevel, VLOOKUP(AK96,MS_Labs_A"&amp;"rray,2,False),
    Levelprogress, LabLevel / MaxOrTarget,
    DVTColumn, MATCH(AK96,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6" s="1251" t="str">
        <f>IFERROR(__xludf.DUMMYFUNCTION("if(AK96 &lt;&gt; """", 
  LET(
    TargetLevel, VLOOKUP(AK96,MS_Labs_Array,3,false),
    LabSpeed, (1 * REGEXEXTRACT($BH$1, ""[\d.-]+"")) * {IF(AK96 =""Labs Speed"", 1+'Master Sheet'!$BK$5, LAB_SPEED_TOTAL())},
    MaxLevel, VLOOKUP(AK96,MS_Labs_Array,4,false),"&amp;"
    MaxOrTarget, IF(OR(TargetLevel = """",$AD$1 &lt;&gt; ""Target""), MaxLevel, TargetLevel),
    LabLevel, VLOOKUP(AK96,MS_Labs_Array,2,False),
    DVTColumn, MATCH(AK96, DVT_Laboratory!$A$1:BO$1, 0),
    xextTime, INDIRECT(""DVT_Laboratory!"" &amp; ADDRESS(LabLe"&amp;"vel+3, DVTColumn)) / LabSpeed,
    remainingTime, SUM(INDIRECT(""DVT_Laboratory!"" &amp; ADDRESS(LabLevel+3, DVTColumn) &amp; "":"" &amp; ADDRESS(MaxOrTarget+2, DVTColumn))) / LabSpeed,
  AK96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6" s="1249"/>
      <c r="AO96" s="1249" t="str">
        <f>IFERROR(__xludf.DUMMYFUNCTION("""COMPUTED_VALUE"""),"")</f>
        <v/>
      </c>
      <c r="AP96" s="1249" t="str">
        <f>IFERROR(__xludf.DUMMYFUNCTION("""COMPUTED_VALUE"""),"")</f>
        <v/>
      </c>
      <c r="AQ96" s="1249"/>
      <c r="AR96" s="1250" t="str">
        <f>IFERROR(__xludf.DUMMYFUNCTION("if(AQ96 &lt;&gt; """", 
  LET( 
    TargetLevel, VLOOKUP(AQ96,MS_Labs_Array,3,false),
    MaxLevel, VLOOKUP(AQ96,MS_Labs_Array,4,false),
    MaxOrTarget, IF(OR(TargetLevel = """",$AD$1 &lt;&gt; ""Target""), MaxLevel, TargetLevel),
    LabLevel, VLOOKUP(AQ96,MS_Labs_A"&amp;"rray,2,False),
    Levelprogress, LabLevel / MaxOrTarget,
    DVTColumn, MATCH(AQ96,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6" s="1251" t="str">
        <f>IFERROR(__xludf.DUMMYFUNCTION("if(AQ96 &lt;&gt; """", 
  LET(
    TargetLevel, VLOOKUP(AQ96,MS_Labs_Array,3,false),
    LabSpeed, (1 * REGEXEXTRACT($BH$1, ""[\d.-]+"")) * {IF(AQ96 =""Labs Speed"", 1+'Master Sheet'!$BK$5, LAB_SPEED_TOTAL())},
    MaxLevel, VLOOKUP(AQ96,MS_Labs_Array,4,false),"&amp;"
    MaxOrTarget, IF(OR(TargetLevel = """",$AD$1 &lt;&gt; ""Target""), MaxLevel, TargetLevel),
    LabLevel, VLOOKUP(AQ96,MS_Labs_Array,2,False),
    DVTColumn, MATCH(AQ96, DVT_Laboratory!$A$1:BO$1, 0),
    xextTime, INDIRECT(""DVT_Laboratory!"" &amp; ADDRESS(LabLe"&amp;"vel+3, DVTColumn)) / LabSpeed,
    remainingTime, SUM(INDIRECT(""DVT_Laboratory!"" &amp; ADDRESS(LabLevel+3, DVTColumn) &amp; "":"" &amp; ADDRESS(MaxOrTarget+2, DVTColumn))) / LabSpeed,
  AQ96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6" s="1249"/>
      <c r="AU96" s="1249" t="str">
        <f>IFERROR(__xludf.DUMMYFUNCTION("""COMPUTED_VALUE"""),"")</f>
        <v/>
      </c>
      <c r="AV96" s="1249" t="str">
        <f>IFERROR(__xludf.DUMMYFUNCTION("""COMPUTED_VALUE"""),"")</f>
        <v/>
      </c>
      <c r="AW96" s="1249"/>
      <c r="AX96" s="1250" t="str">
        <f>IFERROR(__xludf.DUMMYFUNCTION("if(AW96 &lt;&gt; """", 
  LET( 
    TargetLevel, VLOOKUP(AW96,MS_Labs_Array,3,false),
    MaxLevel, VLOOKUP(AW96,MS_Labs_Array,4,false),
    MaxOrTarget, IF(OR(TargetLevel = """",$AD$1 &lt;&gt; ""Target""), MaxLevel, TargetLevel),
    LabLevel, VLOOKUP(AW96,MS_Labs_A"&amp;"rray,2,False),
    Levelprogress, LabLevel / MaxOrTarget,
    DVTColumn, MATCH(AW96,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6" s="1251" t="str">
        <f>IFERROR(__xludf.DUMMYFUNCTION("if(AW96 &lt;&gt; """", 
  LET(
    TargetLevel, VLOOKUP(AW96,MS_Labs_Array,3,false),
    LabSpeed, (1 * REGEXEXTRACT($BH$1, ""[\d.-]+"")) * {IF(AW96 =""Labs Speed"", 1+'Master Sheet'!$BK$5, LAB_SPEED_TOTAL())},
    MaxLevel, VLOOKUP(AW96,MS_Labs_Array,4,false),"&amp;"
    MaxOrTarget, IF(OR(TargetLevel = """",$AD$1 &lt;&gt; ""Target""), MaxLevel, TargetLevel),
    LabLevel, VLOOKUP(AW96,MS_Labs_Array,2,False),
    DVTColumn, MATCH(AW96, DVT_Laboratory!$A$1:BO$1, 0),
    xextTime, INDIRECT(""DVT_Laboratory!"" &amp; ADDRESS(LabLe"&amp;"vel+3, DVTColumn)) / LabSpeed,
    remainingTime, SUM(INDIRECT(""DVT_Laboratory!"" &amp; ADDRESS(LabLevel+3, DVTColumn) &amp; "":"" &amp; ADDRESS(MaxOrTarget+2, DVTColumn))) / LabSpeed,
  AW96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6" s="1249"/>
      <c r="BA96" s="1249" t="str">
        <f>IFERROR(__xludf.DUMMYFUNCTION("""COMPUTED_VALUE"""),"")</f>
        <v/>
      </c>
      <c r="BB96" s="1249" t="str">
        <f>IFERROR(__xludf.DUMMYFUNCTION("""COMPUTED_VALUE"""),"")</f>
        <v/>
      </c>
      <c r="BC96" s="1249"/>
      <c r="BD96" s="1250" t="str">
        <f>IFERROR(__xludf.DUMMYFUNCTION("if(BC96 &lt;&gt; """", 
  LET( 
    TargetLevel, VLOOKUP(BC96,MS_Labs_Array,3,false),
    MaxLevel, VLOOKUP(BC96,MS_Labs_Array,4,false),
    MaxOrTarget, IF(OR(TargetLevel = """",$AD$1 &lt;&gt; ""Target""), MaxLevel, TargetLevel),
    LabLevel, VLOOKUP(BC96,MS_Labs_A"&amp;"rray,2,False),
    Levelprogress, LabLevel / MaxOrTarget,
    DVTColumn, MATCH(BC96,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6" s="1251" t="str">
        <f>IFERROR(__xludf.DUMMYFUNCTION("if(BC96 &lt;&gt; """", 
  LET(
    TargetLevel, VLOOKUP(BC96,MS_Labs_Array,3,false),
    LabSpeed, (1 * REGEXEXTRACT($BH$1, ""[\d.-]+"")) * {IF(BC96 =""Labs Speed"", 1+'Master Sheet'!$BK$5, LAB_SPEED_TOTAL())},
    MaxLevel, VLOOKUP(BC96,MS_Labs_Array,4,false),"&amp;"
    MaxOrTarget, IF(OR(TargetLevel = """",$AD$1 &lt;&gt; ""Target""), MaxLevel, TargetLevel),
    LabLevel, VLOOKUP(BC96,MS_Labs_Array,2,False),
    DVTColumn, MATCH(BC96, DVT_Laboratory!$A$1:BO$1, 0),
    xextTime, INDIRECT(""DVT_Laboratory!"" &amp; ADDRESS(LabLe"&amp;"vel+3, DVTColumn)) / LabSpeed,
    remainingTime, SUM(INDIRECT(""DVT_Laboratory!"" &amp; ADDRESS(LabLevel+3, DVTColumn) &amp; "":"" &amp; ADDRESS(MaxOrTarget+2, DVTColumn))) / LabSpeed,
  BC96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6" s="1249"/>
      <c r="BG96" s="1249" t="str">
        <f>IFERROR(__xludf.DUMMYFUNCTION("""COMPUTED_VALUE"""),"")</f>
        <v/>
      </c>
      <c r="BH96" s="1260" t="str">
        <f>IFERROR(__xludf.DUMMYFUNCTION("""COMPUTED_VALUE"""),"")</f>
        <v/>
      </c>
      <c r="BI96" s="1252"/>
      <c r="BJ96" s="1253" t="str">
        <f>IFERROR(__xludf.DUMMYFUNCTION("if(BI96 &lt;&gt; """", 
  LET( 
    TargetLevel, VLOOKUP(BI96,MS_Labs_Array,3,false),
    MaxLevel, VLOOKUP(BI96,MS_Labs_Array,4,false),
    MaxOrTarget, IF(OR(TargetLevel = """",$AD$1 &lt;&gt; ""Target""), MaxLevel, TargetLevel),
    LabLevel, VLOOKUP(BI96,MS_Labs_A"&amp;"rray,2,False),
    Levelprogress, IF(LabLevel &gt;= MaxOrTarget, 1, LabLevel / MaxOrTarget),
    DVTColumn, MATCH(BI96,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6" s="1254" t="str">
        <f>IFERROR(__xludf.DUMMYFUNCTION("if(BI96 &lt;&gt; """", 
  LET(
    TargetLevel, VLOOKUP(BI96,MS_Labs_Array,3,false),
    LabSpeed, (1 * REGEXEXTRACT($BH$1, ""[\d.-]+"")) * {IF(BI96 =""Labs Speed"", 1+'Master Sheet'!$BK$5, LAB_SPEED_TOTAL())},
    MaxLevel, VLOOKUP(BI96,MS_Labs_Array,4,false),"&amp;"
    MaxOrTarget, IF(OR(TargetLevel = """",$AD$1 &lt;&gt; ""Target""), MaxLevel, TargetLevel),
    LabLevel, VLOOKUP(BI96,MS_Labs_Array,2,False),
    DVTColumn, MATCH(BI96, DVT_Laboratory!$A$1:BO$1, 0),
    xextTime, INDIRECT(""DVT_Laboratory!"" &amp; ADDRESS(LabLe"&amp;"vel+3, DVTColumn)) / LabSpeed,
    remainingTime, SUM(INDIRECT(""DVT_Laboratory!"" &amp; ADDRESS(LabLevel+3, DVTColumn) &amp; "":"" &amp; ADDRESS(MaxOrTarget+2, DVTColumn))) / LabSpeed,
  BI96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6" s="1252"/>
      <c r="BM96" s="1252" t="str">
        <f>IFERROR(__xludf.DUMMYFUNCTION("""COMPUTED_VALUE"""),"Rare Drop Chance
  Lab Level:      10 / 10 (Target)
  Next Level:    
  Target Level: 0d 20h 59m")</f>
        <v>Rare Drop Chance
  Lab Level:      10 / 10 (Target)
  Next Level:    
  Target Level: 0d 20h 59m</v>
      </c>
      <c r="BN96" s="1222"/>
      <c r="BO96" s="1261"/>
    </row>
    <row r="97">
      <c r="A97" s="1222"/>
      <c r="B97" s="1257"/>
      <c r="C97" s="1304" t="s">
        <v>376</v>
      </c>
      <c r="D97" s="1280" t="str">
        <f>VLOOKUP(C97,'Remote Tier List'!A:D, 2, FALSE)</f>
        <v>D</v>
      </c>
      <c r="E97" s="1281" t="str">
        <f>VLOOKUP(C97,'Remote Tier List'!A:D, 3, FALSE)</f>
        <v/>
      </c>
      <c r="F97" s="1284" t="str">
        <f>VLOOKUP(C97,'Remote Tier List'!A:D, 4, FALSE)</f>
        <v>Niche use with Ring or Max Devo farming. Decent for bosses with DW+</v>
      </c>
      <c r="G97" s="1245" t="b">
        <f>IFERROR(AND(VLOOKUP("Tier 3",'_IDS'!$BZ$3:$DT$23, 2, FALSE) &gt; 250, IDS_UW_OWN("Death Wave")), true)</f>
        <v>1</v>
      </c>
      <c r="H97" s="1246" t="str">
        <f t="array" ref="H97:I97">LET(
  Lab, $C97,
  Mode, $AD$1,
  Level, VLOOKUP(Lab, MS_Labs_Array, 2, FALSE),
  Target, VLOOKUP(Lab, MS_Labs_Array, 3, FALSE),
  Max, VLOOKUP(Lab, MS_Labs_Array, 4, FALSE),
  Result,
    IF(
      AND(
        Mode &lt;&gt; "Never",
        Level &gt;= IF(OR(Target = "", Mode = "Max"), Max, Target)
      ),
      "Completed",
      ""
    ),
  HSTACK(
    IF(Result &lt;&gt; "", Result, $D97),
    IF(Result &lt;&gt; "", Result, IF($E97 = "", $D97, $E97))
  )
)</f>
        <v>D</v>
      </c>
      <c r="I97" s="1247" t="s">
        <v>548</v>
      </c>
      <c r="J97" s="1248" t="str">
        <f t="shared" si="18"/>
        <v>Niche use with Ring or Max Devo farming. Decent for bosses with DW+</v>
      </c>
      <c r="K97" s="1229"/>
      <c r="L97" s="1249"/>
      <c r="M97" s="1249"/>
      <c r="N97" s="1250" t="str">
        <f>IFERROR(__xludf.DUMMYFUNCTION("if(M97 &lt;&gt; """", 
  LET( 
    TargetLevel, VLOOKUP(M97,MS_Labs_Array,3,false),
    MaxLevel, VLOOKUP(M97,MS_Labs_Array,4,false),
    MaxOrTarget, IF(OR(TargetLevel = """",$AD$1 &lt;&gt; ""Target""), MaxLevel, TargetLevel),
    LabLevel, VLOOKUP(M97,MS_Labs_Array"&amp;",2,False),
    Levelprogress, LabLevel / MaxOrTarget,
    DVTColumn, MATCH(M97,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7" s="1251" t="str">
        <f>IFERROR(__xludf.DUMMYFUNCTION("if(M97 &lt;&gt; """", 
  LET(
    TargetLevel, VLOOKUP(M97,MS_Labs_Array,3,false),
    LabSpeed, (1 * REGEXEXTRACT($BH$1, ""[\d.-]+"")) * {IF(M97 =""Labs Speed"", 1+'Master Sheet'!$BK$5, LAB_SPEED_TOTAL())},
    MaxLevel, VLOOKUP(M97,MS_Labs_Array,4,false),
   "&amp;" MaxOrTarget, IF(OR(TargetLevel = """",$AD$1 &lt;&gt; ""Target""), MaxLevel, TargetLevel),
    LabLevel, VLOOKUP(M97,MS_Labs_Array,2,False),
    DVTColumn, MATCH(M97, DVT_Laboratory!$A$1:BO$1, 0),
    xextTime, INDIRECT(""DVT_Laboratory!"" &amp; ADDRESS(LabLevel+3,"&amp;" DVTColumn)) / LabSpeed,
    remainingTime, SUM(INDIRECT(""DVT_Laboratory!"" &amp; ADDRESS(LabLevel+3, DVTColumn) &amp; "":"" &amp; ADDRESS(MaxOrTarget+2, DVTColumn))) / LabSpeed,
  M97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7" s="1249"/>
      <c r="Q97" s="1249"/>
      <c r="R97" s="1249"/>
      <c r="S97" s="1249"/>
      <c r="T97" s="1250" t="str">
        <f>IFERROR(__xludf.DUMMYFUNCTION("if(S97 &lt;&gt; """", 
  LET( 
    TargetLevel, VLOOKUP(S97,MS_Labs_Array,3,false),
    MaxLevel, VLOOKUP(S97,MS_Labs_Array,4,false),
    MaxOrTarget, IF(OR(TargetLevel = """",$AD$1 &lt;&gt; ""Target""), MaxLevel, TargetLevel),
    LabLevel, VLOOKUP(S97,MS_Labs_Array"&amp;",2,False),
    Levelprogress, LabLevel / MaxOrTarget,
    DVTColumn, MATCH(S97,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7" s="1251" t="str">
        <f>IFERROR(__xludf.DUMMYFUNCTION("if(S97 &lt;&gt; """", 
  LET(
    TargetLevel, VLOOKUP(S97,MS_Labs_Array,3,false),
    LabSpeed, (1 * REGEXEXTRACT($BH$1, ""[\d.-]+"")) * {IF(S97 =""Labs Speed"", 1+'Master Sheet'!$BK$5, LAB_SPEED_TOTAL())},
    MaxLevel, VLOOKUP(S97,MS_Labs_Array,4,false),
   "&amp;" MaxOrTarget, IF(OR(TargetLevel = """",$AD$1 &lt;&gt; ""Target""), MaxLevel, TargetLevel),
    LabLevel, VLOOKUP(S97,MS_Labs_Array,2,False),
    DVTColumn, MATCH(S97, DVT_Laboratory!$A$1:BO$1, 0),
    xextTime, INDIRECT(""DVT_Laboratory!"" &amp; ADDRESS(LabLevel+3,"&amp;" DVTColumn)) / LabSpeed,
    remainingTime, SUM(INDIRECT(""DVT_Laboratory!"" &amp; ADDRESS(LabLevel+3, DVTColumn) &amp; "":"" &amp; ADDRESS(MaxOrTarget+2, DVTColumn))) / LabSpeed,
  S97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7" s="1249"/>
      <c r="W97" s="1249"/>
      <c r="X97" s="1249"/>
      <c r="Y97" s="1249"/>
      <c r="Z97" s="1250" t="str">
        <f>IFERROR(__xludf.DUMMYFUNCTION("if(Y97 &lt;&gt; """", 
  LET( 
    TargetLevel, VLOOKUP(Y97,MS_Labs_Array,3,false),
    MaxLevel, VLOOKUP(Y97,MS_Labs_Array,4,false),
    MaxOrTarget, IF(OR(TargetLevel = """",$AD$1 &lt;&gt; ""Target""), MaxLevel, TargetLevel),
    LabLevel, VLOOKUP(Y97,MS_Labs_Array"&amp;",2,False),
    Levelprogress, LabLevel / MaxOrTarget,
    DVTColumn, MATCH(Y97,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7" s="1251" t="str">
        <f>IFERROR(__xludf.DUMMYFUNCTION("if(Y97 &lt;&gt; """", 
  LET(
    TargetLevel, VLOOKUP(Y97,MS_Labs_Array,3,false),
    LabSpeed, (1 * REGEXEXTRACT($BH$1, ""[\d.-]+"")) * {IF(Y97 =""Labs Speed"", 1+'Master Sheet'!$BK$5, LAB_SPEED_TOTAL())},
    MaxLevel, VLOOKUP(Y97,MS_Labs_Array,4,false),
   "&amp;" MaxOrTarget, IF(OR(TargetLevel = """",$AD$1 &lt;&gt; ""Target""), MaxLevel, TargetLevel),
    LabLevel, VLOOKUP(Y97,MS_Labs_Array,2,False),
    DVTColumn, MATCH(Y97, DVT_Laboratory!$A$1:BO$1, 0),
    xextTime, INDIRECT(""DVT_Laboratory!"" &amp; ADDRESS(LabLevel+3,"&amp;" DVTColumn)) / LabSpeed,
    remainingTime, SUM(INDIRECT(""DVT_Laboratory!"" &amp; ADDRESS(LabLevel+3, DVTColumn) &amp; "":"" &amp; ADDRESS(MaxOrTarget+2, DVTColumn))) / LabSpeed,
  Y97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7" s="1249"/>
      <c r="AC97" s="1249"/>
      <c r="AD97" s="1249"/>
      <c r="AE97" s="1249"/>
      <c r="AF97" s="1250" t="str">
        <f>IFERROR(__xludf.DUMMYFUNCTION("if(AE97 &lt;&gt; """", 
  LET( 
    TargetLevel, VLOOKUP(AE97,MS_Labs_Array,3,false),
    MaxLevel, VLOOKUP(AE97,MS_Labs_Array,4,false),
    MaxOrTarget, IF(OR(TargetLevel = """",$AD$1 &lt;&gt; ""Target""), MaxLevel, TargetLevel),
    LabLevel, VLOOKUP(AE97,MS_Labs_A"&amp;"rray,2,False),
    Levelprogress, LabLevel / MaxOrTarget,
    DVTColumn, MATCH(AE97,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7" s="1251" t="str">
        <f>IFERROR(__xludf.DUMMYFUNCTION("if(AE97 &lt;&gt; """", 
  LET(
    TargetLevel, VLOOKUP(AE97,MS_Labs_Array,3,false),
    LabSpeed, (1 * REGEXEXTRACT($BH$1, ""[\d.-]+"")) * {IF(AE97 =""Labs Speed"", 1+'Master Sheet'!$BK$5, LAB_SPEED_TOTAL())},
    MaxLevel, VLOOKUP(AE97,MS_Labs_Array,4,false),"&amp;"
    MaxOrTarget, IF(OR(TargetLevel = """",$AD$1 &lt;&gt; ""Target""), MaxLevel, TargetLevel),
    LabLevel, VLOOKUP(AE97,MS_Labs_Array,2,False),
    DVTColumn, MATCH(AE97, DVT_Laboratory!$A$1:BO$1, 0),
    xextTime, INDIRECT(""DVT_Laboratory!"" &amp; ADDRESS(LabLe"&amp;"vel+3, DVTColumn)) / LabSpeed,
    remainingTime, SUM(INDIRECT(""DVT_Laboratory!"" &amp; ADDRESS(LabLevel+3, DVTColumn) &amp; "":"" &amp; ADDRESS(MaxOrTarget+2, DVTColumn))) / LabSpeed,
  AE97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7" s="1249"/>
      <c r="AI97" s="1249"/>
      <c r="AJ97" s="1249"/>
      <c r="AK97" s="1249"/>
      <c r="AL97" s="1250" t="str">
        <f>IFERROR(__xludf.DUMMYFUNCTION("if(AK97 &lt;&gt; """", 
  LET( 
    TargetLevel, VLOOKUP(AK97,MS_Labs_Array,3,false),
    MaxLevel, VLOOKUP(AK97,MS_Labs_Array,4,false),
    MaxOrTarget, IF(OR(TargetLevel = """",$AD$1 &lt;&gt; ""Target""), MaxLevel, TargetLevel),
    LabLevel, VLOOKUP(AK97,MS_Labs_A"&amp;"rray,2,False),
    Levelprogress, LabLevel / MaxOrTarget,
    DVTColumn, MATCH(AK97,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7" s="1251" t="str">
        <f>IFERROR(__xludf.DUMMYFUNCTION("if(AK97 &lt;&gt; """", 
  LET(
    TargetLevel, VLOOKUP(AK97,MS_Labs_Array,3,false),
    LabSpeed, (1 * REGEXEXTRACT($BH$1, ""[\d.-]+"")) * {IF(AK97 =""Labs Speed"", 1+'Master Sheet'!$BK$5, LAB_SPEED_TOTAL())},
    MaxLevel, VLOOKUP(AK97,MS_Labs_Array,4,false),"&amp;"
    MaxOrTarget, IF(OR(TargetLevel = """",$AD$1 &lt;&gt; ""Target""), MaxLevel, TargetLevel),
    LabLevel, VLOOKUP(AK97,MS_Labs_Array,2,False),
    DVTColumn, MATCH(AK97, DVT_Laboratory!$A$1:BO$1, 0),
    xextTime, INDIRECT(""DVT_Laboratory!"" &amp; ADDRESS(LabLe"&amp;"vel+3, DVTColumn)) / LabSpeed,
    remainingTime, SUM(INDIRECT(""DVT_Laboratory!"" &amp; ADDRESS(LabLevel+3, DVTColumn) &amp; "":"" &amp; ADDRESS(MaxOrTarget+2, DVTColumn))) / LabSpeed,
  AK97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7" s="1249"/>
      <c r="AO97" s="1249"/>
      <c r="AP97" s="1249"/>
      <c r="AQ97" s="1249"/>
      <c r="AR97" s="1250" t="str">
        <f>IFERROR(__xludf.DUMMYFUNCTION("if(AQ97 &lt;&gt; """", 
  LET( 
    TargetLevel, VLOOKUP(AQ97,MS_Labs_Array,3,false),
    MaxLevel, VLOOKUP(AQ97,MS_Labs_Array,4,false),
    MaxOrTarget, IF(OR(TargetLevel = """",$AD$1 &lt;&gt; ""Target""), MaxLevel, TargetLevel),
    LabLevel, VLOOKUP(AQ97,MS_Labs_A"&amp;"rray,2,False),
    Levelprogress, LabLevel / MaxOrTarget,
    DVTColumn, MATCH(AQ97,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7" s="1251" t="str">
        <f>IFERROR(__xludf.DUMMYFUNCTION("if(AQ97 &lt;&gt; """", 
  LET(
    TargetLevel, VLOOKUP(AQ97,MS_Labs_Array,3,false),
    LabSpeed, (1 * REGEXEXTRACT($BH$1, ""[\d.-]+"")) * {IF(AQ97 =""Labs Speed"", 1+'Master Sheet'!$BK$5, LAB_SPEED_TOTAL())},
    MaxLevel, VLOOKUP(AQ97,MS_Labs_Array,4,false),"&amp;"
    MaxOrTarget, IF(OR(TargetLevel = """",$AD$1 &lt;&gt; ""Target""), MaxLevel, TargetLevel),
    LabLevel, VLOOKUP(AQ97,MS_Labs_Array,2,False),
    DVTColumn, MATCH(AQ97, DVT_Laboratory!$A$1:BO$1, 0),
    xextTime, INDIRECT(""DVT_Laboratory!"" &amp; ADDRESS(LabLe"&amp;"vel+3, DVTColumn)) / LabSpeed,
    remainingTime, SUM(INDIRECT(""DVT_Laboratory!"" &amp; ADDRESS(LabLevel+3, DVTColumn) &amp; "":"" &amp; ADDRESS(MaxOrTarget+2, DVTColumn))) / LabSpeed,
  AQ97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7" s="1249"/>
      <c r="AU97" s="1249"/>
      <c r="AV97" s="1249"/>
      <c r="AW97" s="1249"/>
      <c r="AX97" s="1250" t="str">
        <f>IFERROR(__xludf.DUMMYFUNCTION("if(AW97 &lt;&gt; """", 
  LET( 
    TargetLevel, VLOOKUP(AW97,MS_Labs_Array,3,false),
    MaxLevel, VLOOKUP(AW97,MS_Labs_Array,4,false),
    MaxOrTarget, IF(OR(TargetLevel = """",$AD$1 &lt;&gt; ""Target""), MaxLevel, TargetLevel),
    LabLevel, VLOOKUP(AW97,MS_Labs_A"&amp;"rray,2,False),
    Levelprogress, LabLevel / MaxOrTarget,
    DVTColumn, MATCH(AW97,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7" s="1251" t="str">
        <f>IFERROR(__xludf.DUMMYFUNCTION("if(AW97 &lt;&gt; """", 
  LET(
    TargetLevel, VLOOKUP(AW97,MS_Labs_Array,3,false),
    LabSpeed, (1 * REGEXEXTRACT($BH$1, ""[\d.-]+"")) * {IF(AW97 =""Labs Speed"", 1+'Master Sheet'!$BK$5, LAB_SPEED_TOTAL())},
    MaxLevel, VLOOKUP(AW97,MS_Labs_Array,4,false),"&amp;"
    MaxOrTarget, IF(OR(TargetLevel = """",$AD$1 &lt;&gt; ""Target""), MaxLevel, TargetLevel),
    LabLevel, VLOOKUP(AW97,MS_Labs_Array,2,False),
    DVTColumn, MATCH(AW97, DVT_Laboratory!$A$1:BO$1, 0),
    xextTime, INDIRECT(""DVT_Laboratory!"" &amp; ADDRESS(LabLe"&amp;"vel+3, DVTColumn)) / LabSpeed,
    remainingTime, SUM(INDIRECT(""DVT_Laboratory!"" &amp; ADDRESS(LabLevel+3, DVTColumn) &amp; "":"" &amp; ADDRESS(MaxOrTarget+2, DVTColumn))) / LabSpeed,
  AW97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7" s="1249"/>
      <c r="BA97" s="1249"/>
      <c r="BB97" s="1249"/>
      <c r="BC97" s="1249"/>
      <c r="BD97" s="1250" t="str">
        <f>IFERROR(__xludf.DUMMYFUNCTION("if(BC97 &lt;&gt; """", 
  LET( 
    TargetLevel, VLOOKUP(BC97,MS_Labs_Array,3,false),
    MaxLevel, VLOOKUP(BC97,MS_Labs_Array,4,false),
    MaxOrTarget, IF(OR(TargetLevel = """",$AD$1 &lt;&gt; ""Target""), MaxLevel, TargetLevel),
    LabLevel, VLOOKUP(BC97,MS_Labs_A"&amp;"rray,2,False),
    Levelprogress, LabLevel / MaxOrTarget,
    DVTColumn, MATCH(BC97,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7" s="1251" t="str">
        <f>IFERROR(__xludf.DUMMYFUNCTION("if(BC97 &lt;&gt; """", 
  LET(
    TargetLevel, VLOOKUP(BC97,MS_Labs_Array,3,false),
    LabSpeed, (1 * REGEXEXTRACT($BH$1, ""[\d.-]+"")) * {IF(BC97 =""Labs Speed"", 1+'Master Sheet'!$BK$5, LAB_SPEED_TOTAL())},
    MaxLevel, VLOOKUP(BC97,MS_Labs_Array,4,false),"&amp;"
    MaxOrTarget, IF(OR(TargetLevel = """",$AD$1 &lt;&gt; ""Target""), MaxLevel, TargetLevel),
    LabLevel, VLOOKUP(BC97,MS_Labs_Array,2,False),
    DVTColumn, MATCH(BC97, DVT_Laboratory!$A$1:BO$1, 0),
    xextTime, INDIRECT(""DVT_Laboratory!"" &amp; ADDRESS(LabLe"&amp;"vel+3, DVTColumn)) / LabSpeed,
    remainingTime, SUM(INDIRECT(""DVT_Laboratory!"" &amp; ADDRESS(LabLevel+3, DVTColumn) &amp; "":"" &amp; ADDRESS(MaxOrTarget+2, DVTColumn))) / LabSpeed,
  BC97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7" s="1249"/>
      <c r="BG97" s="1249"/>
      <c r="BH97" s="1260" t="str">
        <f>IFERROR(__xludf.DUMMYFUNCTION("""COMPUTED_VALUE"""),"Unmerge Module")</f>
        <v>Unmerge Module</v>
      </c>
      <c r="BI97" s="1252"/>
      <c r="BJ97" s="1253" t="str">
        <f>IFERROR(__xludf.DUMMYFUNCTION("if(BI97 &lt;&gt; """", 
  LET( 
    TargetLevel, VLOOKUP(BI97,MS_Labs_Array,3,false),
    MaxLevel, VLOOKUP(BI97,MS_Labs_Array,4,false),
    MaxOrTarget, IF(OR(TargetLevel = """",$AD$1 &lt;&gt; ""Target""), MaxLevel, TargetLevel),
    LabLevel, VLOOKUP(BI97,MS_Labs_A"&amp;"rray,2,False),
    Levelprogress, IF(LabLevel &gt;= MaxOrTarget, 1, LabLevel / MaxOrTarget),
    DVTColumn, MATCH(BI97,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7" s="1254" t="str">
        <f>IFERROR(__xludf.DUMMYFUNCTION("if(BI97 &lt;&gt; """", 
  LET(
    TargetLevel, VLOOKUP(BI97,MS_Labs_Array,3,false),
    LabSpeed, (1 * REGEXEXTRACT($BH$1, ""[\d.-]+"")) * {IF(BI97 =""Labs Speed"", 1+'Master Sheet'!$BK$5, LAB_SPEED_TOTAL())},
    MaxLevel, VLOOKUP(BI97,MS_Labs_Array,4,false),"&amp;"
    MaxOrTarget, IF(OR(TargetLevel = """",$AD$1 &lt;&gt; ""Target""), MaxLevel, TargetLevel),
    LabLevel, VLOOKUP(BI97,MS_Labs_Array,2,False),
    DVTColumn, MATCH(BI97, DVT_Laboratory!$A$1:BO$1, 0),
    xextTime, INDIRECT(""DVT_Laboratory!"" &amp; ADDRESS(LabLe"&amp;"vel+3, DVTColumn)) / LabSpeed,
    remainingTime, SUM(INDIRECT(""DVT_Laboratory!"" &amp; ADDRESS(LabLevel+3, DVTColumn) &amp; "":"" &amp; ADDRESS(MaxOrTarget+2, DVTColumn))) / LabSpeed,
  BI97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7" s="1252"/>
      <c r="BM97" s="1252" t="str">
        <f>IFERROR(__xludf.DUMMYFUNCTION("""COMPUTED_VALUE"""),"Costs 20 gems per unmerge. Shatters fodder on use. Can be used for hoarding modules past inventory limit for Shatter Shards")</f>
        <v>Costs 20 gems per unmerge. Shatters fodder on use. Can be used for hoarding modules past inventory limit for Shatter Shards</v>
      </c>
      <c r="BN97" s="1222"/>
      <c r="BO97" s="1261"/>
    </row>
    <row r="98" ht="7.5" customHeight="1">
      <c r="A98" s="1305"/>
      <c r="B98" s="1257"/>
      <c r="C98" s="1304" t="s">
        <v>378</v>
      </c>
      <c r="D98" s="1280" t="str">
        <f>VLOOKUP(C98,'Remote Tier List'!A:D, 2, FALSE)</f>
        <v>F</v>
      </c>
      <c r="E98" s="1281" t="str">
        <f>VLOOKUP(C98,'Remote Tier List'!A:D, 3, FALSE)</f>
        <v/>
      </c>
      <c r="F98" s="1258" t="str">
        <f>VLOOKUP(C98,'Remote Tier List'!A:D, 4, FALSE)</f>
        <v>Not important, potential footgun regarding killing too far out</v>
      </c>
      <c r="G98" s="1245" t="b">
        <f>IFERROR(AND(VLOOKUP("Tier 3",'_IDS'!$BZ$3:$DT$23, 2, FALSE) &gt; 250, IDS_UW_OWN("Death Wave")), true)</f>
        <v>1</v>
      </c>
      <c r="H98" s="1246" t="str">
        <f t="array" ref="H98:I98">LET(
  Lab, $C98,
  Mode, $AD$1,
  Level, VLOOKUP(Lab, MS_Labs_Array, 2, FALSE),
  Target, VLOOKUP(Lab, MS_Labs_Array, 3, FALSE),
  Max, VLOOKUP(Lab, MS_Labs_Array, 4, FALSE),
  Result,
    IF(
      AND(
        Mode &lt;&gt; "Never",
        Level &gt;= IF(OR(Target = "", Mode = "Max"), Max, Target)
      ),
      "Completed",
      ""
    ),
  HSTACK(
    IF(Result &lt;&gt; "", Result, $D98),
    IF(Result &lt;&gt; "", Result, IF($E98 = "", $D98, $E98))
  )
)</f>
        <v>F</v>
      </c>
      <c r="I98" s="1247" t="s">
        <v>549</v>
      </c>
      <c r="J98" s="1248" t="str">
        <f t="shared" si="18"/>
        <v>Not important, potential footgun regarding killing too far out</v>
      </c>
      <c r="K98" s="1306"/>
      <c r="L98" s="1307" t="str">
        <f>IFERROR(__xludf.DUMMYFUNCTION("""COMPUTED_VALUE"""),"")</f>
        <v/>
      </c>
      <c r="M98" s="1307"/>
      <c r="N98" s="1250" t="str">
        <f>IFERROR(__xludf.DUMMYFUNCTION("if(M98 &lt;&gt; """", 
  LET( 
    TargetLevel, VLOOKUP(M98,MS_Labs_Array,3,false),
    MaxLevel, VLOOKUP(M98,MS_Labs_Array,4,false),
    MaxOrTarget, IF(OR(TargetLevel = """",$AD$1 &lt;&gt; ""Target""), MaxLevel, TargetLevel),
    LabLevel, VLOOKUP(M98,MS_Labs_Array"&amp;",2,False),
    Levelprogress, LabLevel / MaxOrTarget,
    DVTColumn, MATCH(M98,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8" s="1251" t="str">
        <f>IFERROR(__xludf.DUMMYFUNCTION("if(M98 &lt;&gt; """", 
  LET(
    TargetLevel, VLOOKUP(M98,MS_Labs_Array,3,false),
    LabSpeed, (1 * REGEXEXTRACT($BH$1, ""[\d.-]+"")) * {IF(M98 =""Labs Speed"", 1+'Master Sheet'!$BK$5, LAB_SPEED_TOTAL())},
    MaxLevel, VLOOKUP(M98,MS_Labs_Array,4,false),
   "&amp;" MaxOrTarget, IF(OR(TargetLevel = """",$AD$1 &lt;&gt; ""Target""), MaxLevel, TargetLevel),
    LabLevel, VLOOKUP(M98,MS_Labs_Array,2,False),
    DVTColumn, MATCH(M98, DVT_Laboratory!$A$1:BO$1, 0),
    xextTime, INDIRECT(""DVT_Laboratory!"" &amp; ADDRESS(LabLevel+3,"&amp;" DVTColumn)) / LabSpeed,
    remainingTime, SUM(INDIRECT(""DVT_Laboratory!"" &amp; ADDRESS(LabLevel+3, DVTColumn) &amp; "":"" &amp; ADDRESS(MaxOrTarget+2, DVTColumn))) / LabSpeed,
  M98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8" s="1307"/>
      <c r="Q98" s="1307" t="str">
        <f>IFERROR(__xludf.DUMMYFUNCTION("""COMPUTED_VALUE"""),"")</f>
        <v/>
      </c>
      <c r="R98" s="1307" t="str">
        <f>IFERROR(__xludf.DUMMYFUNCTION("""COMPUTED_VALUE"""),"")</f>
        <v/>
      </c>
      <c r="S98" s="1307"/>
      <c r="T98" s="1250" t="str">
        <f>IFERROR(__xludf.DUMMYFUNCTION("if(S98 &lt;&gt; """", 
  LET( 
    TargetLevel, VLOOKUP(S98,MS_Labs_Array,3,false),
    MaxLevel, VLOOKUP(S98,MS_Labs_Array,4,false),
    MaxOrTarget, IF(OR(TargetLevel = """",$AD$1 &lt;&gt; ""Target""), MaxLevel, TargetLevel),
    LabLevel, VLOOKUP(S98,MS_Labs_Array"&amp;",2,False),
    Levelprogress, LabLevel / MaxOrTarget,
    DVTColumn, MATCH(S98,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8" s="1251" t="str">
        <f>IFERROR(__xludf.DUMMYFUNCTION("if(S98 &lt;&gt; """", 
  LET(
    TargetLevel, VLOOKUP(S98,MS_Labs_Array,3,false),
    LabSpeed, (1 * REGEXEXTRACT($BH$1, ""[\d.-]+"")) * {IF(S98 =""Labs Speed"", 1+'Master Sheet'!$BK$5, LAB_SPEED_TOTAL())},
    MaxLevel, VLOOKUP(S98,MS_Labs_Array,4,false),
   "&amp;" MaxOrTarget, IF(OR(TargetLevel = """",$AD$1 &lt;&gt; ""Target""), MaxLevel, TargetLevel),
    LabLevel, VLOOKUP(S98,MS_Labs_Array,2,False),
    DVTColumn, MATCH(S98, DVT_Laboratory!$A$1:BO$1, 0),
    xextTime, INDIRECT(""DVT_Laboratory!"" &amp; ADDRESS(LabLevel+3,"&amp;" DVTColumn)) / LabSpeed,
    remainingTime, SUM(INDIRECT(""DVT_Laboratory!"" &amp; ADDRESS(LabLevel+3, DVTColumn) &amp; "":"" &amp; ADDRESS(MaxOrTarget+2, DVTColumn))) / LabSpeed,
  S98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8" s="1307"/>
      <c r="W98" s="1307" t="str">
        <f>IFERROR(__xludf.DUMMYFUNCTION("""COMPUTED_VALUE"""),"")</f>
        <v/>
      </c>
      <c r="X98" s="1307" t="str">
        <f>IFERROR(__xludf.DUMMYFUNCTION("""COMPUTED_VALUE"""),"")</f>
        <v/>
      </c>
      <c r="Y98" s="1307"/>
      <c r="Z98" s="1250" t="str">
        <f>IFERROR(__xludf.DUMMYFUNCTION("if(Y98 &lt;&gt; """", 
  LET( 
    TargetLevel, VLOOKUP(Y98,MS_Labs_Array,3,false),
    MaxLevel, VLOOKUP(Y98,MS_Labs_Array,4,false),
    MaxOrTarget, IF(OR(TargetLevel = """",$AD$1 &lt;&gt; ""Target""), MaxLevel, TargetLevel),
    LabLevel, VLOOKUP(Y98,MS_Labs_Array"&amp;",2,False),
    Levelprogress, LabLevel / MaxOrTarget,
    DVTColumn, MATCH(Y98,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8" s="1251" t="str">
        <f>IFERROR(__xludf.DUMMYFUNCTION("if(Y98 &lt;&gt; """", 
  LET(
    TargetLevel, VLOOKUP(Y98,MS_Labs_Array,3,false),
    LabSpeed, (1 * REGEXEXTRACT($BH$1, ""[\d.-]+"")) * {IF(Y98 =""Labs Speed"", 1+'Master Sheet'!$BK$5, LAB_SPEED_TOTAL())},
    MaxLevel, VLOOKUP(Y98,MS_Labs_Array,4,false),
   "&amp;" MaxOrTarget, IF(OR(TargetLevel = """",$AD$1 &lt;&gt; ""Target""), MaxLevel, TargetLevel),
    LabLevel, VLOOKUP(Y98,MS_Labs_Array,2,False),
    DVTColumn, MATCH(Y98, DVT_Laboratory!$A$1:BO$1, 0),
    xextTime, INDIRECT(""DVT_Laboratory!"" &amp; ADDRESS(LabLevel+3,"&amp;" DVTColumn)) / LabSpeed,
    remainingTime, SUM(INDIRECT(""DVT_Laboratory!"" &amp; ADDRESS(LabLevel+3, DVTColumn) &amp; "":"" &amp; ADDRESS(MaxOrTarget+2, DVTColumn))) / LabSpeed,
  Y98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8" s="1307"/>
      <c r="AC98" s="1307" t="str">
        <f>IFERROR(__xludf.DUMMYFUNCTION("""COMPUTED_VALUE"""),"")</f>
        <v/>
      </c>
      <c r="AD98" s="1307" t="str">
        <f>IFERROR(__xludf.DUMMYFUNCTION("""COMPUTED_VALUE"""),"")</f>
        <v/>
      </c>
      <c r="AE98" s="1307"/>
      <c r="AF98" s="1250" t="str">
        <f>IFERROR(__xludf.DUMMYFUNCTION("if(AE98 &lt;&gt; """", 
  LET( 
    TargetLevel, VLOOKUP(AE98,MS_Labs_Array,3,false),
    MaxLevel, VLOOKUP(AE98,MS_Labs_Array,4,false),
    MaxOrTarget, IF(OR(TargetLevel = """",$AD$1 &lt;&gt; ""Target""), MaxLevel, TargetLevel),
    LabLevel, VLOOKUP(AE98,MS_Labs_A"&amp;"rray,2,False),
    Levelprogress, LabLevel / MaxOrTarget,
    DVTColumn, MATCH(AE98,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8" s="1251" t="str">
        <f>IFERROR(__xludf.DUMMYFUNCTION("if(AE98 &lt;&gt; """", 
  LET(
    TargetLevel, VLOOKUP(AE98,MS_Labs_Array,3,false),
    LabSpeed, (1 * REGEXEXTRACT($BH$1, ""[\d.-]+"")) * {IF(AE98 =""Labs Speed"", 1+'Master Sheet'!$BK$5, LAB_SPEED_TOTAL())},
    MaxLevel, VLOOKUP(AE98,MS_Labs_Array,4,false),"&amp;"
    MaxOrTarget, IF(OR(TargetLevel = """",$AD$1 &lt;&gt; ""Target""), MaxLevel, TargetLevel),
    LabLevel, VLOOKUP(AE98,MS_Labs_Array,2,False),
    DVTColumn, MATCH(AE98, DVT_Laboratory!$A$1:BO$1, 0),
    xextTime, INDIRECT(""DVT_Laboratory!"" &amp; ADDRESS(LabLe"&amp;"vel+3, DVTColumn)) / LabSpeed,
    remainingTime, SUM(INDIRECT(""DVT_Laboratory!"" &amp; ADDRESS(LabLevel+3, DVTColumn) &amp; "":"" &amp; ADDRESS(MaxOrTarget+2, DVTColumn))) / LabSpeed,
  AE98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8" s="1307"/>
      <c r="AI98" s="1307" t="str">
        <f>IFERROR(__xludf.DUMMYFUNCTION("""COMPUTED_VALUE"""),"")</f>
        <v/>
      </c>
      <c r="AJ98" s="1307" t="str">
        <f>IFERROR(__xludf.DUMMYFUNCTION("""COMPUTED_VALUE"""),"")</f>
        <v/>
      </c>
      <c r="AK98" s="1307"/>
      <c r="AL98" s="1250" t="str">
        <f>IFERROR(__xludf.DUMMYFUNCTION("if(AK98 &lt;&gt; """", 
  LET( 
    TargetLevel, VLOOKUP(AK98,MS_Labs_Array,3,false),
    MaxLevel, VLOOKUP(AK98,MS_Labs_Array,4,false),
    MaxOrTarget, IF(OR(TargetLevel = """",$AD$1 &lt;&gt; ""Target""), MaxLevel, TargetLevel),
    LabLevel, VLOOKUP(AK98,MS_Labs_A"&amp;"rray,2,False),
    Levelprogress, LabLevel / MaxOrTarget,
    DVTColumn, MATCH(AK98,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8" s="1251" t="str">
        <f>IFERROR(__xludf.DUMMYFUNCTION("if(AK98 &lt;&gt; """", 
  LET(
    TargetLevel, VLOOKUP(AK98,MS_Labs_Array,3,false),
    LabSpeed, (1 * REGEXEXTRACT($BH$1, ""[\d.-]+"")) * {IF(AK98 =""Labs Speed"", 1+'Master Sheet'!$BK$5, LAB_SPEED_TOTAL())},
    MaxLevel, VLOOKUP(AK98,MS_Labs_Array,4,false),"&amp;"
    MaxOrTarget, IF(OR(TargetLevel = """",$AD$1 &lt;&gt; ""Target""), MaxLevel, TargetLevel),
    LabLevel, VLOOKUP(AK98,MS_Labs_Array,2,False),
    DVTColumn, MATCH(AK98, DVT_Laboratory!$A$1:BO$1, 0),
    xextTime, INDIRECT(""DVT_Laboratory!"" &amp; ADDRESS(LabLe"&amp;"vel+3, DVTColumn)) / LabSpeed,
    remainingTime, SUM(INDIRECT(""DVT_Laboratory!"" &amp; ADDRESS(LabLevel+3, DVTColumn) &amp; "":"" &amp; ADDRESS(MaxOrTarget+2, DVTColumn))) / LabSpeed,
  AK98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8" s="1307"/>
      <c r="AO98" s="1307" t="str">
        <f>IFERROR(__xludf.DUMMYFUNCTION("""COMPUTED_VALUE"""),"")</f>
        <v/>
      </c>
      <c r="AP98" s="1307" t="str">
        <f>IFERROR(__xludf.DUMMYFUNCTION("""COMPUTED_VALUE"""),"")</f>
        <v/>
      </c>
      <c r="AQ98" s="1307"/>
      <c r="AR98" s="1250" t="str">
        <f>IFERROR(__xludf.DUMMYFUNCTION("if(AQ98 &lt;&gt; """", 
  LET( 
    TargetLevel, VLOOKUP(AQ98,MS_Labs_Array,3,false),
    MaxLevel, VLOOKUP(AQ98,MS_Labs_Array,4,false),
    MaxOrTarget, IF(OR(TargetLevel = """",$AD$1 &lt;&gt; ""Target""), MaxLevel, TargetLevel),
    LabLevel, VLOOKUP(AQ98,MS_Labs_A"&amp;"rray,2,False),
    Levelprogress, LabLevel / MaxOrTarget,
    DVTColumn, MATCH(AQ98,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8" s="1251" t="str">
        <f>IFERROR(__xludf.DUMMYFUNCTION("if(AQ98 &lt;&gt; """", 
  LET(
    TargetLevel, VLOOKUP(AQ98,MS_Labs_Array,3,false),
    LabSpeed, (1 * REGEXEXTRACT($BH$1, ""[\d.-]+"")) * {IF(AQ98 =""Labs Speed"", 1+'Master Sheet'!$BK$5, LAB_SPEED_TOTAL())},
    MaxLevel, VLOOKUP(AQ98,MS_Labs_Array,4,false),"&amp;"
    MaxOrTarget, IF(OR(TargetLevel = """",$AD$1 &lt;&gt; ""Target""), MaxLevel, TargetLevel),
    LabLevel, VLOOKUP(AQ98,MS_Labs_Array,2,False),
    DVTColumn, MATCH(AQ98, DVT_Laboratory!$A$1:BO$1, 0),
    xextTime, INDIRECT(""DVT_Laboratory!"" &amp; ADDRESS(LabLe"&amp;"vel+3, DVTColumn)) / LabSpeed,
    remainingTime, SUM(INDIRECT(""DVT_Laboratory!"" &amp; ADDRESS(LabLevel+3, DVTColumn) &amp; "":"" &amp; ADDRESS(MaxOrTarget+2, DVTColumn))) / LabSpeed,
  AQ98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8" s="1307"/>
      <c r="AU98" s="1307" t="str">
        <f>IFERROR(__xludf.DUMMYFUNCTION("""COMPUTED_VALUE"""),"")</f>
        <v/>
      </c>
      <c r="AV98" s="1307" t="str">
        <f>IFERROR(__xludf.DUMMYFUNCTION("""COMPUTED_VALUE"""),"")</f>
        <v/>
      </c>
      <c r="AW98" s="1307"/>
      <c r="AX98" s="1250" t="str">
        <f>IFERROR(__xludf.DUMMYFUNCTION("if(AW98 &lt;&gt; """", 
  LET( 
    TargetLevel, VLOOKUP(AW98,MS_Labs_Array,3,false),
    MaxLevel, VLOOKUP(AW98,MS_Labs_Array,4,false),
    MaxOrTarget, IF(OR(TargetLevel = """",$AD$1 &lt;&gt; ""Target""), MaxLevel, TargetLevel),
    LabLevel, VLOOKUP(AW98,MS_Labs_A"&amp;"rray,2,False),
    Levelprogress, LabLevel / MaxOrTarget,
    DVTColumn, MATCH(AW98,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8" s="1251" t="str">
        <f>IFERROR(__xludf.DUMMYFUNCTION("if(AW98 &lt;&gt; """", 
  LET(
    TargetLevel, VLOOKUP(AW98,MS_Labs_Array,3,false),
    LabSpeed, (1 * REGEXEXTRACT($BH$1, ""[\d.-]+"")) * {IF(AW98 =""Labs Speed"", 1+'Master Sheet'!$BK$5, LAB_SPEED_TOTAL())},
    MaxLevel, VLOOKUP(AW98,MS_Labs_Array,4,false),"&amp;"
    MaxOrTarget, IF(OR(TargetLevel = """",$AD$1 &lt;&gt; ""Target""), MaxLevel, TargetLevel),
    LabLevel, VLOOKUP(AW98,MS_Labs_Array,2,False),
    DVTColumn, MATCH(AW98, DVT_Laboratory!$A$1:BO$1, 0),
    xextTime, INDIRECT(""DVT_Laboratory!"" &amp; ADDRESS(LabLe"&amp;"vel+3, DVTColumn)) / LabSpeed,
    remainingTime, SUM(INDIRECT(""DVT_Laboratory!"" &amp; ADDRESS(LabLevel+3, DVTColumn) &amp; "":"" &amp; ADDRESS(MaxOrTarget+2, DVTColumn))) / LabSpeed,
  AW98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8" s="1307"/>
      <c r="BA98" s="1307" t="str">
        <f>IFERROR(__xludf.DUMMYFUNCTION("""COMPUTED_VALUE"""),"")</f>
        <v/>
      </c>
      <c r="BB98" s="1307" t="str">
        <f>IFERROR(__xludf.DUMMYFUNCTION("""COMPUTED_VALUE"""),"")</f>
        <v/>
      </c>
      <c r="BC98" s="1307"/>
      <c r="BD98" s="1250" t="str">
        <f>IFERROR(__xludf.DUMMYFUNCTION("if(BC98 &lt;&gt; """", 
  LET( 
    TargetLevel, VLOOKUP(BC98,MS_Labs_Array,3,false),
    MaxLevel, VLOOKUP(BC98,MS_Labs_Array,4,false),
    MaxOrTarget, IF(OR(TargetLevel = """",$AD$1 &lt;&gt; ""Target""), MaxLevel, TargetLevel),
    LabLevel, VLOOKUP(BC98,MS_Labs_A"&amp;"rray,2,False),
    Levelprogress, LabLevel / MaxOrTarget,
    DVTColumn, MATCH(BC98,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8" s="1251" t="str">
        <f>IFERROR(__xludf.DUMMYFUNCTION("if(BC98 &lt;&gt; """", 
  LET(
    TargetLevel, VLOOKUP(BC98,MS_Labs_Array,3,false),
    LabSpeed, (1 * REGEXEXTRACT($BH$1, ""[\d.-]+"")) * {IF(BC98 =""Labs Speed"", 1+'Master Sheet'!$BK$5, LAB_SPEED_TOTAL())},
    MaxLevel, VLOOKUP(BC98,MS_Labs_Array,4,false),"&amp;"
    MaxOrTarget, IF(OR(TargetLevel = """",$AD$1 &lt;&gt; ""Target""), MaxLevel, TargetLevel),
    LabLevel, VLOOKUP(BC98,MS_Labs_Array,2,False),
    DVTColumn, MATCH(BC98, DVT_Laboratory!$A$1:BO$1, 0),
    xextTime, INDIRECT(""DVT_Laboratory!"" &amp; ADDRESS(LabLe"&amp;"vel+3, DVTColumn)) / LabSpeed,
    remainingTime, SUM(INDIRECT(""DVT_Laboratory!"" &amp; ADDRESS(LabLevel+3, DVTColumn) &amp; "":"" &amp; ADDRESS(MaxOrTarget+2, DVTColumn))) / LabSpeed,
  BC98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8" s="1307"/>
      <c r="BG98" s="1307" t="str">
        <f>IFERROR(__xludf.DUMMYFUNCTION("""COMPUTED_VALUE"""),"")</f>
        <v/>
      </c>
      <c r="BH98" s="1308" t="str">
        <f>IFERROR(__xludf.DUMMYFUNCTION("""COMPUTED_VALUE"""),"")</f>
        <v/>
      </c>
      <c r="BI98" s="1309"/>
      <c r="BJ98" s="1253" t="str">
        <f>IFERROR(__xludf.DUMMYFUNCTION("if(BI98 &lt;&gt; """", 
  LET( 
    TargetLevel, VLOOKUP(BI98,MS_Labs_Array,3,false),
    MaxLevel, VLOOKUP(BI98,MS_Labs_Array,4,false),
    MaxOrTarget, IF(OR(TargetLevel = """",$AD$1 &lt;&gt; ""Target""), MaxLevel, TargetLevel),
    LabLevel, VLOOKUP(BI98,MS_Labs_A"&amp;"rray,2,False),
    Levelprogress, IF(LabLevel &gt;= MaxOrTarget, 1, LabLevel / MaxOrTarget),
    DVTColumn, MATCH(BI98,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8" s="1254" t="str">
        <f>IFERROR(__xludf.DUMMYFUNCTION("if(BI98 &lt;&gt; """", 
  LET(
    TargetLevel, VLOOKUP(BI98,MS_Labs_Array,3,false),
    LabSpeed, (1 * REGEXEXTRACT($BH$1, ""[\d.-]+"")) * {IF(BI98 =""Labs Speed"", 1+'Master Sheet'!$BK$5, LAB_SPEED_TOTAL())},
    MaxLevel, VLOOKUP(BI98,MS_Labs_Array,4,false),"&amp;"
    MaxOrTarget, IF(OR(TargetLevel = """",$AD$1 &lt;&gt; ""Target""), MaxLevel, TargetLevel),
    LabLevel, VLOOKUP(BI98,MS_Labs_Array,2,False),
    DVTColumn, MATCH(BI98, DVT_Laboratory!$A$1:BO$1, 0),
    xextTime, INDIRECT(""DVT_Laboratory!"" &amp; ADDRESS(LabLe"&amp;"vel+3, DVTColumn)) / LabSpeed,
    remainingTime, SUM(INDIRECT(""DVT_Laboratory!"" &amp; ADDRESS(LabLevel+3, DVTColumn) &amp; "":"" &amp; ADDRESS(MaxOrTarget+2, DVTColumn))) / LabSpeed,
  BI98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8" s="1309"/>
      <c r="BM98" s="1309" t="str">
        <f>IFERROR(__xludf.DUMMYFUNCTION("""COMPUTED_VALUE"""),"Unmerge Module
  Lab Level:      1 / 1 (Max)
  Next Level:    
  Max Level:     0d  3h  3m")</f>
        <v>Unmerge Module
  Lab Level:      1 / 1 (Max)
  Next Level:    
  Max Level:     0d  3h  3m</v>
      </c>
      <c r="BN98" s="1305"/>
      <c r="BO98" s="1310"/>
    </row>
    <row r="99">
      <c r="A99" s="1222"/>
      <c r="B99" s="1286" t="s">
        <v>560</v>
      </c>
      <c r="C99" s="1311" t="s">
        <v>380</v>
      </c>
      <c r="D99" s="1280" t="str">
        <f>VLOOKUP(C99,'Remote Tier List'!A:D, 2, FALSE)</f>
        <v>B</v>
      </c>
      <c r="E99" s="1281" t="str">
        <f>VLOOKUP(C99,'Remote Tier List'!A:D, 3, FALSE)</f>
        <v/>
      </c>
      <c r="F99" s="1273" t="str">
        <f>VLOOKUP(C99,'Remote Tier List'!A:D, 4, FALSE)</f>
        <v>Essential in allowing the full potential of the UW+, leading to being a favourable second damage UW built</v>
      </c>
      <c r="G99" s="1245" t="b">
        <f>IFERROR(AND(VLOOKUP("Tier 3",'_IDS'!$BZ$3:$DT$23, 2, FALSE) &gt; 250, IDS_UW_OWN("Inner Land Mines")), true)</f>
        <v>0</v>
      </c>
      <c r="H99" s="1246" t="str">
        <f t="array" ref="H99:I99">LET(
  Lab, $C99,
  Mode, $AD$1,
  Level, VLOOKUP(Lab, MS_Labs_Array, 2, FALSE),
  Target, VLOOKUP(Lab, MS_Labs_Array, 3, FALSE),
  Max, VLOOKUP(Lab, MS_Labs_Array, 4, FALSE),
  Result,
    IF(
      AND(
        Mode &lt;&gt; "Never",
        Level &gt;= IF(OR(Target = "", Mode = "Max"), Max, Target)
      ),
      "Completed",
      ""
    ),
  HSTACK(
    IF(Result &lt;&gt; "", Result, $D99),
    IF(Result &lt;&gt; "", Result, IF($E99 = "", $D99, $E99))
  )
)</f>
        <v>B</v>
      </c>
      <c r="I99" s="1247" t="s">
        <v>546</v>
      </c>
      <c r="J99" s="1248" t="str">
        <f t="shared" si="18"/>
        <v>Essential in allowing the full potential of the UW+, leading to being a favourable second damage UW built</v>
      </c>
      <c r="K99" s="1229"/>
      <c r="L99" s="1249"/>
      <c r="M99" s="1249"/>
      <c r="N99" s="1250" t="str">
        <f>IFERROR(__xludf.DUMMYFUNCTION("if(M99 &lt;&gt; """", 
  LET( 
    TargetLevel, VLOOKUP(M99,MS_Labs_Array,3,false),
    MaxLevel, VLOOKUP(M99,MS_Labs_Array,4,false),
    MaxOrTarget, IF(OR(TargetLevel = """",$AD$1 &lt;&gt; ""Target""), MaxLevel, TargetLevel),
    LabLevel, VLOOKUP(M99,MS_Labs_Array"&amp;",2,False),
    Levelprogress, LabLevel / MaxOrTarget,
    DVTColumn, MATCH(M99,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9" s="1251" t="str">
        <f>IFERROR(__xludf.DUMMYFUNCTION("if(M99 &lt;&gt; """", 
  LET(
    TargetLevel, VLOOKUP(M99,MS_Labs_Array,3,false),
    LabSpeed, (1 * REGEXEXTRACT($BH$1, ""[\d.-]+"")) * {IF(M99 =""Labs Speed"", 1+'Master Sheet'!$BK$5, LAB_SPEED_TOTAL())},
    MaxLevel, VLOOKUP(M99,MS_Labs_Array,4,false),
   "&amp;" MaxOrTarget, IF(OR(TargetLevel = """",$AD$1 &lt;&gt; ""Target""), MaxLevel, TargetLevel),
    LabLevel, VLOOKUP(M99,MS_Labs_Array,2,False),
    DVTColumn, MATCH(M99, DVT_Laboratory!$A$1:BO$1, 0),
    xextTime, INDIRECT(""DVT_Laboratory!"" &amp; ADDRESS(LabLevel+3,"&amp;" DVTColumn)) / LabSpeed,
    remainingTime, SUM(INDIRECT(""DVT_Laboratory!"" &amp; ADDRESS(LabLevel+3, DVTColumn) &amp; "":"" &amp; ADDRESS(MaxOrTarget+2, DVTColumn))) / LabSpeed,
  M99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9" s="1249"/>
      <c r="Q99" s="1249"/>
      <c r="R99" s="1249"/>
      <c r="S99" s="1249"/>
      <c r="T99" s="1250" t="str">
        <f>IFERROR(__xludf.DUMMYFUNCTION("if(S99 &lt;&gt; """", 
  LET( 
    TargetLevel, VLOOKUP(S99,MS_Labs_Array,3,false),
    MaxLevel, VLOOKUP(S99,MS_Labs_Array,4,false),
    MaxOrTarget, IF(OR(TargetLevel = """",$AD$1 &lt;&gt; ""Target""), MaxLevel, TargetLevel),
    LabLevel, VLOOKUP(S99,MS_Labs_Array"&amp;",2,False),
    Levelprogress, LabLevel / MaxOrTarget,
    DVTColumn, MATCH(S99,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9" s="1251" t="str">
        <f>IFERROR(__xludf.DUMMYFUNCTION("if(S99 &lt;&gt; """", 
  LET(
    TargetLevel, VLOOKUP(S99,MS_Labs_Array,3,false),
    LabSpeed, (1 * REGEXEXTRACT($BH$1, ""[\d.-]+"")) * {IF(S99 =""Labs Speed"", 1+'Master Sheet'!$BK$5, LAB_SPEED_TOTAL())},
    MaxLevel, VLOOKUP(S99,MS_Labs_Array,4,false),
   "&amp;" MaxOrTarget, IF(OR(TargetLevel = """",$AD$1 &lt;&gt; ""Target""), MaxLevel, TargetLevel),
    LabLevel, VLOOKUP(S99,MS_Labs_Array,2,False),
    DVTColumn, MATCH(S99, DVT_Laboratory!$A$1:BO$1, 0),
    xextTime, INDIRECT(""DVT_Laboratory!"" &amp; ADDRESS(LabLevel+3,"&amp;" DVTColumn)) / LabSpeed,
    remainingTime, SUM(INDIRECT(""DVT_Laboratory!"" &amp; ADDRESS(LabLevel+3, DVTColumn) &amp; "":"" &amp; ADDRESS(MaxOrTarget+2, DVTColumn))) / LabSpeed,
  S99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9" s="1249"/>
      <c r="W99" s="1249"/>
      <c r="X99" s="1249"/>
      <c r="Y99" s="1249"/>
      <c r="Z99" s="1250" t="str">
        <f>IFERROR(__xludf.DUMMYFUNCTION("if(Y99 &lt;&gt; """", 
  LET( 
    TargetLevel, VLOOKUP(Y99,MS_Labs_Array,3,false),
    MaxLevel, VLOOKUP(Y99,MS_Labs_Array,4,false),
    MaxOrTarget, IF(OR(TargetLevel = """",$AD$1 &lt;&gt; ""Target""), MaxLevel, TargetLevel),
    LabLevel, VLOOKUP(Y99,MS_Labs_Array"&amp;",2,False),
    Levelprogress, LabLevel / MaxOrTarget,
    DVTColumn, MATCH(Y99,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9" s="1251" t="str">
        <f>IFERROR(__xludf.DUMMYFUNCTION("if(Y99 &lt;&gt; """", 
  LET(
    TargetLevel, VLOOKUP(Y99,MS_Labs_Array,3,false),
    LabSpeed, (1 * REGEXEXTRACT($BH$1, ""[\d.-]+"")) * {IF(Y99 =""Labs Speed"", 1+'Master Sheet'!$BK$5, LAB_SPEED_TOTAL())},
    MaxLevel, VLOOKUP(Y99,MS_Labs_Array,4,false),
   "&amp;" MaxOrTarget, IF(OR(TargetLevel = """",$AD$1 &lt;&gt; ""Target""), MaxLevel, TargetLevel),
    LabLevel, VLOOKUP(Y99,MS_Labs_Array,2,False),
    DVTColumn, MATCH(Y99, DVT_Laboratory!$A$1:BO$1, 0),
    xextTime, INDIRECT(""DVT_Laboratory!"" &amp; ADDRESS(LabLevel+3,"&amp;" DVTColumn)) / LabSpeed,
    remainingTime, SUM(INDIRECT(""DVT_Laboratory!"" &amp; ADDRESS(LabLevel+3, DVTColumn) &amp; "":"" &amp; ADDRESS(MaxOrTarget+2, DVTColumn))) / LabSpeed,
  Y99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9" s="1249"/>
      <c r="AC99" s="1249"/>
      <c r="AD99" s="1249"/>
      <c r="AE99" s="1249"/>
      <c r="AF99" s="1250" t="str">
        <f>IFERROR(__xludf.DUMMYFUNCTION("if(AE99 &lt;&gt; """", 
  LET( 
    TargetLevel, VLOOKUP(AE99,MS_Labs_Array,3,false),
    MaxLevel, VLOOKUP(AE99,MS_Labs_Array,4,false),
    MaxOrTarget, IF(OR(TargetLevel = """",$AD$1 &lt;&gt; ""Target""), MaxLevel, TargetLevel),
    LabLevel, VLOOKUP(AE99,MS_Labs_A"&amp;"rray,2,False),
    Levelprogress, LabLevel / MaxOrTarget,
    DVTColumn, MATCH(AE99,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9" s="1251" t="str">
        <f>IFERROR(__xludf.DUMMYFUNCTION("if(AE99 &lt;&gt; """", 
  LET(
    TargetLevel, VLOOKUP(AE99,MS_Labs_Array,3,false),
    LabSpeed, (1 * REGEXEXTRACT($BH$1, ""[\d.-]+"")) * {IF(AE99 =""Labs Speed"", 1+'Master Sheet'!$BK$5, LAB_SPEED_TOTAL())},
    MaxLevel, VLOOKUP(AE99,MS_Labs_Array,4,false),"&amp;"
    MaxOrTarget, IF(OR(TargetLevel = """",$AD$1 &lt;&gt; ""Target""), MaxLevel, TargetLevel),
    LabLevel, VLOOKUP(AE99,MS_Labs_Array,2,False),
    DVTColumn, MATCH(AE99, DVT_Laboratory!$A$1:BO$1, 0),
    xextTime, INDIRECT(""DVT_Laboratory!"" &amp; ADDRESS(LabLe"&amp;"vel+3, DVTColumn)) / LabSpeed,
    remainingTime, SUM(INDIRECT(""DVT_Laboratory!"" &amp; ADDRESS(LabLevel+3, DVTColumn) &amp; "":"" &amp; ADDRESS(MaxOrTarget+2, DVTColumn))) / LabSpeed,
  AE99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9" s="1249"/>
      <c r="AI99" s="1249"/>
      <c r="AJ99" s="1249"/>
      <c r="AK99" s="1249"/>
      <c r="AL99" s="1250" t="str">
        <f>IFERROR(__xludf.DUMMYFUNCTION("if(AK99 &lt;&gt; """", 
  LET( 
    TargetLevel, VLOOKUP(AK99,MS_Labs_Array,3,false),
    MaxLevel, VLOOKUP(AK99,MS_Labs_Array,4,false),
    MaxOrTarget, IF(OR(TargetLevel = """",$AD$1 &lt;&gt; ""Target""), MaxLevel, TargetLevel),
    LabLevel, VLOOKUP(AK99,MS_Labs_A"&amp;"rray,2,False),
    Levelprogress, LabLevel / MaxOrTarget,
    DVTColumn, MATCH(AK99,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9" s="1251" t="str">
        <f>IFERROR(__xludf.DUMMYFUNCTION("if(AK99 &lt;&gt; """", 
  LET(
    TargetLevel, VLOOKUP(AK99,MS_Labs_Array,3,false),
    LabSpeed, (1 * REGEXEXTRACT($BH$1, ""[\d.-]+"")) * {IF(AK99 =""Labs Speed"", 1+'Master Sheet'!$BK$5, LAB_SPEED_TOTAL())},
    MaxLevel, VLOOKUP(AK99,MS_Labs_Array,4,false),"&amp;"
    MaxOrTarget, IF(OR(TargetLevel = """",$AD$1 &lt;&gt; ""Target""), MaxLevel, TargetLevel),
    LabLevel, VLOOKUP(AK99,MS_Labs_Array,2,False),
    DVTColumn, MATCH(AK99, DVT_Laboratory!$A$1:BO$1, 0),
    xextTime, INDIRECT(""DVT_Laboratory!"" &amp; ADDRESS(LabLe"&amp;"vel+3, DVTColumn)) / LabSpeed,
    remainingTime, SUM(INDIRECT(""DVT_Laboratory!"" &amp; ADDRESS(LabLevel+3, DVTColumn) &amp; "":"" &amp; ADDRESS(MaxOrTarget+2, DVTColumn))) / LabSpeed,
  AK99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9" s="1249"/>
      <c r="AO99" s="1249"/>
      <c r="AP99" s="1249"/>
      <c r="AQ99" s="1249"/>
      <c r="AR99" s="1250" t="str">
        <f>IFERROR(__xludf.DUMMYFUNCTION("if(AQ99 &lt;&gt; """", 
  LET( 
    TargetLevel, VLOOKUP(AQ99,MS_Labs_Array,3,false),
    MaxLevel, VLOOKUP(AQ99,MS_Labs_Array,4,false),
    MaxOrTarget, IF(OR(TargetLevel = """",$AD$1 &lt;&gt; ""Target""), MaxLevel, TargetLevel),
    LabLevel, VLOOKUP(AQ99,MS_Labs_A"&amp;"rray,2,False),
    Levelprogress, LabLevel / MaxOrTarget,
    DVTColumn, MATCH(AQ99,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9" s="1251" t="str">
        <f>IFERROR(__xludf.DUMMYFUNCTION("if(AQ99 &lt;&gt; """", 
  LET(
    TargetLevel, VLOOKUP(AQ99,MS_Labs_Array,3,false),
    LabSpeed, (1 * REGEXEXTRACT($BH$1, ""[\d.-]+"")) * {IF(AQ99 =""Labs Speed"", 1+'Master Sheet'!$BK$5, LAB_SPEED_TOTAL())},
    MaxLevel, VLOOKUP(AQ99,MS_Labs_Array,4,false),"&amp;"
    MaxOrTarget, IF(OR(TargetLevel = """",$AD$1 &lt;&gt; ""Target""), MaxLevel, TargetLevel),
    LabLevel, VLOOKUP(AQ99,MS_Labs_Array,2,False),
    DVTColumn, MATCH(AQ99, DVT_Laboratory!$A$1:BO$1, 0),
    xextTime, INDIRECT(""DVT_Laboratory!"" &amp; ADDRESS(LabLe"&amp;"vel+3, DVTColumn)) / LabSpeed,
    remainingTime, SUM(INDIRECT(""DVT_Laboratory!"" &amp; ADDRESS(LabLevel+3, DVTColumn) &amp; "":"" &amp; ADDRESS(MaxOrTarget+2, DVTColumn))) / LabSpeed,
  AQ99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9" s="1249"/>
      <c r="AU99" s="1249"/>
      <c r="AV99" s="1249"/>
      <c r="AW99" s="1249"/>
      <c r="AX99" s="1250" t="str">
        <f>IFERROR(__xludf.DUMMYFUNCTION("if(AW99 &lt;&gt; """", 
  LET( 
    TargetLevel, VLOOKUP(AW99,MS_Labs_Array,3,false),
    MaxLevel, VLOOKUP(AW99,MS_Labs_Array,4,false),
    MaxOrTarget, IF(OR(TargetLevel = """",$AD$1 &lt;&gt; ""Target""), MaxLevel, TargetLevel),
    LabLevel, VLOOKUP(AW99,MS_Labs_A"&amp;"rray,2,False),
    Levelprogress, LabLevel / MaxOrTarget,
    DVTColumn, MATCH(AW99,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9" s="1251" t="str">
        <f>IFERROR(__xludf.DUMMYFUNCTION("if(AW99 &lt;&gt; """", 
  LET(
    TargetLevel, VLOOKUP(AW99,MS_Labs_Array,3,false),
    LabSpeed, (1 * REGEXEXTRACT($BH$1, ""[\d.-]+"")) * {IF(AW99 =""Labs Speed"", 1+'Master Sheet'!$BK$5, LAB_SPEED_TOTAL())},
    MaxLevel, VLOOKUP(AW99,MS_Labs_Array,4,false),"&amp;"
    MaxOrTarget, IF(OR(TargetLevel = """",$AD$1 &lt;&gt; ""Target""), MaxLevel, TargetLevel),
    LabLevel, VLOOKUP(AW99,MS_Labs_Array,2,False),
    DVTColumn, MATCH(AW99, DVT_Laboratory!$A$1:BO$1, 0),
    xextTime, INDIRECT(""DVT_Laboratory!"" &amp; ADDRESS(LabLe"&amp;"vel+3, DVTColumn)) / LabSpeed,
    remainingTime, SUM(INDIRECT(""DVT_Laboratory!"" &amp; ADDRESS(LabLevel+3, DVTColumn) &amp; "":"" &amp; ADDRESS(MaxOrTarget+2, DVTColumn))) / LabSpeed,
  AW99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9" s="1249"/>
      <c r="BA99" s="1249"/>
      <c r="BB99" s="1249"/>
      <c r="BC99" s="1249"/>
      <c r="BD99" s="1250" t="str">
        <f>IFERROR(__xludf.DUMMYFUNCTION("if(BC99 &lt;&gt; """", 
  LET( 
    TargetLevel, VLOOKUP(BC99,MS_Labs_Array,3,false),
    MaxLevel, VLOOKUP(BC99,MS_Labs_Array,4,false),
    MaxOrTarget, IF(OR(TargetLevel = """",$AD$1 &lt;&gt; ""Target""), MaxLevel, TargetLevel),
    LabLevel, VLOOKUP(BC99,MS_Labs_A"&amp;"rray,2,False),
    Levelprogress, LabLevel / MaxOrTarget,
    DVTColumn, MATCH(BC99,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9" s="1251" t="str">
        <f>IFERROR(__xludf.DUMMYFUNCTION("if(BC99 &lt;&gt; """", 
  LET(
    TargetLevel, VLOOKUP(BC99,MS_Labs_Array,3,false),
    LabSpeed, (1 * REGEXEXTRACT($BH$1, ""[\d.-]+"")) * {IF(BC99 =""Labs Speed"", 1+'Master Sheet'!$BK$5, LAB_SPEED_TOTAL())},
    MaxLevel, VLOOKUP(BC99,MS_Labs_Array,4,false),"&amp;"
    MaxOrTarget, IF(OR(TargetLevel = """",$AD$1 &lt;&gt; ""Target""), MaxLevel, TargetLevel),
    LabLevel, VLOOKUP(BC99,MS_Labs_Array,2,False),
    DVTColumn, MATCH(BC99, DVT_Laboratory!$A$1:BO$1, 0),
    xextTime, INDIRECT(""DVT_Laboratory!"" &amp; ADDRESS(LabLe"&amp;"vel+3, DVTColumn)) / LabSpeed,
    remainingTime, SUM(INDIRECT(""DVT_Laboratory!"" &amp; ADDRESS(LabLevel+3, DVTColumn) &amp; "":"" &amp; ADDRESS(MaxOrTarget+2, DVTColumn))) / LabSpeed,
  BC99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9" s="1249"/>
      <c r="BG99" s="1249"/>
      <c r="BH99" s="1260" t="str">
        <f>IFERROR(__xludf.DUMMYFUNCTION("""COMPUTED_VALUE"""),"Shatter Shards")</f>
        <v>Shatter Shards</v>
      </c>
      <c r="BI99" s="1252"/>
      <c r="BJ99" s="1253" t="str">
        <f>IFERROR(__xludf.DUMMYFUNCTION("if(BI99 &lt;&gt; """", 
  LET( 
    TargetLevel, VLOOKUP(BI99,MS_Labs_Array,3,false),
    MaxLevel, VLOOKUP(BI99,MS_Labs_Array,4,false),
    MaxOrTarget, IF(OR(TargetLevel = """",$AD$1 &lt;&gt; ""Target""), MaxLevel, TargetLevel),
    LabLevel, VLOOKUP(BI99,MS_Labs_A"&amp;"rray,2,False),
    Levelprogress, IF(LabLevel &gt;= MaxOrTarget, 1, LabLevel / MaxOrTarget),
    DVTColumn, MATCH(BI99,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9" s="1254" t="str">
        <f>IFERROR(__xludf.DUMMYFUNCTION("if(BI99 &lt;&gt; """", 
  LET(
    TargetLevel, VLOOKUP(BI99,MS_Labs_Array,3,false),
    LabSpeed, (1 * REGEXEXTRACT($BH$1, ""[\d.-]+"")) * {IF(BI99 =""Labs Speed"", 1+'Master Sheet'!$BK$5, LAB_SPEED_TOTAL())},
    MaxLevel, VLOOKUP(BI99,MS_Labs_Array,4,false),"&amp;"
    MaxOrTarget, IF(OR(TargetLevel = """",$AD$1 &lt;&gt; ""Target""), MaxLevel, TargetLevel),
    LabLevel, VLOOKUP(BI99,MS_Labs_Array,2,False),
    DVTColumn, MATCH(BI99, DVT_Laboratory!$A$1:BO$1, 0),
    xextTime, INDIRECT(""DVT_Laboratory!"" &amp; ADDRESS(LabLe"&amp;"vel+3, DVTColumn)) / LabSpeed,
    remainingTime, SUM(INDIRECT(""DVT_Laboratory!"" &amp; ADDRESS(LabLevel+3, DVTColumn) &amp; "":"" &amp; ADDRESS(MaxOrTarget+2, DVTColumn))) / LabSpeed,
  BI99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9" s="1252"/>
      <c r="BM99" s="1252" t="str">
        <f>IFERROR(__xludf.DUMMYFUNCTION("""COMPUTED_VALUE"""),"Very important to shard economy, makes getting high mod levels reasonable")</f>
        <v>Very important to shard economy, makes getting high mod levels reasonable</v>
      </c>
      <c r="BN99" s="1222"/>
      <c r="BO99" s="1261"/>
    </row>
    <row r="100" ht="7.5" customHeight="1">
      <c r="A100" s="1222"/>
      <c r="B100" s="1274"/>
      <c r="C100" s="1275"/>
      <c r="D100" s="1276"/>
      <c r="E100" s="1276"/>
      <c r="F100" s="1276"/>
      <c r="G100" s="1277"/>
      <c r="H100" s="1278"/>
      <c r="I100" s="1278"/>
      <c r="J100" s="1248"/>
      <c r="K100" s="1229"/>
      <c r="L100" s="1249" t="str">
        <f>IFERROR(__xludf.DUMMYFUNCTION("""COMPUTED_VALUE"""),"")</f>
        <v/>
      </c>
      <c r="M100" s="1249"/>
      <c r="N100" s="1250" t="str">
        <f>IFERROR(__xludf.DUMMYFUNCTION("if(M100 &lt;&gt; """", 
  LET( 
    TargetLevel, VLOOKUP(M100,MS_Labs_Array,3,false),
    MaxLevel, VLOOKUP(M100,MS_Labs_Array,4,false),
    MaxOrTarget, IF(OR(TargetLevel = """",$AD$1 &lt;&gt; ""Target""), MaxLevel, TargetLevel),
    LabLevel, VLOOKUP(M100,MS_Labs_A"&amp;"rray,2,False),
    Levelprogress, LabLevel / MaxOrTarget,
    DVTColumn, MATCH(M100,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0" s="1251" t="str">
        <f>IFERROR(__xludf.DUMMYFUNCTION("if(M100 &lt;&gt; """", 
  LET(
    TargetLevel, VLOOKUP(M100,MS_Labs_Array,3,false),
    LabSpeed, (1 * REGEXEXTRACT($BH$1, ""[\d.-]+"")) * {IF(M100 =""Labs Speed"", 1+'Master Sheet'!$BK$5, LAB_SPEED_TOTAL())},
    MaxLevel, VLOOKUP(M100,MS_Labs_Array,4,false),"&amp;"
    MaxOrTarget, IF(OR(TargetLevel = """",$AD$1 &lt;&gt; ""Target""), MaxLevel, TargetLevel),
    LabLevel, VLOOKUP(M100,MS_Labs_Array,2,False),
    DVTColumn, MATCH(M100, DVT_Laboratory!$A$1:BO$1, 0),
    xextTime, INDIRECT(""DVT_Laboratory!"" &amp; ADDRESS(LabLe"&amp;"vel+3, DVTColumn)) / LabSpeed,
    remainingTime, SUM(INDIRECT(""DVT_Laboratory!"" &amp; ADDRESS(LabLevel+3, DVTColumn) &amp; "":"" &amp; ADDRESS(MaxOrTarget+2, DVTColumn))) / LabSpeed,
  M100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0" s="1249"/>
      <c r="Q100" s="1249" t="str">
        <f>IFERROR(__xludf.DUMMYFUNCTION("""COMPUTED_VALUE"""),"")</f>
        <v/>
      </c>
      <c r="R100" s="1249" t="str">
        <f>IFERROR(__xludf.DUMMYFUNCTION("""COMPUTED_VALUE"""),"")</f>
        <v/>
      </c>
      <c r="S100" s="1249"/>
      <c r="T100" s="1250" t="str">
        <f>IFERROR(__xludf.DUMMYFUNCTION("if(S100 &lt;&gt; """", 
  LET( 
    TargetLevel, VLOOKUP(S100,MS_Labs_Array,3,false),
    MaxLevel, VLOOKUP(S100,MS_Labs_Array,4,false),
    MaxOrTarget, IF(OR(TargetLevel = """",$AD$1 &lt;&gt; ""Target""), MaxLevel, TargetLevel),
    LabLevel, VLOOKUP(S100,MS_Labs_A"&amp;"rray,2,False),
    Levelprogress, LabLevel / MaxOrTarget,
    DVTColumn, MATCH(S100,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0" s="1251" t="str">
        <f>IFERROR(__xludf.DUMMYFUNCTION("if(S100 &lt;&gt; """", 
  LET(
    TargetLevel, VLOOKUP(S100,MS_Labs_Array,3,false),
    LabSpeed, (1 * REGEXEXTRACT($BH$1, ""[\d.-]+"")) * {IF(S100 =""Labs Speed"", 1+'Master Sheet'!$BK$5, LAB_SPEED_TOTAL())},
    MaxLevel, VLOOKUP(S100,MS_Labs_Array,4,false),"&amp;"
    MaxOrTarget, IF(OR(TargetLevel = """",$AD$1 &lt;&gt; ""Target""), MaxLevel, TargetLevel),
    LabLevel, VLOOKUP(S100,MS_Labs_Array,2,False),
    DVTColumn, MATCH(S100, DVT_Laboratory!$A$1:BO$1, 0),
    xextTime, INDIRECT(""DVT_Laboratory!"" &amp; ADDRESS(LabLe"&amp;"vel+3, DVTColumn)) / LabSpeed,
    remainingTime, SUM(INDIRECT(""DVT_Laboratory!"" &amp; ADDRESS(LabLevel+3, DVTColumn) &amp; "":"" &amp; ADDRESS(MaxOrTarget+2, DVTColumn))) / LabSpeed,
  S100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0" s="1249"/>
      <c r="W100" s="1249" t="str">
        <f>IFERROR(__xludf.DUMMYFUNCTION("""COMPUTED_VALUE"""),"")</f>
        <v/>
      </c>
      <c r="X100" s="1249" t="str">
        <f>IFERROR(__xludf.DUMMYFUNCTION("""COMPUTED_VALUE"""),"")</f>
        <v/>
      </c>
      <c r="Y100" s="1249"/>
      <c r="Z100" s="1250" t="str">
        <f>IFERROR(__xludf.DUMMYFUNCTION("if(Y100 &lt;&gt; """", 
  LET( 
    TargetLevel, VLOOKUP(Y100,MS_Labs_Array,3,false),
    MaxLevel, VLOOKUP(Y100,MS_Labs_Array,4,false),
    MaxOrTarget, IF(OR(TargetLevel = """",$AD$1 &lt;&gt; ""Target""), MaxLevel, TargetLevel),
    LabLevel, VLOOKUP(Y100,MS_Labs_A"&amp;"rray,2,False),
    Levelprogress, LabLevel / MaxOrTarget,
    DVTColumn, MATCH(Y100,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0" s="1251" t="str">
        <f>IFERROR(__xludf.DUMMYFUNCTION("if(Y100 &lt;&gt; """", 
  LET(
    TargetLevel, VLOOKUP(Y100,MS_Labs_Array,3,false),
    LabSpeed, (1 * REGEXEXTRACT($BH$1, ""[\d.-]+"")) * {IF(Y100 =""Labs Speed"", 1+'Master Sheet'!$BK$5, LAB_SPEED_TOTAL())},
    MaxLevel, VLOOKUP(Y100,MS_Labs_Array,4,false),"&amp;"
    MaxOrTarget, IF(OR(TargetLevel = """",$AD$1 &lt;&gt; ""Target""), MaxLevel, TargetLevel),
    LabLevel, VLOOKUP(Y100,MS_Labs_Array,2,False),
    DVTColumn, MATCH(Y100, DVT_Laboratory!$A$1:BO$1, 0),
    xextTime, INDIRECT(""DVT_Laboratory!"" &amp; ADDRESS(LabLe"&amp;"vel+3, DVTColumn)) / LabSpeed,
    remainingTime, SUM(INDIRECT(""DVT_Laboratory!"" &amp; ADDRESS(LabLevel+3, DVTColumn) &amp; "":"" &amp; ADDRESS(MaxOrTarget+2, DVTColumn))) / LabSpeed,
  Y100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0" s="1249"/>
      <c r="AC100" s="1249" t="str">
        <f>IFERROR(__xludf.DUMMYFUNCTION("""COMPUTED_VALUE"""),"")</f>
        <v/>
      </c>
      <c r="AD100" s="1249" t="str">
        <f>IFERROR(__xludf.DUMMYFUNCTION("""COMPUTED_VALUE"""),"")</f>
        <v/>
      </c>
      <c r="AE100" s="1249"/>
      <c r="AF100" s="1250" t="str">
        <f>IFERROR(__xludf.DUMMYFUNCTION("if(AE100 &lt;&gt; """", 
  LET( 
    TargetLevel, VLOOKUP(AE100,MS_Labs_Array,3,false),
    MaxLevel, VLOOKUP(AE100,MS_Labs_Array,4,false),
    MaxOrTarget, IF(OR(TargetLevel = """",$AD$1 &lt;&gt; ""Target""), MaxLevel, TargetLevel),
    LabLevel, VLOOKUP(AE100,MS_La"&amp;"bs_Array,2,False),
    Levelprogress, LabLevel / MaxOrTarget,
    DVTColumn, MATCH(AE100,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0" s="1251" t="str">
        <f>IFERROR(__xludf.DUMMYFUNCTION("if(AE100 &lt;&gt; """", 
  LET(
    TargetLevel, VLOOKUP(AE100,MS_Labs_Array,3,false),
    LabSpeed, (1 * REGEXEXTRACT($BH$1, ""[\d.-]+"")) * {IF(AE100 =""Labs Speed"", 1+'Master Sheet'!$BK$5, LAB_SPEED_TOTAL())},
    MaxLevel, VLOOKUP(AE100,MS_Labs_Array,4,fal"&amp;"se),
    MaxOrTarget, IF(OR(TargetLevel = """",$AD$1 &lt;&gt; ""Target""), MaxLevel, TargetLevel),
    LabLevel, VLOOKUP(AE100,MS_Labs_Array,2,False),
    DVTColumn, MATCH(AE100, DVT_Laboratory!$A$1:BO$1, 0),
    xextTime, INDIRECT(""DVT_Laboratory!"" &amp; ADDRESS"&amp;"(LabLevel+3, DVTColumn)) / LabSpeed,
    remainingTime, SUM(INDIRECT(""DVT_Laboratory!"" &amp; ADDRESS(LabLevel+3, DVTColumn) &amp; "":"" &amp; ADDRESS(MaxOrTarget+2, DVTColumn))) / LabSpeed,
  AE100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0" s="1249"/>
      <c r="AI100" s="1249" t="str">
        <f>IFERROR(__xludf.DUMMYFUNCTION("""COMPUTED_VALUE"""),"")</f>
        <v/>
      </c>
      <c r="AJ100" s="1249" t="str">
        <f>IFERROR(__xludf.DUMMYFUNCTION("""COMPUTED_VALUE"""),"")</f>
        <v/>
      </c>
      <c r="AK100" s="1249"/>
      <c r="AL100" s="1250" t="str">
        <f>IFERROR(__xludf.DUMMYFUNCTION("if(AK100 &lt;&gt; """", 
  LET( 
    TargetLevel, VLOOKUP(AK100,MS_Labs_Array,3,false),
    MaxLevel, VLOOKUP(AK100,MS_Labs_Array,4,false),
    MaxOrTarget, IF(OR(TargetLevel = """",$AD$1 &lt;&gt; ""Target""), MaxLevel, TargetLevel),
    LabLevel, VLOOKUP(AK100,MS_La"&amp;"bs_Array,2,False),
    Levelprogress, LabLevel / MaxOrTarget,
    DVTColumn, MATCH(AK100,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0" s="1251" t="str">
        <f>IFERROR(__xludf.DUMMYFUNCTION("if(AK100 &lt;&gt; """", 
  LET(
    TargetLevel, VLOOKUP(AK100,MS_Labs_Array,3,false),
    LabSpeed, (1 * REGEXEXTRACT($BH$1, ""[\d.-]+"")) * {IF(AK100 =""Labs Speed"", 1+'Master Sheet'!$BK$5, LAB_SPEED_TOTAL())},
    MaxLevel, VLOOKUP(AK100,MS_Labs_Array,4,fal"&amp;"se),
    MaxOrTarget, IF(OR(TargetLevel = """",$AD$1 &lt;&gt; ""Target""), MaxLevel, TargetLevel),
    LabLevel, VLOOKUP(AK100,MS_Labs_Array,2,False),
    DVTColumn, MATCH(AK100, DVT_Laboratory!$A$1:BO$1, 0),
    xextTime, INDIRECT(""DVT_Laboratory!"" &amp; ADDRESS"&amp;"(LabLevel+3, DVTColumn)) / LabSpeed,
    remainingTime, SUM(INDIRECT(""DVT_Laboratory!"" &amp; ADDRESS(LabLevel+3, DVTColumn) &amp; "":"" &amp; ADDRESS(MaxOrTarget+2, DVTColumn))) / LabSpeed,
  AK100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0" s="1249"/>
      <c r="AO100" s="1249" t="str">
        <f>IFERROR(__xludf.DUMMYFUNCTION("""COMPUTED_VALUE"""),"")</f>
        <v/>
      </c>
      <c r="AP100" s="1249" t="str">
        <f>IFERROR(__xludf.DUMMYFUNCTION("""COMPUTED_VALUE"""),"")</f>
        <v/>
      </c>
      <c r="AQ100" s="1249"/>
      <c r="AR100" s="1250" t="str">
        <f>IFERROR(__xludf.DUMMYFUNCTION("if(AQ100 &lt;&gt; """", 
  LET( 
    TargetLevel, VLOOKUP(AQ100,MS_Labs_Array,3,false),
    MaxLevel, VLOOKUP(AQ100,MS_Labs_Array,4,false),
    MaxOrTarget, IF(OR(TargetLevel = """",$AD$1 &lt;&gt; ""Target""), MaxLevel, TargetLevel),
    LabLevel, VLOOKUP(AQ100,MS_La"&amp;"bs_Array,2,False),
    Levelprogress, LabLevel / MaxOrTarget,
    DVTColumn, MATCH(AQ100,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0" s="1251" t="str">
        <f>IFERROR(__xludf.DUMMYFUNCTION("if(AQ100 &lt;&gt; """", 
  LET(
    TargetLevel, VLOOKUP(AQ100,MS_Labs_Array,3,false),
    LabSpeed, (1 * REGEXEXTRACT($BH$1, ""[\d.-]+"")) * {IF(AQ100 =""Labs Speed"", 1+'Master Sheet'!$BK$5, LAB_SPEED_TOTAL())},
    MaxLevel, VLOOKUP(AQ100,MS_Labs_Array,4,fal"&amp;"se),
    MaxOrTarget, IF(OR(TargetLevel = """",$AD$1 &lt;&gt; ""Target""), MaxLevel, TargetLevel),
    LabLevel, VLOOKUP(AQ100,MS_Labs_Array,2,False),
    DVTColumn, MATCH(AQ100, DVT_Laboratory!$A$1:BO$1, 0),
    xextTime, INDIRECT(""DVT_Laboratory!"" &amp; ADDRESS"&amp;"(LabLevel+3, DVTColumn)) / LabSpeed,
    remainingTime, SUM(INDIRECT(""DVT_Laboratory!"" &amp; ADDRESS(LabLevel+3, DVTColumn) &amp; "":"" &amp; ADDRESS(MaxOrTarget+2, DVTColumn))) / LabSpeed,
  AQ100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0" s="1249"/>
      <c r="AU100" s="1249" t="str">
        <f>IFERROR(__xludf.DUMMYFUNCTION("""COMPUTED_VALUE"""),"")</f>
        <v/>
      </c>
      <c r="AV100" s="1249" t="str">
        <f>IFERROR(__xludf.DUMMYFUNCTION("""COMPUTED_VALUE"""),"")</f>
        <v/>
      </c>
      <c r="AW100" s="1249"/>
      <c r="AX100" s="1250" t="str">
        <f>IFERROR(__xludf.DUMMYFUNCTION("if(AW100 &lt;&gt; """", 
  LET( 
    TargetLevel, VLOOKUP(AW100,MS_Labs_Array,3,false),
    MaxLevel, VLOOKUP(AW100,MS_Labs_Array,4,false),
    MaxOrTarget, IF(OR(TargetLevel = """",$AD$1 &lt;&gt; ""Target""), MaxLevel, TargetLevel),
    LabLevel, VLOOKUP(AW100,MS_La"&amp;"bs_Array,2,False),
    Levelprogress, LabLevel / MaxOrTarget,
    DVTColumn, MATCH(AW100,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0" s="1251" t="str">
        <f>IFERROR(__xludf.DUMMYFUNCTION("if(AW100 &lt;&gt; """", 
  LET(
    TargetLevel, VLOOKUP(AW100,MS_Labs_Array,3,false),
    LabSpeed, (1 * REGEXEXTRACT($BH$1, ""[\d.-]+"")) * {IF(AW100 =""Labs Speed"", 1+'Master Sheet'!$BK$5, LAB_SPEED_TOTAL())},
    MaxLevel, VLOOKUP(AW100,MS_Labs_Array,4,fal"&amp;"se),
    MaxOrTarget, IF(OR(TargetLevel = """",$AD$1 &lt;&gt; ""Target""), MaxLevel, TargetLevel),
    LabLevel, VLOOKUP(AW100,MS_Labs_Array,2,False),
    DVTColumn, MATCH(AW100, DVT_Laboratory!$A$1:BO$1, 0),
    xextTime, INDIRECT(""DVT_Laboratory!"" &amp; ADDRESS"&amp;"(LabLevel+3, DVTColumn)) / LabSpeed,
    remainingTime, SUM(INDIRECT(""DVT_Laboratory!"" &amp; ADDRESS(LabLevel+3, DVTColumn) &amp; "":"" &amp; ADDRESS(MaxOrTarget+2, DVTColumn))) / LabSpeed,
  AW100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0" s="1249"/>
      <c r="BA100" s="1249" t="str">
        <f>IFERROR(__xludf.DUMMYFUNCTION("""COMPUTED_VALUE"""),"")</f>
        <v/>
      </c>
      <c r="BB100" s="1249" t="str">
        <f>IFERROR(__xludf.DUMMYFUNCTION("""COMPUTED_VALUE"""),"")</f>
        <v/>
      </c>
      <c r="BC100" s="1249"/>
      <c r="BD100" s="1250" t="str">
        <f>IFERROR(__xludf.DUMMYFUNCTION("if(BC100 &lt;&gt; """", 
  LET( 
    TargetLevel, VLOOKUP(BC100,MS_Labs_Array,3,false),
    MaxLevel, VLOOKUP(BC100,MS_Labs_Array,4,false),
    MaxOrTarget, IF(OR(TargetLevel = """",$AD$1 &lt;&gt; ""Target""), MaxLevel, TargetLevel),
    LabLevel, VLOOKUP(BC100,MS_La"&amp;"bs_Array,2,False),
    Levelprogress, LabLevel / MaxOrTarget,
    DVTColumn, MATCH(BC100,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0" s="1251" t="str">
        <f>IFERROR(__xludf.DUMMYFUNCTION("if(BC100 &lt;&gt; """", 
  LET(
    TargetLevel, VLOOKUP(BC100,MS_Labs_Array,3,false),
    LabSpeed, (1 * REGEXEXTRACT($BH$1, ""[\d.-]+"")) * {IF(BC100 =""Labs Speed"", 1+'Master Sheet'!$BK$5, LAB_SPEED_TOTAL())},
    MaxLevel, VLOOKUP(BC100,MS_Labs_Array,4,fal"&amp;"se),
    MaxOrTarget, IF(OR(TargetLevel = """",$AD$1 &lt;&gt; ""Target""), MaxLevel, TargetLevel),
    LabLevel, VLOOKUP(BC100,MS_Labs_Array,2,False),
    DVTColumn, MATCH(BC100, DVT_Laboratory!$A$1:BO$1, 0),
    xextTime, INDIRECT(""DVT_Laboratory!"" &amp; ADDRESS"&amp;"(LabLevel+3, DVTColumn)) / LabSpeed,
    remainingTime, SUM(INDIRECT(""DVT_Laboratory!"" &amp; ADDRESS(LabLevel+3, DVTColumn) &amp; "":"" &amp; ADDRESS(MaxOrTarget+2, DVTColumn))) / LabSpeed,
  BC100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0" s="1249"/>
      <c r="BG100" s="1249" t="str">
        <f>IFERROR(__xludf.DUMMYFUNCTION("""COMPUTED_VALUE"""),"")</f>
        <v/>
      </c>
      <c r="BH100" s="1260" t="str">
        <f>IFERROR(__xludf.DUMMYFUNCTION("""COMPUTED_VALUE"""),"")</f>
        <v/>
      </c>
      <c r="BI100" s="1252"/>
      <c r="BJ100" s="1253" t="str">
        <f>IFERROR(__xludf.DUMMYFUNCTION("if(BI100 &lt;&gt; """", 
  LET( 
    TargetLevel, VLOOKUP(BI100,MS_Labs_Array,3,false),
    MaxLevel, VLOOKUP(BI100,MS_Labs_Array,4,false),
    MaxOrTarget, IF(OR(TargetLevel = """",$AD$1 &lt;&gt; ""Target""), MaxLevel, TargetLevel),
    LabLevel, VLOOKUP(BI100,MS_La"&amp;"bs_Array,2,False),
    Levelprogress, IF(LabLevel &gt;= MaxOrTarget, 1, LabLevel / MaxOrTarget),
    DVTColumn, MATCH(BI100,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0" s="1254" t="str">
        <f>IFERROR(__xludf.DUMMYFUNCTION("if(BI100 &lt;&gt; """", 
  LET(
    TargetLevel, VLOOKUP(BI100,MS_Labs_Array,3,false),
    LabSpeed, (1 * REGEXEXTRACT($BH$1, ""[\d.-]+"")) * {IF(BI100 =""Labs Speed"", 1+'Master Sheet'!$BK$5, LAB_SPEED_TOTAL())},
    MaxLevel, VLOOKUP(BI100,MS_Labs_Array,4,fal"&amp;"se),
    MaxOrTarget, IF(OR(TargetLevel = """",$AD$1 &lt;&gt; ""Target""), MaxLevel, TargetLevel),
    LabLevel, VLOOKUP(BI100,MS_Labs_Array,2,False),
    DVTColumn, MATCH(BI100, DVT_Laboratory!$A$1:BO$1, 0),
    xextTime, INDIRECT(""DVT_Laboratory!"" &amp; ADDRESS"&amp;"(LabLevel+3, DVTColumn)) / LabSpeed,
    remainingTime, SUM(INDIRECT(""DVT_Laboratory!"" &amp; ADDRESS(LabLevel+3, DVTColumn) &amp; "":"" &amp; ADDRESS(MaxOrTarget+2, DVTColumn))) / LabSpeed,
  BI100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0" s="1252"/>
      <c r="BM100" s="1252" t="str">
        <f>IFERROR(__xludf.DUMMYFUNCTION("""COMPUTED_VALUE"""),"Shatter Shards
  Lab Level:      5 / 5 (Max)
  Next Level:    
  Max Level:     33d  6h  4m")</f>
        <v>Shatter Shards
  Lab Level:      5 / 5 (Max)
  Next Level:    
  Max Level:     33d  6h  4m</v>
      </c>
      <c r="BN100" s="1222"/>
      <c r="BO100" s="1261"/>
    </row>
    <row r="101">
      <c r="A101" s="1222"/>
      <c r="B101" s="1240" t="s">
        <v>557</v>
      </c>
      <c r="C101" s="1312" t="s">
        <v>159</v>
      </c>
      <c r="D101" s="1280" t="str">
        <f>VLOOKUP(C101,'Remote Tier List'!A:D, 2, FALSE)</f>
        <v>C</v>
      </c>
      <c r="E101" s="1281" t="str">
        <f>VLOOKUP(C101,'Remote Tier List'!A:D, 3, FALSE)</f>
        <v/>
      </c>
      <c r="F101" s="1282" t="str">
        <f>VLOOKUP(C101,'Remote Tier List'!A:D, 4, FALSE)</f>
        <v>Acts like the nuke card when maxed, great for consistency especially in fleet tiers</v>
      </c>
      <c r="G101" s="1245" t="b">
        <f>IFERROR(AND(VLOOKUP("Tier 3",'_IDS'!$BZ$3:$DT$23, 2, FALSE) &gt; 150,  NOT(VLOOKUP("Second Wind",'_IDS'!$AE$2:$AG$31, 2, FALSE)="Locked")), true)</f>
        <v>1</v>
      </c>
      <c r="H101" s="1246" t="str">
        <f t="array" ref="H101:I101">LET(
  Lab, $C101,
  Mode, $AD$1,
  Level, VLOOKUP(Lab, MS_Labs_Array, 2, FALSE),
  Target, VLOOKUP(Lab, MS_Labs_Array, 3, FALSE),
  Max, VLOOKUP(Lab, MS_Labs_Array, 4, FALSE),
  Result,
    IF(
      AND(
        Mode &lt;&gt; "Never",
        Level &gt;= IF(OR(Target = "", Mode = "Max"), Max, Target)
      ),
      "Completed",
      ""
    ),
  HSTACK(
    IF(Result &lt;&gt; "", Result, $D101),
    IF(Result &lt;&gt; "", Result, IF($E101 = "", $D101, $E101))
  )
)</f>
        <v>Completed</v>
      </c>
      <c r="I101" s="1247" t="s">
        <v>551</v>
      </c>
      <c r="J101" s="1248" t="str">
        <f t="shared" ref="J101:J109" si="19">if(ISBLANK(F101),J100, F101)</f>
        <v>Acts like the nuke card when maxed, great for consistency especially in fleet tiers</v>
      </c>
      <c r="K101" s="1229"/>
      <c r="L101" s="1249"/>
      <c r="M101" s="1249"/>
      <c r="N101" s="1250" t="str">
        <f>IFERROR(__xludf.DUMMYFUNCTION("if(M101 &lt;&gt; """", 
  LET( 
    TargetLevel, VLOOKUP(M101,MS_Labs_Array,3,false),
    MaxLevel, VLOOKUP(M101,MS_Labs_Array,4,false),
    MaxOrTarget, IF(OR(TargetLevel = """",$AD$1 &lt;&gt; ""Target""), MaxLevel, TargetLevel),
    LabLevel, VLOOKUP(M101,MS_Labs_A"&amp;"rray,2,False),
    Levelprogress, LabLevel / MaxOrTarget,
    DVTColumn, MATCH(M101,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1" s="1251" t="str">
        <f>IFERROR(__xludf.DUMMYFUNCTION("if(M101 &lt;&gt; """", 
  LET(
    TargetLevel, VLOOKUP(M101,MS_Labs_Array,3,false),
    LabSpeed, (1 * REGEXEXTRACT($BH$1, ""[\d.-]+"")) * {IF(M101 =""Labs Speed"", 1+'Master Sheet'!$BK$5, LAB_SPEED_TOTAL())},
    MaxLevel, VLOOKUP(M101,MS_Labs_Array,4,false),"&amp;"
    MaxOrTarget, IF(OR(TargetLevel = """",$AD$1 &lt;&gt; ""Target""), MaxLevel, TargetLevel),
    LabLevel, VLOOKUP(M101,MS_Labs_Array,2,False),
    DVTColumn, MATCH(M101, DVT_Laboratory!$A$1:BO$1, 0),
    xextTime, INDIRECT(""DVT_Laboratory!"" &amp; ADDRESS(LabLe"&amp;"vel+3, DVTColumn)) / LabSpeed,
    remainingTime, SUM(INDIRECT(""DVT_Laboratory!"" &amp; ADDRESS(LabLevel+3, DVTColumn) &amp; "":"" &amp; ADDRESS(MaxOrTarget+2, DVTColumn))) / LabSpeed,
  M101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1" s="1249"/>
      <c r="Q101" s="1249"/>
      <c r="R101" s="1249"/>
      <c r="S101" s="1249"/>
      <c r="T101" s="1250" t="str">
        <f>IFERROR(__xludf.DUMMYFUNCTION("if(S101 &lt;&gt; """", 
  LET( 
    TargetLevel, VLOOKUP(S101,MS_Labs_Array,3,false),
    MaxLevel, VLOOKUP(S101,MS_Labs_Array,4,false),
    MaxOrTarget, IF(OR(TargetLevel = """",$AD$1 &lt;&gt; ""Target""), MaxLevel, TargetLevel),
    LabLevel, VLOOKUP(S101,MS_Labs_A"&amp;"rray,2,False),
    Levelprogress, LabLevel / MaxOrTarget,
    DVTColumn, MATCH(S101,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1" s="1251" t="str">
        <f>IFERROR(__xludf.DUMMYFUNCTION("if(S101 &lt;&gt; """", 
  LET(
    TargetLevel, VLOOKUP(S101,MS_Labs_Array,3,false),
    LabSpeed, (1 * REGEXEXTRACT($BH$1, ""[\d.-]+"")) * {IF(S101 =""Labs Speed"", 1+'Master Sheet'!$BK$5, LAB_SPEED_TOTAL())},
    MaxLevel, VLOOKUP(S101,MS_Labs_Array,4,false),"&amp;"
    MaxOrTarget, IF(OR(TargetLevel = """",$AD$1 &lt;&gt; ""Target""), MaxLevel, TargetLevel),
    LabLevel, VLOOKUP(S101,MS_Labs_Array,2,False),
    DVTColumn, MATCH(S101, DVT_Laboratory!$A$1:BO$1, 0),
    xextTime, INDIRECT(""DVT_Laboratory!"" &amp; ADDRESS(LabLe"&amp;"vel+3, DVTColumn)) / LabSpeed,
    remainingTime, SUM(INDIRECT(""DVT_Laboratory!"" &amp; ADDRESS(LabLevel+3, DVTColumn) &amp; "":"" &amp; ADDRESS(MaxOrTarget+2, DVTColumn))) / LabSpeed,
  S101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1" s="1249"/>
      <c r="W101" s="1249"/>
      <c r="X101" s="1249"/>
      <c r="Y101" s="1249"/>
      <c r="Z101" s="1250" t="str">
        <f>IFERROR(__xludf.DUMMYFUNCTION("if(Y101 &lt;&gt; """", 
  LET( 
    TargetLevel, VLOOKUP(Y101,MS_Labs_Array,3,false),
    MaxLevel, VLOOKUP(Y101,MS_Labs_Array,4,false),
    MaxOrTarget, IF(OR(TargetLevel = """",$AD$1 &lt;&gt; ""Target""), MaxLevel, TargetLevel),
    LabLevel, VLOOKUP(Y101,MS_Labs_A"&amp;"rray,2,False),
    Levelprogress, LabLevel / MaxOrTarget,
    DVTColumn, MATCH(Y101,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1" s="1251" t="str">
        <f>IFERROR(__xludf.DUMMYFUNCTION("if(Y101 &lt;&gt; """", 
  LET(
    TargetLevel, VLOOKUP(Y101,MS_Labs_Array,3,false),
    LabSpeed, (1 * REGEXEXTRACT($BH$1, ""[\d.-]+"")) * {IF(Y101 =""Labs Speed"", 1+'Master Sheet'!$BK$5, LAB_SPEED_TOTAL())},
    MaxLevel, VLOOKUP(Y101,MS_Labs_Array,4,false),"&amp;"
    MaxOrTarget, IF(OR(TargetLevel = """",$AD$1 &lt;&gt; ""Target""), MaxLevel, TargetLevel),
    LabLevel, VLOOKUP(Y101,MS_Labs_Array,2,False),
    DVTColumn, MATCH(Y101, DVT_Laboratory!$A$1:BO$1, 0),
    xextTime, INDIRECT(""DVT_Laboratory!"" &amp; ADDRESS(LabLe"&amp;"vel+3, DVTColumn)) / LabSpeed,
    remainingTime, SUM(INDIRECT(""DVT_Laboratory!"" &amp; ADDRESS(LabLevel+3, DVTColumn) &amp; "":"" &amp; ADDRESS(MaxOrTarget+2, DVTColumn))) / LabSpeed,
  Y101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1" s="1249"/>
      <c r="AC101" s="1249"/>
      <c r="AD101" s="1249"/>
      <c r="AE101" s="1249"/>
      <c r="AF101" s="1250" t="str">
        <f>IFERROR(__xludf.DUMMYFUNCTION("if(AE101 &lt;&gt; """", 
  LET( 
    TargetLevel, VLOOKUP(AE101,MS_Labs_Array,3,false),
    MaxLevel, VLOOKUP(AE101,MS_Labs_Array,4,false),
    MaxOrTarget, IF(OR(TargetLevel = """",$AD$1 &lt;&gt; ""Target""), MaxLevel, TargetLevel),
    LabLevel, VLOOKUP(AE101,MS_La"&amp;"bs_Array,2,False),
    Levelprogress, LabLevel / MaxOrTarget,
    DVTColumn, MATCH(AE101,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1" s="1251" t="str">
        <f>IFERROR(__xludf.DUMMYFUNCTION("if(AE101 &lt;&gt; """", 
  LET(
    TargetLevel, VLOOKUP(AE101,MS_Labs_Array,3,false),
    LabSpeed, (1 * REGEXEXTRACT($BH$1, ""[\d.-]+"")) * {IF(AE101 =""Labs Speed"", 1+'Master Sheet'!$BK$5, LAB_SPEED_TOTAL())},
    MaxLevel, VLOOKUP(AE101,MS_Labs_Array,4,fal"&amp;"se),
    MaxOrTarget, IF(OR(TargetLevel = """",$AD$1 &lt;&gt; ""Target""), MaxLevel, TargetLevel),
    LabLevel, VLOOKUP(AE101,MS_Labs_Array,2,False),
    DVTColumn, MATCH(AE101, DVT_Laboratory!$A$1:BO$1, 0),
    xextTime, INDIRECT(""DVT_Laboratory!"" &amp; ADDRESS"&amp;"(LabLevel+3, DVTColumn)) / LabSpeed,
    remainingTime, SUM(INDIRECT(""DVT_Laboratory!"" &amp; ADDRESS(LabLevel+3, DVTColumn) &amp; "":"" &amp; ADDRESS(MaxOrTarget+2, DVTColumn))) / LabSpeed,
  AE101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1" s="1249"/>
      <c r="AI101" s="1249"/>
      <c r="AJ101" s="1249"/>
      <c r="AK101" s="1249"/>
      <c r="AL101" s="1250" t="str">
        <f>IFERROR(__xludf.DUMMYFUNCTION("if(AK101 &lt;&gt; """", 
  LET( 
    TargetLevel, VLOOKUP(AK101,MS_Labs_Array,3,false),
    MaxLevel, VLOOKUP(AK101,MS_Labs_Array,4,false),
    MaxOrTarget, IF(OR(TargetLevel = """",$AD$1 &lt;&gt; ""Target""), MaxLevel, TargetLevel),
    LabLevel, VLOOKUP(AK101,MS_La"&amp;"bs_Array,2,False),
    Levelprogress, LabLevel / MaxOrTarget,
    DVTColumn, MATCH(AK101,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1" s="1251" t="str">
        <f>IFERROR(__xludf.DUMMYFUNCTION("if(AK101 &lt;&gt; """", 
  LET(
    TargetLevel, VLOOKUP(AK101,MS_Labs_Array,3,false),
    LabSpeed, (1 * REGEXEXTRACT($BH$1, ""[\d.-]+"")) * {IF(AK101 =""Labs Speed"", 1+'Master Sheet'!$BK$5, LAB_SPEED_TOTAL())},
    MaxLevel, VLOOKUP(AK101,MS_Labs_Array,4,fal"&amp;"se),
    MaxOrTarget, IF(OR(TargetLevel = """",$AD$1 &lt;&gt; ""Target""), MaxLevel, TargetLevel),
    LabLevel, VLOOKUP(AK101,MS_Labs_Array,2,False),
    DVTColumn, MATCH(AK101, DVT_Laboratory!$A$1:BO$1, 0),
    xextTime, INDIRECT(""DVT_Laboratory!"" &amp; ADDRESS"&amp;"(LabLevel+3, DVTColumn)) / LabSpeed,
    remainingTime, SUM(INDIRECT(""DVT_Laboratory!"" &amp; ADDRESS(LabLevel+3, DVTColumn) &amp; "":"" &amp; ADDRESS(MaxOrTarget+2, DVTColumn))) / LabSpeed,
  AK101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1" s="1249"/>
      <c r="AO101" s="1249"/>
      <c r="AP101" s="1249"/>
      <c r="AQ101" s="1249"/>
      <c r="AR101" s="1250" t="str">
        <f>IFERROR(__xludf.DUMMYFUNCTION("if(AQ101 &lt;&gt; """", 
  LET( 
    TargetLevel, VLOOKUP(AQ101,MS_Labs_Array,3,false),
    MaxLevel, VLOOKUP(AQ101,MS_Labs_Array,4,false),
    MaxOrTarget, IF(OR(TargetLevel = """",$AD$1 &lt;&gt; ""Target""), MaxLevel, TargetLevel),
    LabLevel, VLOOKUP(AQ101,MS_La"&amp;"bs_Array,2,False),
    Levelprogress, LabLevel / MaxOrTarget,
    DVTColumn, MATCH(AQ101,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1" s="1251" t="str">
        <f>IFERROR(__xludf.DUMMYFUNCTION("if(AQ101 &lt;&gt; """", 
  LET(
    TargetLevel, VLOOKUP(AQ101,MS_Labs_Array,3,false),
    LabSpeed, (1 * REGEXEXTRACT($BH$1, ""[\d.-]+"")) * {IF(AQ101 =""Labs Speed"", 1+'Master Sheet'!$BK$5, LAB_SPEED_TOTAL())},
    MaxLevel, VLOOKUP(AQ101,MS_Labs_Array,4,fal"&amp;"se),
    MaxOrTarget, IF(OR(TargetLevel = """",$AD$1 &lt;&gt; ""Target""), MaxLevel, TargetLevel),
    LabLevel, VLOOKUP(AQ101,MS_Labs_Array,2,False),
    DVTColumn, MATCH(AQ101, DVT_Laboratory!$A$1:BO$1, 0),
    xextTime, INDIRECT(""DVT_Laboratory!"" &amp; ADDRESS"&amp;"(LabLevel+3, DVTColumn)) / LabSpeed,
    remainingTime, SUM(INDIRECT(""DVT_Laboratory!"" &amp; ADDRESS(LabLevel+3, DVTColumn) &amp; "":"" &amp; ADDRESS(MaxOrTarget+2, DVTColumn))) / LabSpeed,
  AQ101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1" s="1249"/>
      <c r="AU101" s="1249"/>
      <c r="AV101" s="1249"/>
      <c r="AW101" s="1249"/>
      <c r="AX101" s="1250" t="str">
        <f>IFERROR(__xludf.DUMMYFUNCTION("if(AW101 &lt;&gt; """", 
  LET( 
    TargetLevel, VLOOKUP(AW101,MS_Labs_Array,3,false),
    MaxLevel, VLOOKUP(AW101,MS_Labs_Array,4,false),
    MaxOrTarget, IF(OR(TargetLevel = """",$AD$1 &lt;&gt; ""Target""), MaxLevel, TargetLevel),
    LabLevel, VLOOKUP(AW101,MS_La"&amp;"bs_Array,2,False),
    Levelprogress, LabLevel / MaxOrTarget,
    DVTColumn, MATCH(AW101,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1" s="1251" t="str">
        <f>IFERROR(__xludf.DUMMYFUNCTION("if(AW101 &lt;&gt; """", 
  LET(
    TargetLevel, VLOOKUP(AW101,MS_Labs_Array,3,false),
    LabSpeed, (1 * REGEXEXTRACT($BH$1, ""[\d.-]+"")) * {IF(AW101 =""Labs Speed"", 1+'Master Sheet'!$BK$5, LAB_SPEED_TOTAL())},
    MaxLevel, VLOOKUP(AW101,MS_Labs_Array,4,fal"&amp;"se),
    MaxOrTarget, IF(OR(TargetLevel = """",$AD$1 &lt;&gt; ""Target""), MaxLevel, TargetLevel),
    LabLevel, VLOOKUP(AW101,MS_Labs_Array,2,False),
    DVTColumn, MATCH(AW101, DVT_Laboratory!$A$1:BO$1, 0),
    xextTime, INDIRECT(""DVT_Laboratory!"" &amp; ADDRESS"&amp;"(LabLevel+3, DVTColumn)) / LabSpeed,
    remainingTime, SUM(INDIRECT(""DVT_Laboratory!"" &amp; ADDRESS(LabLevel+3, DVTColumn) &amp; "":"" &amp; ADDRESS(MaxOrTarget+2, DVTColumn))) / LabSpeed,
  AW101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1" s="1249"/>
      <c r="BA101" s="1249"/>
      <c r="BB101" s="1249"/>
      <c r="BC101" s="1249"/>
      <c r="BD101" s="1250" t="str">
        <f>IFERROR(__xludf.DUMMYFUNCTION("if(BC101 &lt;&gt; """", 
  LET( 
    TargetLevel, VLOOKUP(BC101,MS_Labs_Array,3,false),
    MaxLevel, VLOOKUP(BC101,MS_Labs_Array,4,false),
    MaxOrTarget, IF(OR(TargetLevel = """",$AD$1 &lt;&gt; ""Target""), MaxLevel, TargetLevel),
    LabLevel, VLOOKUP(BC101,MS_La"&amp;"bs_Array,2,False),
    Levelprogress, LabLevel / MaxOrTarget,
    DVTColumn, MATCH(BC101,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1" s="1251" t="str">
        <f>IFERROR(__xludf.DUMMYFUNCTION("if(BC101 &lt;&gt; """", 
  LET(
    TargetLevel, VLOOKUP(BC101,MS_Labs_Array,3,false),
    LabSpeed, (1 * REGEXEXTRACT($BH$1, ""[\d.-]+"")) * {IF(BC101 =""Labs Speed"", 1+'Master Sheet'!$BK$5, LAB_SPEED_TOTAL())},
    MaxLevel, VLOOKUP(BC101,MS_Labs_Array,4,fal"&amp;"se),
    MaxOrTarget, IF(OR(TargetLevel = """",$AD$1 &lt;&gt; ""Target""), MaxLevel, TargetLevel),
    LabLevel, VLOOKUP(BC101,MS_Labs_Array,2,False),
    DVTColumn, MATCH(BC101, DVT_Laboratory!$A$1:BO$1, 0),
    xextTime, INDIRECT(""DVT_Laboratory!"" &amp; ADDRESS"&amp;"(LabLevel+3, DVTColumn)) / LabSpeed,
    remainingTime, SUM(INDIRECT(""DVT_Laboratory!"" &amp; ADDRESS(LabLevel+3, DVTColumn) &amp; "":"" &amp; ADDRESS(MaxOrTarget+2, DVTColumn))) / LabSpeed,
  BC101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1" s="1249"/>
      <c r="BG101" s="1249"/>
      <c r="BH101" s="1260"/>
      <c r="BI101" s="1252"/>
      <c r="BJ101" s="1253" t="str">
        <f>IFERROR(__xludf.DUMMYFUNCTION("if(BI101 &lt;&gt; """", 
  LET( 
    TargetLevel, VLOOKUP(BI101,MS_Labs_Array,3,false),
    MaxLevel, VLOOKUP(BI101,MS_Labs_Array,4,false),
    MaxOrTarget, IF(OR(TargetLevel = """",$AD$1 &lt;&gt; ""Target""), MaxLevel, TargetLevel),
    LabLevel, VLOOKUP(BI101,MS_La"&amp;"bs_Array,2,False),
    Levelprogress, IF(LabLevel &gt;= MaxOrTarget, 1, LabLevel / MaxOrTarget),
    DVTColumn, MATCH(BI101,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1" s="1254" t="str">
        <f>IFERROR(__xludf.DUMMYFUNCTION("if(BI101 &lt;&gt; """", 
  LET(
    TargetLevel, VLOOKUP(BI101,MS_Labs_Array,3,false),
    LabSpeed, (1 * REGEXEXTRACT($BH$1, ""[\d.-]+"")) * {IF(BI101 =""Labs Speed"", 1+'Master Sheet'!$BK$5, LAB_SPEED_TOTAL())},
    MaxLevel, VLOOKUP(BI101,MS_Labs_Array,4,fal"&amp;"se),
    MaxOrTarget, IF(OR(TargetLevel = """",$AD$1 &lt;&gt; ""Target""), MaxLevel, TargetLevel),
    LabLevel, VLOOKUP(BI101,MS_Labs_Array,2,False),
    DVTColumn, MATCH(BI101, DVT_Laboratory!$A$1:BO$1, 0),
    xextTime, INDIRECT(""DVT_Laboratory!"" &amp; ADDRESS"&amp;"(LabLevel+3, DVTColumn)) / LabSpeed,
    remainingTime, SUM(INDIRECT(""DVT_Laboratory!"" &amp; ADDRESS(LabLevel+3, DVTColumn) &amp; "":"" &amp; ADDRESS(MaxOrTarget+2, DVTColumn))) / LabSpeed,
  BI101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1" s="1252"/>
      <c r="BM101" s="1252"/>
      <c r="BN101" s="1222"/>
      <c r="BO101" s="1261"/>
    </row>
    <row r="102" ht="7.5" customHeight="1">
      <c r="A102" s="1222"/>
      <c r="B102" s="1257"/>
      <c r="C102" s="1313" t="s">
        <v>174</v>
      </c>
      <c r="D102" s="1280" t="str">
        <f>VLOOKUP(C102,'Remote Tier List'!A:D, 2, FALSE)</f>
        <v>D</v>
      </c>
      <c r="E102" s="1281" t="str">
        <f>VLOOKUP(C102,'Remote Tier List'!A:D, 3, FALSE)</f>
        <v/>
      </c>
      <c r="F102" s="1284" t="str">
        <f>VLOOKUP(C102,'Remote Tier List'!A:D, 4, FALSE)</f>
        <v>Chance too low to be significant value for the lab time</v>
      </c>
      <c r="G102" s="1245" t="b">
        <f>IFERROR(AND(VLOOKUP("Tier 3",'_IDS'!$BZ$3:$DT$23, 2, FALSE) &gt; 300, NOT(VLOOKUP("Death Ray",'_IDS'!$AE$2:$AG$31, 2, FALSE)="Locked")), true)</f>
        <v>1</v>
      </c>
      <c r="H102" s="1246" t="str">
        <f t="array" ref="H102:I102">LET(
  Lab, $C102,
  Mode, $AD$1,
  Level, VLOOKUP(Lab, MS_Labs_Array, 2, FALSE),
  Target, VLOOKUP(Lab, MS_Labs_Array, 3, FALSE),
  Max, VLOOKUP(Lab, MS_Labs_Array, 4, FALSE),
  Result,
    IF(
      AND(
        Mode &lt;&gt; "Never",
        Level &gt;= IF(OR(Target = "", Mode = "Max"), Max, Target)
      ),
      "Completed",
      ""
    ),
  HSTACK(
    IF(Result &lt;&gt; "", Result, $D102),
    IF(Result &lt;&gt; "", Result, IF($E102 = "", $D102, $E102))
  )
)</f>
        <v>D</v>
      </c>
      <c r="I102" s="1247" t="s">
        <v>548</v>
      </c>
      <c r="J102" s="1248" t="str">
        <f t="shared" si="19"/>
        <v>Chance too low to be significant value for the lab time</v>
      </c>
      <c r="K102" s="1229"/>
      <c r="L102" s="1249" t="str">
        <f>IFERROR(__xludf.DUMMYFUNCTION("""COMPUTED_VALUE"""),"")</f>
        <v/>
      </c>
      <c r="M102" s="1249"/>
      <c r="N102" s="1250" t="str">
        <f>IFERROR(__xludf.DUMMYFUNCTION("if(M102 &lt;&gt; """", 
  LET( 
    TargetLevel, VLOOKUP(M102,MS_Labs_Array,3,false),
    MaxLevel, VLOOKUP(M102,MS_Labs_Array,4,false),
    MaxOrTarget, IF(OR(TargetLevel = """",$AD$1 &lt;&gt; ""Target""), MaxLevel, TargetLevel),
    LabLevel, VLOOKUP(M102,MS_Labs_A"&amp;"rray,2,False),
    Levelprogress, LabLevel / MaxOrTarget,
    DVTColumn, MATCH(M102,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2" s="1251" t="str">
        <f>IFERROR(__xludf.DUMMYFUNCTION("if(M102 &lt;&gt; """", 
  LET(
    TargetLevel, VLOOKUP(M102,MS_Labs_Array,3,false),
    LabSpeed, (1 * REGEXEXTRACT($BH$1, ""[\d.-]+"")) * {IF(M102 =""Labs Speed"", 1+'Master Sheet'!$BK$5, LAB_SPEED_TOTAL())},
    MaxLevel, VLOOKUP(M102,MS_Labs_Array,4,false),"&amp;"
    MaxOrTarget, IF(OR(TargetLevel = """",$AD$1 &lt;&gt; ""Target""), MaxLevel, TargetLevel),
    LabLevel, VLOOKUP(M102,MS_Labs_Array,2,False),
    DVTColumn, MATCH(M102, DVT_Laboratory!$A$1:BO$1, 0),
    xextTime, INDIRECT(""DVT_Laboratory!"" &amp; ADDRESS(LabLe"&amp;"vel+3, DVTColumn)) / LabSpeed,
    remainingTime, SUM(INDIRECT(""DVT_Laboratory!"" &amp; ADDRESS(LabLevel+3, DVTColumn) &amp; "":"" &amp; ADDRESS(MaxOrTarget+2, DVTColumn))) / LabSpeed,
  M102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2" s="1249"/>
      <c r="Q102" s="1249" t="str">
        <f>IFERROR(__xludf.DUMMYFUNCTION("""COMPUTED_VALUE"""),"")</f>
        <v/>
      </c>
      <c r="R102" s="1249" t="str">
        <f>IFERROR(__xludf.DUMMYFUNCTION("""COMPUTED_VALUE"""),"")</f>
        <v/>
      </c>
      <c r="S102" s="1249"/>
      <c r="T102" s="1250" t="str">
        <f>IFERROR(__xludf.DUMMYFUNCTION("if(S102 &lt;&gt; """", 
  LET( 
    TargetLevel, VLOOKUP(S102,MS_Labs_Array,3,false),
    MaxLevel, VLOOKUP(S102,MS_Labs_Array,4,false),
    MaxOrTarget, IF(OR(TargetLevel = """",$AD$1 &lt;&gt; ""Target""), MaxLevel, TargetLevel),
    LabLevel, VLOOKUP(S102,MS_Labs_A"&amp;"rray,2,False),
    Levelprogress, LabLevel / MaxOrTarget,
    DVTColumn, MATCH(S102,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2" s="1251" t="str">
        <f>IFERROR(__xludf.DUMMYFUNCTION("if(S102 &lt;&gt; """", 
  LET(
    TargetLevel, VLOOKUP(S102,MS_Labs_Array,3,false),
    LabSpeed, (1 * REGEXEXTRACT($BH$1, ""[\d.-]+"")) * {IF(S102 =""Labs Speed"", 1+'Master Sheet'!$BK$5, LAB_SPEED_TOTAL())},
    MaxLevel, VLOOKUP(S102,MS_Labs_Array,4,false),"&amp;"
    MaxOrTarget, IF(OR(TargetLevel = """",$AD$1 &lt;&gt; ""Target""), MaxLevel, TargetLevel),
    LabLevel, VLOOKUP(S102,MS_Labs_Array,2,False),
    DVTColumn, MATCH(S102, DVT_Laboratory!$A$1:BO$1, 0),
    xextTime, INDIRECT(""DVT_Laboratory!"" &amp; ADDRESS(LabLe"&amp;"vel+3, DVTColumn)) / LabSpeed,
    remainingTime, SUM(INDIRECT(""DVT_Laboratory!"" &amp; ADDRESS(LabLevel+3, DVTColumn) &amp; "":"" &amp; ADDRESS(MaxOrTarget+2, DVTColumn))) / LabSpeed,
  S102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2" s="1249"/>
      <c r="W102" s="1249" t="str">
        <f>IFERROR(__xludf.DUMMYFUNCTION("""COMPUTED_VALUE"""),"")</f>
        <v/>
      </c>
      <c r="X102" s="1249" t="str">
        <f>IFERROR(__xludf.DUMMYFUNCTION("""COMPUTED_VALUE"""),"")</f>
        <v/>
      </c>
      <c r="Y102" s="1249"/>
      <c r="Z102" s="1250" t="str">
        <f>IFERROR(__xludf.DUMMYFUNCTION("if(Y102 &lt;&gt; """", 
  LET( 
    TargetLevel, VLOOKUP(Y102,MS_Labs_Array,3,false),
    MaxLevel, VLOOKUP(Y102,MS_Labs_Array,4,false),
    MaxOrTarget, IF(OR(TargetLevel = """",$AD$1 &lt;&gt; ""Target""), MaxLevel, TargetLevel),
    LabLevel, VLOOKUP(Y102,MS_Labs_A"&amp;"rray,2,False),
    Levelprogress, LabLevel / MaxOrTarget,
    DVTColumn, MATCH(Y102,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2" s="1251" t="str">
        <f>IFERROR(__xludf.DUMMYFUNCTION("if(Y102 &lt;&gt; """", 
  LET(
    TargetLevel, VLOOKUP(Y102,MS_Labs_Array,3,false),
    LabSpeed, (1 * REGEXEXTRACT($BH$1, ""[\d.-]+"")) * {IF(Y102 =""Labs Speed"", 1+'Master Sheet'!$BK$5, LAB_SPEED_TOTAL())},
    MaxLevel, VLOOKUP(Y102,MS_Labs_Array,4,false),"&amp;"
    MaxOrTarget, IF(OR(TargetLevel = """",$AD$1 &lt;&gt; ""Target""), MaxLevel, TargetLevel),
    LabLevel, VLOOKUP(Y102,MS_Labs_Array,2,False),
    DVTColumn, MATCH(Y102, DVT_Laboratory!$A$1:BO$1, 0),
    xextTime, INDIRECT(""DVT_Laboratory!"" &amp; ADDRESS(LabLe"&amp;"vel+3, DVTColumn)) / LabSpeed,
    remainingTime, SUM(INDIRECT(""DVT_Laboratory!"" &amp; ADDRESS(LabLevel+3, DVTColumn) &amp; "":"" &amp; ADDRESS(MaxOrTarget+2, DVTColumn))) / LabSpeed,
  Y102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2" s="1249"/>
      <c r="AC102" s="1249" t="str">
        <f>IFERROR(__xludf.DUMMYFUNCTION("""COMPUTED_VALUE"""),"")</f>
        <v/>
      </c>
      <c r="AD102" s="1249" t="str">
        <f>IFERROR(__xludf.DUMMYFUNCTION("""COMPUTED_VALUE"""),"")</f>
        <v/>
      </c>
      <c r="AE102" s="1249"/>
      <c r="AF102" s="1250" t="str">
        <f>IFERROR(__xludf.DUMMYFUNCTION("if(AE102 &lt;&gt; """", 
  LET( 
    TargetLevel, VLOOKUP(AE102,MS_Labs_Array,3,false),
    MaxLevel, VLOOKUP(AE102,MS_Labs_Array,4,false),
    MaxOrTarget, IF(OR(TargetLevel = """",$AD$1 &lt;&gt; ""Target""), MaxLevel, TargetLevel),
    LabLevel, VLOOKUP(AE102,MS_La"&amp;"bs_Array,2,False),
    Levelprogress, LabLevel / MaxOrTarget,
    DVTColumn, MATCH(AE102,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2" s="1251" t="str">
        <f>IFERROR(__xludf.DUMMYFUNCTION("if(AE102 &lt;&gt; """", 
  LET(
    TargetLevel, VLOOKUP(AE102,MS_Labs_Array,3,false),
    LabSpeed, (1 * REGEXEXTRACT($BH$1, ""[\d.-]+"")) * {IF(AE102 =""Labs Speed"", 1+'Master Sheet'!$BK$5, LAB_SPEED_TOTAL())},
    MaxLevel, VLOOKUP(AE102,MS_Labs_Array,4,fal"&amp;"se),
    MaxOrTarget, IF(OR(TargetLevel = """",$AD$1 &lt;&gt; ""Target""), MaxLevel, TargetLevel),
    LabLevel, VLOOKUP(AE102,MS_Labs_Array,2,False),
    DVTColumn, MATCH(AE102, DVT_Laboratory!$A$1:BO$1, 0),
    xextTime, INDIRECT(""DVT_Laboratory!"" &amp; ADDRESS"&amp;"(LabLevel+3, DVTColumn)) / LabSpeed,
    remainingTime, SUM(INDIRECT(""DVT_Laboratory!"" &amp; ADDRESS(LabLevel+3, DVTColumn) &amp; "":"" &amp; ADDRESS(MaxOrTarget+2, DVTColumn))) / LabSpeed,
  AE102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2" s="1249"/>
      <c r="AI102" s="1249" t="str">
        <f>IFERROR(__xludf.DUMMYFUNCTION("""COMPUTED_VALUE"""),"")</f>
        <v/>
      </c>
      <c r="AJ102" s="1249" t="str">
        <f>IFERROR(__xludf.DUMMYFUNCTION("""COMPUTED_VALUE"""),"")</f>
        <v/>
      </c>
      <c r="AK102" s="1249"/>
      <c r="AL102" s="1250" t="str">
        <f>IFERROR(__xludf.DUMMYFUNCTION("if(AK102 &lt;&gt; """", 
  LET( 
    TargetLevel, VLOOKUP(AK102,MS_Labs_Array,3,false),
    MaxLevel, VLOOKUP(AK102,MS_Labs_Array,4,false),
    MaxOrTarget, IF(OR(TargetLevel = """",$AD$1 &lt;&gt; ""Target""), MaxLevel, TargetLevel),
    LabLevel, VLOOKUP(AK102,MS_La"&amp;"bs_Array,2,False),
    Levelprogress, LabLevel / MaxOrTarget,
    DVTColumn, MATCH(AK102,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2" s="1251" t="str">
        <f>IFERROR(__xludf.DUMMYFUNCTION("if(AK102 &lt;&gt; """", 
  LET(
    TargetLevel, VLOOKUP(AK102,MS_Labs_Array,3,false),
    LabSpeed, (1 * REGEXEXTRACT($BH$1, ""[\d.-]+"")) * {IF(AK102 =""Labs Speed"", 1+'Master Sheet'!$BK$5, LAB_SPEED_TOTAL())},
    MaxLevel, VLOOKUP(AK102,MS_Labs_Array,4,fal"&amp;"se),
    MaxOrTarget, IF(OR(TargetLevel = """",$AD$1 &lt;&gt; ""Target""), MaxLevel, TargetLevel),
    LabLevel, VLOOKUP(AK102,MS_Labs_Array,2,False),
    DVTColumn, MATCH(AK102, DVT_Laboratory!$A$1:BO$1, 0),
    xextTime, INDIRECT(""DVT_Laboratory!"" &amp; ADDRESS"&amp;"(LabLevel+3, DVTColumn)) / LabSpeed,
    remainingTime, SUM(INDIRECT(""DVT_Laboratory!"" &amp; ADDRESS(LabLevel+3, DVTColumn) &amp; "":"" &amp; ADDRESS(MaxOrTarget+2, DVTColumn))) / LabSpeed,
  AK102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2" s="1249"/>
      <c r="AO102" s="1249" t="str">
        <f>IFERROR(__xludf.DUMMYFUNCTION("""COMPUTED_VALUE"""),"")</f>
        <v/>
      </c>
      <c r="AP102" s="1249" t="str">
        <f>IFERROR(__xludf.DUMMYFUNCTION("""COMPUTED_VALUE"""),"")</f>
        <v/>
      </c>
      <c r="AQ102" s="1249"/>
      <c r="AR102" s="1250" t="str">
        <f>IFERROR(__xludf.DUMMYFUNCTION("if(AQ102 &lt;&gt; """", 
  LET( 
    TargetLevel, VLOOKUP(AQ102,MS_Labs_Array,3,false),
    MaxLevel, VLOOKUP(AQ102,MS_Labs_Array,4,false),
    MaxOrTarget, IF(OR(TargetLevel = """",$AD$1 &lt;&gt; ""Target""), MaxLevel, TargetLevel),
    LabLevel, VLOOKUP(AQ102,MS_La"&amp;"bs_Array,2,False),
    Levelprogress, LabLevel / MaxOrTarget,
    DVTColumn, MATCH(AQ102,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2" s="1251" t="str">
        <f>IFERROR(__xludf.DUMMYFUNCTION("if(AQ102 &lt;&gt; """", 
  LET(
    TargetLevel, VLOOKUP(AQ102,MS_Labs_Array,3,false),
    LabSpeed, (1 * REGEXEXTRACT($BH$1, ""[\d.-]+"")) * {IF(AQ102 =""Labs Speed"", 1+'Master Sheet'!$BK$5, LAB_SPEED_TOTAL())},
    MaxLevel, VLOOKUP(AQ102,MS_Labs_Array,4,fal"&amp;"se),
    MaxOrTarget, IF(OR(TargetLevel = """",$AD$1 &lt;&gt; ""Target""), MaxLevel, TargetLevel),
    LabLevel, VLOOKUP(AQ102,MS_Labs_Array,2,False),
    DVTColumn, MATCH(AQ102, DVT_Laboratory!$A$1:BO$1, 0),
    xextTime, INDIRECT(""DVT_Laboratory!"" &amp; ADDRESS"&amp;"(LabLevel+3, DVTColumn)) / LabSpeed,
    remainingTime, SUM(INDIRECT(""DVT_Laboratory!"" &amp; ADDRESS(LabLevel+3, DVTColumn) &amp; "":"" &amp; ADDRESS(MaxOrTarget+2, DVTColumn))) / LabSpeed,
  AQ102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2" s="1249"/>
      <c r="AU102" s="1249" t="str">
        <f>IFERROR(__xludf.DUMMYFUNCTION("""COMPUTED_VALUE"""),"")</f>
        <v/>
      </c>
      <c r="AV102" s="1249" t="str">
        <f>IFERROR(__xludf.DUMMYFUNCTION("""COMPUTED_VALUE"""),"")</f>
        <v/>
      </c>
      <c r="AW102" s="1249"/>
      <c r="AX102" s="1250" t="str">
        <f>IFERROR(__xludf.DUMMYFUNCTION("if(AW102 &lt;&gt; """", 
  LET( 
    TargetLevel, VLOOKUP(AW102,MS_Labs_Array,3,false),
    MaxLevel, VLOOKUP(AW102,MS_Labs_Array,4,false),
    MaxOrTarget, IF(OR(TargetLevel = """",$AD$1 &lt;&gt; ""Target""), MaxLevel, TargetLevel),
    LabLevel, VLOOKUP(AW102,MS_La"&amp;"bs_Array,2,False),
    Levelprogress, LabLevel / MaxOrTarget,
    DVTColumn, MATCH(AW102,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2" s="1251" t="str">
        <f>IFERROR(__xludf.DUMMYFUNCTION("if(AW102 &lt;&gt; """", 
  LET(
    TargetLevel, VLOOKUP(AW102,MS_Labs_Array,3,false),
    LabSpeed, (1 * REGEXEXTRACT($BH$1, ""[\d.-]+"")) * {IF(AW102 =""Labs Speed"", 1+'Master Sheet'!$BK$5, LAB_SPEED_TOTAL())},
    MaxLevel, VLOOKUP(AW102,MS_Labs_Array,4,fal"&amp;"se),
    MaxOrTarget, IF(OR(TargetLevel = """",$AD$1 &lt;&gt; ""Target""), MaxLevel, TargetLevel),
    LabLevel, VLOOKUP(AW102,MS_Labs_Array,2,False),
    DVTColumn, MATCH(AW102, DVT_Laboratory!$A$1:BO$1, 0),
    xextTime, INDIRECT(""DVT_Laboratory!"" &amp; ADDRESS"&amp;"(LabLevel+3, DVTColumn)) / LabSpeed,
    remainingTime, SUM(INDIRECT(""DVT_Laboratory!"" &amp; ADDRESS(LabLevel+3, DVTColumn) &amp; "":"" &amp; ADDRESS(MaxOrTarget+2, DVTColumn))) / LabSpeed,
  AW102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2" s="1249"/>
      <c r="BA102" s="1249" t="str">
        <f>IFERROR(__xludf.DUMMYFUNCTION("""COMPUTED_VALUE"""),"")</f>
        <v/>
      </c>
      <c r="BB102" s="1249" t="str">
        <f>IFERROR(__xludf.DUMMYFUNCTION("""COMPUTED_VALUE"""),"")</f>
        <v/>
      </c>
      <c r="BC102" s="1249"/>
      <c r="BD102" s="1250" t="str">
        <f>IFERROR(__xludf.DUMMYFUNCTION("if(BC102 &lt;&gt; """", 
  LET( 
    TargetLevel, VLOOKUP(BC102,MS_Labs_Array,3,false),
    MaxLevel, VLOOKUP(BC102,MS_Labs_Array,4,false),
    MaxOrTarget, IF(OR(TargetLevel = """",$AD$1 &lt;&gt; ""Target""), MaxLevel, TargetLevel),
    LabLevel, VLOOKUP(BC102,MS_La"&amp;"bs_Array,2,False),
    Levelprogress, LabLevel / MaxOrTarget,
    DVTColumn, MATCH(BC102,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2" s="1251" t="str">
        <f>IFERROR(__xludf.DUMMYFUNCTION("if(BC102 &lt;&gt; """", 
  LET(
    TargetLevel, VLOOKUP(BC102,MS_Labs_Array,3,false),
    LabSpeed, (1 * REGEXEXTRACT($BH$1, ""[\d.-]+"")) * {IF(BC102 =""Labs Speed"", 1+'Master Sheet'!$BK$5, LAB_SPEED_TOTAL())},
    MaxLevel, VLOOKUP(BC102,MS_Labs_Array,4,fal"&amp;"se),
    MaxOrTarget, IF(OR(TargetLevel = """",$AD$1 &lt;&gt; ""Target""), MaxLevel, TargetLevel),
    LabLevel, VLOOKUP(BC102,MS_Labs_Array,2,False),
    DVTColumn, MATCH(BC102, DVT_Laboratory!$A$1:BO$1, 0),
    xextTime, INDIRECT(""DVT_Laboratory!"" &amp; ADDRESS"&amp;"(LabLevel+3, DVTColumn)) / LabSpeed,
    remainingTime, SUM(INDIRECT(""DVT_Laboratory!"" &amp; ADDRESS(LabLevel+3, DVTColumn) &amp; "":"" &amp; ADDRESS(MaxOrTarget+2, DVTColumn))) / LabSpeed,
  BC102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2" s="1249"/>
      <c r="BG102" s="1249" t="str">
        <f>IFERROR(__xludf.DUMMYFUNCTION("""COMPUTED_VALUE"""),"")</f>
        <v/>
      </c>
      <c r="BH102" s="1260" t="str">
        <f>IFERROR(__xludf.DUMMYFUNCTION("""COMPUTED_VALUE"""),"")</f>
        <v/>
      </c>
      <c r="BI102" s="1252"/>
      <c r="BJ102" s="1253" t="str">
        <f>IFERROR(__xludf.DUMMYFUNCTION("if(BI102 &lt;&gt; """", 
  LET( 
    TargetLevel, VLOOKUP(BI102,MS_Labs_Array,3,false),
    MaxLevel, VLOOKUP(BI102,MS_Labs_Array,4,false),
    MaxOrTarget, IF(OR(TargetLevel = """",$AD$1 &lt;&gt; ""Target""), MaxLevel, TargetLevel),
    LabLevel, VLOOKUP(BI102,MS_La"&amp;"bs_Array,2,False),
    Levelprogress, IF(LabLevel &gt;= MaxOrTarget, 1, LabLevel / MaxOrTarget),
    DVTColumn, MATCH(BI102,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2" s="1254" t="str">
        <f>IFERROR(__xludf.DUMMYFUNCTION("if(BI102 &lt;&gt; """", 
  LET(
    TargetLevel, VLOOKUP(BI102,MS_Labs_Array,3,false),
    LabSpeed, (1 * REGEXEXTRACT($BH$1, ""[\d.-]+"")) * {IF(BI102 =""Labs Speed"", 1+'Master Sheet'!$BK$5, LAB_SPEED_TOTAL())},
    MaxLevel, VLOOKUP(BI102,MS_Labs_Array,4,fal"&amp;"se),
    MaxOrTarget, IF(OR(TargetLevel = """",$AD$1 &lt;&gt; ""Target""), MaxLevel, TargetLevel),
    LabLevel, VLOOKUP(BI102,MS_Labs_Array,2,False),
    DVTColumn, MATCH(BI102, DVT_Laboratory!$A$1:BO$1, 0),
    xextTime, INDIRECT(""DVT_Laboratory!"" &amp; ADDRESS"&amp;"(LabLevel+3, DVTColumn)) / LabSpeed,
    remainingTime, SUM(INDIRECT(""DVT_Laboratory!"" &amp; ADDRESS(LabLevel+3, DVTColumn) &amp; "":"" &amp; ADDRESS(MaxOrTarget+2, DVTColumn))) / LabSpeed,
  BI102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2" s="1252"/>
      <c r="BM102" s="1252" t="str">
        <f>IFERROR(__xludf.DUMMYFUNCTION("""COMPUTED_VALUE"""),"")</f>
        <v/>
      </c>
      <c r="BN102" s="1222"/>
      <c r="BO102" s="1261"/>
    </row>
    <row r="103">
      <c r="A103" s="1222"/>
      <c r="B103" s="1262" t="s">
        <v>561</v>
      </c>
      <c r="C103" s="1313" t="s">
        <v>185</v>
      </c>
      <c r="D103" s="1280" t="str">
        <f>VLOOKUP(C103,'Remote Tier List'!A:D, 2, FALSE)</f>
        <v>S</v>
      </c>
      <c r="E103" s="1281" t="str">
        <f>VLOOKUP(C103,'Remote Tier List'!A:D, 3, FALSE)</f>
        <v/>
      </c>
      <c r="F103" s="1284" t="str">
        <f>VLOOKUP(C103,'Remote Tier List'!A:D, 4, FALSE)</f>
        <v>Makes extra orbs a lot more useful. Allows easy clearing of BH</v>
      </c>
      <c r="G103" s="1245" t="b">
        <f>IFERROR(AND(VLOOKUP("Tier 6",'_IDS'!$BZ$3:$DT$23, 2, FALSE) &gt; 50, NOT(VLOOKUP("Extra Orb",'_IDS'!$AE$2:$AG$31, 2, FALSE)="Locked")), true)</f>
        <v>1</v>
      </c>
      <c r="H103" s="1246" t="str">
        <f t="array" ref="H103:I103">LET(
  Lab, $C103,
  Mode, $AD$1,
  Level, VLOOKUP(Lab, MS_Labs_Array, 2, FALSE),
  Target, VLOOKUP(Lab, MS_Labs_Array, 3, FALSE),
  Max, VLOOKUP(Lab, MS_Labs_Array, 4, FALSE),
  Result,
    IF(
      AND(
        Mode &lt;&gt; "Never",
        Level &gt;= IF(OR(Target = "", Mode = "Max"), Max, Target)
      ),
      "Completed",
      ""
    ),
  HSTACK(
    IF(Result &lt;&gt; "", Result, $D103),
    IF(Result &lt;&gt; "", Result, IF($E103 = "", $D103, $E103))
  )
)</f>
        <v>Completed</v>
      </c>
      <c r="I103" s="1247" t="s">
        <v>551</v>
      </c>
      <c r="J103" s="1248" t="str">
        <f t="shared" si="19"/>
        <v>Makes extra orbs a lot more useful. Allows easy clearing of BH</v>
      </c>
      <c r="K103" s="1229"/>
      <c r="L103" s="1249"/>
      <c r="M103" s="1249"/>
      <c r="N103" s="1250" t="str">
        <f>IFERROR(__xludf.DUMMYFUNCTION("if(M103 &lt;&gt; """", 
  LET( 
    TargetLevel, VLOOKUP(M103,MS_Labs_Array,3,false),
    MaxLevel, VLOOKUP(M103,MS_Labs_Array,4,false),
    MaxOrTarget, IF(OR(TargetLevel = """",$AD$1 &lt;&gt; ""Target""), MaxLevel, TargetLevel),
    LabLevel, VLOOKUP(M103,MS_Labs_A"&amp;"rray,2,False),
    Levelprogress, LabLevel / MaxOrTarget,
    DVTColumn, MATCH(M103,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3" s="1251" t="str">
        <f>IFERROR(__xludf.DUMMYFUNCTION("if(M103 &lt;&gt; """", 
  LET(
    TargetLevel, VLOOKUP(M103,MS_Labs_Array,3,false),
    LabSpeed, (1 * REGEXEXTRACT($BH$1, ""[\d.-]+"")) * {IF(M103 =""Labs Speed"", 1+'Master Sheet'!$BK$5, LAB_SPEED_TOTAL())},
    MaxLevel, VLOOKUP(M103,MS_Labs_Array,4,false),"&amp;"
    MaxOrTarget, IF(OR(TargetLevel = """",$AD$1 &lt;&gt; ""Target""), MaxLevel, TargetLevel),
    LabLevel, VLOOKUP(M103,MS_Labs_Array,2,False),
    DVTColumn, MATCH(M103, DVT_Laboratory!$A$1:BO$1, 0),
    xextTime, INDIRECT(""DVT_Laboratory!"" &amp; ADDRESS(LabLe"&amp;"vel+3, DVTColumn)) / LabSpeed,
    remainingTime, SUM(INDIRECT(""DVT_Laboratory!"" &amp; ADDRESS(LabLevel+3, DVTColumn) &amp; "":"" &amp; ADDRESS(MaxOrTarget+2, DVTColumn))) / LabSpeed,
  M103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3" s="1249"/>
      <c r="Q103" s="1249"/>
      <c r="R103" s="1249"/>
      <c r="S103" s="1249"/>
      <c r="T103" s="1250" t="str">
        <f>IFERROR(__xludf.DUMMYFUNCTION("if(S103 &lt;&gt; """", 
  LET( 
    TargetLevel, VLOOKUP(S103,MS_Labs_Array,3,false),
    MaxLevel, VLOOKUP(S103,MS_Labs_Array,4,false),
    MaxOrTarget, IF(OR(TargetLevel = """",$AD$1 &lt;&gt; ""Target""), MaxLevel, TargetLevel),
    LabLevel, VLOOKUP(S103,MS_Labs_A"&amp;"rray,2,False),
    Levelprogress, LabLevel / MaxOrTarget,
    DVTColumn, MATCH(S103,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3" s="1251" t="str">
        <f>IFERROR(__xludf.DUMMYFUNCTION("if(S103 &lt;&gt; """", 
  LET(
    TargetLevel, VLOOKUP(S103,MS_Labs_Array,3,false),
    LabSpeed, (1 * REGEXEXTRACT($BH$1, ""[\d.-]+"")) * {IF(S103 =""Labs Speed"", 1+'Master Sheet'!$BK$5, LAB_SPEED_TOTAL())},
    MaxLevel, VLOOKUP(S103,MS_Labs_Array,4,false),"&amp;"
    MaxOrTarget, IF(OR(TargetLevel = """",$AD$1 &lt;&gt; ""Target""), MaxLevel, TargetLevel),
    LabLevel, VLOOKUP(S103,MS_Labs_Array,2,False),
    DVTColumn, MATCH(S103, DVT_Laboratory!$A$1:BO$1, 0),
    xextTime, INDIRECT(""DVT_Laboratory!"" &amp; ADDRESS(LabLe"&amp;"vel+3, DVTColumn)) / LabSpeed,
    remainingTime, SUM(INDIRECT(""DVT_Laboratory!"" &amp; ADDRESS(LabLevel+3, DVTColumn) &amp; "":"" &amp; ADDRESS(MaxOrTarget+2, DVTColumn))) / LabSpeed,
  S103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3" s="1249"/>
      <c r="W103" s="1249"/>
      <c r="X103" s="1249"/>
      <c r="Y103" s="1249"/>
      <c r="Z103" s="1250" t="str">
        <f>IFERROR(__xludf.DUMMYFUNCTION("if(Y103 &lt;&gt; """", 
  LET( 
    TargetLevel, VLOOKUP(Y103,MS_Labs_Array,3,false),
    MaxLevel, VLOOKUP(Y103,MS_Labs_Array,4,false),
    MaxOrTarget, IF(OR(TargetLevel = """",$AD$1 &lt;&gt; ""Target""), MaxLevel, TargetLevel),
    LabLevel, VLOOKUP(Y103,MS_Labs_A"&amp;"rray,2,False),
    Levelprogress, LabLevel / MaxOrTarget,
    DVTColumn, MATCH(Y103,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3" s="1251" t="str">
        <f>IFERROR(__xludf.DUMMYFUNCTION("if(Y103 &lt;&gt; """", 
  LET(
    TargetLevel, VLOOKUP(Y103,MS_Labs_Array,3,false),
    LabSpeed, (1 * REGEXEXTRACT($BH$1, ""[\d.-]+"")) * {IF(Y103 =""Labs Speed"", 1+'Master Sheet'!$BK$5, LAB_SPEED_TOTAL())},
    MaxLevel, VLOOKUP(Y103,MS_Labs_Array,4,false),"&amp;"
    MaxOrTarget, IF(OR(TargetLevel = """",$AD$1 &lt;&gt; ""Target""), MaxLevel, TargetLevel),
    LabLevel, VLOOKUP(Y103,MS_Labs_Array,2,False),
    DVTColumn, MATCH(Y103, DVT_Laboratory!$A$1:BO$1, 0),
    xextTime, INDIRECT(""DVT_Laboratory!"" &amp; ADDRESS(LabLe"&amp;"vel+3, DVTColumn)) / LabSpeed,
    remainingTime, SUM(INDIRECT(""DVT_Laboratory!"" &amp; ADDRESS(LabLevel+3, DVTColumn) &amp; "":"" &amp; ADDRESS(MaxOrTarget+2, DVTColumn))) / LabSpeed,
  Y103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3" s="1249"/>
      <c r="AC103" s="1249"/>
      <c r="AD103" s="1249"/>
      <c r="AE103" s="1249"/>
      <c r="AF103" s="1250" t="str">
        <f>IFERROR(__xludf.DUMMYFUNCTION("if(AE103 &lt;&gt; """", 
  LET( 
    TargetLevel, VLOOKUP(AE103,MS_Labs_Array,3,false),
    MaxLevel, VLOOKUP(AE103,MS_Labs_Array,4,false),
    MaxOrTarget, IF(OR(TargetLevel = """",$AD$1 &lt;&gt; ""Target""), MaxLevel, TargetLevel),
    LabLevel, VLOOKUP(AE103,MS_La"&amp;"bs_Array,2,False),
    Levelprogress, LabLevel / MaxOrTarget,
    DVTColumn, MATCH(AE103,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3" s="1251" t="str">
        <f>IFERROR(__xludf.DUMMYFUNCTION("if(AE103 &lt;&gt; """", 
  LET(
    TargetLevel, VLOOKUP(AE103,MS_Labs_Array,3,false),
    LabSpeed, (1 * REGEXEXTRACT($BH$1, ""[\d.-]+"")) * {IF(AE103 =""Labs Speed"", 1+'Master Sheet'!$BK$5, LAB_SPEED_TOTAL())},
    MaxLevel, VLOOKUP(AE103,MS_Labs_Array,4,fal"&amp;"se),
    MaxOrTarget, IF(OR(TargetLevel = """",$AD$1 &lt;&gt; ""Target""), MaxLevel, TargetLevel),
    LabLevel, VLOOKUP(AE103,MS_Labs_Array,2,False),
    DVTColumn, MATCH(AE103, DVT_Laboratory!$A$1:BO$1, 0),
    xextTime, INDIRECT(""DVT_Laboratory!"" &amp; ADDRESS"&amp;"(LabLevel+3, DVTColumn)) / LabSpeed,
    remainingTime, SUM(INDIRECT(""DVT_Laboratory!"" &amp; ADDRESS(LabLevel+3, DVTColumn) &amp; "":"" &amp; ADDRESS(MaxOrTarget+2, DVTColumn))) / LabSpeed,
  AE103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3" s="1249"/>
      <c r="AI103" s="1249"/>
      <c r="AJ103" s="1249"/>
      <c r="AK103" s="1249"/>
      <c r="AL103" s="1250" t="str">
        <f>IFERROR(__xludf.DUMMYFUNCTION("if(AK103 &lt;&gt; """", 
  LET( 
    TargetLevel, VLOOKUP(AK103,MS_Labs_Array,3,false),
    MaxLevel, VLOOKUP(AK103,MS_Labs_Array,4,false),
    MaxOrTarget, IF(OR(TargetLevel = """",$AD$1 &lt;&gt; ""Target""), MaxLevel, TargetLevel),
    LabLevel, VLOOKUP(AK103,MS_La"&amp;"bs_Array,2,False),
    Levelprogress, LabLevel / MaxOrTarget,
    DVTColumn, MATCH(AK103,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3" s="1251" t="str">
        <f>IFERROR(__xludf.DUMMYFUNCTION("if(AK103 &lt;&gt; """", 
  LET(
    TargetLevel, VLOOKUP(AK103,MS_Labs_Array,3,false),
    LabSpeed, (1 * REGEXEXTRACT($BH$1, ""[\d.-]+"")) * {IF(AK103 =""Labs Speed"", 1+'Master Sheet'!$BK$5, LAB_SPEED_TOTAL())},
    MaxLevel, VLOOKUP(AK103,MS_Labs_Array,4,fal"&amp;"se),
    MaxOrTarget, IF(OR(TargetLevel = """",$AD$1 &lt;&gt; ""Target""), MaxLevel, TargetLevel),
    LabLevel, VLOOKUP(AK103,MS_Labs_Array,2,False),
    DVTColumn, MATCH(AK103, DVT_Laboratory!$A$1:BO$1, 0),
    xextTime, INDIRECT(""DVT_Laboratory!"" &amp; ADDRESS"&amp;"(LabLevel+3, DVTColumn)) / LabSpeed,
    remainingTime, SUM(INDIRECT(""DVT_Laboratory!"" &amp; ADDRESS(LabLevel+3, DVTColumn) &amp; "":"" &amp; ADDRESS(MaxOrTarget+2, DVTColumn))) / LabSpeed,
  AK103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3" s="1249"/>
      <c r="AO103" s="1249"/>
      <c r="AP103" s="1249"/>
      <c r="AQ103" s="1249"/>
      <c r="AR103" s="1250" t="str">
        <f>IFERROR(__xludf.DUMMYFUNCTION("if(AQ103 &lt;&gt; """", 
  LET( 
    TargetLevel, VLOOKUP(AQ103,MS_Labs_Array,3,false),
    MaxLevel, VLOOKUP(AQ103,MS_Labs_Array,4,false),
    MaxOrTarget, IF(OR(TargetLevel = """",$AD$1 &lt;&gt; ""Target""), MaxLevel, TargetLevel),
    LabLevel, VLOOKUP(AQ103,MS_La"&amp;"bs_Array,2,False),
    Levelprogress, LabLevel / MaxOrTarget,
    DVTColumn, MATCH(AQ103,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3" s="1251" t="str">
        <f>IFERROR(__xludf.DUMMYFUNCTION("if(AQ103 &lt;&gt; """", 
  LET(
    TargetLevel, VLOOKUP(AQ103,MS_Labs_Array,3,false),
    LabSpeed, (1 * REGEXEXTRACT($BH$1, ""[\d.-]+"")) * {IF(AQ103 =""Labs Speed"", 1+'Master Sheet'!$BK$5, LAB_SPEED_TOTAL())},
    MaxLevel, VLOOKUP(AQ103,MS_Labs_Array,4,fal"&amp;"se),
    MaxOrTarget, IF(OR(TargetLevel = """",$AD$1 &lt;&gt; ""Target""), MaxLevel, TargetLevel),
    LabLevel, VLOOKUP(AQ103,MS_Labs_Array,2,False),
    DVTColumn, MATCH(AQ103, DVT_Laboratory!$A$1:BO$1, 0),
    xextTime, INDIRECT(""DVT_Laboratory!"" &amp; ADDRESS"&amp;"(LabLevel+3, DVTColumn)) / LabSpeed,
    remainingTime, SUM(INDIRECT(""DVT_Laboratory!"" &amp; ADDRESS(LabLevel+3, DVTColumn) &amp; "":"" &amp; ADDRESS(MaxOrTarget+2, DVTColumn))) / LabSpeed,
  AQ103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3" s="1249"/>
      <c r="AU103" s="1249"/>
      <c r="AV103" s="1249"/>
      <c r="AW103" s="1249"/>
      <c r="AX103" s="1250" t="str">
        <f>IFERROR(__xludf.DUMMYFUNCTION("if(AW103 &lt;&gt; """", 
  LET( 
    TargetLevel, VLOOKUP(AW103,MS_Labs_Array,3,false),
    MaxLevel, VLOOKUP(AW103,MS_Labs_Array,4,false),
    MaxOrTarget, IF(OR(TargetLevel = """",$AD$1 &lt;&gt; ""Target""), MaxLevel, TargetLevel),
    LabLevel, VLOOKUP(AW103,MS_La"&amp;"bs_Array,2,False),
    Levelprogress, LabLevel / MaxOrTarget,
    DVTColumn, MATCH(AW103,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3" s="1251" t="str">
        <f>IFERROR(__xludf.DUMMYFUNCTION("if(AW103 &lt;&gt; """", 
  LET(
    TargetLevel, VLOOKUP(AW103,MS_Labs_Array,3,false),
    LabSpeed, (1 * REGEXEXTRACT($BH$1, ""[\d.-]+"")) * {IF(AW103 =""Labs Speed"", 1+'Master Sheet'!$BK$5, LAB_SPEED_TOTAL())},
    MaxLevel, VLOOKUP(AW103,MS_Labs_Array,4,fal"&amp;"se),
    MaxOrTarget, IF(OR(TargetLevel = """",$AD$1 &lt;&gt; ""Target""), MaxLevel, TargetLevel),
    LabLevel, VLOOKUP(AW103,MS_Labs_Array,2,False),
    DVTColumn, MATCH(AW103, DVT_Laboratory!$A$1:BO$1, 0),
    xextTime, INDIRECT(""DVT_Laboratory!"" &amp; ADDRESS"&amp;"(LabLevel+3, DVTColumn)) / LabSpeed,
    remainingTime, SUM(INDIRECT(""DVT_Laboratory!"" &amp; ADDRESS(LabLevel+3, DVTColumn) &amp; "":"" &amp; ADDRESS(MaxOrTarget+2, DVTColumn))) / LabSpeed,
  AW103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3" s="1249"/>
      <c r="BA103" s="1249"/>
      <c r="BB103" s="1249"/>
      <c r="BC103" s="1249"/>
      <c r="BD103" s="1250" t="str">
        <f>IFERROR(__xludf.DUMMYFUNCTION("if(BC103 &lt;&gt; """", 
  LET( 
    TargetLevel, VLOOKUP(BC103,MS_Labs_Array,3,false),
    MaxLevel, VLOOKUP(BC103,MS_Labs_Array,4,false),
    MaxOrTarget, IF(OR(TargetLevel = """",$AD$1 &lt;&gt; ""Target""), MaxLevel, TargetLevel),
    LabLevel, VLOOKUP(BC103,MS_La"&amp;"bs_Array,2,False),
    Levelprogress, LabLevel / MaxOrTarget,
    DVTColumn, MATCH(BC103,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3" s="1251" t="str">
        <f>IFERROR(__xludf.DUMMYFUNCTION("if(BC103 &lt;&gt; """", 
  LET(
    TargetLevel, VLOOKUP(BC103,MS_Labs_Array,3,false),
    LabSpeed, (1 * REGEXEXTRACT($BH$1, ""[\d.-]+"")) * {IF(BC103 =""Labs Speed"", 1+'Master Sheet'!$BK$5, LAB_SPEED_TOTAL())},
    MaxLevel, VLOOKUP(BC103,MS_Labs_Array,4,fal"&amp;"se),
    MaxOrTarget, IF(OR(TargetLevel = """",$AD$1 &lt;&gt; ""Target""), MaxLevel, TargetLevel),
    LabLevel, VLOOKUP(BC103,MS_Labs_Array,2,False),
    DVTColumn, MATCH(BC103, DVT_Laboratory!$A$1:BO$1, 0),
    xextTime, INDIRECT(""DVT_Laboratory!"" &amp; ADDRESS"&amp;"(LabLevel+3, DVTColumn)) / LabSpeed,
    remainingTime, SUM(INDIRECT(""DVT_Laboratory!"" &amp; ADDRESS(LabLevel+3, DVTColumn) &amp; "":"" &amp; ADDRESS(MaxOrTarget+2, DVTColumn))) / LabSpeed,
  BC103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3" s="1249"/>
      <c r="BG103" s="1249"/>
      <c r="BH103" s="1260"/>
      <c r="BI103" s="1252"/>
      <c r="BJ103" s="1253" t="str">
        <f>IFERROR(__xludf.DUMMYFUNCTION("if(BI103 &lt;&gt; """", 
  LET( 
    TargetLevel, VLOOKUP(BI103,MS_Labs_Array,3,false),
    MaxLevel, VLOOKUP(BI103,MS_Labs_Array,4,false),
    MaxOrTarget, IF(OR(TargetLevel = """",$AD$1 &lt;&gt; ""Target""), MaxLevel, TargetLevel),
    LabLevel, VLOOKUP(BI103,MS_La"&amp;"bs_Array,2,False),
    Levelprogress, IF(LabLevel &gt;= MaxOrTarget, 1, LabLevel / MaxOrTarget),
    DVTColumn, MATCH(BI103,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3" s="1254" t="str">
        <f>IFERROR(__xludf.DUMMYFUNCTION("if(BI103 &lt;&gt; """", 
  LET(
    TargetLevel, VLOOKUP(BI103,MS_Labs_Array,3,false),
    LabSpeed, (1 * REGEXEXTRACT($BH$1, ""[\d.-]+"")) * {IF(BI103 =""Labs Speed"", 1+'Master Sheet'!$BK$5, LAB_SPEED_TOTAL())},
    MaxLevel, VLOOKUP(BI103,MS_Labs_Array,4,fal"&amp;"se),
    MaxOrTarget, IF(OR(TargetLevel = """",$AD$1 &lt;&gt; ""Target""), MaxLevel, TargetLevel),
    LabLevel, VLOOKUP(BI103,MS_Labs_Array,2,False),
    DVTColumn, MATCH(BI103, DVT_Laboratory!$A$1:BO$1, 0),
    xextTime, INDIRECT(""DVT_Laboratory!"" &amp; ADDRESS"&amp;"(LabLevel+3, DVTColumn)) / LabSpeed,
    remainingTime, SUM(INDIRECT(""DVT_Laboratory!"" &amp; ADDRESS(LabLevel+3, DVTColumn) &amp; "":"" &amp; ADDRESS(MaxOrTarget+2, DVTColumn))) / LabSpeed,
  BI103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3" s="1252"/>
      <c r="BM103" s="1252"/>
      <c r="BN103" s="1222"/>
      <c r="BO103" s="1261"/>
    </row>
    <row r="104" ht="7.5" customHeight="1">
      <c r="A104" s="1222"/>
      <c r="B104" s="1257"/>
      <c r="C104" s="1313" t="s">
        <v>203</v>
      </c>
      <c r="D104" s="1280" t="str">
        <f>VLOOKUP(C104,'Remote Tier List'!A:D, 2, FALSE)</f>
        <v>S</v>
      </c>
      <c r="E104" s="1281" t="str">
        <f>VLOOKUP(C104,'Remote Tier List'!A:D, 3, FALSE)</f>
        <v/>
      </c>
      <c r="F104" s="1284" t="str">
        <f>VLOOKUP(C104,'Remote Tier List'!A:D, 4, FALSE)</f>
        <v>The more the merrier</v>
      </c>
      <c r="G104" s="1245" t="b">
        <f>IFERROR(AND(VLOOKUP("Tier 6",'_IDS'!$BZ$3:$DT$23, 2, FALSE) &gt; 80, NOT(VLOOKUP("Extra Orb",'_IDS'!$AE$2:$AG$31, 2, FALSE)="Locked")), true)</f>
        <v>1</v>
      </c>
      <c r="H104" s="1246" t="str">
        <f t="array" ref="H104:I104">LET(
  Lab, $C104,
  Mode, $AD$1,
  Level, VLOOKUP(Lab, MS_Labs_Array, 2, FALSE),
  Target, VLOOKUP(Lab, MS_Labs_Array, 3, FALSE),
  Max, VLOOKUP(Lab, MS_Labs_Array, 4, FALSE),
  Result,
    IF(
      AND(
        Mode &lt;&gt; "Never",
        Level &gt;= IF(OR(Target = "", Mode = "Max"), Max, Target)
      ),
      "Completed",
      ""
    ),
  HSTACK(
    IF(Result &lt;&gt; "", Result, $D104),
    IF(Result &lt;&gt; "", Result, IF($E104 = "", $D104, $E104))
  )
)</f>
        <v>Completed</v>
      </c>
      <c r="I104" s="1247" t="s">
        <v>551</v>
      </c>
      <c r="J104" s="1248" t="str">
        <f t="shared" si="19"/>
        <v>The more the merrier</v>
      </c>
      <c r="K104" s="1229"/>
      <c r="L104" s="1249" t="str">
        <f>IFERROR(__xludf.DUMMYFUNCTION("""COMPUTED_VALUE"""),"")</f>
        <v/>
      </c>
      <c r="M104" s="1249"/>
      <c r="N104" s="1250" t="str">
        <f>IFERROR(__xludf.DUMMYFUNCTION("if(M104 &lt;&gt; """", 
  LET( 
    TargetLevel, VLOOKUP(M104,MS_Labs_Array,3,false),
    MaxLevel, VLOOKUP(M104,MS_Labs_Array,4,false),
    MaxOrTarget, IF(OR(TargetLevel = """",$AD$1 &lt;&gt; ""Target""), MaxLevel, TargetLevel),
    LabLevel, VLOOKUP(M104,MS_Labs_A"&amp;"rray,2,False),
    Levelprogress, LabLevel / MaxOrTarget,
    DVTColumn, MATCH(M104,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4" s="1251" t="str">
        <f>IFERROR(__xludf.DUMMYFUNCTION("if(M104 &lt;&gt; """", 
  LET(
    TargetLevel, VLOOKUP(M104,MS_Labs_Array,3,false),
    LabSpeed, (1 * REGEXEXTRACT($BH$1, ""[\d.-]+"")) * {IF(M104 =""Labs Speed"", 1+'Master Sheet'!$BK$5, LAB_SPEED_TOTAL())},
    MaxLevel, VLOOKUP(M104,MS_Labs_Array,4,false),"&amp;"
    MaxOrTarget, IF(OR(TargetLevel = """",$AD$1 &lt;&gt; ""Target""), MaxLevel, TargetLevel),
    LabLevel, VLOOKUP(M104,MS_Labs_Array,2,False),
    DVTColumn, MATCH(M104, DVT_Laboratory!$A$1:BO$1, 0),
    xextTime, INDIRECT(""DVT_Laboratory!"" &amp; ADDRESS(LabLe"&amp;"vel+3, DVTColumn)) / LabSpeed,
    remainingTime, SUM(INDIRECT(""DVT_Laboratory!"" &amp; ADDRESS(LabLevel+3, DVTColumn) &amp; "":"" &amp; ADDRESS(MaxOrTarget+2, DVTColumn))) / LabSpeed,
  M104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4" s="1249"/>
      <c r="Q104" s="1249" t="str">
        <f>IFERROR(__xludf.DUMMYFUNCTION("""COMPUTED_VALUE"""),"")</f>
        <v/>
      </c>
      <c r="R104" s="1249" t="str">
        <f>IFERROR(__xludf.DUMMYFUNCTION("""COMPUTED_VALUE"""),"")</f>
        <v/>
      </c>
      <c r="S104" s="1249"/>
      <c r="T104" s="1250" t="str">
        <f>IFERROR(__xludf.DUMMYFUNCTION("if(S104 &lt;&gt; """", 
  LET( 
    TargetLevel, VLOOKUP(S104,MS_Labs_Array,3,false),
    MaxLevel, VLOOKUP(S104,MS_Labs_Array,4,false),
    MaxOrTarget, IF(OR(TargetLevel = """",$AD$1 &lt;&gt; ""Target""), MaxLevel, TargetLevel),
    LabLevel, VLOOKUP(S104,MS_Labs_A"&amp;"rray,2,False),
    Levelprogress, LabLevel / MaxOrTarget,
    DVTColumn, MATCH(S104,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4" s="1251" t="str">
        <f>IFERROR(__xludf.DUMMYFUNCTION("if(S104 &lt;&gt; """", 
  LET(
    TargetLevel, VLOOKUP(S104,MS_Labs_Array,3,false),
    LabSpeed, (1 * REGEXEXTRACT($BH$1, ""[\d.-]+"")) * {IF(S104 =""Labs Speed"", 1+'Master Sheet'!$BK$5, LAB_SPEED_TOTAL())},
    MaxLevel, VLOOKUP(S104,MS_Labs_Array,4,false),"&amp;"
    MaxOrTarget, IF(OR(TargetLevel = """",$AD$1 &lt;&gt; ""Target""), MaxLevel, TargetLevel),
    LabLevel, VLOOKUP(S104,MS_Labs_Array,2,False),
    DVTColumn, MATCH(S104, DVT_Laboratory!$A$1:BO$1, 0),
    xextTime, INDIRECT(""DVT_Laboratory!"" &amp; ADDRESS(LabLe"&amp;"vel+3, DVTColumn)) / LabSpeed,
    remainingTime, SUM(INDIRECT(""DVT_Laboratory!"" &amp; ADDRESS(LabLevel+3, DVTColumn) &amp; "":"" &amp; ADDRESS(MaxOrTarget+2, DVTColumn))) / LabSpeed,
  S104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4" s="1249"/>
      <c r="W104" s="1249" t="str">
        <f>IFERROR(__xludf.DUMMYFUNCTION("""COMPUTED_VALUE"""),"")</f>
        <v/>
      </c>
      <c r="X104" s="1249" t="str">
        <f>IFERROR(__xludf.DUMMYFUNCTION("""COMPUTED_VALUE"""),"")</f>
        <v/>
      </c>
      <c r="Y104" s="1249"/>
      <c r="Z104" s="1250" t="str">
        <f>IFERROR(__xludf.DUMMYFUNCTION("if(Y104 &lt;&gt; """", 
  LET( 
    TargetLevel, VLOOKUP(Y104,MS_Labs_Array,3,false),
    MaxLevel, VLOOKUP(Y104,MS_Labs_Array,4,false),
    MaxOrTarget, IF(OR(TargetLevel = """",$AD$1 &lt;&gt; ""Target""), MaxLevel, TargetLevel),
    LabLevel, VLOOKUP(Y104,MS_Labs_A"&amp;"rray,2,False),
    Levelprogress, LabLevel / MaxOrTarget,
    DVTColumn, MATCH(Y104,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4" s="1251" t="str">
        <f>IFERROR(__xludf.DUMMYFUNCTION("if(Y104 &lt;&gt; """", 
  LET(
    TargetLevel, VLOOKUP(Y104,MS_Labs_Array,3,false),
    LabSpeed, (1 * REGEXEXTRACT($BH$1, ""[\d.-]+"")) * {IF(Y104 =""Labs Speed"", 1+'Master Sheet'!$BK$5, LAB_SPEED_TOTAL())},
    MaxLevel, VLOOKUP(Y104,MS_Labs_Array,4,false),"&amp;"
    MaxOrTarget, IF(OR(TargetLevel = """",$AD$1 &lt;&gt; ""Target""), MaxLevel, TargetLevel),
    LabLevel, VLOOKUP(Y104,MS_Labs_Array,2,False),
    DVTColumn, MATCH(Y104, DVT_Laboratory!$A$1:BO$1, 0),
    xextTime, INDIRECT(""DVT_Laboratory!"" &amp; ADDRESS(LabLe"&amp;"vel+3, DVTColumn)) / LabSpeed,
    remainingTime, SUM(INDIRECT(""DVT_Laboratory!"" &amp; ADDRESS(LabLevel+3, DVTColumn) &amp; "":"" &amp; ADDRESS(MaxOrTarget+2, DVTColumn))) / LabSpeed,
  Y104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4" s="1249"/>
      <c r="AC104" s="1249" t="str">
        <f>IFERROR(__xludf.DUMMYFUNCTION("""COMPUTED_VALUE"""),"")</f>
        <v/>
      </c>
      <c r="AD104" s="1249" t="str">
        <f>IFERROR(__xludf.DUMMYFUNCTION("""COMPUTED_VALUE"""),"")</f>
        <v/>
      </c>
      <c r="AE104" s="1249"/>
      <c r="AF104" s="1250" t="str">
        <f>IFERROR(__xludf.DUMMYFUNCTION("if(AE104 &lt;&gt; """", 
  LET( 
    TargetLevel, VLOOKUP(AE104,MS_Labs_Array,3,false),
    MaxLevel, VLOOKUP(AE104,MS_Labs_Array,4,false),
    MaxOrTarget, IF(OR(TargetLevel = """",$AD$1 &lt;&gt; ""Target""), MaxLevel, TargetLevel),
    LabLevel, VLOOKUP(AE104,MS_La"&amp;"bs_Array,2,False),
    Levelprogress, LabLevel / MaxOrTarget,
    DVTColumn, MATCH(AE104,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4" s="1251" t="str">
        <f>IFERROR(__xludf.DUMMYFUNCTION("if(AE104 &lt;&gt; """", 
  LET(
    TargetLevel, VLOOKUP(AE104,MS_Labs_Array,3,false),
    LabSpeed, (1 * REGEXEXTRACT($BH$1, ""[\d.-]+"")) * {IF(AE104 =""Labs Speed"", 1+'Master Sheet'!$BK$5, LAB_SPEED_TOTAL())},
    MaxLevel, VLOOKUP(AE104,MS_Labs_Array,4,fal"&amp;"se),
    MaxOrTarget, IF(OR(TargetLevel = """",$AD$1 &lt;&gt; ""Target""), MaxLevel, TargetLevel),
    LabLevel, VLOOKUP(AE104,MS_Labs_Array,2,False),
    DVTColumn, MATCH(AE104, DVT_Laboratory!$A$1:BO$1, 0),
    xextTime, INDIRECT(""DVT_Laboratory!"" &amp; ADDRESS"&amp;"(LabLevel+3, DVTColumn)) / LabSpeed,
    remainingTime, SUM(INDIRECT(""DVT_Laboratory!"" &amp; ADDRESS(LabLevel+3, DVTColumn) &amp; "":"" &amp; ADDRESS(MaxOrTarget+2, DVTColumn))) / LabSpeed,
  AE104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4" s="1249"/>
      <c r="AI104" s="1249" t="str">
        <f>IFERROR(__xludf.DUMMYFUNCTION("""COMPUTED_VALUE"""),"")</f>
        <v/>
      </c>
      <c r="AJ104" s="1249" t="str">
        <f>IFERROR(__xludf.DUMMYFUNCTION("""COMPUTED_VALUE"""),"")</f>
        <v/>
      </c>
      <c r="AK104" s="1249"/>
      <c r="AL104" s="1250" t="str">
        <f>IFERROR(__xludf.DUMMYFUNCTION("if(AK104 &lt;&gt; """", 
  LET( 
    TargetLevel, VLOOKUP(AK104,MS_Labs_Array,3,false),
    MaxLevel, VLOOKUP(AK104,MS_Labs_Array,4,false),
    MaxOrTarget, IF(OR(TargetLevel = """",$AD$1 &lt;&gt; ""Target""), MaxLevel, TargetLevel),
    LabLevel, VLOOKUP(AK104,MS_La"&amp;"bs_Array,2,False),
    Levelprogress, LabLevel / MaxOrTarget,
    DVTColumn, MATCH(AK104,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4" s="1251" t="str">
        <f>IFERROR(__xludf.DUMMYFUNCTION("if(AK104 &lt;&gt; """", 
  LET(
    TargetLevel, VLOOKUP(AK104,MS_Labs_Array,3,false),
    LabSpeed, (1 * REGEXEXTRACT($BH$1, ""[\d.-]+"")) * {IF(AK104 =""Labs Speed"", 1+'Master Sheet'!$BK$5, LAB_SPEED_TOTAL())},
    MaxLevel, VLOOKUP(AK104,MS_Labs_Array,4,fal"&amp;"se),
    MaxOrTarget, IF(OR(TargetLevel = """",$AD$1 &lt;&gt; ""Target""), MaxLevel, TargetLevel),
    LabLevel, VLOOKUP(AK104,MS_Labs_Array,2,False),
    DVTColumn, MATCH(AK104, DVT_Laboratory!$A$1:BO$1, 0),
    xextTime, INDIRECT(""DVT_Laboratory!"" &amp; ADDRESS"&amp;"(LabLevel+3, DVTColumn)) / LabSpeed,
    remainingTime, SUM(INDIRECT(""DVT_Laboratory!"" &amp; ADDRESS(LabLevel+3, DVTColumn) &amp; "":"" &amp; ADDRESS(MaxOrTarget+2, DVTColumn))) / LabSpeed,
  AK104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4" s="1249"/>
      <c r="AO104" s="1249" t="str">
        <f>IFERROR(__xludf.DUMMYFUNCTION("""COMPUTED_VALUE"""),"")</f>
        <v/>
      </c>
      <c r="AP104" s="1249" t="str">
        <f>IFERROR(__xludf.DUMMYFUNCTION("""COMPUTED_VALUE"""),"")</f>
        <v/>
      </c>
      <c r="AQ104" s="1249"/>
      <c r="AR104" s="1250" t="str">
        <f>IFERROR(__xludf.DUMMYFUNCTION("if(AQ104 &lt;&gt; """", 
  LET( 
    TargetLevel, VLOOKUP(AQ104,MS_Labs_Array,3,false),
    MaxLevel, VLOOKUP(AQ104,MS_Labs_Array,4,false),
    MaxOrTarget, IF(OR(TargetLevel = """",$AD$1 &lt;&gt; ""Target""), MaxLevel, TargetLevel),
    LabLevel, VLOOKUP(AQ104,MS_La"&amp;"bs_Array,2,False),
    Levelprogress, LabLevel / MaxOrTarget,
    DVTColumn, MATCH(AQ104,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4" s="1251" t="str">
        <f>IFERROR(__xludf.DUMMYFUNCTION("if(AQ104 &lt;&gt; """", 
  LET(
    TargetLevel, VLOOKUP(AQ104,MS_Labs_Array,3,false),
    LabSpeed, (1 * REGEXEXTRACT($BH$1, ""[\d.-]+"")) * {IF(AQ104 =""Labs Speed"", 1+'Master Sheet'!$BK$5, LAB_SPEED_TOTAL())},
    MaxLevel, VLOOKUP(AQ104,MS_Labs_Array,4,fal"&amp;"se),
    MaxOrTarget, IF(OR(TargetLevel = """",$AD$1 &lt;&gt; ""Target""), MaxLevel, TargetLevel),
    LabLevel, VLOOKUP(AQ104,MS_Labs_Array,2,False),
    DVTColumn, MATCH(AQ104, DVT_Laboratory!$A$1:BO$1, 0),
    xextTime, INDIRECT(""DVT_Laboratory!"" &amp; ADDRESS"&amp;"(LabLevel+3, DVTColumn)) / LabSpeed,
    remainingTime, SUM(INDIRECT(""DVT_Laboratory!"" &amp; ADDRESS(LabLevel+3, DVTColumn) &amp; "":"" &amp; ADDRESS(MaxOrTarget+2, DVTColumn))) / LabSpeed,
  AQ104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4" s="1249"/>
      <c r="AU104" s="1249" t="str">
        <f>IFERROR(__xludf.DUMMYFUNCTION("""COMPUTED_VALUE"""),"")</f>
        <v/>
      </c>
      <c r="AV104" s="1249" t="str">
        <f>IFERROR(__xludf.DUMMYFUNCTION("""COMPUTED_VALUE"""),"")</f>
        <v/>
      </c>
      <c r="AW104" s="1249"/>
      <c r="AX104" s="1250" t="str">
        <f>IFERROR(__xludf.DUMMYFUNCTION("if(AW104 &lt;&gt; """", 
  LET( 
    TargetLevel, VLOOKUP(AW104,MS_Labs_Array,3,false),
    MaxLevel, VLOOKUP(AW104,MS_Labs_Array,4,false),
    MaxOrTarget, IF(OR(TargetLevel = """",$AD$1 &lt;&gt; ""Target""), MaxLevel, TargetLevel),
    LabLevel, VLOOKUP(AW104,MS_La"&amp;"bs_Array,2,False),
    Levelprogress, LabLevel / MaxOrTarget,
    DVTColumn, MATCH(AW104,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4" s="1251" t="str">
        <f>IFERROR(__xludf.DUMMYFUNCTION("if(AW104 &lt;&gt; """", 
  LET(
    TargetLevel, VLOOKUP(AW104,MS_Labs_Array,3,false),
    LabSpeed, (1 * REGEXEXTRACT($BH$1, ""[\d.-]+"")) * {IF(AW104 =""Labs Speed"", 1+'Master Sheet'!$BK$5, LAB_SPEED_TOTAL())},
    MaxLevel, VLOOKUP(AW104,MS_Labs_Array,4,fal"&amp;"se),
    MaxOrTarget, IF(OR(TargetLevel = """",$AD$1 &lt;&gt; ""Target""), MaxLevel, TargetLevel),
    LabLevel, VLOOKUP(AW104,MS_Labs_Array,2,False),
    DVTColumn, MATCH(AW104, DVT_Laboratory!$A$1:BO$1, 0),
    xextTime, INDIRECT(""DVT_Laboratory!"" &amp; ADDRESS"&amp;"(LabLevel+3, DVTColumn)) / LabSpeed,
    remainingTime, SUM(INDIRECT(""DVT_Laboratory!"" &amp; ADDRESS(LabLevel+3, DVTColumn) &amp; "":"" &amp; ADDRESS(MaxOrTarget+2, DVTColumn))) / LabSpeed,
  AW104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4" s="1249"/>
      <c r="BA104" s="1249" t="str">
        <f>IFERROR(__xludf.DUMMYFUNCTION("""COMPUTED_VALUE"""),"")</f>
        <v/>
      </c>
      <c r="BB104" s="1249" t="str">
        <f>IFERROR(__xludf.DUMMYFUNCTION("""COMPUTED_VALUE"""),"")</f>
        <v/>
      </c>
      <c r="BC104" s="1249"/>
      <c r="BD104" s="1250" t="str">
        <f>IFERROR(__xludf.DUMMYFUNCTION("if(BC104 &lt;&gt; """", 
  LET( 
    TargetLevel, VLOOKUP(BC104,MS_Labs_Array,3,false),
    MaxLevel, VLOOKUP(BC104,MS_Labs_Array,4,false),
    MaxOrTarget, IF(OR(TargetLevel = """",$AD$1 &lt;&gt; ""Target""), MaxLevel, TargetLevel),
    LabLevel, VLOOKUP(BC104,MS_La"&amp;"bs_Array,2,False),
    Levelprogress, LabLevel / MaxOrTarget,
    DVTColumn, MATCH(BC104,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4" s="1251" t="str">
        <f>IFERROR(__xludf.DUMMYFUNCTION("if(BC104 &lt;&gt; """", 
  LET(
    TargetLevel, VLOOKUP(BC104,MS_Labs_Array,3,false),
    LabSpeed, (1 * REGEXEXTRACT($BH$1, ""[\d.-]+"")) * {IF(BC104 =""Labs Speed"", 1+'Master Sheet'!$BK$5, LAB_SPEED_TOTAL())},
    MaxLevel, VLOOKUP(BC104,MS_Labs_Array,4,fal"&amp;"se),
    MaxOrTarget, IF(OR(TargetLevel = """",$AD$1 &lt;&gt; ""Target""), MaxLevel, TargetLevel),
    LabLevel, VLOOKUP(BC104,MS_Labs_Array,2,False),
    DVTColumn, MATCH(BC104, DVT_Laboratory!$A$1:BO$1, 0),
    xextTime, INDIRECT(""DVT_Laboratory!"" &amp; ADDRESS"&amp;"(LabLevel+3, DVTColumn)) / LabSpeed,
    remainingTime, SUM(INDIRECT(""DVT_Laboratory!"" &amp; ADDRESS(LabLevel+3, DVTColumn) &amp; "":"" &amp; ADDRESS(MaxOrTarget+2, DVTColumn))) / LabSpeed,
  BC104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4" s="1249"/>
      <c r="BG104" s="1249" t="str">
        <f>IFERROR(__xludf.DUMMYFUNCTION("""COMPUTED_VALUE"""),"")</f>
        <v/>
      </c>
      <c r="BH104" s="1260" t="str">
        <f>IFERROR(__xludf.DUMMYFUNCTION("""COMPUTED_VALUE"""),"")</f>
        <v/>
      </c>
      <c r="BI104" s="1252"/>
      <c r="BJ104" s="1253" t="str">
        <f>IFERROR(__xludf.DUMMYFUNCTION("if(BI104 &lt;&gt; """", 
  LET( 
    TargetLevel, VLOOKUP(BI104,MS_Labs_Array,3,false),
    MaxLevel, VLOOKUP(BI104,MS_Labs_Array,4,false),
    MaxOrTarget, IF(OR(TargetLevel = """",$AD$1 &lt;&gt; ""Target""), MaxLevel, TargetLevel),
    LabLevel, VLOOKUP(BI104,MS_La"&amp;"bs_Array,2,False),
    Levelprogress, IF(LabLevel &gt;= MaxOrTarget, 1, LabLevel / MaxOrTarget),
    DVTColumn, MATCH(BI104,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4" s="1254" t="str">
        <f>IFERROR(__xludf.DUMMYFUNCTION("if(BI104 &lt;&gt; """", 
  LET(
    TargetLevel, VLOOKUP(BI104,MS_Labs_Array,3,false),
    LabSpeed, (1 * REGEXEXTRACT($BH$1, ""[\d.-]+"")) * {IF(BI104 =""Labs Speed"", 1+'Master Sheet'!$BK$5, LAB_SPEED_TOTAL())},
    MaxLevel, VLOOKUP(BI104,MS_Labs_Array,4,fal"&amp;"se),
    MaxOrTarget, IF(OR(TargetLevel = """",$AD$1 &lt;&gt; ""Target""), MaxLevel, TargetLevel),
    LabLevel, VLOOKUP(BI104,MS_Labs_Array,2,False),
    DVTColumn, MATCH(BI104, DVT_Laboratory!$A$1:BO$1, 0),
    xextTime, INDIRECT(""DVT_Laboratory!"" &amp; ADDRESS"&amp;"(LabLevel+3, DVTColumn)) / LabSpeed,
    remainingTime, SUM(INDIRECT(""DVT_Laboratory!"" &amp; ADDRESS(LabLevel+3, DVTColumn) &amp; "":"" &amp; ADDRESS(MaxOrTarget+2, DVTColumn))) / LabSpeed,
  BI104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4" s="1252"/>
      <c r="BM104" s="1252" t="str">
        <f>IFERROR(__xludf.DUMMYFUNCTION("""COMPUTED_VALUE"""),"")</f>
        <v/>
      </c>
      <c r="BN104" s="1222"/>
      <c r="BO104" s="1261"/>
    </row>
    <row r="105">
      <c r="A105" s="1222"/>
      <c r="B105" s="1262" t="s">
        <v>554</v>
      </c>
      <c r="C105" s="1313" t="s">
        <v>220</v>
      </c>
      <c r="D105" s="1280" t="str">
        <f>VLOOKUP(C105,'Remote Tier List'!A:D, 2, FALSE)</f>
        <v>D</v>
      </c>
      <c r="E105" s="1281" t="str">
        <f>VLOOKUP(C105,'Remote Tier List'!A:D, 3, FALSE)</f>
        <v>S+</v>
      </c>
      <c r="F105" s="1284" t="str">
        <f>VLOOKUP(C105,'Remote Tier List'!A:D, 4, FALSE)</f>
        <v>Okay early for the mission, truly incredible later (Legend tourney or Glass Cannon farm) with the way Death Defy is checked before charge is used</v>
      </c>
      <c r="G105" s="1245" t="b">
        <f>IFERROR(AND(VLOOKUP("Tier 4",'_IDS'!$BZ$3:$DT$23, 2, FALSE) &gt; 300, NOT(VLOOKUP("Energy Shield",'_IDS'!$AE$2:$AG$31, 2, FALSE)="Locked")), true)</f>
        <v>1</v>
      </c>
      <c r="H105" s="1265" t="str">
        <f t="array" ref="H105:I105">LET(
  Lab, $C105,
  Mode, $AD$1,
  Level, VLOOKUP(Lab, MS_Labs_Array, 2, FALSE),
  Target, VLOOKUP(Lab, MS_Labs_Array, 3, FALSE),
  Max, VLOOKUP(Lab, MS_Labs_Array, 4, FALSE),
  Result,
    IF(
      AND(
        Mode &lt;&gt; "Never",
        Level &gt;= IF(OR(Target = "", Mode = "Max"), Max, Target)
      ),
      "Completed",
      ""
    ),
  HSTACK(
    IF(Result &lt;&gt; "", Result, $D105),
    IF(Result &lt;&gt; "", Result, IF($E105 = "", $D105, $E105))
  )
)</f>
        <v>Completed</v>
      </c>
      <c r="I105" s="1265" t="s">
        <v>551</v>
      </c>
      <c r="J105" s="1248" t="str">
        <f t="shared" si="19"/>
        <v>Okay early for the mission, truly incredible later (Legend tourney or Glass Cannon farm) with the way Death Defy is checked before charge is used</v>
      </c>
      <c r="K105" s="1229"/>
      <c r="L105" s="1249"/>
      <c r="M105" s="1249"/>
      <c r="N105" s="1250" t="str">
        <f>IFERROR(__xludf.DUMMYFUNCTION("if(M105 &lt;&gt; """", 
  LET( 
    TargetLevel, VLOOKUP(M105,MS_Labs_Array,3,false),
    MaxLevel, VLOOKUP(M105,MS_Labs_Array,4,false),
    MaxOrTarget, IF(OR(TargetLevel = """",$AD$1 &lt;&gt; ""Target""), MaxLevel, TargetLevel),
    LabLevel, VLOOKUP(M105,MS_Labs_A"&amp;"rray,2,False),
    Levelprogress, LabLevel / MaxOrTarget,
    DVTColumn, MATCH(M105,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5" s="1251" t="str">
        <f>IFERROR(__xludf.DUMMYFUNCTION("if(M105 &lt;&gt; """", 
  LET(
    TargetLevel, VLOOKUP(M105,MS_Labs_Array,3,false),
    LabSpeed, (1 * REGEXEXTRACT($BH$1, ""[\d.-]+"")) * {IF(M105 =""Labs Speed"", 1+'Master Sheet'!$BK$5, LAB_SPEED_TOTAL())},
    MaxLevel, VLOOKUP(M105,MS_Labs_Array,4,false),"&amp;"
    MaxOrTarget, IF(OR(TargetLevel = """",$AD$1 &lt;&gt; ""Target""), MaxLevel, TargetLevel),
    LabLevel, VLOOKUP(M105,MS_Labs_Array,2,False),
    DVTColumn, MATCH(M105, DVT_Laboratory!$A$1:BO$1, 0),
    xextTime, INDIRECT(""DVT_Laboratory!"" &amp; ADDRESS(LabLe"&amp;"vel+3, DVTColumn)) / LabSpeed,
    remainingTime, SUM(INDIRECT(""DVT_Laboratory!"" &amp; ADDRESS(LabLevel+3, DVTColumn) &amp; "":"" &amp; ADDRESS(MaxOrTarget+2, DVTColumn))) / LabSpeed,
  M105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5" s="1249"/>
      <c r="Q105" s="1249"/>
      <c r="R105" s="1249"/>
      <c r="S105" s="1249"/>
      <c r="T105" s="1250" t="str">
        <f>IFERROR(__xludf.DUMMYFUNCTION("if(S105 &lt;&gt; """", 
  LET( 
    TargetLevel, VLOOKUP(S105,MS_Labs_Array,3,false),
    MaxLevel, VLOOKUP(S105,MS_Labs_Array,4,false),
    MaxOrTarget, IF(OR(TargetLevel = """",$AD$1 &lt;&gt; ""Target""), MaxLevel, TargetLevel),
    LabLevel, VLOOKUP(S105,MS_Labs_A"&amp;"rray,2,False),
    Levelprogress, LabLevel / MaxOrTarget,
    DVTColumn, MATCH(S105,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5" s="1251" t="str">
        <f>IFERROR(__xludf.DUMMYFUNCTION("if(S105 &lt;&gt; """", 
  LET(
    TargetLevel, VLOOKUP(S105,MS_Labs_Array,3,false),
    LabSpeed, (1 * REGEXEXTRACT($BH$1, ""[\d.-]+"")) * {IF(S105 =""Labs Speed"", 1+'Master Sheet'!$BK$5, LAB_SPEED_TOTAL())},
    MaxLevel, VLOOKUP(S105,MS_Labs_Array,4,false),"&amp;"
    MaxOrTarget, IF(OR(TargetLevel = """",$AD$1 &lt;&gt; ""Target""), MaxLevel, TargetLevel),
    LabLevel, VLOOKUP(S105,MS_Labs_Array,2,False),
    DVTColumn, MATCH(S105, DVT_Laboratory!$A$1:BO$1, 0),
    xextTime, INDIRECT(""DVT_Laboratory!"" &amp; ADDRESS(LabLe"&amp;"vel+3, DVTColumn)) / LabSpeed,
    remainingTime, SUM(INDIRECT(""DVT_Laboratory!"" &amp; ADDRESS(LabLevel+3, DVTColumn) &amp; "":"" &amp; ADDRESS(MaxOrTarget+2, DVTColumn))) / LabSpeed,
  S105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5" s="1249"/>
      <c r="W105" s="1249"/>
      <c r="X105" s="1249"/>
      <c r="Y105" s="1249"/>
      <c r="Z105" s="1250" t="str">
        <f>IFERROR(__xludf.DUMMYFUNCTION("if(Y105 &lt;&gt; """", 
  LET( 
    TargetLevel, VLOOKUP(Y105,MS_Labs_Array,3,false),
    MaxLevel, VLOOKUP(Y105,MS_Labs_Array,4,false),
    MaxOrTarget, IF(OR(TargetLevel = """",$AD$1 &lt;&gt; ""Target""), MaxLevel, TargetLevel),
    LabLevel, VLOOKUP(Y105,MS_Labs_A"&amp;"rray,2,False),
    Levelprogress, LabLevel / MaxOrTarget,
    DVTColumn, MATCH(Y105,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5" s="1251" t="str">
        <f>IFERROR(__xludf.DUMMYFUNCTION("if(Y105 &lt;&gt; """", 
  LET(
    TargetLevel, VLOOKUP(Y105,MS_Labs_Array,3,false),
    LabSpeed, (1 * REGEXEXTRACT($BH$1, ""[\d.-]+"")) * {IF(Y105 =""Labs Speed"", 1+'Master Sheet'!$BK$5, LAB_SPEED_TOTAL())},
    MaxLevel, VLOOKUP(Y105,MS_Labs_Array,4,false),"&amp;"
    MaxOrTarget, IF(OR(TargetLevel = """",$AD$1 &lt;&gt; ""Target""), MaxLevel, TargetLevel),
    LabLevel, VLOOKUP(Y105,MS_Labs_Array,2,False),
    DVTColumn, MATCH(Y105, DVT_Laboratory!$A$1:BO$1, 0),
    xextTime, INDIRECT(""DVT_Laboratory!"" &amp; ADDRESS(LabLe"&amp;"vel+3, DVTColumn)) / LabSpeed,
    remainingTime, SUM(INDIRECT(""DVT_Laboratory!"" &amp; ADDRESS(LabLevel+3, DVTColumn) &amp; "":"" &amp; ADDRESS(MaxOrTarget+2, DVTColumn))) / LabSpeed,
  Y105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5" s="1249"/>
      <c r="AC105" s="1249"/>
      <c r="AD105" s="1249"/>
      <c r="AE105" s="1249"/>
      <c r="AF105" s="1250" t="str">
        <f>IFERROR(__xludf.DUMMYFUNCTION("if(AE105 &lt;&gt; """", 
  LET( 
    TargetLevel, VLOOKUP(AE105,MS_Labs_Array,3,false),
    MaxLevel, VLOOKUP(AE105,MS_Labs_Array,4,false),
    MaxOrTarget, IF(OR(TargetLevel = """",$AD$1 &lt;&gt; ""Target""), MaxLevel, TargetLevel),
    LabLevel, VLOOKUP(AE105,MS_La"&amp;"bs_Array,2,False),
    Levelprogress, LabLevel / MaxOrTarget,
    DVTColumn, MATCH(AE105,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5" s="1251" t="str">
        <f>IFERROR(__xludf.DUMMYFUNCTION("if(AE105 &lt;&gt; """", 
  LET(
    TargetLevel, VLOOKUP(AE105,MS_Labs_Array,3,false),
    LabSpeed, (1 * REGEXEXTRACT($BH$1, ""[\d.-]+"")) * {IF(AE105 =""Labs Speed"", 1+'Master Sheet'!$BK$5, LAB_SPEED_TOTAL())},
    MaxLevel, VLOOKUP(AE105,MS_Labs_Array,4,fal"&amp;"se),
    MaxOrTarget, IF(OR(TargetLevel = """",$AD$1 &lt;&gt; ""Target""), MaxLevel, TargetLevel),
    LabLevel, VLOOKUP(AE105,MS_Labs_Array,2,False),
    DVTColumn, MATCH(AE105, DVT_Laboratory!$A$1:BO$1, 0),
    xextTime, INDIRECT(""DVT_Laboratory!"" &amp; ADDRESS"&amp;"(LabLevel+3, DVTColumn)) / LabSpeed,
    remainingTime, SUM(INDIRECT(""DVT_Laboratory!"" &amp; ADDRESS(LabLevel+3, DVTColumn) &amp; "":"" &amp; ADDRESS(MaxOrTarget+2, DVTColumn))) / LabSpeed,
  AE105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5" s="1249"/>
      <c r="AI105" s="1249"/>
      <c r="AJ105" s="1249"/>
      <c r="AK105" s="1249"/>
      <c r="AL105" s="1250" t="str">
        <f>IFERROR(__xludf.DUMMYFUNCTION("if(AK105 &lt;&gt; """", 
  LET( 
    TargetLevel, VLOOKUP(AK105,MS_Labs_Array,3,false),
    MaxLevel, VLOOKUP(AK105,MS_Labs_Array,4,false),
    MaxOrTarget, IF(OR(TargetLevel = """",$AD$1 &lt;&gt; ""Target""), MaxLevel, TargetLevel),
    LabLevel, VLOOKUP(AK105,MS_La"&amp;"bs_Array,2,False),
    Levelprogress, LabLevel / MaxOrTarget,
    DVTColumn, MATCH(AK105,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5" s="1251" t="str">
        <f>IFERROR(__xludf.DUMMYFUNCTION("if(AK105 &lt;&gt; """", 
  LET(
    TargetLevel, VLOOKUP(AK105,MS_Labs_Array,3,false),
    LabSpeed, (1 * REGEXEXTRACT($BH$1, ""[\d.-]+"")) * {IF(AK105 =""Labs Speed"", 1+'Master Sheet'!$BK$5, LAB_SPEED_TOTAL())},
    MaxLevel, VLOOKUP(AK105,MS_Labs_Array,4,fal"&amp;"se),
    MaxOrTarget, IF(OR(TargetLevel = """",$AD$1 &lt;&gt; ""Target""), MaxLevel, TargetLevel),
    LabLevel, VLOOKUP(AK105,MS_Labs_Array,2,False),
    DVTColumn, MATCH(AK105, DVT_Laboratory!$A$1:BO$1, 0),
    xextTime, INDIRECT(""DVT_Laboratory!"" &amp; ADDRESS"&amp;"(LabLevel+3, DVTColumn)) / LabSpeed,
    remainingTime, SUM(INDIRECT(""DVT_Laboratory!"" &amp; ADDRESS(LabLevel+3, DVTColumn) &amp; "":"" &amp; ADDRESS(MaxOrTarget+2, DVTColumn))) / LabSpeed,
  AK105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5" s="1249"/>
      <c r="AO105" s="1249"/>
      <c r="AP105" s="1249"/>
      <c r="AQ105" s="1249"/>
      <c r="AR105" s="1250" t="str">
        <f>IFERROR(__xludf.DUMMYFUNCTION("if(AQ105 &lt;&gt; """", 
  LET( 
    TargetLevel, VLOOKUP(AQ105,MS_Labs_Array,3,false),
    MaxLevel, VLOOKUP(AQ105,MS_Labs_Array,4,false),
    MaxOrTarget, IF(OR(TargetLevel = """",$AD$1 &lt;&gt; ""Target""), MaxLevel, TargetLevel),
    LabLevel, VLOOKUP(AQ105,MS_La"&amp;"bs_Array,2,False),
    Levelprogress, LabLevel / MaxOrTarget,
    DVTColumn, MATCH(AQ105,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5" s="1251" t="str">
        <f>IFERROR(__xludf.DUMMYFUNCTION("if(AQ105 &lt;&gt; """", 
  LET(
    TargetLevel, VLOOKUP(AQ105,MS_Labs_Array,3,false),
    LabSpeed, (1 * REGEXEXTRACT($BH$1, ""[\d.-]+"")) * {IF(AQ105 =""Labs Speed"", 1+'Master Sheet'!$BK$5, LAB_SPEED_TOTAL())},
    MaxLevel, VLOOKUP(AQ105,MS_Labs_Array,4,fal"&amp;"se),
    MaxOrTarget, IF(OR(TargetLevel = """",$AD$1 &lt;&gt; ""Target""), MaxLevel, TargetLevel),
    LabLevel, VLOOKUP(AQ105,MS_Labs_Array,2,False),
    DVTColumn, MATCH(AQ105, DVT_Laboratory!$A$1:BO$1, 0),
    xextTime, INDIRECT(""DVT_Laboratory!"" &amp; ADDRESS"&amp;"(LabLevel+3, DVTColumn)) / LabSpeed,
    remainingTime, SUM(INDIRECT(""DVT_Laboratory!"" &amp; ADDRESS(LabLevel+3, DVTColumn) &amp; "":"" &amp; ADDRESS(MaxOrTarget+2, DVTColumn))) / LabSpeed,
  AQ105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5" s="1249"/>
      <c r="AU105" s="1249"/>
      <c r="AV105" s="1249"/>
      <c r="AW105" s="1249"/>
      <c r="AX105" s="1250" t="str">
        <f>IFERROR(__xludf.DUMMYFUNCTION("if(AW105 &lt;&gt; """", 
  LET( 
    TargetLevel, VLOOKUP(AW105,MS_Labs_Array,3,false),
    MaxLevel, VLOOKUP(AW105,MS_Labs_Array,4,false),
    MaxOrTarget, IF(OR(TargetLevel = """",$AD$1 &lt;&gt; ""Target""), MaxLevel, TargetLevel),
    LabLevel, VLOOKUP(AW105,MS_La"&amp;"bs_Array,2,False),
    Levelprogress, LabLevel / MaxOrTarget,
    DVTColumn, MATCH(AW105,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5" s="1251" t="str">
        <f>IFERROR(__xludf.DUMMYFUNCTION("if(AW105 &lt;&gt; """", 
  LET(
    TargetLevel, VLOOKUP(AW105,MS_Labs_Array,3,false),
    LabSpeed, (1 * REGEXEXTRACT($BH$1, ""[\d.-]+"")) * {IF(AW105 =""Labs Speed"", 1+'Master Sheet'!$BK$5, LAB_SPEED_TOTAL())},
    MaxLevel, VLOOKUP(AW105,MS_Labs_Array,4,fal"&amp;"se),
    MaxOrTarget, IF(OR(TargetLevel = """",$AD$1 &lt;&gt; ""Target""), MaxLevel, TargetLevel),
    LabLevel, VLOOKUP(AW105,MS_Labs_Array,2,False),
    DVTColumn, MATCH(AW105, DVT_Laboratory!$A$1:BO$1, 0),
    xextTime, INDIRECT(""DVT_Laboratory!"" &amp; ADDRESS"&amp;"(LabLevel+3, DVTColumn)) / LabSpeed,
    remainingTime, SUM(INDIRECT(""DVT_Laboratory!"" &amp; ADDRESS(LabLevel+3, DVTColumn) &amp; "":"" &amp; ADDRESS(MaxOrTarget+2, DVTColumn))) / LabSpeed,
  AW105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5" s="1249"/>
      <c r="BA105" s="1249"/>
      <c r="BB105" s="1249"/>
      <c r="BC105" s="1249"/>
      <c r="BD105" s="1250" t="str">
        <f>IFERROR(__xludf.DUMMYFUNCTION("if(BC105 &lt;&gt; """", 
  LET( 
    TargetLevel, VLOOKUP(BC105,MS_Labs_Array,3,false),
    MaxLevel, VLOOKUP(BC105,MS_Labs_Array,4,false),
    MaxOrTarget, IF(OR(TargetLevel = """",$AD$1 &lt;&gt; ""Target""), MaxLevel, TargetLevel),
    LabLevel, VLOOKUP(BC105,MS_La"&amp;"bs_Array,2,False),
    Levelprogress, LabLevel / MaxOrTarget,
    DVTColumn, MATCH(BC105,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5" s="1251" t="str">
        <f>IFERROR(__xludf.DUMMYFUNCTION("if(BC105 &lt;&gt; """", 
  LET(
    TargetLevel, VLOOKUP(BC105,MS_Labs_Array,3,false),
    LabSpeed, (1 * REGEXEXTRACT($BH$1, ""[\d.-]+"")) * {IF(BC105 =""Labs Speed"", 1+'Master Sheet'!$BK$5, LAB_SPEED_TOTAL())},
    MaxLevel, VLOOKUP(BC105,MS_Labs_Array,4,fal"&amp;"se),
    MaxOrTarget, IF(OR(TargetLevel = """",$AD$1 &lt;&gt; ""Target""), MaxLevel, TargetLevel),
    LabLevel, VLOOKUP(BC105,MS_Labs_Array,2,False),
    DVTColumn, MATCH(BC105, DVT_Laboratory!$A$1:BO$1, 0),
    xextTime, INDIRECT(""DVT_Laboratory!"" &amp; ADDRESS"&amp;"(LabLevel+3, DVTColumn)) / LabSpeed,
    remainingTime, SUM(INDIRECT(""DVT_Laboratory!"" &amp; ADDRESS(LabLevel+3, DVTColumn) &amp; "":"" &amp; ADDRESS(MaxOrTarget+2, DVTColumn))) / LabSpeed,
  BC105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5" s="1249"/>
      <c r="BG105" s="1249"/>
      <c r="BH105" s="1260"/>
      <c r="BI105" s="1252"/>
      <c r="BJ105" s="1253" t="str">
        <f>IFERROR(__xludf.DUMMYFUNCTION("if(BI105 &lt;&gt; """", 
  LET( 
    TargetLevel, VLOOKUP(BI105,MS_Labs_Array,3,false),
    MaxLevel, VLOOKUP(BI105,MS_Labs_Array,4,false),
    MaxOrTarget, IF(OR(TargetLevel = """",$AD$1 &lt;&gt; ""Target""), MaxLevel, TargetLevel),
    LabLevel, VLOOKUP(BI105,MS_La"&amp;"bs_Array,2,False),
    Levelprogress, IF(LabLevel &gt;= MaxOrTarget, 1, LabLevel / MaxOrTarget),
    DVTColumn, MATCH(BI105,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5" s="1254" t="str">
        <f>IFERROR(__xludf.DUMMYFUNCTION("if(BI105 &lt;&gt; """", 
  LET(
    TargetLevel, VLOOKUP(BI105,MS_Labs_Array,3,false),
    LabSpeed, (1 * REGEXEXTRACT($BH$1, ""[\d.-]+"")) * {IF(BI105 =""Labs Speed"", 1+'Master Sheet'!$BK$5, LAB_SPEED_TOTAL())},
    MaxLevel, VLOOKUP(BI105,MS_Labs_Array,4,fal"&amp;"se),
    MaxOrTarget, IF(OR(TargetLevel = """",$AD$1 &lt;&gt; ""Target""), MaxLevel, TargetLevel),
    LabLevel, VLOOKUP(BI105,MS_Labs_Array,2,False),
    DVTColumn, MATCH(BI105, DVT_Laboratory!$A$1:BO$1, 0),
    xextTime, INDIRECT(""DVT_Laboratory!"" &amp; ADDRESS"&amp;"(LabLevel+3, DVTColumn)) / LabSpeed,
    remainingTime, SUM(INDIRECT(""DVT_Laboratory!"" &amp; ADDRESS(LabLevel+3, DVTColumn) &amp; "":"" &amp; ADDRESS(MaxOrTarget+2, DVTColumn))) / LabSpeed,
  BI105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5" s="1252"/>
      <c r="BM105" s="1252"/>
      <c r="BN105" s="1222"/>
      <c r="BO105" s="1261"/>
    </row>
    <row r="106" ht="7.5" customHeight="1">
      <c r="A106" s="1222"/>
      <c r="B106" s="1262" t="s">
        <v>562</v>
      </c>
      <c r="C106" s="1313" t="s">
        <v>232</v>
      </c>
      <c r="D106" s="1280" t="str">
        <f>VLOOKUP(C106,'Remote Tier List'!A:D, 2, FALSE)</f>
        <v>D</v>
      </c>
      <c r="E106" s="1281" t="str">
        <f>VLOOKUP(C106,'Remote Tier List'!A:D, 3, FALSE)</f>
        <v>A</v>
      </c>
      <c r="F106" s="1284" t="str">
        <f>VLOOKUP(C106,'Remote Tier List'!A:D, 4, FALSE)</f>
        <v>Super Tower is a bullet only damage multiplier until you unlock its mastery. Great damage multipler after doing so</v>
      </c>
      <c r="G106" s="1245" t="b">
        <f>IFERROR(AND(VLOOKUP("Tier 8",'_IDS'!$BZ$3:$DT$23, 2, FALSE) &gt; 300, NOT(VLOOKUP("Super Tower",'_IDS'!$AE$2:$AG$31, 2, FALSE)="Locked")), true)</f>
        <v>1</v>
      </c>
      <c r="H106" s="1265" t="str">
        <f t="array" ref="H106:I106">LET(
  Lab, $C106,
  Mode, $AD$1,
  Level, VLOOKUP(Lab, MS_Labs_Array, 2, FALSE),
  Target, VLOOKUP(Lab, MS_Labs_Array, 3, FALSE),
  Max, VLOOKUP(Lab, MS_Labs_Array, 4, FALSE),
  Result,
    IF(
      AND(
        Mode &lt;&gt; "Never",
        Level &gt;= IF(OR(Target = "", Mode = "Max"), Max, Target)
      ),
      "Completed",
      ""
    ),
  HSTACK(
    IF(Result &lt;&gt; "", Result, $D106),
    IF(Result &lt;&gt; "", Result, IF($E106 = "", $D106, $E106))
  )
)</f>
        <v>D</v>
      </c>
      <c r="I106" s="1265" t="s">
        <v>545</v>
      </c>
      <c r="J106" s="1248" t="str">
        <f t="shared" si="19"/>
        <v>Super Tower is a bullet only damage multiplier until you unlock its mastery. Great damage multipler after doing so</v>
      </c>
      <c r="K106" s="1229"/>
      <c r="L106" s="1249" t="str">
        <f>IFERROR(__xludf.DUMMYFUNCTION("""COMPUTED_VALUE"""),"")</f>
        <v/>
      </c>
      <c r="M106" s="1249"/>
      <c r="N106" s="1250" t="str">
        <f>IFERROR(__xludf.DUMMYFUNCTION("if(M106 &lt;&gt; """", 
  LET( 
    TargetLevel, VLOOKUP(M106,MS_Labs_Array,3,false),
    MaxLevel, VLOOKUP(M106,MS_Labs_Array,4,false),
    MaxOrTarget, IF(OR(TargetLevel = """",$AD$1 &lt;&gt; ""Target""), MaxLevel, TargetLevel),
    LabLevel, VLOOKUP(M106,MS_Labs_A"&amp;"rray,2,False),
    Levelprogress, LabLevel / MaxOrTarget,
    DVTColumn, MATCH(M106,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6" s="1251" t="str">
        <f>IFERROR(__xludf.DUMMYFUNCTION("if(M106 &lt;&gt; """", 
  LET(
    TargetLevel, VLOOKUP(M106,MS_Labs_Array,3,false),
    LabSpeed, (1 * REGEXEXTRACT($BH$1, ""[\d.-]+"")) * {IF(M106 =""Labs Speed"", 1+'Master Sheet'!$BK$5, LAB_SPEED_TOTAL())},
    MaxLevel, VLOOKUP(M106,MS_Labs_Array,4,false),"&amp;"
    MaxOrTarget, IF(OR(TargetLevel = """",$AD$1 &lt;&gt; ""Target""), MaxLevel, TargetLevel),
    LabLevel, VLOOKUP(M106,MS_Labs_Array,2,False),
    DVTColumn, MATCH(M106, DVT_Laboratory!$A$1:BO$1, 0),
    xextTime, INDIRECT(""DVT_Laboratory!"" &amp; ADDRESS(LabLe"&amp;"vel+3, DVTColumn)) / LabSpeed,
    remainingTime, SUM(INDIRECT(""DVT_Laboratory!"" &amp; ADDRESS(LabLevel+3, DVTColumn) &amp; "":"" &amp; ADDRESS(MaxOrTarget+2, DVTColumn))) / LabSpeed,
  M106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6" s="1249"/>
      <c r="Q106" s="1249" t="str">
        <f>IFERROR(__xludf.DUMMYFUNCTION("""COMPUTED_VALUE"""),"")</f>
        <v/>
      </c>
      <c r="R106" s="1249" t="str">
        <f>IFERROR(__xludf.DUMMYFUNCTION("""COMPUTED_VALUE"""),"")</f>
        <v/>
      </c>
      <c r="S106" s="1249"/>
      <c r="T106" s="1250" t="str">
        <f>IFERROR(__xludf.DUMMYFUNCTION("if(S106 &lt;&gt; """", 
  LET( 
    TargetLevel, VLOOKUP(S106,MS_Labs_Array,3,false),
    MaxLevel, VLOOKUP(S106,MS_Labs_Array,4,false),
    MaxOrTarget, IF(OR(TargetLevel = """",$AD$1 &lt;&gt; ""Target""), MaxLevel, TargetLevel),
    LabLevel, VLOOKUP(S106,MS_Labs_A"&amp;"rray,2,False),
    Levelprogress, LabLevel / MaxOrTarget,
    DVTColumn, MATCH(S106,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6" s="1251" t="str">
        <f>IFERROR(__xludf.DUMMYFUNCTION("if(S106 &lt;&gt; """", 
  LET(
    TargetLevel, VLOOKUP(S106,MS_Labs_Array,3,false),
    LabSpeed, (1 * REGEXEXTRACT($BH$1, ""[\d.-]+"")) * {IF(S106 =""Labs Speed"", 1+'Master Sheet'!$BK$5, LAB_SPEED_TOTAL())},
    MaxLevel, VLOOKUP(S106,MS_Labs_Array,4,false),"&amp;"
    MaxOrTarget, IF(OR(TargetLevel = """",$AD$1 &lt;&gt; ""Target""), MaxLevel, TargetLevel),
    LabLevel, VLOOKUP(S106,MS_Labs_Array,2,False),
    DVTColumn, MATCH(S106, DVT_Laboratory!$A$1:BO$1, 0),
    xextTime, INDIRECT(""DVT_Laboratory!"" &amp; ADDRESS(LabLe"&amp;"vel+3, DVTColumn)) / LabSpeed,
    remainingTime, SUM(INDIRECT(""DVT_Laboratory!"" &amp; ADDRESS(LabLevel+3, DVTColumn) &amp; "":"" &amp; ADDRESS(MaxOrTarget+2, DVTColumn))) / LabSpeed,
  S106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6" s="1249"/>
      <c r="W106" s="1249" t="str">
        <f>IFERROR(__xludf.DUMMYFUNCTION("""COMPUTED_VALUE"""),"")</f>
        <v/>
      </c>
      <c r="X106" s="1249" t="str">
        <f>IFERROR(__xludf.DUMMYFUNCTION("""COMPUTED_VALUE"""),"")</f>
        <v/>
      </c>
      <c r="Y106" s="1249"/>
      <c r="Z106" s="1250" t="str">
        <f>IFERROR(__xludf.DUMMYFUNCTION("if(Y106 &lt;&gt; """", 
  LET( 
    TargetLevel, VLOOKUP(Y106,MS_Labs_Array,3,false),
    MaxLevel, VLOOKUP(Y106,MS_Labs_Array,4,false),
    MaxOrTarget, IF(OR(TargetLevel = """",$AD$1 &lt;&gt; ""Target""), MaxLevel, TargetLevel),
    LabLevel, VLOOKUP(Y106,MS_Labs_A"&amp;"rray,2,False),
    Levelprogress, LabLevel / MaxOrTarget,
    DVTColumn, MATCH(Y106,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6" s="1251" t="str">
        <f>IFERROR(__xludf.DUMMYFUNCTION("if(Y106 &lt;&gt; """", 
  LET(
    TargetLevel, VLOOKUP(Y106,MS_Labs_Array,3,false),
    LabSpeed, (1 * REGEXEXTRACT($BH$1, ""[\d.-]+"")) * {IF(Y106 =""Labs Speed"", 1+'Master Sheet'!$BK$5, LAB_SPEED_TOTAL())},
    MaxLevel, VLOOKUP(Y106,MS_Labs_Array,4,false),"&amp;"
    MaxOrTarget, IF(OR(TargetLevel = """",$AD$1 &lt;&gt; ""Target""), MaxLevel, TargetLevel),
    LabLevel, VLOOKUP(Y106,MS_Labs_Array,2,False),
    DVTColumn, MATCH(Y106, DVT_Laboratory!$A$1:BO$1, 0),
    xextTime, INDIRECT(""DVT_Laboratory!"" &amp; ADDRESS(LabLe"&amp;"vel+3, DVTColumn)) / LabSpeed,
    remainingTime, SUM(INDIRECT(""DVT_Laboratory!"" &amp; ADDRESS(LabLevel+3, DVTColumn) &amp; "":"" &amp; ADDRESS(MaxOrTarget+2, DVTColumn))) / LabSpeed,
  Y106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6" s="1249"/>
      <c r="AC106" s="1249" t="str">
        <f>IFERROR(__xludf.DUMMYFUNCTION("""COMPUTED_VALUE"""),"")</f>
        <v/>
      </c>
      <c r="AD106" s="1249" t="str">
        <f>IFERROR(__xludf.DUMMYFUNCTION("""COMPUTED_VALUE"""),"")</f>
        <v/>
      </c>
      <c r="AE106" s="1249"/>
      <c r="AF106" s="1250" t="str">
        <f>IFERROR(__xludf.DUMMYFUNCTION("if(AE106 &lt;&gt; """", 
  LET( 
    TargetLevel, VLOOKUP(AE106,MS_Labs_Array,3,false),
    MaxLevel, VLOOKUP(AE106,MS_Labs_Array,4,false),
    MaxOrTarget, IF(OR(TargetLevel = """",$AD$1 &lt;&gt; ""Target""), MaxLevel, TargetLevel),
    LabLevel, VLOOKUP(AE106,MS_La"&amp;"bs_Array,2,False),
    Levelprogress, LabLevel / MaxOrTarget,
    DVTColumn, MATCH(AE106,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6" s="1251" t="str">
        <f>IFERROR(__xludf.DUMMYFUNCTION("if(AE106 &lt;&gt; """", 
  LET(
    TargetLevel, VLOOKUP(AE106,MS_Labs_Array,3,false),
    LabSpeed, (1 * REGEXEXTRACT($BH$1, ""[\d.-]+"")) * {IF(AE106 =""Labs Speed"", 1+'Master Sheet'!$BK$5, LAB_SPEED_TOTAL())},
    MaxLevel, VLOOKUP(AE106,MS_Labs_Array,4,fal"&amp;"se),
    MaxOrTarget, IF(OR(TargetLevel = """",$AD$1 &lt;&gt; ""Target""), MaxLevel, TargetLevel),
    LabLevel, VLOOKUP(AE106,MS_Labs_Array,2,False),
    DVTColumn, MATCH(AE106, DVT_Laboratory!$A$1:BO$1, 0),
    xextTime, INDIRECT(""DVT_Laboratory!"" &amp; ADDRESS"&amp;"(LabLevel+3, DVTColumn)) / LabSpeed,
    remainingTime, SUM(INDIRECT(""DVT_Laboratory!"" &amp; ADDRESS(LabLevel+3, DVTColumn) &amp; "":"" &amp; ADDRESS(MaxOrTarget+2, DVTColumn))) / LabSpeed,
  AE106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6" s="1249"/>
      <c r="AI106" s="1249" t="str">
        <f>IFERROR(__xludf.DUMMYFUNCTION("""COMPUTED_VALUE"""),"")</f>
        <v/>
      </c>
      <c r="AJ106" s="1249" t="str">
        <f>IFERROR(__xludf.DUMMYFUNCTION("""COMPUTED_VALUE"""),"")</f>
        <v/>
      </c>
      <c r="AK106" s="1249"/>
      <c r="AL106" s="1250" t="str">
        <f>IFERROR(__xludf.DUMMYFUNCTION("if(AK106 &lt;&gt; """", 
  LET( 
    TargetLevel, VLOOKUP(AK106,MS_Labs_Array,3,false),
    MaxLevel, VLOOKUP(AK106,MS_Labs_Array,4,false),
    MaxOrTarget, IF(OR(TargetLevel = """",$AD$1 &lt;&gt; ""Target""), MaxLevel, TargetLevel),
    LabLevel, VLOOKUP(AK106,MS_La"&amp;"bs_Array,2,False),
    Levelprogress, LabLevel / MaxOrTarget,
    DVTColumn, MATCH(AK106,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6" s="1251" t="str">
        <f>IFERROR(__xludf.DUMMYFUNCTION("if(AK106 &lt;&gt; """", 
  LET(
    TargetLevel, VLOOKUP(AK106,MS_Labs_Array,3,false),
    LabSpeed, (1 * REGEXEXTRACT($BH$1, ""[\d.-]+"")) * {IF(AK106 =""Labs Speed"", 1+'Master Sheet'!$BK$5, LAB_SPEED_TOTAL())},
    MaxLevel, VLOOKUP(AK106,MS_Labs_Array,4,fal"&amp;"se),
    MaxOrTarget, IF(OR(TargetLevel = """",$AD$1 &lt;&gt; ""Target""), MaxLevel, TargetLevel),
    LabLevel, VLOOKUP(AK106,MS_Labs_Array,2,False),
    DVTColumn, MATCH(AK106, DVT_Laboratory!$A$1:BO$1, 0),
    xextTime, INDIRECT(""DVT_Laboratory!"" &amp; ADDRESS"&amp;"(LabLevel+3, DVTColumn)) / LabSpeed,
    remainingTime, SUM(INDIRECT(""DVT_Laboratory!"" &amp; ADDRESS(LabLevel+3, DVTColumn) &amp; "":"" &amp; ADDRESS(MaxOrTarget+2, DVTColumn))) / LabSpeed,
  AK106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6" s="1249"/>
      <c r="AO106" s="1249" t="str">
        <f>IFERROR(__xludf.DUMMYFUNCTION("""COMPUTED_VALUE"""),"")</f>
        <v/>
      </c>
      <c r="AP106" s="1249" t="str">
        <f>IFERROR(__xludf.DUMMYFUNCTION("""COMPUTED_VALUE"""),"")</f>
        <v/>
      </c>
      <c r="AQ106" s="1249"/>
      <c r="AR106" s="1250" t="str">
        <f>IFERROR(__xludf.DUMMYFUNCTION("if(AQ106 &lt;&gt; """", 
  LET( 
    TargetLevel, VLOOKUP(AQ106,MS_Labs_Array,3,false),
    MaxLevel, VLOOKUP(AQ106,MS_Labs_Array,4,false),
    MaxOrTarget, IF(OR(TargetLevel = """",$AD$1 &lt;&gt; ""Target""), MaxLevel, TargetLevel),
    LabLevel, VLOOKUP(AQ106,MS_La"&amp;"bs_Array,2,False),
    Levelprogress, LabLevel / MaxOrTarget,
    DVTColumn, MATCH(AQ106,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6" s="1251" t="str">
        <f>IFERROR(__xludf.DUMMYFUNCTION("if(AQ106 &lt;&gt; """", 
  LET(
    TargetLevel, VLOOKUP(AQ106,MS_Labs_Array,3,false),
    LabSpeed, (1 * REGEXEXTRACT($BH$1, ""[\d.-]+"")) * {IF(AQ106 =""Labs Speed"", 1+'Master Sheet'!$BK$5, LAB_SPEED_TOTAL())},
    MaxLevel, VLOOKUP(AQ106,MS_Labs_Array,4,fal"&amp;"se),
    MaxOrTarget, IF(OR(TargetLevel = """",$AD$1 &lt;&gt; ""Target""), MaxLevel, TargetLevel),
    LabLevel, VLOOKUP(AQ106,MS_Labs_Array,2,False),
    DVTColumn, MATCH(AQ106, DVT_Laboratory!$A$1:BO$1, 0),
    xextTime, INDIRECT(""DVT_Laboratory!"" &amp; ADDRESS"&amp;"(LabLevel+3, DVTColumn)) / LabSpeed,
    remainingTime, SUM(INDIRECT(""DVT_Laboratory!"" &amp; ADDRESS(LabLevel+3, DVTColumn) &amp; "":"" &amp; ADDRESS(MaxOrTarget+2, DVTColumn))) / LabSpeed,
  AQ106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6" s="1249"/>
      <c r="AU106" s="1249" t="str">
        <f>IFERROR(__xludf.DUMMYFUNCTION("""COMPUTED_VALUE"""),"")</f>
        <v/>
      </c>
      <c r="AV106" s="1249" t="str">
        <f>IFERROR(__xludf.DUMMYFUNCTION("""COMPUTED_VALUE"""),"")</f>
        <v/>
      </c>
      <c r="AW106" s="1249"/>
      <c r="AX106" s="1250" t="str">
        <f>IFERROR(__xludf.DUMMYFUNCTION("if(AW106 &lt;&gt; """", 
  LET( 
    TargetLevel, VLOOKUP(AW106,MS_Labs_Array,3,false),
    MaxLevel, VLOOKUP(AW106,MS_Labs_Array,4,false),
    MaxOrTarget, IF(OR(TargetLevel = """",$AD$1 &lt;&gt; ""Target""), MaxLevel, TargetLevel),
    LabLevel, VLOOKUP(AW106,MS_La"&amp;"bs_Array,2,False),
    Levelprogress, LabLevel / MaxOrTarget,
    DVTColumn, MATCH(AW106,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6" s="1251" t="str">
        <f>IFERROR(__xludf.DUMMYFUNCTION("if(AW106 &lt;&gt; """", 
  LET(
    TargetLevel, VLOOKUP(AW106,MS_Labs_Array,3,false),
    LabSpeed, (1 * REGEXEXTRACT($BH$1, ""[\d.-]+"")) * {IF(AW106 =""Labs Speed"", 1+'Master Sheet'!$BK$5, LAB_SPEED_TOTAL())},
    MaxLevel, VLOOKUP(AW106,MS_Labs_Array,4,fal"&amp;"se),
    MaxOrTarget, IF(OR(TargetLevel = """",$AD$1 &lt;&gt; ""Target""), MaxLevel, TargetLevel),
    LabLevel, VLOOKUP(AW106,MS_Labs_Array,2,False),
    DVTColumn, MATCH(AW106, DVT_Laboratory!$A$1:BO$1, 0),
    xextTime, INDIRECT(""DVT_Laboratory!"" &amp; ADDRESS"&amp;"(LabLevel+3, DVTColumn)) / LabSpeed,
    remainingTime, SUM(INDIRECT(""DVT_Laboratory!"" &amp; ADDRESS(LabLevel+3, DVTColumn) &amp; "":"" &amp; ADDRESS(MaxOrTarget+2, DVTColumn))) / LabSpeed,
  AW106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6" s="1249"/>
      <c r="BA106" s="1249" t="str">
        <f>IFERROR(__xludf.DUMMYFUNCTION("""COMPUTED_VALUE"""),"")</f>
        <v/>
      </c>
      <c r="BB106" s="1249" t="str">
        <f>IFERROR(__xludf.DUMMYFUNCTION("""COMPUTED_VALUE"""),"")</f>
        <v/>
      </c>
      <c r="BC106" s="1249"/>
      <c r="BD106" s="1250" t="str">
        <f>IFERROR(__xludf.DUMMYFUNCTION("if(BC106 &lt;&gt; """", 
  LET( 
    TargetLevel, VLOOKUP(BC106,MS_Labs_Array,3,false),
    MaxLevel, VLOOKUP(BC106,MS_Labs_Array,4,false),
    MaxOrTarget, IF(OR(TargetLevel = """",$AD$1 &lt;&gt; ""Target""), MaxLevel, TargetLevel),
    LabLevel, VLOOKUP(BC106,MS_La"&amp;"bs_Array,2,False),
    Levelprogress, LabLevel / MaxOrTarget,
    DVTColumn, MATCH(BC106,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6" s="1251" t="str">
        <f>IFERROR(__xludf.DUMMYFUNCTION("if(BC106 &lt;&gt; """", 
  LET(
    TargetLevel, VLOOKUP(BC106,MS_Labs_Array,3,false),
    LabSpeed, (1 * REGEXEXTRACT($BH$1, ""[\d.-]+"")) * {IF(BC106 =""Labs Speed"", 1+'Master Sheet'!$BK$5, LAB_SPEED_TOTAL())},
    MaxLevel, VLOOKUP(BC106,MS_Labs_Array,4,fal"&amp;"se),
    MaxOrTarget, IF(OR(TargetLevel = """",$AD$1 &lt;&gt; ""Target""), MaxLevel, TargetLevel),
    LabLevel, VLOOKUP(BC106,MS_Labs_Array,2,False),
    DVTColumn, MATCH(BC106, DVT_Laboratory!$A$1:BO$1, 0),
    xextTime, INDIRECT(""DVT_Laboratory!"" &amp; ADDRESS"&amp;"(LabLevel+3, DVTColumn)) / LabSpeed,
    remainingTime, SUM(INDIRECT(""DVT_Laboratory!"" &amp; ADDRESS(LabLevel+3, DVTColumn) &amp; "":"" &amp; ADDRESS(MaxOrTarget+2, DVTColumn))) / LabSpeed,
  BC106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6" s="1249"/>
      <c r="BG106" s="1249" t="str">
        <f>IFERROR(__xludf.DUMMYFUNCTION("""COMPUTED_VALUE"""),"")</f>
        <v/>
      </c>
      <c r="BH106" s="1260" t="str">
        <f>IFERROR(__xludf.DUMMYFUNCTION("""COMPUTED_VALUE"""),"")</f>
        <v/>
      </c>
      <c r="BI106" s="1252"/>
      <c r="BJ106" s="1253" t="str">
        <f>IFERROR(__xludf.DUMMYFUNCTION("if(BI106 &lt;&gt; """", 
  LET( 
    TargetLevel, VLOOKUP(BI106,MS_Labs_Array,3,false),
    MaxLevel, VLOOKUP(BI106,MS_Labs_Array,4,false),
    MaxOrTarget, IF(OR(TargetLevel = """",$AD$1 &lt;&gt; ""Target""), MaxLevel, TargetLevel),
    LabLevel, VLOOKUP(BI106,MS_La"&amp;"bs_Array,2,False),
    Levelprogress, IF(LabLevel &gt;= MaxOrTarget, 1, LabLevel / MaxOrTarget),
    DVTColumn, MATCH(BI106,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6" s="1254" t="str">
        <f>IFERROR(__xludf.DUMMYFUNCTION("if(BI106 &lt;&gt; """", 
  LET(
    TargetLevel, VLOOKUP(BI106,MS_Labs_Array,3,false),
    LabSpeed, (1 * REGEXEXTRACT($BH$1, ""[\d.-]+"")) * {IF(BI106 =""Labs Speed"", 1+'Master Sheet'!$BK$5, LAB_SPEED_TOTAL())},
    MaxLevel, VLOOKUP(BI106,MS_Labs_Array,4,fal"&amp;"se),
    MaxOrTarget, IF(OR(TargetLevel = """",$AD$1 &lt;&gt; ""Target""), MaxLevel, TargetLevel),
    LabLevel, VLOOKUP(BI106,MS_Labs_Array,2,False),
    DVTColumn, MATCH(BI106, DVT_Laboratory!$A$1:BO$1, 0),
    xextTime, INDIRECT(""DVT_Laboratory!"" &amp; ADDRESS"&amp;"(LabLevel+3, DVTColumn)) / LabSpeed,
    remainingTime, SUM(INDIRECT(""DVT_Laboratory!"" &amp; ADDRESS(LabLevel+3, DVTColumn) &amp; "":"" &amp; ADDRESS(MaxOrTarget+2, DVTColumn))) / LabSpeed,
  BI106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6" s="1252"/>
      <c r="BM106" s="1252" t="str">
        <f>IFERROR(__xludf.DUMMYFUNCTION("""COMPUTED_VALUE"""),"")</f>
        <v/>
      </c>
      <c r="BN106" s="1222"/>
      <c r="BO106" s="1261"/>
    </row>
    <row r="107">
      <c r="A107" s="1222"/>
      <c r="B107" s="1268" t="s">
        <v>564</v>
      </c>
      <c r="C107" s="1313" t="s">
        <v>243</v>
      </c>
      <c r="D107" s="1280" t="str">
        <f>VLOOKUP(C107,'Remote Tier List'!A:D, 2, FALSE)</f>
        <v>D</v>
      </c>
      <c r="E107" s="1281" t="str">
        <f>VLOOKUP(C107,'Remote Tier List'!A:D, 3, FALSE)</f>
        <v>A</v>
      </c>
      <c r="F107" s="1284" t="str">
        <f>VLOOKUP(C107,'Remote Tier List'!A:D, 4, FALSE)</f>
        <v>Essential to keep the effect of mastery going past 400 waves. Good for Fleets</v>
      </c>
      <c r="G107" s="1245" t="b">
        <f>IFERROR(AND(VLOOKUP("Tier 14",'_IDS'!$BZ$3:$DT$23, 2, FALSE) &gt; 60,  NOT(VLOOKUP("Second Wind",'_IDS'!$AE$2:$AG$31, 2, FALSE)="Locked")), true)</f>
        <v>1</v>
      </c>
      <c r="H107" s="1265" t="str">
        <f t="array" ref="H107:I107">LET(
  Lab, $C107,
  Mode, $AD$1,
  Level, VLOOKUP(Lab, MS_Labs_Array, 2, FALSE),
  Target, VLOOKUP(Lab, MS_Labs_Array, 3, FALSE),
  Max, VLOOKUP(Lab, MS_Labs_Array, 4, FALSE),
  Result,
    IF(
      AND(
        Mode &lt;&gt; "Never",
        Level &gt;= IF(OR(Target = "", Mode = "Max"), Max, Target)
      ),
      "Completed",
      ""
    ),
  HSTACK(
    IF(Result &lt;&gt; "", Result, $D107),
    IF(Result &lt;&gt; "", Result, IF($E107 = "", $D107, $E107))
  )
)</f>
        <v>Completed</v>
      </c>
      <c r="I107" s="1265" t="s">
        <v>551</v>
      </c>
      <c r="J107" s="1248" t="str">
        <f t="shared" si="19"/>
        <v>Essential to keep the effect of mastery going past 400 waves. Good for Fleets</v>
      </c>
      <c r="K107" s="1229"/>
      <c r="L107" s="1249"/>
      <c r="M107" s="1249"/>
      <c r="N107" s="1250" t="str">
        <f>IFERROR(__xludf.DUMMYFUNCTION("if(M107 &lt;&gt; """", 
  LET( 
    TargetLevel, VLOOKUP(M107,MS_Labs_Array,3,false),
    MaxLevel, VLOOKUP(M107,MS_Labs_Array,4,false),
    MaxOrTarget, IF(OR(TargetLevel = """",$AD$1 &lt;&gt; ""Target""), MaxLevel, TargetLevel),
    LabLevel, VLOOKUP(M107,MS_Labs_A"&amp;"rray,2,False),
    Levelprogress, LabLevel / MaxOrTarget,
    DVTColumn, MATCH(M107,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7" s="1251" t="str">
        <f>IFERROR(__xludf.DUMMYFUNCTION("if(M107 &lt;&gt; """", 
  LET(
    TargetLevel, VLOOKUP(M107,MS_Labs_Array,3,false),
    LabSpeed, (1 * REGEXEXTRACT($BH$1, ""[\d.-]+"")) * {IF(M107 =""Labs Speed"", 1+'Master Sheet'!$BK$5, LAB_SPEED_TOTAL())},
    MaxLevel, VLOOKUP(M107,MS_Labs_Array,4,false),"&amp;"
    MaxOrTarget, IF(OR(TargetLevel = """",$AD$1 &lt;&gt; ""Target""), MaxLevel, TargetLevel),
    LabLevel, VLOOKUP(M107,MS_Labs_Array,2,False),
    DVTColumn, MATCH(M107, DVT_Laboratory!$A$1:BO$1, 0),
    xextTime, INDIRECT(""DVT_Laboratory!"" &amp; ADDRESS(LabLe"&amp;"vel+3, DVTColumn)) / LabSpeed,
    remainingTime, SUM(INDIRECT(""DVT_Laboratory!"" &amp; ADDRESS(LabLevel+3, DVTColumn) &amp; "":"" &amp; ADDRESS(MaxOrTarget+2, DVTColumn))) / LabSpeed,
  M107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7" s="1249"/>
      <c r="Q107" s="1249"/>
      <c r="R107" s="1249"/>
      <c r="S107" s="1249"/>
      <c r="T107" s="1250" t="str">
        <f>IFERROR(__xludf.DUMMYFUNCTION("if(S107 &lt;&gt; """", 
  LET( 
    TargetLevel, VLOOKUP(S107,MS_Labs_Array,3,false),
    MaxLevel, VLOOKUP(S107,MS_Labs_Array,4,false),
    MaxOrTarget, IF(OR(TargetLevel = """",$AD$1 &lt;&gt; ""Target""), MaxLevel, TargetLevel),
    LabLevel, VLOOKUP(S107,MS_Labs_A"&amp;"rray,2,False),
    Levelprogress, LabLevel / MaxOrTarget,
    DVTColumn, MATCH(S107,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7" s="1251" t="str">
        <f>IFERROR(__xludf.DUMMYFUNCTION("if(S107 &lt;&gt; """", 
  LET(
    TargetLevel, VLOOKUP(S107,MS_Labs_Array,3,false),
    LabSpeed, (1 * REGEXEXTRACT($BH$1, ""[\d.-]+"")) * {IF(S107 =""Labs Speed"", 1+'Master Sheet'!$BK$5, LAB_SPEED_TOTAL())},
    MaxLevel, VLOOKUP(S107,MS_Labs_Array,4,false),"&amp;"
    MaxOrTarget, IF(OR(TargetLevel = """",$AD$1 &lt;&gt; ""Target""), MaxLevel, TargetLevel),
    LabLevel, VLOOKUP(S107,MS_Labs_Array,2,False),
    DVTColumn, MATCH(S107, DVT_Laboratory!$A$1:BO$1, 0),
    xextTime, INDIRECT(""DVT_Laboratory!"" &amp; ADDRESS(LabLe"&amp;"vel+3, DVTColumn)) / LabSpeed,
    remainingTime, SUM(INDIRECT(""DVT_Laboratory!"" &amp; ADDRESS(LabLevel+3, DVTColumn) &amp; "":"" &amp; ADDRESS(MaxOrTarget+2, DVTColumn))) / LabSpeed,
  S107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7" s="1249"/>
      <c r="W107" s="1249"/>
      <c r="X107" s="1249"/>
      <c r="Y107" s="1249"/>
      <c r="Z107" s="1250" t="str">
        <f>IFERROR(__xludf.DUMMYFUNCTION("if(Y107 &lt;&gt; """", 
  LET( 
    TargetLevel, VLOOKUP(Y107,MS_Labs_Array,3,false),
    MaxLevel, VLOOKUP(Y107,MS_Labs_Array,4,false),
    MaxOrTarget, IF(OR(TargetLevel = """",$AD$1 &lt;&gt; ""Target""), MaxLevel, TargetLevel),
    LabLevel, VLOOKUP(Y107,MS_Labs_A"&amp;"rray,2,False),
    Levelprogress, LabLevel / MaxOrTarget,
    DVTColumn, MATCH(Y107,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7" s="1251" t="str">
        <f>IFERROR(__xludf.DUMMYFUNCTION("if(Y107 &lt;&gt; """", 
  LET(
    TargetLevel, VLOOKUP(Y107,MS_Labs_Array,3,false),
    LabSpeed, (1 * REGEXEXTRACT($BH$1, ""[\d.-]+"")) * {IF(Y107 =""Labs Speed"", 1+'Master Sheet'!$BK$5, LAB_SPEED_TOTAL())},
    MaxLevel, VLOOKUP(Y107,MS_Labs_Array,4,false),"&amp;"
    MaxOrTarget, IF(OR(TargetLevel = """",$AD$1 &lt;&gt; ""Target""), MaxLevel, TargetLevel),
    LabLevel, VLOOKUP(Y107,MS_Labs_Array,2,False),
    DVTColumn, MATCH(Y107, DVT_Laboratory!$A$1:BO$1, 0),
    xextTime, INDIRECT(""DVT_Laboratory!"" &amp; ADDRESS(LabLe"&amp;"vel+3, DVTColumn)) / LabSpeed,
    remainingTime, SUM(INDIRECT(""DVT_Laboratory!"" &amp; ADDRESS(LabLevel+3, DVTColumn) &amp; "":"" &amp; ADDRESS(MaxOrTarget+2, DVTColumn))) / LabSpeed,
  Y107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7" s="1249"/>
      <c r="AC107" s="1249"/>
      <c r="AD107" s="1249"/>
      <c r="AE107" s="1249"/>
      <c r="AF107" s="1250" t="str">
        <f>IFERROR(__xludf.DUMMYFUNCTION("if(AE107 &lt;&gt; """", 
  LET( 
    TargetLevel, VLOOKUP(AE107,MS_Labs_Array,3,false),
    MaxLevel, VLOOKUP(AE107,MS_Labs_Array,4,false),
    MaxOrTarget, IF(OR(TargetLevel = """",$AD$1 &lt;&gt; ""Target""), MaxLevel, TargetLevel),
    LabLevel, VLOOKUP(AE107,MS_La"&amp;"bs_Array,2,False),
    Levelprogress, LabLevel / MaxOrTarget,
    DVTColumn, MATCH(AE107,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7" s="1251" t="str">
        <f>IFERROR(__xludf.DUMMYFUNCTION("if(AE107 &lt;&gt; """", 
  LET(
    TargetLevel, VLOOKUP(AE107,MS_Labs_Array,3,false),
    LabSpeed, (1 * REGEXEXTRACT($BH$1, ""[\d.-]+"")) * {IF(AE107 =""Labs Speed"", 1+'Master Sheet'!$BK$5, LAB_SPEED_TOTAL())},
    MaxLevel, VLOOKUP(AE107,MS_Labs_Array,4,fal"&amp;"se),
    MaxOrTarget, IF(OR(TargetLevel = """",$AD$1 &lt;&gt; ""Target""), MaxLevel, TargetLevel),
    LabLevel, VLOOKUP(AE107,MS_Labs_Array,2,False),
    DVTColumn, MATCH(AE107, DVT_Laboratory!$A$1:BO$1, 0),
    xextTime, INDIRECT(""DVT_Laboratory!"" &amp; ADDRESS"&amp;"(LabLevel+3, DVTColumn)) / LabSpeed,
    remainingTime, SUM(INDIRECT(""DVT_Laboratory!"" &amp; ADDRESS(LabLevel+3, DVTColumn) &amp; "":"" &amp; ADDRESS(MaxOrTarget+2, DVTColumn))) / LabSpeed,
  AE107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7" s="1249"/>
      <c r="AI107" s="1249"/>
      <c r="AJ107" s="1249"/>
      <c r="AK107" s="1249"/>
      <c r="AL107" s="1250" t="str">
        <f>IFERROR(__xludf.DUMMYFUNCTION("if(AK107 &lt;&gt; """", 
  LET( 
    TargetLevel, VLOOKUP(AK107,MS_Labs_Array,3,false),
    MaxLevel, VLOOKUP(AK107,MS_Labs_Array,4,false),
    MaxOrTarget, IF(OR(TargetLevel = """",$AD$1 &lt;&gt; ""Target""), MaxLevel, TargetLevel),
    LabLevel, VLOOKUP(AK107,MS_La"&amp;"bs_Array,2,False),
    Levelprogress, LabLevel / MaxOrTarget,
    DVTColumn, MATCH(AK107,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7" s="1251" t="str">
        <f>IFERROR(__xludf.DUMMYFUNCTION("if(AK107 &lt;&gt; """", 
  LET(
    TargetLevel, VLOOKUP(AK107,MS_Labs_Array,3,false),
    LabSpeed, (1 * REGEXEXTRACT($BH$1, ""[\d.-]+"")) * {IF(AK107 =""Labs Speed"", 1+'Master Sheet'!$BK$5, LAB_SPEED_TOTAL())},
    MaxLevel, VLOOKUP(AK107,MS_Labs_Array,4,fal"&amp;"se),
    MaxOrTarget, IF(OR(TargetLevel = """",$AD$1 &lt;&gt; ""Target""), MaxLevel, TargetLevel),
    LabLevel, VLOOKUP(AK107,MS_Labs_Array,2,False),
    DVTColumn, MATCH(AK107, DVT_Laboratory!$A$1:BO$1, 0),
    xextTime, INDIRECT(""DVT_Laboratory!"" &amp; ADDRESS"&amp;"(LabLevel+3, DVTColumn)) / LabSpeed,
    remainingTime, SUM(INDIRECT(""DVT_Laboratory!"" &amp; ADDRESS(LabLevel+3, DVTColumn) &amp; "":"" &amp; ADDRESS(MaxOrTarget+2, DVTColumn))) / LabSpeed,
  AK107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7" s="1249"/>
      <c r="AO107" s="1249"/>
      <c r="AP107" s="1249"/>
      <c r="AQ107" s="1249"/>
      <c r="AR107" s="1250" t="str">
        <f>IFERROR(__xludf.DUMMYFUNCTION("if(AQ107 &lt;&gt; """", 
  LET( 
    TargetLevel, VLOOKUP(AQ107,MS_Labs_Array,3,false),
    MaxLevel, VLOOKUP(AQ107,MS_Labs_Array,4,false),
    MaxOrTarget, IF(OR(TargetLevel = """",$AD$1 &lt;&gt; ""Target""), MaxLevel, TargetLevel),
    LabLevel, VLOOKUP(AQ107,MS_La"&amp;"bs_Array,2,False),
    Levelprogress, LabLevel / MaxOrTarget,
    DVTColumn, MATCH(AQ107,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7" s="1251" t="str">
        <f>IFERROR(__xludf.DUMMYFUNCTION("if(AQ107 &lt;&gt; """", 
  LET(
    TargetLevel, VLOOKUP(AQ107,MS_Labs_Array,3,false),
    LabSpeed, (1 * REGEXEXTRACT($BH$1, ""[\d.-]+"")) * {IF(AQ107 =""Labs Speed"", 1+'Master Sheet'!$BK$5, LAB_SPEED_TOTAL())},
    MaxLevel, VLOOKUP(AQ107,MS_Labs_Array,4,fal"&amp;"se),
    MaxOrTarget, IF(OR(TargetLevel = """",$AD$1 &lt;&gt; ""Target""), MaxLevel, TargetLevel),
    LabLevel, VLOOKUP(AQ107,MS_Labs_Array,2,False),
    DVTColumn, MATCH(AQ107, DVT_Laboratory!$A$1:BO$1, 0),
    xextTime, INDIRECT(""DVT_Laboratory!"" &amp; ADDRESS"&amp;"(LabLevel+3, DVTColumn)) / LabSpeed,
    remainingTime, SUM(INDIRECT(""DVT_Laboratory!"" &amp; ADDRESS(LabLevel+3, DVTColumn) &amp; "":"" &amp; ADDRESS(MaxOrTarget+2, DVTColumn))) / LabSpeed,
  AQ107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7" s="1249"/>
      <c r="AU107" s="1249"/>
      <c r="AV107" s="1249"/>
      <c r="AW107" s="1249"/>
      <c r="AX107" s="1250" t="str">
        <f>IFERROR(__xludf.DUMMYFUNCTION("if(AW107 &lt;&gt; """", 
  LET( 
    TargetLevel, VLOOKUP(AW107,MS_Labs_Array,3,false),
    MaxLevel, VLOOKUP(AW107,MS_Labs_Array,4,false),
    MaxOrTarget, IF(OR(TargetLevel = """",$AD$1 &lt;&gt; ""Target""), MaxLevel, TargetLevel),
    LabLevel, VLOOKUP(AW107,MS_La"&amp;"bs_Array,2,False),
    Levelprogress, LabLevel / MaxOrTarget,
    DVTColumn, MATCH(AW107,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7" s="1251" t="str">
        <f>IFERROR(__xludf.DUMMYFUNCTION("if(AW107 &lt;&gt; """", 
  LET(
    TargetLevel, VLOOKUP(AW107,MS_Labs_Array,3,false),
    LabSpeed, (1 * REGEXEXTRACT($BH$1, ""[\d.-]+"")) * {IF(AW107 =""Labs Speed"", 1+'Master Sheet'!$BK$5, LAB_SPEED_TOTAL())},
    MaxLevel, VLOOKUP(AW107,MS_Labs_Array,4,fal"&amp;"se),
    MaxOrTarget, IF(OR(TargetLevel = """",$AD$1 &lt;&gt; ""Target""), MaxLevel, TargetLevel),
    LabLevel, VLOOKUP(AW107,MS_Labs_Array,2,False),
    DVTColumn, MATCH(AW107, DVT_Laboratory!$A$1:BO$1, 0),
    xextTime, INDIRECT(""DVT_Laboratory!"" &amp; ADDRESS"&amp;"(LabLevel+3, DVTColumn)) / LabSpeed,
    remainingTime, SUM(INDIRECT(""DVT_Laboratory!"" &amp; ADDRESS(LabLevel+3, DVTColumn) &amp; "":"" &amp; ADDRESS(MaxOrTarget+2, DVTColumn))) / LabSpeed,
  AW107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7" s="1249"/>
      <c r="BA107" s="1249"/>
      <c r="BB107" s="1249"/>
      <c r="BC107" s="1249"/>
      <c r="BD107" s="1250" t="str">
        <f>IFERROR(__xludf.DUMMYFUNCTION("if(BC107 &lt;&gt; """", 
  LET( 
    TargetLevel, VLOOKUP(BC107,MS_Labs_Array,3,false),
    MaxLevel, VLOOKUP(BC107,MS_Labs_Array,4,false),
    MaxOrTarget, IF(OR(TargetLevel = """",$AD$1 &lt;&gt; ""Target""), MaxLevel, TargetLevel),
    LabLevel, VLOOKUP(BC107,MS_La"&amp;"bs_Array,2,False),
    Levelprogress, LabLevel / MaxOrTarget,
    DVTColumn, MATCH(BC107,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7" s="1251" t="str">
        <f>IFERROR(__xludf.DUMMYFUNCTION("if(BC107 &lt;&gt; """", 
  LET(
    TargetLevel, VLOOKUP(BC107,MS_Labs_Array,3,false),
    LabSpeed, (1 * REGEXEXTRACT($BH$1, ""[\d.-]+"")) * {IF(BC107 =""Labs Speed"", 1+'Master Sheet'!$BK$5, LAB_SPEED_TOTAL())},
    MaxLevel, VLOOKUP(BC107,MS_Labs_Array,4,fal"&amp;"se),
    MaxOrTarget, IF(OR(TargetLevel = """",$AD$1 &lt;&gt; ""Target""), MaxLevel, TargetLevel),
    LabLevel, VLOOKUP(BC107,MS_Labs_Array,2,False),
    DVTColumn, MATCH(BC107, DVT_Laboratory!$A$1:BO$1, 0),
    xextTime, INDIRECT(""DVT_Laboratory!"" &amp; ADDRESS"&amp;"(LabLevel+3, DVTColumn)) / LabSpeed,
    remainingTime, SUM(INDIRECT(""DVT_Laboratory!"" &amp; ADDRESS(LabLevel+3, DVTColumn) &amp; "":"" &amp; ADDRESS(MaxOrTarget+2, DVTColumn))) / LabSpeed,
  BC107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7" s="1249"/>
      <c r="BG107" s="1249"/>
      <c r="BH107" s="1260"/>
      <c r="BI107" s="1252"/>
      <c r="BJ107" s="1253" t="str">
        <f>IFERROR(__xludf.DUMMYFUNCTION("if(BI107 &lt;&gt; """", 
  LET( 
    TargetLevel, VLOOKUP(BI107,MS_Labs_Array,3,false),
    MaxLevel, VLOOKUP(BI107,MS_Labs_Array,4,false),
    MaxOrTarget, IF(OR(TargetLevel = """",$AD$1 &lt;&gt; ""Target""), MaxLevel, TargetLevel),
    LabLevel, VLOOKUP(BI107,MS_La"&amp;"bs_Array,2,False),
    Levelprogress, IF(LabLevel &gt;= MaxOrTarget, 1, LabLevel / MaxOrTarget),
    DVTColumn, MATCH(BI107,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7" s="1254" t="str">
        <f>IFERROR(__xludf.DUMMYFUNCTION("if(BI107 &lt;&gt; """", 
  LET(
    TargetLevel, VLOOKUP(BI107,MS_Labs_Array,3,false),
    LabSpeed, (1 * REGEXEXTRACT($BH$1, ""[\d.-]+"")) * {IF(BI107 =""Labs Speed"", 1+'Master Sheet'!$BK$5, LAB_SPEED_TOTAL())},
    MaxLevel, VLOOKUP(BI107,MS_Labs_Array,4,fal"&amp;"se),
    MaxOrTarget, IF(OR(TargetLevel = """",$AD$1 &lt;&gt; ""Target""), MaxLevel, TargetLevel),
    LabLevel, VLOOKUP(BI107,MS_Labs_Array,2,False),
    DVTColumn, MATCH(BI107, DVT_Laboratory!$A$1:BO$1, 0),
    xextTime, INDIRECT(""DVT_Laboratory!"" &amp; ADDRESS"&amp;"(LabLevel+3, DVTColumn)) / LabSpeed,
    remainingTime, SUM(INDIRECT(""DVT_Laboratory!"" &amp; ADDRESS(LabLevel+3, DVTColumn) &amp; "":"" &amp; ADDRESS(MaxOrTarget+2, DVTColumn))) / LabSpeed,
  BI107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7" s="1252"/>
      <c r="BM107" s="1252"/>
      <c r="BN107" s="1222"/>
      <c r="BO107" s="1261"/>
    </row>
    <row r="108" ht="7.5" customHeight="1">
      <c r="A108" s="1305"/>
      <c r="B108" s="1257"/>
      <c r="C108" s="1313" t="s">
        <v>254</v>
      </c>
      <c r="D108" s="1280" t="str">
        <f>VLOOKUP(C108,'Remote Tier List'!A:D, 2, FALSE)</f>
        <v>QOL</v>
      </c>
      <c r="E108" s="1281" t="str">
        <f>VLOOKUP(C108,'Remote Tier List'!A:D, 3, FALSE)</f>
        <v>A</v>
      </c>
      <c r="F108" s="1284" t="str">
        <f>VLOOKUP(C108,'Remote Tier List'!A:D, 4, FALSE)</f>
        <v>Great for the event mission, essential to keep the effect of mastery going past 300 waves</v>
      </c>
      <c r="G108" s="1245" t="b">
        <f>IFERROR(AND(VLOOKUP("Tier 14",'_IDS'!$BZ$3:$DT$23, 2, FALSE) &gt; 60, NOT(VLOOKUP("Demon Mode",'_IDS'!$AE$2:$AG$31, 2, FALSE)="Locked")), true)</f>
        <v>1</v>
      </c>
      <c r="H108" s="1265" t="str">
        <f t="array" ref="H108:I108">LET(
  Lab, $C108,
  Mode, $AD$1,
  Level, VLOOKUP(Lab, MS_Labs_Array, 2, FALSE),
  Target, VLOOKUP(Lab, MS_Labs_Array, 3, FALSE),
  Max, VLOOKUP(Lab, MS_Labs_Array, 4, FALSE),
  Result,
    IF(
      AND(
        Mode &lt;&gt; "Never",
        Level &gt;= IF(OR(Target = "", Mode = "Max"), Max, Target)
      ),
      "Completed",
      ""
    ),
  HSTACK(
    IF(Result &lt;&gt; "", Result, $D108),
    IF(Result &lt;&gt; "", Result, IF($E108 = "", $D108, $E108))
  )
)</f>
        <v>QOL</v>
      </c>
      <c r="I108" s="1265" t="s">
        <v>545</v>
      </c>
      <c r="J108" s="1248" t="str">
        <f t="shared" si="19"/>
        <v>Great for the event mission, essential to keep the effect of mastery going past 300 waves</v>
      </c>
      <c r="K108" s="1306"/>
      <c r="L108" s="1307" t="str">
        <f>IFERROR(__xludf.DUMMYFUNCTION("""COMPUTED_VALUE"""),"")</f>
        <v/>
      </c>
      <c r="M108" s="1307"/>
      <c r="N108" s="1250" t="str">
        <f>IFERROR(__xludf.DUMMYFUNCTION("if(M108 &lt;&gt; """", 
  LET( 
    TargetLevel, VLOOKUP(M108,MS_Labs_Array,3,false),
    MaxLevel, VLOOKUP(M108,MS_Labs_Array,4,false),
    MaxOrTarget, IF(OR(TargetLevel = """",$AD$1 &lt;&gt; ""Target""), MaxLevel, TargetLevel),
    LabLevel, VLOOKUP(M108,MS_Labs_A"&amp;"rray,2,False),
    Levelprogress, LabLevel / MaxOrTarget,
    DVTColumn, MATCH(M108,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8" s="1251" t="str">
        <f>IFERROR(__xludf.DUMMYFUNCTION("if(M108 &lt;&gt; """", 
  LET(
    TargetLevel, VLOOKUP(M108,MS_Labs_Array,3,false),
    LabSpeed, (1 * REGEXEXTRACT($BH$1, ""[\d.-]+"")) * {IF(M108 =""Labs Speed"", 1+'Master Sheet'!$BK$5, LAB_SPEED_TOTAL())},
    MaxLevel, VLOOKUP(M108,MS_Labs_Array,4,false),"&amp;"
    MaxOrTarget, IF(OR(TargetLevel = """",$AD$1 &lt;&gt; ""Target""), MaxLevel, TargetLevel),
    LabLevel, VLOOKUP(M108,MS_Labs_Array,2,False),
    DVTColumn, MATCH(M108, DVT_Laboratory!$A$1:BO$1, 0),
    xextTime, INDIRECT(""DVT_Laboratory!"" &amp; ADDRESS(LabLe"&amp;"vel+3, DVTColumn)) / LabSpeed,
    remainingTime, SUM(INDIRECT(""DVT_Laboratory!"" &amp; ADDRESS(LabLevel+3, DVTColumn) &amp; "":"" &amp; ADDRESS(MaxOrTarget+2, DVTColumn))) / LabSpeed,
  M108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8" s="1307"/>
      <c r="Q108" s="1307" t="str">
        <f>IFERROR(__xludf.DUMMYFUNCTION("""COMPUTED_VALUE"""),"")</f>
        <v/>
      </c>
      <c r="R108" s="1307" t="str">
        <f>IFERROR(__xludf.DUMMYFUNCTION("""COMPUTED_VALUE"""),"")</f>
        <v/>
      </c>
      <c r="S108" s="1307"/>
      <c r="T108" s="1250" t="str">
        <f>IFERROR(__xludf.DUMMYFUNCTION("if(S108 &lt;&gt; """", 
  LET( 
    TargetLevel, VLOOKUP(S108,MS_Labs_Array,3,false),
    MaxLevel, VLOOKUP(S108,MS_Labs_Array,4,false),
    MaxOrTarget, IF(OR(TargetLevel = """",$AD$1 &lt;&gt; ""Target""), MaxLevel, TargetLevel),
    LabLevel, VLOOKUP(S108,MS_Labs_A"&amp;"rray,2,False),
    Levelprogress, LabLevel / MaxOrTarget,
    DVTColumn, MATCH(S108,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8" s="1251" t="str">
        <f>IFERROR(__xludf.DUMMYFUNCTION("if(S108 &lt;&gt; """", 
  LET(
    TargetLevel, VLOOKUP(S108,MS_Labs_Array,3,false),
    LabSpeed, (1 * REGEXEXTRACT($BH$1, ""[\d.-]+"")) * {IF(S108 =""Labs Speed"", 1+'Master Sheet'!$BK$5, LAB_SPEED_TOTAL())},
    MaxLevel, VLOOKUP(S108,MS_Labs_Array,4,false),"&amp;"
    MaxOrTarget, IF(OR(TargetLevel = """",$AD$1 &lt;&gt; ""Target""), MaxLevel, TargetLevel),
    LabLevel, VLOOKUP(S108,MS_Labs_Array,2,False),
    DVTColumn, MATCH(S108, DVT_Laboratory!$A$1:BO$1, 0),
    xextTime, INDIRECT(""DVT_Laboratory!"" &amp; ADDRESS(LabLe"&amp;"vel+3, DVTColumn)) / LabSpeed,
    remainingTime, SUM(INDIRECT(""DVT_Laboratory!"" &amp; ADDRESS(LabLevel+3, DVTColumn) &amp; "":"" &amp; ADDRESS(MaxOrTarget+2, DVTColumn))) / LabSpeed,
  S108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8" s="1307"/>
      <c r="W108" s="1307" t="str">
        <f>IFERROR(__xludf.DUMMYFUNCTION("""COMPUTED_VALUE"""),"")</f>
        <v/>
      </c>
      <c r="X108" s="1307" t="str">
        <f>IFERROR(__xludf.DUMMYFUNCTION("""COMPUTED_VALUE"""),"")</f>
        <v/>
      </c>
      <c r="Y108" s="1307"/>
      <c r="Z108" s="1250" t="str">
        <f>IFERROR(__xludf.DUMMYFUNCTION("if(Y108 &lt;&gt; """", 
  LET( 
    TargetLevel, VLOOKUP(Y108,MS_Labs_Array,3,false),
    MaxLevel, VLOOKUP(Y108,MS_Labs_Array,4,false),
    MaxOrTarget, IF(OR(TargetLevel = """",$AD$1 &lt;&gt; ""Target""), MaxLevel, TargetLevel),
    LabLevel, VLOOKUP(Y108,MS_Labs_A"&amp;"rray,2,False),
    Levelprogress, LabLevel / MaxOrTarget,
    DVTColumn, MATCH(Y108,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8" s="1251" t="str">
        <f>IFERROR(__xludf.DUMMYFUNCTION("if(Y108 &lt;&gt; """", 
  LET(
    TargetLevel, VLOOKUP(Y108,MS_Labs_Array,3,false),
    LabSpeed, (1 * REGEXEXTRACT($BH$1, ""[\d.-]+"")) * {IF(Y108 =""Labs Speed"", 1+'Master Sheet'!$BK$5, LAB_SPEED_TOTAL())},
    MaxLevel, VLOOKUP(Y108,MS_Labs_Array,4,false),"&amp;"
    MaxOrTarget, IF(OR(TargetLevel = """",$AD$1 &lt;&gt; ""Target""), MaxLevel, TargetLevel),
    LabLevel, VLOOKUP(Y108,MS_Labs_Array,2,False),
    DVTColumn, MATCH(Y108, DVT_Laboratory!$A$1:BO$1, 0),
    xextTime, INDIRECT(""DVT_Laboratory!"" &amp; ADDRESS(LabLe"&amp;"vel+3, DVTColumn)) / LabSpeed,
    remainingTime, SUM(INDIRECT(""DVT_Laboratory!"" &amp; ADDRESS(LabLevel+3, DVTColumn) &amp; "":"" &amp; ADDRESS(MaxOrTarget+2, DVTColumn))) / LabSpeed,
  Y108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8" s="1307"/>
      <c r="AC108" s="1307" t="str">
        <f>IFERROR(__xludf.DUMMYFUNCTION("""COMPUTED_VALUE"""),"")</f>
        <v/>
      </c>
      <c r="AD108" s="1307" t="str">
        <f>IFERROR(__xludf.DUMMYFUNCTION("""COMPUTED_VALUE"""),"")</f>
        <v/>
      </c>
      <c r="AE108" s="1307"/>
      <c r="AF108" s="1250" t="str">
        <f>IFERROR(__xludf.DUMMYFUNCTION("if(AE108 &lt;&gt; """", 
  LET( 
    TargetLevel, VLOOKUP(AE108,MS_Labs_Array,3,false),
    MaxLevel, VLOOKUP(AE108,MS_Labs_Array,4,false),
    MaxOrTarget, IF(OR(TargetLevel = """",$AD$1 &lt;&gt; ""Target""), MaxLevel, TargetLevel),
    LabLevel, VLOOKUP(AE108,MS_La"&amp;"bs_Array,2,False),
    Levelprogress, LabLevel / MaxOrTarget,
    DVTColumn, MATCH(AE108,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8" s="1251" t="str">
        <f>IFERROR(__xludf.DUMMYFUNCTION("if(AE108 &lt;&gt; """", 
  LET(
    TargetLevel, VLOOKUP(AE108,MS_Labs_Array,3,false),
    LabSpeed, (1 * REGEXEXTRACT($BH$1, ""[\d.-]+"")) * {IF(AE108 =""Labs Speed"", 1+'Master Sheet'!$BK$5, LAB_SPEED_TOTAL())},
    MaxLevel, VLOOKUP(AE108,MS_Labs_Array,4,fal"&amp;"se),
    MaxOrTarget, IF(OR(TargetLevel = """",$AD$1 &lt;&gt; ""Target""), MaxLevel, TargetLevel),
    LabLevel, VLOOKUP(AE108,MS_Labs_Array,2,False),
    DVTColumn, MATCH(AE108, DVT_Laboratory!$A$1:BO$1, 0),
    xextTime, INDIRECT(""DVT_Laboratory!"" &amp; ADDRESS"&amp;"(LabLevel+3, DVTColumn)) / LabSpeed,
    remainingTime, SUM(INDIRECT(""DVT_Laboratory!"" &amp; ADDRESS(LabLevel+3, DVTColumn) &amp; "":"" &amp; ADDRESS(MaxOrTarget+2, DVTColumn))) / LabSpeed,
  AE108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8" s="1307"/>
      <c r="AI108" s="1307" t="str">
        <f>IFERROR(__xludf.DUMMYFUNCTION("""COMPUTED_VALUE"""),"")</f>
        <v/>
      </c>
      <c r="AJ108" s="1307" t="str">
        <f>IFERROR(__xludf.DUMMYFUNCTION("""COMPUTED_VALUE"""),"")</f>
        <v/>
      </c>
      <c r="AK108" s="1307"/>
      <c r="AL108" s="1250" t="str">
        <f>IFERROR(__xludf.DUMMYFUNCTION("if(AK108 &lt;&gt; """", 
  LET( 
    TargetLevel, VLOOKUP(AK108,MS_Labs_Array,3,false),
    MaxLevel, VLOOKUP(AK108,MS_Labs_Array,4,false),
    MaxOrTarget, IF(OR(TargetLevel = """",$AD$1 &lt;&gt; ""Target""), MaxLevel, TargetLevel),
    LabLevel, VLOOKUP(AK108,MS_La"&amp;"bs_Array,2,False),
    Levelprogress, LabLevel / MaxOrTarget,
    DVTColumn, MATCH(AK108,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8" s="1251" t="str">
        <f>IFERROR(__xludf.DUMMYFUNCTION("if(AK108 &lt;&gt; """", 
  LET(
    TargetLevel, VLOOKUP(AK108,MS_Labs_Array,3,false),
    LabSpeed, (1 * REGEXEXTRACT($BH$1, ""[\d.-]+"")) * {IF(AK108 =""Labs Speed"", 1+'Master Sheet'!$BK$5, LAB_SPEED_TOTAL())},
    MaxLevel, VLOOKUP(AK108,MS_Labs_Array,4,fal"&amp;"se),
    MaxOrTarget, IF(OR(TargetLevel = """",$AD$1 &lt;&gt; ""Target""), MaxLevel, TargetLevel),
    LabLevel, VLOOKUP(AK108,MS_Labs_Array,2,False),
    DVTColumn, MATCH(AK108, DVT_Laboratory!$A$1:BO$1, 0),
    xextTime, INDIRECT(""DVT_Laboratory!"" &amp; ADDRESS"&amp;"(LabLevel+3, DVTColumn)) / LabSpeed,
    remainingTime, SUM(INDIRECT(""DVT_Laboratory!"" &amp; ADDRESS(LabLevel+3, DVTColumn) &amp; "":"" &amp; ADDRESS(MaxOrTarget+2, DVTColumn))) / LabSpeed,
  AK108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8" s="1307"/>
      <c r="AO108" s="1307" t="str">
        <f>IFERROR(__xludf.DUMMYFUNCTION("""COMPUTED_VALUE"""),"")</f>
        <v/>
      </c>
      <c r="AP108" s="1307" t="str">
        <f>IFERROR(__xludf.DUMMYFUNCTION("""COMPUTED_VALUE"""),"")</f>
        <v/>
      </c>
      <c r="AQ108" s="1307"/>
      <c r="AR108" s="1250" t="str">
        <f>IFERROR(__xludf.DUMMYFUNCTION("if(AQ108 &lt;&gt; """", 
  LET( 
    TargetLevel, VLOOKUP(AQ108,MS_Labs_Array,3,false),
    MaxLevel, VLOOKUP(AQ108,MS_Labs_Array,4,false),
    MaxOrTarget, IF(OR(TargetLevel = """",$AD$1 &lt;&gt; ""Target""), MaxLevel, TargetLevel),
    LabLevel, VLOOKUP(AQ108,MS_La"&amp;"bs_Array,2,False),
    Levelprogress, LabLevel / MaxOrTarget,
    DVTColumn, MATCH(AQ108,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8" s="1251" t="str">
        <f>IFERROR(__xludf.DUMMYFUNCTION("if(AQ108 &lt;&gt; """", 
  LET(
    TargetLevel, VLOOKUP(AQ108,MS_Labs_Array,3,false),
    LabSpeed, (1 * REGEXEXTRACT($BH$1, ""[\d.-]+"")) * {IF(AQ108 =""Labs Speed"", 1+'Master Sheet'!$BK$5, LAB_SPEED_TOTAL())},
    MaxLevel, VLOOKUP(AQ108,MS_Labs_Array,4,fal"&amp;"se),
    MaxOrTarget, IF(OR(TargetLevel = """",$AD$1 &lt;&gt; ""Target""), MaxLevel, TargetLevel),
    LabLevel, VLOOKUP(AQ108,MS_Labs_Array,2,False),
    DVTColumn, MATCH(AQ108, DVT_Laboratory!$A$1:BO$1, 0),
    xextTime, INDIRECT(""DVT_Laboratory!"" &amp; ADDRESS"&amp;"(LabLevel+3, DVTColumn)) / LabSpeed,
    remainingTime, SUM(INDIRECT(""DVT_Laboratory!"" &amp; ADDRESS(LabLevel+3, DVTColumn) &amp; "":"" &amp; ADDRESS(MaxOrTarget+2, DVTColumn))) / LabSpeed,
  AQ108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8" s="1307"/>
      <c r="AU108" s="1307" t="str">
        <f>IFERROR(__xludf.DUMMYFUNCTION("""COMPUTED_VALUE"""),"")</f>
        <v/>
      </c>
      <c r="AV108" s="1307" t="str">
        <f>IFERROR(__xludf.DUMMYFUNCTION("""COMPUTED_VALUE"""),"")</f>
        <v/>
      </c>
      <c r="AW108" s="1307"/>
      <c r="AX108" s="1250" t="str">
        <f>IFERROR(__xludf.DUMMYFUNCTION("if(AW108 &lt;&gt; """", 
  LET( 
    TargetLevel, VLOOKUP(AW108,MS_Labs_Array,3,false),
    MaxLevel, VLOOKUP(AW108,MS_Labs_Array,4,false),
    MaxOrTarget, IF(OR(TargetLevel = """",$AD$1 &lt;&gt; ""Target""), MaxLevel, TargetLevel),
    LabLevel, VLOOKUP(AW108,MS_La"&amp;"bs_Array,2,False),
    Levelprogress, LabLevel / MaxOrTarget,
    DVTColumn, MATCH(AW108,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8" s="1251" t="str">
        <f>IFERROR(__xludf.DUMMYFUNCTION("if(AW108 &lt;&gt; """", 
  LET(
    TargetLevel, VLOOKUP(AW108,MS_Labs_Array,3,false),
    LabSpeed, (1 * REGEXEXTRACT($BH$1, ""[\d.-]+"")) * {IF(AW108 =""Labs Speed"", 1+'Master Sheet'!$BK$5, LAB_SPEED_TOTAL())},
    MaxLevel, VLOOKUP(AW108,MS_Labs_Array,4,fal"&amp;"se),
    MaxOrTarget, IF(OR(TargetLevel = """",$AD$1 &lt;&gt; ""Target""), MaxLevel, TargetLevel),
    LabLevel, VLOOKUP(AW108,MS_Labs_Array,2,False),
    DVTColumn, MATCH(AW108, DVT_Laboratory!$A$1:BO$1, 0),
    xextTime, INDIRECT(""DVT_Laboratory!"" &amp; ADDRESS"&amp;"(LabLevel+3, DVTColumn)) / LabSpeed,
    remainingTime, SUM(INDIRECT(""DVT_Laboratory!"" &amp; ADDRESS(LabLevel+3, DVTColumn) &amp; "":"" &amp; ADDRESS(MaxOrTarget+2, DVTColumn))) / LabSpeed,
  AW108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8" s="1307"/>
      <c r="BA108" s="1307" t="str">
        <f>IFERROR(__xludf.DUMMYFUNCTION("""COMPUTED_VALUE"""),"")</f>
        <v/>
      </c>
      <c r="BB108" s="1307" t="str">
        <f>IFERROR(__xludf.DUMMYFUNCTION("""COMPUTED_VALUE"""),"")</f>
        <v/>
      </c>
      <c r="BC108" s="1307"/>
      <c r="BD108" s="1250" t="str">
        <f>IFERROR(__xludf.DUMMYFUNCTION("if(BC108 &lt;&gt; """", 
  LET( 
    TargetLevel, VLOOKUP(BC108,MS_Labs_Array,3,false),
    MaxLevel, VLOOKUP(BC108,MS_Labs_Array,4,false),
    MaxOrTarget, IF(OR(TargetLevel = """",$AD$1 &lt;&gt; ""Target""), MaxLevel, TargetLevel),
    LabLevel, VLOOKUP(BC108,MS_La"&amp;"bs_Array,2,False),
    Levelprogress, LabLevel / MaxOrTarget,
    DVTColumn, MATCH(BC108,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8" s="1251" t="str">
        <f>IFERROR(__xludf.DUMMYFUNCTION("if(BC108 &lt;&gt; """", 
  LET(
    TargetLevel, VLOOKUP(BC108,MS_Labs_Array,3,false),
    LabSpeed, (1 * REGEXEXTRACT($BH$1, ""[\d.-]+"")) * {IF(BC108 =""Labs Speed"", 1+'Master Sheet'!$BK$5, LAB_SPEED_TOTAL())},
    MaxLevel, VLOOKUP(BC108,MS_Labs_Array,4,fal"&amp;"se),
    MaxOrTarget, IF(OR(TargetLevel = """",$AD$1 &lt;&gt; ""Target""), MaxLevel, TargetLevel),
    LabLevel, VLOOKUP(BC108,MS_Labs_Array,2,False),
    DVTColumn, MATCH(BC108, DVT_Laboratory!$A$1:BO$1, 0),
    xextTime, INDIRECT(""DVT_Laboratory!"" &amp; ADDRESS"&amp;"(LabLevel+3, DVTColumn)) / LabSpeed,
    remainingTime, SUM(INDIRECT(""DVT_Laboratory!"" &amp; ADDRESS(LabLevel+3, DVTColumn) &amp; "":"" &amp; ADDRESS(MaxOrTarget+2, DVTColumn))) / LabSpeed,
  BC108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8" s="1307"/>
      <c r="BG108" s="1307" t="str">
        <f>IFERROR(__xludf.DUMMYFUNCTION("""COMPUTED_VALUE"""),"")</f>
        <v/>
      </c>
      <c r="BH108" s="1308" t="str">
        <f>IFERROR(__xludf.DUMMYFUNCTION("""COMPUTED_VALUE"""),"")</f>
        <v/>
      </c>
      <c r="BI108" s="1309"/>
      <c r="BJ108" s="1253" t="str">
        <f>IFERROR(__xludf.DUMMYFUNCTION("if(BI108 &lt;&gt; """", 
  LET( 
    TargetLevel, VLOOKUP(BI108,MS_Labs_Array,3,false),
    MaxLevel, VLOOKUP(BI108,MS_Labs_Array,4,false),
    MaxOrTarget, IF(OR(TargetLevel = """",$AD$1 &lt;&gt; ""Target""), MaxLevel, TargetLevel),
    LabLevel, VLOOKUP(BI108,MS_La"&amp;"bs_Array,2,False),
    Levelprogress, IF(LabLevel &gt;= MaxOrTarget, 1, LabLevel / MaxOrTarget),
    DVTColumn, MATCH(BI108,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8" s="1254" t="str">
        <f>IFERROR(__xludf.DUMMYFUNCTION("if(BI108 &lt;&gt; """", 
  LET(
    TargetLevel, VLOOKUP(BI108,MS_Labs_Array,3,false),
    LabSpeed, (1 * REGEXEXTRACT($BH$1, ""[\d.-]+"")) * {IF(BI108 =""Labs Speed"", 1+'Master Sheet'!$BK$5, LAB_SPEED_TOTAL())},
    MaxLevel, VLOOKUP(BI108,MS_Labs_Array,4,fal"&amp;"se),
    MaxOrTarget, IF(OR(TargetLevel = """",$AD$1 &lt;&gt; ""Target""), MaxLevel, TargetLevel),
    LabLevel, VLOOKUP(BI108,MS_Labs_Array,2,False),
    DVTColumn, MATCH(BI108, DVT_Laboratory!$A$1:BO$1, 0),
    xextTime, INDIRECT(""DVT_Laboratory!"" &amp; ADDRESS"&amp;"(LabLevel+3, DVTColumn)) / LabSpeed,
    remainingTime, SUM(INDIRECT(""DVT_Laboratory!"" &amp; ADDRESS(LabLevel+3, DVTColumn) &amp; "":"" &amp; ADDRESS(MaxOrTarget+2, DVTColumn))) / LabSpeed,
  BI108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8" s="1309"/>
      <c r="BM108" s="1309" t="str">
        <f>IFERROR(__xludf.DUMMYFUNCTION("""COMPUTED_VALUE"""),"")</f>
        <v/>
      </c>
      <c r="BN108" s="1305"/>
      <c r="BO108" s="1310"/>
    </row>
    <row r="109">
      <c r="A109" s="1222"/>
      <c r="B109" s="1271"/>
      <c r="C109" s="1314" t="s">
        <v>265</v>
      </c>
      <c r="D109" s="1280" t="str">
        <f>VLOOKUP(C109,'Remote Tier List'!A:D, 2, FALSE)</f>
        <v>D</v>
      </c>
      <c r="E109" s="1281" t="str">
        <f>VLOOKUP(C109,'Remote Tier List'!A:D, 3, FALSE)</f>
        <v>A</v>
      </c>
      <c r="F109" s="1288" t="str">
        <f>VLOOKUP(C109,'Remote Tier List'!A:D, 4, FALSE)</f>
        <v>Okay for the event mission when high level, essential to keep the effect of mastery going past 300 waves</v>
      </c>
      <c r="G109" s="1245" t="b">
        <f>IFERROR(AND(VLOOKUP("Tier 14",'_IDS'!$BZ$3:$DT$23, 2, FALSE) &gt; 60, NOT(VLOOKUP("Nuke",'_IDS'!$AE$2:$AG$31, 2, FALSE)="Locked")), true)</f>
        <v>1</v>
      </c>
      <c r="H109" s="1265" t="str">
        <f t="array" ref="H109:I109">LET(
  Lab, $C109,
  Mode, $AD$1,
  Level, VLOOKUP(Lab, MS_Labs_Array, 2, FALSE),
  Target, VLOOKUP(Lab, MS_Labs_Array, 3, FALSE),
  Max, VLOOKUP(Lab, MS_Labs_Array, 4, FALSE),
  Result,
    IF(
      AND(
        Mode &lt;&gt; "Never",
        Level &gt;= IF(OR(Target = "", Mode = "Max"), Max, Target)
      ),
      "Completed",
      ""
    ),
  HSTACK(
    IF(Result &lt;&gt; "", Result, $D109),
    IF(Result &lt;&gt; "", Result, IF($E109 = "", $D109, $E109))
  )
)</f>
        <v>D</v>
      </c>
      <c r="I109" s="1265" t="s">
        <v>545</v>
      </c>
      <c r="J109" s="1248" t="str">
        <f t="shared" si="19"/>
        <v>Okay for the event mission when high level, essential to keep the effect of mastery going past 300 waves</v>
      </c>
      <c r="K109" s="1229"/>
      <c r="L109" s="1249"/>
      <c r="M109" s="1249"/>
      <c r="N109" s="1250" t="str">
        <f>IFERROR(__xludf.DUMMYFUNCTION("if(M109 &lt;&gt; """", 
  LET( 
    TargetLevel, VLOOKUP(M109,MS_Labs_Array,3,false),
    MaxLevel, VLOOKUP(M109,MS_Labs_Array,4,false),
    MaxOrTarget, IF(OR(TargetLevel = """",$AD$1 &lt;&gt; ""Target""), MaxLevel, TargetLevel),
    LabLevel, VLOOKUP(M109,MS_Labs_A"&amp;"rray,2,False),
    Levelprogress, LabLevel / MaxOrTarget,
    DVTColumn, MATCH(M109,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9" s="1251" t="str">
        <f>IFERROR(__xludf.DUMMYFUNCTION("if(M109 &lt;&gt; """", 
  LET(
    TargetLevel, VLOOKUP(M109,MS_Labs_Array,3,false),
    LabSpeed, (1 * REGEXEXTRACT($BH$1, ""[\d.-]+"")) * {IF(M109 =""Labs Speed"", 1+'Master Sheet'!$BK$5, LAB_SPEED_TOTAL())},
    MaxLevel, VLOOKUP(M109,MS_Labs_Array,4,false),"&amp;"
    MaxOrTarget, IF(OR(TargetLevel = """",$AD$1 &lt;&gt; ""Target""), MaxLevel, TargetLevel),
    LabLevel, VLOOKUP(M109,MS_Labs_Array,2,False),
    DVTColumn, MATCH(M109, DVT_Laboratory!$A$1:BO$1, 0),
    xextTime, INDIRECT(""DVT_Laboratory!"" &amp; ADDRESS(LabLe"&amp;"vel+3, DVTColumn)) / LabSpeed,
    remainingTime, SUM(INDIRECT(""DVT_Laboratory!"" &amp; ADDRESS(LabLevel+3, DVTColumn) &amp; "":"" &amp; ADDRESS(MaxOrTarget+2, DVTColumn))) / LabSpeed,
  M109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9" s="1249"/>
      <c r="Q109" s="1249"/>
      <c r="R109" s="1249"/>
      <c r="S109" s="1249"/>
      <c r="T109" s="1250" t="str">
        <f>IFERROR(__xludf.DUMMYFUNCTION("if(S109 &lt;&gt; """", 
  LET( 
    TargetLevel, VLOOKUP(S109,MS_Labs_Array,3,false),
    MaxLevel, VLOOKUP(S109,MS_Labs_Array,4,false),
    MaxOrTarget, IF(OR(TargetLevel = """",$AD$1 &lt;&gt; ""Target""), MaxLevel, TargetLevel),
    LabLevel, VLOOKUP(S109,MS_Labs_A"&amp;"rray,2,False),
    Levelprogress, LabLevel / MaxOrTarget,
    DVTColumn, MATCH(S109,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9" s="1251" t="str">
        <f>IFERROR(__xludf.DUMMYFUNCTION("if(S109 &lt;&gt; """", 
  LET(
    TargetLevel, VLOOKUP(S109,MS_Labs_Array,3,false),
    LabSpeed, (1 * REGEXEXTRACT($BH$1, ""[\d.-]+"")) * {IF(S109 =""Labs Speed"", 1+'Master Sheet'!$BK$5, LAB_SPEED_TOTAL())},
    MaxLevel, VLOOKUP(S109,MS_Labs_Array,4,false),"&amp;"
    MaxOrTarget, IF(OR(TargetLevel = """",$AD$1 &lt;&gt; ""Target""), MaxLevel, TargetLevel),
    LabLevel, VLOOKUP(S109,MS_Labs_Array,2,False),
    DVTColumn, MATCH(S109, DVT_Laboratory!$A$1:BO$1, 0),
    xextTime, INDIRECT(""DVT_Laboratory!"" &amp; ADDRESS(LabLe"&amp;"vel+3, DVTColumn)) / LabSpeed,
    remainingTime, SUM(INDIRECT(""DVT_Laboratory!"" &amp; ADDRESS(LabLevel+3, DVTColumn) &amp; "":"" &amp; ADDRESS(MaxOrTarget+2, DVTColumn))) / LabSpeed,
  S109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9" s="1249"/>
      <c r="W109" s="1249"/>
      <c r="X109" s="1249"/>
      <c r="Y109" s="1249"/>
      <c r="Z109" s="1250" t="str">
        <f>IFERROR(__xludf.DUMMYFUNCTION("if(Y109 &lt;&gt; """", 
  LET( 
    TargetLevel, VLOOKUP(Y109,MS_Labs_Array,3,false),
    MaxLevel, VLOOKUP(Y109,MS_Labs_Array,4,false),
    MaxOrTarget, IF(OR(TargetLevel = """",$AD$1 &lt;&gt; ""Target""), MaxLevel, TargetLevel),
    LabLevel, VLOOKUP(Y109,MS_Labs_A"&amp;"rray,2,False),
    Levelprogress, LabLevel / MaxOrTarget,
    DVTColumn, MATCH(Y109,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9" s="1251" t="str">
        <f>IFERROR(__xludf.DUMMYFUNCTION("if(Y109 &lt;&gt; """", 
  LET(
    TargetLevel, VLOOKUP(Y109,MS_Labs_Array,3,false),
    LabSpeed, (1 * REGEXEXTRACT($BH$1, ""[\d.-]+"")) * {IF(Y109 =""Labs Speed"", 1+'Master Sheet'!$BK$5, LAB_SPEED_TOTAL())},
    MaxLevel, VLOOKUP(Y109,MS_Labs_Array,4,false),"&amp;"
    MaxOrTarget, IF(OR(TargetLevel = """",$AD$1 &lt;&gt; ""Target""), MaxLevel, TargetLevel),
    LabLevel, VLOOKUP(Y109,MS_Labs_Array,2,False),
    DVTColumn, MATCH(Y109, DVT_Laboratory!$A$1:BO$1, 0),
    xextTime, INDIRECT(""DVT_Laboratory!"" &amp; ADDRESS(LabLe"&amp;"vel+3, DVTColumn)) / LabSpeed,
    remainingTime, SUM(INDIRECT(""DVT_Laboratory!"" &amp; ADDRESS(LabLevel+3, DVTColumn) &amp; "":"" &amp; ADDRESS(MaxOrTarget+2, DVTColumn))) / LabSpeed,
  Y109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9" s="1249"/>
      <c r="AC109" s="1249"/>
      <c r="AD109" s="1249"/>
      <c r="AE109" s="1249"/>
      <c r="AF109" s="1250" t="str">
        <f>IFERROR(__xludf.DUMMYFUNCTION("if(AE109 &lt;&gt; """", 
  LET( 
    TargetLevel, VLOOKUP(AE109,MS_Labs_Array,3,false),
    MaxLevel, VLOOKUP(AE109,MS_Labs_Array,4,false),
    MaxOrTarget, IF(OR(TargetLevel = """",$AD$1 &lt;&gt; ""Target""), MaxLevel, TargetLevel),
    LabLevel, VLOOKUP(AE109,MS_La"&amp;"bs_Array,2,False),
    Levelprogress, LabLevel / MaxOrTarget,
    DVTColumn, MATCH(AE109,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9" s="1251" t="str">
        <f>IFERROR(__xludf.DUMMYFUNCTION("if(AE109 &lt;&gt; """", 
  LET(
    TargetLevel, VLOOKUP(AE109,MS_Labs_Array,3,false),
    LabSpeed, (1 * REGEXEXTRACT($BH$1, ""[\d.-]+"")) * {IF(AE109 =""Labs Speed"", 1+'Master Sheet'!$BK$5, LAB_SPEED_TOTAL())},
    MaxLevel, VLOOKUP(AE109,MS_Labs_Array,4,fal"&amp;"se),
    MaxOrTarget, IF(OR(TargetLevel = """",$AD$1 &lt;&gt; ""Target""), MaxLevel, TargetLevel),
    LabLevel, VLOOKUP(AE109,MS_Labs_Array,2,False),
    DVTColumn, MATCH(AE109, DVT_Laboratory!$A$1:BO$1, 0),
    xextTime, INDIRECT(""DVT_Laboratory!"" &amp; ADDRESS"&amp;"(LabLevel+3, DVTColumn)) / LabSpeed,
    remainingTime, SUM(INDIRECT(""DVT_Laboratory!"" &amp; ADDRESS(LabLevel+3, DVTColumn) &amp; "":"" &amp; ADDRESS(MaxOrTarget+2, DVTColumn))) / LabSpeed,
  AE109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9" s="1249"/>
      <c r="AI109" s="1249"/>
      <c r="AJ109" s="1249"/>
      <c r="AK109" s="1249"/>
      <c r="AL109" s="1250" t="str">
        <f>IFERROR(__xludf.DUMMYFUNCTION("if(AK109 &lt;&gt; """", 
  LET( 
    TargetLevel, VLOOKUP(AK109,MS_Labs_Array,3,false),
    MaxLevel, VLOOKUP(AK109,MS_Labs_Array,4,false),
    MaxOrTarget, IF(OR(TargetLevel = """",$AD$1 &lt;&gt; ""Target""), MaxLevel, TargetLevel),
    LabLevel, VLOOKUP(AK109,MS_La"&amp;"bs_Array,2,False),
    Levelprogress, LabLevel / MaxOrTarget,
    DVTColumn, MATCH(AK109,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9" s="1251" t="str">
        <f>IFERROR(__xludf.DUMMYFUNCTION("if(AK109 &lt;&gt; """", 
  LET(
    TargetLevel, VLOOKUP(AK109,MS_Labs_Array,3,false),
    LabSpeed, (1 * REGEXEXTRACT($BH$1, ""[\d.-]+"")) * {IF(AK109 =""Labs Speed"", 1+'Master Sheet'!$BK$5, LAB_SPEED_TOTAL())},
    MaxLevel, VLOOKUP(AK109,MS_Labs_Array,4,fal"&amp;"se),
    MaxOrTarget, IF(OR(TargetLevel = """",$AD$1 &lt;&gt; ""Target""), MaxLevel, TargetLevel),
    LabLevel, VLOOKUP(AK109,MS_Labs_Array,2,False),
    DVTColumn, MATCH(AK109, DVT_Laboratory!$A$1:BO$1, 0),
    xextTime, INDIRECT(""DVT_Laboratory!"" &amp; ADDRESS"&amp;"(LabLevel+3, DVTColumn)) / LabSpeed,
    remainingTime, SUM(INDIRECT(""DVT_Laboratory!"" &amp; ADDRESS(LabLevel+3, DVTColumn) &amp; "":"" &amp; ADDRESS(MaxOrTarget+2, DVTColumn))) / LabSpeed,
  AK109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9" s="1249"/>
      <c r="AO109" s="1249"/>
      <c r="AP109" s="1249"/>
      <c r="AQ109" s="1249"/>
      <c r="AR109" s="1250" t="str">
        <f>IFERROR(__xludf.DUMMYFUNCTION("if(AQ109 &lt;&gt; """", 
  LET( 
    TargetLevel, VLOOKUP(AQ109,MS_Labs_Array,3,false),
    MaxLevel, VLOOKUP(AQ109,MS_Labs_Array,4,false),
    MaxOrTarget, IF(OR(TargetLevel = """",$AD$1 &lt;&gt; ""Target""), MaxLevel, TargetLevel),
    LabLevel, VLOOKUP(AQ109,MS_La"&amp;"bs_Array,2,False),
    Levelprogress, LabLevel / MaxOrTarget,
    DVTColumn, MATCH(AQ109,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9" s="1251" t="str">
        <f>IFERROR(__xludf.DUMMYFUNCTION("if(AQ109 &lt;&gt; """", 
  LET(
    TargetLevel, VLOOKUP(AQ109,MS_Labs_Array,3,false),
    LabSpeed, (1 * REGEXEXTRACT($BH$1, ""[\d.-]+"")) * {IF(AQ109 =""Labs Speed"", 1+'Master Sheet'!$BK$5, LAB_SPEED_TOTAL())},
    MaxLevel, VLOOKUP(AQ109,MS_Labs_Array,4,fal"&amp;"se),
    MaxOrTarget, IF(OR(TargetLevel = """",$AD$1 &lt;&gt; ""Target""), MaxLevel, TargetLevel),
    LabLevel, VLOOKUP(AQ109,MS_Labs_Array,2,False),
    DVTColumn, MATCH(AQ109, DVT_Laboratory!$A$1:BO$1, 0),
    xextTime, INDIRECT(""DVT_Laboratory!"" &amp; ADDRESS"&amp;"(LabLevel+3, DVTColumn)) / LabSpeed,
    remainingTime, SUM(INDIRECT(""DVT_Laboratory!"" &amp; ADDRESS(LabLevel+3, DVTColumn) &amp; "":"" &amp; ADDRESS(MaxOrTarget+2, DVTColumn))) / LabSpeed,
  AQ109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9" s="1249"/>
      <c r="AU109" s="1249"/>
      <c r="AV109" s="1249"/>
      <c r="AW109" s="1249"/>
      <c r="AX109" s="1250" t="str">
        <f>IFERROR(__xludf.DUMMYFUNCTION("if(AW109 &lt;&gt; """", 
  LET( 
    TargetLevel, VLOOKUP(AW109,MS_Labs_Array,3,false),
    MaxLevel, VLOOKUP(AW109,MS_Labs_Array,4,false),
    MaxOrTarget, IF(OR(TargetLevel = """",$AD$1 &lt;&gt; ""Target""), MaxLevel, TargetLevel),
    LabLevel, VLOOKUP(AW109,MS_La"&amp;"bs_Array,2,False),
    Levelprogress, LabLevel / MaxOrTarget,
    DVTColumn, MATCH(AW109,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9" s="1251" t="str">
        <f>IFERROR(__xludf.DUMMYFUNCTION("if(AW109 &lt;&gt; """", 
  LET(
    TargetLevel, VLOOKUP(AW109,MS_Labs_Array,3,false),
    LabSpeed, (1 * REGEXEXTRACT($BH$1, ""[\d.-]+"")) * {IF(AW109 =""Labs Speed"", 1+'Master Sheet'!$BK$5, LAB_SPEED_TOTAL())},
    MaxLevel, VLOOKUP(AW109,MS_Labs_Array,4,fal"&amp;"se),
    MaxOrTarget, IF(OR(TargetLevel = """",$AD$1 &lt;&gt; ""Target""), MaxLevel, TargetLevel),
    LabLevel, VLOOKUP(AW109,MS_Labs_Array,2,False),
    DVTColumn, MATCH(AW109, DVT_Laboratory!$A$1:BO$1, 0),
    xextTime, INDIRECT(""DVT_Laboratory!"" &amp; ADDRESS"&amp;"(LabLevel+3, DVTColumn)) / LabSpeed,
    remainingTime, SUM(INDIRECT(""DVT_Laboratory!"" &amp; ADDRESS(LabLevel+3, DVTColumn) &amp; "":"" &amp; ADDRESS(MaxOrTarget+2, DVTColumn))) / LabSpeed,
  AW109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9" s="1249"/>
      <c r="BA109" s="1249"/>
      <c r="BB109" s="1249"/>
      <c r="BC109" s="1249"/>
      <c r="BD109" s="1250" t="str">
        <f>IFERROR(__xludf.DUMMYFUNCTION("if(BC109 &lt;&gt; """", 
  LET( 
    TargetLevel, VLOOKUP(BC109,MS_Labs_Array,3,false),
    MaxLevel, VLOOKUP(BC109,MS_Labs_Array,4,false),
    MaxOrTarget, IF(OR(TargetLevel = """",$AD$1 &lt;&gt; ""Target""), MaxLevel, TargetLevel),
    LabLevel, VLOOKUP(BC109,MS_La"&amp;"bs_Array,2,False),
    Levelprogress, LabLevel / MaxOrTarget,
    DVTColumn, MATCH(BC109,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9" s="1251" t="str">
        <f>IFERROR(__xludf.DUMMYFUNCTION("if(BC109 &lt;&gt; """", 
  LET(
    TargetLevel, VLOOKUP(BC109,MS_Labs_Array,3,false),
    LabSpeed, (1 * REGEXEXTRACT($BH$1, ""[\d.-]+"")) * {IF(BC109 =""Labs Speed"", 1+'Master Sheet'!$BK$5, LAB_SPEED_TOTAL())},
    MaxLevel, VLOOKUP(BC109,MS_Labs_Array,4,fal"&amp;"se),
    MaxOrTarget, IF(OR(TargetLevel = """",$AD$1 &lt;&gt; ""Target""), MaxLevel, TargetLevel),
    LabLevel, VLOOKUP(BC109,MS_Labs_Array,2,False),
    DVTColumn, MATCH(BC109, DVT_Laboratory!$A$1:BO$1, 0),
    xextTime, INDIRECT(""DVT_Laboratory!"" &amp; ADDRESS"&amp;"(LabLevel+3, DVTColumn)) / LabSpeed,
    remainingTime, SUM(INDIRECT(""DVT_Laboratory!"" &amp; ADDRESS(LabLevel+3, DVTColumn) &amp; "":"" &amp; ADDRESS(MaxOrTarget+2, DVTColumn))) / LabSpeed,
  BC109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9" s="1249"/>
      <c r="BG109" s="1249"/>
      <c r="BH109" s="1260"/>
      <c r="BI109" s="1252"/>
      <c r="BJ109" s="1253" t="str">
        <f>IFERROR(__xludf.DUMMYFUNCTION("if(BI109 &lt;&gt; """", 
  LET( 
    TargetLevel, VLOOKUP(BI109,MS_Labs_Array,3,false),
    MaxLevel, VLOOKUP(BI109,MS_Labs_Array,4,false),
    MaxOrTarget, IF(OR(TargetLevel = """",$AD$1 &lt;&gt; ""Target""), MaxLevel, TargetLevel),
    LabLevel, VLOOKUP(BI109,MS_La"&amp;"bs_Array,2,False),
    Levelprogress, IF(LabLevel &gt;= MaxOrTarget, 1, LabLevel / MaxOrTarget),
    DVTColumn, MATCH(BI109,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9" s="1254" t="str">
        <f>IFERROR(__xludf.DUMMYFUNCTION("if(BI109 &lt;&gt; """", 
  LET(
    TargetLevel, VLOOKUP(BI109,MS_Labs_Array,3,false),
    LabSpeed, (1 * REGEXEXTRACT($BH$1, ""[\d.-]+"")) * {IF(BI109 =""Labs Speed"", 1+'Master Sheet'!$BK$5, LAB_SPEED_TOTAL())},
    MaxLevel, VLOOKUP(BI109,MS_Labs_Array,4,fal"&amp;"se),
    MaxOrTarget, IF(OR(TargetLevel = """",$AD$1 &lt;&gt; ""Target""), MaxLevel, TargetLevel),
    LabLevel, VLOOKUP(BI109,MS_Labs_Array,2,False),
    DVTColumn, MATCH(BI109, DVT_Laboratory!$A$1:BO$1, 0),
    xextTime, INDIRECT(""DVT_Laboratory!"" &amp; ADDRESS"&amp;"(LabLevel+3, DVTColumn)) / LabSpeed,
    remainingTime, SUM(INDIRECT(""DVT_Laboratory!"" &amp; ADDRESS(LabLevel+3, DVTColumn) &amp; "":"" &amp; ADDRESS(MaxOrTarget+2, DVTColumn))) / LabSpeed,
  BI109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9" s="1252"/>
      <c r="BM109" s="1252"/>
      <c r="BN109" s="1222"/>
      <c r="BO109" s="1261"/>
    </row>
    <row r="110" ht="7.5" customHeight="1">
      <c r="A110" s="1222"/>
      <c r="B110" s="1274"/>
      <c r="C110" s="1289"/>
      <c r="D110" s="1274"/>
      <c r="E110" s="1274"/>
      <c r="F110" s="1274"/>
      <c r="G110" s="1296"/>
      <c r="H110" s="1315"/>
      <c r="I110" s="1315"/>
      <c r="J110" s="1248"/>
      <c r="K110" s="1229"/>
      <c r="L110" s="1249" t="str">
        <f>IFERROR(__xludf.DUMMYFUNCTION("""COMPUTED_VALUE"""),"")</f>
        <v/>
      </c>
      <c r="M110" s="1249"/>
      <c r="N110" s="1250" t="str">
        <f>IFERROR(__xludf.DUMMYFUNCTION("if(M110 &lt;&gt; """", 
  LET( 
    TargetLevel, VLOOKUP(M110,MS_Labs_Array,3,false),
    MaxLevel, VLOOKUP(M110,MS_Labs_Array,4,false),
    MaxOrTarget, IF(OR(TargetLevel = """",$AD$1 &lt;&gt; ""Target""), MaxLevel, TargetLevel),
    LabLevel, VLOOKUP(M110,MS_Labs_A"&amp;"rray,2,False),
    Levelprogress, LabLevel / MaxOrTarget,
    DVTColumn, MATCH(M110,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0" s="1251" t="str">
        <f>IFERROR(__xludf.DUMMYFUNCTION("if(M110 &lt;&gt; """", 
  LET(
    TargetLevel, VLOOKUP(M110,MS_Labs_Array,3,false),
    LabSpeed, (1 * REGEXEXTRACT($BH$1, ""[\d.-]+"")) * {IF(M110 =""Labs Speed"", 1+'Master Sheet'!$BK$5, LAB_SPEED_TOTAL())},
    MaxLevel, VLOOKUP(M110,MS_Labs_Array,4,false),"&amp;"
    MaxOrTarget, IF(OR(TargetLevel = """",$AD$1 &lt;&gt; ""Target""), MaxLevel, TargetLevel),
    LabLevel, VLOOKUP(M110,MS_Labs_Array,2,False),
    DVTColumn, MATCH(M110, DVT_Laboratory!$A$1:BO$1, 0),
    xextTime, INDIRECT(""DVT_Laboratory!"" &amp; ADDRESS(LabLe"&amp;"vel+3, DVTColumn)) / LabSpeed,
    remainingTime, SUM(INDIRECT(""DVT_Laboratory!"" &amp; ADDRESS(LabLevel+3, DVTColumn) &amp; "":"" &amp; ADDRESS(MaxOrTarget+2, DVTColumn))) / LabSpeed,
  M110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0" s="1249"/>
      <c r="Q110" s="1249" t="str">
        <f>IFERROR(__xludf.DUMMYFUNCTION("""COMPUTED_VALUE"""),"")</f>
        <v/>
      </c>
      <c r="R110" s="1249" t="str">
        <f>IFERROR(__xludf.DUMMYFUNCTION("""COMPUTED_VALUE"""),"")</f>
        <v/>
      </c>
      <c r="S110" s="1249"/>
      <c r="T110" s="1250" t="str">
        <f>IFERROR(__xludf.DUMMYFUNCTION("if(S110 &lt;&gt; """", 
  LET( 
    TargetLevel, VLOOKUP(S110,MS_Labs_Array,3,false),
    MaxLevel, VLOOKUP(S110,MS_Labs_Array,4,false),
    MaxOrTarget, IF(OR(TargetLevel = """",$AD$1 &lt;&gt; ""Target""), MaxLevel, TargetLevel),
    LabLevel, VLOOKUP(S110,MS_Labs_A"&amp;"rray,2,False),
    Levelprogress, LabLevel / MaxOrTarget,
    DVTColumn, MATCH(S110,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0" s="1251" t="str">
        <f>IFERROR(__xludf.DUMMYFUNCTION("if(S110 &lt;&gt; """", 
  LET(
    TargetLevel, VLOOKUP(S110,MS_Labs_Array,3,false),
    LabSpeed, (1 * REGEXEXTRACT($BH$1, ""[\d.-]+"")) * {IF(S110 =""Labs Speed"", 1+'Master Sheet'!$BK$5, LAB_SPEED_TOTAL())},
    MaxLevel, VLOOKUP(S110,MS_Labs_Array,4,false),"&amp;"
    MaxOrTarget, IF(OR(TargetLevel = """",$AD$1 &lt;&gt; ""Target""), MaxLevel, TargetLevel),
    LabLevel, VLOOKUP(S110,MS_Labs_Array,2,False),
    DVTColumn, MATCH(S110, DVT_Laboratory!$A$1:BO$1, 0),
    xextTime, INDIRECT(""DVT_Laboratory!"" &amp; ADDRESS(LabLe"&amp;"vel+3, DVTColumn)) / LabSpeed,
    remainingTime, SUM(INDIRECT(""DVT_Laboratory!"" &amp; ADDRESS(LabLevel+3, DVTColumn) &amp; "":"" &amp; ADDRESS(MaxOrTarget+2, DVTColumn))) / LabSpeed,
  S110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0" s="1249"/>
      <c r="W110" s="1249" t="str">
        <f>IFERROR(__xludf.DUMMYFUNCTION("""COMPUTED_VALUE"""),"")</f>
        <v/>
      </c>
      <c r="X110" s="1249" t="str">
        <f>IFERROR(__xludf.DUMMYFUNCTION("""COMPUTED_VALUE"""),"")</f>
        <v/>
      </c>
      <c r="Y110" s="1249"/>
      <c r="Z110" s="1250" t="str">
        <f>IFERROR(__xludf.DUMMYFUNCTION("if(Y110 &lt;&gt; """", 
  LET( 
    TargetLevel, VLOOKUP(Y110,MS_Labs_Array,3,false),
    MaxLevel, VLOOKUP(Y110,MS_Labs_Array,4,false),
    MaxOrTarget, IF(OR(TargetLevel = """",$AD$1 &lt;&gt; ""Target""), MaxLevel, TargetLevel),
    LabLevel, VLOOKUP(Y110,MS_Labs_A"&amp;"rray,2,False),
    Levelprogress, LabLevel / MaxOrTarget,
    DVTColumn, MATCH(Y110,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0" s="1251" t="str">
        <f>IFERROR(__xludf.DUMMYFUNCTION("if(Y110 &lt;&gt; """", 
  LET(
    TargetLevel, VLOOKUP(Y110,MS_Labs_Array,3,false),
    LabSpeed, (1 * REGEXEXTRACT($BH$1, ""[\d.-]+"")) * {IF(Y110 =""Labs Speed"", 1+'Master Sheet'!$BK$5, LAB_SPEED_TOTAL())},
    MaxLevel, VLOOKUP(Y110,MS_Labs_Array,4,false),"&amp;"
    MaxOrTarget, IF(OR(TargetLevel = """",$AD$1 &lt;&gt; ""Target""), MaxLevel, TargetLevel),
    LabLevel, VLOOKUP(Y110,MS_Labs_Array,2,False),
    DVTColumn, MATCH(Y110, DVT_Laboratory!$A$1:BO$1, 0),
    xextTime, INDIRECT(""DVT_Laboratory!"" &amp; ADDRESS(LabLe"&amp;"vel+3, DVTColumn)) / LabSpeed,
    remainingTime, SUM(INDIRECT(""DVT_Laboratory!"" &amp; ADDRESS(LabLevel+3, DVTColumn) &amp; "":"" &amp; ADDRESS(MaxOrTarget+2, DVTColumn))) / LabSpeed,
  Y110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0" s="1249"/>
      <c r="AC110" s="1249" t="str">
        <f>IFERROR(__xludf.DUMMYFUNCTION("""COMPUTED_VALUE"""),"")</f>
        <v/>
      </c>
      <c r="AD110" s="1249" t="str">
        <f>IFERROR(__xludf.DUMMYFUNCTION("""COMPUTED_VALUE"""),"")</f>
        <v/>
      </c>
      <c r="AE110" s="1249"/>
      <c r="AF110" s="1250" t="str">
        <f>IFERROR(__xludf.DUMMYFUNCTION("if(AE110 &lt;&gt; """", 
  LET( 
    TargetLevel, VLOOKUP(AE110,MS_Labs_Array,3,false),
    MaxLevel, VLOOKUP(AE110,MS_Labs_Array,4,false),
    MaxOrTarget, IF(OR(TargetLevel = """",$AD$1 &lt;&gt; ""Target""), MaxLevel, TargetLevel),
    LabLevel, VLOOKUP(AE110,MS_La"&amp;"bs_Array,2,False),
    Levelprogress, LabLevel / MaxOrTarget,
    DVTColumn, MATCH(AE110,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0" s="1251" t="str">
        <f>IFERROR(__xludf.DUMMYFUNCTION("if(AE110 &lt;&gt; """", 
  LET(
    TargetLevel, VLOOKUP(AE110,MS_Labs_Array,3,false),
    LabSpeed, (1 * REGEXEXTRACT($BH$1, ""[\d.-]+"")) * {IF(AE110 =""Labs Speed"", 1+'Master Sheet'!$BK$5, LAB_SPEED_TOTAL())},
    MaxLevel, VLOOKUP(AE110,MS_Labs_Array,4,fal"&amp;"se),
    MaxOrTarget, IF(OR(TargetLevel = """",$AD$1 &lt;&gt; ""Target""), MaxLevel, TargetLevel),
    LabLevel, VLOOKUP(AE110,MS_Labs_Array,2,False),
    DVTColumn, MATCH(AE110, DVT_Laboratory!$A$1:BO$1, 0),
    xextTime, INDIRECT(""DVT_Laboratory!"" &amp; ADDRESS"&amp;"(LabLevel+3, DVTColumn)) / LabSpeed,
    remainingTime, SUM(INDIRECT(""DVT_Laboratory!"" &amp; ADDRESS(LabLevel+3, DVTColumn) &amp; "":"" &amp; ADDRESS(MaxOrTarget+2, DVTColumn))) / LabSpeed,
  AE110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0" s="1249"/>
      <c r="AI110" s="1249" t="str">
        <f>IFERROR(__xludf.DUMMYFUNCTION("""COMPUTED_VALUE"""),"")</f>
        <v/>
      </c>
      <c r="AJ110" s="1249" t="str">
        <f>IFERROR(__xludf.DUMMYFUNCTION("""COMPUTED_VALUE"""),"")</f>
        <v/>
      </c>
      <c r="AK110" s="1249"/>
      <c r="AL110" s="1250" t="str">
        <f>IFERROR(__xludf.DUMMYFUNCTION("if(AK110 &lt;&gt; """", 
  LET( 
    TargetLevel, VLOOKUP(AK110,MS_Labs_Array,3,false),
    MaxLevel, VLOOKUP(AK110,MS_Labs_Array,4,false),
    MaxOrTarget, IF(OR(TargetLevel = """",$AD$1 &lt;&gt; ""Target""), MaxLevel, TargetLevel),
    LabLevel, VLOOKUP(AK110,MS_La"&amp;"bs_Array,2,False),
    Levelprogress, LabLevel / MaxOrTarget,
    DVTColumn, MATCH(AK110,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0" s="1251" t="str">
        <f>IFERROR(__xludf.DUMMYFUNCTION("if(AK110 &lt;&gt; """", 
  LET(
    TargetLevel, VLOOKUP(AK110,MS_Labs_Array,3,false),
    LabSpeed, (1 * REGEXEXTRACT($BH$1, ""[\d.-]+"")) * {IF(AK110 =""Labs Speed"", 1+'Master Sheet'!$BK$5, LAB_SPEED_TOTAL())},
    MaxLevel, VLOOKUP(AK110,MS_Labs_Array,4,fal"&amp;"se),
    MaxOrTarget, IF(OR(TargetLevel = """",$AD$1 &lt;&gt; ""Target""), MaxLevel, TargetLevel),
    LabLevel, VLOOKUP(AK110,MS_Labs_Array,2,False),
    DVTColumn, MATCH(AK110, DVT_Laboratory!$A$1:BO$1, 0),
    xextTime, INDIRECT(""DVT_Laboratory!"" &amp; ADDRESS"&amp;"(LabLevel+3, DVTColumn)) / LabSpeed,
    remainingTime, SUM(INDIRECT(""DVT_Laboratory!"" &amp; ADDRESS(LabLevel+3, DVTColumn) &amp; "":"" &amp; ADDRESS(MaxOrTarget+2, DVTColumn))) / LabSpeed,
  AK110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0" s="1249"/>
      <c r="AO110" s="1249" t="str">
        <f>IFERROR(__xludf.DUMMYFUNCTION("""COMPUTED_VALUE"""),"")</f>
        <v/>
      </c>
      <c r="AP110" s="1249" t="str">
        <f>IFERROR(__xludf.DUMMYFUNCTION("""COMPUTED_VALUE"""),"")</f>
        <v/>
      </c>
      <c r="AQ110" s="1249"/>
      <c r="AR110" s="1250" t="str">
        <f>IFERROR(__xludf.DUMMYFUNCTION("if(AQ110 &lt;&gt; """", 
  LET( 
    TargetLevel, VLOOKUP(AQ110,MS_Labs_Array,3,false),
    MaxLevel, VLOOKUP(AQ110,MS_Labs_Array,4,false),
    MaxOrTarget, IF(OR(TargetLevel = """",$AD$1 &lt;&gt; ""Target""), MaxLevel, TargetLevel),
    LabLevel, VLOOKUP(AQ110,MS_La"&amp;"bs_Array,2,False),
    Levelprogress, LabLevel / MaxOrTarget,
    DVTColumn, MATCH(AQ110,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0" s="1251" t="str">
        <f>IFERROR(__xludf.DUMMYFUNCTION("if(AQ110 &lt;&gt; """", 
  LET(
    TargetLevel, VLOOKUP(AQ110,MS_Labs_Array,3,false),
    LabSpeed, (1 * REGEXEXTRACT($BH$1, ""[\d.-]+"")) * {IF(AQ110 =""Labs Speed"", 1+'Master Sheet'!$BK$5, LAB_SPEED_TOTAL())},
    MaxLevel, VLOOKUP(AQ110,MS_Labs_Array,4,fal"&amp;"se),
    MaxOrTarget, IF(OR(TargetLevel = """",$AD$1 &lt;&gt; ""Target""), MaxLevel, TargetLevel),
    LabLevel, VLOOKUP(AQ110,MS_Labs_Array,2,False),
    DVTColumn, MATCH(AQ110, DVT_Laboratory!$A$1:BO$1, 0),
    xextTime, INDIRECT(""DVT_Laboratory!"" &amp; ADDRESS"&amp;"(LabLevel+3, DVTColumn)) / LabSpeed,
    remainingTime, SUM(INDIRECT(""DVT_Laboratory!"" &amp; ADDRESS(LabLevel+3, DVTColumn) &amp; "":"" &amp; ADDRESS(MaxOrTarget+2, DVTColumn))) / LabSpeed,
  AQ110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0" s="1249"/>
      <c r="AU110" s="1249" t="str">
        <f>IFERROR(__xludf.DUMMYFUNCTION("""COMPUTED_VALUE"""),"")</f>
        <v/>
      </c>
      <c r="AV110" s="1249" t="str">
        <f>IFERROR(__xludf.DUMMYFUNCTION("""COMPUTED_VALUE"""),"")</f>
        <v/>
      </c>
      <c r="AW110" s="1249"/>
      <c r="AX110" s="1250" t="str">
        <f>IFERROR(__xludf.DUMMYFUNCTION("if(AW110 &lt;&gt; """", 
  LET( 
    TargetLevel, VLOOKUP(AW110,MS_Labs_Array,3,false),
    MaxLevel, VLOOKUP(AW110,MS_Labs_Array,4,false),
    MaxOrTarget, IF(OR(TargetLevel = """",$AD$1 &lt;&gt; ""Target""), MaxLevel, TargetLevel),
    LabLevel, VLOOKUP(AW110,MS_La"&amp;"bs_Array,2,False),
    Levelprogress, LabLevel / MaxOrTarget,
    DVTColumn, MATCH(AW110,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0" s="1251" t="str">
        <f>IFERROR(__xludf.DUMMYFUNCTION("if(AW110 &lt;&gt; """", 
  LET(
    TargetLevel, VLOOKUP(AW110,MS_Labs_Array,3,false),
    LabSpeed, (1 * REGEXEXTRACT($BH$1, ""[\d.-]+"")) * {IF(AW110 =""Labs Speed"", 1+'Master Sheet'!$BK$5, LAB_SPEED_TOTAL())},
    MaxLevel, VLOOKUP(AW110,MS_Labs_Array,4,fal"&amp;"se),
    MaxOrTarget, IF(OR(TargetLevel = """",$AD$1 &lt;&gt; ""Target""), MaxLevel, TargetLevel),
    LabLevel, VLOOKUP(AW110,MS_Labs_Array,2,False),
    DVTColumn, MATCH(AW110, DVT_Laboratory!$A$1:BO$1, 0),
    xextTime, INDIRECT(""DVT_Laboratory!"" &amp; ADDRESS"&amp;"(LabLevel+3, DVTColumn)) / LabSpeed,
    remainingTime, SUM(INDIRECT(""DVT_Laboratory!"" &amp; ADDRESS(LabLevel+3, DVTColumn) &amp; "":"" &amp; ADDRESS(MaxOrTarget+2, DVTColumn))) / LabSpeed,
  AW110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0" s="1249"/>
      <c r="BA110" s="1249" t="str">
        <f>IFERROR(__xludf.DUMMYFUNCTION("""COMPUTED_VALUE"""),"")</f>
        <v/>
      </c>
      <c r="BB110" s="1249" t="str">
        <f>IFERROR(__xludf.DUMMYFUNCTION("""COMPUTED_VALUE"""),"")</f>
        <v/>
      </c>
      <c r="BC110" s="1249"/>
      <c r="BD110" s="1250" t="str">
        <f>IFERROR(__xludf.DUMMYFUNCTION("if(BC110 &lt;&gt; """", 
  LET( 
    TargetLevel, VLOOKUP(BC110,MS_Labs_Array,3,false),
    MaxLevel, VLOOKUP(BC110,MS_Labs_Array,4,false),
    MaxOrTarget, IF(OR(TargetLevel = """",$AD$1 &lt;&gt; ""Target""), MaxLevel, TargetLevel),
    LabLevel, VLOOKUP(BC110,MS_La"&amp;"bs_Array,2,False),
    Levelprogress, LabLevel / MaxOrTarget,
    DVTColumn, MATCH(BC110,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0" s="1251" t="str">
        <f>IFERROR(__xludf.DUMMYFUNCTION("if(BC110 &lt;&gt; """", 
  LET(
    TargetLevel, VLOOKUP(BC110,MS_Labs_Array,3,false),
    LabSpeed, (1 * REGEXEXTRACT($BH$1, ""[\d.-]+"")) * {IF(BC110 =""Labs Speed"", 1+'Master Sheet'!$BK$5, LAB_SPEED_TOTAL())},
    MaxLevel, VLOOKUP(BC110,MS_Labs_Array,4,fal"&amp;"se),
    MaxOrTarget, IF(OR(TargetLevel = """",$AD$1 &lt;&gt; ""Target""), MaxLevel, TargetLevel),
    LabLevel, VLOOKUP(BC110,MS_Labs_Array,2,False),
    DVTColumn, MATCH(BC110, DVT_Laboratory!$A$1:BO$1, 0),
    xextTime, INDIRECT(""DVT_Laboratory!"" &amp; ADDRESS"&amp;"(LabLevel+3, DVTColumn)) / LabSpeed,
    remainingTime, SUM(INDIRECT(""DVT_Laboratory!"" &amp; ADDRESS(LabLevel+3, DVTColumn) &amp; "":"" &amp; ADDRESS(MaxOrTarget+2, DVTColumn))) / LabSpeed,
  BC110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0" s="1249"/>
      <c r="BG110" s="1249" t="str">
        <f>IFERROR(__xludf.DUMMYFUNCTION("""COMPUTED_VALUE"""),"")</f>
        <v/>
      </c>
      <c r="BH110" s="1260" t="str">
        <f>IFERROR(__xludf.DUMMYFUNCTION("""COMPUTED_VALUE"""),"")</f>
        <v/>
      </c>
      <c r="BI110" s="1252"/>
      <c r="BJ110" s="1253" t="str">
        <f>IFERROR(__xludf.DUMMYFUNCTION("if(BI110 &lt;&gt; """", 
  LET( 
    TargetLevel, VLOOKUP(BI110,MS_Labs_Array,3,false),
    MaxLevel, VLOOKUP(BI110,MS_Labs_Array,4,false),
    MaxOrTarget, IF(OR(TargetLevel = """",$AD$1 &lt;&gt; ""Target""), MaxLevel, TargetLevel),
    LabLevel, VLOOKUP(BI110,MS_La"&amp;"bs_Array,2,False),
    Levelprogress, IF(LabLevel &gt;= MaxOrTarget, 1, LabLevel / MaxOrTarget),
    DVTColumn, MATCH(BI110,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0" s="1254" t="str">
        <f>IFERROR(__xludf.DUMMYFUNCTION("if(BI110 &lt;&gt; """", 
  LET(
    TargetLevel, VLOOKUP(BI110,MS_Labs_Array,3,false),
    LabSpeed, (1 * REGEXEXTRACT($BH$1, ""[\d.-]+"")) * {IF(BI110 =""Labs Speed"", 1+'Master Sheet'!$BK$5, LAB_SPEED_TOTAL())},
    MaxLevel, VLOOKUP(BI110,MS_Labs_Array,4,fal"&amp;"se),
    MaxOrTarget, IF(OR(TargetLevel = """",$AD$1 &lt;&gt; ""Target""), MaxLevel, TargetLevel),
    LabLevel, VLOOKUP(BI110,MS_Labs_Array,2,False),
    DVTColumn, MATCH(BI110, DVT_Laboratory!$A$1:BO$1, 0),
    xextTime, INDIRECT(""DVT_Laboratory!"" &amp; ADDRESS"&amp;"(LabLevel+3, DVTColumn)) / LabSpeed,
    remainingTime, SUM(INDIRECT(""DVT_Laboratory!"" &amp; ADDRESS(LabLevel+3, DVTColumn) &amp; "":"" &amp; ADDRESS(MaxOrTarget+2, DVTColumn))) / LabSpeed,
  BI110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0" s="1252"/>
      <c r="BM110" s="1252" t="str">
        <f>IFERROR(__xludf.DUMMYFUNCTION("""COMPUTED_VALUE"""),"")</f>
        <v/>
      </c>
      <c r="BN110" s="1222"/>
      <c r="BO110" s="1261"/>
    </row>
    <row r="111">
      <c r="A111" s="1222"/>
      <c r="B111" s="1240" t="s">
        <v>553</v>
      </c>
      <c r="C111" s="1316" t="s">
        <v>160</v>
      </c>
      <c r="D111" s="1280" t="str">
        <f>VLOOKUP(C111,'Remote Tier List'!A:D, 2, FALSE)</f>
        <v>S+</v>
      </c>
      <c r="E111" s="1281" t="str">
        <f>VLOOKUP(C111,'Remote Tier List'!A:D, 3, FALSE)</f>
        <v/>
      </c>
      <c r="F111" s="1282" t="str">
        <f>VLOOKUP(C111,'Remote Tier List'!A:D, 4, FALSE)</f>
        <v>Perks are great, they make your tower better at almost everything</v>
      </c>
      <c r="G111" s="1245" t="b">
        <f t="shared" ref="G111:G119" si="20">LET(
  LabTierUnlock, DVT_LAB_UNLOCK_AT_TIER(C111),
  PlayerPbAtTier, IDS_PS_TIER_PB("Tier "&amp;LabTierUnlock),
  PlayerPb, "T"&amp;LabTierUnlock&amp;" "&amp;PlayerPbAtTier,
  DVT_HAS_LAB_UNLOCKED(C111, PlayerPb))</f>
        <v>1</v>
      </c>
      <c r="H111" s="1246" t="str">
        <f t="array" ref="H111:I111">LET(
  Lab, $C111,
  Mode, $AD$1,
  Level, VLOOKUP(Lab, MS_Labs_Array, 2, FALSE),
  Target, VLOOKUP(Lab, MS_Labs_Array, 3, FALSE),
  Max, VLOOKUP(Lab, MS_Labs_Array, 4, FALSE),
  Result,
    IF(
      AND(
        Mode &lt;&gt; "Never",
        Level &gt;= IF(OR(Target = "", Mode = "Max"), Max, Target)
      ),
      "Completed",
      ""
    ),
  HSTACK(
    IF(Result &lt;&gt; "", Result, $D111),
    IF(Result &lt;&gt; "", Result, IF($E111 = "", $D111, $E111))
  )
)</f>
        <v>Completed</v>
      </c>
      <c r="I111" s="1247" t="s">
        <v>551</v>
      </c>
      <c r="J111" s="1248" t="str">
        <f t="shared" ref="J111:J119" si="21">if(ISBLANK(F111),J110, F111)</f>
        <v>Perks are great, they make your tower better at almost everything</v>
      </c>
      <c r="K111" s="1229"/>
      <c r="L111" s="1249"/>
      <c r="M111" s="1249"/>
      <c r="N111" s="1250" t="str">
        <f>IFERROR(__xludf.DUMMYFUNCTION("if(M111 &lt;&gt; """", 
  LET( 
    TargetLevel, VLOOKUP(M111,MS_Labs_Array,3,false),
    MaxLevel, VLOOKUP(M111,MS_Labs_Array,4,false),
    MaxOrTarget, IF(OR(TargetLevel = """",$AD$1 &lt;&gt; ""Target""), MaxLevel, TargetLevel),
    LabLevel, VLOOKUP(M111,MS_Labs_A"&amp;"rray,2,False),
    Levelprogress, LabLevel / MaxOrTarget,
    DVTColumn, MATCH(M111,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1" s="1251" t="str">
        <f>IFERROR(__xludf.DUMMYFUNCTION("if(M111 &lt;&gt; """", 
  LET(
    TargetLevel, VLOOKUP(M111,MS_Labs_Array,3,false),
    LabSpeed, (1 * REGEXEXTRACT($BH$1, ""[\d.-]+"")) * {IF(M111 =""Labs Speed"", 1+'Master Sheet'!$BK$5, LAB_SPEED_TOTAL())},
    MaxLevel, VLOOKUP(M111,MS_Labs_Array,4,false),"&amp;"
    MaxOrTarget, IF(OR(TargetLevel = """",$AD$1 &lt;&gt; ""Target""), MaxLevel, TargetLevel),
    LabLevel, VLOOKUP(M111,MS_Labs_Array,2,False),
    DVTColumn, MATCH(M111, DVT_Laboratory!$A$1:BO$1, 0),
    xextTime, INDIRECT(""DVT_Laboratory!"" &amp; ADDRESS(LabLe"&amp;"vel+3, DVTColumn)) / LabSpeed,
    remainingTime, SUM(INDIRECT(""DVT_Laboratory!"" &amp; ADDRESS(LabLevel+3, DVTColumn) &amp; "":"" &amp; ADDRESS(MaxOrTarget+2, DVTColumn))) / LabSpeed,
  M111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1" s="1249"/>
      <c r="Q111" s="1249"/>
      <c r="R111" s="1249"/>
      <c r="S111" s="1249"/>
      <c r="T111" s="1250" t="str">
        <f>IFERROR(__xludf.DUMMYFUNCTION("if(S111 &lt;&gt; """", 
  LET( 
    TargetLevel, VLOOKUP(S111,MS_Labs_Array,3,false),
    MaxLevel, VLOOKUP(S111,MS_Labs_Array,4,false),
    MaxOrTarget, IF(OR(TargetLevel = """",$AD$1 &lt;&gt; ""Target""), MaxLevel, TargetLevel),
    LabLevel, VLOOKUP(S111,MS_Labs_A"&amp;"rray,2,False),
    Levelprogress, LabLevel / MaxOrTarget,
    DVTColumn, MATCH(S111,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1" s="1251" t="str">
        <f>IFERROR(__xludf.DUMMYFUNCTION("if(S111 &lt;&gt; """", 
  LET(
    TargetLevel, VLOOKUP(S111,MS_Labs_Array,3,false),
    LabSpeed, (1 * REGEXEXTRACT($BH$1, ""[\d.-]+"")) * {IF(S111 =""Labs Speed"", 1+'Master Sheet'!$BK$5, LAB_SPEED_TOTAL())},
    MaxLevel, VLOOKUP(S111,MS_Labs_Array,4,false),"&amp;"
    MaxOrTarget, IF(OR(TargetLevel = """",$AD$1 &lt;&gt; ""Target""), MaxLevel, TargetLevel),
    LabLevel, VLOOKUP(S111,MS_Labs_Array,2,False),
    DVTColumn, MATCH(S111, DVT_Laboratory!$A$1:BO$1, 0),
    xextTime, INDIRECT(""DVT_Laboratory!"" &amp; ADDRESS(LabLe"&amp;"vel+3, DVTColumn)) / LabSpeed,
    remainingTime, SUM(INDIRECT(""DVT_Laboratory!"" &amp; ADDRESS(LabLevel+3, DVTColumn) &amp; "":"" &amp; ADDRESS(MaxOrTarget+2, DVTColumn))) / LabSpeed,
  S111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1" s="1249"/>
      <c r="W111" s="1249"/>
      <c r="X111" s="1249"/>
      <c r="Y111" s="1249"/>
      <c r="Z111" s="1250" t="str">
        <f>IFERROR(__xludf.DUMMYFUNCTION("if(Y111 &lt;&gt; """", 
  LET( 
    TargetLevel, VLOOKUP(Y111,MS_Labs_Array,3,false),
    MaxLevel, VLOOKUP(Y111,MS_Labs_Array,4,false),
    MaxOrTarget, IF(OR(TargetLevel = """",$AD$1 &lt;&gt; ""Target""), MaxLevel, TargetLevel),
    LabLevel, VLOOKUP(Y111,MS_Labs_A"&amp;"rray,2,False),
    Levelprogress, LabLevel / MaxOrTarget,
    DVTColumn, MATCH(Y111,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1" s="1251" t="str">
        <f>IFERROR(__xludf.DUMMYFUNCTION("if(Y111 &lt;&gt; """", 
  LET(
    TargetLevel, VLOOKUP(Y111,MS_Labs_Array,3,false),
    LabSpeed, (1 * REGEXEXTRACT($BH$1, ""[\d.-]+"")) * {IF(Y111 =""Labs Speed"", 1+'Master Sheet'!$BK$5, LAB_SPEED_TOTAL())},
    MaxLevel, VLOOKUP(Y111,MS_Labs_Array,4,false),"&amp;"
    MaxOrTarget, IF(OR(TargetLevel = """",$AD$1 &lt;&gt; ""Target""), MaxLevel, TargetLevel),
    LabLevel, VLOOKUP(Y111,MS_Labs_Array,2,False),
    DVTColumn, MATCH(Y111, DVT_Laboratory!$A$1:BO$1, 0),
    xextTime, INDIRECT(""DVT_Laboratory!"" &amp; ADDRESS(LabLe"&amp;"vel+3, DVTColumn)) / LabSpeed,
    remainingTime, SUM(INDIRECT(""DVT_Laboratory!"" &amp; ADDRESS(LabLevel+3, DVTColumn) &amp; "":"" &amp; ADDRESS(MaxOrTarget+2, DVTColumn))) / LabSpeed,
  Y111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1" s="1249"/>
      <c r="AC111" s="1249"/>
      <c r="AD111" s="1249"/>
      <c r="AE111" s="1249"/>
      <c r="AF111" s="1250" t="str">
        <f>IFERROR(__xludf.DUMMYFUNCTION("if(AE111 &lt;&gt; """", 
  LET( 
    TargetLevel, VLOOKUP(AE111,MS_Labs_Array,3,false),
    MaxLevel, VLOOKUP(AE111,MS_Labs_Array,4,false),
    MaxOrTarget, IF(OR(TargetLevel = """",$AD$1 &lt;&gt; ""Target""), MaxLevel, TargetLevel),
    LabLevel, VLOOKUP(AE111,MS_La"&amp;"bs_Array,2,False),
    Levelprogress, LabLevel / MaxOrTarget,
    DVTColumn, MATCH(AE111,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1" s="1251" t="str">
        <f>IFERROR(__xludf.DUMMYFUNCTION("if(AE111 &lt;&gt; """", 
  LET(
    TargetLevel, VLOOKUP(AE111,MS_Labs_Array,3,false),
    LabSpeed, (1 * REGEXEXTRACT($BH$1, ""[\d.-]+"")) * {IF(AE111 =""Labs Speed"", 1+'Master Sheet'!$BK$5, LAB_SPEED_TOTAL())},
    MaxLevel, VLOOKUP(AE111,MS_Labs_Array,4,fal"&amp;"se),
    MaxOrTarget, IF(OR(TargetLevel = """",$AD$1 &lt;&gt; ""Target""), MaxLevel, TargetLevel),
    LabLevel, VLOOKUP(AE111,MS_Labs_Array,2,False),
    DVTColumn, MATCH(AE111, DVT_Laboratory!$A$1:BO$1, 0),
    xextTime, INDIRECT(""DVT_Laboratory!"" &amp; ADDRESS"&amp;"(LabLevel+3, DVTColumn)) / LabSpeed,
    remainingTime, SUM(INDIRECT(""DVT_Laboratory!"" &amp; ADDRESS(LabLevel+3, DVTColumn) &amp; "":"" &amp; ADDRESS(MaxOrTarget+2, DVTColumn))) / LabSpeed,
  AE111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1" s="1249"/>
      <c r="AI111" s="1249"/>
      <c r="AJ111" s="1249"/>
      <c r="AK111" s="1249"/>
      <c r="AL111" s="1250" t="str">
        <f>IFERROR(__xludf.DUMMYFUNCTION("if(AK111 &lt;&gt; """", 
  LET( 
    TargetLevel, VLOOKUP(AK111,MS_Labs_Array,3,false),
    MaxLevel, VLOOKUP(AK111,MS_Labs_Array,4,false),
    MaxOrTarget, IF(OR(TargetLevel = """",$AD$1 &lt;&gt; ""Target""), MaxLevel, TargetLevel),
    LabLevel, VLOOKUP(AK111,MS_La"&amp;"bs_Array,2,False),
    Levelprogress, LabLevel / MaxOrTarget,
    DVTColumn, MATCH(AK111,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1" s="1251" t="str">
        <f>IFERROR(__xludf.DUMMYFUNCTION("if(AK111 &lt;&gt; """", 
  LET(
    TargetLevel, VLOOKUP(AK111,MS_Labs_Array,3,false),
    LabSpeed, (1 * REGEXEXTRACT($BH$1, ""[\d.-]+"")) * {IF(AK111 =""Labs Speed"", 1+'Master Sheet'!$BK$5, LAB_SPEED_TOTAL())},
    MaxLevel, VLOOKUP(AK111,MS_Labs_Array,4,fal"&amp;"se),
    MaxOrTarget, IF(OR(TargetLevel = """",$AD$1 &lt;&gt; ""Target""), MaxLevel, TargetLevel),
    LabLevel, VLOOKUP(AK111,MS_Labs_Array,2,False),
    DVTColumn, MATCH(AK111, DVT_Laboratory!$A$1:BO$1, 0),
    xextTime, INDIRECT(""DVT_Laboratory!"" &amp; ADDRESS"&amp;"(LabLevel+3, DVTColumn)) / LabSpeed,
    remainingTime, SUM(INDIRECT(""DVT_Laboratory!"" &amp; ADDRESS(LabLevel+3, DVTColumn) &amp; "":"" &amp; ADDRESS(MaxOrTarget+2, DVTColumn))) / LabSpeed,
  AK111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1" s="1249"/>
      <c r="AO111" s="1249"/>
      <c r="AP111" s="1249"/>
      <c r="AQ111" s="1249"/>
      <c r="AR111" s="1250" t="str">
        <f>IFERROR(__xludf.DUMMYFUNCTION("if(AQ111 &lt;&gt; """", 
  LET( 
    TargetLevel, VLOOKUP(AQ111,MS_Labs_Array,3,false),
    MaxLevel, VLOOKUP(AQ111,MS_Labs_Array,4,false),
    MaxOrTarget, IF(OR(TargetLevel = """",$AD$1 &lt;&gt; ""Target""), MaxLevel, TargetLevel),
    LabLevel, VLOOKUP(AQ111,MS_La"&amp;"bs_Array,2,False),
    Levelprogress, LabLevel / MaxOrTarget,
    DVTColumn, MATCH(AQ111,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1" s="1251" t="str">
        <f>IFERROR(__xludf.DUMMYFUNCTION("if(AQ111 &lt;&gt; """", 
  LET(
    TargetLevel, VLOOKUP(AQ111,MS_Labs_Array,3,false),
    LabSpeed, (1 * REGEXEXTRACT($BH$1, ""[\d.-]+"")) * {IF(AQ111 =""Labs Speed"", 1+'Master Sheet'!$BK$5, LAB_SPEED_TOTAL())},
    MaxLevel, VLOOKUP(AQ111,MS_Labs_Array,4,fal"&amp;"se),
    MaxOrTarget, IF(OR(TargetLevel = """",$AD$1 &lt;&gt; ""Target""), MaxLevel, TargetLevel),
    LabLevel, VLOOKUP(AQ111,MS_Labs_Array,2,False),
    DVTColumn, MATCH(AQ111, DVT_Laboratory!$A$1:BO$1, 0),
    xextTime, INDIRECT(""DVT_Laboratory!"" &amp; ADDRESS"&amp;"(LabLevel+3, DVTColumn)) / LabSpeed,
    remainingTime, SUM(INDIRECT(""DVT_Laboratory!"" &amp; ADDRESS(LabLevel+3, DVTColumn) &amp; "":"" &amp; ADDRESS(MaxOrTarget+2, DVTColumn))) / LabSpeed,
  AQ111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1" s="1249"/>
      <c r="AU111" s="1249"/>
      <c r="AV111" s="1249"/>
      <c r="AW111" s="1249"/>
      <c r="AX111" s="1250" t="str">
        <f>IFERROR(__xludf.DUMMYFUNCTION("if(AW111 &lt;&gt; """", 
  LET( 
    TargetLevel, VLOOKUP(AW111,MS_Labs_Array,3,false),
    MaxLevel, VLOOKUP(AW111,MS_Labs_Array,4,false),
    MaxOrTarget, IF(OR(TargetLevel = """",$AD$1 &lt;&gt; ""Target""), MaxLevel, TargetLevel),
    LabLevel, VLOOKUP(AW111,MS_La"&amp;"bs_Array,2,False),
    Levelprogress, LabLevel / MaxOrTarget,
    DVTColumn, MATCH(AW111,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1" s="1251" t="str">
        <f>IFERROR(__xludf.DUMMYFUNCTION("if(AW111 &lt;&gt; """", 
  LET(
    TargetLevel, VLOOKUP(AW111,MS_Labs_Array,3,false),
    LabSpeed, (1 * REGEXEXTRACT($BH$1, ""[\d.-]+"")) * {IF(AW111 =""Labs Speed"", 1+'Master Sheet'!$BK$5, LAB_SPEED_TOTAL())},
    MaxLevel, VLOOKUP(AW111,MS_Labs_Array,4,fal"&amp;"se),
    MaxOrTarget, IF(OR(TargetLevel = """",$AD$1 &lt;&gt; ""Target""), MaxLevel, TargetLevel),
    LabLevel, VLOOKUP(AW111,MS_Labs_Array,2,False),
    DVTColumn, MATCH(AW111, DVT_Laboratory!$A$1:BO$1, 0),
    xextTime, INDIRECT(""DVT_Laboratory!"" &amp; ADDRESS"&amp;"(LabLevel+3, DVTColumn)) / LabSpeed,
    remainingTime, SUM(INDIRECT(""DVT_Laboratory!"" &amp; ADDRESS(LabLevel+3, DVTColumn) &amp; "":"" &amp; ADDRESS(MaxOrTarget+2, DVTColumn))) / LabSpeed,
  AW111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1" s="1249"/>
      <c r="BA111" s="1249"/>
      <c r="BB111" s="1249"/>
      <c r="BC111" s="1249"/>
      <c r="BD111" s="1250" t="str">
        <f>IFERROR(__xludf.DUMMYFUNCTION("if(BC111 &lt;&gt; """", 
  LET( 
    TargetLevel, VLOOKUP(BC111,MS_Labs_Array,3,false),
    MaxLevel, VLOOKUP(BC111,MS_Labs_Array,4,false),
    MaxOrTarget, IF(OR(TargetLevel = """",$AD$1 &lt;&gt; ""Target""), MaxLevel, TargetLevel),
    LabLevel, VLOOKUP(BC111,MS_La"&amp;"bs_Array,2,False),
    Levelprogress, LabLevel / MaxOrTarget,
    DVTColumn, MATCH(BC111,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1" s="1251" t="str">
        <f>IFERROR(__xludf.DUMMYFUNCTION("if(BC111 &lt;&gt; """", 
  LET(
    TargetLevel, VLOOKUP(BC111,MS_Labs_Array,3,false),
    LabSpeed, (1 * REGEXEXTRACT($BH$1, ""[\d.-]+"")) * {IF(BC111 =""Labs Speed"", 1+'Master Sheet'!$BK$5, LAB_SPEED_TOTAL())},
    MaxLevel, VLOOKUP(BC111,MS_Labs_Array,4,fal"&amp;"se),
    MaxOrTarget, IF(OR(TargetLevel = """",$AD$1 &lt;&gt; ""Target""), MaxLevel, TargetLevel),
    LabLevel, VLOOKUP(BC111,MS_Labs_Array,2,False),
    DVTColumn, MATCH(BC111, DVT_Laboratory!$A$1:BO$1, 0),
    xextTime, INDIRECT(""DVT_Laboratory!"" &amp; ADDRESS"&amp;"(LabLevel+3, DVTColumn)) / LabSpeed,
    remainingTime, SUM(INDIRECT(""DVT_Laboratory!"" &amp; ADDRESS(LabLevel+3, DVTColumn) &amp; "":"" &amp; ADDRESS(MaxOrTarget+2, DVTColumn))) / LabSpeed,
  BC111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1" s="1249"/>
      <c r="BG111" s="1249"/>
      <c r="BH111" s="1260"/>
      <c r="BI111" s="1252"/>
      <c r="BJ111" s="1253" t="str">
        <f>IFERROR(__xludf.DUMMYFUNCTION("if(BI111 &lt;&gt; """", 
  LET( 
    TargetLevel, VLOOKUP(BI111,MS_Labs_Array,3,false),
    MaxLevel, VLOOKUP(BI111,MS_Labs_Array,4,false),
    MaxOrTarget, IF(OR(TargetLevel = """",$AD$1 &lt;&gt; ""Target""), MaxLevel, TargetLevel),
    LabLevel, VLOOKUP(BI111,MS_La"&amp;"bs_Array,2,False),
    Levelprogress, IF(LabLevel &gt;= MaxOrTarget, 1, LabLevel / MaxOrTarget),
    DVTColumn, MATCH(BI111,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1" s="1254" t="str">
        <f>IFERROR(__xludf.DUMMYFUNCTION("if(BI111 &lt;&gt; """", 
  LET(
    TargetLevel, VLOOKUP(BI111,MS_Labs_Array,3,false),
    LabSpeed, (1 * REGEXEXTRACT($BH$1, ""[\d.-]+"")) * {IF(BI111 =""Labs Speed"", 1+'Master Sheet'!$BK$5, LAB_SPEED_TOTAL())},
    MaxLevel, VLOOKUP(BI111,MS_Labs_Array,4,fal"&amp;"se),
    MaxOrTarget, IF(OR(TargetLevel = """",$AD$1 &lt;&gt; ""Target""), MaxLevel, TargetLevel),
    LabLevel, VLOOKUP(BI111,MS_Labs_Array,2,False),
    DVTColumn, MATCH(BI111, DVT_Laboratory!$A$1:BO$1, 0),
    xextTime, INDIRECT(""DVT_Laboratory!"" &amp; ADDRESS"&amp;"(LabLevel+3, DVTColumn)) / LabSpeed,
    remainingTime, SUM(INDIRECT(""DVT_Laboratory!"" &amp; ADDRESS(LabLevel+3, DVTColumn) &amp; "":"" &amp; ADDRESS(MaxOrTarget+2, DVTColumn))) / LabSpeed,
  BI111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1" s="1252"/>
      <c r="BM111" s="1252"/>
      <c r="BN111" s="1222"/>
      <c r="BO111" s="1261"/>
    </row>
    <row r="112" ht="7.5" customHeight="1">
      <c r="A112" s="1222"/>
      <c r="B112" s="1257"/>
      <c r="C112" s="1317" t="s">
        <v>175</v>
      </c>
      <c r="D112" s="1280" t="str">
        <f>VLOOKUP(C112,'Remote Tier List'!A:D, 2, FALSE)</f>
        <v>F</v>
      </c>
      <c r="E112" s="1281" t="str">
        <f>VLOOKUP(C112,'Remote Tier List'!A:D, 3, FALSE)</f>
        <v/>
      </c>
      <c r="F112" s="1284" t="str">
        <f>VLOOKUP(C112,'Remote Tier List'!A:D, 4, FALSE)</f>
        <v>Long lab that is almost entirely overshadowed by the Perk wave requirement perk</v>
      </c>
      <c r="G112" s="1245" t="b">
        <f t="shared" si="20"/>
        <v>1</v>
      </c>
      <c r="H112" s="1246" t="str">
        <f t="array" ref="H112:I112">LET(
  Lab, $C112,
  Mode, $AD$1,
  Level, VLOOKUP(Lab, MS_Labs_Array, 2, FALSE),
  Target, VLOOKUP(Lab, MS_Labs_Array, 3, FALSE),
  Max, VLOOKUP(Lab, MS_Labs_Array, 4, FALSE),
  Result,
    IF(
      AND(
        Mode &lt;&gt; "Never",
        Level &gt;= IF(OR(Target = "", Mode = "Max"), Max, Target)
      ),
      "Completed",
      ""
    ),
  HSTACK(
    IF(Result &lt;&gt; "", Result, $D112),
    IF(Result &lt;&gt; "", Result, IF($E112 = "", $D112, $E112))
  )
)</f>
        <v>F</v>
      </c>
      <c r="I112" s="1247" t="s">
        <v>549</v>
      </c>
      <c r="J112" s="1248" t="str">
        <f t="shared" si="21"/>
        <v>Long lab that is almost entirely overshadowed by the Perk wave requirement perk</v>
      </c>
      <c r="K112" s="1229"/>
      <c r="L112" s="1249" t="str">
        <f>IFERROR(__xludf.DUMMYFUNCTION("""COMPUTED_VALUE"""),"")</f>
        <v/>
      </c>
      <c r="M112" s="1249"/>
      <c r="N112" s="1250" t="str">
        <f>IFERROR(__xludf.DUMMYFUNCTION("if(M112 &lt;&gt; """", 
  LET( 
    TargetLevel, VLOOKUP(M112,MS_Labs_Array,3,false),
    MaxLevel, VLOOKUP(M112,MS_Labs_Array,4,false),
    MaxOrTarget, IF(OR(TargetLevel = """",$AD$1 &lt;&gt; ""Target""), MaxLevel, TargetLevel),
    LabLevel, VLOOKUP(M112,MS_Labs_A"&amp;"rray,2,False),
    Levelprogress, LabLevel / MaxOrTarget,
    DVTColumn, MATCH(M112,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2" s="1251" t="str">
        <f>IFERROR(__xludf.DUMMYFUNCTION("if(M112 &lt;&gt; """", 
  LET(
    TargetLevel, VLOOKUP(M112,MS_Labs_Array,3,false),
    LabSpeed, (1 * REGEXEXTRACT($BH$1, ""[\d.-]+"")) * {IF(M112 =""Labs Speed"", 1+'Master Sheet'!$BK$5, LAB_SPEED_TOTAL())},
    MaxLevel, VLOOKUP(M112,MS_Labs_Array,4,false),"&amp;"
    MaxOrTarget, IF(OR(TargetLevel = """",$AD$1 &lt;&gt; ""Target""), MaxLevel, TargetLevel),
    LabLevel, VLOOKUP(M112,MS_Labs_Array,2,False),
    DVTColumn, MATCH(M112, DVT_Laboratory!$A$1:BO$1, 0),
    xextTime, INDIRECT(""DVT_Laboratory!"" &amp; ADDRESS(LabLe"&amp;"vel+3, DVTColumn)) / LabSpeed,
    remainingTime, SUM(INDIRECT(""DVT_Laboratory!"" &amp; ADDRESS(LabLevel+3, DVTColumn) &amp; "":"" &amp; ADDRESS(MaxOrTarget+2, DVTColumn))) / LabSpeed,
  M112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2" s="1249"/>
      <c r="Q112" s="1249" t="str">
        <f>IFERROR(__xludf.DUMMYFUNCTION("""COMPUTED_VALUE"""),"")</f>
        <v/>
      </c>
      <c r="R112" s="1249" t="str">
        <f>IFERROR(__xludf.DUMMYFUNCTION("""COMPUTED_VALUE"""),"")</f>
        <v/>
      </c>
      <c r="S112" s="1249"/>
      <c r="T112" s="1250" t="str">
        <f>IFERROR(__xludf.DUMMYFUNCTION("if(S112 &lt;&gt; """", 
  LET( 
    TargetLevel, VLOOKUP(S112,MS_Labs_Array,3,false),
    MaxLevel, VLOOKUP(S112,MS_Labs_Array,4,false),
    MaxOrTarget, IF(OR(TargetLevel = """",$AD$1 &lt;&gt; ""Target""), MaxLevel, TargetLevel),
    LabLevel, VLOOKUP(S112,MS_Labs_A"&amp;"rray,2,False),
    Levelprogress, LabLevel / MaxOrTarget,
    DVTColumn, MATCH(S112,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2" s="1251" t="str">
        <f>IFERROR(__xludf.DUMMYFUNCTION("if(S112 &lt;&gt; """", 
  LET(
    TargetLevel, VLOOKUP(S112,MS_Labs_Array,3,false),
    LabSpeed, (1 * REGEXEXTRACT($BH$1, ""[\d.-]+"")) * {IF(S112 =""Labs Speed"", 1+'Master Sheet'!$BK$5, LAB_SPEED_TOTAL())},
    MaxLevel, VLOOKUP(S112,MS_Labs_Array,4,false),"&amp;"
    MaxOrTarget, IF(OR(TargetLevel = """",$AD$1 &lt;&gt; ""Target""), MaxLevel, TargetLevel),
    LabLevel, VLOOKUP(S112,MS_Labs_Array,2,False),
    DVTColumn, MATCH(S112, DVT_Laboratory!$A$1:BO$1, 0),
    xextTime, INDIRECT(""DVT_Laboratory!"" &amp; ADDRESS(LabLe"&amp;"vel+3, DVTColumn)) / LabSpeed,
    remainingTime, SUM(INDIRECT(""DVT_Laboratory!"" &amp; ADDRESS(LabLevel+3, DVTColumn) &amp; "":"" &amp; ADDRESS(MaxOrTarget+2, DVTColumn))) / LabSpeed,
  S112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2" s="1249"/>
      <c r="W112" s="1249" t="str">
        <f>IFERROR(__xludf.DUMMYFUNCTION("""COMPUTED_VALUE"""),"")</f>
        <v/>
      </c>
      <c r="X112" s="1249" t="str">
        <f>IFERROR(__xludf.DUMMYFUNCTION("""COMPUTED_VALUE"""),"")</f>
        <v/>
      </c>
      <c r="Y112" s="1249"/>
      <c r="Z112" s="1250" t="str">
        <f>IFERROR(__xludf.DUMMYFUNCTION("if(Y112 &lt;&gt; """", 
  LET( 
    TargetLevel, VLOOKUP(Y112,MS_Labs_Array,3,false),
    MaxLevel, VLOOKUP(Y112,MS_Labs_Array,4,false),
    MaxOrTarget, IF(OR(TargetLevel = """",$AD$1 &lt;&gt; ""Target""), MaxLevel, TargetLevel),
    LabLevel, VLOOKUP(Y112,MS_Labs_A"&amp;"rray,2,False),
    Levelprogress, LabLevel / MaxOrTarget,
    DVTColumn, MATCH(Y112,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2" s="1251" t="str">
        <f>IFERROR(__xludf.DUMMYFUNCTION("if(Y112 &lt;&gt; """", 
  LET(
    TargetLevel, VLOOKUP(Y112,MS_Labs_Array,3,false),
    LabSpeed, (1 * REGEXEXTRACT($BH$1, ""[\d.-]+"")) * {IF(Y112 =""Labs Speed"", 1+'Master Sheet'!$BK$5, LAB_SPEED_TOTAL())},
    MaxLevel, VLOOKUP(Y112,MS_Labs_Array,4,false),"&amp;"
    MaxOrTarget, IF(OR(TargetLevel = """",$AD$1 &lt;&gt; ""Target""), MaxLevel, TargetLevel),
    LabLevel, VLOOKUP(Y112,MS_Labs_Array,2,False),
    DVTColumn, MATCH(Y112, DVT_Laboratory!$A$1:BO$1, 0),
    xextTime, INDIRECT(""DVT_Laboratory!"" &amp; ADDRESS(LabLe"&amp;"vel+3, DVTColumn)) / LabSpeed,
    remainingTime, SUM(INDIRECT(""DVT_Laboratory!"" &amp; ADDRESS(LabLevel+3, DVTColumn) &amp; "":"" &amp; ADDRESS(MaxOrTarget+2, DVTColumn))) / LabSpeed,
  Y112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2" s="1249"/>
      <c r="AC112" s="1249" t="str">
        <f>IFERROR(__xludf.DUMMYFUNCTION("""COMPUTED_VALUE"""),"")</f>
        <v/>
      </c>
      <c r="AD112" s="1249" t="str">
        <f>IFERROR(__xludf.DUMMYFUNCTION("""COMPUTED_VALUE"""),"")</f>
        <v/>
      </c>
      <c r="AE112" s="1249"/>
      <c r="AF112" s="1250" t="str">
        <f>IFERROR(__xludf.DUMMYFUNCTION("if(AE112 &lt;&gt; """", 
  LET( 
    TargetLevel, VLOOKUP(AE112,MS_Labs_Array,3,false),
    MaxLevel, VLOOKUP(AE112,MS_Labs_Array,4,false),
    MaxOrTarget, IF(OR(TargetLevel = """",$AD$1 &lt;&gt; ""Target""), MaxLevel, TargetLevel),
    LabLevel, VLOOKUP(AE112,MS_La"&amp;"bs_Array,2,False),
    Levelprogress, LabLevel / MaxOrTarget,
    DVTColumn, MATCH(AE112,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2" s="1251" t="str">
        <f>IFERROR(__xludf.DUMMYFUNCTION("if(AE112 &lt;&gt; """", 
  LET(
    TargetLevel, VLOOKUP(AE112,MS_Labs_Array,3,false),
    LabSpeed, (1 * REGEXEXTRACT($BH$1, ""[\d.-]+"")) * {IF(AE112 =""Labs Speed"", 1+'Master Sheet'!$BK$5, LAB_SPEED_TOTAL())},
    MaxLevel, VLOOKUP(AE112,MS_Labs_Array,4,fal"&amp;"se),
    MaxOrTarget, IF(OR(TargetLevel = """",$AD$1 &lt;&gt; ""Target""), MaxLevel, TargetLevel),
    LabLevel, VLOOKUP(AE112,MS_Labs_Array,2,False),
    DVTColumn, MATCH(AE112, DVT_Laboratory!$A$1:BO$1, 0),
    xextTime, INDIRECT(""DVT_Laboratory!"" &amp; ADDRESS"&amp;"(LabLevel+3, DVTColumn)) / LabSpeed,
    remainingTime, SUM(INDIRECT(""DVT_Laboratory!"" &amp; ADDRESS(LabLevel+3, DVTColumn) &amp; "":"" &amp; ADDRESS(MaxOrTarget+2, DVTColumn))) / LabSpeed,
  AE112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2" s="1249"/>
      <c r="AI112" s="1249" t="str">
        <f>IFERROR(__xludf.DUMMYFUNCTION("""COMPUTED_VALUE"""),"")</f>
        <v/>
      </c>
      <c r="AJ112" s="1249" t="str">
        <f>IFERROR(__xludf.DUMMYFUNCTION("""COMPUTED_VALUE"""),"")</f>
        <v/>
      </c>
      <c r="AK112" s="1249"/>
      <c r="AL112" s="1250" t="str">
        <f>IFERROR(__xludf.DUMMYFUNCTION("if(AK112 &lt;&gt; """", 
  LET( 
    TargetLevel, VLOOKUP(AK112,MS_Labs_Array,3,false),
    MaxLevel, VLOOKUP(AK112,MS_Labs_Array,4,false),
    MaxOrTarget, IF(OR(TargetLevel = """",$AD$1 &lt;&gt; ""Target""), MaxLevel, TargetLevel),
    LabLevel, VLOOKUP(AK112,MS_La"&amp;"bs_Array,2,False),
    Levelprogress, LabLevel / MaxOrTarget,
    DVTColumn, MATCH(AK112,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2" s="1251" t="str">
        <f>IFERROR(__xludf.DUMMYFUNCTION("if(AK112 &lt;&gt; """", 
  LET(
    TargetLevel, VLOOKUP(AK112,MS_Labs_Array,3,false),
    LabSpeed, (1 * REGEXEXTRACT($BH$1, ""[\d.-]+"")) * {IF(AK112 =""Labs Speed"", 1+'Master Sheet'!$BK$5, LAB_SPEED_TOTAL())},
    MaxLevel, VLOOKUP(AK112,MS_Labs_Array,4,fal"&amp;"se),
    MaxOrTarget, IF(OR(TargetLevel = """",$AD$1 &lt;&gt; ""Target""), MaxLevel, TargetLevel),
    LabLevel, VLOOKUP(AK112,MS_Labs_Array,2,False),
    DVTColumn, MATCH(AK112, DVT_Laboratory!$A$1:BO$1, 0),
    xextTime, INDIRECT(""DVT_Laboratory!"" &amp; ADDRESS"&amp;"(LabLevel+3, DVTColumn)) / LabSpeed,
    remainingTime, SUM(INDIRECT(""DVT_Laboratory!"" &amp; ADDRESS(LabLevel+3, DVTColumn) &amp; "":"" &amp; ADDRESS(MaxOrTarget+2, DVTColumn))) / LabSpeed,
  AK112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2" s="1249"/>
      <c r="AO112" s="1249" t="str">
        <f>IFERROR(__xludf.DUMMYFUNCTION("""COMPUTED_VALUE"""),"")</f>
        <v/>
      </c>
      <c r="AP112" s="1249" t="str">
        <f>IFERROR(__xludf.DUMMYFUNCTION("""COMPUTED_VALUE"""),"")</f>
        <v/>
      </c>
      <c r="AQ112" s="1249"/>
      <c r="AR112" s="1250" t="str">
        <f>IFERROR(__xludf.DUMMYFUNCTION("if(AQ112 &lt;&gt; """", 
  LET( 
    TargetLevel, VLOOKUP(AQ112,MS_Labs_Array,3,false),
    MaxLevel, VLOOKUP(AQ112,MS_Labs_Array,4,false),
    MaxOrTarget, IF(OR(TargetLevel = """",$AD$1 &lt;&gt; ""Target""), MaxLevel, TargetLevel),
    LabLevel, VLOOKUP(AQ112,MS_La"&amp;"bs_Array,2,False),
    Levelprogress, LabLevel / MaxOrTarget,
    DVTColumn, MATCH(AQ112,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2" s="1251" t="str">
        <f>IFERROR(__xludf.DUMMYFUNCTION("if(AQ112 &lt;&gt; """", 
  LET(
    TargetLevel, VLOOKUP(AQ112,MS_Labs_Array,3,false),
    LabSpeed, (1 * REGEXEXTRACT($BH$1, ""[\d.-]+"")) * {IF(AQ112 =""Labs Speed"", 1+'Master Sheet'!$BK$5, LAB_SPEED_TOTAL())},
    MaxLevel, VLOOKUP(AQ112,MS_Labs_Array,4,fal"&amp;"se),
    MaxOrTarget, IF(OR(TargetLevel = """",$AD$1 &lt;&gt; ""Target""), MaxLevel, TargetLevel),
    LabLevel, VLOOKUP(AQ112,MS_Labs_Array,2,False),
    DVTColumn, MATCH(AQ112, DVT_Laboratory!$A$1:BO$1, 0),
    xextTime, INDIRECT(""DVT_Laboratory!"" &amp; ADDRESS"&amp;"(LabLevel+3, DVTColumn)) / LabSpeed,
    remainingTime, SUM(INDIRECT(""DVT_Laboratory!"" &amp; ADDRESS(LabLevel+3, DVTColumn) &amp; "":"" &amp; ADDRESS(MaxOrTarget+2, DVTColumn))) / LabSpeed,
  AQ112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2" s="1249"/>
      <c r="AU112" s="1249" t="str">
        <f>IFERROR(__xludf.DUMMYFUNCTION("""COMPUTED_VALUE"""),"")</f>
        <v/>
      </c>
      <c r="AV112" s="1249" t="str">
        <f>IFERROR(__xludf.DUMMYFUNCTION("""COMPUTED_VALUE"""),"")</f>
        <v/>
      </c>
      <c r="AW112" s="1249"/>
      <c r="AX112" s="1250" t="str">
        <f>IFERROR(__xludf.DUMMYFUNCTION("if(AW112 &lt;&gt; """", 
  LET( 
    TargetLevel, VLOOKUP(AW112,MS_Labs_Array,3,false),
    MaxLevel, VLOOKUP(AW112,MS_Labs_Array,4,false),
    MaxOrTarget, IF(OR(TargetLevel = """",$AD$1 &lt;&gt; ""Target""), MaxLevel, TargetLevel),
    LabLevel, VLOOKUP(AW112,MS_La"&amp;"bs_Array,2,False),
    Levelprogress, LabLevel / MaxOrTarget,
    DVTColumn, MATCH(AW112,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2" s="1251" t="str">
        <f>IFERROR(__xludf.DUMMYFUNCTION("if(AW112 &lt;&gt; """", 
  LET(
    TargetLevel, VLOOKUP(AW112,MS_Labs_Array,3,false),
    LabSpeed, (1 * REGEXEXTRACT($BH$1, ""[\d.-]+"")) * {IF(AW112 =""Labs Speed"", 1+'Master Sheet'!$BK$5, LAB_SPEED_TOTAL())},
    MaxLevel, VLOOKUP(AW112,MS_Labs_Array,4,fal"&amp;"se),
    MaxOrTarget, IF(OR(TargetLevel = """",$AD$1 &lt;&gt; ""Target""), MaxLevel, TargetLevel),
    LabLevel, VLOOKUP(AW112,MS_Labs_Array,2,False),
    DVTColumn, MATCH(AW112, DVT_Laboratory!$A$1:BO$1, 0),
    xextTime, INDIRECT(""DVT_Laboratory!"" &amp; ADDRESS"&amp;"(LabLevel+3, DVTColumn)) / LabSpeed,
    remainingTime, SUM(INDIRECT(""DVT_Laboratory!"" &amp; ADDRESS(LabLevel+3, DVTColumn) &amp; "":"" &amp; ADDRESS(MaxOrTarget+2, DVTColumn))) / LabSpeed,
  AW112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2" s="1249"/>
      <c r="BA112" s="1249" t="str">
        <f>IFERROR(__xludf.DUMMYFUNCTION("""COMPUTED_VALUE"""),"")</f>
        <v/>
      </c>
      <c r="BB112" s="1249" t="str">
        <f>IFERROR(__xludf.DUMMYFUNCTION("""COMPUTED_VALUE"""),"")</f>
        <v/>
      </c>
      <c r="BC112" s="1249"/>
      <c r="BD112" s="1250" t="str">
        <f>IFERROR(__xludf.DUMMYFUNCTION("if(BC112 &lt;&gt; """", 
  LET( 
    TargetLevel, VLOOKUP(BC112,MS_Labs_Array,3,false),
    MaxLevel, VLOOKUP(BC112,MS_Labs_Array,4,false),
    MaxOrTarget, IF(OR(TargetLevel = """",$AD$1 &lt;&gt; ""Target""), MaxLevel, TargetLevel),
    LabLevel, VLOOKUP(BC112,MS_La"&amp;"bs_Array,2,False),
    Levelprogress, LabLevel / MaxOrTarget,
    DVTColumn, MATCH(BC112,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2" s="1251" t="str">
        <f>IFERROR(__xludf.DUMMYFUNCTION("if(BC112 &lt;&gt; """", 
  LET(
    TargetLevel, VLOOKUP(BC112,MS_Labs_Array,3,false),
    LabSpeed, (1 * REGEXEXTRACT($BH$1, ""[\d.-]+"")) * {IF(BC112 =""Labs Speed"", 1+'Master Sheet'!$BK$5, LAB_SPEED_TOTAL())},
    MaxLevel, VLOOKUP(BC112,MS_Labs_Array,4,fal"&amp;"se),
    MaxOrTarget, IF(OR(TargetLevel = """",$AD$1 &lt;&gt; ""Target""), MaxLevel, TargetLevel),
    LabLevel, VLOOKUP(BC112,MS_Labs_Array,2,False),
    DVTColumn, MATCH(BC112, DVT_Laboratory!$A$1:BO$1, 0),
    xextTime, INDIRECT(""DVT_Laboratory!"" &amp; ADDRESS"&amp;"(LabLevel+3, DVTColumn)) / LabSpeed,
    remainingTime, SUM(INDIRECT(""DVT_Laboratory!"" &amp; ADDRESS(LabLevel+3, DVTColumn) &amp; "":"" &amp; ADDRESS(MaxOrTarget+2, DVTColumn))) / LabSpeed,
  BC112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2" s="1249"/>
      <c r="BG112" s="1249" t="str">
        <f>IFERROR(__xludf.DUMMYFUNCTION("""COMPUTED_VALUE"""),"")</f>
        <v/>
      </c>
      <c r="BH112" s="1260" t="str">
        <f>IFERROR(__xludf.DUMMYFUNCTION("""COMPUTED_VALUE"""),"")</f>
        <v/>
      </c>
      <c r="BI112" s="1252"/>
      <c r="BJ112" s="1253" t="str">
        <f>IFERROR(__xludf.DUMMYFUNCTION("if(BI112 &lt;&gt; """", 
  LET( 
    TargetLevel, VLOOKUP(BI112,MS_Labs_Array,3,false),
    MaxLevel, VLOOKUP(BI112,MS_Labs_Array,4,false),
    MaxOrTarget, IF(OR(TargetLevel = """",$AD$1 &lt;&gt; ""Target""), MaxLevel, TargetLevel),
    LabLevel, VLOOKUP(BI112,MS_La"&amp;"bs_Array,2,False),
    Levelprogress, IF(LabLevel &gt;= MaxOrTarget, 1, LabLevel / MaxOrTarget),
    DVTColumn, MATCH(BI112,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2" s="1254" t="str">
        <f>IFERROR(__xludf.DUMMYFUNCTION("if(BI112 &lt;&gt; """", 
  LET(
    TargetLevel, VLOOKUP(BI112,MS_Labs_Array,3,false),
    LabSpeed, (1 * REGEXEXTRACT($BH$1, ""[\d.-]+"")) * {IF(BI112 =""Labs Speed"", 1+'Master Sheet'!$BK$5, LAB_SPEED_TOTAL())},
    MaxLevel, VLOOKUP(BI112,MS_Labs_Array,4,fal"&amp;"se),
    MaxOrTarget, IF(OR(TargetLevel = """",$AD$1 &lt;&gt; ""Target""), MaxLevel, TargetLevel),
    LabLevel, VLOOKUP(BI112,MS_Labs_Array,2,False),
    DVTColumn, MATCH(BI112, DVT_Laboratory!$A$1:BO$1, 0),
    xextTime, INDIRECT(""DVT_Laboratory!"" &amp; ADDRESS"&amp;"(LabLevel+3, DVTColumn)) / LabSpeed,
    remainingTime, SUM(INDIRECT(""DVT_Laboratory!"" &amp; ADDRESS(LabLevel+3, DVTColumn) &amp; "":"" &amp; ADDRESS(MaxOrTarget+2, DVTColumn))) / LabSpeed,
  BI112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2" s="1252"/>
      <c r="BM112" s="1252" t="str">
        <f>IFERROR(__xludf.DUMMYFUNCTION("""COMPUTED_VALUE"""),"")</f>
        <v/>
      </c>
      <c r="BN112" s="1222"/>
      <c r="BO112" s="1261"/>
    </row>
    <row r="113">
      <c r="A113" s="1222"/>
      <c r="B113" s="1262" t="s">
        <v>554</v>
      </c>
      <c r="C113" s="1317" t="s">
        <v>186</v>
      </c>
      <c r="D113" s="1280" t="str">
        <f>VLOOKUP(C113,'Remote Tier List'!A:D, 2, FALSE)</f>
        <v>QOL</v>
      </c>
      <c r="E113" s="1281" t="str">
        <f>VLOOKUP(C113,'Remote Tier List'!A:D, 3, FALSE)</f>
        <v/>
      </c>
      <c r="F113" s="1284" t="str">
        <f>VLOOKUP(C113,'Remote Tier List'!A:D, 4, FALSE)</f>
        <v>Toggleable. Can be harmful to use if you are able to pick your perks by hand. Really hard to use before 4 perk choices and multiple bans.</v>
      </c>
      <c r="G113" s="1245" t="b">
        <f t="shared" si="20"/>
        <v>1</v>
      </c>
      <c r="H113" s="1246" t="str">
        <f t="array" ref="H113:I113">LET(
  Lab, $C113,
  Mode, $AD$1,
  Level, VLOOKUP(Lab, MS_Labs_Array, 2, FALSE),
  Target, VLOOKUP(Lab, MS_Labs_Array, 3, FALSE),
  Max, VLOOKUP(Lab, MS_Labs_Array, 4, FALSE),
  Result,
    IF(
      AND(
        Mode &lt;&gt; "Never",
        Level &gt;= IF(OR(Target = "", Mode = "Max"), Max, Target)
      ),
      "Completed",
      ""
    ),
  HSTACK(
    IF(Result &lt;&gt; "", Result, $D113),
    IF(Result &lt;&gt; "", Result, IF($E113 = "", $D113, $E113))
  )
)</f>
        <v>Completed</v>
      </c>
      <c r="I113" s="1247" t="s">
        <v>551</v>
      </c>
      <c r="J113" s="1248" t="str">
        <f t="shared" si="21"/>
        <v>Toggleable. Can be harmful to use if you are able to pick your perks by hand. Really hard to use before 4 perk choices and multiple bans.</v>
      </c>
      <c r="K113" s="1229"/>
      <c r="L113" s="1249"/>
      <c r="M113" s="1249"/>
      <c r="N113" s="1250" t="str">
        <f>IFERROR(__xludf.DUMMYFUNCTION("if(M113 &lt;&gt; """", 
  LET( 
    TargetLevel, VLOOKUP(M113,MS_Labs_Array,3,false),
    MaxLevel, VLOOKUP(M113,MS_Labs_Array,4,false),
    MaxOrTarget, IF(OR(TargetLevel = """",$AD$1 &lt;&gt; ""Target""), MaxLevel, TargetLevel),
    LabLevel, VLOOKUP(M113,MS_Labs_A"&amp;"rray,2,False),
    Levelprogress, LabLevel / MaxOrTarget,
    DVTColumn, MATCH(M113,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3" s="1251" t="str">
        <f>IFERROR(__xludf.DUMMYFUNCTION("if(M113 &lt;&gt; """", 
  LET(
    TargetLevel, VLOOKUP(M113,MS_Labs_Array,3,false),
    LabSpeed, (1 * REGEXEXTRACT($BH$1, ""[\d.-]+"")) * {IF(M113 =""Labs Speed"", 1+'Master Sheet'!$BK$5, LAB_SPEED_TOTAL())},
    MaxLevel, VLOOKUP(M113,MS_Labs_Array,4,false),"&amp;"
    MaxOrTarget, IF(OR(TargetLevel = """",$AD$1 &lt;&gt; ""Target""), MaxLevel, TargetLevel),
    LabLevel, VLOOKUP(M113,MS_Labs_Array,2,False),
    DVTColumn, MATCH(M113, DVT_Laboratory!$A$1:BO$1, 0),
    xextTime, INDIRECT(""DVT_Laboratory!"" &amp; ADDRESS(LabLe"&amp;"vel+3, DVTColumn)) / LabSpeed,
    remainingTime, SUM(INDIRECT(""DVT_Laboratory!"" &amp; ADDRESS(LabLevel+3, DVTColumn) &amp; "":"" &amp; ADDRESS(MaxOrTarget+2, DVTColumn))) / LabSpeed,
  M113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3" s="1249"/>
      <c r="Q113" s="1249"/>
      <c r="R113" s="1249"/>
      <c r="S113" s="1249"/>
      <c r="T113" s="1250" t="str">
        <f>IFERROR(__xludf.DUMMYFUNCTION("if(S113 &lt;&gt; """", 
  LET( 
    TargetLevel, VLOOKUP(S113,MS_Labs_Array,3,false),
    MaxLevel, VLOOKUP(S113,MS_Labs_Array,4,false),
    MaxOrTarget, IF(OR(TargetLevel = """",$AD$1 &lt;&gt; ""Target""), MaxLevel, TargetLevel),
    LabLevel, VLOOKUP(S113,MS_Labs_A"&amp;"rray,2,False),
    Levelprogress, LabLevel / MaxOrTarget,
    DVTColumn, MATCH(S113,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3" s="1251" t="str">
        <f>IFERROR(__xludf.DUMMYFUNCTION("if(S113 &lt;&gt; """", 
  LET(
    TargetLevel, VLOOKUP(S113,MS_Labs_Array,3,false),
    LabSpeed, (1 * REGEXEXTRACT($BH$1, ""[\d.-]+"")) * {IF(S113 =""Labs Speed"", 1+'Master Sheet'!$BK$5, LAB_SPEED_TOTAL())},
    MaxLevel, VLOOKUP(S113,MS_Labs_Array,4,false),"&amp;"
    MaxOrTarget, IF(OR(TargetLevel = """",$AD$1 &lt;&gt; ""Target""), MaxLevel, TargetLevel),
    LabLevel, VLOOKUP(S113,MS_Labs_Array,2,False),
    DVTColumn, MATCH(S113, DVT_Laboratory!$A$1:BO$1, 0),
    xextTime, INDIRECT(""DVT_Laboratory!"" &amp; ADDRESS(LabLe"&amp;"vel+3, DVTColumn)) / LabSpeed,
    remainingTime, SUM(INDIRECT(""DVT_Laboratory!"" &amp; ADDRESS(LabLevel+3, DVTColumn) &amp; "":"" &amp; ADDRESS(MaxOrTarget+2, DVTColumn))) / LabSpeed,
  S113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3" s="1249"/>
      <c r="W113" s="1249"/>
      <c r="X113" s="1249"/>
      <c r="Y113" s="1249"/>
      <c r="Z113" s="1250" t="str">
        <f>IFERROR(__xludf.DUMMYFUNCTION("if(Y113 &lt;&gt; """", 
  LET( 
    TargetLevel, VLOOKUP(Y113,MS_Labs_Array,3,false),
    MaxLevel, VLOOKUP(Y113,MS_Labs_Array,4,false),
    MaxOrTarget, IF(OR(TargetLevel = """",$AD$1 &lt;&gt; ""Target""), MaxLevel, TargetLevel),
    LabLevel, VLOOKUP(Y113,MS_Labs_A"&amp;"rray,2,False),
    Levelprogress, LabLevel / MaxOrTarget,
    DVTColumn, MATCH(Y113,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3" s="1251" t="str">
        <f>IFERROR(__xludf.DUMMYFUNCTION("if(Y113 &lt;&gt; """", 
  LET(
    TargetLevel, VLOOKUP(Y113,MS_Labs_Array,3,false),
    LabSpeed, (1 * REGEXEXTRACT($BH$1, ""[\d.-]+"")) * {IF(Y113 =""Labs Speed"", 1+'Master Sheet'!$BK$5, LAB_SPEED_TOTAL())},
    MaxLevel, VLOOKUP(Y113,MS_Labs_Array,4,false),"&amp;"
    MaxOrTarget, IF(OR(TargetLevel = """",$AD$1 &lt;&gt; ""Target""), MaxLevel, TargetLevel),
    LabLevel, VLOOKUP(Y113,MS_Labs_Array,2,False),
    DVTColumn, MATCH(Y113, DVT_Laboratory!$A$1:BO$1, 0),
    xextTime, INDIRECT(""DVT_Laboratory!"" &amp; ADDRESS(LabLe"&amp;"vel+3, DVTColumn)) / LabSpeed,
    remainingTime, SUM(INDIRECT(""DVT_Laboratory!"" &amp; ADDRESS(LabLevel+3, DVTColumn) &amp; "":"" &amp; ADDRESS(MaxOrTarget+2, DVTColumn))) / LabSpeed,
  Y113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3" s="1249"/>
      <c r="AC113" s="1249"/>
      <c r="AD113" s="1249"/>
      <c r="AE113" s="1249"/>
      <c r="AF113" s="1250" t="str">
        <f>IFERROR(__xludf.DUMMYFUNCTION("if(AE113 &lt;&gt; """", 
  LET( 
    TargetLevel, VLOOKUP(AE113,MS_Labs_Array,3,false),
    MaxLevel, VLOOKUP(AE113,MS_Labs_Array,4,false),
    MaxOrTarget, IF(OR(TargetLevel = """",$AD$1 &lt;&gt; ""Target""), MaxLevel, TargetLevel),
    LabLevel, VLOOKUP(AE113,MS_La"&amp;"bs_Array,2,False),
    Levelprogress, LabLevel / MaxOrTarget,
    DVTColumn, MATCH(AE113,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3" s="1251" t="str">
        <f>IFERROR(__xludf.DUMMYFUNCTION("if(AE113 &lt;&gt; """", 
  LET(
    TargetLevel, VLOOKUP(AE113,MS_Labs_Array,3,false),
    LabSpeed, (1 * REGEXEXTRACT($BH$1, ""[\d.-]+"")) * {IF(AE113 =""Labs Speed"", 1+'Master Sheet'!$BK$5, LAB_SPEED_TOTAL())},
    MaxLevel, VLOOKUP(AE113,MS_Labs_Array,4,fal"&amp;"se),
    MaxOrTarget, IF(OR(TargetLevel = """",$AD$1 &lt;&gt; ""Target""), MaxLevel, TargetLevel),
    LabLevel, VLOOKUP(AE113,MS_Labs_Array,2,False),
    DVTColumn, MATCH(AE113, DVT_Laboratory!$A$1:BO$1, 0),
    xextTime, INDIRECT(""DVT_Laboratory!"" &amp; ADDRESS"&amp;"(LabLevel+3, DVTColumn)) / LabSpeed,
    remainingTime, SUM(INDIRECT(""DVT_Laboratory!"" &amp; ADDRESS(LabLevel+3, DVTColumn) &amp; "":"" &amp; ADDRESS(MaxOrTarget+2, DVTColumn))) / LabSpeed,
  AE113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3" s="1249"/>
      <c r="AI113" s="1249"/>
      <c r="AJ113" s="1249"/>
      <c r="AK113" s="1249"/>
      <c r="AL113" s="1250" t="str">
        <f>IFERROR(__xludf.DUMMYFUNCTION("if(AK113 &lt;&gt; """", 
  LET( 
    TargetLevel, VLOOKUP(AK113,MS_Labs_Array,3,false),
    MaxLevel, VLOOKUP(AK113,MS_Labs_Array,4,false),
    MaxOrTarget, IF(OR(TargetLevel = """",$AD$1 &lt;&gt; ""Target""), MaxLevel, TargetLevel),
    LabLevel, VLOOKUP(AK113,MS_La"&amp;"bs_Array,2,False),
    Levelprogress, LabLevel / MaxOrTarget,
    DVTColumn, MATCH(AK113,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3" s="1251" t="str">
        <f>IFERROR(__xludf.DUMMYFUNCTION("if(AK113 &lt;&gt; """", 
  LET(
    TargetLevel, VLOOKUP(AK113,MS_Labs_Array,3,false),
    LabSpeed, (1 * REGEXEXTRACT($BH$1, ""[\d.-]+"")) * {IF(AK113 =""Labs Speed"", 1+'Master Sheet'!$BK$5, LAB_SPEED_TOTAL())},
    MaxLevel, VLOOKUP(AK113,MS_Labs_Array,4,fal"&amp;"se),
    MaxOrTarget, IF(OR(TargetLevel = """",$AD$1 &lt;&gt; ""Target""), MaxLevel, TargetLevel),
    LabLevel, VLOOKUP(AK113,MS_Labs_Array,2,False),
    DVTColumn, MATCH(AK113, DVT_Laboratory!$A$1:BO$1, 0),
    xextTime, INDIRECT(""DVT_Laboratory!"" &amp; ADDRESS"&amp;"(LabLevel+3, DVTColumn)) / LabSpeed,
    remainingTime, SUM(INDIRECT(""DVT_Laboratory!"" &amp; ADDRESS(LabLevel+3, DVTColumn) &amp; "":"" &amp; ADDRESS(MaxOrTarget+2, DVTColumn))) / LabSpeed,
  AK113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3" s="1249"/>
      <c r="AO113" s="1249"/>
      <c r="AP113" s="1249"/>
      <c r="AQ113" s="1249"/>
      <c r="AR113" s="1250" t="str">
        <f>IFERROR(__xludf.DUMMYFUNCTION("if(AQ113 &lt;&gt; """", 
  LET( 
    TargetLevel, VLOOKUP(AQ113,MS_Labs_Array,3,false),
    MaxLevel, VLOOKUP(AQ113,MS_Labs_Array,4,false),
    MaxOrTarget, IF(OR(TargetLevel = """",$AD$1 &lt;&gt; ""Target""), MaxLevel, TargetLevel),
    LabLevel, VLOOKUP(AQ113,MS_La"&amp;"bs_Array,2,False),
    Levelprogress, LabLevel / MaxOrTarget,
    DVTColumn, MATCH(AQ113,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3" s="1251" t="str">
        <f>IFERROR(__xludf.DUMMYFUNCTION("if(AQ113 &lt;&gt; """", 
  LET(
    TargetLevel, VLOOKUP(AQ113,MS_Labs_Array,3,false),
    LabSpeed, (1 * REGEXEXTRACT($BH$1, ""[\d.-]+"")) * {IF(AQ113 =""Labs Speed"", 1+'Master Sheet'!$BK$5, LAB_SPEED_TOTAL())},
    MaxLevel, VLOOKUP(AQ113,MS_Labs_Array,4,fal"&amp;"se),
    MaxOrTarget, IF(OR(TargetLevel = """",$AD$1 &lt;&gt; ""Target""), MaxLevel, TargetLevel),
    LabLevel, VLOOKUP(AQ113,MS_Labs_Array,2,False),
    DVTColumn, MATCH(AQ113, DVT_Laboratory!$A$1:BO$1, 0),
    xextTime, INDIRECT(""DVT_Laboratory!"" &amp; ADDRESS"&amp;"(LabLevel+3, DVTColumn)) / LabSpeed,
    remainingTime, SUM(INDIRECT(""DVT_Laboratory!"" &amp; ADDRESS(LabLevel+3, DVTColumn) &amp; "":"" &amp; ADDRESS(MaxOrTarget+2, DVTColumn))) / LabSpeed,
  AQ113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3" s="1249"/>
      <c r="AU113" s="1249"/>
      <c r="AV113" s="1249"/>
      <c r="AW113" s="1249"/>
      <c r="AX113" s="1250" t="str">
        <f>IFERROR(__xludf.DUMMYFUNCTION("if(AW113 &lt;&gt; """", 
  LET( 
    TargetLevel, VLOOKUP(AW113,MS_Labs_Array,3,false),
    MaxLevel, VLOOKUP(AW113,MS_Labs_Array,4,false),
    MaxOrTarget, IF(OR(TargetLevel = """",$AD$1 &lt;&gt; ""Target""), MaxLevel, TargetLevel),
    LabLevel, VLOOKUP(AW113,MS_La"&amp;"bs_Array,2,False),
    Levelprogress, LabLevel / MaxOrTarget,
    DVTColumn, MATCH(AW113,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3" s="1251" t="str">
        <f>IFERROR(__xludf.DUMMYFUNCTION("if(AW113 &lt;&gt; """", 
  LET(
    TargetLevel, VLOOKUP(AW113,MS_Labs_Array,3,false),
    LabSpeed, (1 * REGEXEXTRACT($BH$1, ""[\d.-]+"")) * {IF(AW113 =""Labs Speed"", 1+'Master Sheet'!$BK$5, LAB_SPEED_TOTAL())},
    MaxLevel, VLOOKUP(AW113,MS_Labs_Array,4,fal"&amp;"se),
    MaxOrTarget, IF(OR(TargetLevel = """",$AD$1 &lt;&gt; ""Target""), MaxLevel, TargetLevel),
    LabLevel, VLOOKUP(AW113,MS_Labs_Array,2,False),
    DVTColumn, MATCH(AW113, DVT_Laboratory!$A$1:BO$1, 0),
    xextTime, INDIRECT(""DVT_Laboratory!"" &amp; ADDRESS"&amp;"(LabLevel+3, DVTColumn)) / LabSpeed,
    remainingTime, SUM(INDIRECT(""DVT_Laboratory!"" &amp; ADDRESS(LabLevel+3, DVTColumn) &amp; "":"" &amp; ADDRESS(MaxOrTarget+2, DVTColumn))) / LabSpeed,
  AW113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3" s="1249"/>
      <c r="BA113" s="1249"/>
      <c r="BB113" s="1249"/>
      <c r="BC113" s="1249"/>
      <c r="BD113" s="1250" t="str">
        <f>IFERROR(__xludf.DUMMYFUNCTION("if(BC113 &lt;&gt; """", 
  LET( 
    TargetLevel, VLOOKUP(BC113,MS_Labs_Array,3,false),
    MaxLevel, VLOOKUP(BC113,MS_Labs_Array,4,false),
    MaxOrTarget, IF(OR(TargetLevel = """",$AD$1 &lt;&gt; ""Target""), MaxLevel, TargetLevel),
    LabLevel, VLOOKUP(BC113,MS_La"&amp;"bs_Array,2,False),
    Levelprogress, LabLevel / MaxOrTarget,
    DVTColumn, MATCH(BC113,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3" s="1251" t="str">
        <f>IFERROR(__xludf.DUMMYFUNCTION("if(BC113 &lt;&gt; """", 
  LET(
    TargetLevel, VLOOKUP(BC113,MS_Labs_Array,3,false),
    LabSpeed, (1 * REGEXEXTRACT($BH$1, ""[\d.-]+"")) * {IF(BC113 =""Labs Speed"", 1+'Master Sheet'!$BK$5, LAB_SPEED_TOTAL())},
    MaxLevel, VLOOKUP(BC113,MS_Labs_Array,4,fal"&amp;"se),
    MaxOrTarget, IF(OR(TargetLevel = """",$AD$1 &lt;&gt; ""Target""), MaxLevel, TargetLevel),
    LabLevel, VLOOKUP(BC113,MS_Labs_Array,2,False),
    DVTColumn, MATCH(BC113, DVT_Laboratory!$A$1:BO$1, 0),
    xextTime, INDIRECT(""DVT_Laboratory!"" &amp; ADDRESS"&amp;"(LabLevel+3, DVTColumn)) / LabSpeed,
    remainingTime, SUM(INDIRECT(""DVT_Laboratory!"" &amp; ADDRESS(LabLevel+3, DVTColumn) &amp; "":"" &amp; ADDRESS(MaxOrTarget+2, DVTColumn))) / LabSpeed,
  BC113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3" s="1249"/>
      <c r="BG113" s="1249"/>
      <c r="BH113" s="1260"/>
      <c r="BI113" s="1252"/>
      <c r="BJ113" s="1253" t="str">
        <f>IFERROR(__xludf.DUMMYFUNCTION("if(BI113 &lt;&gt; """", 
  LET( 
    TargetLevel, VLOOKUP(BI113,MS_Labs_Array,3,false),
    MaxLevel, VLOOKUP(BI113,MS_Labs_Array,4,false),
    MaxOrTarget, IF(OR(TargetLevel = """",$AD$1 &lt;&gt; ""Target""), MaxLevel, TargetLevel),
    LabLevel, VLOOKUP(BI113,MS_La"&amp;"bs_Array,2,False),
    Levelprogress, IF(LabLevel &gt;= MaxOrTarget, 1, LabLevel / MaxOrTarget),
    DVTColumn, MATCH(BI113,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3" s="1254" t="str">
        <f>IFERROR(__xludf.DUMMYFUNCTION("if(BI113 &lt;&gt; """", 
  LET(
    TargetLevel, VLOOKUP(BI113,MS_Labs_Array,3,false),
    LabSpeed, (1 * REGEXEXTRACT($BH$1, ""[\d.-]+"")) * {IF(BI113 =""Labs Speed"", 1+'Master Sheet'!$BK$5, LAB_SPEED_TOTAL())},
    MaxLevel, VLOOKUP(BI113,MS_Labs_Array,4,fal"&amp;"se),
    MaxOrTarget, IF(OR(TargetLevel = """",$AD$1 &lt;&gt; ""Target""), MaxLevel, TargetLevel),
    LabLevel, VLOOKUP(BI113,MS_Labs_Array,2,False),
    DVTColumn, MATCH(BI113, DVT_Laboratory!$A$1:BO$1, 0),
    xextTime, INDIRECT(""DVT_Laboratory!"" &amp; ADDRESS"&amp;"(LabLevel+3, DVTColumn)) / LabSpeed,
    remainingTime, SUM(INDIRECT(""DVT_Laboratory!"" &amp; ADDRESS(LabLevel+3, DVTColumn) &amp; "":"" &amp; ADDRESS(MaxOrTarget+2, DVTColumn))) / LabSpeed,
  BI113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3" s="1252"/>
      <c r="BM113" s="1252"/>
      <c r="BN113" s="1222"/>
      <c r="BO113" s="1261"/>
    </row>
    <row r="114" ht="7.5" customHeight="1">
      <c r="A114" s="1222"/>
      <c r="B114" s="1262" t="s">
        <v>553</v>
      </c>
      <c r="C114" s="1317" t="s">
        <v>205</v>
      </c>
      <c r="D114" s="1280" t="str">
        <f>VLOOKUP(C114,'Remote Tier List'!A:D, 2, FALSE)</f>
        <v>S</v>
      </c>
      <c r="E114" s="1281" t="str">
        <f>VLOOKUP(C114,'Remote Tier List'!A:D, 3, FALSE)</f>
        <v/>
      </c>
      <c r="F114" s="1284" t="str">
        <f>VLOOKUP(C114,'Remote Tier List'!A:D, 4, FALSE)</f>
        <v>Improves all common perks, including Perk wave requirement, leading to stronger and faster perks</v>
      </c>
      <c r="G114" s="1245" t="b">
        <f t="shared" si="20"/>
        <v>1</v>
      </c>
      <c r="H114" s="1246" t="str">
        <f t="array" ref="H114:I114">LET(
  Lab, $C114,
  Mode, $AD$1,
  Level, VLOOKUP(Lab, MS_Labs_Array, 2, FALSE),
  Target, VLOOKUP(Lab, MS_Labs_Array, 3, FALSE),
  Max, VLOOKUP(Lab, MS_Labs_Array, 4, FALSE),
  Result,
    IF(
      AND(
        Mode &lt;&gt; "Never",
        Level &gt;= IF(OR(Target = "", Mode = "Max"), Max, Target)
      ),
      "Completed",
      ""
    ),
  HSTACK(
    IF(Result &lt;&gt; "", Result, $D114),
    IF(Result &lt;&gt; "", Result, IF($E114 = "", $D114, $E114))
  )
)</f>
        <v>Completed</v>
      </c>
      <c r="I114" s="1247" t="s">
        <v>551</v>
      </c>
      <c r="J114" s="1248" t="str">
        <f t="shared" si="21"/>
        <v>Improves all common perks, including Perk wave requirement, leading to stronger and faster perks</v>
      </c>
      <c r="K114" s="1229"/>
      <c r="L114" s="1249" t="str">
        <f>IFERROR(__xludf.DUMMYFUNCTION("""COMPUTED_VALUE"""),"")</f>
        <v/>
      </c>
      <c r="M114" s="1249"/>
      <c r="N114" s="1250" t="str">
        <f>IFERROR(__xludf.DUMMYFUNCTION("if(M114 &lt;&gt; """", 
  LET( 
    TargetLevel, VLOOKUP(M114,MS_Labs_Array,3,false),
    MaxLevel, VLOOKUP(M114,MS_Labs_Array,4,false),
    MaxOrTarget, IF(OR(TargetLevel = """",$AD$1 &lt;&gt; ""Target""), MaxLevel, TargetLevel),
    LabLevel, VLOOKUP(M114,MS_Labs_A"&amp;"rray,2,False),
    Levelprogress, LabLevel / MaxOrTarget,
    DVTColumn, MATCH(M114,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4" s="1251" t="str">
        <f>IFERROR(__xludf.DUMMYFUNCTION("if(M114 &lt;&gt; """", 
  LET(
    TargetLevel, VLOOKUP(M114,MS_Labs_Array,3,false),
    LabSpeed, (1 * REGEXEXTRACT($BH$1, ""[\d.-]+"")) * {IF(M114 =""Labs Speed"", 1+'Master Sheet'!$BK$5, LAB_SPEED_TOTAL())},
    MaxLevel, VLOOKUP(M114,MS_Labs_Array,4,false),"&amp;"
    MaxOrTarget, IF(OR(TargetLevel = """",$AD$1 &lt;&gt; ""Target""), MaxLevel, TargetLevel),
    LabLevel, VLOOKUP(M114,MS_Labs_Array,2,False),
    DVTColumn, MATCH(M114, DVT_Laboratory!$A$1:BO$1, 0),
    xextTime, INDIRECT(""DVT_Laboratory!"" &amp; ADDRESS(LabLe"&amp;"vel+3, DVTColumn)) / LabSpeed,
    remainingTime, SUM(INDIRECT(""DVT_Laboratory!"" &amp; ADDRESS(LabLevel+3, DVTColumn) &amp; "":"" &amp; ADDRESS(MaxOrTarget+2, DVTColumn))) / LabSpeed,
  M114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4" s="1249"/>
      <c r="Q114" s="1249" t="str">
        <f>IFERROR(__xludf.DUMMYFUNCTION("""COMPUTED_VALUE"""),"")</f>
        <v/>
      </c>
      <c r="R114" s="1249" t="str">
        <f>IFERROR(__xludf.DUMMYFUNCTION("""COMPUTED_VALUE"""),"")</f>
        <v/>
      </c>
      <c r="S114" s="1249"/>
      <c r="T114" s="1250" t="str">
        <f>IFERROR(__xludf.DUMMYFUNCTION("if(S114 &lt;&gt; """", 
  LET( 
    TargetLevel, VLOOKUP(S114,MS_Labs_Array,3,false),
    MaxLevel, VLOOKUP(S114,MS_Labs_Array,4,false),
    MaxOrTarget, IF(OR(TargetLevel = """",$AD$1 &lt;&gt; ""Target""), MaxLevel, TargetLevel),
    LabLevel, VLOOKUP(S114,MS_Labs_A"&amp;"rray,2,False),
    Levelprogress, LabLevel / MaxOrTarget,
    DVTColumn, MATCH(S114,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4" s="1251" t="str">
        <f>IFERROR(__xludf.DUMMYFUNCTION("if(S114 &lt;&gt; """", 
  LET(
    TargetLevel, VLOOKUP(S114,MS_Labs_Array,3,false),
    LabSpeed, (1 * REGEXEXTRACT($BH$1, ""[\d.-]+"")) * {IF(S114 =""Labs Speed"", 1+'Master Sheet'!$BK$5, LAB_SPEED_TOTAL())},
    MaxLevel, VLOOKUP(S114,MS_Labs_Array,4,false),"&amp;"
    MaxOrTarget, IF(OR(TargetLevel = """",$AD$1 &lt;&gt; ""Target""), MaxLevel, TargetLevel),
    LabLevel, VLOOKUP(S114,MS_Labs_Array,2,False),
    DVTColumn, MATCH(S114, DVT_Laboratory!$A$1:BO$1, 0),
    xextTime, INDIRECT(""DVT_Laboratory!"" &amp; ADDRESS(LabLe"&amp;"vel+3, DVTColumn)) / LabSpeed,
    remainingTime, SUM(INDIRECT(""DVT_Laboratory!"" &amp; ADDRESS(LabLevel+3, DVTColumn) &amp; "":"" &amp; ADDRESS(MaxOrTarget+2, DVTColumn))) / LabSpeed,
  S114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4" s="1249"/>
      <c r="W114" s="1249" t="str">
        <f>IFERROR(__xludf.DUMMYFUNCTION("""COMPUTED_VALUE"""),"")</f>
        <v/>
      </c>
      <c r="X114" s="1249" t="str">
        <f>IFERROR(__xludf.DUMMYFUNCTION("""COMPUTED_VALUE"""),"")</f>
        <v/>
      </c>
      <c r="Y114" s="1249"/>
      <c r="Z114" s="1250" t="str">
        <f>IFERROR(__xludf.DUMMYFUNCTION("if(Y114 &lt;&gt; """", 
  LET( 
    TargetLevel, VLOOKUP(Y114,MS_Labs_Array,3,false),
    MaxLevel, VLOOKUP(Y114,MS_Labs_Array,4,false),
    MaxOrTarget, IF(OR(TargetLevel = """",$AD$1 &lt;&gt; ""Target""), MaxLevel, TargetLevel),
    LabLevel, VLOOKUP(Y114,MS_Labs_A"&amp;"rray,2,False),
    Levelprogress, LabLevel / MaxOrTarget,
    DVTColumn, MATCH(Y114,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4" s="1251" t="str">
        <f>IFERROR(__xludf.DUMMYFUNCTION("if(Y114 &lt;&gt; """", 
  LET(
    TargetLevel, VLOOKUP(Y114,MS_Labs_Array,3,false),
    LabSpeed, (1 * REGEXEXTRACT($BH$1, ""[\d.-]+"")) * {IF(Y114 =""Labs Speed"", 1+'Master Sheet'!$BK$5, LAB_SPEED_TOTAL())},
    MaxLevel, VLOOKUP(Y114,MS_Labs_Array,4,false),"&amp;"
    MaxOrTarget, IF(OR(TargetLevel = """",$AD$1 &lt;&gt; ""Target""), MaxLevel, TargetLevel),
    LabLevel, VLOOKUP(Y114,MS_Labs_Array,2,False),
    DVTColumn, MATCH(Y114, DVT_Laboratory!$A$1:BO$1, 0),
    xextTime, INDIRECT(""DVT_Laboratory!"" &amp; ADDRESS(LabLe"&amp;"vel+3, DVTColumn)) / LabSpeed,
    remainingTime, SUM(INDIRECT(""DVT_Laboratory!"" &amp; ADDRESS(LabLevel+3, DVTColumn) &amp; "":"" &amp; ADDRESS(MaxOrTarget+2, DVTColumn))) / LabSpeed,
  Y114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4" s="1249"/>
      <c r="AC114" s="1249" t="str">
        <f>IFERROR(__xludf.DUMMYFUNCTION("""COMPUTED_VALUE"""),"")</f>
        <v/>
      </c>
      <c r="AD114" s="1249" t="str">
        <f>IFERROR(__xludf.DUMMYFUNCTION("""COMPUTED_VALUE"""),"")</f>
        <v/>
      </c>
      <c r="AE114" s="1249"/>
      <c r="AF114" s="1250" t="str">
        <f>IFERROR(__xludf.DUMMYFUNCTION("if(AE114 &lt;&gt; """", 
  LET( 
    TargetLevel, VLOOKUP(AE114,MS_Labs_Array,3,false),
    MaxLevel, VLOOKUP(AE114,MS_Labs_Array,4,false),
    MaxOrTarget, IF(OR(TargetLevel = """",$AD$1 &lt;&gt; ""Target""), MaxLevel, TargetLevel),
    LabLevel, VLOOKUP(AE114,MS_La"&amp;"bs_Array,2,False),
    Levelprogress, LabLevel / MaxOrTarget,
    DVTColumn, MATCH(AE114,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4" s="1251" t="str">
        <f>IFERROR(__xludf.DUMMYFUNCTION("if(AE114 &lt;&gt; """", 
  LET(
    TargetLevel, VLOOKUP(AE114,MS_Labs_Array,3,false),
    LabSpeed, (1 * REGEXEXTRACT($BH$1, ""[\d.-]+"")) * {IF(AE114 =""Labs Speed"", 1+'Master Sheet'!$BK$5, LAB_SPEED_TOTAL())},
    MaxLevel, VLOOKUP(AE114,MS_Labs_Array,4,fal"&amp;"se),
    MaxOrTarget, IF(OR(TargetLevel = """",$AD$1 &lt;&gt; ""Target""), MaxLevel, TargetLevel),
    LabLevel, VLOOKUP(AE114,MS_Labs_Array,2,False),
    DVTColumn, MATCH(AE114, DVT_Laboratory!$A$1:BO$1, 0),
    xextTime, INDIRECT(""DVT_Laboratory!"" &amp; ADDRESS"&amp;"(LabLevel+3, DVTColumn)) / LabSpeed,
    remainingTime, SUM(INDIRECT(""DVT_Laboratory!"" &amp; ADDRESS(LabLevel+3, DVTColumn) &amp; "":"" &amp; ADDRESS(MaxOrTarget+2, DVTColumn))) / LabSpeed,
  AE114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4" s="1249"/>
      <c r="AI114" s="1249" t="str">
        <f>IFERROR(__xludf.DUMMYFUNCTION("""COMPUTED_VALUE"""),"")</f>
        <v/>
      </c>
      <c r="AJ114" s="1249" t="str">
        <f>IFERROR(__xludf.DUMMYFUNCTION("""COMPUTED_VALUE"""),"")</f>
        <v/>
      </c>
      <c r="AK114" s="1249"/>
      <c r="AL114" s="1250" t="str">
        <f>IFERROR(__xludf.DUMMYFUNCTION("if(AK114 &lt;&gt; """", 
  LET( 
    TargetLevel, VLOOKUP(AK114,MS_Labs_Array,3,false),
    MaxLevel, VLOOKUP(AK114,MS_Labs_Array,4,false),
    MaxOrTarget, IF(OR(TargetLevel = """",$AD$1 &lt;&gt; ""Target""), MaxLevel, TargetLevel),
    LabLevel, VLOOKUP(AK114,MS_La"&amp;"bs_Array,2,False),
    Levelprogress, LabLevel / MaxOrTarget,
    DVTColumn, MATCH(AK114,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4" s="1251" t="str">
        <f>IFERROR(__xludf.DUMMYFUNCTION("if(AK114 &lt;&gt; """", 
  LET(
    TargetLevel, VLOOKUP(AK114,MS_Labs_Array,3,false),
    LabSpeed, (1 * REGEXEXTRACT($BH$1, ""[\d.-]+"")) * {IF(AK114 =""Labs Speed"", 1+'Master Sheet'!$BK$5, LAB_SPEED_TOTAL())},
    MaxLevel, VLOOKUP(AK114,MS_Labs_Array,4,fal"&amp;"se),
    MaxOrTarget, IF(OR(TargetLevel = """",$AD$1 &lt;&gt; ""Target""), MaxLevel, TargetLevel),
    LabLevel, VLOOKUP(AK114,MS_Labs_Array,2,False),
    DVTColumn, MATCH(AK114, DVT_Laboratory!$A$1:BO$1, 0),
    xextTime, INDIRECT(""DVT_Laboratory!"" &amp; ADDRESS"&amp;"(LabLevel+3, DVTColumn)) / LabSpeed,
    remainingTime, SUM(INDIRECT(""DVT_Laboratory!"" &amp; ADDRESS(LabLevel+3, DVTColumn) &amp; "":"" &amp; ADDRESS(MaxOrTarget+2, DVTColumn))) / LabSpeed,
  AK114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4" s="1249"/>
      <c r="AO114" s="1249" t="str">
        <f>IFERROR(__xludf.DUMMYFUNCTION("""COMPUTED_VALUE"""),"")</f>
        <v/>
      </c>
      <c r="AP114" s="1249" t="str">
        <f>IFERROR(__xludf.DUMMYFUNCTION("""COMPUTED_VALUE"""),"")</f>
        <v/>
      </c>
      <c r="AQ114" s="1249"/>
      <c r="AR114" s="1250" t="str">
        <f>IFERROR(__xludf.DUMMYFUNCTION("if(AQ114 &lt;&gt; """", 
  LET( 
    TargetLevel, VLOOKUP(AQ114,MS_Labs_Array,3,false),
    MaxLevel, VLOOKUP(AQ114,MS_Labs_Array,4,false),
    MaxOrTarget, IF(OR(TargetLevel = """",$AD$1 &lt;&gt; ""Target""), MaxLevel, TargetLevel),
    LabLevel, VLOOKUP(AQ114,MS_La"&amp;"bs_Array,2,False),
    Levelprogress, LabLevel / MaxOrTarget,
    DVTColumn, MATCH(AQ114,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4" s="1251" t="str">
        <f>IFERROR(__xludf.DUMMYFUNCTION("if(AQ114 &lt;&gt; """", 
  LET(
    TargetLevel, VLOOKUP(AQ114,MS_Labs_Array,3,false),
    LabSpeed, (1 * REGEXEXTRACT($BH$1, ""[\d.-]+"")) * {IF(AQ114 =""Labs Speed"", 1+'Master Sheet'!$BK$5, LAB_SPEED_TOTAL())},
    MaxLevel, VLOOKUP(AQ114,MS_Labs_Array,4,fal"&amp;"se),
    MaxOrTarget, IF(OR(TargetLevel = """",$AD$1 &lt;&gt; ""Target""), MaxLevel, TargetLevel),
    LabLevel, VLOOKUP(AQ114,MS_Labs_Array,2,False),
    DVTColumn, MATCH(AQ114, DVT_Laboratory!$A$1:BO$1, 0),
    xextTime, INDIRECT(""DVT_Laboratory!"" &amp; ADDRESS"&amp;"(LabLevel+3, DVTColumn)) / LabSpeed,
    remainingTime, SUM(INDIRECT(""DVT_Laboratory!"" &amp; ADDRESS(LabLevel+3, DVTColumn) &amp; "":"" &amp; ADDRESS(MaxOrTarget+2, DVTColumn))) / LabSpeed,
  AQ114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4" s="1249"/>
      <c r="AU114" s="1249" t="str">
        <f>IFERROR(__xludf.DUMMYFUNCTION("""COMPUTED_VALUE"""),"")</f>
        <v/>
      </c>
      <c r="AV114" s="1249" t="str">
        <f>IFERROR(__xludf.DUMMYFUNCTION("""COMPUTED_VALUE"""),"")</f>
        <v/>
      </c>
      <c r="AW114" s="1249"/>
      <c r="AX114" s="1250" t="str">
        <f>IFERROR(__xludf.DUMMYFUNCTION("if(AW114 &lt;&gt; """", 
  LET( 
    TargetLevel, VLOOKUP(AW114,MS_Labs_Array,3,false),
    MaxLevel, VLOOKUP(AW114,MS_Labs_Array,4,false),
    MaxOrTarget, IF(OR(TargetLevel = """",$AD$1 &lt;&gt; ""Target""), MaxLevel, TargetLevel),
    LabLevel, VLOOKUP(AW114,MS_La"&amp;"bs_Array,2,False),
    Levelprogress, LabLevel / MaxOrTarget,
    DVTColumn, MATCH(AW114,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4" s="1251" t="str">
        <f>IFERROR(__xludf.DUMMYFUNCTION("if(AW114 &lt;&gt; """", 
  LET(
    TargetLevel, VLOOKUP(AW114,MS_Labs_Array,3,false),
    LabSpeed, (1 * REGEXEXTRACT($BH$1, ""[\d.-]+"")) * {IF(AW114 =""Labs Speed"", 1+'Master Sheet'!$BK$5, LAB_SPEED_TOTAL())},
    MaxLevel, VLOOKUP(AW114,MS_Labs_Array,4,fal"&amp;"se),
    MaxOrTarget, IF(OR(TargetLevel = """",$AD$1 &lt;&gt; ""Target""), MaxLevel, TargetLevel),
    LabLevel, VLOOKUP(AW114,MS_Labs_Array,2,False),
    DVTColumn, MATCH(AW114, DVT_Laboratory!$A$1:BO$1, 0),
    xextTime, INDIRECT(""DVT_Laboratory!"" &amp; ADDRESS"&amp;"(LabLevel+3, DVTColumn)) / LabSpeed,
    remainingTime, SUM(INDIRECT(""DVT_Laboratory!"" &amp; ADDRESS(LabLevel+3, DVTColumn) &amp; "":"" &amp; ADDRESS(MaxOrTarget+2, DVTColumn))) / LabSpeed,
  AW114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4" s="1249"/>
      <c r="BA114" s="1249" t="str">
        <f>IFERROR(__xludf.DUMMYFUNCTION("""COMPUTED_VALUE"""),"")</f>
        <v/>
      </c>
      <c r="BB114" s="1249" t="str">
        <f>IFERROR(__xludf.DUMMYFUNCTION("""COMPUTED_VALUE"""),"")</f>
        <v/>
      </c>
      <c r="BC114" s="1249"/>
      <c r="BD114" s="1250" t="str">
        <f>IFERROR(__xludf.DUMMYFUNCTION("if(BC114 &lt;&gt; """", 
  LET( 
    TargetLevel, VLOOKUP(BC114,MS_Labs_Array,3,false),
    MaxLevel, VLOOKUP(BC114,MS_Labs_Array,4,false),
    MaxOrTarget, IF(OR(TargetLevel = """",$AD$1 &lt;&gt; ""Target""), MaxLevel, TargetLevel),
    LabLevel, VLOOKUP(BC114,MS_La"&amp;"bs_Array,2,False),
    Levelprogress, LabLevel / MaxOrTarget,
    DVTColumn, MATCH(BC114,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4" s="1251" t="str">
        <f>IFERROR(__xludf.DUMMYFUNCTION("if(BC114 &lt;&gt; """", 
  LET(
    TargetLevel, VLOOKUP(BC114,MS_Labs_Array,3,false),
    LabSpeed, (1 * REGEXEXTRACT($BH$1, ""[\d.-]+"")) * {IF(BC114 =""Labs Speed"", 1+'Master Sheet'!$BK$5, LAB_SPEED_TOTAL())},
    MaxLevel, VLOOKUP(BC114,MS_Labs_Array,4,fal"&amp;"se),
    MaxOrTarget, IF(OR(TargetLevel = """",$AD$1 &lt;&gt; ""Target""), MaxLevel, TargetLevel),
    LabLevel, VLOOKUP(BC114,MS_Labs_Array,2,False),
    DVTColumn, MATCH(BC114, DVT_Laboratory!$A$1:BO$1, 0),
    xextTime, INDIRECT(""DVT_Laboratory!"" &amp; ADDRESS"&amp;"(LabLevel+3, DVTColumn)) / LabSpeed,
    remainingTime, SUM(INDIRECT(""DVT_Laboratory!"" &amp; ADDRESS(LabLevel+3, DVTColumn) &amp; "":"" &amp; ADDRESS(MaxOrTarget+2, DVTColumn))) / LabSpeed,
  BC114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4" s="1249"/>
      <c r="BG114" s="1249" t="str">
        <f>IFERROR(__xludf.DUMMYFUNCTION("""COMPUTED_VALUE"""),"")</f>
        <v/>
      </c>
      <c r="BH114" s="1260" t="str">
        <f>IFERROR(__xludf.DUMMYFUNCTION("""COMPUTED_VALUE"""),"")</f>
        <v/>
      </c>
      <c r="BI114" s="1252"/>
      <c r="BJ114" s="1253" t="str">
        <f>IFERROR(__xludf.DUMMYFUNCTION("if(BI114 &lt;&gt; """", 
  LET( 
    TargetLevel, VLOOKUP(BI114,MS_Labs_Array,3,false),
    MaxLevel, VLOOKUP(BI114,MS_Labs_Array,4,false),
    MaxOrTarget, IF(OR(TargetLevel = """",$AD$1 &lt;&gt; ""Target""), MaxLevel, TargetLevel),
    LabLevel, VLOOKUP(BI114,MS_La"&amp;"bs_Array,2,False),
    Levelprogress, IF(LabLevel &gt;= MaxOrTarget, 1, LabLevel / MaxOrTarget),
    DVTColumn, MATCH(BI114,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4" s="1254" t="str">
        <f>IFERROR(__xludf.DUMMYFUNCTION("if(BI114 &lt;&gt; """", 
  LET(
    TargetLevel, VLOOKUP(BI114,MS_Labs_Array,3,false),
    LabSpeed, (1 * REGEXEXTRACT($BH$1, ""[\d.-]+"")) * {IF(BI114 =""Labs Speed"", 1+'Master Sheet'!$BK$5, LAB_SPEED_TOTAL())},
    MaxLevel, VLOOKUP(BI114,MS_Labs_Array,4,fal"&amp;"se),
    MaxOrTarget, IF(OR(TargetLevel = """",$AD$1 &lt;&gt; ""Target""), MaxLevel, TargetLevel),
    LabLevel, VLOOKUP(BI114,MS_Labs_Array,2,False),
    DVTColumn, MATCH(BI114, DVT_Laboratory!$A$1:BO$1, 0),
    xextTime, INDIRECT(""DVT_Laboratory!"" &amp; ADDRESS"&amp;"(LabLevel+3, DVTColumn)) / LabSpeed,
    remainingTime, SUM(INDIRECT(""DVT_Laboratory!"" &amp; ADDRESS(LabLevel+3, DVTColumn) &amp; "":"" &amp; ADDRESS(MaxOrTarget+2, DVTColumn))) / LabSpeed,
  BI114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4" s="1252"/>
      <c r="BM114" s="1252" t="str">
        <f>IFERROR(__xludf.DUMMYFUNCTION("""COMPUTED_VALUE"""),"")</f>
        <v/>
      </c>
      <c r="BN114" s="1222"/>
      <c r="BO114" s="1261"/>
    </row>
    <row r="115">
      <c r="A115" s="1222"/>
      <c r="B115" s="1262" t="s">
        <v>554</v>
      </c>
      <c r="C115" s="1317" t="s">
        <v>221</v>
      </c>
      <c r="D115" s="1280" t="str">
        <f>VLOOKUP(C115,'Remote Tier List'!A:D, 2, FALSE)</f>
        <v>S+</v>
      </c>
      <c r="E115" s="1281" t="str">
        <f>VLOOKUP(C115,'Remote Tier List'!A:D, 3, FALSE)</f>
        <v/>
      </c>
      <c r="F115" s="1284" t="str">
        <f>VLOOKUP(C115,'Remote Tier List'!A:D, 4, FALSE)</f>
        <v>Reduces RNG in perks by a lot</v>
      </c>
      <c r="G115" s="1245" t="b">
        <f t="shared" si="20"/>
        <v>1</v>
      </c>
      <c r="H115" s="1246" t="str">
        <f t="array" ref="H115:I115">LET(
  Lab, $C115,
  Mode, $AD$1,
  Level, VLOOKUP(Lab, MS_Labs_Array, 2, FALSE),
  Target, VLOOKUP(Lab, MS_Labs_Array, 3, FALSE),
  Max, VLOOKUP(Lab, MS_Labs_Array, 4, FALSE),
  Result,
    IF(
      AND(
        Mode &lt;&gt; "Never",
        Level &gt;= IF(OR(Target = "", Mode = "Max"), Max, Target)
      ),
      "Completed",
      ""
    ),
  HSTACK(
    IF(Result &lt;&gt; "", Result, $D115),
    IF(Result &lt;&gt; "", Result, IF($E115 = "", $D115, $E115))
  )
)</f>
        <v>Completed</v>
      </c>
      <c r="I115" s="1247" t="s">
        <v>551</v>
      </c>
      <c r="J115" s="1248" t="str">
        <f t="shared" si="21"/>
        <v>Reduces RNG in perks by a lot</v>
      </c>
      <c r="K115" s="1229"/>
      <c r="L115" s="1249"/>
      <c r="M115" s="1249"/>
      <c r="N115" s="1250" t="str">
        <f>IFERROR(__xludf.DUMMYFUNCTION("if(M115 &lt;&gt; """", 
  LET( 
    TargetLevel, VLOOKUP(M115,MS_Labs_Array,3,false),
    MaxLevel, VLOOKUP(M115,MS_Labs_Array,4,false),
    MaxOrTarget, IF(OR(TargetLevel = """",$AD$1 &lt;&gt; ""Target""), MaxLevel, TargetLevel),
    LabLevel, VLOOKUP(M115,MS_Labs_A"&amp;"rray,2,False),
    Levelprogress, LabLevel / MaxOrTarget,
    DVTColumn, MATCH(M115,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5" s="1251" t="str">
        <f>IFERROR(__xludf.DUMMYFUNCTION("if(M115 &lt;&gt; """", 
  LET(
    TargetLevel, VLOOKUP(M115,MS_Labs_Array,3,false),
    LabSpeed, (1 * REGEXEXTRACT($BH$1, ""[\d.-]+"")) * {IF(M115 =""Labs Speed"", 1+'Master Sheet'!$BK$5, LAB_SPEED_TOTAL())},
    MaxLevel, VLOOKUP(M115,MS_Labs_Array,4,false),"&amp;"
    MaxOrTarget, IF(OR(TargetLevel = """",$AD$1 &lt;&gt; ""Target""), MaxLevel, TargetLevel),
    LabLevel, VLOOKUP(M115,MS_Labs_Array,2,False),
    DVTColumn, MATCH(M115, DVT_Laboratory!$A$1:BO$1, 0),
    xextTime, INDIRECT(""DVT_Laboratory!"" &amp; ADDRESS(LabLe"&amp;"vel+3, DVTColumn)) / LabSpeed,
    remainingTime, SUM(INDIRECT(""DVT_Laboratory!"" &amp; ADDRESS(LabLevel+3, DVTColumn) &amp; "":"" &amp; ADDRESS(MaxOrTarget+2, DVTColumn))) / LabSpeed,
  M115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5" s="1249"/>
      <c r="Q115" s="1249"/>
      <c r="R115" s="1249"/>
      <c r="S115" s="1249"/>
      <c r="T115" s="1250" t="str">
        <f>IFERROR(__xludf.DUMMYFUNCTION("if(S115 &lt;&gt; """", 
  LET( 
    TargetLevel, VLOOKUP(S115,MS_Labs_Array,3,false),
    MaxLevel, VLOOKUP(S115,MS_Labs_Array,4,false),
    MaxOrTarget, IF(OR(TargetLevel = """",$AD$1 &lt;&gt; ""Target""), MaxLevel, TargetLevel),
    LabLevel, VLOOKUP(S115,MS_Labs_A"&amp;"rray,2,False),
    Levelprogress, LabLevel / MaxOrTarget,
    DVTColumn, MATCH(S115,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5" s="1251" t="str">
        <f>IFERROR(__xludf.DUMMYFUNCTION("if(S115 &lt;&gt; """", 
  LET(
    TargetLevel, VLOOKUP(S115,MS_Labs_Array,3,false),
    LabSpeed, (1 * REGEXEXTRACT($BH$1, ""[\d.-]+"")) * {IF(S115 =""Labs Speed"", 1+'Master Sheet'!$BK$5, LAB_SPEED_TOTAL())},
    MaxLevel, VLOOKUP(S115,MS_Labs_Array,4,false),"&amp;"
    MaxOrTarget, IF(OR(TargetLevel = """",$AD$1 &lt;&gt; ""Target""), MaxLevel, TargetLevel),
    LabLevel, VLOOKUP(S115,MS_Labs_Array,2,False),
    DVTColumn, MATCH(S115, DVT_Laboratory!$A$1:BO$1, 0),
    xextTime, INDIRECT(""DVT_Laboratory!"" &amp; ADDRESS(LabLe"&amp;"vel+3, DVTColumn)) / LabSpeed,
    remainingTime, SUM(INDIRECT(""DVT_Laboratory!"" &amp; ADDRESS(LabLevel+3, DVTColumn) &amp; "":"" &amp; ADDRESS(MaxOrTarget+2, DVTColumn))) / LabSpeed,
  S115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5" s="1249"/>
      <c r="W115" s="1249"/>
      <c r="X115" s="1249"/>
      <c r="Y115" s="1249"/>
      <c r="Z115" s="1250" t="str">
        <f>IFERROR(__xludf.DUMMYFUNCTION("if(Y115 &lt;&gt; """", 
  LET( 
    TargetLevel, VLOOKUP(Y115,MS_Labs_Array,3,false),
    MaxLevel, VLOOKUP(Y115,MS_Labs_Array,4,false),
    MaxOrTarget, IF(OR(TargetLevel = """",$AD$1 &lt;&gt; ""Target""), MaxLevel, TargetLevel),
    LabLevel, VLOOKUP(Y115,MS_Labs_A"&amp;"rray,2,False),
    Levelprogress, LabLevel / MaxOrTarget,
    DVTColumn, MATCH(Y115,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5" s="1251" t="str">
        <f>IFERROR(__xludf.DUMMYFUNCTION("if(Y115 &lt;&gt; """", 
  LET(
    TargetLevel, VLOOKUP(Y115,MS_Labs_Array,3,false),
    LabSpeed, (1 * REGEXEXTRACT($BH$1, ""[\d.-]+"")) * {IF(Y115 =""Labs Speed"", 1+'Master Sheet'!$BK$5, LAB_SPEED_TOTAL())},
    MaxLevel, VLOOKUP(Y115,MS_Labs_Array,4,false),"&amp;"
    MaxOrTarget, IF(OR(TargetLevel = """",$AD$1 &lt;&gt; ""Target""), MaxLevel, TargetLevel),
    LabLevel, VLOOKUP(Y115,MS_Labs_Array,2,False),
    DVTColumn, MATCH(Y115, DVT_Laboratory!$A$1:BO$1, 0),
    xextTime, INDIRECT(""DVT_Laboratory!"" &amp; ADDRESS(LabLe"&amp;"vel+3, DVTColumn)) / LabSpeed,
    remainingTime, SUM(INDIRECT(""DVT_Laboratory!"" &amp; ADDRESS(LabLevel+3, DVTColumn) &amp; "":"" &amp; ADDRESS(MaxOrTarget+2, DVTColumn))) / LabSpeed,
  Y115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5" s="1249"/>
      <c r="AC115" s="1249"/>
      <c r="AD115" s="1249"/>
      <c r="AE115" s="1249"/>
      <c r="AF115" s="1250" t="str">
        <f>IFERROR(__xludf.DUMMYFUNCTION("if(AE115 &lt;&gt; """", 
  LET( 
    TargetLevel, VLOOKUP(AE115,MS_Labs_Array,3,false),
    MaxLevel, VLOOKUP(AE115,MS_Labs_Array,4,false),
    MaxOrTarget, IF(OR(TargetLevel = """",$AD$1 &lt;&gt; ""Target""), MaxLevel, TargetLevel),
    LabLevel, VLOOKUP(AE115,MS_La"&amp;"bs_Array,2,False),
    Levelprogress, LabLevel / MaxOrTarget,
    DVTColumn, MATCH(AE115,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5" s="1251" t="str">
        <f>IFERROR(__xludf.DUMMYFUNCTION("if(AE115 &lt;&gt; """", 
  LET(
    TargetLevel, VLOOKUP(AE115,MS_Labs_Array,3,false),
    LabSpeed, (1 * REGEXEXTRACT($BH$1, ""[\d.-]+"")) * {IF(AE115 =""Labs Speed"", 1+'Master Sheet'!$BK$5, LAB_SPEED_TOTAL())},
    MaxLevel, VLOOKUP(AE115,MS_Labs_Array,4,fal"&amp;"se),
    MaxOrTarget, IF(OR(TargetLevel = """",$AD$1 &lt;&gt; ""Target""), MaxLevel, TargetLevel),
    LabLevel, VLOOKUP(AE115,MS_Labs_Array,2,False),
    DVTColumn, MATCH(AE115, DVT_Laboratory!$A$1:BO$1, 0),
    xextTime, INDIRECT(""DVT_Laboratory!"" &amp; ADDRESS"&amp;"(LabLevel+3, DVTColumn)) / LabSpeed,
    remainingTime, SUM(INDIRECT(""DVT_Laboratory!"" &amp; ADDRESS(LabLevel+3, DVTColumn) &amp; "":"" &amp; ADDRESS(MaxOrTarget+2, DVTColumn))) / LabSpeed,
  AE115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5" s="1249"/>
      <c r="AI115" s="1249"/>
      <c r="AJ115" s="1249"/>
      <c r="AK115" s="1249"/>
      <c r="AL115" s="1250" t="str">
        <f>IFERROR(__xludf.DUMMYFUNCTION("if(AK115 &lt;&gt; """", 
  LET( 
    TargetLevel, VLOOKUP(AK115,MS_Labs_Array,3,false),
    MaxLevel, VLOOKUP(AK115,MS_Labs_Array,4,false),
    MaxOrTarget, IF(OR(TargetLevel = """",$AD$1 &lt;&gt; ""Target""), MaxLevel, TargetLevel),
    LabLevel, VLOOKUP(AK115,MS_La"&amp;"bs_Array,2,False),
    Levelprogress, LabLevel / MaxOrTarget,
    DVTColumn, MATCH(AK115,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5" s="1251" t="str">
        <f>IFERROR(__xludf.DUMMYFUNCTION("if(AK115 &lt;&gt; """", 
  LET(
    TargetLevel, VLOOKUP(AK115,MS_Labs_Array,3,false),
    LabSpeed, (1 * REGEXEXTRACT($BH$1, ""[\d.-]+"")) * {IF(AK115 =""Labs Speed"", 1+'Master Sheet'!$BK$5, LAB_SPEED_TOTAL())},
    MaxLevel, VLOOKUP(AK115,MS_Labs_Array,4,fal"&amp;"se),
    MaxOrTarget, IF(OR(TargetLevel = """",$AD$1 &lt;&gt; ""Target""), MaxLevel, TargetLevel),
    LabLevel, VLOOKUP(AK115,MS_Labs_Array,2,False),
    DVTColumn, MATCH(AK115, DVT_Laboratory!$A$1:BO$1, 0),
    xextTime, INDIRECT(""DVT_Laboratory!"" &amp; ADDRESS"&amp;"(LabLevel+3, DVTColumn)) / LabSpeed,
    remainingTime, SUM(INDIRECT(""DVT_Laboratory!"" &amp; ADDRESS(LabLevel+3, DVTColumn) &amp; "":"" &amp; ADDRESS(MaxOrTarget+2, DVTColumn))) / LabSpeed,
  AK115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5" s="1249"/>
      <c r="AO115" s="1249"/>
      <c r="AP115" s="1249"/>
      <c r="AQ115" s="1249"/>
      <c r="AR115" s="1250" t="str">
        <f>IFERROR(__xludf.DUMMYFUNCTION("if(AQ115 &lt;&gt; """", 
  LET( 
    TargetLevel, VLOOKUP(AQ115,MS_Labs_Array,3,false),
    MaxLevel, VLOOKUP(AQ115,MS_Labs_Array,4,false),
    MaxOrTarget, IF(OR(TargetLevel = """",$AD$1 &lt;&gt; ""Target""), MaxLevel, TargetLevel),
    LabLevel, VLOOKUP(AQ115,MS_La"&amp;"bs_Array,2,False),
    Levelprogress, LabLevel / MaxOrTarget,
    DVTColumn, MATCH(AQ115,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5" s="1251" t="str">
        <f>IFERROR(__xludf.DUMMYFUNCTION("if(AQ115 &lt;&gt; """", 
  LET(
    TargetLevel, VLOOKUP(AQ115,MS_Labs_Array,3,false),
    LabSpeed, (1 * REGEXEXTRACT($BH$1, ""[\d.-]+"")) * {IF(AQ115 =""Labs Speed"", 1+'Master Sheet'!$BK$5, LAB_SPEED_TOTAL())},
    MaxLevel, VLOOKUP(AQ115,MS_Labs_Array,4,fal"&amp;"se),
    MaxOrTarget, IF(OR(TargetLevel = """",$AD$1 &lt;&gt; ""Target""), MaxLevel, TargetLevel),
    LabLevel, VLOOKUP(AQ115,MS_Labs_Array,2,False),
    DVTColumn, MATCH(AQ115, DVT_Laboratory!$A$1:BO$1, 0),
    xextTime, INDIRECT(""DVT_Laboratory!"" &amp; ADDRESS"&amp;"(LabLevel+3, DVTColumn)) / LabSpeed,
    remainingTime, SUM(INDIRECT(""DVT_Laboratory!"" &amp; ADDRESS(LabLevel+3, DVTColumn) &amp; "":"" &amp; ADDRESS(MaxOrTarget+2, DVTColumn))) / LabSpeed,
  AQ115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5" s="1249"/>
      <c r="AU115" s="1249"/>
      <c r="AV115" s="1249"/>
      <c r="AW115" s="1249"/>
      <c r="AX115" s="1250" t="str">
        <f>IFERROR(__xludf.DUMMYFUNCTION("if(AW115 &lt;&gt; """", 
  LET( 
    TargetLevel, VLOOKUP(AW115,MS_Labs_Array,3,false),
    MaxLevel, VLOOKUP(AW115,MS_Labs_Array,4,false),
    MaxOrTarget, IF(OR(TargetLevel = """",$AD$1 &lt;&gt; ""Target""), MaxLevel, TargetLevel),
    LabLevel, VLOOKUP(AW115,MS_La"&amp;"bs_Array,2,False),
    Levelprogress, LabLevel / MaxOrTarget,
    DVTColumn, MATCH(AW115,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5" s="1251" t="str">
        <f>IFERROR(__xludf.DUMMYFUNCTION("if(AW115 &lt;&gt; """", 
  LET(
    TargetLevel, VLOOKUP(AW115,MS_Labs_Array,3,false),
    LabSpeed, (1 * REGEXEXTRACT($BH$1, ""[\d.-]+"")) * {IF(AW115 =""Labs Speed"", 1+'Master Sheet'!$BK$5, LAB_SPEED_TOTAL())},
    MaxLevel, VLOOKUP(AW115,MS_Labs_Array,4,fal"&amp;"se),
    MaxOrTarget, IF(OR(TargetLevel = """",$AD$1 &lt;&gt; ""Target""), MaxLevel, TargetLevel),
    LabLevel, VLOOKUP(AW115,MS_Labs_Array,2,False),
    DVTColumn, MATCH(AW115, DVT_Laboratory!$A$1:BO$1, 0),
    xextTime, INDIRECT(""DVT_Laboratory!"" &amp; ADDRESS"&amp;"(LabLevel+3, DVTColumn)) / LabSpeed,
    remainingTime, SUM(INDIRECT(""DVT_Laboratory!"" &amp; ADDRESS(LabLevel+3, DVTColumn) &amp; "":"" &amp; ADDRESS(MaxOrTarget+2, DVTColumn))) / LabSpeed,
  AW115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5" s="1249"/>
      <c r="BA115" s="1249"/>
      <c r="BB115" s="1249"/>
      <c r="BC115" s="1249"/>
      <c r="BD115" s="1250" t="str">
        <f>IFERROR(__xludf.DUMMYFUNCTION("if(BC115 &lt;&gt; """", 
  LET( 
    TargetLevel, VLOOKUP(BC115,MS_Labs_Array,3,false),
    MaxLevel, VLOOKUP(BC115,MS_Labs_Array,4,false),
    MaxOrTarget, IF(OR(TargetLevel = """",$AD$1 &lt;&gt; ""Target""), MaxLevel, TargetLevel),
    LabLevel, VLOOKUP(BC115,MS_La"&amp;"bs_Array,2,False),
    Levelprogress, LabLevel / MaxOrTarget,
    DVTColumn, MATCH(BC115,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5" s="1251" t="str">
        <f>IFERROR(__xludf.DUMMYFUNCTION("if(BC115 &lt;&gt; """", 
  LET(
    TargetLevel, VLOOKUP(BC115,MS_Labs_Array,3,false),
    LabSpeed, (1 * REGEXEXTRACT($BH$1, ""[\d.-]+"")) * {IF(BC115 =""Labs Speed"", 1+'Master Sheet'!$BK$5, LAB_SPEED_TOTAL())},
    MaxLevel, VLOOKUP(BC115,MS_Labs_Array,4,fal"&amp;"se),
    MaxOrTarget, IF(OR(TargetLevel = """",$AD$1 &lt;&gt; ""Target""), MaxLevel, TargetLevel),
    LabLevel, VLOOKUP(BC115,MS_Labs_Array,2,False),
    DVTColumn, MATCH(BC115, DVT_Laboratory!$A$1:BO$1, 0),
    xextTime, INDIRECT(""DVT_Laboratory!"" &amp; ADDRESS"&amp;"(LabLevel+3, DVTColumn)) / LabSpeed,
    remainingTime, SUM(INDIRECT(""DVT_Laboratory!"" &amp; ADDRESS(LabLevel+3, DVTColumn) &amp; "":"" &amp; ADDRESS(MaxOrTarget+2, DVTColumn))) / LabSpeed,
  BC115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5" s="1249"/>
      <c r="BG115" s="1249"/>
      <c r="BH115" s="1260"/>
      <c r="BI115" s="1252"/>
      <c r="BJ115" s="1253" t="str">
        <f>IFERROR(__xludf.DUMMYFUNCTION("if(BI115 &lt;&gt; """", 
  LET( 
    TargetLevel, VLOOKUP(BI115,MS_Labs_Array,3,false),
    MaxLevel, VLOOKUP(BI115,MS_Labs_Array,4,false),
    MaxOrTarget, IF(OR(TargetLevel = """",$AD$1 &lt;&gt; ""Target""), MaxLevel, TargetLevel),
    LabLevel, VLOOKUP(BI115,MS_La"&amp;"bs_Array,2,False),
    Levelprogress, IF(LabLevel &gt;= MaxOrTarget, 1, LabLevel / MaxOrTarget),
    DVTColumn, MATCH(BI115,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5" s="1254" t="str">
        <f>IFERROR(__xludf.DUMMYFUNCTION("if(BI115 &lt;&gt; """", 
  LET(
    TargetLevel, VLOOKUP(BI115,MS_Labs_Array,3,false),
    LabSpeed, (1 * REGEXEXTRACT($BH$1, ""[\d.-]+"")) * {IF(BI115 =""Labs Speed"", 1+'Master Sheet'!$BK$5, LAB_SPEED_TOTAL())},
    MaxLevel, VLOOKUP(BI115,MS_Labs_Array,4,fal"&amp;"se),
    MaxOrTarget, IF(OR(TargetLevel = """",$AD$1 &lt;&gt; ""Target""), MaxLevel, TargetLevel),
    LabLevel, VLOOKUP(BI115,MS_Labs_Array,2,False),
    DVTColumn, MATCH(BI115, DVT_Laboratory!$A$1:BO$1, 0),
    xextTime, INDIRECT(""DVT_Laboratory!"" &amp; ADDRESS"&amp;"(LabLevel+3, DVTColumn)) / LabSpeed,
    remainingTime, SUM(INDIRECT(""DVT_Laboratory!"" &amp; ADDRESS(LabLevel+3, DVTColumn) &amp; "":"" &amp; ADDRESS(MaxOrTarget+2, DVTColumn))) / LabSpeed,
  BI115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5" s="1252"/>
      <c r="BM115" s="1252"/>
      <c r="BN115" s="1222"/>
      <c r="BO115" s="1261"/>
    </row>
    <row r="116" ht="7.5" customHeight="1">
      <c r="A116" s="1222"/>
      <c r="B116" s="1262" t="s">
        <v>553</v>
      </c>
      <c r="C116" s="1317" t="s">
        <v>233</v>
      </c>
      <c r="D116" s="1280" t="str">
        <f>VLOOKUP(C116,'Remote Tier List'!A:D, 2, FALSE)</f>
        <v>S+</v>
      </c>
      <c r="E116" s="1281" t="str">
        <f>VLOOKUP(C116,'Remote Tier List'!A:D, 3, FALSE)</f>
        <v/>
      </c>
      <c r="F116" s="1284" t="str">
        <f>VLOOKUP(C116,'Remote Tier List'!A:D, 4, FALSE)</f>
        <v>Guarantees you can get PWR first in farm runs</v>
      </c>
      <c r="G116" s="1245" t="b">
        <f t="shared" si="20"/>
        <v>1</v>
      </c>
      <c r="H116" s="1246" t="str">
        <f t="array" ref="H116:I116">LET(
  Lab, $C116,
  Mode, $AD$1,
  Level, VLOOKUP(Lab, MS_Labs_Array, 2, FALSE),
  Target, VLOOKUP(Lab, MS_Labs_Array, 3, FALSE),
  Max, VLOOKUP(Lab, MS_Labs_Array, 4, FALSE),
  Result,
    IF(
      AND(
        Mode &lt;&gt; "Never",
        Level &gt;= IF(OR(Target = "", Mode = "Max"), Max, Target)
      ),
      "Completed",
      ""
    ),
  HSTACK(
    IF(Result &lt;&gt; "", Result, $D116),
    IF(Result &lt;&gt; "", Result, IF($E116 = "", $D116, $E116))
  )
)</f>
        <v>Completed</v>
      </c>
      <c r="I116" s="1247" t="s">
        <v>551</v>
      </c>
      <c r="J116" s="1248" t="str">
        <f t="shared" si="21"/>
        <v>Guarantees you can get PWR first in farm runs</v>
      </c>
      <c r="K116" s="1229"/>
      <c r="L116" s="1249" t="str">
        <f>IFERROR(__xludf.DUMMYFUNCTION("""COMPUTED_VALUE"""),"")</f>
        <v/>
      </c>
      <c r="M116" s="1249"/>
      <c r="N116" s="1250" t="str">
        <f>IFERROR(__xludf.DUMMYFUNCTION("if(M116 &lt;&gt; """", 
  LET( 
    TargetLevel, VLOOKUP(M116,MS_Labs_Array,3,false),
    MaxLevel, VLOOKUP(M116,MS_Labs_Array,4,false),
    MaxOrTarget, IF(OR(TargetLevel = """",$AD$1 &lt;&gt; ""Target""), MaxLevel, TargetLevel),
    LabLevel, VLOOKUP(M116,MS_Labs_A"&amp;"rray,2,False),
    Levelprogress, LabLevel / MaxOrTarget,
    DVTColumn, MATCH(M116,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6" s="1251" t="str">
        <f>IFERROR(__xludf.DUMMYFUNCTION("if(M116 &lt;&gt; """", 
  LET(
    TargetLevel, VLOOKUP(M116,MS_Labs_Array,3,false),
    LabSpeed, (1 * REGEXEXTRACT($BH$1, ""[\d.-]+"")) * {IF(M116 =""Labs Speed"", 1+'Master Sheet'!$BK$5, LAB_SPEED_TOTAL())},
    MaxLevel, VLOOKUP(M116,MS_Labs_Array,4,false),"&amp;"
    MaxOrTarget, IF(OR(TargetLevel = """",$AD$1 &lt;&gt; ""Target""), MaxLevel, TargetLevel),
    LabLevel, VLOOKUP(M116,MS_Labs_Array,2,False),
    DVTColumn, MATCH(M116, DVT_Laboratory!$A$1:BO$1, 0),
    xextTime, INDIRECT(""DVT_Laboratory!"" &amp; ADDRESS(LabLe"&amp;"vel+3, DVTColumn)) / LabSpeed,
    remainingTime, SUM(INDIRECT(""DVT_Laboratory!"" &amp; ADDRESS(LabLevel+3, DVTColumn) &amp; "":"" &amp; ADDRESS(MaxOrTarget+2, DVTColumn))) / LabSpeed,
  M116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6" s="1249"/>
      <c r="Q116" s="1249" t="str">
        <f>IFERROR(__xludf.DUMMYFUNCTION("""COMPUTED_VALUE"""),"")</f>
        <v/>
      </c>
      <c r="R116" s="1249" t="str">
        <f>IFERROR(__xludf.DUMMYFUNCTION("""COMPUTED_VALUE"""),"")</f>
        <v/>
      </c>
      <c r="S116" s="1249"/>
      <c r="T116" s="1250" t="str">
        <f>IFERROR(__xludf.DUMMYFUNCTION("if(S116 &lt;&gt; """", 
  LET( 
    TargetLevel, VLOOKUP(S116,MS_Labs_Array,3,false),
    MaxLevel, VLOOKUP(S116,MS_Labs_Array,4,false),
    MaxOrTarget, IF(OR(TargetLevel = """",$AD$1 &lt;&gt; ""Target""), MaxLevel, TargetLevel),
    LabLevel, VLOOKUP(S116,MS_Labs_A"&amp;"rray,2,False),
    Levelprogress, LabLevel / MaxOrTarget,
    DVTColumn, MATCH(S116,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6" s="1251" t="str">
        <f>IFERROR(__xludf.DUMMYFUNCTION("if(S116 &lt;&gt; """", 
  LET(
    TargetLevel, VLOOKUP(S116,MS_Labs_Array,3,false),
    LabSpeed, (1 * REGEXEXTRACT($BH$1, ""[\d.-]+"")) * {IF(S116 =""Labs Speed"", 1+'Master Sheet'!$BK$5, LAB_SPEED_TOTAL())},
    MaxLevel, VLOOKUP(S116,MS_Labs_Array,4,false),"&amp;"
    MaxOrTarget, IF(OR(TargetLevel = """",$AD$1 &lt;&gt; ""Target""), MaxLevel, TargetLevel),
    LabLevel, VLOOKUP(S116,MS_Labs_Array,2,False),
    DVTColumn, MATCH(S116, DVT_Laboratory!$A$1:BO$1, 0),
    xextTime, INDIRECT(""DVT_Laboratory!"" &amp; ADDRESS(LabLe"&amp;"vel+3, DVTColumn)) / LabSpeed,
    remainingTime, SUM(INDIRECT(""DVT_Laboratory!"" &amp; ADDRESS(LabLevel+3, DVTColumn) &amp; "":"" &amp; ADDRESS(MaxOrTarget+2, DVTColumn))) / LabSpeed,
  S116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6" s="1249"/>
      <c r="W116" s="1249" t="str">
        <f>IFERROR(__xludf.DUMMYFUNCTION("""COMPUTED_VALUE"""),"")</f>
        <v/>
      </c>
      <c r="X116" s="1249" t="str">
        <f>IFERROR(__xludf.DUMMYFUNCTION("""COMPUTED_VALUE"""),"")</f>
        <v/>
      </c>
      <c r="Y116" s="1249"/>
      <c r="Z116" s="1250" t="str">
        <f>IFERROR(__xludf.DUMMYFUNCTION("if(Y116 &lt;&gt; """", 
  LET( 
    TargetLevel, VLOOKUP(Y116,MS_Labs_Array,3,false),
    MaxLevel, VLOOKUP(Y116,MS_Labs_Array,4,false),
    MaxOrTarget, IF(OR(TargetLevel = """",$AD$1 &lt;&gt; ""Target""), MaxLevel, TargetLevel),
    LabLevel, VLOOKUP(Y116,MS_Labs_A"&amp;"rray,2,False),
    Levelprogress, LabLevel / MaxOrTarget,
    DVTColumn, MATCH(Y116,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6" s="1251" t="str">
        <f>IFERROR(__xludf.DUMMYFUNCTION("if(Y116 &lt;&gt; """", 
  LET(
    TargetLevel, VLOOKUP(Y116,MS_Labs_Array,3,false),
    LabSpeed, (1 * REGEXEXTRACT($BH$1, ""[\d.-]+"")) * {IF(Y116 =""Labs Speed"", 1+'Master Sheet'!$BK$5, LAB_SPEED_TOTAL())},
    MaxLevel, VLOOKUP(Y116,MS_Labs_Array,4,false),"&amp;"
    MaxOrTarget, IF(OR(TargetLevel = """",$AD$1 &lt;&gt; ""Target""), MaxLevel, TargetLevel),
    LabLevel, VLOOKUP(Y116,MS_Labs_Array,2,False),
    DVTColumn, MATCH(Y116, DVT_Laboratory!$A$1:BO$1, 0),
    xextTime, INDIRECT(""DVT_Laboratory!"" &amp; ADDRESS(LabLe"&amp;"vel+3, DVTColumn)) / LabSpeed,
    remainingTime, SUM(INDIRECT(""DVT_Laboratory!"" &amp; ADDRESS(LabLevel+3, DVTColumn) &amp; "":"" &amp; ADDRESS(MaxOrTarget+2, DVTColumn))) / LabSpeed,
  Y116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6" s="1249"/>
      <c r="AC116" s="1249" t="str">
        <f>IFERROR(__xludf.DUMMYFUNCTION("""COMPUTED_VALUE"""),"")</f>
        <v/>
      </c>
      <c r="AD116" s="1249" t="str">
        <f>IFERROR(__xludf.DUMMYFUNCTION("""COMPUTED_VALUE"""),"")</f>
        <v/>
      </c>
      <c r="AE116" s="1249"/>
      <c r="AF116" s="1250" t="str">
        <f>IFERROR(__xludf.DUMMYFUNCTION("if(AE116 &lt;&gt; """", 
  LET( 
    TargetLevel, VLOOKUP(AE116,MS_Labs_Array,3,false),
    MaxLevel, VLOOKUP(AE116,MS_Labs_Array,4,false),
    MaxOrTarget, IF(OR(TargetLevel = """",$AD$1 &lt;&gt; ""Target""), MaxLevel, TargetLevel),
    LabLevel, VLOOKUP(AE116,MS_La"&amp;"bs_Array,2,False),
    Levelprogress, LabLevel / MaxOrTarget,
    DVTColumn, MATCH(AE116,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6" s="1251" t="str">
        <f>IFERROR(__xludf.DUMMYFUNCTION("if(AE116 &lt;&gt; """", 
  LET(
    TargetLevel, VLOOKUP(AE116,MS_Labs_Array,3,false),
    LabSpeed, (1 * REGEXEXTRACT($BH$1, ""[\d.-]+"")) * {IF(AE116 =""Labs Speed"", 1+'Master Sheet'!$BK$5, LAB_SPEED_TOTAL())},
    MaxLevel, VLOOKUP(AE116,MS_Labs_Array,4,fal"&amp;"se),
    MaxOrTarget, IF(OR(TargetLevel = """",$AD$1 &lt;&gt; ""Target""), MaxLevel, TargetLevel),
    LabLevel, VLOOKUP(AE116,MS_Labs_Array,2,False),
    DVTColumn, MATCH(AE116, DVT_Laboratory!$A$1:BO$1, 0),
    xextTime, INDIRECT(""DVT_Laboratory!"" &amp; ADDRESS"&amp;"(LabLevel+3, DVTColumn)) / LabSpeed,
    remainingTime, SUM(INDIRECT(""DVT_Laboratory!"" &amp; ADDRESS(LabLevel+3, DVTColumn) &amp; "":"" &amp; ADDRESS(MaxOrTarget+2, DVTColumn))) / LabSpeed,
  AE116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6" s="1249"/>
      <c r="AI116" s="1249" t="str">
        <f>IFERROR(__xludf.DUMMYFUNCTION("""COMPUTED_VALUE"""),"")</f>
        <v/>
      </c>
      <c r="AJ116" s="1249" t="str">
        <f>IFERROR(__xludf.DUMMYFUNCTION("""COMPUTED_VALUE"""),"")</f>
        <v/>
      </c>
      <c r="AK116" s="1249"/>
      <c r="AL116" s="1250" t="str">
        <f>IFERROR(__xludf.DUMMYFUNCTION("if(AK116 &lt;&gt; """", 
  LET( 
    TargetLevel, VLOOKUP(AK116,MS_Labs_Array,3,false),
    MaxLevel, VLOOKUP(AK116,MS_Labs_Array,4,false),
    MaxOrTarget, IF(OR(TargetLevel = """",$AD$1 &lt;&gt; ""Target""), MaxLevel, TargetLevel),
    LabLevel, VLOOKUP(AK116,MS_La"&amp;"bs_Array,2,False),
    Levelprogress, LabLevel / MaxOrTarget,
    DVTColumn, MATCH(AK116,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6" s="1251" t="str">
        <f>IFERROR(__xludf.DUMMYFUNCTION("if(AK116 &lt;&gt; """", 
  LET(
    TargetLevel, VLOOKUP(AK116,MS_Labs_Array,3,false),
    LabSpeed, (1 * REGEXEXTRACT($BH$1, ""[\d.-]+"")) * {IF(AK116 =""Labs Speed"", 1+'Master Sheet'!$BK$5, LAB_SPEED_TOTAL())},
    MaxLevel, VLOOKUP(AK116,MS_Labs_Array,4,fal"&amp;"se),
    MaxOrTarget, IF(OR(TargetLevel = """",$AD$1 &lt;&gt; ""Target""), MaxLevel, TargetLevel),
    LabLevel, VLOOKUP(AK116,MS_Labs_Array,2,False),
    DVTColumn, MATCH(AK116, DVT_Laboratory!$A$1:BO$1, 0),
    xextTime, INDIRECT(""DVT_Laboratory!"" &amp; ADDRESS"&amp;"(LabLevel+3, DVTColumn)) / LabSpeed,
    remainingTime, SUM(INDIRECT(""DVT_Laboratory!"" &amp; ADDRESS(LabLevel+3, DVTColumn) &amp; "":"" &amp; ADDRESS(MaxOrTarget+2, DVTColumn))) / LabSpeed,
  AK116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6" s="1249"/>
      <c r="AO116" s="1249" t="str">
        <f>IFERROR(__xludf.DUMMYFUNCTION("""COMPUTED_VALUE"""),"")</f>
        <v/>
      </c>
      <c r="AP116" s="1249" t="str">
        <f>IFERROR(__xludf.DUMMYFUNCTION("""COMPUTED_VALUE"""),"")</f>
        <v/>
      </c>
      <c r="AQ116" s="1249"/>
      <c r="AR116" s="1250" t="str">
        <f>IFERROR(__xludf.DUMMYFUNCTION("if(AQ116 &lt;&gt; """", 
  LET( 
    TargetLevel, VLOOKUP(AQ116,MS_Labs_Array,3,false),
    MaxLevel, VLOOKUP(AQ116,MS_Labs_Array,4,false),
    MaxOrTarget, IF(OR(TargetLevel = """",$AD$1 &lt;&gt; ""Target""), MaxLevel, TargetLevel),
    LabLevel, VLOOKUP(AQ116,MS_La"&amp;"bs_Array,2,False),
    Levelprogress, LabLevel / MaxOrTarget,
    DVTColumn, MATCH(AQ116,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6" s="1251" t="str">
        <f>IFERROR(__xludf.DUMMYFUNCTION("if(AQ116 &lt;&gt; """", 
  LET(
    TargetLevel, VLOOKUP(AQ116,MS_Labs_Array,3,false),
    LabSpeed, (1 * REGEXEXTRACT($BH$1, ""[\d.-]+"")) * {IF(AQ116 =""Labs Speed"", 1+'Master Sheet'!$BK$5, LAB_SPEED_TOTAL())},
    MaxLevel, VLOOKUP(AQ116,MS_Labs_Array,4,fal"&amp;"se),
    MaxOrTarget, IF(OR(TargetLevel = """",$AD$1 &lt;&gt; ""Target""), MaxLevel, TargetLevel),
    LabLevel, VLOOKUP(AQ116,MS_Labs_Array,2,False),
    DVTColumn, MATCH(AQ116, DVT_Laboratory!$A$1:BO$1, 0),
    xextTime, INDIRECT(""DVT_Laboratory!"" &amp; ADDRESS"&amp;"(LabLevel+3, DVTColumn)) / LabSpeed,
    remainingTime, SUM(INDIRECT(""DVT_Laboratory!"" &amp; ADDRESS(LabLevel+3, DVTColumn) &amp; "":"" &amp; ADDRESS(MaxOrTarget+2, DVTColumn))) / LabSpeed,
  AQ116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6" s="1249"/>
      <c r="AU116" s="1249" t="str">
        <f>IFERROR(__xludf.DUMMYFUNCTION("""COMPUTED_VALUE"""),"")</f>
        <v/>
      </c>
      <c r="AV116" s="1249" t="str">
        <f>IFERROR(__xludf.DUMMYFUNCTION("""COMPUTED_VALUE"""),"")</f>
        <v/>
      </c>
      <c r="AW116" s="1249"/>
      <c r="AX116" s="1250" t="str">
        <f>IFERROR(__xludf.DUMMYFUNCTION("if(AW116 &lt;&gt; """", 
  LET( 
    TargetLevel, VLOOKUP(AW116,MS_Labs_Array,3,false),
    MaxLevel, VLOOKUP(AW116,MS_Labs_Array,4,false),
    MaxOrTarget, IF(OR(TargetLevel = """",$AD$1 &lt;&gt; ""Target""), MaxLevel, TargetLevel),
    LabLevel, VLOOKUP(AW116,MS_La"&amp;"bs_Array,2,False),
    Levelprogress, LabLevel / MaxOrTarget,
    DVTColumn, MATCH(AW116,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6" s="1251" t="str">
        <f>IFERROR(__xludf.DUMMYFUNCTION("if(AW116 &lt;&gt; """", 
  LET(
    TargetLevel, VLOOKUP(AW116,MS_Labs_Array,3,false),
    LabSpeed, (1 * REGEXEXTRACT($BH$1, ""[\d.-]+"")) * {IF(AW116 =""Labs Speed"", 1+'Master Sheet'!$BK$5, LAB_SPEED_TOTAL())},
    MaxLevel, VLOOKUP(AW116,MS_Labs_Array,4,fal"&amp;"se),
    MaxOrTarget, IF(OR(TargetLevel = """",$AD$1 &lt;&gt; ""Target""), MaxLevel, TargetLevel),
    LabLevel, VLOOKUP(AW116,MS_Labs_Array,2,False),
    DVTColumn, MATCH(AW116, DVT_Laboratory!$A$1:BO$1, 0),
    xextTime, INDIRECT(""DVT_Laboratory!"" &amp; ADDRESS"&amp;"(LabLevel+3, DVTColumn)) / LabSpeed,
    remainingTime, SUM(INDIRECT(""DVT_Laboratory!"" &amp; ADDRESS(LabLevel+3, DVTColumn) &amp; "":"" &amp; ADDRESS(MaxOrTarget+2, DVTColumn))) / LabSpeed,
  AW116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6" s="1249"/>
      <c r="BA116" s="1249" t="str">
        <f>IFERROR(__xludf.DUMMYFUNCTION("""COMPUTED_VALUE"""),"")</f>
        <v/>
      </c>
      <c r="BB116" s="1249" t="str">
        <f>IFERROR(__xludf.DUMMYFUNCTION("""COMPUTED_VALUE"""),"")</f>
        <v/>
      </c>
      <c r="BC116" s="1249"/>
      <c r="BD116" s="1250" t="str">
        <f>IFERROR(__xludf.DUMMYFUNCTION("if(BC116 &lt;&gt; """", 
  LET( 
    TargetLevel, VLOOKUP(BC116,MS_Labs_Array,3,false),
    MaxLevel, VLOOKUP(BC116,MS_Labs_Array,4,false),
    MaxOrTarget, IF(OR(TargetLevel = """",$AD$1 &lt;&gt; ""Target""), MaxLevel, TargetLevel),
    LabLevel, VLOOKUP(BC116,MS_La"&amp;"bs_Array,2,False),
    Levelprogress, LabLevel / MaxOrTarget,
    DVTColumn, MATCH(BC116,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6" s="1251" t="str">
        <f>IFERROR(__xludf.DUMMYFUNCTION("if(BC116 &lt;&gt; """", 
  LET(
    TargetLevel, VLOOKUP(BC116,MS_Labs_Array,3,false),
    LabSpeed, (1 * REGEXEXTRACT($BH$1, ""[\d.-]+"")) * {IF(BC116 =""Labs Speed"", 1+'Master Sheet'!$BK$5, LAB_SPEED_TOTAL())},
    MaxLevel, VLOOKUP(BC116,MS_Labs_Array,4,fal"&amp;"se),
    MaxOrTarget, IF(OR(TargetLevel = """",$AD$1 &lt;&gt; ""Target""), MaxLevel, TargetLevel),
    LabLevel, VLOOKUP(BC116,MS_Labs_Array,2,False),
    DVTColumn, MATCH(BC116, DVT_Laboratory!$A$1:BO$1, 0),
    xextTime, INDIRECT(""DVT_Laboratory!"" &amp; ADDRESS"&amp;"(LabLevel+3, DVTColumn)) / LabSpeed,
    remainingTime, SUM(INDIRECT(""DVT_Laboratory!"" &amp; ADDRESS(LabLevel+3, DVTColumn) &amp; "":"" &amp; ADDRESS(MaxOrTarget+2, DVTColumn))) / LabSpeed,
  BC116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6" s="1249"/>
      <c r="BG116" s="1249" t="str">
        <f>IFERROR(__xludf.DUMMYFUNCTION("""COMPUTED_VALUE"""),"")</f>
        <v/>
      </c>
      <c r="BH116" s="1260" t="str">
        <f>IFERROR(__xludf.DUMMYFUNCTION("""COMPUTED_VALUE"""),"")</f>
        <v/>
      </c>
      <c r="BI116" s="1252"/>
      <c r="BJ116" s="1253" t="str">
        <f>IFERROR(__xludf.DUMMYFUNCTION("if(BI116 &lt;&gt; """", 
  LET( 
    TargetLevel, VLOOKUP(BI116,MS_Labs_Array,3,false),
    MaxLevel, VLOOKUP(BI116,MS_Labs_Array,4,false),
    MaxOrTarget, IF(OR(TargetLevel = """",$AD$1 &lt;&gt; ""Target""), MaxLevel, TargetLevel),
    LabLevel, VLOOKUP(BI116,MS_La"&amp;"bs_Array,2,False),
    Levelprogress, IF(LabLevel &gt;= MaxOrTarget, 1, LabLevel / MaxOrTarget),
    DVTColumn, MATCH(BI116,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6" s="1254" t="str">
        <f>IFERROR(__xludf.DUMMYFUNCTION("if(BI116 &lt;&gt; """", 
  LET(
    TargetLevel, VLOOKUP(BI116,MS_Labs_Array,3,false),
    LabSpeed, (1 * REGEXEXTRACT($BH$1, ""[\d.-]+"")) * {IF(BI116 =""Labs Speed"", 1+'Master Sheet'!$BK$5, LAB_SPEED_TOTAL())},
    MaxLevel, VLOOKUP(BI116,MS_Labs_Array,4,fal"&amp;"se),
    MaxOrTarget, IF(OR(TargetLevel = """",$AD$1 &lt;&gt; ""Target""), MaxLevel, TargetLevel),
    LabLevel, VLOOKUP(BI116,MS_Labs_Array,2,False),
    DVTColumn, MATCH(BI116, DVT_Laboratory!$A$1:BO$1, 0),
    xextTime, INDIRECT(""DVT_Laboratory!"" &amp; ADDRESS"&amp;"(LabLevel+3, DVTColumn)) / LabSpeed,
    remainingTime, SUM(INDIRECT(""DVT_Laboratory!"" &amp; ADDRESS(LabLevel+3, DVTColumn) &amp; "":"" &amp; ADDRESS(MaxOrTarget+2, DVTColumn))) / LabSpeed,
  BI116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6" s="1252"/>
      <c r="BM116" s="1252" t="str">
        <f>IFERROR(__xludf.DUMMYFUNCTION("""COMPUTED_VALUE"""),"")</f>
        <v/>
      </c>
      <c r="BN116" s="1222"/>
      <c r="BO116" s="1261"/>
    </row>
    <row r="117">
      <c r="A117" s="1222"/>
      <c r="B117" s="1262" t="s">
        <v>558</v>
      </c>
      <c r="C117" s="1317" t="s">
        <v>244</v>
      </c>
      <c r="D117" s="1280" t="str">
        <f>VLOOKUP(C117,'Remote Tier List'!A:D, 2, FALSE)</f>
        <v>A</v>
      </c>
      <c r="E117" s="1281" t="str">
        <f>VLOOKUP(C117,'Remote Tier List'!A:D, 3, FALSE)</f>
        <v/>
      </c>
      <c r="F117" s="1284" t="str">
        <f>VLOOKUP(C117,'Remote Tier List'!A:D, 4, FALSE)</f>
        <v>Allows you to ban perks that are useless or detrimental to your runs, do not ban Coin Trade Off</v>
      </c>
      <c r="G117" s="1245" t="b">
        <f t="shared" si="20"/>
        <v>1</v>
      </c>
      <c r="H117" s="1246" t="str">
        <f t="array" ref="H117:I117">LET(
  Lab, $C117,
  Mode, $AD$1,
  Level, VLOOKUP(Lab, MS_Labs_Array, 2, FALSE),
  Target, VLOOKUP(Lab, MS_Labs_Array, 3, FALSE),
  Max, VLOOKUP(Lab, MS_Labs_Array, 4, FALSE),
  Result,
    IF(
      AND(
        Mode &lt;&gt; "Never",
        Level &gt;= IF(OR(Target = "", Mode = "Max"), Max, Target)
      ),
      "Completed",
      ""
    ),
  HSTACK(
    IF(Result &lt;&gt; "", Result, $D117),
    IF(Result &lt;&gt; "", Result, IF($E117 = "", $D117, $E117))
  )
)</f>
        <v>A</v>
      </c>
      <c r="I117" s="1247" t="s">
        <v>545</v>
      </c>
      <c r="J117" s="1248" t="str">
        <f t="shared" si="21"/>
        <v>Allows you to ban perks that are useless or detrimental to your runs, do not ban Coin Trade Off</v>
      </c>
      <c r="K117" s="1229"/>
      <c r="L117" s="1249"/>
      <c r="M117" s="1249"/>
      <c r="N117" s="1250" t="str">
        <f>IFERROR(__xludf.DUMMYFUNCTION("if(M117 &lt;&gt; """", 
  LET( 
    TargetLevel, VLOOKUP(M117,MS_Labs_Array,3,false),
    MaxLevel, VLOOKUP(M117,MS_Labs_Array,4,false),
    MaxOrTarget, IF(OR(TargetLevel = """",$AD$1 &lt;&gt; ""Target""), MaxLevel, TargetLevel),
    LabLevel, VLOOKUP(M117,MS_Labs_A"&amp;"rray,2,False),
    Levelprogress, LabLevel / MaxOrTarget,
    DVTColumn, MATCH(M117,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7" s="1251" t="str">
        <f>IFERROR(__xludf.DUMMYFUNCTION("if(M117 &lt;&gt; """", 
  LET(
    TargetLevel, VLOOKUP(M117,MS_Labs_Array,3,false),
    LabSpeed, (1 * REGEXEXTRACT($BH$1, ""[\d.-]+"")) * {IF(M117 =""Labs Speed"", 1+'Master Sheet'!$BK$5, LAB_SPEED_TOTAL())},
    MaxLevel, VLOOKUP(M117,MS_Labs_Array,4,false),"&amp;"
    MaxOrTarget, IF(OR(TargetLevel = """",$AD$1 &lt;&gt; ""Target""), MaxLevel, TargetLevel),
    LabLevel, VLOOKUP(M117,MS_Labs_Array,2,False),
    DVTColumn, MATCH(M117, DVT_Laboratory!$A$1:BO$1, 0),
    xextTime, INDIRECT(""DVT_Laboratory!"" &amp; ADDRESS(LabLe"&amp;"vel+3, DVTColumn)) / LabSpeed,
    remainingTime, SUM(INDIRECT(""DVT_Laboratory!"" &amp; ADDRESS(LabLevel+3, DVTColumn) &amp; "":"" &amp; ADDRESS(MaxOrTarget+2, DVTColumn))) / LabSpeed,
  M117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7" s="1249"/>
      <c r="Q117" s="1249"/>
      <c r="R117" s="1249"/>
      <c r="S117" s="1249"/>
      <c r="T117" s="1250" t="str">
        <f>IFERROR(__xludf.DUMMYFUNCTION("if(S117 &lt;&gt; """", 
  LET( 
    TargetLevel, VLOOKUP(S117,MS_Labs_Array,3,false),
    MaxLevel, VLOOKUP(S117,MS_Labs_Array,4,false),
    MaxOrTarget, IF(OR(TargetLevel = """",$AD$1 &lt;&gt; ""Target""), MaxLevel, TargetLevel),
    LabLevel, VLOOKUP(S117,MS_Labs_A"&amp;"rray,2,False),
    Levelprogress, LabLevel / MaxOrTarget,
    DVTColumn, MATCH(S117,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7" s="1251" t="str">
        <f>IFERROR(__xludf.DUMMYFUNCTION("if(S117 &lt;&gt; """", 
  LET(
    TargetLevel, VLOOKUP(S117,MS_Labs_Array,3,false),
    LabSpeed, (1 * REGEXEXTRACT($BH$1, ""[\d.-]+"")) * {IF(S117 =""Labs Speed"", 1+'Master Sheet'!$BK$5, LAB_SPEED_TOTAL())},
    MaxLevel, VLOOKUP(S117,MS_Labs_Array,4,false),"&amp;"
    MaxOrTarget, IF(OR(TargetLevel = """",$AD$1 &lt;&gt; ""Target""), MaxLevel, TargetLevel),
    LabLevel, VLOOKUP(S117,MS_Labs_Array,2,False),
    DVTColumn, MATCH(S117, DVT_Laboratory!$A$1:BO$1, 0),
    xextTime, INDIRECT(""DVT_Laboratory!"" &amp; ADDRESS(LabLe"&amp;"vel+3, DVTColumn)) / LabSpeed,
    remainingTime, SUM(INDIRECT(""DVT_Laboratory!"" &amp; ADDRESS(LabLevel+3, DVTColumn) &amp; "":"" &amp; ADDRESS(MaxOrTarget+2, DVTColumn))) / LabSpeed,
  S117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7" s="1249"/>
      <c r="W117" s="1249"/>
      <c r="X117" s="1249"/>
      <c r="Y117" s="1249"/>
      <c r="Z117" s="1250" t="str">
        <f>IFERROR(__xludf.DUMMYFUNCTION("if(Y117 &lt;&gt; """", 
  LET( 
    TargetLevel, VLOOKUP(Y117,MS_Labs_Array,3,false),
    MaxLevel, VLOOKUP(Y117,MS_Labs_Array,4,false),
    MaxOrTarget, IF(OR(TargetLevel = """",$AD$1 &lt;&gt; ""Target""), MaxLevel, TargetLevel),
    LabLevel, VLOOKUP(Y117,MS_Labs_A"&amp;"rray,2,False),
    Levelprogress, LabLevel / MaxOrTarget,
    DVTColumn, MATCH(Y117,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7" s="1251" t="str">
        <f>IFERROR(__xludf.DUMMYFUNCTION("if(Y117 &lt;&gt; """", 
  LET(
    TargetLevel, VLOOKUP(Y117,MS_Labs_Array,3,false),
    LabSpeed, (1 * REGEXEXTRACT($BH$1, ""[\d.-]+"")) * {IF(Y117 =""Labs Speed"", 1+'Master Sheet'!$BK$5, LAB_SPEED_TOTAL())},
    MaxLevel, VLOOKUP(Y117,MS_Labs_Array,4,false),"&amp;"
    MaxOrTarget, IF(OR(TargetLevel = """",$AD$1 &lt;&gt; ""Target""), MaxLevel, TargetLevel),
    LabLevel, VLOOKUP(Y117,MS_Labs_Array,2,False),
    DVTColumn, MATCH(Y117, DVT_Laboratory!$A$1:BO$1, 0),
    xextTime, INDIRECT(""DVT_Laboratory!"" &amp; ADDRESS(LabLe"&amp;"vel+3, DVTColumn)) / LabSpeed,
    remainingTime, SUM(INDIRECT(""DVT_Laboratory!"" &amp; ADDRESS(LabLevel+3, DVTColumn) &amp; "":"" &amp; ADDRESS(MaxOrTarget+2, DVTColumn))) / LabSpeed,
  Y117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7" s="1249"/>
      <c r="AC117" s="1249"/>
      <c r="AD117" s="1249"/>
      <c r="AE117" s="1249"/>
      <c r="AF117" s="1250" t="str">
        <f>IFERROR(__xludf.DUMMYFUNCTION("if(AE117 &lt;&gt; """", 
  LET( 
    TargetLevel, VLOOKUP(AE117,MS_Labs_Array,3,false),
    MaxLevel, VLOOKUP(AE117,MS_Labs_Array,4,false),
    MaxOrTarget, IF(OR(TargetLevel = """",$AD$1 &lt;&gt; ""Target""), MaxLevel, TargetLevel),
    LabLevel, VLOOKUP(AE117,MS_La"&amp;"bs_Array,2,False),
    Levelprogress, LabLevel / MaxOrTarget,
    DVTColumn, MATCH(AE117,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7" s="1251" t="str">
        <f>IFERROR(__xludf.DUMMYFUNCTION("if(AE117 &lt;&gt; """", 
  LET(
    TargetLevel, VLOOKUP(AE117,MS_Labs_Array,3,false),
    LabSpeed, (1 * REGEXEXTRACT($BH$1, ""[\d.-]+"")) * {IF(AE117 =""Labs Speed"", 1+'Master Sheet'!$BK$5, LAB_SPEED_TOTAL())},
    MaxLevel, VLOOKUP(AE117,MS_Labs_Array,4,fal"&amp;"se),
    MaxOrTarget, IF(OR(TargetLevel = """",$AD$1 &lt;&gt; ""Target""), MaxLevel, TargetLevel),
    LabLevel, VLOOKUP(AE117,MS_Labs_Array,2,False),
    DVTColumn, MATCH(AE117, DVT_Laboratory!$A$1:BO$1, 0),
    xextTime, INDIRECT(""DVT_Laboratory!"" &amp; ADDRESS"&amp;"(LabLevel+3, DVTColumn)) / LabSpeed,
    remainingTime, SUM(INDIRECT(""DVT_Laboratory!"" &amp; ADDRESS(LabLevel+3, DVTColumn) &amp; "":"" &amp; ADDRESS(MaxOrTarget+2, DVTColumn))) / LabSpeed,
  AE117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7" s="1249"/>
      <c r="AI117" s="1249"/>
      <c r="AJ117" s="1249"/>
      <c r="AK117" s="1249"/>
      <c r="AL117" s="1250" t="str">
        <f>IFERROR(__xludf.DUMMYFUNCTION("if(AK117 &lt;&gt; """", 
  LET( 
    TargetLevel, VLOOKUP(AK117,MS_Labs_Array,3,false),
    MaxLevel, VLOOKUP(AK117,MS_Labs_Array,4,false),
    MaxOrTarget, IF(OR(TargetLevel = """",$AD$1 &lt;&gt; ""Target""), MaxLevel, TargetLevel),
    LabLevel, VLOOKUP(AK117,MS_La"&amp;"bs_Array,2,False),
    Levelprogress, LabLevel / MaxOrTarget,
    DVTColumn, MATCH(AK117,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7" s="1251" t="str">
        <f>IFERROR(__xludf.DUMMYFUNCTION("if(AK117 &lt;&gt; """", 
  LET(
    TargetLevel, VLOOKUP(AK117,MS_Labs_Array,3,false),
    LabSpeed, (1 * REGEXEXTRACT($BH$1, ""[\d.-]+"")) * {IF(AK117 =""Labs Speed"", 1+'Master Sheet'!$BK$5, LAB_SPEED_TOTAL())},
    MaxLevel, VLOOKUP(AK117,MS_Labs_Array,4,fal"&amp;"se),
    MaxOrTarget, IF(OR(TargetLevel = """",$AD$1 &lt;&gt; ""Target""), MaxLevel, TargetLevel),
    LabLevel, VLOOKUP(AK117,MS_Labs_Array,2,False),
    DVTColumn, MATCH(AK117, DVT_Laboratory!$A$1:BO$1, 0),
    xextTime, INDIRECT(""DVT_Laboratory!"" &amp; ADDRESS"&amp;"(LabLevel+3, DVTColumn)) / LabSpeed,
    remainingTime, SUM(INDIRECT(""DVT_Laboratory!"" &amp; ADDRESS(LabLevel+3, DVTColumn) &amp; "":"" &amp; ADDRESS(MaxOrTarget+2, DVTColumn))) / LabSpeed,
  AK117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7" s="1249"/>
      <c r="AO117" s="1249"/>
      <c r="AP117" s="1249"/>
      <c r="AQ117" s="1249"/>
      <c r="AR117" s="1250" t="str">
        <f>IFERROR(__xludf.DUMMYFUNCTION("if(AQ117 &lt;&gt; """", 
  LET( 
    TargetLevel, VLOOKUP(AQ117,MS_Labs_Array,3,false),
    MaxLevel, VLOOKUP(AQ117,MS_Labs_Array,4,false),
    MaxOrTarget, IF(OR(TargetLevel = """",$AD$1 &lt;&gt; ""Target""), MaxLevel, TargetLevel),
    LabLevel, VLOOKUP(AQ117,MS_La"&amp;"bs_Array,2,False),
    Levelprogress, LabLevel / MaxOrTarget,
    DVTColumn, MATCH(AQ117,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7" s="1251" t="str">
        <f>IFERROR(__xludf.DUMMYFUNCTION("if(AQ117 &lt;&gt; """", 
  LET(
    TargetLevel, VLOOKUP(AQ117,MS_Labs_Array,3,false),
    LabSpeed, (1 * REGEXEXTRACT($BH$1, ""[\d.-]+"")) * {IF(AQ117 =""Labs Speed"", 1+'Master Sheet'!$BK$5, LAB_SPEED_TOTAL())},
    MaxLevel, VLOOKUP(AQ117,MS_Labs_Array,4,fal"&amp;"se),
    MaxOrTarget, IF(OR(TargetLevel = """",$AD$1 &lt;&gt; ""Target""), MaxLevel, TargetLevel),
    LabLevel, VLOOKUP(AQ117,MS_Labs_Array,2,False),
    DVTColumn, MATCH(AQ117, DVT_Laboratory!$A$1:BO$1, 0),
    xextTime, INDIRECT(""DVT_Laboratory!"" &amp; ADDRESS"&amp;"(LabLevel+3, DVTColumn)) / LabSpeed,
    remainingTime, SUM(INDIRECT(""DVT_Laboratory!"" &amp; ADDRESS(LabLevel+3, DVTColumn) &amp; "":"" &amp; ADDRESS(MaxOrTarget+2, DVTColumn))) / LabSpeed,
  AQ117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7" s="1249"/>
      <c r="AU117" s="1249"/>
      <c r="AV117" s="1249"/>
      <c r="AW117" s="1249"/>
      <c r="AX117" s="1250" t="str">
        <f>IFERROR(__xludf.DUMMYFUNCTION("if(AW117 &lt;&gt; """", 
  LET( 
    TargetLevel, VLOOKUP(AW117,MS_Labs_Array,3,false),
    MaxLevel, VLOOKUP(AW117,MS_Labs_Array,4,false),
    MaxOrTarget, IF(OR(TargetLevel = """",$AD$1 &lt;&gt; ""Target""), MaxLevel, TargetLevel),
    LabLevel, VLOOKUP(AW117,MS_La"&amp;"bs_Array,2,False),
    Levelprogress, LabLevel / MaxOrTarget,
    DVTColumn, MATCH(AW117,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7" s="1251" t="str">
        <f>IFERROR(__xludf.DUMMYFUNCTION("if(AW117 &lt;&gt; """", 
  LET(
    TargetLevel, VLOOKUP(AW117,MS_Labs_Array,3,false),
    LabSpeed, (1 * REGEXEXTRACT($BH$1, ""[\d.-]+"")) * {IF(AW117 =""Labs Speed"", 1+'Master Sheet'!$BK$5, LAB_SPEED_TOTAL())},
    MaxLevel, VLOOKUP(AW117,MS_Labs_Array,4,fal"&amp;"se),
    MaxOrTarget, IF(OR(TargetLevel = """",$AD$1 &lt;&gt; ""Target""), MaxLevel, TargetLevel),
    LabLevel, VLOOKUP(AW117,MS_Labs_Array,2,False),
    DVTColumn, MATCH(AW117, DVT_Laboratory!$A$1:BO$1, 0),
    xextTime, INDIRECT(""DVT_Laboratory!"" &amp; ADDRESS"&amp;"(LabLevel+3, DVTColumn)) / LabSpeed,
    remainingTime, SUM(INDIRECT(""DVT_Laboratory!"" &amp; ADDRESS(LabLevel+3, DVTColumn) &amp; "":"" &amp; ADDRESS(MaxOrTarget+2, DVTColumn))) / LabSpeed,
  AW117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7" s="1249"/>
      <c r="BA117" s="1249"/>
      <c r="BB117" s="1249"/>
      <c r="BC117" s="1249"/>
      <c r="BD117" s="1250" t="str">
        <f>IFERROR(__xludf.DUMMYFUNCTION("if(BC117 &lt;&gt; """", 
  LET( 
    TargetLevel, VLOOKUP(BC117,MS_Labs_Array,3,false),
    MaxLevel, VLOOKUP(BC117,MS_Labs_Array,4,false),
    MaxOrTarget, IF(OR(TargetLevel = """",$AD$1 &lt;&gt; ""Target""), MaxLevel, TargetLevel),
    LabLevel, VLOOKUP(BC117,MS_La"&amp;"bs_Array,2,False),
    Levelprogress, LabLevel / MaxOrTarget,
    DVTColumn, MATCH(BC117,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7" s="1251" t="str">
        <f>IFERROR(__xludf.DUMMYFUNCTION("if(BC117 &lt;&gt; """", 
  LET(
    TargetLevel, VLOOKUP(BC117,MS_Labs_Array,3,false),
    LabSpeed, (1 * REGEXEXTRACT($BH$1, ""[\d.-]+"")) * {IF(BC117 =""Labs Speed"", 1+'Master Sheet'!$BK$5, LAB_SPEED_TOTAL())},
    MaxLevel, VLOOKUP(BC117,MS_Labs_Array,4,fal"&amp;"se),
    MaxOrTarget, IF(OR(TargetLevel = """",$AD$1 &lt;&gt; ""Target""), MaxLevel, TargetLevel),
    LabLevel, VLOOKUP(BC117,MS_Labs_Array,2,False),
    DVTColumn, MATCH(BC117, DVT_Laboratory!$A$1:BO$1, 0),
    xextTime, INDIRECT(""DVT_Laboratory!"" &amp; ADDRESS"&amp;"(LabLevel+3, DVTColumn)) / LabSpeed,
    remainingTime, SUM(INDIRECT(""DVT_Laboratory!"" &amp; ADDRESS(LabLevel+3, DVTColumn) &amp; "":"" &amp; ADDRESS(MaxOrTarget+2, DVTColumn))) / LabSpeed,
  BC117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7" s="1249"/>
      <c r="BG117" s="1249"/>
      <c r="BH117" s="1260"/>
      <c r="BI117" s="1252"/>
      <c r="BJ117" s="1253" t="str">
        <f>IFERROR(__xludf.DUMMYFUNCTION("if(BI117 &lt;&gt; """", 
  LET( 
    TargetLevel, VLOOKUP(BI117,MS_Labs_Array,3,false),
    MaxLevel, VLOOKUP(BI117,MS_Labs_Array,4,false),
    MaxOrTarget, IF(OR(TargetLevel = """",$AD$1 &lt;&gt; ""Target""), MaxLevel, TargetLevel),
    LabLevel, VLOOKUP(BI117,MS_La"&amp;"bs_Array,2,False),
    Levelprogress, IF(LabLevel &gt;= MaxOrTarget, 1, LabLevel / MaxOrTarget),
    DVTColumn, MATCH(BI117,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7" s="1254" t="str">
        <f>IFERROR(__xludf.DUMMYFUNCTION("if(BI117 &lt;&gt; """", 
  LET(
    TargetLevel, VLOOKUP(BI117,MS_Labs_Array,3,false),
    LabSpeed, (1 * REGEXEXTRACT($BH$1, ""[\d.-]+"")) * {IF(BI117 =""Labs Speed"", 1+'Master Sheet'!$BK$5, LAB_SPEED_TOTAL())},
    MaxLevel, VLOOKUP(BI117,MS_Labs_Array,4,fal"&amp;"se),
    MaxOrTarget, IF(OR(TargetLevel = """",$AD$1 &lt;&gt; ""Target""), MaxLevel, TargetLevel),
    LabLevel, VLOOKUP(BI117,MS_Labs_Array,2,False),
    DVTColumn, MATCH(BI117, DVT_Laboratory!$A$1:BO$1, 0),
    xextTime, INDIRECT(""DVT_Laboratory!"" &amp; ADDRESS"&amp;"(LabLevel+3, DVTColumn)) / LabSpeed,
    remainingTime, SUM(INDIRECT(""DVT_Laboratory!"" &amp; ADDRESS(LabLevel+3, DVTColumn) &amp; "":"" &amp; ADDRESS(MaxOrTarget+2, DVTColumn))) / LabSpeed,
  BI117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7" s="1252"/>
      <c r="BM117" s="1252"/>
      <c r="BN117" s="1222"/>
      <c r="BO117" s="1261"/>
    </row>
    <row r="118" ht="7.5" customHeight="1">
      <c r="A118" s="1305"/>
      <c r="B118" s="1262" t="s">
        <v>553</v>
      </c>
      <c r="C118" s="1317" t="s">
        <v>255</v>
      </c>
      <c r="D118" s="1280" t="str">
        <f>VLOOKUP(C118,'Remote Tier List'!A:D, 2, FALSE)</f>
        <v>S</v>
      </c>
      <c r="E118" s="1281" t="str">
        <f>VLOOKUP(C118,'Remote Tier List'!A:D, 3, FALSE)</f>
        <v/>
      </c>
      <c r="F118" s="1284" t="str">
        <f>VLOOKUP(C118,'Remote Tier List'!A:D, 4, FALSE)</f>
        <v>Makes TO perks better</v>
      </c>
      <c r="G118" s="1245" t="b">
        <f t="shared" si="20"/>
        <v>1</v>
      </c>
      <c r="H118" s="1246" t="str">
        <f t="array" ref="H118:I118">LET(
  Lab, $C118,
  Mode, $AD$1,
  Level, VLOOKUP(Lab, MS_Labs_Array, 2, FALSE),
  Target, VLOOKUP(Lab, MS_Labs_Array, 3, FALSE),
  Max, VLOOKUP(Lab, MS_Labs_Array, 4, FALSE),
  Result,
    IF(
      AND(
        Mode &lt;&gt; "Never",
        Level &gt;= IF(OR(Target = "", Mode = "Max"), Max, Target)
      ),
      "Completed",
      ""
    ),
  HSTACK(
    IF(Result &lt;&gt; "", Result, $D118),
    IF(Result &lt;&gt; "", Result, IF($E118 = "", $D118, $E118))
  )
)</f>
        <v>Completed</v>
      </c>
      <c r="I118" s="1247" t="s">
        <v>551</v>
      </c>
      <c r="J118" s="1248" t="str">
        <f t="shared" si="21"/>
        <v>Makes TO perks better</v>
      </c>
      <c r="K118" s="1306"/>
      <c r="L118" s="1307" t="str">
        <f>IFERROR(__xludf.DUMMYFUNCTION("""COMPUTED_VALUE"""),"")</f>
        <v/>
      </c>
      <c r="M118" s="1307"/>
      <c r="N118" s="1250" t="str">
        <f>IFERROR(__xludf.DUMMYFUNCTION("if(M118 &lt;&gt; """", 
  LET( 
    TargetLevel, VLOOKUP(M118,MS_Labs_Array,3,false),
    MaxLevel, VLOOKUP(M118,MS_Labs_Array,4,false),
    MaxOrTarget, IF(OR(TargetLevel = """",$AD$1 &lt;&gt; ""Target""), MaxLevel, TargetLevel),
    LabLevel, VLOOKUP(M118,MS_Labs_A"&amp;"rray,2,False),
    Levelprogress, LabLevel / MaxOrTarget,
    DVTColumn, MATCH(M118,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8" s="1251" t="str">
        <f>IFERROR(__xludf.DUMMYFUNCTION("if(M118 &lt;&gt; """", 
  LET(
    TargetLevel, VLOOKUP(M118,MS_Labs_Array,3,false),
    LabSpeed, (1 * REGEXEXTRACT($BH$1, ""[\d.-]+"")) * {IF(M118 =""Labs Speed"", 1+'Master Sheet'!$BK$5, LAB_SPEED_TOTAL())},
    MaxLevel, VLOOKUP(M118,MS_Labs_Array,4,false),"&amp;"
    MaxOrTarget, IF(OR(TargetLevel = """",$AD$1 &lt;&gt; ""Target""), MaxLevel, TargetLevel),
    LabLevel, VLOOKUP(M118,MS_Labs_Array,2,False),
    DVTColumn, MATCH(M118, DVT_Laboratory!$A$1:BO$1, 0),
    xextTime, INDIRECT(""DVT_Laboratory!"" &amp; ADDRESS(LabLe"&amp;"vel+3, DVTColumn)) / LabSpeed,
    remainingTime, SUM(INDIRECT(""DVT_Laboratory!"" &amp; ADDRESS(LabLevel+3, DVTColumn) &amp; "":"" &amp; ADDRESS(MaxOrTarget+2, DVTColumn))) / LabSpeed,
  M118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8" s="1307"/>
      <c r="Q118" s="1307" t="str">
        <f>IFERROR(__xludf.DUMMYFUNCTION("""COMPUTED_VALUE"""),"")</f>
        <v/>
      </c>
      <c r="R118" s="1307" t="str">
        <f>IFERROR(__xludf.DUMMYFUNCTION("""COMPUTED_VALUE"""),"")</f>
        <v/>
      </c>
      <c r="S118" s="1307"/>
      <c r="T118" s="1250" t="str">
        <f>IFERROR(__xludf.DUMMYFUNCTION("if(S118 &lt;&gt; """", 
  LET( 
    TargetLevel, VLOOKUP(S118,MS_Labs_Array,3,false),
    MaxLevel, VLOOKUP(S118,MS_Labs_Array,4,false),
    MaxOrTarget, IF(OR(TargetLevel = """",$AD$1 &lt;&gt; ""Target""), MaxLevel, TargetLevel),
    LabLevel, VLOOKUP(S118,MS_Labs_A"&amp;"rray,2,False),
    Levelprogress, LabLevel / MaxOrTarget,
    DVTColumn, MATCH(S118,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8" s="1251" t="str">
        <f>IFERROR(__xludf.DUMMYFUNCTION("if(S118 &lt;&gt; """", 
  LET(
    TargetLevel, VLOOKUP(S118,MS_Labs_Array,3,false),
    LabSpeed, (1 * REGEXEXTRACT($BH$1, ""[\d.-]+"")) * {IF(S118 =""Labs Speed"", 1+'Master Sheet'!$BK$5, LAB_SPEED_TOTAL())},
    MaxLevel, VLOOKUP(S118,MS_Labs_Array,4,false),"&amp;"
    MaxOrTarget, IF(OR(TargetLevel = """",$AD$1 &lt;&gt; ""Target""), MaxLevel, TargetLevel),
    LabLevel, VLOOKUP(S118,MS_Labs_Array,2,False),
    DVTColumn, MATCH(S118, DVT_Laboratory!$A$1:BO$1, 0),
    xextTime, INDIRECT(""DVT_Laboratory!"" &amp; ADDRESS(LabLe"&amp;"vel+3, DVTColumn)) / LabSpeed,
    remainingTime, SUM(INDIRECT(""DVT_Laboratory!"" &amp; ADDRESS(LabLevel+3, DVTColumn) &amp; "":"" &amp; ADDRESS(MaxOrTarget+2, DVTColumn))) / LabSpeed,
  S118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8" s="1307"/>
      <c r="W118" s="1307" t="str">
        <f>IFERROR(__xludf.DUMMYFUNCTION("""COMPUTED_VALUE"""),"")</f>
        <v/>
      </c>
      <c r="X118" s="1307" t="str">
        <f>IFERROR(__xludf.DUMMYFUNCTION("""COMPUTED_VALUE"""),"")</f>
        <v/>
      </c>
      <c r="Y118" s="1307"/>
      <c r="Z118" s="1250" t="str">
        <f>IFERROR(__xludf.DUMMYFUNCTION("if(Y118 &lt;&gt; """", 
  LET( 
    TargetLevel, VLOOKUP(Y118,MS_Labs_Array,3,false),
    MaxLevel, VLOOKUP(Y118,MS_Labs_Array,4,false),
    MaxOrTarget, IF(OR(TargetLevel = """",$AD$1 &lt;&gt; ""Target""), MaxLevel, TargetLevel),
    LabLevel, VLOOKUP(Y118,MS_Labs_A"&amp;"rray,2,False),
    Levelprogress, LabLevel / MaxOrTarget,
    DVTColumn, MATCH(Y118,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8" s="1251" t="str">
        <f>IFERROR(__xludf.DUMMYFUNCTION("if(Y118 &lt;&gt; """", 
  LET(
    TargetLevel, VLOOKUP(Y118,MS_Labs_Array,3,false),
    LabSpeed, (1 * REGEXEXTRACT($BH$1, ""[\d.-]+"")) * {IF(Y118 =""Labs Speed"", 1+'Master Sheet'!$BK$5, LAB_SPEED_TOTAL())},
    MaxLevel, VLOOKUP(Y118,MS_Labs_Array,4,false),"&amp;"
    MaxOrTarget, IF(OR(TargetLevel = """",$AD$1 &lt;&gt; ""Target""), MaxLevel, TargetLevel),
    LabLevel, VLOOKUP(Y118,MS_Labs_Array,2,False),
    DVTColumn, MATCH(Y118, DVT_Laboratory!$A$1:BO$1, 0),
    xextTime, INDIRECT(""DVT_Laboratory!"" &amp; ADDRESS(LabLe"&amp;"vel+3, DVTColumn)) / LabSpeed,
    remainingTime, SUM(INDIRECT(""DVT_Laboratory!"" &amp; ADDRESS(LabLevel+3, DVTColumn) &amp; "":"" &amp; ADDRESS(MaxOrTarget+2, DVTColumn))) / LabSpeed,
  Y118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8" s="1307"/>
      <c r="AC118" s="1307" t="str">
        <f>IFERROR(__xludf.DUMMYFUNCTION("""COMPUTED_VALUE"""),"")</f>
        <v/>
      </c>
      <c r="AD118" s="1307" t="str">
        <f>IFERROR(__xludf.DUMMYFUNCTION("""COMPUTED_VALUE"""),"")</f>
        <v/>
      </c>
      <c r="AE118" s="1307"/>
      <c r="AF118" s="1250" t="str">
        <f>IFERROR(__xludf.DUMMYFUNCTION("if(AE118 &lt;&gt; """", 
  LET( 
    TargetLevel, VLOOKUP(AE118,MS_Labs_Array,3,false),
    MaxLevel, VLOOKUP(AE118,MS_Labs_Array,4,false),
    MaxOrTarget, IF(OR(TargetLevel = """",$AD$1 &lt;&gt; ""Target""), MaxLevel, TargetLevel),
    LabLevel, VLOOKUP(AE118,MS_La"&amp;"bs_Array,2,False),
    Levelprogress, LabLevel / MaxOrTarget,
    DVTColumn, MATCH(AE118,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8" s="1251" t="str">
        <f>IFERROR(__xludf.DUMMYFUNCTION("if(AE118 &lt;&gt; """", 
  LET(
    TargetLevel, VLOOKUP(AE118,MS_Labs_Array,3,false),
    LabSpeed, (1 * REGEXEXTRACT($BH$1, ""[\d.-]+"")) * {IF(AE118 =""Labs Speed"", 1+'Master Sheet'!$BK$5, LAB_SPEED_TOTAL())},
    MaxLevel, VLOOKUP(AE118,MS_Labs_Array,4,fal"&amp;"se),
    MaxOrTarget, IF(OR(TargetLevel = """",$AD$1 &lt;&gt; ""Target""), MaxLevel, TargetLevel),
    LabLevel, VLOOKUP(AE118,MS_Labs_Array,2,False),
    DVTColumn, MATCH(AE118, DVT_Laboratory!$A$1:BO$1, 0),
    xextTime, INDIRECT(""DVT_Laboratory!"" &amp; ADDRESS"&amp;"(LabLevel+3, DVTColumn)) / LabSpeed,
    remainingTime, SUM(INDIRECT(""DVT_Laboratory!"" &amp; ADDRESS(LabLevel+3, DVTColumn) &amp; "":"" &amp; ADDRESS(MaxOrTarget+2, DVTColumn))) / LabSpeed,
  AE118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8" s="1307"/>
      <c r="AI118" s="1307" t="str">
        <f>IFERROR(__xludf.DUMMYFUNCTION("""COMPUTED_VALUE"""),"")</f>
        <v/>
      </c>
      <c r="AJ118" s="1307" t="str">
        <f>IFERROR(__xludf.DUMMYFUNCTION("""COMPUTED_VALUE"""),"")</f>
        <v/>
      </c>
      <c r="AK118" s="1307"/>
      <c r="AL118" s="1250" t="str">
        <f>IFERROR(__xludf.DUMMYFUNCTION("if(AK118 &lt;&gt; """", 
  LET( 
    TargetLevel, VLOOKUP(AK118,MS_Labs_Array,3,false),
    MaxLevel, VLOOKUP(AK118,MS_Labs_Array,4,false),
    MaxOrTarget, IF(OR(TargetLevel = """",$AD$1 &lt;&gt; ""Target""), MaxLevel, TargetLevel),
    LabLevel, VLOOKUP(AK118,MS_La"&amp;"bs_Array,2,False),
    Levelprogress, LabLevel / MaxOrTarget,
    DVTColumn, MATCH(AK118,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8" s="1251" t="str">
        <f>IFERROR(__xludf.DUMMYFUNCTION("if(AK118 &lt;&gt; """", 
  LET(
    TargetLevel, VLOOKUP(AK118,MS_Labs_Array,3,false),
    LabSpeed, (1 * REGEXEXTRACT($BH$1, ""[\d.-]+"")) * {IF(AK118 =""Labs Speed"", 1+'Master Sheet'!$BK$5, LAB_SPEED_TOTAL())},
    MaxLevel, VLOOKUP(AK118,MS_Labs_Array,4,fal"&amp;"se),
    MaxOrTarget, IF(OR(TargetLevel = """",$AD$1 &lt;&gt; ""Target""), MaxLevel, TargetLevel),
    LabLevel, VLOOKUP(AK118,MS_Labs_Array,2,False),
    DVTColumn, MATCH(AK118, DVT_Laboratory!$A$1:BO$1, 0),
    xextTime, INDIRECT(""DVT_Laboratory!"" &amp; ADDRESS"&amp;"(LabLevel+3, DVTColumn)) / LabSpeed,
    remainingTime, SUM(INDIRECT(""DVT_Laboratory!"" &amp; ADDRESS(LabLevel+3, DVTColumn) &amp; "":"" &amp; ADDRESS(MaxOrTarget+2, DVTColumn))) / LabSpeed,
  AK118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8" s="1307"/>
      <c r="AO118" s="1307" t="str">
        <f>IFERROR(__xludf.DUMMYFUNCTION("""COMPUTED_VALUE"""),"")</f>
        <v/>
      </c>
      <c r="AP118" s="1307" t="str">
        <f>IFERROR(__xludf.DUMMYFUNCTION("""COMPUTED_VALUE"""),"")</f>
        <v/>
      </c>
      <c r="AQ118" s="1307"/>
      <c r="AR118" s="1250" t="str">
        <f>IFERROR(__xludf.DUMMYFUNCTION("if(AQ118 &lt;&gt; """", 
  LET( 
    TargetLevel, VLOOKUP(AQ118,MS_Labs_Array,3,false),
    MaxLevel, VLOOKUP(AQ118,MS_Labs_Array,4,false),
    MaxOrTarget, IF(OR(TargetLevel = """",$AD$1 &lt;&gt; ""Target""), MaxLevel, TargetLevel),
    LabLevel, VLOOKUP(AQ118,MS_La"&amp;"bs_Array,2,False),
    Levelprogress, LabLevel / MaxOrTarget,
    DVTColumn, MATCH(AQ118,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8" s="1251" t="str">
        <f>IFERROR(__xludf.DUMMYFUNCTION("if(AQ118 &lt;&gt; """", 
  LET(
    TargetLevel, VLOOKUP(AQ118,MS_Labs_Array,3,false),
    LabSpeed, (1 * REGEXEXTRACT($BH$1, ""[\d.-]+"")) * {IF(AQ118 =""Labs Speed"", 1+'Master Sheet'!$BK$5, LAB_SPEED_TOTAL())},
    MaxLevel, VLOOKUP(AQ118,MS_Labs_Array,4,fal"&amp;"se),
    MaxOrTarget, IF(OR(TargetLevel = """",$AD$1 &lt;&gt; ""Target""), MaxLevel, TargetLevel),
    LabLevel, VLOOKUP(AQ118,MS_Labs_Array,2,False),
    DVTColumn, MATCH(AQ118, DVT_Laboratory!$A$1:BO$1, 0),
    xextTime, INDIRECT(""DVT_Laboratory!"" &amp; ADDRESS"&amp;"(LabLevel+3, DVTColumn)) / LabSpeed,
    remainingTime, SUM(INDIRECT(""DVT_Laboratory!"" &amp; ADDRESS(LabLevel+3, DVTColumn) &amp; "":"" &amp; ADDRESS(MaxOrTarget+2, DVTColumn))) / LabSpeed,
  AQ118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8" s="1307"/>
      <c r="AU118" s="1307" t="str">
        <f>IFERROR(__xludf.DUMMYFUNCTION("""COMPUTED_VALUE"""),"")</f>
        <v/>
      </c>
      <c r="AV118" s="1307" t="str">
        <f>IFERROR(__xludf.DUMMYFUNCTION("""COMPUTED_VALUE"""),"")</f>
        <v/>
      </c>
      <c r="AW118" s="1307"/>
      <c r="AX118" s="1250" t="str">
        <f>IFERROR(__xludf.DUMMYFUNCTION("if(AW118 &lt;&gt; """", 
  LET( 
    TargetLevel, VLOOKUP(AW118,MS_Labs_Array,3,false),
    MaxLevel, VLOOKUP(AW118,MS_Labs_Array,4,false),
    MaxOrTarget, IF(OR(TargetLevel = """",$AD$1 &lt;&gt; ""Target""), MaxLevel, TargetLevel),
    LabLevel, VLOOKUP(AW118,MS_La"&amp;"bs_Array,2,False),
    Levelprogress, LabLevel / MaxOrTarget,
    DVTColumn, MATCH(AW118,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8" s="1251" t="str">
        <f>IFERROR(__xludf.DUMMYFUNCTION("if(AW118 &lt;&gt; """", 
  LET(
    TargetLevel, VLOOKUP(AW118,MS_Labs_Array,3,false),
    LabSpeed, (1 * REGEXEXTRACT($BH$1, ""[\d.-]+"")) * {IF(AW118 =""Labs Speed"", 1+'Master Sheet'!$BK$5, LAB_SPEED_TOTAL())},
    MaxLevel, VLOOKUP(AW118,MS_Labs_Array,4,fal"&amp;"se),
    MaxOrTarget, IF(OR(TargetLevel = """",$AD$1 &lt;&gt; ""Target""), MaxLevel, TargetLevel),
    LabLevel, VLOOKUP(AW118,MS_Labs_Array,2,False),
    DVTColumn, MATCH(AW118, DVT_Laboratory!$A$1:BO$1, 0),
    xextTime, INDIRECT(""DVT_Laboratory!"" &amp; ADDRESS"&amp;"(LabLevel+3, DVTColumn)) / LabSpeed,
    remainingTime, SUM(INDIRECT(""DVT_Laboratory!"" &amp; ADDRESS(LabLevel+3, DVTColumn) &amp; "":"" &amp; ADDRESS(MaxOrTarget+2, DVTColumn))) / LabSpeed,
  AW118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8" s="1307"/>
      <c r="BA118" s="1307" t="str">
        <f>IFERROR(__xludf.DUMMYFUNCTION("""COMPUTED_VALUE"""),"")</f>
        <v/>
      </c>
      <c r="BB118" s="1307" t="str">
        <f>IFERROR(__xludf.DUMMYFUNCTION("""COMPUTED_VALUE"""),"")</f>
        <v/>
      </c>
      <c r="BC118" s="1307"/>
      <c r="BD118" s="1250" t="str">
        <f>IFERROR(__xludf.DUMMYFUNCTION("if(BC118 &lt;&gt; """", 
  LET( 
    TargetLevel, VLOOKUP(BC118,MS_Labs_Array,3,false),
    MaxLevel, VLOOKUP(BC118,MS_Labs_Array,4,false),
    MaxOrTarget, IF(OR(TargetLevel = """",$AD$1 &lt;&gt; ""Target""), MaxLevel, TargetLevel),
    LabLevel, VLOOKUP(BC118,MS_La"&amp;"bs_Array,2,False),
    Levelprogress, LabLevel / MaxOrTarget,
    DVTColumn, MATCH(BC118,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8" s="1251" t="str">
        <f>IFERROR(__xludf.DUMMYFUNCTION("if(BC118 &lt;&gt; """", 
  LET(
    TargetLevel, VLOOKUP(BC118,MS_Labs_Array,3,false),
    LabSpeed, (1 * REGEXEXTRACT($BH$1, ""[\d.-]+"")) * {IF(BC118 =""Labs Speed"", 1+'Master Sheet'!$BK$5, LAB_SPEED_TOTAL())},
    MaxLevel, VLOOKUP(BC118,MS_Labs_Array,4,fal"&amp;"se),
    MaxOrTarget, IF(OR(TargetLevel = """",$AD$1 &lt;&gt; ""Target""), MaxLevel, TargetLevel),
    LabLevel, VLOOKUP(BC118,MS_Labs_Array,2,False),
    DVTColumn, MATCH(BC118, DVT_Laboratory!$A$1:BO$1, 0),
    xextTime, INDIRECT(""DVT_Laboratory!"" &amp; ADDRESS"&amp;"(LabLevel+3, DVTColumn)) / LabSpeed,
    remainingTime, SUM(INDIRECT(""DVT_Laboratory!"" &amp; ADDRESS(LabLevel+3, DVTColumn) &amp; "":"" &amp; ADDRESS(MaxOrTarget+2, DVTColumn))) / LabSpeed,
  BC118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8" s="1307"/>
      <c r="BG118" s="1307" t="str">
        <f>IFERROR(__xludf.DUMMYFUNCTION("""COMPUTED_VALUE"""),"")</f>
        <v/>
      </c>
      <c r="BH118" s="1308" t="str">
        <f>IFERROR(__xludf.DUMMYFUNCTION("""COMPUTED_VALUE"""),"")</f>
        <v/>
      </c>
      <c r="BI118" s="1309"/>
      <c r="BJ118" s="1253" t="str">
        <f>IFERROR(__xludf.DUMMYFUNCTION("if(BI118 &lt;&gt; """", 
  LET( 
    TargetLevel, VLOOKUP(BI118,MS_Labs_Array,3,false),
    MaxLevel, VLOOKUP(BI118,MS_Labs_Array,4,false),
    MaxOrTarget, IF(OR(TargetLevel = """",$AD$1 &lt;&gt; ""Target""), MaxLevel, TargetLevel),
    LabLevel, VLOOKUP(BI118,MS_La"&amp;"bs_Array,2,False),
    Levelprogress, IF(LabLevel &gt;= MaxOrTarget, 1, LabLevel / MaxOrTarget),
    DVTColumn, MATCH(BI118,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8" s="1254" t="str">
        <f>IFERROR(__xludf.DUMMYFUNCTION("if(BI118 &lt;&gt; """", 
  LET(
    TargetLevel, VLOOKUP(BI118,MS_Labs_Array,3,false),
    LabSpeed, (1 * REGEXEXTRACT($BH$1, ""[\d.-]+"")) * {IF(BI118 =""Labs Speed"", 1+'Master Sheet'!$BK$5, LAB_SPEED_TOTAL())},
    MaxLevel, VLOOKUP(BI118,MS_Labs_Array,4,fal"&amp;"se),
    MaxOrTarget, IF(OR(TargetLevel = """",$AD$1 &lt;&gt; ""Target""), MaxLevel, TargetLevel),
    LabLevel, VLOOKUP(BI118,MS_Labs_Array,2,False),
    DVTColumn, MATCH(BI118, DVT_Laboratory!$A$1:BO$1, 0),
    xextTime, INDIRECT(""DVT_Laboratory!"" &amp; ADDRESS"&amp;"(LabLevel+3, DVTColumn)) / LabSpeed,
    remainingTime, SUM(INDIRECT(""DVT_Laboratory!"" &amp; ADDRESS(LabLevel+3, DVTColumn) &amp; "":"" &amp; ADDRESS(MaxOrTarget+2, DVTColumn))) / LabSpeed,
  BI118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8" s="1309"/>
      <c r="BM118" s="1309" t="str">
        <f>IFERROR(__xludf.DUMMYFUNCTION("""COMPUTED_VALUE"""),"")</f>
        <v/>
      </c>
      <c r="BN118" s="1305"/>
      <c r="BO118" s="1310"/>
    </row>
    <row r="119">
      <c r="A119" s="1222"/>
      <c r="B119" s="1286" t="s">
        <v>561</v>
      </c>
      <c r="C119" s="1318" t="s">
        <v>266</v>
      </c>
      <c r="D119" s="1280" t="str">
        <f>VLOOKUP(C119,'Remote Tier List'!A:D, 2, FALSE)</f>
        <v>QOL</v>
      </c>
      <c r="E119" s="1281" t="str">
        <f>VLOOKUP(C119,'Remote Tier List'!A:D, 3, FALSE)</f>
        <v/>
      </c>
      <c r="F119" s="1288" t="str">
        <f>VLOOKUP(C119,'Remote Tier List'!A:D, 4, FALSE)</f>
        <v>Improves the consistency of Auto Pick by a lot. Is not a replacement for bans. No need to overdo it</v>
      </c>
      <c r="G119" s="1245" t="b">
        <f t="shared" si="20"/>
        <v>1</v>
      </c>
      <c r="H119" s="1246" t="str">
        <f t="array" ref="H119:I119">LET(
  Lab, $C119,
  Mode, $AD$1,
  Level, VLOOKUP(Lab, MS_Labs_Array, 2, FALSE),
  Target, VLOOKUP(Lab, MS_Labs_Array, 3, FALSE),
  Max, VLOOKUP(Lab, MS_Labs_Array, 4, FALSE),
  Result,
    IF(
      AND(
        Mode &lt;&gt; "Never",
        Level &gt;= IF(OR(Target = "", Mode = "Max"), Max, Target)
      ),
      "Completed",
      ""
    ),
  HSTACK(
    IF(Result &lt;&gt; "", Result, $D119),
    IF(Result &lt;&gt; "", Result, IF($E119 = "", $D119, $E119))
  )
)</f>
        <v>QOL</v>
      </c>
      <c r="I119" s="1247" t="s">
        <v>550</v>
      </c>
      <c r="J119" s="1248" t="str">
        <f t="shared" si="21"/>
        <v>Improves the consistency of Auto Pick by a lot. Is not a replacement for bans. No need to overdo it</v>
      </c>
      <c r="K119" s="1229"/>
      <c r="L119" s="1249"/>
      <c r="M119" s="1249"/>
      <c r="N119" s="1250" t="str">
        <f>IFERROR(__xludf.DUMMYFUNCTION("if(M119 &lt;&gt; """", 
  LET( 
    TargetLevel, VLOOKUP(M119,MS_Labs_Array,3,false),
    MaxLevel, VLOOKUP(M119,MS_Labs_Array,4,false),
    MaxOrTarget, IF(OR(TargetLevel = """",$AD$1 &lt;&gt; ""Target""), MaxLevel, TargetLevel),
    LabLevel, VLOOKUP(M119,MS_Labs_A"&amp;"rray,2,False),
    Levelprogress, LabLevel / MaxOrTarget,
    DVTColumn, MATCH(M119,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9" s="1251" t="str">
        <f>IFERROR(__xludf.DUMMYFUNCTION("if(M119 &lt;&gt; """", 
  LET(
    TargetLevel, VLOOKUP(M119,MS_Labs_Array,3,false),
    LabSpeed, (1 * REGEXEXTRACT($BH$1, ""[\d.-]+"")) * {IF(M119 =""Labs Speed"", 1+'Master Sheet'!$BK$5, LAB_SPEED_TOTAL())},
    MaxLevel, VLOOKUP(M119,MS_Labs_Array,4,false),"&amp;"
    MaxOrTarget, IF(OR(TargetLevel = """",$AD$1 &lt;&gt; ""Target""), MaxLevel, TargetLevel),
    LabLevel, VLOOKUP(M119,MS_Labs_Array,2,False),
    DVTColumn, MATCH(M119, DVT_Laboratory!$A$1:BO$1, 0),
    xextTime, INDIRECT(""DVT_Laboratory!"" &amp; ADDRESS(LabLe"&amp;"vel+3, DVTColumn)) / LabSpeed,
    remainingTime, SUM(INDIRECT(""DVT_Laboratory!"" &amp; ADDRESS(LabLevel+3, DVTColumn) &amp; "":"" &amp; ADDRESS(MaxOrTarget+2, DVTColumn))) / LabSpeed,
  M119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9" s="1249"/>
      <c r="Q119" s="1249"/>
      <c r="R119" s="1249"/>
      <c r="S119" s="1249"/>
      <c r="T119" s="1250" t="str">
        <f>IFERROR(__xludf.DUMMYFUNCTION("if(S119 &lt;&gt; """", 
  LET( 
    TargetLevel, VLOOKUP(S119,MS_Labs_Array,3,false),
    MaxLevel, VLOOKUP(S119,MS_Labs_Array,4,false),
    MaxOrTarget, IF(OR(TargetLevel = """",$AD$1 &lt;&gt; ""Target""), MaxLevel, TargetLevel),
    LabLevel, VLOOKUP(S119,MS_Labs_A"&amp;"rray,2,False),
    Levelprogress, LabLevel / MaxOrTarget,
    DVTColumn, MATCH(S119,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9" s="1251" t="str">
        <f>IFERROR(__xludf.DUMMYFUNCTION("if(S119 &lt;&gt; """", 
  LET(
    TargetLevel, VLOOKUP(S119,MS_Labs_Array,3,false),
    LabSpeed, (1 * REGEXEXTRACT($BH$1, ""[\d.-]+"")) * {IF(S119 =""Labs Speed"", 1+'Master Sheet'!$BK$5, LAB_SPEED_TOTAL())},
    MaxLevel, VLOOKUP(S119,MS_Labs_Array,4,false),"&amp;"
    MaxOrTarget, IF(OR(TargetLevel = """",$AD$1 &lt;&gt; ""Target""), MaxLevel, TargetLevel),
    LabLevel, VLOOKUP(S119,MS_Labs_Array,2,False),
    DVTColumn, MATCH(S119, DVT_Laboratory!$A$1:BO$1, 0),
    xextTime, INDIRECT(""DVT_Laboratory!"" &amp; ADDRESS(LabLe"&amp;"vel+3, DVTColumn)) / LabSpeed,
    remainingTime, SUM(INDIRECT(""DVT_Laboratory!"" &amp; ADDRESS(LabLevel+3, DVTColumn) &amp; "":"" &amp; ADDRESS(MaxOrTarget+2, DVTColumn))) / LabSpeed,
  S119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9" s="1249"/>
      <c r="W119" s="1249"/>
      <c r="X119" s="1249"/>
      <c r="Y119" s="1249"/>
      <c r="Z119" s="1250" t="str">
        <f>IFERROR(__xludf.DUMMYFUNCTION("if(Y119 &lt;&gt; """", 
  LET( 
    TargetLevel, VLOOKUP(Y119,MS_Labs_Array,3,false),
    MaxLevel, VLOOKUP(Y119,MS_Labs_Array,4,false),
    MaxOrTarget, IF(OR(TargetLevel = """",$AD$1 &lt;&gt; ""Target""), MaxLevel, TargetLevel),
    LabLevel, VLOOKUP(Y119,MS_Labs_A"&amp;"rray,2,False),
    Levelprogress, LabLevel / MaxOrTarget,
    DVTColumn, MATCH(Y119,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9" s="1251" t="str">
        <f>IFERROR(__xludf.DUMMYFUNCTION("if(Y119 &lt;&gt; """", 
  LET(
    TargetLevel, VLOOKUP(Y119,MS_Labs_Array,3,false),
    LabSpeed, (1 * REGEXEXTRACT($BH$1, ""[\d.-]+"")) * {IF(Y119 =""Labs Speed"", 1+'Master Sheet'!$BK$5, LAB_SPEED_TOTAL())},
    MaxLevel, VLOOKUP(Y119,MS_Labs_Array,4,false),"&amp;"
    MaxOrTarget, IF(OR(TargetLevel = """",$AD$1 &lt;&gt; ""Target""), MaxLevel, TargetLevel),
    LabLevel, VLOOKUP(Y119,MS_Labs_Array,2,False),
    DVTColumn, MATCH(Y119, DVT_Laboratory!$A$1:BO$1, 0),
    xextTime, INDIRECT(""DVT_Laboratory!"" &amp; ADDRESS(LabLe"&amp;"vel+3, DVTColumn)) / LabSpeed,
    remainingTime, SUM(INDIRECT(""DVT_Laboratory!"" &amp; ADDRESS(LabLevel+3, DVTColumn) &amp; "":"" &amp; ADDRESS(MaxOrTarget+2, DVTColumn))) / LabSpeed,
  Y119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9" s="1249"/>
      <c r="AC119" s="1249"/>
      <c r="AD119" s="1249"/>
      <c r="AE119" s="1249"/>
      <c r="AF119" s="1250" t="str">
        <f>IFERROR(__xludf.DUMMYFUNCTION("if(AE119 &lt;&gt; """", 
  LET( 
    TargetLevel, VLOOKUP(AE119,MS_Labs_Array,3,false),
    MaxLevel, VLOOKUP(AE119,MS_Labs_Array,4,false),
    MaxOrTarget, IF(OR(TargetLevel = """",$AD$1 &lt;&gt; ""Target""), MaxLevel, TargetLevel),
    LabLevel, VLOOKUP(AE119,MS_La"&amp;"bs_Array,2,False),
    Levelprogress, LabLevel / MaxOrTarget,
    DVTColumn, MATCH(AE119,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9" s="1251" t="str">
        <f>IFERROR(__xludf.DUMMYFUNCTION("if(AE119 &lt;&gt; """", 
  LET(
    TargetLevel, VLOOKUP(AE119,MS_Labs_Array,3,false),
    LabSpeed, (1 * REGEXEXTRACT($BH$1, ""[\d.-]+"")) * {IF(AE119 =""Labs Speed"", 1+'Master Sheet'!$BK$5, LAB_SPEED_TOTAL())},
    MaxLevel, VLOOKUP(AE119,MS_Labs_Array,4,fal"&amp;"se),
    MaxOrTarget, IF(OR(TargetLevel = """",$AD$1 &lt;&gt; ""Target""), MaxLevel, TargetLevel),
    LabLevel, VLOOKUP(AE119,MS_Labs_Array,2,False),
    DVTColumn, MATCH(AE119, DVT_Laboratory!$A$1:BO$1, 0),
    xextTime, INDIRECT(""DVT_Laboratory!"" &amp; ADDRESS"&amp;"(LabLevel+3, DVTColumn)) / LabSpeed,
    remainingTime, SUM(INDIRECT(""DVT_Laboratory!"" &amp; ADDRESS(LabLevel+3, DVTColumn) &amp; "":"" &amp; ADDRESS(MaxOrTarget+2, DVTColumn))) / LabSpeed,
  AE119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9" s="1249"/>
      <c r="AI119" s="1249"/>
      <c r="AJ119" s="1249"/>
      <c r="AK119" s="1249"/>
      <c r="AL119" s="1250" t="str">
        <f>IFERROR(__xludf.DUMMYFUNCTION("if(AK119 &lt;&gt; """", 
  LET( 
    TargetLevel, VLOOKUP(AK119,MS_Labs_Array,3,false),
    MaxLevel, VLOOKUP(AK119,MS_Labs_Array,4,false),
    MaxOrTarget, IF(OR(TargetLevel = """",$AD$1 &lt;&gt; ""Target""), MaxLevel, TargetLevel),
    LabLevel, VLOOKUP(AK119,MS_La"&amp;"bs_Array,2,False),
    Levelprogress, LabLevel / MaxOrTarget,
    DVTColumn, MATCH(AK119,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9" s="1251" t="str">
        <f>IFERROR(__xludf.DUMMYFUNCTION("if(AK119 &lt;&gt; """", 
  LET(
    TargetLevel, VLOOKUP(AK119,MS_Labs_Array,3,false),
    LabSpeed, (1 * REGEXEXTRACT($BH$1, ""[\d.-]+"")) * {IF(AK119 =""Labs Speed"", 1+'Master Sheet'!$BK$5, LAB_SPEED_TOTAL())},
    MaxLevel, VLOOKUP(AK119,MS_Labs_Array,4,fal"&amp;"se),
    MaxOrTarget, IF(OR(TargetLevel = """",$AD$1 &lt;&gt; ""Target""), MaxLevel, TargetLevel),
    LabLevel, VLOOKUP(AK119,MS_Labs_Array,2,False),
    DVTColumn, MATCH(AK119, DVT_Laboratory!$A$1:BO$1, 0),
    xextTime, INDIRECT(""DVT_Laboratory!"" &amp; ADDRESS"&amp;"(LabLevel+3, DVTColumn)) / LabSpeed,
    remainingTime, SUM(INDIRECT(""DVT_Laboratory!"" &amp; ADDRESS(LabLevel+3, DVTColumn) &amp; "":"" &amp; ADDRESS(MaxOrTarget+2, DVTColumn))) / LabSpeed,
  AK119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9" s="1249"/>
      <c r="AO119" s="1249"/>
      <c r="AP119" s="1249"/>
      <c r="AQ119" s="1249"/>
      <c r="AR119" s="1250" t="str">
        <f>IFERROR(__xludf.DUMMYFUNCTION("if(AQ119 &lt;&gt; """", 
  LET( 
    TargetLevel, VLOOKUP(AQ119,MS_Labs_Array,3,false),
    MaxLevel, VLOOKUP(AQ119,MS_Labs_Array,4,false),
    MaxOrTarget, IF(OR(TargetLevel = """",$AD$1 &lt;&gt; ""Target""), MaxLevel, TargetLevel),
    LabLevel, VLOOKUP(AQ119,MS_La"&amp;"bs_Array,2,False),
    Levelprogress, LabLevel / MaxOrTarget,
    DVTColumn, MATCH(AQ119,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9" s="1251" t="str">
        <f>IFERROR(__xludf.DUMMYFUNCTION("if(AQ119 &lt;&gt; """", 
  LET(
    TargetLevel, VLOOKUP(AQ119,MS_Labs_Array,3,false),
    LabSpeed, (1 * REGEXEXTRACT($BH$1, ""[\d.-]+"")) * {IF(AQ119 =""Labs Speed"", 1+'Master Sheet'!$BK$5, LAB_SPEED_TOTAL())},
    MaxLevel, VLOOKUP(AQ119,MS_Labs_Array,4,fal"&amp;"se),
    MaxOrTarget, IF(OR(TargetLevel = """",$AD$1 &lt;&gt; ""Target""), MaxLevel, TargetLevel),
    LabLevel, VLOOKUP(AQ119,MS_Labs_Array,2,False),
    DVTColumn, MATCH(AQ119, DVT_Laboratory!$A$1:BO$1, 0),
    xextTime, INDIRECT(""DVT_Laboratory!"" &amp; ADDRESS"&amp;"(LabLevel+3, DVTColumn)) / LabSpeed,
    remainingTime, SUM(INDIRECT(""DVT_Laboratory!"" &amp; ADDRESS(LabLevel+3, DVTColumn) &amp; "":"" &amp; ADDRESS(MaxOrTarget+2, DVTColumn))) / LabSpeed,
  AQ119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9" s="1249"/>
      <c r="AU119" s="1249"/>
      <c r="AV119" s="1249"/>
      <c r="AW119" s="1249"/>
      <c r="AX119" s="1250" t="str">
        <f>IFERROR(__xludf.DUMMYFUNCTION("if(AW119 &lt;&gt; """", 
  LET( 
    TargetLevel, VLOOKUP(AW119,MS_Labs_Array,3,false),
    MaxLevel, VLOOKUP(AW119,MS_Labs_Array,4,false),
    MaxOrTarget, IF(OR(TargetLevel = """",$AD$1 &lt;&gt; ""Target""), MaxLevel, TargetLevel),
    LabLevel, VLOOKUP(AW119,MS_La"&amp;"bs_Array,2,False),
    Levelprogress, LabLevel / MaxOrTarget,
    DVTColumn, MATCH(AW119,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9" s="1251" t="str">
        <f>IFERROR(__xludf.DUMMYFUNCTION("if(AW119 &lt;&gt; """", 
  LET(
    TargetLevel, VLOOKUP(AW119,MS_Labs_Array,3,false),
    LabSpeed, (1 * REGEXEXTRACT($BH$1, ""[\d.-]+"")) * {IF(AW119 =""Labs Speed"", 1+'Master Sheet'!$BK$5, LAB_SPEED_TOTAL())},
    MaxLevel, VLOOKUP(AW119,MS_Labs_Array,4,fal"&amp;"se),
    MaxOrTarget, IF(OR(TargetLevel = """",$AD$1 &lt;&gt; ""Target""), MaxLevel, TargetLevel),
    LabLevel, VLOOKUP(AW119,MS_Labs_Array,2,False),
    DVTColumn, MATCH(AW119, DVT_Laboratory!$A$1:BO$1, 0),
    xextTime, INDIRECT(""DVT_Laboratory!"" &amp; ADDRESS"&amp;"(LabLevel+3, DVTColumn)) / LabSpeed,
    remainingTime, SUM(INDIRECT(""DVT_Laboratory!"" &amp; ADDRESS(LabLevel+3, DVTColumn) &amp; "":"" &amp; ADDRESS(MaxOrTarget+2, DVTColumn))) / LabSpeed,
  AW119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9" s="1249"/>
      <c r="BA119" s="1249"/>
      <c r="BB119" s="1249"/>
      <c r="BC119" s="1249"/>
      <c r="BD119" s="1250" t="str">
        <f>IFERROR(__xludf.DUMMYFUNCTION("if(BC119 &lt;&gt; """", 
  LET( 
    TargetLevel, VLOOKUP(BC119,MS_Labs_Array,3,false),
    MaxLevel, VLOOKUP(BC119,MS_Labs_Array,4,false),
    MaxOrTarget, IF(OR(TargetLevel = """",$AD$1 &lt;&gt; ""Target""), MaxLevel, TargetLevel),
    LabLevel, VLOOKUP(BC119,MS_La"&amp;"bs_Array,2,False),
    Levelprogress, LabLevel / MaxOrTarget,
    DVTColumn, MATCH(BC119,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9" s="1251" t="str">
        <f>IFERROR(__xludf.DUMMYFUNCTION("if(BC119 &lt;&gt; """", 
  LET(
    TargetLevel, VLOOKUP(BC119,MS_Labs_Array,3,false),
    LabSpeed, (1 * REGEXEXTRACT($BH$1, ""[\d.-]+"")) * {IF(BC119 =""Labs Speed"", 1+'Master Sheet'!$BK$5, LAB_SPEED_TOTAL())},
    MaxLevel, VLOOKUP(BC119,MS_Labs_Array,4,fal"&amp;"se),
    MaxOrTarget, IF(OR(TargetLevel = """",$AD$1 &lt;&gt; ""Target""), MaxLevel, TargetLevel),
    LabLevel, VLOOKUP(BC119,MS_Labs_Array,2,False),
    DVTColumn, MATCH(BC119, DVT_Laboratory!$A$1:BO$1, 0),
    xextTime, INDIRECT(""DVT_Laboratory!"" &amp; ADDRESS"&amp;"(LabLevel+3, DVTColumn)) / LabSpeed,
    remainingTime, SUM(INDIRECT(""DVT_Laboratory!"" &amp; ADDRESS(LabLevel+3, DVTColumn) &amp; "":"" &amp; ADDRESS(MaxOrTarget+2, DVTColumn))) / LabSpeed,
  BC119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9" s="1249"/>
      <c r="BG119" s="1249"/>
      <c r="BH119" s="1260"/>
      <c r="BI119" s="1252"/>
      <c r="BJ119" s="1253" t="str">
        <f>IFERROR(__xludf.DUMMYFUNCTION("if(BI119 &lt;&gt; """", 
  LET( 
    TargetLevel, VLOOKUP(BI119,MS_Labs_Array,3,false),
    MaxLevel, VLOOKUP(BI119,MS_Labs_Array,4,false),
    MaxOrTarget, IF(OR(TargetLevel = """",$AD$1 &lt;&gt; ""Target""), MaxLevel, TargetLevel),
    LabLevel, VLOOKUP(BI119,MS_La"&amp;"bs_Array,2,False),
    Levelprogress, IF(LabLevel &gt;= MaxOrTarget, 1, LabLevel / MaxOrTarget),
    DVTColumn, MATCH(BI119,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9" s="1254" t="str">
        <f>IFERROR(__xludf.DUMMYFUNCTION("if(BI119 &lt;&gt; """", 
  LET(
    TargetLevel, VLOOKUP(BI119,MS_Labs_Array,3,false),
    LabSpeed, (1 * REGEXEXTRACT($BH$1, ""[\d.-]+"")) * {IF(BI119 =""Labs Speed"", 1+'Master Sheet'!$BK$5, LAB_SPEED_TOTAL())},
    MaxLevel, VLOOKUP(BI119,MS_Labs_Array,4,fal"&amp;"se),
    MaxOrTarget, IF(OR(TargetLevel = """",$AD$1 &lt;&gt; ""Target""), MaxLevel, TargetLevel),
    LabLevel, VLOOKUP(BI119,MS_Labs_Array,2,False),
    DVTColumn, MATCH(BI119, DVT_Laboratory!$A$1:BO$1, 0),
    xextTime, INDIRECT(""DVT_Laboratory!"" &amp; ADDRESS"&amp;"(LabLevel+3, DVTColumn)) / LabSpeed,
    remainingTime, SUM(INDIRECT(""DVT_Laboratory!"" &amp; ADDRESS(LabLevel+3, DVTColumn) &amp; "":"" &amp; ADDRESS(MaxOrTarget+2, DVTColumn))) / LabSpeed,
  BI119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9" s="1252"/>
      <c r="BM119" s="1252"/>
      <c r="BN119" s="1222"/>
      <c r="BO119" s="1261"/>
    </row>
    <row r="120" ht="7.5" customHeight="1">
      <c r="A120" s="1222"/>
      <c r="B120" s="1274"/>
      <c r="C120" s="1275"/>
      <c r="D120" s="1274"/>
      <c r="E120" s="1274"/>
      <c r="F120" s="1274"/>
      <c r="G120" s="1296"/>
      <c r="H120" s="1315"/>
      <c r="I120" s="1315"/>
      <c r="J120" s="1248"/>
      <c r="K120" s="1229"/>
      <c r="L120" s="1249" t="str">
        <f>IFERROR(__xludf.DUMMYFUNCTION("""COMPUTED_VALUE"""),"")</f>
        <v/>
      </c>
      <c r="M120" s="1249"/>
      <c r="N120" s="1250" t="str">
        <f>IFERROR(__xludf.DUMMYFUNCTION("if(M120 &lt;&gt; """", 
  LET( 
    TargetLevel, VLOOKUP(M120,MS_Labs_Array,3,false),
    MaxLevel, VLOOKUP(M120,MS_Labs_Array,4,false),
    MaxOrTarget, IF(OR(TargetLevel = """",$AD$1 &lt;&gt; ""Target""), MaxLevel, TargetLevel),
    LabLevel, VLOOKUP(M120,MS_Labs_A"&amp;"rray,2,False),
    Levelprogress, LabLevel / MaxOrTarget,
    DVTColumn, MATCH(M120,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0" s="1251" t="str">
        <f>IFERROR(__xludf.DUMMYFUNCTION("if(M120 &lt;&gt; """", 
  LET(
    TargetLevel, VLOOKUP(M120,MS_Labs_Array,3,false),
    LabSpeed, (1 * REGEXEXTRACT($BH$1, ""[\d.-]+"")) * {IF(M120 =""Labs Speed"", 1+'Master Sheet'!$BK$5, LAB_SPEED_TOTAL())},
    MaxLevel, VLOOKUP(M120,MS_Labs_Array,4,false),"&amp;"
    MaxOrTarget, IF(OR(TargetLevel = """",$AD$1 &lt;&gt; ""Target""), MaxLevel, TargetLevel),
    LabLevel, VLOOKUP(M120,MS_Labs_Array,2,False),
    DVTColumn, MATCH(M120, DVT_Laboratory!$A$1:BO$1, 0),
    xextTime, INDIRECT(""DVT_Laboratory!"" &amp; ADDRESS(LabLe"&amp;"vel+3, DVTColumn)) / LabSpeed,
    remainingTime, SUM(INDIRECT(""DVT_Laboratory!"" &amp; ADDRESS(LabLevel+3, DVTColumn) &amp; "":"" &amp; ADDRESS(MaxOrTarget+2, DVTColumn))) / LabSpeed,
  M120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0" s="1249"/>
      <c r="Q120" s="1249" t="str">
        <f>IFERROR(__xludf.DUMMYFUNCTION("""COMPUTED_VALUE"""),"")</f>
        <v/>
      </c>
      <c r="R120" s="1249" t="str">
        <f>IFERROR(__xludf.DUMMYFUNCTION("""COMPUTED_VALUE"""),"")</f>
        <v/>
      </c>
      <c r="S120" s="1249"/>
      <c r="T120" s="1250" t="str">
        <f>IFERROR(__xludf.DUMMYFUNCTION("if(S120 &lt;&gt; """", 
  LET( 
    TargetLevel, VLOOKUP(S120,MS_Labs_Array,3,false),
    MaxLevel, VLOOKUP(S120,MS_Labs_Array,4,false),
    MaxOrTarget, IF(OR(TargetLevel = """",$AD$1 &lt;&gt; ""Target""), MaxLevel, TargetLevel),
    LabLevel, VLOOKUP(S120,MS_Labs_A"&amp;"rray,2,False),
    Levelprogress, LabLevel / MaxOrTarget,
    DVTColumn, MATCH(S120,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0" s="1251" t="str">
        <f>IFERROR(__xludf.DUMMYFUNCTION("if(S120 &lt;&gt; """", 
  LET(
    TargetLevel, VLOOKUP(S120,MS_Labs_Array,3,false),
    LabSpeed, (1 * REGEXEXTRACT($BH$1, ""[\d.-]+"")) * {IF(S120 =""Labs Speed"", 1+'Master Sheet'!$BK$5, LAB_SPEED_TOTAL())},
    MaxLevel, VLOOKUP(S120,MS_Labs_Array,4,false),"&amp;"
    MaxOrTarget, IF(OR(TargetLevel = """",$AD$1 &lt;&gt; ""Target""), MaxLevel, TargetLevel),
    LabLevel, VLOOKUP(S120,MS_Labs_Array,2,False),
    DVTColumn, MATCH(S120, DVT_Laboratory!$A$1:BO$1, 0),
    xextTime, INDIRECT(""DVT_Laboratory!"" &amp; ADDRESS(LabLe"&amp;"vel+3, DVTColumn)) / LabSpeed,
    remainingTime, SUM(INDIRECT(""DVT_Laboratory!"" &amp; ADDRESS(LabLevel+3, DVTColumn) &amp; "":"" &amp; ADDRESS(MaxOrTarget+2, DVTColumn))) / LabSpeed,
  S120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0" s="1249"/>
      <c r="W120" s="1249" t="str">
        <f>IFERROR(__xludf.DUMMYFUNCTION("""COMPUTED_VALUE"""),"")</f>
        <v/>
      </c>
      <c r="X120" s="1249" t="str">
        <f>IFERROR(__xludf.DUMMYFUNCTION("""COMPUTED_VALUE"""),"")</f>
        <v/>
      </c>
      <c r="Y120" s="1249"/>
      <c r="Z120" s="1250" t="str">
        <f>IFERROR(__xludf.DUMMYFUNCTION("if(Y120 &lt;&gt; """", 
  LET( 
    TargetLevel, VLOOKUP(Y120,MS_Labs_Array,3,false),
    MaxLevel, VLOOKUP(Y120,MS_Labs_Array,4,false),
    MaxOrTarget, IF(OR(TargetLevel = """",$AD$1 &lt;&gt; ""Target""), MaxLevel, TargetLevel),
    LabLevel, VLOOKUP(Y120,MS_Labs_A"&amp;"rray,2,False),
    Levelprogress, LabLevel / MaxOrTarget,
    DVTColumn, MATCH(Y120,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0" s="1251" t="str">
        <f>IFERROR(__xludf.DUMMYFUNCTION("if(Y120 &lt;&gt; """", 
  LET(
    TargetLevel, VLOOKUP(Y120,MS_Labs_Array,3,false),
    LabSpeed, (1 * REGEXEXTRACT($BH$1, ""[\d.-]+"")) * {IF(Y120 =""Labs Speed"", 1+'Master Sheet'!$BK$5, LAB_SPEED_TOTAL())},
    MaxLevel, VLOOKUP(Y120,MS_Labs_Array,4,false),"&amp;"
    MaxOrTarget, IF(OR(TargetLevel = """",$AD$1 &lt;&gt; ""Target""), MaxLevel, TargetLevel),
    LabLevel, VLOOKUP(Y120,MS_Labs_Array,2,False),
    DVTColumn, MATCH(Y120, DVT_Laboratory!$A$1:BO$1, 0),
    xextTime, INDIRECT(""DVT_Laboratory!"" &amp; ADDRESS(LabLe"&amp;"vel+3, DVTColumn)) / LabSpeed,
    remainingTime, SUM(INDIRECT(""DVT_Laboratory!"" &amp; ADDRESS(LabLevel+3, DVTColumn) &amp; "":"" &amp; ADDRESS(MaxOrTarget+2, DVTColumn))) / LabSpeed,
  Y120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0" s="1249"/>
      <c r="AC120" s="1249" t="str">
        <f>IFERROR(__xludf.DUMMYFUNCTION("""COMPUTED_VALUE"""),"")</f>
        <v/>
      </c>
      <c r="AD120" s="1249" t="str">
        <f>IFERROR(__xludf.DUMMYFUNCTION("""COMPUTED_VALUE"""),"")</f>
        <v/>
      </c>
      <c r="AE120" s="1249"/>
      <c r="AF120" s="1250" t="str">
        <f>IFERROR(__xludf.DUMMYFUNCTION("if(AE120 &lt;&gt; """", 
  LET( 
    TargetLevel, VLOOKUP(AE120,MS_Labs_Array,3,false),
    MaxLevel, VLOOKUP(AE120,MS_Labs_Array,4,false),
    MaxOrTarget, IF(OR(TargetLevel = """",$AD$1 &lt;&gt; ""Target""), MaxLevel, TargetLevel),
    LabLevel, VLOOKUP(AE120,MS_La"&amp;"bs_Array,2,False),
    Levelprogress, LabLevel / MaxOrTarget,
    DVTColumn, MATCH(AE120,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0" s="1251" t="str">
        <f>IFERROR(__xludf.DUMMYFUNCTION("if(AE120 &lt;&gt; """", 
  LET(
    TargetLevel, VLOOKUP(AE120,MS_Labs_Array,3,false),
    LabSpeed, (1 * REGEXEXTRACT($BH$1, ""[\d.-]+"")) * {IF(AE120 =""Labs Speed"", 1+'Master Sheet'!$BK$5, LAB_SPEED_TOTAL())},
    MaxLevel, VLOOKUP(AE120,MS_Labs_Array,4,fal"&amp;"se),
    MaxOrTarget, IF(OR(TargetLevel = """",$AD$1 &lt;&gt; ""Target""), MaxLevel, TargetLevel),
    LabLevel, VLOOKUP(AE120,MS_Labs_Array,2,False),
    DVTColumn, MATCH(AE120, DVT_Laboratory!$A$1:BO$1, 0),
    xextTime, INDIRECT(""DVT_Laboratory!"" &amp; ADDRESS"&amp;"(LabLevel+3, DVTColumn)) / LabSpeed,
    remainingTime, SUM(INDIRECT(""DVT_Laboratory!"" &amp; ADDRESS(LabLevel+3, DVTColumn) &amp; "":"" &amp; ADDRESS(MaxOrTarget+2, DVTColumn))) / LabSpeed,
  AE120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0" s="1249"/>
      <c r="AI120" s="1249" t="str">
        <f>IFERROR(__xludf.DUMMYFUNCTION("""COMPUTED_VALUE"""),"")</f>
        <v/>
      </c>
      <c r="AJ120" s="1249" t="str">
        <f>IFERROR(__xludf.DUMMYFUNCTION("""COMPUTED_VALUE"""),"")</f>
        <v/>
      </c>
      <c r="AK120" s="1249"/>
      <c r="AL120" s="1250" t="str">
        <f>IFERROR(__xludf.DUMMYFUNCTION("if(AK120 &lt;&gt; """", 
  LET( 
    TargetLevel, VLOOKUP(AK120,MS_Labs_Array,3,false),
    MaxLevel, VLOOKUP(AK120,MS_Labs_Array,4,false),
    MaxOrTarget, IF(OR(TargetLevel = """",$AD$1 &lt;&gt; ""Target""), MaxLevel, TargetLevel),
    LabLevel, VLOOKUP(AK120,MS_La"&amp;"bs_Array,2,False),
    Levelprogress, LabLevel / MaxOrTarget,
    DVTColumn, MATCH(AK120,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0" s="1251" t="str">
        <f>IFERROR(__xludf.DUMMYFUNCTION("if(AK120 &lt;&gt; """", 
  LET(
    TargetLevel, VLOOKUP(AK120,MS_Labs_Array,3,false),
    LabSpeed, (1 * REGEXEXTRACT($BH$1, ""[\d.-]+"")) * {IF(AK120 =""Labs Speed"", 1+'Master Sheet'!$BK$5, LAB_SPEED_TOTAL())},
    MaxLevel, VLOOKUP(AK120,MS_Labs_Array,4,fal"&amp;"se),
    MaxOrTarget, IF(OR(TargetLevel = """",$AD$1 &lt;&gt; ""Target""), MaxLevel, TargetLevel),
    LabLevel, VLOOKUP(AK120,MS_Labs_Array,2,False),
    DVTColumn, MATCH(AK120, DVT_Laboratory!$A$1:BO$1, 0),
    xextTime, INDIRECT(""DVT_Laboratory!"" &amp; ADDRESS"&amp;"(LabLevel+3, DVTColumn)) / LabSpeed,
    remainingTime, SUM(INDIRECT(""DVT_Laboratory!"" &amp; ADDRESS(LabLevel+3, DVTColumn) &amp; "":"" &amp; ADDRESS(MaxOrTarget+2, DVTColumn))) / LabSpeed,
  AK120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0" s="1249"/>
      <c r="AO120" s="1249" t="str">
        <f>IFERROR(__xludf.DUMMYFUNCTION("""COMPUTED_VALUE"""),"")</f>
        <v/>
      </c>
      <c r="AP120" s="1249" t="str">
        <f>IFERROR(__xludf.DUMMYFUNCTION("""COMPUTED_VALUE"""),"")</f>
        <v/>
      </c>
      <c r="AQ120" s="1249"/>
      <c r="AR120" s="1250" t="str">
        <f>IFERROR(__xludf.DUMMYFUNCTION("if(AQ120 &lt;&gt; """", 
  LET( 
    TargetLevel, VLOOKUP(AQ120,MS_Labs_Array,3,false),
    MaxLevel, VLOOKUP(AQ120,MS_Labs_Array,4,false),
    MaxOrTarget, IF(OR(TargetLevel = """",$AD$1 &lt;&gt; ""Target""), MaxLevel, TargetLevel),
    LabLevel, VLOOKUP(AQ120,MS_La"&amp;"bs_Array,2,False),
    Levelprogress, LabLevel / MaxOrTarget,
    DVTColumn, MATCH(AQ120,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0" s="1251" t="str">
        <f>IFERROR(__xludf.DUMMYFUNCTION("if(AQ120 &lt;&gt; """", 
  LET(
    TargetLevel, VLOOKUP(AQ120,MS_Labs_Array,3,false),
    LabSpeed, (1 * REGEXEXTRACT($BH$1, ""[\d.-]+"")) * {IF(AQ120 =""Labs Speed"", 1+'Master Sheet'!$BK$5, LAB_SPEED_TOTAL())},
    MaxLevel, VLOOKUP(AQ120,MS_Labs_Array,4,fal"&amp;"se),
    MaxOrTarget, IF(OR(TargetLevel = """",$AD$1 &lt;&gt; ""Target""), MaxLevel, TargetLevel),
    LabLevel, VLOOKUP(AQ120,MS_Labs_Array,2,False),
    DVTColumn, MATCH(AQ120, DVT_Laboratory!$A$1:BO$1, 0),
    xextTime, INDIRECT(""DVT_Laboratory!"" &amp; ADDRESS"&amp;"(LabLevel+3, DVTColumn)) / LabSpeed,
    remainingTime, SUM(INDIRECT(""DVT_Laboratory!"" &amp; ADDRESS(LabLevel+3, DVTColumn) &amp; "":"" &amp; ADDRESS(MaxOrTarget+2, DVTColumn))) / LabSpeed,
  AQ120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0" s="1249"/>
      <c r="AU120" s="1249" t="str">
        <f>IFERROR(__xludf.DUMMYFUNCTION("""COMPUTED_VALUE"""),"")</f>
        <v/>
      </c>
      <c r="AV120" s="1249" t="str">
        <f>IFERROR(__xludf.DUMMYFUNCTION("""COMPUTED_VALUE"""),"")</f>
        <v/>
      </c>
      <c r="AW120" s="1249"/>
      <c r="AX120" s="1250" t="str">
        <f>IFERROR(__xludf.DUMMYFUNCTION("if(AW120 &lt;&gt; """", 
  LET( 
    TargetLevel, VLOOKUP(AW120,MS_Labs_Array,3,false),
    MaxLevel, VLOOKUP(AW120,MS_Labs_Array,4,false),
    MaxOrTarget, IF(OR(TargetLevel = """",$AD$1 &lt;&gt; ""Target""), MaxLevel, TargetLevel),
    LabLevel, VLOOKUP(AW120,MS_La"&amp;"bs_Array,2,False),
    Levelprogress, LabLevel / MaxOrTarget,
    DVTColumn, MATCH(AW120,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0" s="1251" t="str">
        <f>IFERROR(__xludf.DUMMYFUNCTION("if(AW120 &lt;&gt; """", 
  LET(
    TargetLevel, VLOOKUP(AW120,MS_Labs_Array,3,false),
    LabSpeed, (1 * REGEXEXTRACT($BH$1, ""[\d.-]+"")) * {IF(AW120 =""Labs Speed"", 1+'Master Sheet'!$BK$5, LAB_SPEED_TOTAL())},
    MaxLevel, VLOOKUP(AW120,MS_Labs_Array,4,fal"&amp;"se),
    MaxOrTarget, IF(OR(TargetLevel = """",$AD$1 &lt;&gt; ""Target""), MaxLevel, TargetLevel),
    LabLevel, VLOOKUP(AW120,MS_Labs_Array,2,False),
    DVTColumn, MATCH(AW120, DVT_Laboratory!$A$1:BO$1, 0),
    xextTime, INDIRECT(""DVT_Laboratory!"" &amp; ADDRESS"&amp;"(LabLevel+3, DVTColumn)) / LabSpeed,
    remainingTime, SUM(INDIRECT(""DVT_Laboratory!"" &amp; ADDRESS(LabLevel+3, DVTColumn) &amp; "":"" &amp; ADDRESS(MaxOrTarget+2, DVTColumn))) / LabSpeed,
  AW120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0" s="1249"/>
      <c r="BA120" s="1249" t="str">
        <f>IFERROR(__xludf.DUMMYFUNCTION("""COMPUTED_VALUE"""),"")</f>
        <v/>
      </c>
      <c r="BB120" s="1249" t="str">
        <f>IFERROR(__xludf.DUMMYFUNCTION("""COMPUTED_VALUE"""),"")</f>
        <v/>
      </c>
      <c r="BC120" s="1249"/>
      <c r="BD120" s="1250" t="str">
        <f>IFERROR(__xludf.DUMMYFUNCTION("if(BC120 &lt;&gt; """", 
  LET( 
    TargetLevel, VLOOKUP(BC120,MS_Labs_Array,3,false),
    MaxLevel, VLOOKUP(BC120,MS_Labs_Array,4,false),
    MaxOrTarget, IF(OR(TargetLevel = """",$AD$1 &lt;&gt; ""Target""), MaxLevel, TargetLevel),
    LabLevel, VLOOKUP(BC120,MS_La"&amp;"bs_Array,2,False),
    Levelprogress, LabLevel / MaxOrTarget,
    DVTColumn, MATCH(BC120,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0" s="1251" t="str">
        <f>IFERROR(__xludf.DUMMYFUNCTION("if(BC120 &lt;&gt; """", 
  LET(
    TargetLevel, VLOOKUP(BC120,MS_Labs_Array,3,false),
    LabSpeed, (1 * REGEXEXTRACT($BH$1, ""[\d.-]+"")) * {IF(BC120 =""Labs Speed"", 1+'Master Sheet'!$BK$5, LAB_SPEED_TOTAL())},
    MaxLevel, VLOOKUP(BC120,MS_Labs_Array,4,fal"&amp;"se),
    MaxOrTarget, IF(OR(TargetLevel = """",$AD$1 &lt;&gt; ""Target""), MaxLevel, TargetLevel),
    LabLevel, VLOOKUP(BC120,MS_Labs_Array,2,False),
    DVTColumn, MATCH(BC120, DVT_Laboratory!$A$1:BO$1, 0),
    xextTime, INDIRECT(""DVT_Laboratory!"" &amp; ADDRESS"&amp;"(LabLevel+3, DVTColumn)) / LabSpeed,
    remainingTime, SUM(INDIRECT(""DVT_Laboratory!"" &amp; ADDRESS(LabLevel+3, DVTColumn) &amp; "":"" &amp; ADDRESS(MaxOrTarget+2, DVTColumn))) / LabSpeed,
  BC120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0" s="1249"/>
      <c r="BG120" s="1249" t="str">
        <f>IFERROR(__xludf.DUMMYFUNCTION("""COMPUTED_VALUE"""),"")</f>
        <v/>
      </c>
      <c r="BH120" s="1260" t="str">
        <f>IFERROR(__xludf.DUMMYFUNCTION("""COMPUTED_VALUE"""),"")</f>
        <v/>
      </c>
      <c r="BI120" s="1252"/>
      <c r="BJ120" s="1253" t="str">
        <f>IFERROR(__xludf.DUMMYFUNCTION("if(BI120 &lt;&gt; """", 
  LET( 
    TargetLevel, VLOOKUP(BI120,MS_Labs_Array,3,false),
    MaxLevel, VLOOKUP(BI120,MS_Labs_Array,4,false),
    MaxOrTarget, IF(OR(TargetLevel = """",$AD$1 &lt;&gt; ""Target""), MaxLevel, TargetLevel),
    LabLevel, VLOOKUP(BI120,MS_La"&amp;"bs_Array,2,False),
    Levelprogress, IF(LabLevel &gt;= MaxOrTarget, 1, LabLevel / MaxOrTarget),
    DVTColumn, MATCH(BI120,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0" s="1254" t="str">
        <f>IFERROR(__xludf.DUMMYFUNCTION("if(BI120 &lt;&gt; """", 
  LET(
    TargetLevel, VLOOKUP(BI120,MS_Labs_Array,3,false),
    LabSpeed, (1 * REGEXEXTRACT($BH$1, ""[\d.-]+"")) * {IF(BI120 =""Labs Speed"", 1+'Master Sheet'!$BK$5, LAB_SPEED_TOTAL())},
    MaxLevel, VLOOKUP(BI120,MS_Labs_Array,4,fal"&amp;"se),
    MaxOrTarget, IF(OR(TargetLevel = """",$AD$1 &lt;&gt; ""Target""), MaxLevel, TargetLevel),
    LabLevel, VLOOKUP(BI120,MS_Labs_Array,2,False),
    DVTColumn, MATCH(BI120, DVT_Laboratory!$A$1:BO$1, 0),
    xextTime, INDIRECT(""DVT_Laboratory!"" &amp; ADDRESS"&amp;"(LabLevel+3, DVTColumn)) / LabSpeed,
    remainingTime, SUM(INDIRECT(""DVT_Laboratory!"" &amp; ADDRESS(LabLevel+3, DVTColumn) &amp; "":"" &amp; ADDRESS(MaxOrTarget+2, DVTColumn))) / LabSpeed,
  BI120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0" s="1252"/>
      <c r="BM120" s="1252" t="str">
        <f>IFERROR(__xludf.DUMMYFUNCTION("""COMPUTED_VALUE"""),"")</f>
        <v/>
      </c>
      <c r="BN120" s="1222"/>
      <c r="BO120" s="1261"/>
    </row>
    <row r="121">
      <c r="A121" s="1222"/>
      <c r="B121" s="1240" t="s">
        <v>558</v>
      </c>
      <c r="C121" s="1319" t="s">
        <v>161</v>
      </c>
      <c r="D121" s="1280" t="str">
        <f>VLOOKUP(C121,'Remote Tier List'!A:D, 2, FALSE)</f>
        <v>C</v>
      </c>
      <c r="E121" s="1281" t="str">
        <f>VLOOKUP(C121,'Remote Tier List'!A:D, 3, FALSE)</f>
        <v/>
      </c>
      <c r="F121" s="1320" t="str">
        <f>VLOOKUP(C121,'Remote Tier List'!A:D, 4, FALSE)</f>
        <v>Required for consistent damage reduction</v>
      </c>
      <c r="G121" s="1321" t="b">
        <f>IFERROR(AND(VLOOKUP("Tier 5",'_IDS'!$BZ$3:$DT$23, 2, FALSE) &gt; 60,IDS_BOT_OWN("Flame Bot")), true)</f>
        <v>1</v>
      </c>
      <c r="H121" s="1246" t="str">
        <f t="array" ref="H121:I121">LET(
  Lab, $C121,
  Mode, $AD$1,
  Level, VLOOKUP(Lab, MS_Labs_Array, 2, FALSE),
  Target, VLOOKUP(Lab, MS_Labs_Array, 3, FALSE),
  Max, VLOOKUP(Lab, MS_Labs_Array, 4, FALSE),
  Result,
    IF(
      AND(
        Mode &lt;&gt; "Never",
        Level &gt;= IF(OR(Target = "", Mode = "Max"), Max, Target)
      ),
      "Completed",
      ""
    ),
  HSTACK(
    IF(Result &lt;&gt; "", Result, $D121),
    IF(Result &lt;&gt; "", Result, IF($E121 = "", $D121, $E121))
  )
)</f>
        <v>Completed</v>
      </c>
      <c r="I121" s="1247" t="s">
        <v>551</v>
      </c>
      <c r="J121" s="1248" t="str">
        <f t="shared" ref="J121:J128" si="22">if(ISBLANK(F121),J120, F121)</f>
        <v>Required for consistent damage reduction</v>
      </c>
      <c r="K121" s="1229"/>
      <c r="L121" s="1249"/>
      <c r="M121" s="1249"/>
      <c r="N121" s="1250" t="str">
        <f>IFERROR(__xludf.DUMMYFUNCTION("if(M121 &lt;&gt; """", 
  LET( 
    TargetLevel, VLOOKUP(M121,MS_Labs_Array,3,false),
    MaxLevel, VLOOKUP(M121,MS_Labs_Array,4,false),
    MaxOrTarget, IF(OR(TargetLevel = """",$AD$1 &lt;&gt; ""Target""), MaxLevel, TargetLevel),
    LabLevel, VLOOKUP(M121,MS_Labs_A"&amp;"rray,2,False),
    Levelprogress, LabLevel / MaxOrTarget,
    DVTColumn, MATCH(M121,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1" s="1251" t="str">
        <f>IFERROR(__xludf.DUMMYFUNCTION("if(M121 &lt;&gt; """", 
  LET(
    TargetLevel, VLOOKUP(M121,MS_Labs_Array,3,false),
    LabSpeed, (1 * REGEXEXTRACT($BH$1, ""[\d.-]+"")) * {IF(M121 =""Labs Speed"", 1+'Master Sheet'!$BK$5, LAB_SPEED_TOTAL())},
    MaxLevel, VLOOKUP(M121,MS_Labs_Array,4,false),"&amp;"
    MaxOrTarget, IF(OR(TargetLevel = """",$AD$1 &lt;&gt; ""Target""), MaxLevel, TargetLevel),
    LabLevel, VLOOKUP(M121,MS_Labs_Array,2,False),
    DVTColumn, MATCH(M121, DVT_Laboratory!$A$1:BO$1, 0),
    xextTime, INDIRECT(""DVT_Laboratory!"" &amp; ADDRESS(LabLe"&amp;"vel+3, DVTColumn)) / LabSpeed,
    remainingTime, SUM(INDIRECT(""DVT_Laboratory!"" &amp; ADDRESS(LabLevel+3, DVTColumn) &amp; "":"" &amp; ADDRESS(MaxOrTarget+2, DVTColumn))) / LabSpeed,
  M121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1" s="1249"/>
      <c r="Q121" s="1249"/>
      <c r="R121" s="1249"/>
      <c r="S121" s="1249"/>
      <c r="T121" s="1250" t="str">
        <f>IFERROR(__xludf.DUMMYFUNCTION("if(S121 &lt;&gt; """", 
  LET( 
    TargetLevel, VLOOKUP(S121,MS_Labs_Array,3,false),
    MaxLevel, VLOOKUP(S121,MS_Labs_Array,4,false),
    MaxOrTarget, IF(OR(TargetLevel = """",$AD$1 &lt;&gt; ""Target""), MaxLevel, TargetLevel),
    LabLevel, VLOOKUP(S121,MS_Labs_A"&amp;"rray,2,False),
    Levelprogress, LabLevel / MaxOrTarget,
    DVTColumn, MATCH(S121,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1" s="1251" t="str">
        <f>IFERROR(__xludf.DUMMYFUNCTION("if(S121 &lt;&gt; """", 
  LET(
    TargetLevel, VLOOKUP(S121,MS_Labs_Array,3,false),
    LabSpeed, (1 * REGEXEXTRACT($BH$1, ""[\d.-]+"")) * {IF(S121 =""Labs Speed"", 1+'Master Sheet'!$BK$5, LAB_SPEED_TOTAL())},
    MaxLevel, VLOOKUP(S121,MS_Labs_Array,4,false),"&amp;"
    MaxOrTarget, IF(OR(TargetLevel = """",$AD$1 &lt;&gt; ""Target""), MaxLevel, TargetLevel),
    LabLevel, VLOOKUP(S121,MS_Labs_Array,2,False),
    DVTColumn, MATCH(S121, DVT_Laboratory!$A$1:BO$1, 0),
    xextTime, INDIRECT(""DVT_Laboratory!"" &amp; ADDRESS(LabLe"&amp;"vel+3, DVTColumn)) / LabSpeed,
    remainingTime, SUM(INDIRECT(""DVT_Laboratory!"" &amp; ADDRESS(LabLevel+3, DVTColumn) &amp; "":"" &amp; ADDRESS(MaxOrTarget+2, DVTColumn))) / LabSpeed,
  S121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1" s="1249"/>
      <c r="W121" s="1249"/>
      <c r="X121" s="1249"/>
      <c r="Y121" s="1249"/>
      <c r="Z121" s="1250" t="str">
        <f>IFERROR(__xludf.DUMMYFUNCTION("if(Y121 &lt;&gt; """", 
  LET( 
    TargetLevel, VLOOKUP(Y121,MS_Labs_Array,3,false),
    MaxLevel, VLOOKUP(Y121,MS_Labs_Array,4,false),
    MaxOrTarget, IF(OR(TargetLevel = """",$AD$1 &lt;&gt; ""Target""), MaxLevel, TargetLevel),
    LabLevel, VLOOKUP(Y121,MS_Labs_A"&amp;"rray,2,False),
    Levelprogress, LabLevel / MaxOrTarget,
    DVTColumn, MATCH(Y121,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1" s="1251" t="str">
        <f>IFERROR(__xludf.DUMMYFUNCTION("if(Y121 &lt;&gt; """", 
  LET(
    TargetLevel, VLOOKUP(Y121,MS_Labs_Array,3,false),
    LabSpeed, (1 * REGEXEXTRACT($BH$1, ""[\d.-]+"")) * {IF(Y121 =""Labs Speed"", 1+'Master Sheet'!$BK$5, LAB_SPEED_TOTAL())},
    MaxLevel, VLOOKUP(Y121,MS_Labs_Array,4,false),"&amp;"
    MaxOrTarget, IF(OR(TargetLevel = """",$AD$1 &lt;&gt; ""Target""), MaxLevel, TargetLevel),
    LabLevel, VLOOKUP(Y121,MS_Labs_Array,2,False),
    DVTColumn, MATCH(Y121, DVT_Laboratory!$A$1:BO$1, 0),
    xextTime, INDIRECT(""DVT_Laboratory!"" &amp; ADDRESS(LabLe"&amp;"vel+3, DVTColumn)) / LabSpeed,
    remainingTime, SUM(INDIRECT(""DVT_Laboratory!"" &amp; ADDRESS(LabLevel+3, DVTColumn) &amp; "":"" &amp; ADDRESS(MaxOrTarget+2, DVTColumn))) / LabSpeed,
  Y121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1" s="1249"/>
      <c r="AC121" s="1249"/>
      <c r="AD121" s="1249"/>
      <c r="AE121" s="1249"/>
      <c r="AF121" s="1250" t="str">
        <f>IFERROR(__xludf.DUMMYFUNCTION("if(AE121 &lt;&gt; """", 
  LET( 
    TargetLevel, VLOOKUP(AE121,MS_Labs_Array,3,false),
    MaxLevel, VLOOKUP(AE121,MS_Labs_Array,4,false),
    MaxOrTarget, IF(OR(TargetLevel = """",$AD$1 &lt;&gt; ""Target""), MaxLevel, TargetLevel),
    LabLevel, VLOOKUP(AE121,MS_La"&amp;"bs_Array,2,False),
    Levelprogress, LabLevel / MaxOrTarget,
    DVTColumn, MATCH(AE121,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1" s="1251" t="str">
        <f>IFERROR(__xludf.DUMMYFUNCTION("if(AE121 &lt;&gt; """", 
  LET(
    TargetLevel, VLOOKUP(AE121,MS_Labs_Array,3,false),
    LabSpeed, (1 * REGEXEXTRACT($BH$1, ""[\d.-]+"")) * {IF(AE121 =""Labs Speed"", 1+'Master Sheet'!$BK$5, LAB_SPEED_TOTAL())},
    MaxLevel, VLOOKUP(AE121,MS_Labs_Array,4,fal"&amp;"se),
    MaxOrTarget, IF(OR(TargetLevel = """",$AD$1 &lt;&gt; ""Target""), MaxLevel, TargetLevel),
    LabLevel, VLOOKUP(AE121,MS_Labs_Array,2,False),
    DVTColumn, MATCH(AE121, DVT_Laboratory!$A$1:BO$1, 0),
    xextTime, INDIRECT(""DVT_Laboratory!"" &amp; ADDRESS"&amp;"(LabLevel+3, DVTColumn)) / LabSpeed,
    remainingTime, SUM(INDIRECT(""DVT_Laboratory!"" &amp; ADDRESS(LabLevel+3, DVTColumn) &amp; "":"" &amp; ADDRESS(MaxOrTarget+2, DVTColumn))) / LabSpeed,
  AE121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1" s="1249"/>
      <c r="AI121" s="1249"/>
      <c r="AJ121" s="1249"/>
      <c r="AK121" s="1249"/>
      <c r="AL121" s="1250" t="str">
        <f>IFERROR(__xludf.DUMMYFUNCTION("if(AK121 &lt;&gt; """", 
  LET( 
    TargetLevel, VLOOKUP(AK121,MS_Labs_Array,3,false),
    MaxLevel, VLOOKUP(AK121,MS_Labs_Array,4,false),
    MaxOrTarget, IF(OR(TargetLevel = """",$AD$1 &lt;&gt; ""Target""), MaxLevel, TargetLevel),
    LabLevel, VLOOKUP(AK121,MS_La"&amp;"bs_Array,2,False),
    Levelprogress, LabLevel / MaxOrTarget,
    DVTColumn, MATCH(AK121,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1" s="1251" t="str">
        <f>IFERROR(__xludf.DUMMYFUNCTION("if(AK121 &lt;&gt; """", 
  LET(
    TargetLevel, VLOOKUP(AK121,MS_Labs_Array,3,false),
    LabSpeed, (1 * REGEXEXTRACT($BH$1, ""[\d.-]+"")) * {IF(AK121 =""Labs Speed"", 1+'Master Sheet'!$BK$5, LAB_SPEED_TOTAL())},
    MaxLevel, VLOOKUP(AK121,MS_Labs_Array,4,fal"&amp;"se),
    MaxOrTarget, IF(OR(TargetLevel = """",$AD$1 &lt;&gt; ""Target""), MaxLevel, TargetLevel),
    LabLevel, VLOOKUP(AK121,MS_Labs_Array,2,False),
    DVTColumn, MATCH(AK121, DVT_Laboratory!$A$1:BO$1, 0),
    xextTime, INDIRECT(""DVT_Laboratory!"" &amp; ADDRESS"&amp;"(LabLevel+3, DVTColumn)) / LabSpeed,
    remainingTime, SUM(INDIRECT(""DVT_Laboratory!"" &amp; ADDRESS(LabLevel+3, DVTColumn) &amp; "":"" &amp; ADDRESS(MaxOrTarget+2, DVTColumn))) / LabSpeed,
  AK121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1" s="1249"/>
      <c r="AO121" s="1249"/>
      <c r="AP121" s="1249"/>
      <c r="AQ121" s="1249"/>
      <c r="AR121" s="1250" t="str">
        <f>IFERROR(__xludf.DUMMYFUNCTION("if(AQ121 &lt;&gt; """", 
  LET( 
    TargetLevel, VLOOKUP(AQ121,MS_Labs_Array,3,false),
    MaxLevel, VLOOKUP(AQ121,MS_Labs_Array,4,false),
    MaxOrTarget, IF(OR(TargetLevel = """",$AD$1 &lt;&gt; ""Target""), MaxLevel, TargetLevel),
    LabLevel, VLOOKUP(AQ121,MS_La"&amp;"bs_Array,2,False),
    Levelprogress, LabLevel / MaxOrTarget,
    DVTColumn, MATCH(AQ121,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1" s="1251" t="str">
        <f>IFERROR(__xludf.DUMMYFUNCTION("if(AQ121 &lt;&gt; """", 
  LET(
    TargetLevel, VLOOKUP(AQ121,MS_Labs_Array,3,false),
    LabSpeed, (1 * REGEXEXTRACT($BH$1, ""[\d.-]+"")) * {IF(AQ121 =""Labs Speed"", 1+'Master Sheet'!$BK$5, LAB_SPEED_TOTAL())},
    MaxLevel, VLOOKUP(AQ121,MS_Labs_Array,4,fal"&amp;"se),
    MaxOrTarget, IF(OR(TargetLevel = """",$AD$1 &lt;&gt; ""Target""), MaxLevel, TargetLevel),
    LabLevel, VLOOKUP(AQ121,MS_Labs_Array,2,False),
    DVTColumn, MATCH(AQ121, DVT_Laboratory!$A$1:BO$1, 0),
    xextTime, INDIRECT(""DVT_Laboratory!"" &amp; ADDRESS"&amp;"(LabLevel+3, DVTColumn)) / LabSpeed,
    remainingTime, SUM(INDIRECT(""DVT_Laboratory!"" &amp; ADDRESS(LabLevel+3, DVTColumn) &amp; "":"" &amp; ADDRESS(MaxOrTarget+2, DVTColumn))) / LabSpeed,
  AQ121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1" s="1249"/>
      <c r="AU121" s="1249"/>
      <c r="AV121" s="1249"/>
      <c r="AW121" s="1249"/>
      <c r="AX121" s="1250" t="str">
        <f>IFERROR(__xludf.DUMMYFUNCTION("if(AW121 &lt;&gt; """", 
  LET( 
    TargetLevel, VLOOKUP(AW121,MS_Labs_Array,3,false),
    MaxLevel, VLOOKUP(AW121,MS_Labs_Array,4,false),
    MaxOrTarget, IF(OR(TargetLevel = """",$AD$1 &lt;&gt; ""Target""), MaxLevel, TargetLevel),
    LabLevel, VLOOKUP(AW121,MS_La"&amp;"bs_Array,2,False),
    Levelprogress, LabLevel / MaxOrTarget,
    DVTColumn, MATCH(AW121,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1" s="1251" t="str">
        <f>IFERROR(__xludf.DUMMYFUNCTION("if(AW121 &lt;&gt; """", 
  LET(
    TargetLevel, VLOOKUP(AW121,MS_Labs_Array,3,false),
    LabSpeed, (1 * REGEXEXTRACT($BH$1, ""[\d.-]+"")) * {IF(AW121 =""Labs Speed"", 1+'Master Sheet'!$BK$5, LAB_SPEED_TOTAL())},
    MaxLevel, VLOOKUP(AW121,MS_Labs_Array,4,fal"&amp;"se),
    MaxOrTarget, IF(OR(TargetLevel = """",$AD$1 &lt;&gt; ""Target""), MaxLevel, TargetLevel),
    LabLevel, VLOOKUP(AW121,MS_Labs_Array,2,False),
    DVTColumn, MATCH(AW121, DVT_Laboratory!$A$1:BO$1, 0),
    xextTime, INDIRECT(""DVT_Laboratory!"" &amp; ADDRESS"&amp;"(LabLevel+3, DVTColumn)) / LabSpeed,
    remainingTime, SUM(INDIRECT(""DVT_Laboratory!"" &amp; ADDRESS(LabLevel+3, DVTColumn) &amp; "":"" &amp; ADDRESS(MaxOrTarget+2, DVTColumn))) / LabSpeed,
  AW121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1" s="1249"/>
      <c r="BA121" s="1249"/>
      <c r="BB121" s="1249"/>
      <c r="BC121" s="1249"/>
      <c r="BD121" s="1250" t="str">
        <f>IFERROR(__xludf.DUMMYFUNCTION("if(BC121 &lt;&gt; """", 
  LET( 
    TargetLevel, VLOOKUP(BC121,MS_Labs_Array,3,false),
    MaxLevel, VLOOKUP(BC121,MS_Labs_Array,4,false),
    MaxOrTarget, IF(OR(TargetLevel = """",$AD$1 &lt;&gt; ""Target""), MaxLevel, TargetLevel),
    LabLevel, VLOOKUP(BC121,MS_La"&amp;"bs_Array,2,False),
    Levelprogress, LabLevel / MaxOrTarget,
    DVTColumn, MATCH(BC121,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1" s="1251" t="str">
        <f>IFERROR(__xludf.DUMMYFUNCTION("if(BC121 &lt;&gt; """", 
  LET(
    TargetLevel, VLOOKUP(BC121,MS_Labs_Array,3,false),
    LabSpeed, (1 * REGEXEXTRACT($BH$1, ""[\d.-]+"")) * {IF(BC121 =""Labs Speed"", 1+'Master Sheet'!$BK$5, LAB_SPEED_TOTAL())},
    MaxLevel, VLOOKUP(BC121,MS_Labs_Array,4,fal"&amp;"se),
    MaxOrTarget, IF(OR(TargetLevel = """",$AD$1 &lt;&gt; ""Target""), MaxLevel, TargetLevel),
    LabLevel, VLOOKUP(BC121,MS_Labs_Array,2,False),
    DVTColumn, MATCH(BC121, DVT_Laboratory!$A$1:BO$1, 0),
    xextTime, INDIRECT(""DVT_Laboratory!"" &amp; ADDRESS"&amp;"(LabLevel+3, DVTColumn)) / LabSpeed,
    remainingTime, SUM(INDIRECT(""DVT_Laboratory!"" &amp; ADDRESS(LabLevel+3, DVTColumn) &amp; "":"" &amp; ADDRESS(MaxOrTarget+2, DVTColumn))) / LabSpeed,
  BC121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1" s="1249"/>
      <c r="BG121" s="1249"/>
      <c r="BH121" s="1260"/>
      <c r="BI121" s="1252"/>
      <c r="BJ121" s="1253" t="str">
        <f>IFERROR(__xludf.DUMMYFUNCTION("if(BI121 &lt;&gt; """", 
  LET( 
    TargetLevel, VLOOKUP(BI121,MS_Labs_Array,3,false),
    MaxLevel, VLOOKUP(BI121,MS_Labs_Array,4,false),
    MaxOrTarget, IF(OR(TargetLevel = """",$AD$1 &lt;&gt; ""Target""), MaxLevel, TargetLevel),
    LabLevel, VLOOKUP(BI121,MS_La"&amp;"bs_Array,2,False),
    Levelprogress, IF(LabLevel &gt;= MaxOrTarget, 1, LabLevel / MaxOrTarget),
    DVTColumn, MATCH(BI121,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1" s="1254" t="str">
        <f>IFERROR(__xludf.DUMMYFUNCTION("if(BI121 &lt;&gt; """", 
  LET(
    TargetLevel, VLOOKUP(BI121,MS_Labs_Array,3,false),
    LabSpeed, (1 * REGEXEXTRACT($BH$1, ""[\d.-]+"")) * {IF(BI121 =""Labs Speed"", 1+'Master Sheet'!$BK$5, LAB_SPEED_TOTAL())},
    MaxLevel, VLOOKUP(BI121,MS_Labs_Array,4,fal"&amp;"se),
    MaxOrTarget, IF(OR(TargetLevel = """",$AD$1 &lt;&gt; ""Target""), MaxLevel, TargetLevel),
    LabLevel, VLOOKUP(BI121,MS_Labs_Array,2,False),
    DVTColumn, MATCH(BI121, DVT_Laboratory!$A$1:BO$1, 0),
    xextTime, INDIRECT(""DVT_Laboratory!"" &amp; ADDRESS"&amp;"(LabLevel+3, DVTColumn)) / LabSpeed,
    remainingTime, SUM(INDIRECT(""DVT_Laboratory!"" &amp; ADDRESS(LabLevel+3, DVTColumn) &amp; "":"" &amp; ADDRESS(MaxOrTarget+2, DVTColumn))) / LabSpeed,
  BI121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1" s="1252"/>
      <c r="BM121" s="1252"/>
      <c r="BN121" s="1222"/>
      <c r="BO121" s="1261"/>
    </row>
    <row r="122" ht="7.5" customHeight="1">
      <c r="A122" s="1222"/>
      <c r="B122" s="1257"/>
      <c r="C122" s="1322" t="s">
        <v>176</v>
      </c>
      <c r="D122" s="1280" t="str">
        <f>VLOOKUP(C122,'Remote Tier List'!A:D, 2, FALSE)</f>
        <v>C</v>
      </c>
      <c r="E122" s="1281" t="str">
        <f>VLOOKUP(C122,'Remote Tier List'!A:D, 3, FALSE)</f>
        <v/>
      </c>
      <c r="F122" s="1258" t="str">
        <f>VLOOKUP(C122,'Remote Tier List'!A:D, 4, FALSE)</f>
        <v>Improves overall CC potential</v>
      </c>
      <c r="G122" s="1321" t="b">
        <f>IFERROR(AND(VLOOKUP("Tier 5",'_IDS'!$BZ$3:$DT$23, 2, FALSE) &gt; 70,IDS_BOT_OWN("Thunder Bot")), true)</f>
        <v>0</v>
      </c>
      <c r="H122" s="1246" t="str">
        <f t="array" ref="H122:I122">LET(
  Lab, $C122,
  Mode, $AD$1,
  Level, VLOOKUP(Lab, MS_Labs_Array, 2, FALSE),
  Target, VLOOKUP(Lab, MS_Labs_Array, 3, FALSE),
  Max, VLOOKUP(Lab, MS_Labs_Array, 4, FALSE),
  Result,
    IF(
      AND(
        Mode &lt;&gt; "Never",
        Level &gt;= IF(OR(Target = "", Mode = "Max"), Max, Target)
      ),
      "Completed",
      ""
    ),
  HSTACK(
    IF(Result &lt;&gt; "", Result, $D122),
    IF(Result &lt;&gt; "", Result, IF($E122 = "", $D122, $E122))
  )
)</f>
        <v>C</v>
      </c>
      <c r="I122" s="1247" t="s">
        <v>547</v>
      </c>
      <c r="J122" s="1248" t="str">
        <f t="shared" si="22"/>
        <v>Improves overall CC potential</v>
      </c>
      <c r="K122" s="1229"/>
      <c r="L122" s="1249" t="str">
        <f>IFERROR(__xludf.DUMMYFUNCTION("""COMPUTED_VALUE"""),"")</f>
        <v/>
      </c>
      <c r="M122" s="1249"/>
      <c r="N122" s="1250" t="str">
        <f>IFERROR(__xludf.DUMMYFUNCTION("if(M122 &lt;&gt; """", 
  LET( 
    TargetLevel, VLOOKUP(M122,MS_Labs_Array,3,false),
    MaxLevel, VLOOKUP(M122,MS_Labs_Array,4,false),
    MaxOrTarget, IF(OR(TargetLevel = """",$AD$1 &lt;&gt; ""Target""), MaxLevel, TargetLevel),
    LabLevel, VLOOKUP(M122,MS_Labs_A"&amp;"rray,2,False),
    Levelprogress, LabLevel / MaxOrTarget,
    DVTColumn, MATCH(M122,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2" s="1251" t="str">
        <f>IFERROR(__xludf.DUMMYFUNCTION("if(M122 &lt;&gt; """", 
  LET(
    TargetLevel, VLOOKUP(M122,MS_Labs_Array,3,false),
    LabSpeed, (1 * REGEXEXTRACT($BH$1, ""[\d.-]+"")) * {IF(M122 =""Labs Speed"", 1+'Master Sheet'!$BK$5, LAB_SPEED_TOTAL())},
    MaxLevel, VLOOKUP(M122,MS_Labs_Array,4,false),"&amp;"
    MaxOrTarget, IF(OR(TargetLevel = """",$AD$1 &lt;&gt; ""Target""), MaxLevel, TargetLevel),
    LabLevel, VLOOKUP(M122,MS_Labs_Array,2,False),
    DVTColumn, MATCH(M122, DVT_Laboratory!$A$1:BO$1, 0),
    xextTime, INDIRECT(""DVT_Laboratory!"" &amp; ADDRESS(LabLe"&amp;"vel+3, DVTColumn)) / LabSpeed,
    remainingTime, SUM(INDIRECT(""DVT_Laboratory!"" &amp; ADDRESS(LabLevel+3, DVTColumn) &amp; "":"" &amp; ADDRESS(MaxOrTarget+2, DVTColumn))) / LabSpeed,
  M122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2" s="1249"/>
      <c r="Q122" s="1249" t="str">
        <f>IFERROR(__xludf.DUMMYFUNCTION("""COMPUTED_VALUE"""),"")</f>
        <v/>
      </c>
      <c r="R122" s="1249" t="str">
        <f>IFERROR(__xludf.DUMMYFUNCTION("""COMPUTED_VALUE"""),"")</f>
        <v/>
      </c>
      <c r="S122" s="1249"/>
      <c r="T122" s="1250" t="str">
        <f>IFERROR(__xludf.DUMMYFUNCTION("if(S122 &lt;&gt; """", 
  LET( 
    TargetLevel, VLOOKUP(S122,MS_Labs_Array,3,false),
    MaxLevel, VLOOKUP(S122,MS_Labs_Array,4,false),
    MaxOrTarget, IF(OR(TargetLevel = """",$AD$1 &lt;&gt; ""Target""), MaxLevel, TargetLevel),
    LabLevel, VLOOKUP(S122,MS_Labs_A"&amp;"rray,2,False),
    Levelprogress, LabLevel / MaxOrTarget,
    DVTColumn, MATCH(S122,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2" s="1251" t="str">
        <f>IFERROR(__xludf.DUMMYFUNCTION("if(S122 &lt;&gt; """", 
  LET(
    TargetLevel, VLOOKUP(S122,MS_Labs_Array,3,false),
    LabSpeed, (1 * REGEXEXTRACT($BH$1, ""[\d.-]+"")) * {IF(S122 =""Labs Speed"", 1+'Master Sheet'!$BK$5, LAB_SPEED_TOTAL())},
    MaxLevel, VLOOKUP(S122,MS_Labs_Array,4,false),"&amp;"
    MaxOrTarget, IF(OR(TargetLevel = """",$AD$1 &lt;&gt; ""Target""), MaxLevel, TargetLevel),
    LabLevel, VLOOKUP(S122,MS_Labs_Array,2,False),
    DVTColumn, MATCH(S122, DVT_Laboratory!$A$1:BO$1, 0),
    xextTime, INDIRECT(""DVT_Laboratory!"" &amp; ADDRESS(LabLe"&amp;"vel+3, DVTColumn)) / LabSpeed,
    remainingTime, SUM(INDIRECT(""DVT_Laboratory!"" &amp; ADDRESS(LabLevel+3, DVTColumn) &amp; "":"" &amp; ADDRESS(MaxOrTarget+2, DVTColumn))) / LabSpeed,
  S122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2" s="1249"/>
      <c r="W122" s="1249" t="str">
        <f>IFERROR(__xludf.DUMMYFUNCTION("""COMPUTED_VALUE"""),"")</f>
        <v/>
      </c>
      <c r="X122" s="1249" t="str">
        <f>IFERROR(__xludf.DUMMYFUNCTION("""COMPUTED_VALUE"""),"")</f>
        <v/>
      </c>
      <c r="Y122" s="1249"/>
      <c r="Z122" s="1250" t="str">
        <f>IFERROR(__xludf.DUMMYFUNCTION("if(Y122 &lt;&gt; """", 
  LET( 
    TargetLevel, VLOOKUP(Y122,MS_Labs_Array,3,false),
    MaxLevel, VLOOKUP(Y122,MS_Labs_Array,4,false),
    MaxOrTarget, IF(OR(TargetLevel = """",$AD$1 &lt;&gt; ""Target""), MaxLevel, TargetLevel),
    LabLevel, VLOOKUP(Y122,MS_Labs_A"&amp;"rray,2,False),
    Levelprogress, LabLevel / MaxOrTarget,
    DVTColumn, MATCH(Y122,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2" s="1251" t="str">
        <f>IFERROR(__xludf.DUMMYFUNCTION("if(Y122 &lt;&gt; """", 
  LET(
    TargetLevel, VLOOKUP(Y122,MS_Labs_Array,3,false),
    LabSpeed, (1 * REGEXEXTRACT($BH$1, ""[\d.-]+"")) * {IF(Y122 =""Labs Speed"", 1+'Master Sheet'!$BK$5, LAB_SPEED_TOTAL())},
    MaxLevel, VLOOKUP(Y122,MS_Labs_Array,4,false),"&amp;"
    MaxOrTarget, IF(OR(TargetLevel = """",$AD$1 &lt;&gt; ""Target""), MaxLevel, TargetLevel),
    LabLevel, VLOOKUP(Y122,MS_Labs_Array,2,False),
    DVTColumn, MATCH(Y122, DVT_Laboratory!$A$1:BO$1, 0),
    xextTime, INDIRECT(""DVT_Laboratory!"" &amp; ADDRESS(LabLe"&amp;"vel+3, DVTColumn)) / LabSpeed,
    remainingTime, SUM(INDIRECT(""DVT_Laboratory!"" &amp; ADDRESS(LabLevel+3, DVTColumn) &amp; "":"" &amp; ADDRESS(MaxOrTarget+2, DVTColumn))) / LabSpeed,
  Y122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2" s="1249"/>
      <c r="AC122" s="1249" t="str">
        <f>IFERROR(__xludf.DUMMYFUNCTION("""COMPUTED_VALUE"""),"")</f>
        <v/>
      </c>
      <c r="AD122" s="1249" t="str">
        <f>IFERROR(__xludf.DUMMYFUNCTION("""COMPUTED_VALUE"""),"")</f>
        <v/>
      </c>
      <c r="AE122" s="1249"/>
      <c r="AF122" s="1250" t="str">
        <f>IFERROR(__xludf.DUMMYFUNCTION("if(AE122 &lt;&gt; """", 
  LET( 
    TargetLevel, VLOOKUP(AE122,MS_Labs_Array,3,false),
    MaxLevel, VLOOKUP(AE122,MS_Labs_Array,4,false),
    MaxOrTarget, IF(OR(TargetLevel = """",$AD$1 &lt;&gt; ""Target""), MaxLevel, TargetLevel),
    LabLevel, VLOOKUP(AE122,MS_La"&amp;"bs_Array,2,False),
    Levelprogress, LabLevel / MaxOrTarget,
    DVTColumn, MATCH(AE122,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2" s="1251" t="str">
        <f>IFERROR(__xludf.DUMMYFUNCTION("if(AE122 &lt;&gt; """", 
  LET(
    TargetLevel, VLOOKUP(AE122,MS_Labs_Array,3,false),
    LabSpeed, (1 * REGEXEXTRACT($BH$1, ""[\d.-]+"")) * {IF(AE122 =""Labs Speed"", 1+'Master Sheet'!$BK$5, LAB_SPEED_TOTAL())},
    MaxLevel, VLOOKUP(AE122,MS_Labs_Array,4,fal"&amp;"se),
    MaxOrTarget, IF(OR(TargetLevel = """",$AD$1 &lt;&gt; ""Target""), MaxLevel, TargetLevel),
    LabLevel, VLOOKUP(AE122,MS_Labs_Array,2,False),
    DVTColumn, MATCH(AE122, DVT_Laboratory!$A$1:BO$1, 0),
    xextTime, INDIRECT(""DVT_Laboratory!"" &amp; ADDRESS"&amp;"(LabLevel+3, DVTColumn)) / LabSpeed,
    remainingTime, SUM(INDIRECT(""DVT_Laboratory!"" &amp; ADDRESS(LabLevel+3, DVTColumn) &amp; "":"" &amp; ADDRESS(MaxOrTarget+2, DVTColumn))) / LabSpeed,
  AE122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2" s="1249"/>
      <c r="AI122" s="1249" t="str">
        <f>IFERROR(__xludf.DUMMYFUNCTION("""COMPUTED_VALUE"""),"")</f>
        <v/>
      </c>
      <c r="AJ122" s="1249" t="str">
        <f>IFERROR(__xludf.DUMMYFUNCTION("""COMPUTED_VALUE"""),"")</f>
        <v/>
      </c>
      <c r="AK122" s="1249"/>
      <c r="AL122" s="1250" t="str">
        <f>IFERROR(__xludf.DUMMYFUNCTION("if(AK122 &lt;&gt; """", 
  LET( 
    TargetLevel, VLOOKUP(AK122,MS_Labs_Array,3,false),
    MaxLevel, VLOOKUP(AK122,MS_Labs_Array,4,false),
    MaxOrTarget, IF(OR(TargetLevel = """",$AD$1 &lt;&gt; ""Target""), MaxLevel, TargetLevel),
    LabLevel, VLOOKUP(AK122,MS_La"&amp;"bs_Array,2,False),
    Levelprogress, LabLevel / MaxOrTarget,
    DVTColumn, MATCH(AK122,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2" s="1251" t="str">
        <f>IFERROR(__xludf.DUMMYFUNCTION("if(AK122 &lt;&gt; """", 
  LET(
    TargetLevel, VLOOKUP(AK122,MS_Labs_Array,3,false),
    LabSpeed, (1 * REGEXEXTRACT($BH$1, ""[\d.-]+"")) * {IF(AK122 =""Labs Speed"", 1+'Master Sheet'!$BK$5, LAB_SPEED_TOTAL())},
    MaxLevel, VLOOKUP(AK122,MS_Labs_Array,4,fal"&amp;"se),
    MaxOrTarget, IF(OR(TargetLevel = """",$AD$1 &lt;&gt; ""Target""), MaxLevel, TargetLevel),
    LabLevel, VLOOKUP(AK122,MS_Labs_Array,2,False),
    DVTColumn, MATCH(AK122, DVT_Laboratory!$A$1:BO$1, 0),
    xextTime, INDIRECT(""DVT_Laboratory!"" &amp; ADDRESS"&amp;"(LabLevel+3, DVTColumn)) / LabSpeed,
    remainingTime, SUM(INDIRECT(""DVT_Laboratory!"" &amp; ADDRESS(LabLevel+3, DVTColumn) &amp; "":"" &amp; ADDRESS(MaxOrTarget+2, DVTColumn))) / LabSpeed,
  AK122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2" s="1249"/>
      <c r="AO122" s="1249" t="str">
        <f>IFERROR(__xludf.DUMMYFUNCTION("""COMPUTED_VALUE"""),"")</f>
        <v/>
      </c>
      <c r="AP122" s="1249" t="str">
        <f>IFERROR(__xludf.DUMMYFUNCTION("""COMPUTED_VALUE"""),"")</f>
        <v/>
      </c>
      <c r="AQ122" s="1249"/>
      <c r="AR122" s="1250" t="str">
        <f>IFERROR(__xludf.DUMMYFUNCTION("if(AQ122 &lt;&gt; """", 
  LET( 
    TargetLevel, VLOOKUP(AQ122,MS_Labs_Array,3,false),
    MaxLevel, VLOOKUP(AQ122,MS_Labs_Array,4,false),
    MaxOrTarget, IF(OR(TargetLevel = """",$AD$1 &lt;&gt; ""Target""), MaxLevel, TargetLevel),
    LabLevel, VLOOKUP(AQ122,MS_La"&amp;"bs_Array,2,False),
    Levelprogress, LabLevel / MaxOrTarget,
    DVTColumn, MATCH(AQ122,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2" s="1251" t="str">
        <f>IFERROR(__xludf.DUMMYFUNCTION("if(AQ122 &lt;&gt; """", 
  LET(
    TargetLevel, VLOOKUP(AQ122,MS_Labs_Array,3,false),
    LabSpeed, (1 * REGEXEXTRACT($BH$1, ""[\d.-]+"")) * {IF(AQ122 =""Labs Speed"", 1+'Master Sheet'!$BK$5, LAB_SPEED_TOTAL())},
    MaxLevel, VLOOKUP(AQ122,MS_Labs_Array,4,fal"&amp;"se),
    MaxOrTarget, IF(OR(TargetLevel = """",$AD$1 &lt;&gt; ""Target""), MaxLevel, TargetLevel),
    LabLevel, VLOOKUP(AQ122,MS_Labs_Array,2,False),
    DVTColumn, MATCH(AQ122, DVT_Laboratory!$A$1:BO$1, 0),
    xextTime, INDIRECT(""DVT_Laboratory!"" &amp; ADDRESS"&amp;"(LabLevel+3, DVTColumn)) / LabSpeed,
    remainingTime, SUM(INDIRECT(""DVT_Laboratory!"" &amp; ADDRESS(LabLevel+3, DVTColumn) &amp; "":"" &amp; ADDRESS(MaxOrTarget+2, DVTColumn))) / LabSpeed,
  AQ122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2" s="1249"/>
      <c r="AU122" s="1249" t="str">
        <f>IFERROR(__xludf.DUMMYFUNCTION("""COMPUTED_VALUE"""),"")</f>
        <v/>
      </c>
      <c r="AV122" s="1249" t="str">
        <f>IFERROR(__xludf.DUMMYFUNCTION("""COMPUTED_VALUE"""),"")</f>
        <v/>
      </c>
      <c r="AW122" s="1249"/>
      <c r="AX122" s="1250" t="str">
        <f>IFERROR(__xludf.DUMMYFUNCTION("if(AW122 &lt;&gt; """", 
  LET( 
    TargetLevel, VLOOKUP(AW122,MS_Labs_Array,3,false),
    MaxLevel, VLOOKUP(AW122,MS_Labs_Array,4,false),
    MaxOrTarget, IF(OR(TargetLevel = """",$AD$1 &lt;&gt; ""Target""), MaxLevel, TargetLevel),
    LabLevel, VLOOKUP(AW122,MS_La"&amp;"bs_Array,2,False),
    Levelprogress, LabLevel / MaxOrTarget,
    DVTColumn, MATCH(AW122,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2" s="1251" t="str">
        <f>IFERROR(__xludf.DUMMYFUNCTION("if(AW122 &lt;&gt; """", 
  LET(
    TargetLevel, VLOOKUP(AW122,MS_Labs_Array,3,false),
    LabSpeed, (1 * REGEXEXTRACT($BH$1, ""[\d.-]+"")) * {IF(AW122 =""Labs Speed"", 1+'Master Sheet'!$BK$5, LAB_SPEED_TOTAL())},
    MaxLevel, VLOOKUP(AW122,MS_Labs_Array,4,fal"&amp;"se),
    MaxOrTarget, IF(OR(TargetLevel = """",$AD$1 &lt;&gt; ""Target""), MaxLevel, TargetLevel),
    LabLevel, VLOOKUP(AW122,MS_Labs_Array,2,False),
    DVTColumn, MATCH(AW122, DVT_Laboratory!$A$1:BO$1, 0),
    xextTime, INDIRECT(""DVT_Laboratory!"" &amp; ADDRESS"&amp;"(LabLevel+3, DVTColumn)) / LabSpeed,
    remainingTime, SUM(INDIRECT(""DVT_Laboratory!"" &amp; ADDRESS(LabLevel+3, DVTColumn) &amp; "":"" &amp; ADDRESS(MaxOrTarget+2, DVTColumn))) / LabSpeed,
  AW122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2" s="1249"/>
      <c r="BA122" s="1249" t="str">
        <f>IFERROR(__xludf.DUMMYFUNCTION("""COMPUTED_VALUE"""),"")</f>
        <v/>
      </c>
      <c r="BB122" s="1249" t="str">
        <f>IFERROR(__xludf.DUMMYFUNCTION("""COMPUTED_VALUE"""),"")</f>
        <v/>
      </c>
      <c r="BC122" s="1249"/>
      <c r="BD122" s="1250" t="str">
        <f>IFERROR(__xludf.DUMMYFUNCTION("if(BC122 &lt;&gt; """", 
  LET( 
    TargetLevel, VLOOKUP(BC122,MS_Labs_Array,3,false),
    MaxLevel, VLOOKUP(BC122,MS_Labs_Array,4,false),
    MaxOrTarget, IF(OR(TargetLevel = """",$AD$1 &lt;&gt; ""Target""), MaxLevel, TargetLevel),
    LabLevel, VLOOKUP(BC122,MS_La"&amp;"bs_Array,2,False),
    Levelprogress, LabLevel / MaxOrTarget,
    DVTColumn, MATCH(BC122,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2" s="1251" t="str">
        <f>IFERROR(__xludf.DUMMYFUNCTION("if(BC122 &lt;&gt; """", 
  LET(
    TargetLevel, VLOOKUP(BC122,MS_Labs_Array,3,false),
    LabSpeed, (1 * REGEXEXTRACT($BH$1, ""[\d.-]+"")) * {IF(BC122 =""Labs Speed"", 1+'Master Sheet'!$BK$5, LAB_SPEED_TOTAL())},
    MaxLevel, VLOOKUP(BC122,MS_Labs_Array,4,fal"&amp;"se),
    MaxOrTarget, IF(OR(TargetLevel = """",$AD$1 &lt;&gt; ""Target""), MaxLevel, TargetLevel),
    LabLevel, VLOOKUP(BC122,MS_Labs_Array,2,False),
    DVTColumn, MATCH(BC122, DVT_Laboratory!$A$1:BO$1, 0),
    xextTime, INDIRECT(""DVT_Laboratory!"" &amp; ADDRESS"&amp;"(LabLevel+3, DVTColumn)) / LabSpeed,
    remainingTime, SUM(INDIRECT(""DVT_Laboratory!"" &amp; ADDRESS(LabLevel+3, DVTColumn) &amp; "":"" &amp; ADDRESS(MaxOrTarget+2, DVTColumn))) / LabSpeed,
  BC122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2" s="1249"/>
      <c r="BG122" s="1249" t="str">
        <f>IFERROR(__xludf.DUMMYFUNCTION("""COMPUTED_VALUE"""),"")</f>
        <v/>
      </c>
      <c r="BH122" s="1260" t="str">
        <f>IFERROR(__xludf.DUMMYFUNCTION("""COMPUTED_VALUE"""),"")</f>
        <v/>
      </c>
      <c r="BI122" s="1252"/>
      <c r="BJ122" s="1253" t="str">
        <f>IFERROR(__xludf.DUMMYFUNCTION("if(BI122 &lt;&gt; """", 
  LET( 
    TargetLevel, VLOOKUP(BI122,MS_Labs_Array,3,false),
    MaxLevel, VLOOKUP(BI122,MS_Labs_Array,4,false),
    MaxOrTarget, IF(OR(TargetLevel = """",$AD$1 &lt;&gt; ""Target""), MaxLevel, TargetLevel),
    LabLevel, VLOOKUP(BI122,MS_La"&amp;"bs_Array,2,False),
    Levelprogress, IF(LabLevel &gt;= MaxOrTarget, 1, LabLevel / MaxOrTarget),
    DVTColumn, MATCH(BI122,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2" s="1254" t="str">
        <f>IFERROR(__xludf.DUMMYFUNCTION("if(BI122 &lt;&gt; """", 
  LET(
    TargetLevel, VLOOKUP(BI122,MS_Labs_Array,3,false),
    LabSpeed, (1 * REGEXEXTRACT($BH$1, ""[\d.-]+"")) * {IF(BI122 =""Labs Speed"", 1+'Master Sheet'!$BK$5, LAB_SPEED_TOTAL())},
    MaxLevel, VLOOKUP(BI122,MS_Labs_Array,4,fal"&amp;"se),
    MaxOrTarget, IF(OR(TargetLevel = """",$AD$1 &lt;&gt; ""Target""), MaxLevel, TargetLevel),
    LabLevel, VLOOKUP(BI122,MS_Labs_Array,2,False),
    DVTColumn, MATCH(BI122, DVT_Laboratory!$A$1:BO$1, 0),
    xextTime, INDIRECT(""DVT_Laboratory!"" &amp; ADDRESS"&amp;"(LabLevel+3, DVTColumn)) / LabSpeed,
    remainingTime, SUM(INDIRECT(""DVT_Laboratory!"" &amp; ADDRESS(LabLevel+3, DVTColumn) &amp; "":"" &amp; ADDRESS(MaxOrTarget+2, DVTColumn))) / LabSpeed,
  BI122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2" s="1252"/>
      <c r="BM122" s="1252" t="str">
        <f>IFERROR(__xludf.DUMMYFUNCTION("""COMPUTED_VALUE"""),"")</f>
        <v/>
      </c>
      <c r="BN122" s="1222"/>
      <c r="BO122" s="1261"/>
    </row>
    <row r="123">
      <c r="A123" s="1222"/>
      <c r="B123" s="1257"/>
      <c r="C123" s="1322" t="s">
        <v>187</v>
      </c>
      <c r="D123" s="1280" t="str">
        <f>VLOOKUP(C123,'Remote Tier List'!A:D, 2, FALSE)</f>
        <v>F</v>
      </c>
      <c r="E123" s="1281" t="str">
        <f>VLOOKUP(C123,'Remote Tier List'!A:D, 3, FALSE)</f>
        <v>A</v>
      </c>
      <c r="F123" s="1258" t="str">
        <f>VLOOKUP(C123,'Remote Tier List'!A:D, 4, FALSE)</f>
        <v>Can hinder syncing with UWs at certain higher times, best to sync 1:1 </v>
      </c>
      <c r="G123" s="1245" t="b">
        <f>IFERROR(AND(VLOOKUP("Tier 5",'_IDS'!$BZ$3:$DT$23, 2, FALSE) &gt; 80,IDS_BOT_OWN("Golden Bot")), true)</f>
        <v>1</v>
      </c>
      <c r="H123" s="1265" t="str">
        <f t="array" ref="H123:I123">LET(
  Lab, $C123,
  Mode, $AD$1,
  Level, VLOOKUP(Lab, MS_Labs_Array, 2, FALSE),
  Target, VLOOKUP(Lab, MS_Labs_Array, 3, FALSE),
  Max, VLOOKUP(Lab, MS_Labs_Array, 4, FALSE),
  Result,
    IF(
      AND(
        Mode &lt;&gt; "Never",
        Level &gt;= IF(OR(Target = "", Mode = "Max"), Max, Target)
      ),
      "Completed",
      ""
    ),
  HSTACK(
    IF(Result &lt;&gt; "", Result, $D123),
    IF(Result &lt;&gt; "", Result, IF($E123 = "", $D123, $E123))
  )
)</f>
        <v>F</v>
      </c>
      <c r="I123" s="1265" t="s">
        <v>545</v>
      </c>
      <c r="J123" s="1248" t="str">
        <f t="shared" si="22"/>
        <v>Can hinder syncing with UWs at certain higher times, best to sync 1:1 </v>
      </c>
      <c r="K123" s="1229"/>
      <c r="L123" s="1249"/>
      <c r="M123" s="1249"/>
      <c r="N123" s="1250" t="str">
        <f>IFERROR(__xludf.DUMMYFUNCTION("if(M123 &lt;&gt; """", 
  LET( 
    TargetLevel, VLOOKUP(M123,MS_Labs_Array,3,false),
    MaxLevel, VLOOKUP(M123,MS_Labs_Array,4,false),
    MaxOrTarget, IF(OR(TargetLevel = """",$AD$1 &lt;&gt; ""Target""), MaxLevel, TargetLevel),
    LabLevel, VLOOKUP(M123,MS_Labs_A"&amp;"rray,2,False),
    Levelprogress, LabLevel / MaxOrTarget,
    DVTColumn, MATCH(M123,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3" s="1251" t="str">
        <f>IFERROR(__xludf.DUMMYFUNCTION("if(M123 &lt;&gt; """", 
  LET(
    TargetLevel, VLOOKUP(M123,MS_Labs_Array,3,false),
    LabSpeed, (1 * REGEXEXTRACT($BH$1, ""[\d.-]+"")) * {IF(M123 =""Labs Speed"", 1+'Master Sheet'!$BK$5, LAB_SPEED_TOTAL())},
    MaxLevel, VLOOKUP(M123,MS_Labs_Array,4,false),"&amp;"
    MaxOrTarget, IF(OR(TargetLevel = """",$AD$1 &lt;&gt; ""Target""), MaxLevel, TargetLevel),
    LabLevel, VLOOKUP(M123,MS_Labs_Array,2,False),
    DVTColumn, MATCH(M123, DVT_Laboratory!$A$1:BO$1, 0),
    xextTime, INDIRECT(""DVT_Laboratory!"" &amp; ADDRESS(LabLe"&amp;"vel+3, DVTColumn)) / LabSpeed,
    remainingTime, SUM(INDIRECT(""DVT_Laboratory!"" &amp; ADDRESS(LabLevel+3, DVTColumn) &amp; "":"" &amp; ADDRESS(MaxOrTarget+2, DVTColumn))) / LabSpeed,
  M123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3" s="1249"/>
      <c r="Q123" s="1249"/>
      <c r="R123" s="1249"/>
      <c r="S123" s="1249"/>
      <c r="T123" s="1250" t="str">
        <f>IFERROR(__xludf.DUMMYFUNCTION("if(S123 &lt;&gt; """", 
  LET( 
    TargetLevel, VLOOKUP(S123,MS_Labs_Array,3,false),
    MaxLevel, VLOOKUP(S123,MS_Labs_Array,4,false),
    MaxOrTarget, IF(OR(TargetLevel = """",$AD$1 &lt;&gt; ""Target""), MaxLevel, TargetLevel),
    LabLevel, VLOOKUP(S123,MS_Labs_A"&amp;"rray,2,False),
    Levelprogress, LabLevel / MaxOrTarget,
    DVTColumn, MATCH(S123,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3" s="1251" t="str">
        <f>IFERROR(__xludf.DUMMYFUNCTION("if(S123 &lt;&gt; """", 
  LET(
    TargetLevel, VLOOKUP(S123,MS_Labs_Array,3,false),
    LabSpeed, (1 * REGEXEXTRACT($BH$1, ""[\d.-]+"")) * {IF(S123 =""Labs Speed"", 1+'Master Sheet'!$BK$5, LAB_SPEED_TOTAL())},
    MaxLevel, VLOOKUP(S123,MS_Labs_Array,4,false),"&amp;"
    MaxOrTarget, IF(OR(TargetLevel = """",$AD$1 &lt;&gt; ""Target""), MaxLevel, TargetLevel),
    LabLevel, VLOOKUP(S123,MS_Labs_Array,2,False),
    DVTColumn, MATCH(S123, DVT_Laboratory!$A$1:BO$1, 0),
    xextTime, INDIRECT(""DVT_Laboratory!"" &amp; ADDRESS(LabLe"&amp;"vel+3, DVTColumn)) / LabSpeed,
    remainingTime, SUM(INDIRECT(""DVT_Laboratory!"" &amp; ADDRESS(LabLevel+3, DVTColumn) &amp; "":"" &amp; ADDRESS(MaxOrTarget+2, DVTColumn))) / LabSpeed,
  S123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3" s="1249"/>
      <c r="W123" s="1249"/>
      <c r="X123" s="1249"/>
      <c r="Y123" s="1249"/>
      <c r="Z123" s="1250" t="str">
        <f>IFERROR(__xludf.DUMMYFUNCTION("if(Y123 &lt;&gt; """", 
  LET( 
    TargetLevel, VLOOKUP(Y123,MS_Labs_Array,3,false),
    MaxLevel, VLOOKUP(Y123,MS_Labs_Array,4,false),
    MaxOrTarget, IF(OR(TargetLevel = """",$AD$1 &lt;&gt; ""Target""), MaxLevel, TargetLevel),
    LabLevel, VLOOKUP(Y123,MS_Labs_A"&amp;"rray,2,False),
    Levelprogress, LabLevel / MaxOrTarget,
    DVTColumn, MATCH(Y123,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3" s="1251" t="str">
        <f>IFERROR(__xludf.DUMMYFUNCTION("if(Y123 &lt;&gt; """", 
  LET(
    TargetLevel, VLOOKUP(Y123,MS_Labs_Array,3,false),
    LabSpeed, (1 * REGEXEXTRACT($BH$1, ""[\d.-]+"")) * {IF(Y123 =""Labs Speed"", 1+'Master Sheet'!$BK$5, LAB_SPEED_TOTAL())},
    MaxLevel, VLOOKUP(Y123,MS_Labs_Array,4,false),"&amp;"
    MaxOrTarget, IF(OR(TargetLevel = """",$AD$1 &lt;&gt; ""Target""), MaxLevel, TargetLevel),
    LabLevel, VLOOKUP(Y123,MS_Labs_Array,2,False),
    DVTColumn, MATCH(Y123, DVT_Laboratory!$A$1:BO$1, 0),
    xextTime, INDIRECT(""DVT_Laboratory!"" &amp; ADDRESS(LabLe"&amp;"vel+3, DVTColumn)) / LabSpeed,
    remainingTime, SUM(INDIRECT(""DVT_Laboratory!"" &amp; ADDRESS(LabLevel+3, DVTColumn) &amp; "":"" &amp; ADDRESS(MaxOrTarget+2, DVTColumn))) / LabSpeed,
  Y123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3" s="1249"/>
      <c r="AC123" s="1249"/>
      <c r="AD123" s="1249"/>
      <c r="AE123" s="1249"/>
      <c r="AF123" s="1250" t="str">
        <f>IFERROR(__xludf.DUMMYFUNCTION("if(AE123 &lt;&gt; """", 
  LET( 
    TargetLevel, VLOOKUP(AE123,MS_Labs_Array,3,false),
    MaxLevel, VLOOKUP(AE123,MS_Labs_Array,4,false),
    MaxOrTarget, IF(OR(TargetLevel = """",$AD$1 &lt;&gt; ""Target""), MaxLevel, TargetLevel),
    LabLevel, VLOOKUP(AE123,MS_La"&amp;"bs_Array,2,False),
    Levelprogress, LabLevel / MaxOrTarget,
    DVTColumn, MATCH(AE123,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3" s="1251" t="str">
        <f>IFERROR(__xludf.DUMMYFUNCTION("if(AE123 &lt;&gt; """", 
  LET(
    TargetLevel, VLOOKUP(AE123,MS_Labs_Array,3,false),
    LabSpeed, (1 * REGEXEXTRACT($BH$1, ""[\d.-]+"")) * {IF(AE123 =""Labs Speed"", 1+'Master Sheet'!$BK$5, LAB_SPEED_TOTAL())},
    MaxLevel, VLOOKUP(AE123,MS_Labs_Array,4,fal"&amp;"se),
    MaxOrTarget, IF(OR(TargetLevel = """",$AD$1 &lt;&gt; ""Target""), MaxLevel, TargetLevel),
    LabLevel, VLOOKUP(AE123,MS_Labs_Array,2,False),
    DVTColumn, MATCH(AE123, DVT_Laboratory!$A$1:BO$1, 0),
    xextTime, INDIRECT(""DVT_Laboratory!"" &amp; ADDRESS"&amp;"(LabLevel+3, DVTColumn)) / LabSpeed,
    remainingTime, SUM(INDIRECT(""DVT_Laboratory!"" &amp; ADDRESS(LabLevel+3, DVTColumn) &amp; "":"" &amp; ADDRESS(MaxOrTarget+2, DVTColumn))) / LabSpeed,
  AE123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3" s="1249"/>
      <c r="AI123" s="1249"/>
      <c r="AJ123" s="1249"/>
      <c r="AK123" s="1249"/>
      <c r="AL123" s="1250" t="str">
        <f>IFERROR(__xludf.DUMMYFUNCTION("if(AK123 &lt;&gt; """", 
  LET( 
    TargetLevel, VLOOKUP(AK123,MS_Labs_Array,3,false),
    MaxLevel, VLOOKUP(AK123,MS_Labs_Array,4,false),
    MaxOrTarget, IF(OR(TargetLevel = """",$AD$1 &lt;&gt; ""Target""), MaxLevel, TargetLevel),
    LabLevel, VLOOKUP(AK123,MS_La"&amp;"bs_Array,2,False),
    Levelprogress, LabLevel / MaxOrTarget,
    DVTColumn, MATCH(AK123,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3" s="1251" t="str">
        <f>IFERROR(__xludf.DUMMYFUNCTION("if(AK123 &lt;&gt; """", 
  LET(
    TargetLevel, VLOOKUP(AK123,MS_Labs_Array,3,false),
    LabSpeed, (1 * REGEXEXTRACT($BH$1, ""[\d.-]+"")) * {IF(AK123 =""Labs Speed"", 1+'Master Sheet'!$BK$5, LAB_SPEED_TOTAL())},
    MaxLevel, VLOOKUP(AK123,MS_Labs_Array,4,fal"&amp;"se),
    MaxOrTarget, IF(OR(TargetLevel = """",$AD$1 &lt;&gt; ""Target""), MaxLevel, TargetLevel),
    LabLevel, VLOOKUP(AK123,MS_Labs_Array,2,False),
    DVTColumn, MATCH(AK123, DVT_Laboratory!$A$1:BO$1, 0),
    xextTime, INDIRECT(""DVT_Laboratory!"" &amp; ADDRESS"&amp;"(LabLevel+3, DVTColumn)) / LabSpeed,
    remainingTime, SUM(INDIRECT(""DVT_Laboratory!"" &amp; ADDRESS(LabLevel+3, DVTColumn) &amp; "":"" &amp; ADDRESS(MaxOrTarget+2, DVTColumn))) / LabSpeed,
  AK123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3" s="1249"/>
      <c r="AO123" s="1249"/>
      <c r="AP123" s="1249"/>
      <c r="AQ123" s="1249"/>
      <c r="AR123" s="1250" t="str">
        <f>IFERROR(__xludf.DUMMYFUNCTION("if(AQ123 &lt;&gt; """", 
  LET( 
    TargetLevel, VLOOKUP(AQ123,MS_Labs_Array,3,false),
    MaxLevel, VLOOKUP(AQ123,MS_Labs_Array,4,false),
    MaxOrTarget, IF(OR(TargetLevel = """",$AD$1 &lt;&gt; ""Target""), MaxLevel, TargetLevel),
    LabLevel, VLOOKUP(AQ123,MS_La"&amp;"bs_Array,2,False),
    Levelprogress, LabLevel / MaxOrTarget,
    DVTColumn, MATCH(AQ123,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3" s="1251" t="str">
        <f>IFERROR(__xludf.DUMMYFUNCTION("if(AQ123 &lt;&gt; """", 
  LET(
    TargetLevel, VLOOKUP(AQ123,MS_Labs_Array,3,false),
    LabSpeed, (1 * REGEXEXTRACT($BH$1, ""[\d.-]+"")) * {IF(AQ123 =""Labs Speed"", 1+'Master Sheet'!$BK$5, LAB_SPEED_TOTAL())},
    MaxLevel, VLOOKUP(AQ123,MS_Labs_Array,4,fal"&amp;"se),
    MaxOrTarget, IF(OR(TargetLevel = """",$AD$1 &lt;&gt; ""Target""), MaxLevel, TargetLevel),
    LabLevel, VLOOKUP(AQ123,MS_Labs_Array,2,False),
    DVTColumn, MATCH(AQ123, DVT_Laboratory!$A$1:BO$1, 0),
    xextTime, INDIRECT(""DVT_Laboratory!"" &amp; ADDRESS"&amp;"(LabLevel+3, DVTColumn)) / LabSpeed,
    remainingTime, SUM(INDIRECT(""DVT_Laboratory!"" &amp; ADDRESS(LabLevel+3, DVTColumn) &amp; "":"" &amp; ADDRESS(MaxOrTarget+2, DVTColumn))) / LabSpeed,
  AQ123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3" s="1249"/>
      <c r="AU123" s="1249"/>
      <c r="AV123" s="1249"/>
      <c r="AW123" s="1249"/>
      <c r="AX123" s="1250" t="str">
        <f>IFERROR(__xludf.DUMMYFUNCTION("if(AW123 &lt;&gt; """", 
  LET( 
    TargetLevel, VLOOKUP(AW123,MS_Labs_Array,3,false),
    MaxLevel, VLOOKUP(AW123,MS_Labs_Array,4,false),
    MaxOrTarget, IF(OR(TargetLevel = """",$AD$1 &lt;&gt; ""Target""), MaxLevel, TargetLevel),
    LabLevel, VLOOKUP(AW123,MS_La"&amp;"bs_Array,2,False),
    Levelprogress, LabLevel / MaxOrTarget,
    DVTColumn, MATCH(AW123,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3" s="1251" t="str">
        <f>IFERROR(__xludf.DUMMYFUNCTION("if(AW123 &lt;&gt; """", 
  LET(
    TargetLevel, VLOOKUP(AW123,MS_Labs_Array,3,false),
    LabSpeed, (1 * REGEXEXTRACT($BH$1, ""[\d.-]+"")) * {IF(AW123 =""Labs Speed"", 1+'Master Sheet'!$BK$5, LAB_SPEED_TOTAL())},
    MaxLevel, VLOOKUP(AW123,MS_Labs_Array,4,fal"&amp;"se),
    MaxOrTarget, IF(OR(TargetLevel = """",$AD$1 &lt;&gt; ""Target""), MaxLevel, TargetLevel),
    LabLevel, VLOOKUP(AW123,MS_Labs_Array,2,False),
    DVTColumn, MATCH(AW123, DVT_Laboratory!$A$1:BO$1, 0),
    xextTime, INDIRECT(""DVT_Laboratory!"" &amp; ADDRESS"&amp;"(LabLevel+3, DVTColumn)) / LabSpeed,
    remainingTime, SUM(INDIRECT(""DVT_Laboratory!"" &amp; ADDRESS(LabLevel+3, DVTColumn) &amp; "":"" &amp; ADDRESS(MaxOrTarget+2, DVTColumn))) / LabSpeed,
  AW123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3" s="1249"/>
      <c r="BA123" s="1249"/>
      <c r="BB123" s="1249"/>
      <c r="BC123" s="1249"/>
      <c r="BD123" s="1250" t="str">
        <f>IFERROR(__xludf.DUMMYFUNCTION("if(BC123 &lt;&gt; """", 
  LET( 
    TargetLevel, VLOOKUP(BC123,MS_Labs_Array,3,false),
    MaxLevel, VLOOKUP(BC123,MS_Labs_Array,4,false),
    MaxOrTarget, IF(OR(TargetLevel = """",$AD$1 &lt;&gt; ""Target""), MaxLevel, TargetLevel),
    LabLevel, VLOOKUP(BC123,MS_La"&amp;"bs_Array,2,False),
    Levelprogress, LabLevel / MaxOrTarget,
    DVTColumn, MATCH(BC123,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3" s="1251" t="str">
        <f>IFERROR(__xludf.DUMMYFUNCTION("if(BC123 &lt;&gt; """", 
  LET(
    TargetLevel, VLOOKUP(BC123,MS_Labs_Array,3,false),
    LabSpeed, (1 * REGEXEXTRACT($BH$1, ""[\d.-]+"")) * {IF(BC123 =""Labs Speed"", 1+'Master Sheet'!$BK$5, LAB_SPEED_TOTAL())},
    MaxLevel, VLOOKUP(BC123,MS_Labs_Array,4,fal"&amp;"se),
    MaxOrTarget, IF(OR(TargetLevel = """",$AD$1 &lt;&gt; ""Target""), MaxLevel, TargetLevel),
    LabLevel, VLOOKUP(BC123,MS_Labs_Array,2,False),
    DVTColumn, MATCH(BC123, DVT_Laboratory!$A$1:BO$1, 0),
    xextTime, INDIRECT(""DVT_Laboratory!"" &amp; ADDRESS"&amp;"(LabLevel+3, DVTColumn)) / LabSpeed,
    remainingTime, SUM(INDIRECT(""DVT_Laboratory!"" &amp; ADDRESS(LabLevel+3, DVTColumn) &amp; "":"" &amp; ADDRESS(MaxOrTarget+2, DVTColumn))) / LabSpeed,
  BC123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3" s="1249"/>
      <c r="BG123" s="1249"/>
      <c r="BH123" s="1260"/>
      <c r="BI123" s="1252"/>
      <c r="BJ123" s="1253" t="str">
        <f>IFERROR(__xludf.DUMMYFUNCTION("if(BI123 &lt;&gt; """", 
  LET( 
    TargetLevel, VLOOKUP(BI123,MS_Labs_Array,3,false),
    MaxLevel, VLOOKUP(BI123,MS_Labs_Array,4,false),
    MaxOrTarget, IF(OR(TargetLevel = """",$AD$1 &lt;&gt; ""Target""), MaxLevel, TargetLevel),
    LabLevel, VLOOKUP(BI123,MS_La"&amp;"bs_Array,2,False),
    Levelprogress, IF(LabLevel &gt;= MaxOrTarget, 1, LabLevel / MaxOrTarget),
    DVTColumn, MATCH(BI123,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3" s="1254" t="str">
        <f>IFERROR(__xludf.DUMMYFUNCTION("if(BI123 &lt;&gt; """", 
  LET(
    TargetLevel, VLOOKUP(BI123,MS_Labs_Array,3,false),
    LabSpeed, (1 * REGEXEXTRACT($BH$1, ""[\d.-]+"")) * {IF(BI123 =""Labs Speed"", 1+'Master Sheet'!$BK$5, LAB_SPEED_TOTAL())},
    MaxLevel, VLOOKUP(BI123,MS_Labs_Array,4,fal"&amp;"se),
    MaxOrTarget, IF(OR(TargetLevel = """",$AD$1 &lt;&gt; ""Target""), MaxLevel, TargetLevel),
    LabLevel, VLOOKUP(BI123,MS_Labs_Array,2,False),
    DVTColumn, MATCH(BI123, DVT_Laboratory!$A$1:BO$1, 0),
    xextTime, INDIRECT(""DVT_Laboratory!"" &amp; ADDRESS"&amp;"(LabLevel+3, DVTColumn)) / LabSpeed,
    remainingTime, SUM(INDIRECT(""DVT_Laboratory!"" &amp; ADDRESS(LabLevel+3, DVTColumn) &amp; "":"" &amp; ADDRESS(MaxOrTarget+2, DVTColumn))) / LabSpeed,
  BI123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3" s="1252"/>
      <c r="BM123" s="1252"/>
      <c r="BN123" s="1222"/>
      <c r="BO123" s="1261"/>
    </row>
    <row r="124" ht="7.5" customHeight="1">
      <c r="A124" s="1222"/>
      <c r="B124" s="1257"/>
      <c r="C124" s="1322" t="s">
        <v>207</v>
      </c>
      <c r="D124" s="1280" t="str">
        <f>VLOOKUP(C124,'Remote Tier List'!A:D, 2, FALSE)</f>
        <v>F</v>
      </c>
      <c r="E124" s="1281" t="str">
        <f>VLOOKUP(C124,'Remote Tier List'!A:D, 3, FALSE)</f>
        <v>D</v>
      </c>
      <c r="F124" s="1258" t="str">
        <f>VLOOKUP(C124,'Remote Tier List'!A:D, 4, FALSE)</f>
        <v>Syncing the bot may be beneficial in some cases, improves consistency</v>
      </c>
      <c r="G124" s="1245" t="b">
        <f>IFERROR(AND(VLOOKUP("Tier 5",'_IDS'!$BZ$3:$DT$23, 2, FALSE) &gt; 90,IDS_BOT_OWN("Amplify Bot")), true)</f>
        <v>0</v>
      </c>
      <c r="H124" s="1265" t="str">
        <f t="array" ref="H124:I124">LET(
  Lab, $C124,
  Mode, $AD$1,
  Level, VLOOKUP(Lab, MS_Labs_Array, 2, FALSE),
  Target, VLOOKUP(Lab, MS_Labs_Array, 3, FALSE),
  Max, VLOOKUP(Lab, MS_Labs_Array, 4, FALSE),
  Result,
    IF(
      AND(
        Mode &lt;&gt; "Never",
        Level &gt;= IF(OR(Target = "", Mode = "Max"), Max, Target)
      ),
      "Completed",
      ""
    ),
  HSTACK(
    IF(Result &lt;&gt; "", Result, $D124),
    IF(Result &lt;&gt; "", Result, IF($E124 = "", $D124, $E124))
  )
)</f>
        <v>F</v>
      </c>
      <c r="I124" s="1265" t="s">
        <v>548</v>
      </c>
      <c r="J124" s="1248" t="str">
        <f t="shared" si="22"/>
        <v>Syncing the bot may be beneficial in some cases, improves consistency</v>
      </c>
      <c r="K124" s="1229"/>
      <c r="L124" s="1249" t="str">
        <f>IFERROR(__xludf.DUMMYFUNCTION("""COMPUTED_VALUE"""),"")</f>
        <v/>
      </c>
      <c r="M124" s="1249"/>
      <c r="N124" s="1250" t="str">
        <f>IFERROR(__xludf.DUMMYFUNCTION("if(M124 &lt;&gt; """", 
  LET( 
    TargetLevel, VLOOKUP(M124,MS_Labs_Array,3,false),
    MaxLevel, VLOOKUP(M124,MS_Labs_Array,4,false),
    MaxOrTarget, IF(OR(TargetLevel = """",$AD$1 &lt;&gt; ""Target""), MaxLevel, TargetLevel),
    LabLevel, VLOOKUP(M124,MS_Labs_A"&amp;"rray,2,False),
    Levelprogress, LabLevel / MaxOrTarget,
    DVTColumn, MATCH(M124,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4" s="1251" t="str">
        <f>IFERROR(__xludf.DUMMYFUNCTION("if(M124 &lt;&gt; """", 
  LET(
    TargetLevel, VLOOKUP(M124,MS_Labs_Array,3,false),
    LabSpeed, (1 * REGEXEXTRACT($BH$1, ""[\d.-]+"")) * {IF(M124 =""Labs Speed"", 1+'Master Sheet'!$BK$5, LAB_SPEED_TOTAL())},
    MaxLevel, VLOOKUP(M124,MS_Labs_Array,4,false),"&amp;"
    MaxOrTarget, IF(OR(TargetLevel = """",$AD$1 &lt;&gt; ""Target""), MaxLevel, TargetLevel),
    LabLevel, VLOOKUP(M124,MS_Labs_Array,2,False),
    DVTColumn, MATCH(M124, DVT_Laboratory!$A$1:BO$1, 0),
    xextTime, INDIRECT(""DVT_Laboratory!"" &amp; ADDRESS(LabLe"&amp;"vel+3, DVTColumn)) / LabSpeed,
    remainingTime, SUM(INDIRECT(""DVT_Laboratory!"" &amp; ADDRESS(LabLevel+3, DVTColumn) &amp; "":"" &amp; ADDRESS(MaxOrTarget+2, DVTColumn))) / LabSpeed,
  M124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4" s="1249"/>
      <c r="Q124" s="1249" t="str">
        <f>IFERROR(__xludf.DUMMYFUNCTION("""COMPUTED_VALUE"""),"")</f>
        <v/>
      </c>
      <c r="R124" s="1249" t="str">
        <f>IFERROR(__xludf.DUMMYFUNCTION("""COMPUTED_VALUE"""),"")</f>
        <v/>
      </c>
      <c r="S124" s="1249"/>
      <c r="T124" s="1250" t="str">
        <f>IFERROR(__xludf.DUMMYFUNCTION("if(S124 &lt;&gt; """", 
  LET( 
    TargetLevel, VLOOKUP(S124,MS_Labs_Array,3,false),
    MaxLevel, VLOOKUP(S124,MS_Labs_Array,4,false),
    MaxOrTarget, IF(OR(TargetLevel = """",$AD$1 &lt;&gt; ""Target""), MaxLevel, TargetLevel),
    LabLevel, VLOOKUP(S124,MS_Labs_A"&amp;"rray,2,False),
    Levelprogress, LabLevel / MaxOrTarget,
    DVTColumn, MATCH(S124,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4" s="1251" t="str">
        <f>IFERROR(__xludf.DUMMYFUNCTION("if(S124 &lt;&gt; """", 
  LET(
    TargetLevel, VLOOKUP(S124,MS_Labs_Array,3,false),
    LabSpeed, (1 * REGEXEXTRACT($BH$1, ""[\d.-]+"")) * {IF(S124 =""Labs Speed"", 1+'Master Sheet'!$BK$5, LAB_SPEED_TOTAL())},
    MaxLevel, VLOOKUP(S124,MS_Labs_Array,4,false),"&amp;"
    MaxOrTarget, IF(OR(TargetLevel = """",$AD$1 &lt;&gt; ""Target""), MaxLevel, TargetLevel),
    LabLevel, VLOOKUP(S124,MS_Labs_Array,2,False),
    DVTColumn, MATCH(S124, DVT_Laboratory!$A$1:BO$1, 0),
    xextTime, INDIRECT(""DVT_Laboratory!"" &amp; ADDRESS(LabLe"&amp;"vel+3, DVTColumn)) / LabSpeed,
    remainingTime, SUM(INDIRECT(""DVT_Laboratory!"" &amp; ADDRESS(LabLevel+3, DVTColumn) &amp; "":"" &amp; ADDRESS(MaxOrTarget+2, DVTColumn))) / LabSpeed,
  S124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4" s="1249"/>
      <c r="W124" s="1249" t="str">
        <f>IFERROR(__xludf.DUMMYFUNCTION("""COMPUTED_VALUE"""),"")</f>
        <v/>
      </c>
      <c r="X124" s="1249" t="str">
        <f>IFERROR(__xludf.DUMMYFUNCTION("""COMPUTED_VALUE"""),"")</f>
        <v/>
      </c>
      <c r="Y124" s="1249"/>
      <c r="Z124" s="1250" t="str">
        <f>IFERROR(__xludf.DUMMYFUNCTION("if(Y124 &lt;&gt; """", 
  LET( 
    TargetLevel, VLOOKUP(Y124,MS_Labs_Array,3,false),
    MaxLevel, VLOOKUP(Y124,MS_Labs_Array,4,false),
    MaxOrTarget, IF(OR(TargetLevel = """",$AD$1 &lt;&gt; ""Target""), MaxLevel, TargetLevel),
    LabLevel, VLOOKUP(Y124,MS_Labs_A"&amp;"rray,2,False),
    Levelprogress, LabLevel / MaxOrTarget,
    DVTColumn, MATCH(Y124,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4" s="1251" t="str">
        <f>IFERROR(__xludf.DUMMYFUNCTION("if(Y124 &lt;&gt; """", 
  LET(
    TargetLevel, VLOOKUP(Y124,MS_Labs_Array,3,false),
    LabSpeed, (1 * REGEXEXTRACT($BH$1, ""[\d.-]+"")) * {IF(Y124 =""Labs Speed"", 1+'Master Sheet'!$BK$5, LAB_SPEED_TOTAL())},
    MaxLevel, VLOOKUP(Y124,MS_Labs_Array,4,false),"&amp;"
    MaxOrTarget, IF(OR(TargetLevel = """",$AD$1 &lt;&gt; ""Target""), MaxLevel, TargetLevel),
    LabLevel, VLOOKUP(Y124,MS_Labs_Array,2,False),
    DVTColumn, MATCH(Y124, DVT_Laboratory!$A$1:BO$1, 0),
    xextTime, INDIRECT(""DVT_Laboratory!"" &amp; ADDRESS(LabLe"&amp;"vel+3, DVTColumn)) / LabSpeed,
    remainingTime, SUM(INDIRECT(""DVT_Laboratory!"" &amp; ADDRESS(LabLevel+3, DVTColumn) &amp; "":"" &amp; ADDRESS(MaxOrTarget+2, DVTColumn))) / LabSpeed,
  Y124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4" s="1249"/>
      <c r="AC124" s="1249" t="str">
        <f>IFERROR(__xludf.DUMMYFUNCTION("""COMPUTED_VALUE"""),"")</f>
        <v/>
      </c>
      <c r="AD124" s="1249" t="str">
        <f>IFERROR(__xludf.DUMMYFUNCTION("""COMPUTED_VALUE"""),"")</f>
        <v/>
      </c>
      <c r="AE124" s="1249"/>
      <c r="AF124" s="1250" t="str">
        <f>IFERROR(__xludf.DUMMYFUNCTION("if(AE124 &lt;&gt; """", 
  LET( 
    TargetLevel, VLOOKUP(AE124,MS_Labs_Array,3,false),
    MaxLevel, VLOOKUP(AE124,MS_Labs_Array,4,false),
    MaxOrTarget, IF(OR(TargetLevel = """",$AD$1 &lt;&gt; ""Target""), MaxLevel, TargetLevel),
    LabLevel, VLOOKUP(AE124,MS_La"&amp;"bs_Array,2,False),
    Levelprogress, LabLevel / MaxOrTarget,
    DVTColumn, MATCH(AE124,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4" s="1251" t="str">
        <f>IFERROR(__xludf.DUMMYFUNCTION("if(AE124 &lt;&gt; """", 
  LET(
    TargetLevel, VLOOKUP(AE124,MS_Labs_Array,3,false),
    LabSpeed, (1 * REGEXEXTRACT($BH$1, ""[\d.-]+"")) * {IF(AE124 =""Labs Speed"", 1+'Master Sheet'!$BK$5, LAB_SPEED_TOTAL())},
    MaxLevel, VLOOKUP(AE124,MS_Labs_Array,4,fal"&amp;"se),
    MaxOrTarget, IF(OR(TargetLevel = """",$AD$1 &lt;&gt; ""Target""), MaxLevel, TargetLevel),
    LabLevel, VLOOKUP(AE124,MS_Labs_Array,2,False),
    DVTColumn, MATCH(AE124, DVT_Laboratory!$A$1:BO$1, 0),
    xextTime, INDIRECT(""DVT_Laboratory!"" &amp; ADDRESS"&amp;"(LabLevel+3, DVTColumn)) / LabSpeed,
    remainingTime, SUM(INDIRECT(""DVT_Laboratory!"" &amp; ADDRESS(LabLevel+3, DVTColumn) &amp; "":"" &amp; ADDRESS(MaxOrTarget+2, DVTColumn))) / LabSpeed,
  AE124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4" s="1249"/>
      <c r="AI124" s="1249" t="str">
        <f>IFERROR(__xludf.DUMMYFUNCTION("""COMPUTED_VALUE"""),"")</f>
        <v/>
      </c>
      <c r="AJ124" s="1249" t="str">
        <f>IFERROR(__xludf.DUMMYFUNCTION("""COMPUTED_VALUE"""),"")</f>
        <v/>
      </c>
      <c r="AK124" s="1249"/>
      <c r="AL124" s="1250" t="str">
        <f>IFERROR(__xludf.DUMMYFUNCTION("if(AK124 &lt;&gt; """", 
  LET( 
    TargetLevel, VLOOKUP(AK124,MS_Labs_Array,3,false),
    MaxLevel, VLOOKUP(AK124,MS_Labs_Array,4,false),
    MaxOrTarget, IF(OR(TargetLevel = """",$AD$1 &lt;&gt; ""Target""), MaxLevel, TargetLevel),
    LabLevel, VLOOKUP(AK124,MS_La"&amp;"bs_Array,2,False),
    Levelprogress, LabLevel / MaxOrTarget,
    DVTColumn, MATCH(AK124,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4" s="1251" t="str">
        <f>IFERROR(__xludf.DUMMYFUNCTION("if(AK124 &lt;&gt; """", 
  LET(
    TargetLevel, VLOOKUP(AK124,MS_Labs_Array,3,false),
    LabSpeed, (1 * REGEXEXTRACT($BH$1, ""[\d.-]+"")) * {IF(AK124 =""Labs Speed"", 1+'Master Sheet'!$BK$5, LAB_SPEED_TOTAL())},
    MaxLevel, VLOOKUP(AK124,MS_Labs_Array,4,fal"&amp;"se),
    MaxOrTarget, IF(OR(TargetLevel = """",$AD$1 &lt;&gt; ""Target""), MaxLevel, TargetLevel),
    LabLevel, VLOOKUP(AK124,MS_Labs_Array,2,False),
    DVTColumn, MATCH(AK124, DVT_Laboratory!$A$1:BO$1, 0),
    xextTime, INDIRECT(""DVT_Laboratory!"" &amp; ADDRESS"&amp;"(LabLevel+3, DVTColumn)) / LabSpeed,
    remainingTime, SUM(INDIRECT(""DVT_Laboratory!"" &amp; ADDRESS(LabLevel+3, DVTColumn) &amp; "":"" &amp; ADDRESS(MaxOrTarget+2, DVTColumn))) / LabSpeed,
  AK124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4" s="1249"/>
      <c r="AO124" s="1249" t="str">
        <f>IFERROR(__xludf.DUMMYFUNCTION("""COMPUTED_VALUE"""),"")</f>
        <v/>
      </c>
      <c r="AP124" s="1249" t="str">
        <f>IFERROR(__xludf.DUMMYFUNCTION("""COMPUTED_VALUE"""),"")</f>
        <v/>
      </c>
      <c r="AQ124" s="1249"/>
      <c r="AR124" s="1250" t="str">
        <f>IFERROR(__xludf.DUMMYFUNCTION("if(AQ124 &lt;&gt; """", 
  LET( 
    TargetLevel, VLOOKUP(AQ124,MS_Labs_Array,3,false),
    MaxLevel, VLOOKUP(AQ124,MS_Labs_Array,4,false),
    MaxOrTarget, IF(OR(TargetLevel = """",$AD$1 &lt;&gt; ""Target""), MaxLevel, TargetLevel),
    LabLevel, VLOOKUP(AQ124,MS_La"&amp;"bs_Array,2,False),
    Levelprogress, LabLevel / MaxOrTarget,
    DVTColumn, MATCH(AQ124,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4" s="1251" t="str">
        <f>IFERROR(__xludf.DUMMYFUNCTION("if(AQ124 &lt;&gt; """", 
  LET(
    TargetLevel, VLOOKUP(AQ124,MS_Labs_Array,3,false),
    LabSpeed, (1 * REGEXEXTRACT($BH$1, ""[\d.-]+"")) * {IF(AQ124 =""Labs Speed"", 1+'Master Sheet'!$BK$5, LAB_SPEED_TOTAL())},
    MaxLevel, VLOOKUP(AQ124,MS_Labs_Array,4,fal"&amp;"se),
    MaxOrTarget, IF(OR(TargetLevel = """",$AD$1 &lt;&gt; ""Target""), MaxLevel, TargetLevel),
    LabLevel, VLOOKUP(AQ124,MS_Labs_Array,2,False),
    DVTColumn, MATCH(AQ124, DVT_Laboratory!$A$1:BO$1, 0),
    xextTime, INDIRECT(""DVT_Laboratory!"" &amp; ADDRESS"&amp;"(LabLevel+3, DVTColumn)) / LabSpeed,
    remainingTime, SUM(INDIRECT(""DVT_Laboratory!"" &amp; ADDRESS(LabLevel+3, DVTColumn) &amp; "":"" &amp; ADDRESS(MaxOrTarget+2, DVTColumn))) / LabSpeed,
  AQ124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4" s="1249"/>
      <c r="AU124" s="1249" t="str">
        <f>IFERROR(__xludf.DUMMYFUNCTION("""COMPUTED_VALUE"""),"")</f>
        <v/>
      </c>
      <c r="AV124" s="1249" t="str">
        <f>IFERROR(__xludf.DUMMYFUNCTION("""COMPUTED_VALUE"""),"")</f>
        <v/>
      </c>
      <c r="AW124" s="1249"/>
      <c r="AX124" s="1250" t="str">
        <f>IFERROR(__xludf.DUMMYFUNCTION("if(AW124 &lt;&gt; """", 
  LET( 
    TargetLevel, VLOOKUP(AW124,MS_Labs_Array,3,false),
    MaxLevel, VLOOKUP(AW124,MS_Labs_Array,4,false),
    MaxOrTarget, IF(OR(TargetLevel = """",$AD$1 &lt;&gt; ""Target""), MaxLevel, TargetLevel),
    LabLevel, VLOOKUP(AW124,MS_La"&amp;"bs_Array,2,False),
    Levelprogress, LabLevel / MaxOrTarget,
    DVTColumn, MATCH(AW124,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4" s="1251" t="str">
        <f>IFERROR(__xludf.DUMMYFUNCTION("if(AW124 &lt;&gt; """", 
  LET(
    TargetLevel, VLOOKUP(AW124,MS_Labs_Array,3,false),
    LabSpeed, (1 * REGEXEXTRACT($BH$1, ""[\d.-]+"")) * {IF(AW124 =""Labs Speed"", 1+'Master Sheet'!$BK$5, LAB_SPEED_TOTAL())},
    MaxLevel, VLOOKUP(AW124,MS_Labs_Array,4,fal"&amp;"se),
    MaxOrTarget, IF(OR(TargetLevel = """",$AD$1 &lt;&gt; ""Target""), MaxLevel, TargetLevel),
    LabLevel, VLOOKUP(AW124,MS_Labs_Array,2,False),
    DVTColumn, MATCH(AW124, DVT_Laboratory!$A$1:BO$1, 0),
    xextTime, INDIRECT(""DVT_Laboratory!"" &amp; ADDRESS"&amp;"(LabLevel+3, DVTColumn)) / LabSpeed,
    remainingTime, SUM(INDIRECT(""DVT_Laboratory!"" &amp; ADDRESS(LabLevel+3, DVTColumn) &amp; "":"" &amp; ADDRESS(MaxOrTarget+2, DVTColumn))) / LabSpeed,
  AW124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4" s="1249"/>
      <c r="BA124" s="1249" t="str">
        <f>IFERROR(__xludf.DUMMYFUNCTION("""COMPUTED_VALUE"""),"")</f>
        <v/>
      </c>
      <c r="BB124" s="1249" t="str">
        <f>IFERROR(__xludf.DUMMYFUNCTION("""COMPUTED_VALUE"""),"")</f>
        <v/>
      </c>
      <c r="BC124" s="1249"/>
      <c r="BD124" s="1250" t="str">
        <f>IFERROR(__xludf.DUMMYFUNCTION("if(BC124 &lt;&gt; """", 
  LET( 
    TargetLevel, VLOOKUP(BC124,MS_Labs_Array,3,false),
    MaxLevel, VLOOKUP(BC124,MS_Labs_Array,4,false),
    MaxOrTarget, IF(OR(TargetLevel = """",$AD$1 &lt;&gt; ""Target""), MaxLevel, TargetLevel),
    LabLevel, VLOOKUP(BC124,MS_La"&amp;"bs_Array,2,False),
    Levelprogress, LabLevel / MaxOrTarget,
    DVTColumn, MATCH(BC124,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4" s="1251" t="str">
        <f>IFERROR(__xludf.DUMMYFUNCTION("if(BC124 &lt;&gt; """", 
  LET(
    TargetLevel, VLOOKUP(BC124,MS_Labs_Array,3,false),
    LabSpeed, (1 * REGEXEXTRACT($BH$1, ""[\d.-]+"")) * {IF(BC124 =""Labs Speed"", 1+'Master Sheet'!$BK$5, LAB_SPEED_TOTAL())},
    MaxLevel, VLOOKUP(BC124,MS_Labs_Array,4,fal"&amp;"se),
    MaxOrTarget, IF(OR(TargetLevel = """",$AD$1 &lt;&gt; ""Target""), MaxLevel, TargetLevel),
    LabLevel, VLOOKUP(BC124,MS_Labs_Array,2,False),
    DVTColumn, MATCH(BC124, DVT_Laboratory!$A$1:BO$1, 0),
    xextTime, INDIRECT(""DVT_Laboratory!"" &amp; ADDRESS"&amp;"(LabLevel+3, DVTColumn)) / LabSpeed,
    remainingTime, SUM(INDIRECT(""DVT_Laboratory!"" &amp; ADDRESS(LabLevel+3, DVTColumn) &amp; "":"" &amp; ADDRESS(MaxOrTarget+2, DVTColumn))) / LabSpeed,
  BC124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4" s="1249"/>
      <c r="BG124" s="1249" t="str">
        <f>IFERROR(__xludf.DUMMYFUNCTION("""COMPUTED_VALUE"""),"")</f>
        <v/>
      </c>
      <c r="BH124" s="1260" t="str">
        <f>IFERROR(__xludf.DUMMYFUNCTION("""COMPUTED_VALUE"""),"")</f>
        <v/>
      </c>
      <c r="BI124" s="1252"/>
      <c r="BJ124" s="1253" t="str">
        <f>IFERROR(__xludf.DUMMYFUNCTION("if(BI124 &lt;&gt; """", 
  LET( 
    TargetLevel, VLOOKUP(BI124,MS_Labs_Array,3,false),
    MaxLevel, VLOOKUP(BI124,MS_Labs_Array,4,false),
    MaxOrTarget, IF(OR(TargetLevel = """",$AD$1 &lt;&gt; ""Target""), MaxLevel, TargetLevel),
    LabLevel, VLOOKUP(BI124,MS_La"&amp;"bs_Array,2,False),
    Levelprogress, IF(LabLevel &gt;= MaxOrTarget, 1, LabLevel / MaxOrTarget),
    DVTColumn, MATCH(BI124,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4" s="1254" t="str">
        <f>IFERROR(__xludf.DUMMYFUNCTION("if(BI124 &lt;&gt; """", 
  LET(
    TargetLevel, VLOOKUP(BI124,MS_Labs_Array,3,false),
    LabSpeed, (1 * REGEXEXTRACT($BH$1, ""[\d.-]+"")) * {IF(BI124 =""Labs Speed"", 1+'Master Sheet'!$BK$5, LAB_SPEED_TOTAL())},
    MaxLevel, VLOOKUP(BI124,MS_Labs_Array,4,fal"&amp;"se),
    MaxOrTarget, IF(OR(TargetLevel = """",$AD$1 &lt;&gt; ""Target""), MaxLevel, TargetLevel),
    LabLevel, VLOOKUP(BI124,MS_Labs_Array,2,False),
    DVTColumn, MATCH(BI124, DVT_Laboratory!$A$1:BO$1, 0),
    xextTime, INDIRECT(""DVT_Laboratory!"" &amp; ADDRESS"&amp;"(LabLevel+3, DVTColumn)) / LabSpeed,
    remainingTime, SUM(INDIRECT(""DVT_Laboratory!"" &amp; ADDRESS(LabLevel+3, DVTColumn) &amp; "":"" &amp; ADDRESS(MaxOrTarget+2, DVTColumn))) / LabSpeed,
  BI124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4" s="1252"/>
      <c r="BM124" s="1252" t="str">
        <f>IFERROR(__xludf.DUMMYFUNCTION("""COMPUTED_VALUE"""),"")</f>
        <v/>
      </c>
      <c r="BN124" s="1222"/>
      <c r="BO124" s="1261"/>
    </row>
    <row r="125">
      <c r="A125" s="1222"/>
      <c r="B125" s="1262" t="s">
        <v>563</v>
      </c>
      <c r="C125" s="1322" t="s">
        <v>222</v>
      </c>
      <c r="D125" s="1280" t="str">
        <f>VLOOKUP(C125,'Remote Tier List'!A:D, 2, FALSE)</f>
        <v>F</v>
      </c>
      <c r="E125" s="1281" t="str">
        <f>VLOOKUP(C125,'Remote Tier List'!A:D, 3, FALSE)</f>
        <v/>
      </c>
      <c r="F125" s="1258" t="str">
        <f>VLOOKUP(C125,'Remote Tier List'!A:D, 4, FALSE)</f>
        <v>FB is not for damage; not needed</v>
      </c>
      <c r="G125" s="1321" t="b">
        <f>IFERROR(AND(VLOOKUP("Tier 10",'_IDS'!$BZ$3:$DT$23, 2, FALSE) &gt; 50,IDS_BOT_OWN("Flame Bot")), true)</f>
        <v>1</v>
      </c>
      <c r="H125" s="1246" t="str">
        <f t="array" ref="H125:I125">LET(
  Lab, $C125,
  Mode, $AD$1,
  Level, VLOOKUP(Lab, MS_Labs_Array, 2, FALSE),
  Target, VLOOKUP(Lab, MS_Labs_Array, 3, FALSE),
  Max, VLOOKUP(Lab, MS_Labs_Array, 4, FALSE),
  Result,
    IF(
      AND(
        Mode &lt;&gt; "Never",
        Level &gt;= IF(OR(Target = "", Mode = "Max"), Max, Target)
      ),
      "Completed",
      ""
    ),
  HSTACK(
    IF(Result &lt;&gt; "", Result, $D125),
    IF(Result &lt;&gt; "", Result, IF($E125 = "", $D125, $E125))
  )
)</f>
        <v>F</v>
      </c>
      <c r="I125" s="1247" t="s">
        <v>549</v>
      </c>
      <c r="J125" s="1248" t="str">
        <f t="shared" si="22"/>
        <v>FB is not for damage; not needed</v>
      </c>
      <c r="K125" s="1229"/>
      <c r="L125" s="1249"/>
      <c r="M125" s="1249"/>
      <c r="N125" s="1250" t="str">
        <f>IFERROR(__xludf.DUMMYFUNCTION("if(M125 &lt;&gt; """", 
  LET( 
    TargetLevel, VLOOKUP(M125,MS_Labs_Array,3,false),
    MaxLevel, VLOOKUP(M125,MS_Labs_Array,4,false),
    MaxOrTarget, IF(OR(TargetLevel = """",$AD$1 &lt;&gt; ""Target""), MaxLevel, TargetLevel),
    LabLevel, VLOOKUP(M125,MS_Labs_A"&amp;"rray,2,False),
    Levelprogress, LabLevel / MaxOrTarget,
    DVTColumn, MATCH(M125,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5" s="1251" t="str">
        <f>IFERROR(__xludf.DUMMYFUNCTION("if(M125 &lt;&gt; """", 
  LET(
    TargetLevel, VLOOKUP(M125,MS_Labs_Array,3,false),
    LabSpeed, (1 * REGEXEXTRACT($BH$1, ""[\d.-]+"")) * {IF(M125 =""Labs Speed"", 1+'Master Sheet'!$BK$5, LAB_SPEED_TOTAL())},
    MaxLevel, VLOOKUP(M125,MS_Labs_Array,4,false),"&amp;"
    MaxOrTarget, IF(OR(TargetLevel = """",$AD$1 &lt;&gt; ""Target""), MaxLevel, TargetLevel),
    LabLevel, VLOOKUP(M125,MS_Labs_Array,2,False),
    DVTColumn, MATCH(M125, DVT_Laboratory!$A$1:BO$1, 0),
    xextTime, INDIRECT(""DVT_Laboratory!"" &amp; ADDRESS(LabLe"&amp;"vel+3, DVTColumn)) / LabSpeed,
    remainingTime, SUM(INDIRECT(""DVT_Laboratory!"" &amp; ADDRESS(LabLevel+3, DVTColumn) &amp; "":"" &amp; ADDRESS(MaxOrTarget+2, DVTColumn))) / LabSpeed,
  M125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5" s="1249"/>
      <c r="Q125" s="1249"/>
      <c r="R125" s="1249"/>
      <c r="S125" s="1249"/>
      <c r="T125" s="1250" t="str">
        <f>IFERROR(__xludf.DUMMYFUNCTION("if(S125 &lt;&gt; """", 
  LET( 
    TargetLevel, VLOOKUP(S125,MS_Labs_Array,3,false),
    MaxLevel, VLOOKUP(S125,MS_Labs_Array,4,false),
    MaxOrTarget, IF(OR(TargetLevel = """",$AD$1 &lt;&gt; ""Target""), MaxLevel, TargetLevel),
    LabLevel, VLOOKUP(S125,MS_Labs_A"&amp;"rray,2,False),
    Levelprogress, LabLevel / MaxOrTarget,
    DVTColumn, MATCH(S125,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5" s="1251" t="str">
        <f>IFERROR(__xludf.DUMMYFUNCTION("if(S125 &lt;&gt; """", 
  LET(
    TargetLevel, VLOOKUP(S125,MS_Labs_Array,3,false),
    LabSpeed, (1 * REGEXEXTRACT($BH$1, ""[\d.-]+"")) * {IF(S125 =""Labs Speed"", 1+'Master Sheet'!$BK$5, LAB_SPEED_TOTAL())},
    MaxLevel, VLOOKUP(S125,MS_Labs_Array,4,false),"&amp;"
    MaxOrTarget, IF(OR(TargetLevel = """",$AD$1 &lt;&gt; ""Target""), MaxLevel, TargetLevel),
    LabLevel, VLOOKUP(S125,MS_Labs_Array,2,False),
    DVTColumn, MATCH(S125, DVT_Laboratory!$A$1:BO$1, 0),
    xextTime, INDIRECT(""DVT_Laboratory!"" &amp; ADDRESS(LabLe"&amp;"vel+3, DVTColumn)) / LabSpeed,
    remainingTime, SUM(INDIRECT(""DVT_Laboratory!"" &amp; ADDRESS(LabLevel+3, DVTColumn) &amp; "":"" &amp; ADDRESS(MaxOrTarget+2, DVTColumn))) / LabSpeed,
  S125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5" s="1249"/>
      <c r="W125" s="1249"/>
      <c r="X125" s="1249"/>
      <c r="Y125" s="1249"/>
      <c r="Z125" s="1250" t="str">
        <f>IFERROR(__xludf.DUMMYFUNCTION("if(Y125 &lt;&gt; """", 
  LET( 
    TargetLevel, VLOOKUP(Y125,MS_Labs_Array,3,false),
    MaxLevel, VLOOKUP(Y125,MS_Labs_Array,4,false),
    MaxOrTarget, IF(OR(TargetLevel = """",$AD$1 &lt;&gt; ""Target""), MaxLevel, TargetLevel),
    LabLevel, VLOOKUP(Y125,MS_Labs_A"&amp;"rray,2,False),
    Levelprogress, LabLevel / MaxOrTarget,
    DVTColumn, MATCH(Y125,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5" s="1251" t="str">
        <f>IFERROR(__xludf.DUMMYFUNCTION("if(Y125 &lt;&gt; """", 
  LET(
    TargetLevel, VLOOKUP(Y125,MS_Labs_Array,3,false),
    LabSpeed, (1 * REGEXEXTRACT($BH$1, ""[\d.-]+"")) * {IF(Y125 =""Labs Speed"", 1+'Master Sheet'!$BK$5, LAB_SPEED_TOTAL())},
    MaxLevel, VLOOKUP(Y125,MS_Labs_Array,4,false),"&amp;"
    MaxOrTarget, IF(OR(TargetLevel = """",$AD$1 &lt;&gt; ""Target""), MaxLevel, TargetLevel),
    LabLevel, VLOOKUP(Y125,MS_Labs_Array,2,False),
    DVTColumn, MATCH(Y125, DVT_Laboratory!$A$1:BO$1, 0),
    xextTime, INDIRECT(""DVT_Laboratory!"" &amp; ADDRESS(LabLe"&amp;"vel+3, DVTColumn)) / LabSpeed,
    remainingTime, SUM(INDIRECT(""DVT_Laboratory!"" &amp; ADDRESS(LabLevel+3, DVTColumn) &amp; "":"" &amp; ADDRESS(MaxOrTarget+2, DVTColumn))) / LabSpeed,
  Y125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5" s="1249"/>
      <c r="AC125" s="1249"/>
      <c r="AD125" s="1249"/>
      <c r="AE125" s="1249"/>
      <c r="AF125" s="1250" t="str">
        <f>IFERROR(__xludf.DUMMYFUNCTION("if(AE125 &lt;&gt; """", 
  LET( 
    TargetLevel, VLOOKUP(AE125,MS_Labs_Array,3,false),
    MaxLevel, VLOOKUP(AE125,MS_Labs_Array,4,false),
    MaxOrTarget, IF(OR(TargetLevel = """",$AD$1 &lt;&gt; ""Target""), MaxLevel, TargetLevel),
    LabLevel, VLOOKUP(AE125,MS_La"&amp;"bs_Array,2,False),
    Levelprogress, LabLevel / MaxOrTarget,
    DVTColumn, MATCH(AE125,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5" s="1251" t="str">
        <f>IFERROR(__xludf.DUMMYFUNCTION("if(AE125 &lt;&gt; """", 
  LET(
    TargetLevel, VLOOKUP(AE125,MS_Labs_Array,3,false),
    LabSpeed, (1 * REGEXEXTRACT($BH$1, ""[\d.-]+"")) * {IF(AE125 =""Labs Speed"", 1+'Master Sheet'!$BK$5, LAB_SPEED_TOTAL())},
    MaxLevel, VLOOKUP(AE125,MS_Labs_Array,4,fal"&amp;"se),
    MaxOrTarget, IF(OR(TargetLevel = """",$AD$1 &lt;&gt; ""Target""), MaxLevel, TargetLevel),
    LabLevel, VLOOKUP(AE125,MS_Labs_Array,2,False),
    DVTColumn, MATCH(AE125, DVT_Laboratory!$A$1:BO$1, 0),
    xextTime, INDIRECT(""DVT_Laboratory!"" &amp; ADDRESS"&amp;"(LabLevel+3, DVTColumn)) / LabSpeed,
    remainingTime, SUM(INDIRECT(""DVT_Laboratory!"" &amp; ADDRESS(LabLevel+3, DVTColumn) &amp; "":"" &amp; ADDRESS(MaxOrTarget+2, DVTColumn))) / LabSpeed,
  AE125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5" s="1249"/>
      <c r="AI125" s="1249"/>
      <c r="AJ125" s="1249"/>
      <c r="AK125" s="1249"/>
      <c r="AL125" s="1250" t="str">
        <f>IFERROR(__xludf.DUMMYFUNCTION("if(AK125 &lt;&gt; """", 
  LET( 
    TargetLevel, VLOOKUP(AK125,MS_Labs_Array,3,false),
    MaxLevel, VLOOKUP(AK125,MS_Labs_Array,4,false),
    MaxOrTarget, IF(OR(TargetLevel = """",$AD$1 &lt;&gt; ""Target""), MaxLevel, TargetLevel),
    LabLevel, VLOOKUP(AK125,MS_La"&amp;"bs_Array,2,False),
    Levelprogress, LabLevel / MaxOrTarget,
    DVTColumn, MATCH(AK125,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5" s="1251" t="str">
        <f>IFERROR(__xludf.DUMMYFUNCTION("if(AK125 &lt;&gt; """", 
  LET(
    TargetLevel, VLOOKUP(AK125,MS_Labs_Array,3,false),
    LabSpeed, (1 * REGEXEXTRACT($BH$1, ""[\d.-]+"")) * {IF(AK125 =""Labs Speed"", 1+'Master Sheet'!$BK$5, LAB_SPEED_TOTAL())},
    MaxLevel, VLOOKUP(AK125,MS_Labs_Array,4,fal"&amp;"se),
    MaxOrTarget, IF(OR(TargetLevel = """",$AD$1 &lt;&gt; ""Target""), MaxLevel, TargetLevel),
    LabLevel, VLOOKUP(AK125,MS_Labs_Array,2,False),
    DVTColumn, MATCH(AK125, DVT_Laboratory!$A$1:BO$1, 0),
    xextTime, INDIRECT(""DVT_Laboratory!"" &amp; ADDRESS"&amp;"(LabLevel+3, DVTColumn)) / LabSpeed,
    remainingTime, SUM(INDIRECT(""DVT_Laboratory!"" &amp; ADDRESS(LabLevel+3, DVTColumn) &amp; "":"" &amp; ADDRESS(MaxOrTarget+2, DVTColumn))) / LabSpeed,
  AK125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5" s="1249"/>
      <c r="AO125" s="1249"/>
      <c r="AP125" s="1249"/>
      <c r="AQ125" s="1249"/>
      <c r="AR125" s="1250" t="str">
        <f>IFERROR(__xludf.DUMMYFUNCTION("if(AQ125 &lt;&gt; """", 
  LET( 
    TargetLevel, VLOOKUP(AQ125,MS_Labs_Array,3,false),
    MaxLevel, VLOOKUP(AQ125,MS_Labs_Array,4,false),
    MaxOrTarget, IF(OR(TargetLevel = """",$AD$1 &lt;&gt; ""Target""), MaxLevel, TargetLevel),
    LabLevel, VLOOKUP(AQ125,MS_La"&amp;"bs_Array,2,False),
    Levelprogress, LabLevel / MaxOrTarget,
    DVTColumn, MATCH(AQ125,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5" s="1251" t="str">
        <f>IFERROR(__xludf.DUMMYFUNCTION("if(AQ125 &lt;&gt; """", 
  LET(
    TargetLevel, VLOOKUP(AQ125,MS_Labs_Array,3,false),
    LabSpeed, (1 * REGEXEXTRACT($BH$1, ""[\d.-]+"")) * {IF(AQ125 =""Labs Speed"", 1+'Master Sheet'!$BK$5, LAB_SPEED_TOTAL())},
    MaxLevel, VLOOKUP(AQ125,MS_Labs_Array,4,fal"&amp;"se),
    MaxOrTarget, IF(OR(TargetLevel = """",$AD$1 &lt;&gt; ""Target""), MaxLevel, TargetLevel),
    LabLevel, VLOOKUP(AQ125,MS_Labs_Array,2,False),
    DVTColumn, MATCH(AQ125, DVT_Laboratory!$A$1:BO$1, 0),
    xextTime, INDIRECT(""DVT_Laboratory!"" &amp; ADDRESS"&amp;"(LabLevel+3, DVTColumn)) / LabSpeed,
    remainingTime, SUM(INDIRECT(""DVT_Laboratory!"" &amp; ADDRESS(LabLevel+3, DVTColumn) &amp; "":"" &amp; ADDRESS(MaxOrTarget+2, DVTColumn))) / LabSpeed,
  AQ125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5" s="1249"/>
      <c r="AU125" s="1249"/>
      <c r="AV125" s="1249"/>
      <c r="AW125" s="1249"/>
      <c r="AX125" s="1250" t="str">
        <f>IFERROR(__xludf.DUMMYFUNCTION("if(AW125 &lt;&gt; """", 
  LET( 
    TargetLevel, VLOOKUP(AW125,MS_Labs_Array,3,false),
    MaxLevel, VLOOKUP(AW125,MS_Labs_Array,4,false),
    MaxOrTarget, IF(OR(TargetLevel = """",$AD$1 &lt;&gt; ""Target""), MaxLevel, TargetLevel),
    LabLevel, VLOOKUP(AW125,MS_La"&amp;"bs_Array,2,False),
    Levelprogress, LabLevel / MaxOrTarget,
    DVTColumn, MATCH(AW125,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5" s="1251" t="str">
        <f>IFERROR(__xludf.DUMMYFUNCTION("if(AW125 &lt;&gt; """", 
  LET(
    TargetLevel, VLOOKUP(AW125,MS_Labs_Array,3,false),
    LabSpeed, (1 * REGEXEXTRACT($BH$1, ""[\d.-]+"")) * {IF(AW125 =""Labs Speed"", 1+'Master Sheet'!$BK$5, LAB_SPEED_TOTAL())},
    MaxLevel, VLOOKUP(AW125,MS_Labs_Array,4,fal"&amp;"se),
    MaxOrTarget, IF(OR(TargetLevel = """",$AD$1 &lt;&gt; ""Target""), MaxLevel, TargetLevel),
    LabLevel, VLOOKUP(AW125,MS_Labs_Array,2,False),
    DVTColumn, MATCH(AW125, DVT_Laboratory!$A$1:BO$1, 0),
    xextTime, INDIRECT(""DVT_Laboratory!"" &amp; ADDRESS"&amp;"(LabLevel+3, DVTColumn)) / LabSpeed,
    remainingTime, SUM(INDIRECT(""DVT_Laboratory!"" &amp; ADDRESS(LabLevel+3, DVTColumn) &amp; "":"" &amp; ADDRESS(MaxOrTarget+2, DVTColumn))) / LabSpeed,
  AW125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5" s="1249"/>
      <c r="BA125" s="1249"/>
      <c r="BB125" s="1249"/>
      <c r="BC125" s="1249"/>
      <c r="BD125" s="1250" t="str">
        <f>IFERROR(__xludf.DUMMYFUNCTION("if(BC125 &lt;&gt; """", 
  LET( 
    TargetLevel, VLOOKUP(BC125,MS_Labs_Array,3,false),
    MaxLevel, VLOOKUP(BC125,MS_Labs_Array,4,false),
    MaxOrTarget, IF(OR(TargetLevel = """",$AD$1 &lt;&gt; ""Target""), MaxLevel, TargetLevel),
    LabLevel, VLOOKUP(BC125,MS_La"&amp;"bs_Array,2,False),
    Levelprogress, LabLevel / MaxOrTarget,
    DVTColumn, MATCH(BC125,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5" s="1251" t="str">
        <f>IFERROR(__xludf.DUMMYFUNCTION("if(BC125 &lt;&gt; """", 
  LET(
    TargetLevel, VLOOKUP(BC125,MS_Labs_Array,3,false),
    LabSpeed, (1 * REGEXEXTRACT($BH$1, ""[\d.-]+"")) * {IF(BC125 =""Labs Speed"", 1+'Master Sheet'!$BK$5, LAB_SPEED_TOTAL())},
    MaxLevel, VLOOKUP(BC125,MS_Labs_Array,4,fal"&amp;"se),
    MaxOrTarget, IF(OR(TargetLevel = """",$AD$1 &lt;&gt; ""Target""), MaxLevel, TargetLevel),
    LabLevel, VLOOKUP(BC125,MS_Labs_Array,2,False),
    DVTColumn, MATCH(BC125, DVT_Laboratory!$A$1:BO$1, 0),
    xextTime, INDIRECT(""DVT_Laboratory!"" &amp; ADDRESS"&amp;"(LabLevel+3, DVTColumn)) / LabSpeed,
    remainingTime, SUM(INDIRECT(""DVT_Laboratory!"" &amp; ADDRESS(LabLevel+3, DVTColumn) &amp; "":"" &amp; ADDRESS(MaxOrTarget+2, DVTColumn))) / LabSpeed,
  BC125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5" s="1249"/>
      <c r="BG125" s="1249"/>
      <c r="BH125" s="1260"/>
      <c r="BI125" s="1252"/>
      <c r="BJ125" s="1253" t="str">
        <f>IFERROR(__xludf.DUMMYFUNCTION("if(BI125 &lt;&gt; """", 
  LET( 
    TargetLevel, VLOOKUP(BI125,MS_Labs_Array,3,false),
    MaxLevel, VLOOKUP(BI125,MS_Labs_Array,4,false),
    MaxOrTarget, IF(OR(TargetLevel = """",$AD$1 &lt;&gt; ""Target""), MaxLevel, TargetLevel),
    LabLevel, VLOOKUP(BI125,MS_La"&amp;"bs_Array,2,False),
    Levelprogress, IF(LabLevel &gt;= MaxOrTarget, 1, LabLevel / MaxOrTarget),
    DVTColumn, MATCH(BI125,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5" s="1254" t="str">
        <f>IFERROR(__xludf.DUMMYFUNCTION("if(BI125 &lt;&gt; """", 
  LET(
    TargetLevel, VLOOKUP(BI125,MS_Labs_Array,3,false),
    LabSpeed, (1 * REGEXEXTRACT($BH$1, ""[\d.-]+"")) * {IF(BI125 =""Labs Speed"", 1+'Master Sheet'!$BK$5, LAB_SPEED_TOTAL())},
    MaxLevel, VLOOKUP(BI125,MS_Labs_Array,4,fal"&amp;"se),
    MaxOrTarget, IF(OR(TargetLevel = """",$AD$1 &lt;&gt; ""Target""), MaxLevel, TargetLevel),
    LabLevel, VLOOKUP(BI125,MS_Labs_Array,2,False),
    DVTColumn, MATCH(BI125, DVT_Laboratory!$A$1:BO$1, 0),
    xextTime, INDIRECT(""DVT_Laboratory!"" &amp; ADDRESS"&amp;"(LabLevel+3, DVTColumn)) / LabSpeed,
    remainingTime, SUM(INDIRECT(""DVT_Laboratory!"" &amp; ADDRESS(LabLevel+3, DVTColumn) &amp; "":"" &amp; ADDRESS(MaxOrTarget+2, DVTColumn))) / LabSpeed,
  BI125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5" s="1252"/>
      <c r="BM125" s="1252"/>
      <c r="BN125" s="1222"/>
      <c r="BO125" s="1261"/>
    </row>
    <row r="126" ht="7.5" customHeight="1">
      <c r="A126" s="1222"/>
      <c r="B126" s="1257"/>
      <c r="C126" s="1322" t="s">
        <v>234</v>
      </c>
      <c r="D126" s="1280" t="str">
        <f>VLOOKUP(C126,'Remote Tier List'!A:D, 2, FALSE)</f>
        <v>D</v>
      </c>
      <c r="E126" s="1281" t="str">
        <f>VLOOKUP(C126,'Remote Tier List'!A:D, 3, FALSE)</f>
        <v/>
      </c>
      <c r="F126" s="1258" t="str">
        <f>VLOOKUP(C126,'Remote Tier List'!A:D, 4, FALSE)</f>
        <v>Only good if you have the bot</v>
      </c>
      <c r="G126" s="1321" t="b">
        <f>IFERROR(AND(VLOOKUP("Tier 10",'_IDS'!$BZ$3:$DT$23, 2, FALSE) &gt; 50,IDS_BOT_OWN("Thunder Bot")), true)</f>
        <v>0</v>
      </c>
      <c r="H126" s="1246" t="str">
        <f t="array" ref="H126:I126">LET(
  Lab, $C126,
  Mode, $AD$1,
  Level, VLOOKUP(Lab, MS_Labs_Array, 2, FALSE),
  Target, VLOOKUP(Lab, MS_Labs_Array, 3, FALSE),
  Max, VLOOKUP(Lab, MS_Labs_Array, 4, FALSE),
  Result,
    IF(
      AND(
        Mode &lt;&gt; "Never",
        Level &gt;= IF(OR(Target = "", Mode = "Max"), Max, Target)
      ),
      "Completed",
      ""
    ),
  HSTACK(
    IF(Result &lt;&gt; "", Result, $D126),
    IF(Result &lt;&gt; "", Result, IF($E126 = "", $D126, $E126))
  )
)</f>
        <v>D</v>
      </c>
      <c r="I126" s="1247" t="s">
        <v>548</v>
      </c>
      <c r="J126" s="1248" t="str">
        <f t="shared" si="22"/>
        <v>Only good if you have the bot</v>
      </c>
      <c r="K126" s="1229"/>
      <c r="L126" s="1249" t="str">
        <f>IFERROR(__xludf.DUMMYFUNCTION("""COMPUTED_VALUE"""),"")</f>
        <v/>
      </c>
      <c r="M126" s="1249"/>
      <c r="N126" s="1250" t="str">
        <f>IFERROR(__xludf.DUMMYFUNCTION("if(M126 &lt;&gt; """", 
  LET( 
    TargetLevel, VLOOKUP(M126,MS_Labs_Array,3,false),
    MaxLevel, VLOOKUP(M126,MS_Labs_Array,4,false),
    MaxOrTarget, IF(OR(TargetLevel = """",$AD$1 &lt;&gt; ""Target""), MaxLevel, TargetLevel),
    LabLevel, VLOOKUP(M126,MS_Labs_A"&amp;"rray,2,False),
    Levelprogress, LabLevel / MaxOrTarget,
    DVTColumn, MATCH(M126,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6" s="1251" t="str">
        <f>IFERROR(__xludf.DUMMYFUNCTION("if(M126 &lt;&gt; """", 
  LET(
    TargetLevel, VLOOKUP(M126,MS_Labs_Array,3,false),
    LabSpeed, (1 * REGEXEXTRACT($BH$1, ""[\d.-]+"")) * {IF(M126 =""Labs Speed"", 1+'Master Sheet'!$BK$5, LAB_SPEED_TOTAL())},
    MaxLevel, VLOOKUP(M126,MS_Labs_Array,4,false),"&amp;"
    MaxOrTarget, IF(OR(TargetLevel = """",$AD$1 &lt;&gt; ""Target""), MaxLevel, TargetLevel),
    LabLevel, VLOOKUP(M126,MS_Labs_Array,2,False),
    DVTColumn, MATCH(M126, DVT_Laboratory!$A$1:BO$1, 0),
    xextTime, INDIRECT(""DVT_Laboratory!"" &amp; ADDRESS(LabLe"&amp;"vel+3, DVTColumn)) / LabSpeed,
    remainingTime, SUM(INDIRECT(""DVT_Laboratory!"" &amp; ADDRESS(LabLevel+3, DVTColumn) &amp; "":"" &amp; ADDRESS(MaxOrTarget+2, DVTColumn))) / LabSpeed,
  M126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6" s="1249"/>
      <c r="Q126" s="1249" t="str">
        <f>IFERROR(__xludf.DUMMYFUNCTION("""COMPUTED_VALUE"""),"")</f>
        <v/>
      </c>
      <c r="R126" s="1249" t="str">
        <f>IFERROR(__xludf.DUMMYFUNCTION("""COMPUTED_VALUE"""),"")</f>
        <v/>
      </c>
      <c r="S126" s="1249"/>
      <c r="T126" s="1250" t="str">
        <f>IFERROR(__xludf.DUMMYFUNCTION("if(S126 &lt;&gt; """", 
  LET( 
    TargetLevel, VLOOKUP(S126,MS_Labs_Array,3,false),
    MaxLevel, VLOOKUP(S126,MS_Labs_Array,4,false),
    MaxOrTarget, IF(OR(TargetLevel = """",$AD$1 &lt;&gt; ""Target""), MaxLevel, TargetLevel),
    LabLevel, VLOOKUP(S126,MS_Labs_A"&amp;"rray,2,False),
    Levelprogress, LabLevel / MaxOrTarget,
    DVTColumn, MATCH(S126,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6" s="1251" t="str">
        <f>IFERROR(__xludf.DUMMYFUNCTION("if(S126 &lt;&gt; """", 
  LET(
    TargetLevel, VLOOKUP(S126,MS_Labs_Array,3,false),
    LabSpeed, (1 * REGEXEXTRACT($BH$1, ""[\d.-]+"")) * {IF(S126 =""Labs Speed"", 1+'Master Sheet'!$BK$5, LAB_SPEED_TOTAL())},
    MaxLevel, VLOOKUP(S126,MS_Labs_Array,4,false),"&amp;"
    MaxOrTarget, IF(OR(TargetLevel = """",$AD$1 &lt;&gt; ""Target""), MaxLevel, TargetLevel),
    LabLevel, VLOOKUP(S126,MS_Labs_Array,2,False),
    DVTColumn, MATCH(S126, DVT_Laboratory!$A$1:BO$1, 0),
    xextTime, INDIRECT(""DVT_Laboratory!"" &amp; ADDRESS(LabLe"&amp;"vel+3, DVTColumn)) / LabSpeed,
    remainingTime, SUM(INDIRECT(""DVT_Laboratory!"" &amp; ADDRESS(LabLevel+3, DVTColumn) &amp; "":"" &amp; ADDRESS(MaxOrTarget+2, DVTColumn))) / LabSpeed,
  S126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6" s="1249"/>
      <c r="W126" s="1249" t="str">
        <f>IFERROR(__xludf.DUMMYFUNCTION("""COMPUTED_VALUE"""),"")</f>
        <v/>
      </c>
      <c r="X126" s="1249" t="str">
        <f>IFERROR(__xludf.DUMMYFUNCTION("""COMPUTED_VALUE"""),"")</f>
        <v/>
      </c>
      <c r="Y126" s="1249"/>
      <c r="Z126" s="1250" t="str">
        <f>IFERROR(__xludf.DUMMYFUNCTION("if(Y126 &lt;&gt; """", 
  LET( 
    TargetLevel, VLOOKUP(Y126,MS_Labs_Array,3,false),
    MaxLevel, VLOOKUP(Y126,MS_Labs_Array,4,false),
    MaxOrTarget, IF(OR(TargetLevel = """",$AD$1 &lt;&gt; ""Target""), MaxLevel, TargetLevel),
    LabLevel, VLOOKUP(Y126,MS_Labs_A"&amp;"rray,2,False),
    Levelprogress, LabLevel / MaxOrTarget,
    DVTColumn, MATCH(Y126,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6" s="1251" t="str">
        <f>IFERROR(__xludf.DUMMYFUNCTION("if(Y126 &lt;&gt; """", 
  LET(
    TargetLevel, VLOOKUP(Y126,MS_Labs_Array,3,false),
    LabSpeed, (1 * REGEXEXTRACT($BH$1, ""[\d.-]+"")) * {IF(Y126 =""Labs Speed"", 1+'Master Sheet'!$BK$5, LAB_SPEED_TOTAL())},
    MaxLevel, VLOOKUP(Y126,MS_Labs_Array,4,false),"&amp;"
    MaxOrTarget, IF(OR(TargetLevel = """",$AD$1 &lt;&gt; ""Target""), MaxLevel, TargetLevel),
    LabLevel, VLOOKUP(Y126,MS_Labs_Array,2,False),
    DVTColumn, MATCH(Y126, DVT_Laboratory!$A$1:BO$1, 0),
    xextTime, INDIRECT(""DVT_Laboratory!"" &amp; ADDRESS(LabLe"&amp;"vel+3, DVTColumn)) / LabSpeed,
    remainingTime, SUM(INDIRECT(""DVT_Laboratory!"" &amp; ADDRESS(LabLevel+3, DVTColumn) &amp; "":"" &amp; ADDRESS(MaxOrTarget+2, DVTColumn))) / LabSpeed,
  Y126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6" s="1249"/>
      <c r="AC126" s="1249" t="str">
        <f>IFERROR(__xludf.DUMMYFUNCTION("""COMPUTED_VALUE"""),"")</f>
        <v/>
      </c>
      <c r="AD126" s="1249" t="str">
        <f>IFERROR(__xludf.DUMMYFUNCTION("""COMPUTED_VALUE"""),"")</f>
        <v/>
      </c>
      <c r="AE126" s="1249"/>
      <c r="AF126" s="1250" t="str">
        <f>IFERROR(__xludf.DUMMYFUNCTION("if(AE126 &lt;&gt; """", 
  LET( 
    TargetLevel, VLOOKUP(AE126,MS_Labs_Array,3,false),
    MaxLevel, VLOOKUP(AE126,MS_Labs_Array,4,false),
    MaxOrTarget, IF(OR(TargetLevel = """",$AD$1 &lt;&gt; ""Target""), MaxLevel, TargetLevel),
    LabLevel, VLOOKUP(AE126,MS_La"&amp;"bs_Array,2,False),
    Levelprogress, LabLevel / MaxOrTarget,
    DVTColumn, MATCH(AE126,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6" s="1251" t="str">
        <f>IFERROR(__xludf.DUMMYFUNCTION("if(AE126 &lt;&gt; """", 
  LET(
    TargetLevel, VLOOKUP(AE126,MS_Labs_Array,3,false),
    LabSpeed, (1 * REGEXEXTRACT($BH$1, ""[\d.-]+"")) * {IF(AE126 =""Labs Speed"", 1+'Master Sheet'!$BK$5, LAB_SPEED_TOTAL())},
    MaxLevel, VLOOKUP(AE126,MS_Labs_Array,4,fal"&amp;"se),
    MaxOrTarget, IF(OR(TargetLevel = """",$AD$1 &lt;&gt; ""Target""), MaxLevel, TargetLevel),
    LabLevel, VLOOKUP(AE126,MS_Labs_Array,2,False),
    DVTColumn, MATCH(AE126, DVT_Laboratory!$A$1:BO$1, 0),
    xextTime, INDIRECT(""DVT_Laboratory!"" &amp; ADDRESS"&amp;"(LabLevel+3, DVTColumn)) / LabSpeed,
    remainingTime, SUM(INDIRECT(""DVT_Laboratory!"" &amp; ADDRESS(LabLevel+3, DVTColumn) &amp; "":"" &amp; ADDRESS(MaxOrTarget+2, DVTColumn))) / LabSpeed,
  AE126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6" s="1249"/>
      <c r="AI126" s="1249" t="str">
        <f>IFERROR(__xludf.DUMMYFUNCTION("""COMPUTED_VALUE"""),"")</f>
        <v/>
      </c>
      <c r="AJ126" s="1249" t="str">
        <f>IFERROR(__xludf.DUMMYFUNCTION("""COMPUTED_VALUE"""),"")</f>
        <v/>
      </c>
      <c r="AK126" s="1249"/>
      <c r="AL126" s="1250" t="str">
        <f>IFERROR(__xludf.DUMMYFUNCTION("if(AK126 &lt;&gt; """", 
  LET( 
    TargetLevel, VLOOKUP(AK126,MS_Labs_Array,3,false),
    MaxLevel, VLOOKUP(AK126,MS_Labs_Array,4,false),
    MaxOrTarget, IF(OR(TargetLevel = """",$AD$1 &lt;&gt; ""Target""), MaxLevel, TargetLevel),
    LabLevel, VLOOKUP(AK126,MS_La"&amp;"bs_Array,2,False),
    Levelprogress, LabLevel / MaxOrTarget,
    DVTColumn, MATCH(AK126,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6" s="1251" t="str">
        <f>IFERROR(__xludf.DUMMYFUNCTION("if(AK126 &lt;&gt; """", 
  LET(
    TargetLevel, VLOOKUP(AK126,MS_Labs_Array,3,false),
    LabSpeed, (1 * REGEXEXTRACT($BH$1, ""[\d.-]+"")) * {IF(AK126 =""Labs Speed"", 1+'Master Sheet'!$BK$5, LAB_SPEED_TOTAL())},
    MaxLevel, VLOOKUP(AK126,MS_Labs_Array,4,fal"&amp;"se),
    MaxOrTarget, IF(OR(TargetLevel = """",$AD$1 &lt;&gt; ""Target""), MaxLevel, TargetLevel),
    LabLevel, VLOOKUP(AK126,MS_Labs_Array,2,False),
    DVTColumn, MATCH(AK126, DVT_Laboratory!$A$1:BO$1, 0),
    xextTime, INDIRECT(""DVT_Laboratory!"" &amp; ADDRESS"&amp;"(LabLevel+3, DVTColumn)) / LabSpeed,
    remainingTime, SUM(INDIRECT(""DVT_Laboratory!"" &amp; ADDRESS(LabLevel+3, DVTColumn) &amp; "":"" &amp; ADDRESS(MaxOrTarget+2, DVTColumn))) / LabSpeed,
  AK126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6" s="1249"/>
      <c r="AO126" s="1249" t="str">
        <f>IFERROR(__xludf.DUMMYFUNCTION("""COMPUTED_VALUE"""),"")</f>
        <v/>
      </c>
      <c r="AP126" s="1249" t="str">
        <f>IFERROR(__xludf.DUMMYFUNCTION("""COMPUTED_VALUE"""),"")</f>
        <v/>
      </c>
      <c r="AQ126" s="1249"/>
      <c r="AR126" s="1250" t="str">
        <f>IFERROR(__xludf.DUMMYFUNCTION("if(AQ126 &lt;&gt; """", 
  LET( 
    TargetLevel, VLOOKUP(AQ126,MS_Labs_Array,3,false),
    MaxLevel, VLOOKUP(AQ126,MS_Labs_Array,4,false),
    MaxOrTarget, IF(OR(TargetLevel = """",$AD$1 &lt;&gt; ""Target""), MaxLevel, TargetLevel),
    LabLevel, VLOOKUP(AQ126,MS_La"&amp;"bs_Array,2,False),
    Levelprogress, LabLevel / MaxOrTarget,
    DVTColumn, MATCH(AQ126,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6" s="1251" t="str">
        <f>IFERROR(__xludf.DUMMYFUNCTION("if(AQ126 &lt;&gt; """", 
  LET(
    TargetLevel, VLOOKUP(AQ126,MS_Labs_Array,3,false),
    LabSpeed, (1 * REGEXEXTRACT($BH$1, ""[\d.-]+"")) * {IF(AQ126 =""Labs Speed"", 1+'Master Sheet'!$BK$5, LAB_SPEED_TOTAL())},
    MaxLevel, VLOOKUP(AQ126,MS_Labs_Array,4,fal"&amp;"se),
    MaxOrTarget, IF(OR(TargetLevel = """",$AD$1 &lt;&gt; ""Target""), MaxLevel, TargetLevel),
    LabLevel, VLOOKUP(AQ126,MS_Labs_Array,2,False),
    DVTColumn, MATCH(AQ126, DVT_Laboratory!$A$1:BO$1, 0),
    xextTime, INDIRECT(""DVT_Laboratory!"" &amp; ADDRESS"&amp;"(LabLevel+3, DVTColumn)) / LabSpeed,
    remainingTime, SUM(INDIRECT(""DVT_Laboratory!"" &amp; ADDRESS(LabLevel+3, DVTColumn) &amp; "":"" &amp; ADDRESS(MaxOrTarget+2, DVTColumn))) / LabSpeed,
  AQ126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6" s="1249"/>
      <c r="AU126" s="1249" t="str">
        <f>IFERROR(__xludf.DUMMYFUNCTION("""COMPUTED_VALUE"""),"")</f>
        <v/>
      </c>
      <c r="AV126" s="1249" t="str">
        <f>IFERROR(__xludf.DUMMYFUNCTION("""COMPUTED_VALUE"""),"")</f>
        <v/>
      </c>
      <c r="AW126" s="1249"/>
      <c r="AX126" s="1250" t="str">
        <f>IFERROR(__xludf.DUMMYFUNCTION("if(AW126 &lt;&gt; """", 
  LET( 
    TargetLevel, VLOOKUP(AW126,MS_Labs_Array,3,false),
    MaxLevel, VLOOKUP(AW126,MS_Labs_Array,4,false),
    MaxOrTarget, IF(OR(TargetLevel = """",$AD$1 &lt;&gt; ""Target""), MaxLevel, TargetLevel),
    LabLevel, VLOOKUP(AW126,MS_La"&amp;"bs_Array,2,False),
    Levelprogress, LabLevel / MaxOrTarget,
    DVTColumn, MATCH(AW126,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6" s="1251" t="str">
        <f>IFERROR(__xludf.DUMMYFUNCTION("if(AW126 &lt;&gt; """", 
  LET(
    TargetLevel, VLOOKUP(AW126,MS_Labs_Array,3,false),
    LabSpeed, (1 * REGEXEXTRACT($BH$1, ""[\d.-]+"")) * {IF(AW126 =""Labs Speed"", 1+'Master Sheet'!$BK$5, LAB_SPEED_TOTAL())},
    MaxLevel, VLOOKUP(AW126,MS_Labs_Array,4,fal"&amp;"se),
    MaxOrTarget, IF(OR(TargetLevel = """",$AD$1 &lt;&gt; ""Target""), MaxLevel, TargetLevel),
    LabLevel, VLOOKUP(AW126,MS_Labs_Array,2,False),
    DVTColumn, MATCH(AW126, DVT_Laboratory!$A$1:BO$1, 0),
    xextTime, INDIRECT(""DVT_Laboratory!"" &amp; ADDRESS"&amp;"(LabLevel+3, DVTColumn)) / LabSpeed,
    remainingTime, SUM(INDIRECT(""DVT_Laboratory!"" &amp; ADDRESS(LabLevel+3, DVTColumn) &amp; "":"" &amp; ADDRESS(MaxOrTarget+2, DVTColumn))) / LabSpeed,
  AW126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6" s="1249"/>
      <c r="BA126" s="1249" t="str">
        <f>IFERROR(__xludf.DUMMYFUNCTION("""COMPUTED_VALUE"""),"")</f>
        <v/>
      </c>
      <c r="BB126" s="1249" t="str">
        <f>IFERROR(__xludf.DUMMYFUNCTION("""COMPUTED_VALUE"""),"")</f>
        <v/>
      </c>
      <c r="BC126" s="1249"/>
      <c r="BD126" s="1250" t="str">
        <f>IFERROR(__xludf.DUMMYFUNCTION("if(BC126 &lt;&gt; """", 
  LET( 
    TargetLevel, VLOOKUP(BC126,MS_Labs_Array,3,false),
    MaxLevel, VLOOKUP(BC126,MS_Labs_Array,4,false),
    MaxOrTarget, IF(OR(TargetLevel = """",$AD$1 &lt;&gt; ""Target""), MaxLevel, TargetLevel),
    LabLevel, VLOOKUP(BC126,MS_La"&amp;"bs_Array,2,False),
    Levelprogress, LabLevel / MaxOrTarget,
    DVTColumn, MATCH(BC126,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6" s="1251" t="str">
        <f>IFERROR(__xludf.DUMMYFUNCTION("if(BC126 &lt;&gt; """", 
  LET(
    TargetLevel, VLOOKUP(BC126,MS_Labs_Array,3,false),
    LabSpeed, (1 * REGEXEXTRACT($BH$1, ""[\d.-]+"")) * {IF(BC126 =""Labs Speed"", 1+'Master Sheet'!$BK$5, LAB_SPEED_TOTAL())},
    MaxLevel, VLOOKUP(BC126,MS_Labs_Array,4,fal"&amp;"se),
    MaxOrTarget, IF(OR(TargetLevel = """",$AD$1 &lt;&gt; ""Target""), MaxLevel, TargetLevel),
    LabLevel, VLOOKUP(BC126,MS_Labs_Array,2,False),
    DVTColumn, MATCH(BC126, DVT_Laboratory!$A$1:BO$1, 0),
    xextTime, INDIRECT(""DVT_Laboratory!"" &amp; ADDRESS"&amp;"(LabLevel+3, DVTColumn)) / LabSpeed,
    remainingTime, SUM(INDIRECT(""DVT_Laboratory!"" &amp; ADDRESS(LabLevel+3, DVTColumn) &amp; "":"" &amp; ADDRESS(MaxOrTarget+2, DVTColumn))) / LabSpeed,
  BC126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6" s="1249"/>
      <c r="BG126" s="1249" t="str">
        <f>IFERROR(__xludf.DUMMYFUNCTION("""COMPUTED_VALUE"""),"")</f>
        <v/>
      </c>
      <c r="BH126" s="1260" t="str">
        <f>IFERROR(__xludf.DUMMYFUNCTION("""COMPUTED_VALUE"""),"")</f>
        <v/>
      </c>
      <c r="BI126" s="1252"/>
      <c r="BJ126" s="1253" t="str">
        <f>IFERROR(__xludf.DUMMYFUNCTION("if(BI126 &lt;&gt; """", 
  LET( 
    TargetLevel, VLOOKUP(BI126,MS_Labs_Array,3,false),
    MaxLevel, VLOOKUP(BI126,MS_Labs_Array,4,false),
    MaxOrTarget, IF(OR(TargetLevel = """",$AD$1 &lt;&gt; ""Target""), MaxLevel, TargetLevel),
    LabLevel, VLOOKUP(BI126,MS_La"&amp;"bs_Array,2,False),
    Levelprogress, IF(LabLevel &gt;= MaxOrTarget, 1, LabLevel / MaxOrTarget),
    DVTColumn, MATCH(BI126,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6" s="1254" t="str">
        <f>IFERROR(__xludf.DUMMYFUNCTION("if(BI126 &lt;&gt; """", 
  LET(
    TargetLevel, VLOOKUP(BI126,MS_Labs_Array,3,false),
    LabSpeed, (1 * REGEXEXTRACT($BH$1, ""[\d.-]+"")) * {IF(BI126 =""Labs Speed"", 1+'Master Sheet'!$BK$5, LAB_SPEED_TOTAL())},
    MaxLevel, VLOOKUP(BI126,MS_Labs_Array,4,fal"&amp;"se),
    MaxOrTarget, IF(OR(TargetLevel = """",$AD$1 &lt;&gt; ""Target""), MaxLevel, TargetLevel),
    LabLevel, VLOOKUP(BI126,MS_Labs_Array,2,False),
    DVTColumn, MATCH(BI126, DVT_Laboratory!$A$1:BO$1, 0),
    xextTime, INDIRECT(""DVT_Laboratory!"" &amp; ADDRESS"&amp;"(LabLevel+3, DVTColumn)) / LabSpeed,
    remainingTime, SUM(INDIRECT(""DVT_Laboratory!"" &amp; ADDRESS(LabLevel+3, DVTColumn) &amp; "":"" &amp; ADDRESS(MaxOrTarget+2, DVTColumn))) / LabSpeed,
  BI126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6" s="1252"/>
      <c r="BM126" s="1252" t="str">
        <f>IFERROR(__xludf.DUMMYFUNCTION("""COMPUTED_VALUE"""),"")</f>
        <v/>
      </c>
      <c r="BN126" s="1222"/>
      <c r="BO126" s="1261"/>
    </row>
    <row r="127">
      <c r="A127" s="1222"/>
      <c r="B127" s="1257"/>
      <c r="C127" s="1322" t="s">
        <v>245</v>
      </c>
      <c r="D127" s="1280" t="str">
        <f>VLOOKUP(C127,'Remote Tier List'!A:D, 2, FALSE)</f>
        <v>B</v>
      </c>
      <c r="E127" s="1281" t="str">
        <f>VLOOKUP(C127,'Remote Tier List'!A:D, 3, FALSE)</f>
        <v/>
      </c>
      <c r="F127" s="1258" t="str">
        <f>VLOOKUP(C127,'Remote Tier List'!A:D, 4, FALSE)</f>
        <v>Great but long lab</v>
      </c>
      <c r="G127" s="1245" t="b">
        <f>IFERROR(AND(VLOOKUP("Tier 10",'_IDS'!$BZ$3:$DT$23, 2, FALSE) &gt; 50,IDS_BOT_OWN("Golden Bot")), true)</f>
        <v>1</v>
      </c>
      <c r="H127" s="1246" t="str">
        <f t="array" ref="H127:I127">LET(
  Lab, $C127,
  Mode, $AD$1,
  Level, VLOOKUP(Lab, MS_Labs_Array, 2, FALSE),
  Target, VLOOKUP(Lab, MS_Labs_Array, 3, FALSE),
  Max, VLOOKUP(Lab, MS_Labs_Array, 4, FALSE),
  Result,
    IF(
      AND(
        Mode &lt;&gt; "Never",
        Level &gt;= IF(OR(Target = "", Mode = "Max"), Max, Target)
      ),
      "Completed",
      ""
    ),
  HSTACK(
    IF(Result &lt;&gt; "", Result, $D127),
    IF(Result &lt;&gt; "", Result, IF($E127 = "", $D127, $E127))
  )
)</f>
        <v>B</v>
      </c>
      <c r="I127" s="1247" t="s">
        <v>546</v>
      </c>
      <c r="J127" s="1248" t="str">
        <f t="shared" si="22"/>
        <v>Great but long lab</v>
      </c>
      <c r="K127" s="1229"/>
      <c r="L127" s="1249"/>
      <c r="M127" s="1249"/>
      <c r="N127" s="1250" t="str">
        <f>IFERROR(__xludf.DUMMYFUNCTION("if(M127 &lt;&gt; """", 
  LET( 
    TargetLevel, VLOOKUP(M127,MS_Labs_Array,3,false),
    MaxLevel, VLOOKUP(M127,MS_Labs_Array,4,false),
    MaxOrTarget, IF(OR(TargetLevel = """",$AD$1 &lt;&gt; ""Target""), MaxLevel, TargetLevel),
    LabLevel, VLOOKUP(M127,MS_Labs_A"&amp;"rray,2,False),
    Levelprogress, LabLevel / MaxOrTarget,
    DVTColumn, MATCH(M127,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7" s="1251" t="str">
        <f>IFERROR(__xludf.DUMMYFUNCTION("if(M127 &lt;&gt; """", 
  LET(
    TargetLevel, VLOOKUP(M127,MS_Labs_Array,3,false),
    LabSpeed, (1 * REGEXEXTRACT($BH$1, ""[\d.-]+"")) * {IF(M127 =""Labs Speed"", 1+'Master Sheet'!$BK$5, LAB_SPEED_TOTAL())},
    MaxLevel, VLOOKUP(M127,MS_Labs_Array,4,false),"&amp;"
    MaxOrTarget, IF(OR(TargetLevel = """",$AD$1 &lt;&gt; ""Target""), MaxLevel, TargetLevel),
    LabLevel, VLOOKUP(M127,MS_Labs_Array,2,False),
    DVTColumn, MATCH(M127, DVT_Laboratory!$A$1:BO$1, 0),
    xextTime, INDIRECT(""DVT_Laboratory!"" &amp; ADDRESS(LabLe"&amp;"vel+3, DVTColumn)) / LabSpeed,
    remainingTime, SUM(INDIRECT(""DVT_Laboratory!"" &amp; ADDRESS(LabLevel+3, DVTColumn) &amp; "":"" &amp; ADDRESS(MaxOrTarget+2, DVTColumn))) / LabSpeed,
  M127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7" s="1249"/>
      <c r="Q127" s="1249"/>
      <c r="R127" s="1249"/>
      <c r="S127" s="1249"/>
      <c r="T127" s="1250" t="str">
        <f>IFERROR(__xludf.DUMMYFUNCTION("if(S127 &lt;&gt; """", 
  LET( 
    TargetLevel, VLOOKUP(S127,MS_Labs_Array,3,false),
    MaxLevel, VLOOKUP(S127,MS_Labs_Array,4,false),
    MaxOrTarget, IF(OR(TargetLevel = """",$AD$1 &lt;&gt; ""Target""), MaxLevel, TargetLevel),
    LabLevel, VLOOKUP(S127,MS_Labs_A"&amp;"rray,2,False),
    Levelprogress, LabLevel / MaxOrTarget,
    DVTColumn, MATCH(S127,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7" s="1251" t="str">
        <f>IFERROR(__xludf.DUMMYFUNCTION("if(S127 &lt;&gt; """", 
  LET(
    TargetLevel, VLOOKUP(S127,MS_Labs_Array,3,false),
    LabSpeed, (1 * REGEXEXTRACT($BH$1, ""[\d.-]+"")) * {IF(S127 =""Labs Speed"", 1+'Master Sheet'!$BK$5, LAB_SPEED_TOTAL())},
    MaxLevel, VLOOKUP(S127,MS_Labs_Array,4,false),"&amp;"
    MaxOrTarget, IF(OR(TargetLevel = """",$AD$1 &lt;&gt; ""Target""), MaxLevel, TargetLevel),
    LabLevel, VLOOKUP(S127,MS_Labs_Array,2,False),
    DVTColumn, MATCH(S127, DVT_Laboratory!$A$1:BO$1, 0),
    xextTime, INDIRECT(""DVT_Laboratory!"" &amp; ADDRESS(LabLe"&amp;"vel+3, DVTColumn)) / LabSpeed,
    remainingTime, SUM(INDIRECT(""DVT_Laboratory!"" &amp; ADDRESS(LabLevel+3, DVTColumn) &amp; "":"" &amp; ADDRESS(MaxOrTarget+2, DVTColumn))) / LabSpeed,
  S127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7" s="1249"/>
      <c r="W127" s="1249"/>
      <c r="X127" s="1249"/>
      <c r="Y127" s="1249"/>
      <c r="Z127" s="1250" t="str">
        <f>IFERROR(__xludf.DUMMYFUNCTION("if(Y127 &lt;&gt; """", 
  LET( 
    TargetLevel, VLOOKUP(Y127,MS_Labs_Array,3,false),
    MaxLevel, VLOOKUP(Y127,MS_Labs_Array,4,false),
    MaxOrTarget, IF(OR(TargetLevel = """",$AD$1 &lt;&gt; ""Target""), MaxLevel, TargetLevel),
    LabLevel, VLOOKUP(Y127,MS_Labs_A"&amp;"rray,2,False),
    Levelprogress, LabLevel / MaxOrTarget,
    DVTColumn, MATCH(Y127,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7" s="1251" t="str">
        <f>IFERROR(__xludf.DUMMYFUNCTION("if(Y127 &lt;&gt; """", 
  LET(
    TargetLevel, VLOOKUP(Y127,MS_Labs_Array,3,false),
    LabSpeed, (1 * REGEXEXTRACT($BH$1, ""[\d.-]+"")) * {IF(Y127 =""Labs Speed"", 1+'Master Sheet'!$BK$5, LAB_SPEED_TOTAL())},
    MaxLevel, VLOOKUP(Y127,MS_Labs_Array,4,false),"&amp;"
    MaxOrTarget, IF(OR(TargetLevel = """",$AD$1 &lt;&gt; ""Target""), MaxLevel, TargetLevel),
    LabLevel, VLOOKUP(Y127,MS_Labs_Array,2,False),
    DVTColumn, MATCH(Y127, DVT_Laboratory!$A$1:BO$1, 0),
    xextTime, INDIRECT(""DVT_Laboratory!"" &amp; ADDRESS(LabLe"&amp;"vel+3, DVTColumn)) / LabSpeed,
    remainingTime, SUM(INDIRECT(""DVT_Laboratory!"" &amp; ADDRESS(LabLevel+3, DVTColumn) &amp; "":"" &amp; ADDRESS(MaxOrTarget+2, DVTColumn))) / LabSpeed,
  Y127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7" s="1249"/>
      <c r="AC127" s="1249"/>
      <c r="AD127" s="1249"/>
      <c r="AE127" s="1249"/>
      <c r="AF127" s="1250" t="str">
        <f>IFERROR(__xludf.DUMMYFUNCTION("if(AE127 &lt;&gt; """", 
  LET( 
    TargetLevel, VLOOKUP(AE127,MS_Labs_Array,3,false),
    MaxLevel, VLOOKUP(AE127,MS_Labs_Array,4,false),
    MaxOrTarget, IF(OR(TargetLevel = """",$AD$1 &lt;&gt; ""Target""), MaxLevel, TargetLevel),
    LabLevel, VLOOKUP(AE127,MS_La"&amp;"bs_Array,2,False),
    Levelprogress, LabLevel / MaxOrTarget,
    DVTColumn, MATCH(AE127,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7" s="1251" t="str">
        <f>IFERROR(__xludf.DUMMYFUNCTION("if(AE127 &lt;&gt; """", 
  LET(
    TargetLevel, VLOOKUP(AE127,MS_Labs_Array,3,false),
    LabSpeed, (1 * REGEXEXTRACT($BH$1, ""[\d.-]+"")) * {IF(AE127 =""Labs Speed"", 1+'Master Sheet'!$BK$5, LAB_SPEED_TOTAL())},
    MaxLevel, VLOOKUP(AE127,MS_Labs_Array,4,fal"&amp;"se),
    MaxOrTarget, IF(OR(TargetLevel = """",$AD$1 &lt;&gt; ""Target""), MaxLevel, TargetLevel),
    LabLevel, VLOOKUP(AE127,MS_Labs_Array,2,False),
    DVTColumn, MATCH(AE127, DVT_Laboratory!$A$1:BO$1, 0),
    xextTime, INDIRECT(""DVT_Laboratory!"" &amp; ADDRESS"&amp;"(LabLevel+3, DVTColumn)) / LabSpeed,
    remainingTime, SUM(INDIRECT(""DVT_Laboratory!"" &amp; ADDRESS(LabLevel+3, DVTColumn) &amp; "":"" &amp; ADDRESS(MaxOrTarget+2, DVTColumn))) / LabSpeed,
  AE127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7" s="1249"/>
      <c r="AI127" s="1249"/>
      <c r="AJ127" s="1249"/>
      <c r="AK127" s="1249"/>
      <c r="AL127" s="1250" t="str">
        <f>IFERROR(__xludf.DUMMYFUNCTION("if(AK127 &lt;&gt; """", 
  LET( 
    TargetLevel, VLOOKUP(AK127,MS_Labs_Array,3,false),
    MaxLevel, VLOOKUP(AK127,MS_Labs_Array,4,false),
    MaxOrTarget, IF(OR(TargetLevel = """",$AD$1 &lt;&gt; ""Target""), MaxLevel, TargetLevel),
    LabLevel, VLOOKUP(AK127,MS_La"&amp;"bs_Array,2,False),
    Levelprogress, LabLevel / MaxOrTarget,
    DVTColumn, MATCH(AK127,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7" s="1251" t="str">
        <f>IFERROR(__xludf.DUMMYFUNCTION("if(AK127 &lt;&gt; """", 
  LET(
    TargetLevel, VLOOKUP(AK127,MS_Labs_Array,3,false),
    LabSpeed, (1 * REGEXEXTRACT($BH$1, ""[\d.-]+"")) * {IF(AK127 =""Labs Speed"", 1+'Master Sheet'!$BK$5, LAB_SPEED_TOTAL())},
    MaxLevel, VLOOKUP(AK127,MS_Labs_Array,4,fal"&amp;"se),
    MaxOrTarget, IF(OR(TargetLevel = """",$AD$1 &lt;&gt; ""Target""), MaxLevel, TargetLevel),
    LabLevel, VLOOKUP(AK127,MS_Labs_Array,2,False),
    DVTColumn, MATCH(AK127, DVT_Laboratory!$A$1:BO$1, 0),
    xextTime, INDIRECT(""DVT_Laboratory!"" &amp; ADDRESS"&amp;"(LabLevel+3, DVTColumn)) / LabSpeed,
    remainingTime, SUM(INDIRECT(""DVT_Laboratory!"" &amp; ADDRESS(LabLevel+3, DVTColumn) &amp; "":"" &amp; ADDRESS(MaxOrTarget+2, DVTColumn))) / LabSpeed,
  AK127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7" s="1249"/>
      <c r="AO127" s="1249"/>
      <c r="AP127" s="1249"/>
      <c r="AQ127" s="1249"/>
      <c r="AR127" s="1250" t="str">
        <f>IFERROR(__xludf.DUMMYFUNCTION("if(AQ127 &lt;&gt; """", 
  LET( 
    TargetLevel, VLOOKUP(AQ127,MS_Labs_Array,3,false),
    MaxLevel, VLOOKUP(AQ127,MS_Labs_Array,4,false),
    MaxOrTarget, IF(OR(TargetLevel = """",$AD$1 &lt;&gt; ""Target""), MaxLevel, TargetLevel),
    LabLevel, VLOOKUP(AQ127,MS_La"&amp;"bs_Array,2,False),
    Levelprogress, LabLevel / MaxOrTarget,
    DVTColumn, MATCH(AQ127,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7" s="1251" t="str">
        <f>IFERROR(__xludf.DUMMYFUNCTION("if(AQ127 &lt;&gt; """", 
  LET(
    TargetLevel, VLOOKUP(AQ127,MS_Labs_Array,3,false),
    LabSpeed, (1 * REGEXEXTRACT($BH$1, ""[\d.-]+"")) * {IF(AQ127 =""Labs Speed"", 1+'Master Sheet'!$BK$5, LAB_SPEED_TOTAL())},
    MaxLevel, VLOOKUP(AQ127,MS_Labs_Array,4,fal"&amp;"se),
    MaxOrTarget, IF(OR(TargetLevel = """",$AD$1 &lt;&gt; ""Target""), MaxLevel, TargetLevel),
    LabLevel, VLOOKUP(AQ127,MS_Labs_Array,2,False),
    DVTColumn, MATCH(AQ127, DVT_Laboratory!$A$1:BO$1, 0),
    xextTime, INDIRECT(""DVT_Laboratory!"" &amp; ADDRESS"&amp;"(LabLevel+3, DVTColumn)) / LabSpeed,
    remainingTime, SUM(INDIRECT(""DVT_Laboratory!"" &amp; ADDRESS(LabLevel+3, DVTColumn) &amp; "":"" &amp; ADDRESS(MaxOrTarget+2, DVTColumn))) / LabSpeed,
  AQ127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7" s="1249"/>
      <c r="AU127" s="1249"/>
      <c r="AV127" s="1249"/>
      <c r="AW127" s="1249"/>
      <c r="AX127" s="1250" t="str">
        <f>IFERROR(__xludf.DUMMYFUNCTION("if(AW127 &lt;&gt; """", 
  LET( 
    TargetLevel, VLOOKUP(AW127,MS_Labs_Array,3,false),
    MaxLevel, VLOOKUP(AW127,MS_Labs_Array,4,false),
    MaxOrTarget, IF(OR(TargetLevel = """",$AD$1 &lt;&gt; ""Target""), MaxLevel, TargetLevel),
    LabLevel, VLOOKUP(AW127,MS_La"&amp;"bs_Array,2,False),
    Levelprogress, LabLevel / MaxOrTarget,
    DVTColumn, MATCH(AW127,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7" s="1251" t="str">
        <f>IFERROR(__xludf.DUMMYFUNCTION("if(AW127 &lt;&gt; """", 
  LET(
    TargetLevel, VLOOKUP(AW127,MS_Labs_Array,3,false),
    LabSpeed, (1 * REGEXEXTRACT($BH$1, ""[\d.-]+"")) * {IF(AW127 =""Labs Speed"", 1+'Master Sheet'!$BK$5, LAB_SPEED_TOTAL())},
    MaxLevel, VLOOKUP(AW127,MS_Labs_Array,4,fal"&amp;"se),
    MaxOrTarget, IF(OR(TargetLevel = """",$AD$1 &lt;&gt; ""Target""), MaxLevel, TargetLevel),
    LabLevel, VLOOKUP(AW127,MS_Labs_Array,2,False),
    DVTColumn, MATCH(AW127, DVT_Laboratory!$A$1:BO$1, 0),
    xextTime, INDIRECT(""DVT_Laboratory!"" &amp; ADDRESS"&amp;"(LabLevel+3, DVTColumn)) / LabSpeed,
    remainingTime, SUM(INDIRECT(""DVT_Laboratory!"" &amp; ADDRESS(LabLevel+3, DVTColumn) &amp; "":"" &amp; ADDRESS(MaxOrTarget+2, DVTColumn))) / LabSpeed,
  AW127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7" s="1249"/>
      <c r="BA127" s="1249"/>
      <c r="BB127" s="1249"/>
      <c r="BC127" s="1249"/>
      <c r="BD127" s="1250" t="str">
        <f>IFERROR(__xludf.DUMMYFUNCTION("if(BC127 &lt;&gt; """", 
  LET( 
    TargetLevel, VLOOKUP(BC127,MS_Labs_Array,3,false),
    MaxLevel, VLOOKUP(BC127,MS_Labs_Array,4,false),
    MaxOrTarget, IF(OR(TargetLevel = """",$AD$1 &lt;&gt; ""Target""), MaxLevel, TargetLevel),
    LabLevel, VLOOKUP(BC127,MS_La"&amp;"bs_Array,2,False),
    Levelprogress, LabLevel / MaxOrTarget,
    DVTColumn, MATCH(BC127,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7" s="1251" t="str">
        <f>IFERROR(__xludf.DUMMYFUNCTION("if(BC127 &lt;&gt; """", 
  LET(
    TargetLevel, VLOOKUP(BC127,MS_Labs_Array,3,false),
    LabSpeed, (1 * REGEXEXTRACT($BH$1, ""[\d.-]+"")) * {IF(BC127 =""Labs Speed"", 1+'Master Sheet'!$BK$5, LAB_SPEED_TOTAL())},
    MaxLevel, VLOOKUP(BC127,MS_Labs_Array,4,fal"&amp;"se),
    MaxOrTarget, IF(OR(TargetLevel = """",$AD$1 &lt;&gt; ""Target""), MaxLevel, TargetLevel),
    LabLevel, VLOOKUP(BC127,MS_Labs_Array,2,False),
    DVTColumn, MATCH(BC127, DVT_Laboratory!$A$1:BO$1, 0),
    xextTime, INDIRECT(""DVT_Laboratory!"" &amp; ADDRESS"&amp;"(LabLevel+3, DVTColumn)) / LabSpeed,
    remainingTime, SUM(INDIRECT(""DVT_Laboratory!"" &amp; ADDRESS(LabLevel+3, DVTColumn) &amp; "":"" &amp; ADDRESS(MaxOrTarget+2, DVTColumn))) / LabSpeed,
  BC127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7" s="1249"/>
      <c r="BG127" s="1249"/>
      <c r="BH127" s="1260"/>
      <c r="BI127" s="1252"/>
      <c r="BJ127" s="1253" t="str">
        <f>IFERROR(__xludf.DUMMYFUNCTION("if(BI127 &lt;&gt; """", 
  LET( 
    TargetLevel, VLOOKUP(BI127,MS_Labs_Array,3,false),
    MaxLevel, VLOOKUP(BI127,MS_Labs_Array,4,false),
    MaxOrTarget, IF(OR(TargetLevel = """",$AD$1 &lt;&gt; ""Target""), MaxLevel, TargetLevel),
    LabLevel, VLOOKUP(BI127,MS_La"&amp;"bs_Array,2,False),
    Levelprogress, IF(LabLevel &gt;= MaxOrTarget, 1, LabLevel / MaxOrTarget),
    DVTColumn, MATCH(BI127,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7" s="1254" t="str">
        <f>IFERROR(__xludf.DUMMYFUNCTION("if(BI127 &lt;&gt; """", 
  LET(
    TargetLevel, VLOOKUP(BI127,MS_Labs_Array,3,false),
    LabSpeed, (1 * REGEXEXTRACT($BH$1, ""[\d.-]+"")) * {IF(BI127 =""Labs Speed"", 1+'Master Sheet'!$BK$5, LAB_SPEED_TOTAL())},
    MaxLevel, VLOOKUP(BI127,MS_Labs_Array,4,fal"&amp;"se),
    MaxOrTarget, IF(OR(TargetLevel = """",$AD$1 &lt;&gt; ""Target""), MaxLevel, TargetLevel),
    LabLevel, VLOOKUP(BI127,MS_Labs_Array,2,False),
    DVTColumn, MATCH(BI127, DVT_Laboratory!$A$1:BO$1, 0),
    xextTime, INDIRECT(""DVT_Laboratory!"" &amp; ADDRESS"&amp;"(LabLevel+3, DVTColumn)) / LabSpeed,
    remainingTime, SUM(INDIRECT(""DVT_Laboratory!"" &amp; ADDRESS(LabLevel+3, DVTColumn) &amp; "":"" &amp; ADDRESS(MaxOrTarget+2, DVTColumn))) / LabSpeed,
  BI127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7" s="1252"/>
      <c r="BM127" s="1252"/>
      <c r="BN127" s="1222"/>
      <c r="BO127" s="1261"/>
    </row>
    <row r="128" ht="7.5" customHeight="1">
      <c r="A128" s="1222"/>
      <c r="B128" s="1271"/>
      <c r="C128" s="1323" t="s">
        <v>256</v>
      </c>
      <c r="D128" s="1280" t="str">
        <f>VLOOKUP(C128,'Remote Tier List'!A:D, 2, FALSE)</f>
        <v>B</v>
      </c>
      <c r="E128" s="1281" t="str">
        <f>VLOOKUP(C128,'Remote Tier List'!A:D, 3, FALSE)</f>
        <v/>
      </c>
      <c r="F128" s="1273" t="str">
        <f>VLOOKUP(C128,'Remote Tier List'!A:D, 4, FALSE)</f>
        <v>Improves overall damage and its consistency</v>
      </c>
      <c r="G128" s="1245" t="b">
        <f>IFERROR(AND(VLOOKUP("Tier 10",'_IDS'!$BZ$3:$DT$23, 2, FALSE) &gt; 50,IDS_BOT_OWN("Amplify Bot")), true)</f>
        <v>0</v>
      </c>
      <c r="H128" s="1246" t="str">
        <f t="array" ref="H128:I128">LET(
  Lab, $C128,
  Mode, $AD$1,
  Level, VLOOKUP(Lab, MS_Labs_Array, 2, FALSE),
  Target, VLOOKUP(Lab, MS_Labs_Array, 3, FALSE),
  Max, VLOOKUP(Lab, MS_Labs_Array, 4, FALSE),
  Result,
    IF(
      AND(
        Mode &lt;&gt; "Never",
        Level &gt;= IF(OR(Target = "", Mode = "Max"), Max, Target)
      ),
      "Completed",
      ""
    ),
  HSTACK(
    IF(Result &lt;&gt; "", Result, $D128),
    IF(Result &lt;&gt; "", Result, IF($E128 = "", $D128, $E128))
  )
)</f>
        <v>B</v>
      </c>
      <c r="I128" s="1247" t="s">
        <v>546</v>
      </c>
      <c r="J128" s="1248" t="str">
        <f t="shared" si="22"/>
        <v>Improves overall damage and its consistency</v>
      </c>
      <c r="K128" s="1229"/>
      <c r="L128" s="1249" t="str">
        <f>IFERROR(__xludf.DUMMYFUNCTION("""COMPUTED_VALUE"""),"")</f>
        <v/>
      </c>
      <c r="M128" s="1249"/>
      <c r="N128" s="1250" t="str">
        <f>IFERROR(__xludf.DUMMYFUNCTION("if(M128 &lt;&gt; """", 
  LET( 
    TargetLevel, VLOOKUP(M128,MS_Labs_Array,3,false),
    MaxLevel, VLOOKUP(M128,MS_Labs_Array,4,false),
    MaxOrTarget, IF(OR(TargetLevel = """",$AD$1 &lt;&gt; ""Target""), MaxLevel, TargetLevel),
    LabLevel, VLOOKUP(M128,MS_Labs_A"&amp;"rray,2,False),
    Levelprogress, LabLevel / MaxOrTarget,
    DVTColumn, MATCH(M128,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8" s="1251" t="str">
        <f>IFERROR(__xludf.DUMMYFUNCTION("if(M128 &lt;&gt; """", 
  LET(
    TargetLevel, VLOOKUP(M128,MS_Labs_Array,3,false),
    LabSpeed, (1 * REGEXEXTRACT($BH$1, ""[\d.-]+"")) * {IF(M128 =""Labs Speed"", 1+'Master Sheet'!$BK$5, LAB_SPEED_TOTAL())},
    MaxLevel, VLOOKUP(M128,MS_Labs_Array,4,false),"&amp;"
    MaxOrTarget, IF(OR(TargetLevel = """",$AD$1 &lt;&gt; ""Target""), MaxLevel, TargetLevel),
    LabLevel, VLOOKUP(M128,MS_Labs_Array,2,False),
    DVTColumn, MATCH(M128, DVT_Laboratory!$A$1:BO$1, 0),
    xextTime, INDIRECT(""DVT_Laboratory!"" &amp; ADDRESS(LabLe"&amp;"vel+3, DVTColumn)) / LabSpeed,
    remainingTime, SUM(INDIRECT(""DVT_Laboratory!"" &amp; ADDRESS(LabLevel+3, DVTColumn) &amp; "":"" &amp; ADDRESS(MaxOrTarget+2, DVTColumn))) / LabSpeed,
  M128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8" s="1249"/>
      <c r="Q128" s="1249" t="str">
        <f>IFERROR(__xludf.DUMMYFUNCTION("""COMPUTED_VALUE"""),"")</f>
        <v/>
      </c>
      <c r="R128" s="1249" t="str">
        <f>IFERROR(__xludf.DUMMYFUNCTION("""COMPUTED_VALUE"""),"")</f>
        <v/>
      </c>
      <c r="S128" s="1249"/>
      <c r="T128" s="1250" t="str">
        <f>IFERROR(__xludf.DUMMYFUNCTION("if(S128 &lt;&gt; """", 
  LET( 
    TargetLevel, VLOOKUP(S128,MS_Labs_Array,3,false),
    MaxLevel, VLOOKUP(S128,MS_Labs_Array,4,false),
    MaxOrTarget, IF(OR(TargetLevel = """",$AD$1 &lt;&gt; ""Target""), MaxLevel, TargetLevel),
    LabLevel, VLOOKUP(S128,MS_Labs_A"&amp;"rray,2,False),
    Levelprogress, LabLevel / MaxOrTarget,
    DVTColumn, MATCH(S128,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8" s="1251" t="str">
        <f>IFERROR(__xludf.DUMMYFUNCTION("if(S128 &lt;&gt; """", 
  LET(
    TargetLevel, VLOOKUP(S128,MS_Labs_Array,3,false),
    LabSpeed, (1 * REGEXEXTRACT($BH$1, ""[\d.-]+"")) * {IF(S128 =""Labs Speed"", 1+'Master Sheet'!$BK$5, LAB_SPEED_TOTAL())},
    MaxLevel, VLOOKUP(S128,MS_Labs_Array,4,false),"&amp;"
    MaxOrTarget, IF(OR(TargetLevel = """",$AD$1 &lt;&gt; ""Target""), MaxLevel, TargetLevel),
    LabLevel, VLOOKUP(S128,MS_Labs_Array,2,False),
    DVTColumn, MATCH(S128, DVT_Laboratory!$A$1:BO$1, 0),
    xextTime, INDIRECT(""DVT_Laboratory!"" &amp; ADDRESS(LabLe"&amp;"vel+3, DVTColumn)) / LabSpeed,
    remainingTime, SUM(INDIRECT(""DVT_Laboratory!"" &amp; ADDRESS(LabLevel+3, DVTColumn) &amp; "":"" &amp; ADDRESS(MaxOrTarget+2, DVTColumn))) / LabSpeed,
  S128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8" s="1249"/>
      <c r="W128" s="1249" t="str">
        <f>IFERROR(__xludf.DUMMYFUNCTION("""COMPUTED_VALUE"""),"")</f>
        <v/>
      </c>
      <c r="X128" s="1249" t="str">
        <f>IFERROR(__xludf.DUMMYFUNCTION("""COMPUTED_VALUE"""),"")</f>
        <v/>
      </c>
      <c r="Y128" s="1249"/>
      <c r="Z128" s="1250" t="str">
        <f>IFERROR(__xludf.DUMMYFUNCTION("if(Y128 &lt;&gt; """", 
  LET( 
    TargetLevel, VLOOKUP(Y128,MS_Labs_Array,3,false),
    MaxLevel, VLOOKUP(Y128,MS_Labs_Array,4,false),
    MaxOrTarget, IF(OR(TargetLevel = """",$AD$1 &lt;&gt; ""Target""), MaxLevel, TargetLevel),
    LabLevel, VLOOKUP(Y128,MS_Labs_A"&amp;"rray,2,False),
    Levelprogress, LabLevel / MaxOrTarget,
    DVTColumn, MATCH(Y128,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8" s="1251" t="str">
        <f>IFERROR(__xludf.DUMMYFUNCTION("if(Y128 &lt;&gt; """", 
  LET(
    TargetLevel, VLOOKUP(Y128,MS_Labs_Array,3,false),
    LabSpeed, (1 * REGEXEXTRACT($BH$1, ""[\d.-]+"")) * {IF(Y128 =""Labs Speed"", 1+'Master Sheet'!$BK$5, LAB_SPEED_TOTAL())},
    MaxLevel, VLOOKUP(Y128,MS_Labs_Array,4,false),"&amp;"
    MaxOrTarget, IF(OR(TargetLevel = """",$AD$1 &lt;&gt; ""Target""), MaxLevel, TargetLevel),
    LabLevel, VLOOKUP(Y128,MS_Labs_Array,2,False),
    DVTColumn, MATCH(Y128, DVT_Laboratory!$A$1:BO$1, 0),
    xextTime, INDIRECT(""DVT_Laboratory!"" &amp; ADDRESS(LabLe"&amp;"vel+3, DVTColumn)) / LabSpeed,
    remainingTime, SUM(INDIRECT(""DVT_Laboratory!"" &amp; ADDRESS(LabLevel+3, DVTColumn) &amp; "":"" &amp; ADDRESS(MaxOrTarget+2, DVTColumn))) / LabSpeed,
  Y128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8" s="1249"/>
      <c r="AC128" s="1249" t="str">
        <f>IFERROR(__xludf.DUMMYFUNCTION("""COMPUTED_VALUE"""),"")</f>
        <v/>
      </c>
      <c r="AD128" s="1249" t="str">
        <f>IFERROR(__xludf.DUMMYFUNCTION("""COMPUTED_VALUE"""),"")</f>
        <v/>
      </c>
      <c r="AE128" s="1249"/>
      <c r="AF128" s="1250" t="str">
        <f>IFERROR(__xludf.DUMMYFUNCTION("if(AE128 &lt;&gt; """", 
  LET( 
    TargetLevel, VLOOKUP(AE128,MS_Labs_Array,3,false),
    MaxLevel, VLOOKUP(AE128,MS_Labs_Array,4,false),
    MaxOrTarget, IF(OR(TargetLevel = """",$AD$1 &lt;&gt; ""Target""), MaxLevel, TargetLevel),
    LabLevel, VLOOKUP(AE128,MS_La"&amp;"bs_Array,2,False),
    Levelprogress, LabLevel / MaxOrTarget,
    DVTColumn, MATCH(AE128,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8" s="1251" t="str">
        <f>IFERROR(__xludf.DUMMYFUNCTION("if(AE128 &lt;&gt; """", 
  LET(
    TargetLevel, VLOOKUP(AE128,MS_Labs_Array,3,false),
    LabSpeed, (1 * REGEXEXTRACT($BH$1, ""[\d.-]+"")) * {IF(AE128 =""Labs Speed"", 1+'Master Sheet'!$BK$5, LAB_SPEED_TOTAL())},
    MaxLevel, VLOOKUP(AE128,MS_Labs_Array,4,fal"&amp;"se),
    MaxOrTarget, IF(OR(TargetLevel = """",$AD$1 &lt;&gt; ""Target""), MaxLevel, TargetLevel),
    LabLevel, VLOOKUP(AE128,MS_Labs_Array,2,False),
    DVTColumn, MATCH(AE128, DVT_Laboratory!$A$1:BO$1, 0),
    xextTime, INDIRECT(""DVT_Laboratory!"" &amp; ADDRESS"&amp;"(LabLevel+3, DVTColumn)) / LabSpeed,
    remainingTime, SUM(INDIRECT(""DVT_Laboratory!"" &amp; ADDRESS(LabLevel+3, DVTColumn) &amp; "":"" &amp; ADDRESS(MaxOrTarget+2, DVTColumn))) / LabSpeed,
  AE128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8" s="1249"/>
      <c r="AI128" s="1249" t="str">
        <f>IFERROR(__xludf.DUMMYFUNCTION("""COMPUTED_VALUE"""),"")</f>
        <v/>
      </c>
      <c r="AJ128" s="1249" t="str">
        <f>IFERROR(__xludf.DUMMYFUNCTION("""COMPUTED_VALUE"""),"")</f>
        <v/>
      </c>
      <c r="AK128" s="1249"/>
      <c r="AL128" s="1250" t="str">
        <f>IFERROR(__xludf.DUMMYFUNCTION("if(AK128 &lt;&gt; """", 
  LET( 
    TargetLevel, VLOOKUP(AK128,MS_Labs_Array,3,false),
    MaxLevel, VLOOKUP(AK128,MS_Labs_Array,4,false),
    MaxOrTarget, IF(OR(TargetLevel = """",$AD$1 &lt;&gt; ""Target""), MaxLevel, TargetLevel),
    LabLevel, VLOOKUP(AK128,MS_La"&amp;"bs_Array,2,False),
    Levelprogress, LabLevel / MaxOrTarget,
    DVTColumn, MATCH(AK128,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8" s="1251" t="str">
        <f>IFERROR(__xludf.DUMMYFUNCTION("if(AK128 &lt;&gt; """", 
  LET(
    TargetLevel, VLOOKUP(AK128,MS_Labs_Array,3,false),
    LabSpeed, (1 * REGEXEXTRACT($BH$1, ""[\d.-]+"")) * {IF(AK128 =""Labs Speed"", 1+'Master Sheet'!$BK$5, LAB_SPEED_TOTAL())},
    MaxLevel, VLOOKUP(AK128,MS_Labs_Array,4,fal"&amp;"se),
    MaxOrTarget, IF(OR(TargetLevel = """",$AD$1 &lt;&gt; ""Target""), MaxLevel, TargetLevel),
    LabLevel, VLOOKUP(AK128,MS_Labs_Array,2,False),
    DVTColumn, MATCH(AK128, DVT_Laboratory!$A$1:BO$1, 0),
    xextTime, INDIRECT(""DVT_Laboratory!"" &amp; ADDRESS"&amp;"(LabLevel+3, DVTColumn)) / LabSpeed,
    remainingTime, SUM(INDIRECT(""DVT_Laboratory!"" &amp; ADDRESS(LabLevel+3, DVTColumn) &amp; "":"" &amp; ADDRESS(MaxOrTarget+2, DVTColumn))) / LabSpeed,
  AK128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8" s="1249"/>
      <c r="AO128" s="1249" t="str">
        <f>IFERROR(__xludf.DUMMYFUNCTION("""COMPUTED_VALUE"""),"")</f>
        <v/>
      </c>
      <c r="AP128" s="1249" t="str">
        <f>IFERROR(__xludf.DUMMYFUNCTION("""COMPUTED_VALUE"""),"")</f>
        <v/>
      </c>
      <c r="AQ128" s="1249"/>
      <c r="AR128" s="1250" t="str">
        <f>IFERROR(__xludf.DUMMYFUNCTION("if(AQ128 &lt;&gt; """", 
  LET( 
    TargetLevel, VLOOKUP(AQ128,MS_Labs_Array,3,false),
    MaxLevel, VLOOKUP(AQ128,MS_Labs_Array,4,false),
    MaxOrTarget, IF(OR(TargetLevel = """",$AD$1 &lt;&gt; ""Target""), MaxLevel, TargetLevel),
    LabLevel, VLOOKUP(AQ128,MS_La"&amp;"bs_Array,2,False),
    Levelprogress, LabLevel / MaxOrTarget,
    DVTColumn, MATCH(AQ128,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8" s="1251" t="str">
        <f>IFERROR(__xludf.DUMMYFUNCTION("if(AQ128 &lt;&gt; """", 
  LET(
    TargetLevel, VLOOKUP(AQ128,MS_Labs_Array,3,false),
    LabSpeed, (1 * REGEXEXTRACT($BH$1, ""[\d.-]+"")) * {IF(AQ128 =""Labs Speed"", 1+'Master Sheet'!$BK$5, LAB_SPEED_TOTAL())},
    MaxLevel, VLOOKUP(AQ128,MS_Labs_Array,4,fal"&amp;"se),
    MaxOrTarget, IF(OR(TargetLevel = """",$AD$1 &lt;&gt; ""Target""), MaxLevel, TargetLevel),
    LabLevel, VLOOKUP(AQ128,MS_Labs_Array,2,False),
    DVTColumn, MATCH(AQ128, DVT_Laboratory!$A$1:BO$1, 0),
    xextTime, INDIRECT(""DVT_Laboratory!"" &amp; ADDRESS"&amp;"(LabLevel+3, DVTColumn)) / LabSpeed,
    remainingTime, SUM(INDIRECT(""DVT_Laboratory!"" &amp; ADDRESS(LabLevel+3, DVTColumn) &amp; "":"" &amp; ADDRESS(MaxOrTarget+2, DVTColumn))) / LabSpeed,
  AQ128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8" s="1249"/>
      <c r="AU128" s="1249" t="str">
        <f>IFERROR(__xludf.DUMMYFUNCTION("""COMPUTED_VALUE"""),"")</f>
        <v/>
      </c>
      <c r="AV128" s="1249" t="str">
        <f>IFERROR(__xludf.DUMMYFUNCTION("""COMPUTED_VALUE"""),"")</f>
        <v/>
      </c>
      <c r="AW128" s="1249"/>
      <c r="AX128" s="1250" t="str">
        <f>IFERROR(__xludf.DUMMYFUNCTION("if(AW128 &lt;&gt; """", 
  LET( 
    TargetLevel, VLOOKUP(AW128,MS_Labs_Array,3,false),
    MaxLevel, VLOOKUP(AW128,MS_Labs_Array,4,false),
    MaxOrTarget, IF(OR(TargetLevel = """",$AD$1 &lt;&gt; ""Target""), MaxLevel, TargetLevel),
    LabLevel, VLOOKUP(AW128,MS_La"&amp;"bs_Array,2,False),
    Levelprogress, LabLevel / MaxOrTarget,
    DVTColumn, MATCH(AW128,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8" s="1251" t="str">
        <f>IFERROR(__xludf.DUMMYFUNCTION("if(AW128 &lt;&gt; """", 
  LET(
    TargetLevel, VLOOKUP(AW128,MS_Labs_Array,3,false),
    LabSpeed, (1 * REGEXEXTRACT($BH$1, ""[\d.-]+"")) * {IF(AW128 =""Labs Speed"", 1+'Master Sheet'!$BK$5, LAB_SPEED_TOTAL())},
    MaxLevel, VLOOKUP(AW128,MS_Labs_Array,4,fal"&amp;"se),
    MaxOrTarget, IF(OR(TargetLevel = """",$AD$1 &lt;&gt; ""Target""), MaxLevel, TargetLevel),
    LabLevel, VLOOKUP(AW128,MS_Labs_Array,2,False),
    DVTColumn, MATCH(AW128, DVT_Laboratory!$A$1:BO$1, 0),
    xextTime, INDIRECT(""DVT_Laboratory!"" &amp; ADDRESS"&amp;"(LabLevel+3, DVTColumn)) / LabSpeed,
    remainingTime, SUM(INDIRECT(""DVT_Laboratory!"" &amp; ADDRESS(LabLevel+3, DVTColumn) &amp; "":"" &amp; ADDRESS(MaxOrTarget+2, DVTColumn))) / LabSpeed,
  AW128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8" s="1249"/>
      <c r="BA128" s="1249" t="str">
        <f>IFERROR(__xludf.DUMMYFUNCTION("""COMPUTED_VALUE"""),"")</f>
        <v/>
      </c>
      <c r="BB128" s="1249" t="str">
        <f>IFERROR(__xludf.DUMMYFUNCTION("""COMPUTED_VALUE"""),"")</f>
        <v/>
      </c>
      <c r="BC128" s="1249"/>
      <c r="BD128" s="1250" t="str">
        <f>IFERROR(__xludf.DUMMYFUNCTION("if(BC128 &lt;&gt; """", 
  LET( 
    TargetLevel, VLOOKUP(BC128,MS_Labs_Array,3,false),
    MaxLevel, VLOOKUP(BC128,MS_Labs_Array,4,false),
    MaxOrTarget, IF(OR(TargetLevel = """",$AD$1 &lt;&gt; ""Target""), MaxLevel, TargetLevel),
    LabLevel, VLOOKUP(BC128,MS_La"&amp;"bs_Array,2,False),
    Levelprogress, LabLevel / MaxOrTarget,
    DVTColumn, MATCH(BC128,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8" s="1251" t="str">
        <f>IFERROR(__xludf.DUMMYFUNCTION("if(BC128 &lt;&gt; """", 
  LET(
    TargetLevel, VLOOKUP(BC128,MS_Labs_Array,3,false),
    LabSpeed, (1 * REGEXEXTRACT($BH$1, ""[\d.-]+"")) * {IF(BC128 =""Labs Speed"", 1+'Master Sheet'!$BK$5, LAB_SPEED_TOTAL())},
    MaxLevel, VLOOKUP(BC128,MS_Labs_Array,4,fal"&amp;"se),
    MaxOrTarget, IF(OR(TargetLevel = """",$AD$1 &lt;&gt; ""Target""), MaxLevel, TargetLevel),
    LabLevel, VLOOKUP(BC128,MS_Labs_Array,2,False),
    DVTColumn, MATCH(BC128, DVT_Laboratory!$A$1:BO$1, 0),
    xextTime, INDIRECT(""DVT_Laboratory!"" &amp; ADDRESS"&amp;"(LabLevel+3, DVTColumn)) / LabSpeed,
    remainingTime, SUM(INDIRECT(""DVT_Laboratory!"" &amp; ADDRESS(LabLevel+3, DVTColumn) &amp; "":"" &amp; ADDRESS(MaxOrTarget+2, DVTColumn))) / LabSpeed,
  BC128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8" s="1249"/>
      <c r="BG128" s="1249" t="str">
        <f>IFERROR(__xludf.DUMMYFUNCTION("""COMPUTED_VALUE"""),"")</f>
        <v/>
      </c>
      <c r="BH128" s="1260" t="str">
        <f>IFERROR(__xludf.DUMMYFUNCTION("""COMPUTED_VALUE"""),"")</f>
        <v/>
      </c>
      <c r="BI128" s="1252"/>
      <c r="BJ128" s="1253" t="str">
        <f>IFERROR(__xludf.DUMMYFUNCTION("if(BI128 &lt;&gt; """", 
  LET( 
    TargetLevel, VLOOKUP(BI128,MS_Labs_Array,3,false),
    MaxLevel, VLOOKUP(BI128,MS_Labs_Array,4,false),
    MaxOrTarget, IF(OR(TargetLevel = """",$AD$1 &lt;&gt; ""Target""), MaxLevel, TargetLevel),
    LabLevel, VLOOKUP(BI128,MS_La"&amp;"bs_Array,2,False),
    Levelprogress, IF(LabLevel &gt;= MaxOrTarget, 1, LabLevel / MaxOrTarget),
    DVTColumn, MATCH(BI128,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8" s="1254" t="str">
        <f>IFERROR(__xludf.DUMMYFUNCTION("if(BI128 &lt;&gt; """", 
  LET(
    TargetLevel, VLOOKUP(BI128,MS_Labs_Array,3,false),
    LabSpeed, (1 * REGEXEXTRACT($BH$1, ""[\d.-]+"")) * {IF(BI128 =""Labs Speed"", 1+'Master Sheet'!$BK$5, LAB_SPEED_TOTAL())},
    MaxLevel, VLOOKUP(BI128,MS_Labs_Array,4,fal"&amp;"se),
    MaxOrTarget, IF(OR(TargetLevel = """",$AD$1 &lt;&gt; ""Target""), MaxLevel, TargetLevel),
    LabLevel, VLOOKUP(BI128,MS_Labs_Array,2,False),
    DVTColumn, MATCH(BI128, DVT_Laboratory!$A$1:BO$1, 0),
    xextTime, INDIRECT(""DVT_Laboratory!"" &amp; ADDRESS"&amp;"(LabLevel+3, DVTColumn)) / LabSpeed,
    remainingTime, SUM(INDIRECT(""DVT_Laboratory!"" &amp; ADDRESS(LabLevel+3, DVTColumn) &amp; "":"" &amp; ADDRESS(MaxOrTarget+2, DVTColumn))) / LabSpeed,
  BI128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8" s="1252"/>
      <c r="BM128" s="1252" t="str">
        <f>IFERROR(__xludf.DUMMYFUNCTION("""COMPUTED_VALUE"""),"")</f>
        <v/>
      </c>
      <c r="BN128" s="1222"/>
      <c r="BO128" s="1261"/>
    </row>
    <row r="129">
      <c r="A129" s="1222"/>
      <c r="B129" s="1274"/>
      <c r="C129" s="1275"/>
      <c r="D129" s="1274"/>
      <c r="E129" s="1274"/>
      <c r="F129" s="1274"/>
      <c r="G129" s="1296"/>
      <c r="H129" s="1297"/>
      <c r="I129" s="1297"/>
      <c r="J129" s="1248"/>
      <c r="K129" s="1229"/>
      <c r="L129" s="1249"/>
      <c r="M129" s="1249"/>
      <c r="N129" s="1250" t="str">
        <f>IFERROR(__xludf.DUMMYFUNCTION("if(M129 &lt;&gt; """", 
  LET( 
    TargetLevel, VLOOKUP(M129,MS_Labs_Array,3,false),
    MaxLevel, VLOOKUP(M129,MS_Labs_Array,4,false),
    MaxOrTarget, IF(OR(TargetLevel = """",$AD$1 &lt;&gt; ""Target""), MaxLevel, TargetLevel),
    LabLevel, VLOOKUP(M129,MS_Labs_A"&amp;"rray,2,False),
    Levelprogress, LabLevel / MaxOrTarget,
    DVTColumn, MATCH(M129,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9" s="1251" t="str">
        <f>IFERROR(__xludf.DUMMYFUNCTION("if(M129 &lt;&gt; """", 
  LET(
    TargetLevel, VLOOKUP(M129,MS_Labs_Array,3,false),
    LabSpeed, (1 * REGEXEXTRACT($BH$1, ""[\d.-]+"")) * {IF(M129 =""Labs Speed"", 1+'Master Sheet'!$BK$5, LAB_SPEED_TOTAL())},
    MaxLevel, VLOOKUP(M129,MS_Labs_Array,4,false),"&amp;"
    MaxOrTarget, IF(OR(TargetLevel = """",$AD$1 &lt;&gt; ""Target""), MaxLevel, TargetLevel),
    LabLevel, VLOOKUP(M129,MS_Labs_Array,2,False),
    DVTColumn, MATCH(M129, DVT_Laboratory!$A$1:BO$1, 0),
    xextTime, INDIRECT(""DVT_Laboratory!"" &amp; ADDRESS(LabLe"&amp;"vel+3, DVTColumn)) / LabSpeed,
    remainingTime, SUM(INDIRECT(""DVT_Laboratory!"" &amp; ADDRESS(LabLevel+3, DVTColumn) &amp; "":"" &amp; ADDRESS(MaxOrTarget+2, DVTColumn))) / LabSpeed,
  M129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9" s="1249"/>
      <c r="Q129" s="1249"/>
      <c r="R129" s="1249"/>
      <c r="S129" s="1249"/>
      <c r="T129" s="1250" t="str">
        <f>IFERROR(__xludf.DUMMYFUNCTION("if(S129 &lt;&gt; """", 
  LET( 
    TargetLevel, VLOOKUP(S129,MS_Labs_Array,3,false),
    MaxLevel, VLOOKUP(S129,MS_Labs_Array,4,false),
    MaxOrTarget, IF(OR(TargetLevel = """",$AD$1 &lt;&gt; ""Target""), MaxLevel, TargetLevel),
    LabLevel, VLOOKUP(S129,MS_Labs_A"&amp;"rray,2,False),
    Levelprogress, LabLevel / MaxOrTarget,
    DVTColumn, MATCH(S129,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9" s="1251" t="str">
        <f>IFERROR(__xludf.DUMMYFUNCTION("if(S129 &lt;&gt; """", 
  LET(
    TargetLevel, VLOOKUP(S129,MS_Labs_Array,3,false),
    LabSpeed, (1 * REGEXEXTRACT($BH$1, ""[\d.-]+"")) * {IF(S129 =""Labs Speed"", 1+'Master Sheet'!$BK$5, LAB_SPEED_TOTAL())},
    MaxLevel, VLOOKUP(S129,MS_Labs_Array,4,false),"&amp;"
    MaxOrTarget, IF(OR(TargetLevel = """",$AD$1 &lt;&gt; ""Target""), MaxLevel, TargetLevel),
    LabLevel, VLOOKUP(S129,MS_Labs_Array,2,False),
    DVTColumn, MATCH(S129, DVT_Laboratory!$A$1:BO$1, 0),
    xextTime, INDIRECT(""DVT_Laboratory!"" &amp; ADDRESS(LabLe"&amp;"vel+3, DVTColumn)) / LabSpeed,
    remainingTime, SUM(INDIRECT(""DVT_Laboratory!"" &amp; ADDRESS(LabLevel+3, DVTColumn) &amp; "":"" &amp; ADDRESS(MaxOrTarget+2, DVTColumn))) / LabSpeed,
  S129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9" s="1249"/>
      <c r="W129" s="1249"/>
      <c r="X129" s="1249"/>
      <c r="Y129" s="1249"/>
      <c r="Z129" s="1250" t="str">
        <f>IFERROR(__xludf.DUMMYFUNCTION("if(Y129 &lt;&gt; """", 
  LET( 
    TargetLevel, VLOOKUP(Y129,MS_Labs_Array,3,false),
    MaxLevel, VLOOKUP(Y129,MS_Labs_Array,4,false),
    MaxOrTarget, IF(OR(TargetLevel = """",$AD$1 &lt;&gt; ""Target""), MaxLevel, TargetLevel),
    LabLevel, VLOOKUP(Y129,MS_Labs_A"&amp;"rray,2,False),
    Levelprogress, LabLevel / MaxOrTarget,
    DVTColumn, MATCH(Y129,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9" s="1251" t="str">
        <f>IFERROR(__xludf.DUMMYFUNCTION("if(Y129 &lt;&gt; """", 
  LET(
    TargetLevel, VLOOKUP(Y129,MS_Labs_Array,3,false),
    LabSpeed, (1 * REGEXEXTRACT($BH$1, ""[\d.-]+"")) * {IF(Y129 =""Labs Speed"", 1+'Master Sheet'!$BK$5, LAB_SPEED_TOTAL())},
    MaxLevel, VLOOKUP(Y129,MS_Labs_Array,4,false),"&amp;"
    MaxOrTarget, IF(OR(TargetLevel = """",$AD$1 &lt;&gt; ""Target""), MaxLevel, TargetLevel),
    LabLevel, VLOOKUP(Y129,MS_Labs_Array,2,False),
    DVTColumn, MATCH(Y129, DVT_Laboratory!$A$1:BO$1, 0),
    xextTime, INDIRECT(""DVT_Laboratory!"" &amp; ADDRESS(LabLe"&amp;"vel+3, DVTColumn)) / LabSpeed,
    remainingTime, SUM(INDIRECT(""DVT_Laboratory!"" &amp; ADDRESS(LabLevel+3, DVTColumn) &amp; "":"" &amp; ADDRESS(MaxOrTarget+2, DVTColumn))) / LabSpeed,
  Y129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9" s="1249"/>
      <c r="AC129" s="1249"/>
      <c r="AD129" s="1249"/>
      <c r="AE129" s="1249"/>
      <c r="AF129" s="1250" t="str">
        <f>IFERROR(__xludf.DUMMYFUNCTION("if(AE129 &lt;&gt; """", 
  LET( 
    TargetLevel, VLOOKUP(AE129,MS_Labs_Array,3,false),
    MaxLevel, VLOOKUP(AE129,MS_Labs_Array,4,false),
    MaxOrTarget, IF(OR(TargetLevel = """",$AD$1 &lt;&gt; ""Target""), MaxLevel, TargetLevel),
    LabLevel, VLOOKUP(AE129,MS_La"&amp;"bs_Array,2,False),
    Levelprogress, LabLevel / MaxOrTarget,
    DVTColumn, MATCH(AE129,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9" s="1251" t="str">
        <f>IFERROR(__xludf.DUMMYFUNCTION("if(AE129 &lt;&gt; """", 
  LET(
    TargetLevel, VLOOKUP(AE129,MS_Labs_Array,3,false),
    LabSpeed, (1 * REGEXEXTRACT($BH$1, ""[\d.-]+"")) * {IF(AE129 =""Labs Speed"", 1+'Master Sheet'!$BK$5, LAB_SPEED_TOTAL())},
    MaxLevel, VLOOKUP(AE129,MS_Labs_Array,4,fal"&amp;"se),
    MaxOrTarget, IF(OR(TargetLevel = """",$AD$1 &lt;&gt; ""Target""), MaxLevel, TargetLevel),
    LabLevel, VLOOKUP(AE129,MS_Labs_Array,2,False),
    DVTColumn, MATCH(AE129, DVT_Laboratory!$A$1:BO$1, 0),
    xextTime, INDIRECT(""DVT_Laboratory!"" &amp; ADDRESS"&amp;"(LabLevel+3, DVTColumn)) / LabSpeed,
    remainingTime, SUM(INDIRECT(""DVT_Laboratory!"" &amp; ADDRESS(LabLevel+3, DVTColumn) &amp; "":"" &amp; ADDRESS(MaxOrTarget+2, DVTColumn))) / LabSpeed,
  AE129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9" s="1249"/>
      <c r="AI129" s="1249"/>
      <c r="AJ129" s="1249"/>
      <c r="AK129" s="1249"/>
      <c r="AL129" s="1250" t="str">
        <f>IFERROR(__xludf.DUMMYFUNCTION("if(AK129 &lt;&gt; """", 
  LET( 
    TargetLevel, VLOOKUP(AK129,MS_Labs_Array,3,false),
    MaxLevel, VLOOKUP(AK129,MS_Labs_Array,4,false),
    MaxOrTarget, IF(OR(TargetLevel = """",$AD$1 &lt;&gt; ""Target""), MaxLevel, TargetLevel),
    LabLevel, VLOOKUP(AK129,MS_La"&amp;"bs_Array,2,False),
    Levelprogress, LabLevel / MaxOrTarget,
    DVTColumn, MATCH(AK129,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9" s="1251" t="str">
        <f>IFERROR(__xludf.DUMMYFUNCTION("if(AK129 &lt;&gt; """", 
  LET(
    TargetLevel, VLOOKUP(AK129,MS_Labs_Array,3,false),
    LabSpeed, (1 * REGEXEXTRACT($BH$1, ""[\d.-]+"")) * {IF(AK129 =""Labs Speed"", 1+'Master Sheet'!$BK$5, LAB_SPEED_TOTAL())},
    MaxLevel, VLOOKUP(AK129,MS_Labs_Array,4,fal"&amp;"se),
    MaxOrTarget, IF(OR(TargetLevel = """",$AD$1 &lt;&gt; ""Target""), MaxLevel, TargetLevel),
    LabLevel, VLOOKUP(AK129,MS_Labs_Array,2,False),
    DVTColumn, MATCH(AK129, DVT_Laboratory!$A$1:BO$1, 0),
    xextTime, INDIRECT(""DVT_Laboratory!"" &amp; ADDRESS"&amp;"(LabLevel+3, DVTColumn)) / LabSpeed,
    remainingTime, SUM(INDIRECT(""DVT_Laboratory!"" &amp; ADDRESS(LabLevel+3, DVTColumn) &amp; "":"" &amp; ADDRESS(MaxOrTarget+2, DVTColumn))) / LabSpeed,
  AK129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9" s="1249"/>
      <c r="AO129" s="1249"/>
      <c r="AP129" s="1249"/>
      <c r="AQ129" s="1249"/>
      <c r="AR129" s="1250" t="str">
        <f>IFERROR(__xludf.DUMMYFUNCTION("if(AQ129 &lt;&gt; """", 
  LET( 
    TargetLevel, VLOOKUP(AQ129,MS_Labs_Array,3,false),
    MaxLevel, VLOOKUP(AQ129,MS_Labs_Array,4,false),
    MaxOrTarget, IF(OR(TargetLevel = """",$AD$1 &lt;&gt; ""Target""), MaxLevel, TargetLevel),
    LabLevel, VLOOKUP(AQ129,MS_La"&amp;"bs_Array,2,False),
    Levelprogress, LabLevel / MaxOrTarget,
    DVTColumn, MATCH(AQ129,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9" s="1251" t="str">
        <f>IFERROR(__xludf.DUMMYFUNCTION("if(AQ129 &lt;&gt; """", 
  LET(
    TargetLevel, VLOOKUP(AQ129,MS_Labs_Array,3,false),
    LabSpeed, (1 * REGEXEXTRACT($BH$1, ""[\d.-]+"")) * {IF(AQ129 =""Labs Speed"", 1+'Master Sheet'!$BK$5, LAB_SPEED_TOTAL())},
    MaxLevel, VLOOKUP(AQ129,MS_Labs_Array,4,fal"&amp;"se),
    MaxOrTarget, IF(OR(TargetLevel = """",$AD$1 &lt;&gt; ""Target""), MaxLevel, TargetLevel),
    LabLevel, VLOOKUP(AQ129,MS_Labs_Array,2,False),
    DVTColumn, MATCH(AQ129, DVT_Laboratory!$A$1:BO$1, 0),
    xextTime, INDIRECT(""DVT_Laboratory!"" &amp; ADDRESS"&amp;"(LabLevel+3, DVTColumn)) / LabSpeed,
    remainingTime, SUM(INDIRECT(""DVT_Laboratory!"" &amp; ADDRESS(LabLevel+3, DVTColumn) &amp; "":"" &amp; ADDRESS(MaxOrTarget+2, DVTColumn))) / LabSpeed,
  AQ129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9" s="1249"/>
      <c r="AU129" s="1249"/>
      <c r="AV129" s="1249"/>
      <c r="AW129" s="1249"/>
      <c r="AX129" s="1250" t="str">
        <f>IFERROR(__xludf.DUMMYFUNCTION("if(AW129 &lt;&gt; """", 
  LET( 
    TargetLevel, VLOOKUP(AW129,MS_Labs_Array,3,false),
    MaxLevel, VLOOKUP(AW129,MS_Labs_Array,4,false),
    MaxOrTarget, IF(OR(TargetLevel = """",$AD$1 &lt;&gt; ""Target""), MaxLevel, TargetLevel),
    LabLevel, VLOOKUP(AW129,MS_La"&amp;"bs_Array,2,False),
    Levelprogress, LabLevel / MaxOrTarget,
    DVTColumn, MATCH(AW129,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9" s="1251" t="str">
        <f>IFERROR(__xludf.DUMMYFUNCTION("if(AW129 &lt;&gt; """", 
  LET(
    TargetLevel, VLOOKUP(AW129,MS_Labs_Array,3,false),
    LabSpeed, (1 * REGEXEXTRACT($BH$1, ""[\d.-]+"")) * {IF(AW129 =""Labs Speed"", 1+'Master Sheet'!$BK$5, LAB_SPEED_TOTAL())},
    MaxLevel, VLOOKUP(AW129,MS_Labs_Array,4,fal"&amp;"se),
    MaxOrTarget, IF(OR(TargetLevel = """",$AD$1 &lt;&gt; ""Target""), MaxLevel, TargetLevel),
    LabLevel, VLOOKUP(AW129,MS_Labs_Array,2,False),
    DVTColumn, MATCH(AW129, DVT_Laboratory!$A$1:BO$1, 0),
    xextTime, INDIRECT(""DVT_Laboratory!"" &amp; ADDRESS"&amp;"(LabLevel+3, DVTColumn)) / LabSpeed,
    remainingTime, SUM(INDIRECT(""DVT_Laboratory!"" &amp; ADDRESS(LabLevel+3, DVTColumn) &amp; "":"" &amp; ADDRESS(MaxOrTarget+2, DVTColumn))) / LabSpeed,
  AW129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9" s="1249"/>
      <c r="BA129" s="1249"/>
      <c r="BB129" s="1249"/>
      <c r="BC129" s="1249"/>
      <c r="BD129" s="1250" t="str">
        <f>IFERROR(__xludf.DUMMYFUNCTION("if(BC129 &lt;&gt; """", 
  LET( 
    TargetLevel, VLOOKUP(BC129,MS_Labs_Array,3,false),
    MaxLevel, VLOOKUP(BC129,MS_Labs_Array,4,false),
    MaxOrTarget, IF(OR(TargetLevel = """",$AD$1 &lt;&gt; ""Target""), MaxLevel, TargetLevel),
    LabLevel, VLOOKUP(BC129,MS_La"&amp;"bs_Array,2,False),
    Levelprogress, LabLevel / MaxOrTarget,
    DVTColumn, MATCH(BC129,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9" s="1251" t="str">
        <f>IFERROR(__xludf.DUMMYFUNCTION("if(BC129 &lt;&gt; """", 
  LET(
    TargetLevel, VLOOKUP(BC129,MS_Labs_Array,3,false),
    LabSpeed, (1 * REGEXEXTRACT($BH$1, ""[\d.-]+"")) * {IF(BC129 =""Labs Speed"", 1+'Master Sheet'!$BK$5, LAB_SPEED_TOTAL())},
    MaxLevel, VLOOKUP(BC129,MS_Labs_Array,4,fal"&amp;"se),
    MaxOrTarget, IF(OR(TargetLevel = """",$AD$1 &lt;&gt; ""Target""), MaxLevel, TargetLevel),
    LabLevel, VLOOKUP(BC129,MS_Labs_Array,2,False),
    DVTColumn, MATCH(BC129, DVT_Laboratory!$A$1:BO$1, 0),
    xextTime, INDIRECT(""DVT_Laboratory!"" &amp; ADDRESS"&amp;"(LabLevel+3, DVTColumn)) / LabSpeed,
    remainingTime, SUM(INDIRECT(""DVT_Laboratory!"" &amp; ADDRESS(LabLevel+3, DVTColumn) &amp; "":"" &amp; ADDRESS(MaxOrTarget+2, DVTColumn))) / LabSpeed,
  BC129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9" s="1249"/>
      <c r="BG129" s="1249"/>
      <c r="BH129" s="1260"/>
      <c r="BI129" s="1252"/>
      <c r="BJ129" s="1253" t="str">
        <f>IFERROR(__xludf.DUMMYFUNCTION("if(BI129 &lt;&gt; """", 
  LET( 
    TargetLevel, VLOOKUP(BI129,MS_Labs_Array,3,false),
    MaxLevel, VLOOKUP(BI129,MS_Labs_Array,4,false),
    MaxOrTarget, IF(OR(TargetLevel = """",$AD$1 &lt;&gt; ""Target""), MaxLevel, TargetLevel),
    LabLevel, VLOOKUP(BI129,MS_La"&amp;"bs_Array,2,False),
    Levelprogress, IF(LabLevel &gt;= MaxOrTarget, 1, LabLevel / MaxOrTarget),
    DVTColumn, MATCH(BI129,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9" s="1254" t="str">
        <f>IFERROR(__xludf.DUMMYFUNCTION("if(BI129 &lt;&gt; """", 
  LET(
    TargetLevel, VLOOKUP(BI129,MS_Labs_Array,3,false),
    LabSpeed, (1 * REGEXEXTRACT($BH$1, ""[\d.-]+"")) * {IF(BI129 =""Labs Speed"", 1+'Master Sheet'!$BK$5, LAB_SPEED_TOTAL())},
    MaxLevel, VLOOKUP(BI129,MS_Labs_Array,4,fal"&amp;"se),
    MaxOrTarget, IF(OR(TargetLevel = """",$AD$1 &lt;&gt; ""Target""), MaxLevel, TargetLevel),
    LabLevel, VLOOKUP(BI129,MS_Labs_Array,2,False),
    DVTColumn, MATCH(BI129, DVT_Laboratory!$A$1:BO$1, 0),
    xextTime, INDIRECT(""DVT_Laboratory!"" &amp; ADDRESS"&amp;"(LabLevel+3, DVTColumn)) / LabSpeed,
    remainingTime, SUM(INDIRECT(""DVT_Laboratory!"" &amp; ADDRESS(LabLevel+3, DVTColumn) &amp; "":"" &amp; ADDRESS(MaxOrTarget+2, DVTColumn))) / LabSpeed,
  BI129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9" s="1252"/>
      <c r="BM129" s="1252"/>
      <c r="BN129" s="1222"/>
      <c r="BO129" s="1261"/>
    </row>
    <row r="130" ht="7.5" customHeight="1">
      <c r="A130" s="1222"/>
      <c r="B130" s="1240" t="s">
        <v>567</v>
      </c>
      <c r="C130" s="1324" t="s">
        <v>162</v>
      </c>
      <c r="D130" s="1280" t="str">
        <f>VLOOKUP(C130,'Remote Tier List'!A:D, 2, FALSE)</f>
        <v>D</v>
      </c>
      <c r="E130" s="1281" t="str">
        <f>VLOOKUP(C130,'Remote Tier List'!A:D, 3, FALSE)</f>
        <v/>
      </c>
      <c r="F130" s="1320" t="str">
        <f>VLOOKUP(C130,'Remote Tier List'!A:D, 4, FALSE)</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G130" s="1245" t="b">
        <f t="shared" ref="G130:G150" si="23">LET(
  LabTierUnlock, DVT_LAB_UNLOCK_AT_TIER(C130),
  PlayerPbAtTier, IDS_PS_TIER_PB("Tier "&amp;LabTierUnlock),
  PlayerPb, "T"&amp;LabTierUnlock&amp;" "&amp;PlayerPbAtTier,
  DVT_HAS_LAB_UNLOCKED(C130, PlayerPb))</f>
        <v>1</v>
      </c>
      <c r="H130" s="1246" t="str">
        <f t="array" ref="H130:I130">LET(
  Lab, $C130,
  Mode, $AD$1,
  Level, VLOOKUP(Lab, MS_Labs_Array, 2, FALSE),
  Target, VLOOKUP(Lab, MS_Labs_Array, 3, FALSE),
  Max, VLOOKUP(Lab, MS_Labs_Array, 4, FALSE),
  Result,
    IF(
      AND(
        Mode &lt;&gt; "Never",
        Level &gt;= IF(OR(Target = "", Mode = "Max"), Max, Target)
      ),
      "Completed",
      ""
    ),
  HSTACK(
    IF(Result &lt;&gt; "", Result, $D130),
    IF(Result &lt;&gt; "", Result, IF($E130 = "", $D130, $E130))
  )
)</f>
        <v>D</v>
      </c>
      <c r="I130" s="1247" t="s">
        <v>548</v>
      </c>
      <c r="J130" s="1248" t="str">
        <f t="shared" ref="J130:J142" si="24">if(ISBLANK(F130),J129, F130)</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0" s="1229"/>
      <c r="L130" s="1249" t="str">
        <f>IFERROR(__xludf.DUMMYFUNCTION("""COMPUTED_VALUE"""),"")</f>
        <v/>
      </c>
      <c r="M130" s="1249"/>
      <c r="N130" s="1250" t="str">
        <f>IFERROR(__xludf.DUMMYFUNCTION("if(M130 &lt;&gt; """", 
  LET( 
    TargetLevel, VLOOKUP(M130,MS_Labs_Array,3,false),
    MaxLevel, VLOOKUP(M130,MS_Labs_Array,4,false),
    MaxOrTarget, IF(OR(TargetLevel = """",$AD$1 &lt;&gt; ""Target""), MaxLevel, TargetLevel),
    LabLevel, VLOOKUP(M130,MS_Labs_A"&amp;"rray,2,False),
    Levelprogress, LabLevel / MaxOrTarget,
    DVTColumn, MATCH(M130,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0" s="1251" t="str">
        <f>IFERROR(__xludf.DUMMYFUNCTION("if(M130 &lt;&gt; """", 
  LET(
    TargetLevel, VLOOKUP(M130,MS_Labs_Array,3,false),
    LabSpeed, (1 * REGEXEXTRACT($BH$1, ""[\d.-]+"")) * {IF(M130 =""Labs Speed"", 1+'Master Sheet'!$BK$5, LAB_SPEED_TOTAL())},
    MaxLevel, VLOOKUP(M130,MS_Labs_Array,4,false),"&amp;"
    MaxOrTarget, IF(OR(TargetLevel = """",$AD$1 &lt;&gt; ""Target""), MaxLevel, TargetLevel),
    LabLevel, VLOOKUP(M130,MS_Labs_Array,2,False),
    DVTColumn, MATCH(M130, DVT_Laboratory!$A$1:BO$1, 0),
    xextTime, INDIRECT(""DVT_Laboratory!"" &amp; ADDRESS(LabLe"&amp;"vel+3, DVTColumn)) / LabSpeed,
    remainingTime, SUM(INDIRECT(""DVT_Laboratory!"" &amp; ADDRESS(LabLevel+3, DVTColumn) &amp; "":"" &amp; ADDRESS(MaxOrTarget+2, DVTColumn))) / LabSpeed,
  M130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0" s="1249"/>
      <c r="Q130" s="1249" t="str">
        <f>IFERROR(__xludf.DUMMYFUNCTION("""COMPUTED_VALUE"""),"")</f>
        <v/>
      </c>
      <c r="R130" s="1249" t="str">
        <f>IFERROR(__xludf.DUMMYFUNCTION("""COMPUTED_VALUE"""),"")</f>
        <v/>
      </c>
      <c r="S130" s="1249"/>
      <c r="T130" s="1250" t="str">
        <f>IFERROR(__xludf.DUMMYFUNCTION("if(S130 &lt;&gt; """", 
  LET( 
    TargetLevel, VLOOKUP(S130,MS_Labs_Array,3,false),
    MaxLevel, VLOOKUP(S130,MS_Labs_Array,4,false),
    MaxOrTarget, IF(OR(TargetLevel = """",$AD$1 &lt;&gt; ""Target""), MaxLevel, TargetLevel),
    LabLevel, VLOOKUP(S130,MS_Labs_A"&amp;"rray,2,False),
    Levelprogress, LabLevel / MaxOrTarget,
    DVTColumn, MATCH(S130,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0" s="1251" t="str">
        <f>IFERROR(__xludf.DUMMYFUNCTION("if(S130 &lt;&gt; """", 
  LET(
    TargetLevel, VLOOKUP(S130,MS_Labs_Array,3,false),
    LabSpeed, (1 * REGEXEXTRACT($BH$1, ""[\d.-]+"")) * {IF(S130 =""Labs Speed"", 1+'Master Sheet'!$BK$5, LAB_SPEED_TOTAL())},
    MaxLevel, VLOOKUP(S130,MS_Labs_Array,4,false),"&amp;"
    MaxOrTarget, IF(OR(TargetLevel = """",$AD$1 &lt;&gt; ""Target""), MaxLevel, TargetLevel),
    LabLevel, VLOOKUP(S130,MS_Labs_Array,2,False),
    DVTColumn, MATCH(S130, DVT_Laboratory!$A$1:BO$1, 0),
    xextTime, INDIRECT(""DVT_Laboratory!"" &amp; ADDRESS(LabLe"&amp;"vel+3, DVTColumn)) / LabSpeed,
    remainingTime, SUM(INDIRECT(""DVT_Laboratory!"" &amp; ADDRESS(LabLevel+3, DVTColumn) &amp; "":"" &amp; ADDRESS(MaxOrTarget+2, DVTColumn))) / LabSpeed,
  S130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0" s="1249"/>
      <c r="W130" s="1249" t="str">
        <f>IFERROR(__xludf.DUMMYFUNCTION("""COMPUTED_VALUE"""),"")</f>
        <v/>
      </c>
      <c r="X130" s="1249" t="str">
        <f>IFERROR(__xludf.DUMMYFUNCTION("""COMPUTED_VALUE"""),"")</f>
        <v/>
      </c>
      <c r="Y130" s="1249"/>
      <c r="Z130" s="1250" t="str">
        <f>IFERROR(__xludf.DUMMYFUNCTION("if(Y130 &lt;&gt; """", 
  LET( 
    TargetLevel, VLOOKUP(Y130,MS_Labs_Array,3,false),
    MaxLevel, VLOOKUP(Y130,MS_Labs_Array,4,false),
    MaxOrTarget, IF(OR(TargetLevel = """",$AD$1 &lt;&gt; ""Target""), MaxLevel, TargetLevel),
    LabLevel, VLOOKUP(Y130,MS_Labs_A"&amp;"rray,2,False),
    Levelprogress, LabLevel / MaxOrTarget,
    DVTColumn, MATCH(Y130,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0" s="1251" t="str">
        <f>IFERROR(__xludf.DUMMYFUNCTION("if(Y130 &lt;&gt; """", 
  LET(
    TargetLevel, VLOOKUP(Y130,MS_Labs_Array,3,false),
    LabSpeed, (1 * REGEXEXTRACT($BH$1, ""[\d.-]+"")) * {IF(Y130 =""Labs Speed"", 1+'Master Sheet'!$BK$5, LAB_SPEED_TOTAL())},
    MaxLevel, VLOOKUP(Y130,MS_Labs_Array,4,false),"&amp;"
    MaxOrTarget, IF(OR(TargetLevel = """",$AD$1 &lt;&gt; ""Target""), MaxLevel, TargetLevel),
    LabLevel, VLOOKUP(Y130,MS_Labs_Array,2,False),
    DVTColumn, MATCH(Y130, DVT_Laboratory!$A$1:BO$1, 0),
    xextTime, INDIRECT(""DVT_Laboratory!"" &amp; ADDRESS(LabLe"&amp;"vel+3, DVTColumn)) / LabSpeed,
    remainingTime, SUM(INDIRECT(""DVT_Laboratory!"" &amp; ADDRESS(LabLevel+3, DVTColumn) &amp; "":"" &amp; ADDRESS(MaxOrTarget+2, DVTColumn))) / LabSpeed,
  Y130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0" s="1249"/>
      <c r="AC130" s="1249" t="str">
        <f>IFERROR(__xludf.DUMMYFUNCTION("""COMPUTED_VALUE"""),"")</f>
        <v/>
      </c>
      <c r="AD130" s="1249" t="str">
        <f>IFERROR(__xludf.DUMMYFUNCTION("""COMPUTED_VALUE"""),"")</f>
        <v/>
      </c>
      <c r="AE130" s="1249"/>
      <c r="AF130" s="1250" t="str">
        <f>IFERROR(__xludf.DUMMYFUNCTION("if(AE130 &lt;&gt; """", 
  LET( 
    TargetLevel, VLOOKUP(AE130,MS_Labs_Array,3,false),
    MaxLevel, VLOOKUP(AE130,MS_Labs_Array,4,false),
    MaxOrTarget, IF(OR(TargetLevel = """",$AD$1 &lt;&gt; ""Target""), MaxLevel, TargetLevel),
    LabLevel, VLOOKUP(AE130,MS_La"&amp;"bs_Array,2,False),
    Levelprogress, LabLevel / MaxOrTarget,
    DVTColumn, MATCH(AE130,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0" s="1251" t="str">
        <f>IFERROR(__xludf.DUMMYFUNCTION("if(AE130 &lt;&gt; """", 
  LET(
    TargetLevel, VLOOKUP(AE130,MS_Labs_Array,3,false),
    LabSpeed, (1 * REGEXEXTRACT($BH$1, ""[\d.-]+"")) * {IF(AE130 =""Labs Speed"", 1+'Master Sheet'!$BK$5, LAB_SPEED_TOTAL())},
    MaxLevel, VLOOKUP(AE130,MS_Labs_Array,4,fal"&amp;"se),
    MaxOrTarget, IF(OR(TargetLevel = """",$AD$1 &lt;&gt; ""Target""), MaxLevel, TargetLevel),
    LabLevel, VLOOKUP(AE130,MS_Labs_Array,2,False),
    DVTColumn, MATCH(AE130, DVT_Laboratory!$A$1:BO$1, 0),
    xextTime, INDIRECT(""DVT_Laboratory!"" &amp; ADDRESS"&amp;"(LabLevel+3, DVTColumn)) / LabSpeed,
    remainingTime, SUM(INDIRECT(""DVT_Laboratory!"" &amp; ADDRESS(LabLevel+3, DVTColumn) &amp; "":"" &amp; ADDRESS(MaxOrTarget+2, DVTColumn))) / LabSpeed,
  AE130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0" s="1249"/>
      <c r="AI130" s="1249" t="str">
        <f>IFERROR(__xludf.DUMMYFUNCTION("""COMPUTED_VALUE"""),"")</f>
        <v/>
      </c>
      <c r="AJ130" s="1249" t="str">
        <f>IFERROR(__xludf.DUMMYFUNCTION("""COMPUTED_VALUE"""),"")</f>
        <v/>
      </c>
      <c r="AK130" s="1249"/>
      <c r="AL130" s="1250" t="str">
        <f>IFERROR(__xludf.DUMMYFUNCTION("if(AK130 &lt;&gt; """", 
  LET( 
    TargetLevel, VLOOKUP(AK130,MS_Labs_Array,3,false),
    MaxLevel, VLOOKUP(AK130,MS_Labs_Array,4,false),
    MaxOrTarget, IF(OR(TargetLevel = """",$AD$1 &lt;&gt; ""Target""), MaxLevel, TargetLevel),
    LabLevel, VLOOKUP(AK130,MS_La"&amp;"bs_Array,2,False),
    Levelprogress, LabLevel / MaxOrTarget,
    DVTColumn, MATCH(AK130,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0" s="1251" t="str">
        <f>IFERROR(__xludf.DUMMYFUNCTION("if(AK130 &lt;&gt; """", 
  LET(
    TargetLevel, VLOOKUP(AK130,MS_Labs_Array,3,false),
    LabSpeed, (1 * REGEXEXTRACT($BH$1, ""[\d.-]+"")) * {IF(AK130 =""Labs Speed"", 1+'Master Sheet'!$BK$5, LAB_SPEED_TOTAL())},
    MaxLevel, VLOOKUP(AK130,MS_Labs_Array,4,fal"&amp;"se),
    MaxOrTarget, IF(OR(TargetLevel = """",$AD$1 &lt;&gt; ""Target""), MaxLevel, TargetLevel),
    LabLevel, VLOOKUP(AK130,MS_Labs_Array,2,False),
    DVTColumn, MATCH(AK130, DVT_Laboratory!$A$1:BO$1, 0),
    xextTime, INDIRECT(""DVT_Laboratory!"" &amp; ADDRESS"&amp;"(LabLevel+3, DVTColumn)) / LabSpeed,
    remainingTime, SUM(INDIRECT(""DVT_Laboratory!"" &amp; ADDRESS(LabLevel+3, DVTColumn) &amp; "":"" &amp; ADDRESS(MaxOrTarget+2, DVTColumn))) / LabSpeed,
  AK130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0" s="1249"/>
      <c r="AO130" s="1249" t="str">
        <f>IFERROR(__xludf.DUMMYFUNCTION("""COMPUTED_VALUE"""),"")</f>
        <v/>
      </c>
      <c r="AP130" s="1249" t="str">
        <f>IFERROR(__xludf.DUMMYFUNCTION("""COMPUTED_VALUE"""),"")</f>
        <v/>
      </c>
      <c r="AQ130" s="1249"/>
      <c r="AR130" s="1250" t="str">
        <f>IFERROR(__xludf.DUMMYFUNCTION("if(AQ130 &lt;&gt; """", 
  LET( 
    TargetLevel, VLOOKUP(AQ130,MS_Labs_Array,3,false),
    MaxLevel, VLOOKUP(AQ130,MS_Labs_Array,4,false),
    MaxOrTarget, IF(OR(TargetLevel = """",$AD$1 &lt;&gt; ""Target""), MaxLevel, TargetLevel),
    LabLevel, VLOOKUP(AQ130,MS_La"&amp;"bs_Array,2,False),
    Levelprogress, LabLevel / MaxOrTarget,
    DVTColumn, MATCH(AQ130,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0" s="1251" t="str">
        <f>IFERROR(__xludf.DUMMYFUNCTION("if(AQ130 &lt;&gt; """", 
  LET(
    TargetLevel, VLOOKUP(AQ130,MS_Labs_Array,3,false),
    LabSpeed, (1 * REGEXEXTRACT($BH$1, ""[\d.-]+"")) * {IF(AQ130 =""Labs Speed"", 1+'Master Sheet'!$BK$5, LAB_SPEED_TOTAL())},
    MaxLevel, VLOOKUP(AQ130,MS_Labs_Array,4,fal"&amp;"se),
    MaxOrTarget, IF(OR(TargetLevel = """",$AD$1 &lt;&gt; ""Target""), MaxLevel, TargetLevel),
    LabLevel, VLOOKUP(AQ130,MS_Labs_Array,2,False),
    DVTColumn, MATCH(AQ130, DVT_Laboratory!$A$1:BO$1, 0),
    xextTime, INDIRECT(""DVT_Laboratory!"" &amp; ADDRESS"&amp;"(LabLevel+3, DVTColumn)) / LabSpeed,
    remainingTime, SUM(INDIRECT(""DVT_Laboratory!"" &amp; ADDRESS(LabLevel+3, DVTColumn) &amp; "":"" &amp; ADDRESS(MaxOrTarget+2, DVTColumn))) / LabSpeed,
  AQ130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0" s="1249"/>
      <c r="AU130" s="1249" t="str">
        <f>IFERROR(__xludf.DUMMYFUNCTION("""COMPUTED_VALUE"""),"")</f>
        <v/>
      </c>
      <c r="AV130" s="1249" t="str">
        <f>IFERROR(__xludf.DUMMYFUNCTION("""COMPUTED_VALUE"""),"")</f>
        <v/>
      </c>
      <c r="AW130" s="1249"/>
      <c r="AX130" s="1250" t="str">
        <f>IFERROR(__xludf.DUMMYFUNCTION("if(AW130 &lt;&gt; """", 
  LET( 
    TargetLevel, VLOOKUP(AW130,MS_Labs_Array,3,false),
    MaxLevel, VLOOKUP(AW130,MS_Labs_Array,4,false),
    MaxOrTarget, IF(OR(TargetLevel = """",$AD$1 &lt;&gt; ""Target""), MaxLevel, TargetLevel),
    LabLevel, VLOOKUP(AW130,MS_La"&amp;"bs_Array,2,False),
    Levelprogress, LabLevel / MaxOrTarget,
    DVTColumn, MATCH(AW130,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0" s="1251" t="str">
        <f>IFERROR(__xludf.DUMMYFUNCTION("if(AW130 &lt;&gt; """", 
  LET(
    TargetLevel, VLOOKUP(AW130,MS_Labs_Array,3,false),
    LabSpeed, (1 * REGEXEXTRACT($BH$1, ""[\d.-]+"")) * {IF(AW130 =""Labs Speed"", 1+'Master Sheet'!$BK$5, LAB_SPEED_TOTAL())},
    MaxLevel, VLOOKUP(AW130,MS_Labs_Array,4,fal"&amp;"se),
    MaxOrTarget, IF(OR(TargetLevel = """",$AD$1 &lt;&gt; ""Target""), MaxLevel, TargetLevel),
    LabLevel, VLOOKUP(AW130,MS_Labs_Array,2,False),
    DVTColumn, MATCH(AW130, DVT_Laboratory!$A$1:BO$1, 0),
    xextTime, INDIRECT(""DVT_Laboratory!"" &amp; ADDRESS"&amp;"(LabLevel+3, DVTColumn)) / LabSpeed,
    remainingTime, SUM(INDIRECT(""DVT_Laboratory!"" &amp; ADDRESS(LabLevel+3, DVTColumn) &amp; "":"" &amp; ADDRESS(MaxOrTarget+2, DVTColumn))) / LabSpeed,
  AW130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0" s="1249"/>
      <c r="BA130" s="1249" t="str">
        <f>IFERROR(__xludf.DUMMYFUNCTION("""COMPUTED_VALUE"""),"")</f>
        <v/>
      </c>
      <c r="BB130" s="1249" t="str">
        <f>IFERROR(__xludf.DUMMYFUNCTION("""COMPUTED_VALUE"""),"")</f>
        <v/>
      </c>
      <c r="BC130" s="1249"/>
      <c r="BD130" s="1250" t="str">
        <f>IFERROR(__xludf.DUMMYFUNCTION("if(BC130 &lt;&gt; """", 
  LET( 
    TargetLevel, VLOOKUP(BC130,MS_Labs_Array,3,false),
    MaxLevel, VLOOKUP(BC130,MS_Labs_Array,4,false),
    MaxOrTarget, IF(OR(TargetLevel = """",$AD$1 &lt;&gt; ""Target""), MaxLevel, TargetLevel),
    LabLevel, VLOOKUP(BC130,MS_La"&amp;"bs_Array,2,False),
    Levelprogress, LabLevel / MaxOrTarget,
    DVTColumn, MATCH(BC130,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0" s="1251" t="str">
        <f>IFERROR(__xludf.DUMMYFUNCTION("if(BC130 &lt;&gt; """", 
  LET(
    TargetLevel, VLOOKUP(BC130,MS_Labs_Array,3,false),
    LabSpeed, (1 * REGEXEXTRACT($BH$1, ""[\d.-]+"")) * {IF(BC130 =""Labs Speed"", 1+'Master Sheet'!$BK$5, LAB_SPEED_TOTAL())},
    MaxLevel, VLOOKUP(BC130,MS_Labs_Array,4,fal"&amp;"se),
    MaxOrTarget, IF(OR(TargetLevel = """",$AD$1 &lt;&gt; ""Target""), MaxLevel, TargetLevel),
    LabLevel, VLOOKUP(BC130,MS_Labs_Array,2,False),
    DVTColumn, MATCH(BC130, DVT_Laboratory!$A$1:BO$1, 0),
    xextTime, INDIRECT(""DVT_Laboratory!"" &amp; ADDRESS"&amp;"(LabLevel+3, DVTColumn)) / LabSpeed,
    remainingTime, SUM(INDIRECT(""DVT_Laboratory!"" &amp; ADDRESS(LabLevel+3, DVTColumn) &amp; "":"" &amp; ADDRESS(MaxOrTarget+2, DVTColumn))) / LabSpeed,
  BC130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0" s="1249"/>
      <c r="BG130" s="1249" t="str">
        <f>IFERROR(__xludf.DUMMYFUNCTION("""COMPUTED_VALUE"""),"")</f>
        <v/>
      </c>
      <c r="BH130" s="1260" t="str">
        <f>IFERROR(__xludf.DUMMYFUNCTION("""COMPUTED_VALUE"""),"")</f>
        <v/>
      </c>
      <c r="BI130" s="1252"/>
      <c r="BJ130" s="1253" t="str">
        <f>IFERROR(__xludf.DUMMYFUNCTION("if(BI130 &lt;&gt; """", 
  LET( 
    TargetLevel, VLOOKUP(BI130,MS_Labs_Array,3,false),
    MaxLevel, VLOOKUP(BI130,MS_Labs_Array,4,false),
    MaxOrTarget, IF(OR(TargetLevel = """",$AD$1 &lt;&gt; ""Target""), MaxLevel, TargetLevel),
    LabLevel, VLOOKUP(BI130,MS_La"&amp;"bs_Array,2,False),
    Levelprogress, IF(LabLevel &gt;= MaxOrTarget, 1, LabLevel / MaxOrTarget),
    DVTColumn, MATCH(BI130,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0" s="1254" t="str">
        <f>IFERROR(__xludf.DUMMYFUNCTION("if(BI130 &lt;&gt; """", 
  LET(
    TargetLevel, VLOOKUP(BI130,MS_Labs_Array,3,false),
    LabSpeed, (1 * REGEXEXTRACT($BH$1, ""[\d.-]+"")) * {IF(BI130 =""Labs Speed"", 1+'Master Sheet'!$BK$5, LAB_SPEED_TOTAL())},
    MaxLevel, VLOOKUP(BI130,MS_Labs_Array,4,fal"&amp;"se),
    MaxOrTarget, IF(OR(TargetLevel = """",$AD$1 &lt;&gt; ""Target""), MaxLevel, TargetLevel),
    LabLevel, VLOOKUP(BI130,MS_Labs_Array,2,False),
    DVTColumn, MATCH(BI130, DVT_Laboratory!$A$1:BO$1, 0),
    xextTime, INDIRECT(""DVT_Laboratory!"" &amp; ADDRESS"&amp;"(LabLevel+3, DVTColumn)) / LabSpeed,
    remainingTime, SUM(INDIRECT(""DVT_Laboratory!"" &amp; ADDRESS(LabLevel+3, DVTColumn) &amp; "":"" &amp; ADDRESS(MaxOrTarget+2, DVTColumn))) / LabSpeed,
  BI130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0" s="1252"/>
      <c r="BM130" s="1252" t="str">
        <f>IFERROR(__xludf.DUMMYFUNCTION("""COMPUTED_VALUE"""),"")</f>
        <v/>
      </c>
      <c r="BN130" s="1222"/>
      <c r="BO130" s="1261"/>
    </row>
    <row r="131">
      <c r="A131" s="1222"/>
      <c r="B131" s="1257"/>
      <c r="C131" s="1325" t="s">
        <v>177</v>
      </c>
      <c r="D131" s="1280" t="str">
        <f>VLOOKUP(C131,'Remote Tier List'!A:D, 2, FALSE)</f>
        <v>F</v>
      </c>
      <c r="E131" s="1281" t="str">
        <f>VLOOKUP(C131,'Remote Tier List'!A:D, 3, FALSE)</f>
        <v/>
      </c>
      <c r="F131" s="1257"/>
      <c r="G131" s="1245" t="b">
        <f t="shared" si="23"/>
        <v>1</v>
      </c>
      <c r="H131" s="1246" t="str">
        <f t="array" ref="H131:I131">LET(
  Lab, $C131,
  Mode, $AD$1,
  Level, VLOOKUP(Lab, MS_Labs_Array, 2, FALSE),
  Target, VLOOKUP(Lab, MS_Labs_Array, 3, FALSE),
  Max, VLOOKUP(Lab, MS_Labs_Array, 4, FALSE),
  Result,
    IF(
      AND(
        Mode &lt;&gt; "Never",
        Level &gt;= IF(OR(Target = "", Mode = "Max"), Max, Target)
      ),
      "Completed",
      ""
    ),
  HSTACK(
    IF(Result &lt;&gt; "", Result, $D131),
    IF(Result &lt;&gt; "", Result, IF($E131 = "", $D131, $E131))
  )
)</f>
        <v>F</v>
      </c>
      <c r="I131" s="1247" t="s">
        <v>549</v>
      </c>
      <c r="J131" s="1248" t="str">
        <f t="shared" si="24"/>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1" s="1229"/>
      <c r="L131" s="1249"/>
      <c r="M131" s="1249"/>
      <c r="N131" s="1250" t="str">
        <f>IFERROR(__xludf.DUMMYFUNCTION("if(M131 &lt;&gt; """", 
  LET( 
    TargetLevel, VLOOKUP(M131,MS_Labs_Array,3,false),
    MaxLevel, VLOOKUP(M131,MS_Labs_Array,4,false),
    MaxOrTarget, IF(OR(TargetLevel = """",$AD$1 &lt;&gt; ""Target""), MaxLevel, TargetLevel),
    LabLevel, VLOOKUP(M131,MS_Labs_A"&amp;"rray,2,False),
    Levelprogress, LabLevel / MaxOrTarget,
    DVTColumn, MATCH(M131,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1" s="1251" t="str">
        <f>IFERROR(__xludf.DUMMYFUNCTION("if(M131 &lt;&gt; """", 
  LET(
    TargetLevel, VLOOKUP(M131,MS_Labs_Array,3,false),
    LabSpeed, (1 * REGEXEXTRACT($BH$1, ""[\d.-]+"")) * {IF(M131 =""Labs Speed"", 1+'Master Sheet'!$BK$5, LAB_SPEED_TOTAL())},
    MaxLevel, VLOOKUP(M131,MS_Labs_Array,4,false),"&amp;"
    MaxOrTarget, IF(OR(TargetLevel = """",$AD$1 &lt;&gt; ""Target""), MaxLevel, TargetLevel),
    LabLevel, VLOOKUP(M131,MS_Labs_Array,2,False),
    DVTColumn, MATCH(M131, DVT_Laboratory!$A$1:BO$1, 0),
    xextTime, INDIRECT(""DVT_Laboratory!"" &amp; ADDRESS(LabLe"&amp;"vel+3, DVTColumn)) / LabSpeed,
    remainingTime, SUM(INDIRECT(""DVT_Laboratory!"" &amp; ADDRESS(LabLevel+3, DVTColumn) &amp; "":"" &amp; ADDRESS(MaxOrTarget+2, DVTColumn))) / LabSpeed,
  M131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1" s="1249"/>
      <c r="Q131" s="1249"/>
      <c r="R131" s="1249"/>
      <c r="S131" s="1249"/>
      <c r="T131" s="1250" t="str">
        <f>IFERROR(__xludf.DUMMYFUNCTION("if(S131 &lt;&gt; """", 
  LET( 
    TargetLevel, VLOOKUP(S131,MS_Labs_Array,3,false),
    MaxLevel, VLOOKUP(S131,MS_Labs_Array,4,false),
    MaxOrTarget, IF(OR(TargetLevel = """",$AD$1 &lt;&gt; ""Target""), MaxLevel, TargetLevel),
    LabLevel, VLOOKUP(S131,MS_Labs_A"&amp;"rray,2,False),
    Levelprogress, LabLevel / MaxOrTarget,
    DVTColumn, MATCH(S131,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1" s="1251" t="str">
        <f>IFERROR(__xludf.DUMMYFUNCTION("if(S131 &lt;&gt; """", 
  LET(
    TargetLevel, VLOOKUP(S131,MS_Labs_Array,3,false),
    LabSpeed, (1 * REGEXEXTRACT($BH$1, ""[\d.-]+"")) * {IF(S131 =""Labs Speed"", 1+'Master Sheet'!$BK$5, LAB_SPEED_TOTAL())},
    MaxLevel, VLOOKUP(S131,MS_Labs_Array,4,false),"&amp;"
    MaxOrTarget, IF(OR(TargetLevel = """",$AD$1 &lt;&gt; ""Target""), MaxLevel, TargetLevel),
    LabLevel, VLOOKUP(S131,MS_Labs_Array,2,False),
    DVTColumn, MATCH(S131, DVT_Laboratory!$A$1:BO$1, 0),
    xextTime, INDIRECT(""DVT_Laboratory!"" &amp; ADDRESS(LabLe"&amp;"vel+3, DVTColumn)) / LabSpeed,
    remainingTime, SUM(INDIRECT(""DVT_Laboratory!"" &amp; ADDRESS(LabLevel+3, DVTColumn) &amp; "":"" &amp; ADDRESS(MaxOrTarget+2, DVTColumn))) / LabSpeed,
  S131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1" s="1249"/>
      <c r="W131" s="1249"/>
      <c r="X131" s="1249"/>
      <c r="Y131" s="1249"/>
      <c r="Z131" s="1250" t="str">
        <f>IFERROR(__xludf.DUMMYFUNCTION("if(Y131 &lt;&gt; """", 
  LET( 
    TargetLevel, VLOOKUP(Y131,MS_Labs_Array,3,false),
    MaxLevel, VLOOKUP(Y131,MS_Labs_Array,4,false),
    MaxOrTarget, IF(OR(TargetLevel = """",$AD$1 &lt;&gt; ""Target""), MaxLevel, TargetLevel),
    LabLevel, VLOOKUP(Y131,MS_Labs_A"&amp;"rray,2,False),
    Levelprogress, LabLevel / MaxOrTarget,
    DVTColumn, MATCH(Y131,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1" s="1251" t="str">
        <f>IFERROR(__xludf.DUMMYFUNCTION("if(Y131 &lt;&gt; """", 
  LET(
    TargetLevel, VLOOKUP(Y131,MS_Labs_Array,3,false),
    LabSpeed, (1 * REGEXEXTRACT($BH$1, ""[\d.-]+"")) * {IF(Y131 =""Labs Speed"", 1+'Master Sheet'!$BK$5, LAB_SPEED_TOTAL())},
    MaxLevel, VLOOKUP(Y131,MS_Labs_Array,4,false),"&amp;"
    MaxOrTarget, IF(OR(TargetLevel = """",$AD$1 &lt;&gt; ""Target""), MaxLevel, TargetLevel),
    LabLevel, VLOOKUP(Y131,MS_Labs_Array,2,False),
    DVTColumn, MATCH(Y131, DVT_Laboratory!$A$1:BO$1, 0),
    xextTime, INDIRECT(""DVT_Laboratory!"" &amp; ADDRESS(LabLe"&amp;"vel+3, DVTColumn)) / LabSpeed,
    remainingTime, SUM(INDIRECT(""DVT_Laboratory!"" &amp; ADDRESS(LabLevel+3, DVTColumn) &amp; "":"" &amp; ADDRESS(MaxOrTarget+2, DVTColumn))) / LabSpeed,
  Y131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1" s="1249"/>
      <c r="AC131" s="1249"/>
      <c r="AD131" s="1249"/>
      <c r="AE131" s="1249"/>
      <c r="AF131" s="1250" t="str">
        <f>IFERROR(__xludf.DUMMYFUNCTION("if(AE131 &lt;&gt; """", 
  LET( 
    TargetLevel, VLOOKUP(AE131,MS_Labs_Array,3,false),
    MaxLevel, VLOOKUP(AE131,MS_Labs_Array,4,false),
    MaxOrTarget, IF(OR(TargetLevel = """",$AD$1 &lt;&gt; ""Target""), MaxLevel, TargetLevel),
    LabLevel, VLOOKUP(AE131,MS_La"&amp;"bs_Array,2,False),
    Levelprogress, LabLevel / MaxOrTarget,
    DVTColumn, MATCH(AE131,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1" s="1251" t="str">
        <f>IFERROR(__xludf.DUMMYFUNCTION("if(AE131 &lt;&gt; """", 
  LET(
    TargetLevel, VLOOKUP(AE131,MS_Labs_Array,3,false),
    LabSpeed, (1 * REGEXEXTRACT($BH$1, ""[\d.-]+"")) * {IF(AE131 =""Labs Speed"", 1+'Master Sheet'!$BK$5, LAB_SPEED_TOTAL())},
    MaxLevel, VLOOKUP(AE131,MS_Labs_Array,4,fal"&amp;"se),
    MaxOrTarget, IF(OR(TargetLevel = """",$AD$1 &lt;&gt; ""Target""), MaxLevel, TargetLevel),
    LabLevel, VLOOKUP(AE131,MS_Labs_Array,2,False),
    DVTColumn, MATCH(AE131, DVT_Laboratory!$A$1:BO$1, 0),
    xextTime, INDIRECT(""DVT_Laboratory!"" &amp; ADDRESS"&amp;"(LabLevel+3, DVTColumn)) / LabSpeed,
    remainingTime, SUM(INDIRECT(""DVT_Laboratory!"" &amp; ADDRESS(LabLevel+3, DVTColumn) &amp; "":"" &amp; ADDRESS(MaxOrTarget+2, DVTColumn))) / LabSpeed,
  AE131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1" s="1249"/>
      <c r="AI131" s="1249"/>
      <c r="AJ131" s="1249"/>
      <c r="AK131" s="1249"/>
      <c r="AL131" s="1250" t="str">
        <f>IFERROR(__xludf.DUMMYFUNCTION("if(AK131 &lt;&gt; """", 
  LET( 
    TargetLevel, VLOOKUP(AK131,MS_Labs_Array,3,false),
    MaxLevel, VLOOKUP(AK131,MS_Labs_Array,4,false),
    MaxOrTarget, IF(OR(TargetLevel = """",$AD$1 &lt;&gt; ""Target""), MaxLevel, TargetLevel),
    LabLevel, VLOOKUP(AK131,MS_La"&amp;"bs_Array,2,False),
    Levelprogress, LabLevel / MaxOrTarget,
    DVTColumn, MATCH(AK131,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1" s="1251" t="str">
        <f>IFERROR(__xludf.DUMMYFUNCTION("if(AK131 &lt;&gt; """", 
  LET(
    TargetLevel, VLOOKUP(AK131,MS_Labs_Array,3,false),
    LabSpeed, (1 * REGEXEXTRACT($BH$1, ""[\d.-]+"")) * {IF(AK131 =""Labs Speed"", 1+'Master Sheet'!$BK$5, LAB_SPEED_TOTAL())},
    MaxLevel, VLOOKUP(AK131,MS_Labs_Array,4,fal"&amp;"se),
    MaxOrTarget, IF(OR(TargetLevel = """",$AD$1 &lt;&gt; ""Target""), MaxLevel, TargetLevel),
    LabLevel, VLOOKUP(AK131,MS_Labs_Array,2,False),
    DVTColumn, MATCH(AK131, DVT_Laboratory!$A$1:BO$1, 0),
    xextTime, INDIRECT(""DVT_Laboratory!"" &amp; ADDRESS"&amp;"(LabLevel+3, DVTColumn)) / LabSpeed,
    remainingTime, SUM(INDIRECT(""DVT_Laboratory!"" &amp; ADDRESS(LabLevel+3, DVTColumn) &amp; "":"" &amp; ADDRESS(MaxOrTarget+2, DVTColumn))) / LabSpeed,
  AK131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1" s="1249"/>
      <c r="AO131" s="1249"/>
      <c r="AP131" s="1249"/>
      <c r="AQ131" s="1249"/>
      <c r="AR131" s="1250" t="str">
        <f>IFERROR(__xludf.DUMMYFUNCTION("if(AQ131 &lt;&gt; """", 
  LET( 
    TargetLevel, VLOOKUP(AQ131,MS_Labs_Array,3,false),
    MaxLevel, VLOOKUP(AQ131,MS_Labs_Array,4,false),
    MaxOrTarget, IF(OR(TargetLevel = """",$AD$1 &lt;&gt; ""Target""), MaxLevel, TargetLevel),
    LabLevel, VLOOKUP(AQ131,MS_La"&amp;"bs_Array,2,False),
    Levelprogress, LabLevel / MaxOrTarget,
    DVTColumn, MATCH(AQ131,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1" s="1251" t="str">
        <f>IFERROR(__xludf.DUMMYFUNCTION("if(AQ131 &lt;&gt; """", 
  LET(
    TargetLevel, VLOOKUP(AQ131,MS_Labs_Array,3,false),
    LabSpeed, (1 * REGEXEXTRACT($BH$1, ""[\d.-]+"")) * {IF(AQ131 =""Labs Speed"", 1+'Master Sheet'!$BK$5, LAB_SPEED_TOTAL())},
    MaxLevel, VLOOKUP(AQ131,MS_Labs_Array,4,fal"&amp;"se),
    MaxOrTarget, IF(OR(TargetLevel = """",$AD$1 &lt;&gt; ""Target""), MaxLevel, TargetLevel),
    LabLevel, VLOOKUP(AQ131,MS_Labs_Array,2,False),
    DVTColumn, MATCH(AQ131, DVT_Laboratory!$A$1:BO$1, 0),
    xextTime, INDIRECT(""DVT_Laboratory!"" &amp; ADDRESS"&amp;"(LabLevel+3, DVTColumn)) / LabSpeed,
    remainingTime, SUM(INDIRECT(""DVT_Laboratory!"" &amp; ADDRESS(LabLevel+3, DVTColumn) &amp; "":"" &amp; ADDRESS(MaxOrTarget+2, DVTColumn))) / LabSpeed,
  AQ131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1" s="1249"/>
      <c r="AU131" s="1249"/>
      <c r="AV131" s="1249"/>
      <c r="AW131" s="1249"/>
      <c r="AX131" s="1250" t="str">
        <f>IFERROR(__xludf.DUMMYFUNCTION("if(AW131 &lt;&gt; """", 
  LET( 
    TargetLevel, VLOOKUP(AW131,MS_Labs_Array,3,false),
    MaxLevel, VLOOKUP(AW131,MS_Labs_Array,4,false),
    MaxOrTarget, IF(OR(TargetLevel = """",$AD$1 &lt;&gt; ""Target""), MaxLevel, TargetLevel),
    LabLevel, VLOOKUP(AW131,MS_La"&amp;"bs_Array,2,False),
    Levelprogress, LabLevel / MaxOrTarget,
    DVTColumn, MATCH(AW131,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1" s="1251" t="str">
        <f>IFERROR(__xludf.DUMMYFUNCTION("if(AW131 &lt;&gt; """", 
  LET(
    TargetLevel, VLOOKUP(AW131,MS_Labs_Array,3,false),
    LabSpeed, (1 * REGEXEXTRACT($BH$1, ""[\d.-]+"")) * {IF(AW131 =""Labs Speed"", 1+'Master Sheet'!$BK$5, LAB_SPEED_TOTAL())},
    MaxLevel, VLOOKUP(AW131,MS_Labs_Array,4,fal"&amp;"se),
    MaxOrTarget, IF(OR(TargetLevel = """",$AD$1 &lt;&gt; ""Target""), MaxLevel, TargetLevel),
    LabLevel, VLOOKUP(AW131,MS_Labs_Array,2,False),
    DVTColumn, MATCH(AW131, DVT_Laboratory!$A$1:BO$1, 0),
    xextTime, INDIRECT(""DVT_Laboratory!"" &amp; ADDRESS"&amp;"(LabLevel+3, DVTColumn)) / LabSpeed,
    remainingTime, SUM(INDIRECT(""DVT_Laboratory!"" &amp; ADDRESS(LabLevel+3, DVTColumn) &amp; "":"" &amp; ADDRESS(MaxOrTarget+2, DVTColumn))) / LabSpeed,
  AW131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1" s="1249"/>
      <c r="BA131" s="1249"/>
      <c r="BB131" s="1249"/>
      <c r="BC131" s="1249"/>
      <c r="BD131" s="1250" t="str">
        <f>IFERROR(__xludf.DUMMYFUNCTION("if(BC131 &lt;&gt; """", 
  LET( 
    TargetLevel, VLOOKUP(BC131,MS_Labs_Array,3,false),
    MaxLevel, VLOOKUP(BC131,MS_Labs_Array,4,false),
    MaxOrTarget, IF(OR(TargetLevel = """",$AD$1 &lt;&gt; ""Target""), MaxLevel, TargetLevel),
    LabLevel, VLOOKUP(BC131,MS_La"&amp;"bs_Array,2,False),
    Levelprogress, LabLevel / MaxOrTarget,
    DVTColumn, MATCH(BC131,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1" s="1251" t="str">
        <f>IFERROR(__xludf.DUMMYFUNCTION("if(BC131 &lt;&gt; """", 
  LET(
    TargetLevel, VLOOKUP(BC131,MS_Labs_Array,3,false),
    LabSpeed, (1 * REGEXEXTRACT($BH$1, ""[\d.-]+"")) * {IF(BC131 =""Labs Speed"", 1+'Master Sheet'!$BK$5, LAB_SPEED_TOTAL())},
    MaxLevel, VLOOKUP(BC131,MS_Labs_Array,4,fal"&amp;"se),
    MaxOrTarget, IF(OR(TargetLevel = """",$AD$1 &lt;&gt; ""Target""), MaxLevel, TargetLevel),
    LabLevel, VLOOKUP(BC131,MS_Labs_Array,2,False),
    DVTColumn, MATCH(BC131, DVT_Laboratory!$A$1:BO$1, 0),
    xextTime, INDIRECT(""DVT_Laboratory!"" &amp; ADDRESS"&amp;"(LabLevel+3, DVTColumn)) / LabSpeed,
    remainingTime, SUM(INDIRECT(""DVT_Laboratory!"" &amp; ADDRESS(LabLevel+3, DVTColumn) &amp; "":"" &amp; ADDRESS(MaxOrTarget+2, DVTColumn))) / LabSpeed,
  BC131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1" s="1249"/>
      <c r="BG131" s="1249"/>
      <c r="BH131" s="1260"/>
      <c r="BI131" s="1252"/>
      <c r="BJ131" s="1253" t="str">
        <f>IFERROR(__xludf.DUMMYFUNCTION("if(BI131 &lt;&gt; """", 
  LET( 
    TargetLevel, VLOOKUP(BI131,MS_Labs_Array,3,false),
    MaxLevel, VLOOKUP(BI131,MS_Labs_Array,4,false),
    MaxOrTarget, IF(OR(TargetLevel = """",$AD$1 &lt;&gt; ""Target""), MaxLevel, TargetLevel),
    LabLevel, VLOOKUP(BI131,MS_La"&amp;"bs_Array,2,False),
    Levelprogress, IF(LabLevel &gt;= MaxOrTarget, 1, LabLevel / MaxOrTarget),
    DVTColumn, MATCH(BI131,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1" s="1254" t="str">
        <f>IFERROR(__xludf.DUMMYFUNCTION("if(BI131 &lt;&gt; """", 
  LET(
    TargetLevel, VLOOKUP(BI131,MS_Labs_Array,3,false),
    LabSpeed, (1 * REGEXEXTRACT($BH$1, ""[\d.-]+"")) * {IF(BI131 =""Labs Speed"", 1+'Master Sheet'!$BK$5, LAB_SPEED_TOTAL())},
    MaxLevel, VLOOKUP(BI131,MS_Labs_Array,4,fal"&amp;"se),
    MaxOrTarget, IF(OR(TargetLevel = """",$AD$1 &lt;&gt; ""Target""), MaxLevel, TargetLevel),
    LabLevel, VLOOKUP(BI131,MS_Labs_Array,2,False),
    DVTColumn, MATCH(BI131, DVT_Laboratory!$A$1:BO$1, 0),
    xextTime, INDIRECT(""DVT_Laboratory!"" &amp; ADDRESS"&amp;"(LabLevel+3, DVTColumn)) / LabSpeed,
    remainingTime, SUM(INDIRECT(""DVT_Laboratory!"" &amp; ADDRESS(LabLevel+3, DVTColumn) &amp; "":"" &amp; ADDRESS(MaxOrTarget+2, DVTColumn))) / LabSpeed,
  BI131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1" s="1252"/>
      <c r="BM131" s="1252"/>
      <c r="BN131" s="1222"/>
      <c r="BO131" s="1261"/>
    </row>
    <row r="132" ht="7.5" customHeight="1">
      <c r="A132" s="1222"/>
      <c r="B132" s="1257"/>
      <c r="C132" s="1325" t="s">
        <v>188</v>
      </c>
      <c r="D132" s="1280" t="str">
        <f>VLOOKUP(C132,'Remote Tier List'!A:D, 2, FALSE)</f>
        <v>D</v>
      </c>
      <c r="E132" s="1281" t="str">
        <f>VLOOKUP(C132,'Remote Tier List'!A:D, 3, FALSE)</f>
        <v/>
      </c>
      <c r="F132" s="1257"/>
      <c r="G132" s="1245" t="b">
        <f t="shared" si="23"/>
        <v>1</v>
      </c>
      <c r="H132" s="1246" t="str">
        <f t="array" ref="H132:I132">LET(
  Lab, $C132,
  Mode, $AD$1,
  Level, VLOOKUP(Lab, MS_Labs_Array, 2, FALSE),
  Target, VLOOKUP(Lab, MS_Labs_Array, 3, FALSE),
  Max, VLOOKUP(Lab, MS_Labs_Array, 4, FALSE),
  Result,
    IF(
      AND(
        Mode &lt;&gt; "Never",
        Level &gt;= IF(OR(Target = "", Mode = "Max"), Max, Target)
      ),
      "Completed",
      ""
    ),
  HSTACK(
    IF(Result &lt;&gt; "", Result, $D132),
    IF(Result &lt;&gt; "", Result, IF($E132 = "", $D132, $E132))
  )
)</f>
        <v>D</v>
      </c>
      <c r="I132" s="1247" t="s">
        <v>548</v>
      </c>
      <c r="J132" s="1248" t="str">
        <f t="shared" si="24"/>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2" s="1229"/>
      <c r="L132" s="1249" t="str">
        <f>IFERROR(__xludf.DUMMYFUNCTION("""COMPUTED_VALUE"""),"")</f>
        <v/>
      </c>
      <c r="M132" s="1249"/>
      <c r="N132" s="1250" t="str">
        <f>IFERROR(__xludf.DUMMYFUNCTION("if(M132 &lt;&gt; """", 
  LET( 
    TargetLevel, VLOOKUP(M132,MS_Labs_Array,3,false),
    MaxLevel, VLOOKUP(M132,MS_Labs_Array,4,false),
    MaxOrTarget, IF(OR(TargetLevel = """",$AD$1 &lt;&gt; ""Target""), MaxLevel, TargetLevel),
    LabLevel, VLOOKUP(M132,MS_Labs_A"&amp;"rray,2,False),
    Levelprogress, LabLevel / MaxOrTarget,
    DVTColumn, MATCH(M132,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2" s="1251" t="str">
        <f>IFERROR(__xludf.DUMMYFUNCTION("if(M132 &lt;&gt; """", 
  LET(
    TargetLevel, VLOOKUP(M132,MS_Labs_Array,3,false),
    LabSpeed, (1 * REGEXEXTRACT($BH$1, ""[\d.-]+"")) * {IF(M132 =""Labs Speed"", 1+'Master Sheet'!$BK$5, LAB_SPEED_TOTAL())},
    MaxLevel, VLOOKUP(M132,MS_Labs_Array,4,false),"&amp;"
    MaxOrTarget, IF(OR(TargetLevel = """",$AD$1 &lt;&gt; ""Target""), MaxLevel, TargetLevel),
    LabLevel, VLOOKUP(M132,MS_Labs_Array,2,False),
    DVTColumn, MATCH(M132, DVT_Laboratory!$A$1:BO$1, 0),
    xextTime, INDIRECT(""DVT_Laboratory!"" &amp; ADDRESS(LabLe"&amp;"vel+3, DVTColumn)) / LabSpeed,
    remainingTime, SUM(INDIRECT(""DVT_Laboratory!"" &amp; ADDRESS(LabLevel+3, DVTColumn) &amp; "":"" &amp; ADDRESS(MaxOrTarget+2, DVTColumn))) / LabSpeed,
  M132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2" s="1249"/>
      <c r="Q132" s="1249" t="str">
        <f>IFERROR(__xludf.DUMMYFUNCTION("""COMPUTED_VALUE"""),"")</f>
        <v/>
      </c>
      <c r="R132" s="1249" t="str">
        <f>IFERROR(__xludf.DUMMYFUNCTION("""COMPUTED_VALUE"""),"")</f>
        <v/>
      </c>
      <c r="S132" s="1249"/>
      <c r="T132" s="1250" t="str">
        <f>IFERROR(__xludf.DUMMYFUNCTION("if(S132 &lt;&gt; """", 
  LET( 
    TargetLevel, VLOOKUP(S132,MS_Labs_Array,3,false),
    MaxLevel, VLOOKUP(S132,MS_Labs_Array,4,false),
    MaxOrTarget, IF(OR(TargetLevel = """",$AD$1 &lt;&gt; ""Target""), MaxLevel, TargetLevel),
    LabLevel, VLOOKUP(S132,MS_Labs_A"&amp;"rray,2,False),
    Levelprogress, LabLevel / MaxOrTarget,
    DVTColumn, MATCH(S132,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2" s="1251" t="str">
        <f>IFERROR(__xludf.DUMMYFUNCTION("if(S132 &lt;&gt; """", 
  LET(
    TargetLevel, VLOOKUP(S132,MS_Labs_Array,3,false),
    LabSpeed, (1 * REGEXEXTRACT($BH$1, ""[\d.-]+"")) * {IF(S132 =""Labs Speed"", 1+'Master Sheet'!$BK$5, LAB_SPEED_TOTAL())},
    MaxLevel, VLOOKUP(S132,MS_Labs_Array,4,false),"&amp;"
    MaxOrTarget, IF(OR(TargetLevel = """",$AD$1 &lt;&gt; ""Target""), MaxLevel, TargetLevel),
    LabLevel, VLOOKUP(S132,MS_Labs_Array,2,False),
    DVTColumn, MATCH(S132, DVT_Laboratory!$A$1:BO$1, 0),
    xextTime, INDIRECT(""DVT_Laboratory!"" &amp; ADDRESS(LabLe"&amp;"vel+3, DVTColumn)) / LabSpeed,
    remainingTime, SUM(INDIRECT(""DVT_Laboratory!"" &amp; ADDRESS(LabLevel+3, DVTColumn) &amp; "":"" &amp; ADDRESS(MaxOrTarget+2, DVTColumn))) / LabSpeed,
  S132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2" s="1249"/>
      <c r="W132" s="1249" t="str">
        <f>IFERROR(__xludf.DUMMYFUNCTION("""COMPUTED_VALUE"""),"")</f>
        <v/>
      </c>
      <c r="X132" s="1249" t="str">
        <f>IFERROR(__xludf.DUMMYFUNCTION("""COMPUTED_VALUE"""),"")</f>
        <v/>
      </c>
      <c r="Y132" s="1249"/>
      <c r="Z132" s="1250" t="str">
        <f>IFERROR(__xludf.DUMMYFUNCTION("if(Y132 &lt;&gt; """", 
  LET( 
    TargetLevel, VLOOKUP(Y132,MS_Labs_Array,3,false),
    MaxLevel, VLOOKUP(Y132,MS_Labs_Array,4,false),
    MaxOrTarget, IF(OR(TargetLevel = """",$AD$1 &lt;&gt; ""Target""), MaxLevel, TargetLevel),
    LabLevel, VLOOKUP(Y132,MS_Labs_A"&amp;"rray,2,False),
    Levelprogress, LabLevel / MaxOrTarget,
    DVTColumn, MATCH(Y132,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2" s="1251" t="str">
        <f>IFERROR(__xludf.DUMMYFUNCTION("if(Y132 &lt;&gt; """", 
  LET(
    TargetLevel, VLOOKUP(Y132,MS_Labs_Array,3,false),
    LabSpeed, (1 * REGEXEXTRACT($BH$1, ""[\d.-]+"")) * {IF(Y132 =""Labs Speed"", 1+'Master Sheet'!$BK$5, LAB_SPEED_TOTAL())},
    MaxLevel, VLOOKUP(Y132,MS_Labs_Array,4,false),"&amp;"
    MaxOrTarget, IF(OR(TargetLevel = """",$AD$1 &lt;&gt; ""Target""), MaxLevel, TargetLevel),
    LabLevel, VLOOKUP(Y132,MS_Labs_Array,2,False),
    DVTColumn, MATCH(Y132, DVT_Laboratory!$A$1:BO$1, 0),
    xextTime, INDIRECT(""DVT_Laboratory!"" &amp; ADDRESS(LabLe"&amp;"vel+3, DVTColumn)) / LabSpeed,
    remainingTime, SUM(INDIRECT(""DVT_Laboratory!"" &amp; ADDRESS(LabLevel+3, DVTColumn) &amp; "":"" &amp; ADDRESS(MaxOrTarget+2, DVTColumn))) / LabSpeed,
  Y132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2" s="1249"/>
      <c r="AC132" s="1249" t="str">
        <f>IFERROR(__xludf.DUMMYFUNCTION("""COMPUTED_VALUE"""),"")</f>
        <v/>
      </c>
      <c r="AD132" s="1249" t="str">
        <f>IFERROR(__xludf.DUMMYFUNCTION("""COMPUTED_VALUE"""),"")</f>
        <v/>
      </c>
      <c r="AE132" s="1249"/>
      <c r="AF132" s="1250" t="str">
        <f>IFERROR(__xludf.DUMMYFUNCTION("if(AE132 &lt;&gt; """", 
  LET( 
    TargetLevel, VLOOKUP(AE132,MS_Labs_Array,3,false),
    MaxLevel, VLOOKUP(AE132,MS_Labs_Array,4,false),
    MaxOrTarget, IF(OR(TargetLevel = """",$AD$1 &lt;&gt; ""Target""), MaxLevel, TargetLevel),
    LabLevel, VLOOKUP(AE132,MS_La"&amp;"bs_Array,2,False),
    Levelprogress, LabLevel / MaxOrTarget,
    DVTColumn, MATCH(AE132,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2" s="1251" t="str">
        <f>IFERROR(__xludf.DUMMYFUNCTION("if(AE132 &lt;&gt; """", 
  LET(
    TargetLevel, VLOOKUP(AE132,MS_Labs_Array,3,false),
    LabSpeed, (1 * REGEXEXTRACT($BH$1, ""[\d.-]+"")) * {IF(AE132 =""Labs Speed"", 1+'Master Sheet'!$BK$5, LAB_SPEED_TOTAL())},
    MaxLevel, VLOOKUP(AE132,MS_Labs_Array,4,fal"&amp;"se),
    MaxOrTarget, IF(OR(TargetLevel = """",$AD$1 &lt;&gt; ""Target""), MaxLevel, TargetLevel),
    LabLevel, VLOOKUP(AE132,MS_Labs_Array,2,False),
    DVTColumn, MATCH(AE132, DVT_Laboratory!$A$1:BO$1, 0),
    xextTime, INDIRECT(""DVT_Laboratory!"" &amp; ADDRESS"&amp;"(LabLevel+3, DVTColumn)) / LabSpeed,
    remainingTime, SUM(INDIRECT(""DVT_Laboratory!"" &amp; ADDRESS(LabLevel+3, DVTColumn) &amp; "":"" &amp; ADDRESS(MaxOrTarget+2, DVTColumn))) / LabSpeed,
  AE132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2" s="1249"/>
      <c r="AI132" s="1249" t="str">
        <f>IFERROR(__xludf.DUMMYFUNCTION("""COMPUTED_VALUE"""),"")</f>
        <v/>
      </c>
      <c r="AJ132" s="1249" t="str">
        <f>IFERROR(__xludf.DUMMYFUNCTION("""COMPUTED_VALUE"""),"")</f>
        <v/>
      </c>
      <c r="AK132" s="1249"/>
      <c r="AL132" s="1250" t="str">
        <f>IFERROR(__xludf.DUMMYFUNCTION("if(AK132 &lt;&gt; """", 
  LET( 
    TargetLevel, VLOOKUP(AK132,MS_Labs_Array,3,false),
    MaxLevel, VLOOKUP(AK132,MS_Labs_Array,4,false),
    MaxOrTarget, IF(OR(TargetLevel = """",$AD$1 &lt;&gt; ""Target""), MaxLevel, TargetLevel),
    LabLevel, VLOOKUP(AK132,MS_La"&amp;"bs_Array,2,False),
    Levelprogress, LabLevel / MaxOrTarget,
    DVTColumn, MATCH(AK132,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2" s="1251" t="str">
        <f>IFERROR(__xludf.DUMMYFUNCTION("if(AK132 &lt;&gt; """", 
  LET(
    TargetLevel, VLOOKUP(AK132,MS_Labs_Array,3,false),
    LabSpeed, (1 * REGEXEXTRACT($BH$1, ""[\d.-]+"")) * {IF(AK132 =""Labs Speed"", 1+'Master Sheet'!$BK$5, LAB_SPEED_TOTAL())},
    MaxLevel, VLOOKUP(AK132,MS_Labs_Array,4,fal"&amp;"se),
    MaxOrTarget, IF(OR(TargetLevel = """",$AD$1 &lt;&gt; ""Target""), MaxLevel, TargetLevel),
    LabLevel, VLOOKUP(AK132,MS_Labs_Array,2,False),
    DVTColumn, MATCH(AK132, DVT_Laboratory!$A$1:BO$1, 0),
    xextTime, INDIRECT(""DVT_Laboratory!"" &amp; ADDRESS"&amp;"(LabLevel+3, DVTColumn)) / LabSpeed,
    remainingTime, SUM(INDIRECT(""DVT_Laboratory!"" &amp; ADDRESS(LabLevel+3, DVTColumn) &amp; "":"" &amp; ADDRESS(MaxOrTarget+2, DVTColumn))) / LabSpeed,
  AK132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2" s="1249"/>
      <c r="AO132" s="1249" t="str">
        <f>IFERROR(__xludf.DUMMYFUNCTION("""COMPUTED_VALUE"""),"")</f>
        <v/>
      </c>
      <c r="AP132" s="1249" t="str">
        <f>IFERROR(__xludf.DUMMYFUNCTION("""COMPUTED_VALUE"""),"")</f>
        <v/>
      </c>
      <c r="AQ132" s="1249"/>
      <c r="AR132" s="1250" t="str">
        <f>IFERROR(__xludf.DUMMYFUNCTION("if(AQ132 &lt;&gt; """", 
  LET( 
    TargetLevel, VLOOKUP(AQ132,MS_Labs_Array,3,false),
    MaxLevel, VLOOKUP(AQ132,MS_Labs_Array,4,false),
    MaxOrTarget, IF(OR(TargetLevel = """",$AD$1 &lt;&gt; ""Target""), MaxLevel, TargetLevel),
    LabLevel, VLOOKUP(AQ132,MS_La"&amp;"bs_Array,2,False),
    Levelprogress, LabLevel / MaxOrTarget,
    DVTColumn, MATCH(AQ132,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2" s="1251" t="str">
        <f>IFERROR(__xludf.DUMMYFUNCTION("if(AQ132 &lt;&gt; """", 
  LET(
    TargetLevel, VLOOKUP(AQ132,MS_Labs_Array,3,false),
    LabSpeed, (1 * REGEXEXTRACT($BH$1, ""[\d.-]+"")) * {IF(AQ132 =""Labs Speed"", 1+'Master Sheet'!$BK$5, LAB_SPEED_TOTAL())},
    MaxLevel, VLOOKUP(AQ132,MS_Labs_Array,4,fal"&amp;"se),
    MaxOrTarget, IF(OR(TargetLevel = """",$AD$1 &lt;&gt; ""Target""), MaxLevel, TargetLevel),
    LabLevel, VLOOKUP(AQ132,MS_Labs_Array,2,False),
    DVTColumn, MATCH(AQ132, DVT_Laboratory!$A$1:BO$1, 0),
    xextTime, INDIRECT(""DVT_Laboratory!"" &amp; ADDRESS"&amp;"(LabLevel+3, DVTColumn)) / LabSpeed,
    remainingTime, SUM(INDIRECT(""DVT_Laboratory!"" &amp; ADDRESS(LabLevel+3, DVTColumn) &amp; "":"" &amp; ADDRESS(MaxOrTarget+2, DVTColumn))) / LabSpeed,
  AQ132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2" s="1249"/>
      <c r="AU132" s="1249" t="str">
        <f>IFERROR(__xludf.DUMMYFUNCTION("""COMPUTED_VALUE"""),"")</f>
        <v/>
      </c>
      <c r="AV132" s="1249" t="str">
        <f>IFERROR(__xludf.DUMMYFUNCTION("""COMPUTED_VALUE"""),"")</f>
        <v/>
      </c>
      <c r="AW132" s="1249"/>
      <c r="AX132" s="1250" t="str">
        <f>IFERROR(__xludf.DUMMYFUNCTION("if(AW132 &lt;&gt; """", 
  LET( 
    TargetLevel, VLOOKUP(AW132,MS_Labs_Array,3,false),
    MaxLevel, VLOOKUP(AW132,MS_Labs_Array,4,false),
    MaxOrTarget, IF(OR(TargetLevel = """",$AD$1 &lt;&gt; ""Target""), MaxLevel, TargetLevel),
    LabLevel, VLOOKUP(AW132,MS_La"&amp;"bs_Array,2,False),
    Levelprogress, LabLevel / MaxOrTarget,
    DVTColumn, MATCH(AW132,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2" s="1251" t="str">
        <f>IFERROR(__xludf.DUMMYFUNCTION("if(AW132 &lt;&gt; """", 
  LET(
    TargetLevel, VLOOKUP(AW132,MS_Labs_Array,3,false),
    LabSpeed, (1 * REGEXEXTRACT($BH$1, ""[\d.-]+"")) * {IF(AW132 =""Labs Speed"", 1+'Master Sheet'!$BK$5, LAB_SPEED_TOTAL())},
    MaxLevel, VLOOKUP(AW132,MS_Labs_Array,4,fal"&amp;"se),
    MaxOrTarget, IF(OR(TargetLevel = """",$AD$1 &lt;&gt; ""Target""), MaxLevel, TargetLevel),
    LabLevel, VLOOKUP(AW132,MS_Labs_Array,2,False),
    DVTColumn, MATCH(AW132, DVT_Laboratory!$A$1:BO$1, 0),
    xextTime, INDIRECT(""DVT_Laboratory!"" &amp; ADDRESS"&amp;"(LabLevel+3, DVTColumn)) / LabSpeed,
    remainingTime, SUM(INDIRECT(""DVT_Laboratory!"" &amp; ADDRESS(LabLevel+3, DVTColumn) &amp; "":"" &amp; ADDRESS(MaxOrTarget+2, DVTColumn))) / LabSpeed,
  AW132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2" s="1249"/>
      <c r="BA132" s="1249" t="str">
        <f>IFERROR(__xludf.DUMMYFUNCTION("""COMPUTED_VALUE"""),"")</f>
        <v/>
      </c>
      <c r="BB132" s="1249" t="str">
        <f>IFERROR(__xludf.DUMMYFUNCTION("""COMPUTED_VALUE"""),"")</f>
        <v/>
      </c>
      <c r="BC132" s="1249"/>
      <c r="BD132" s="1250" t="str">
        <f>IFERROR(__xludf.DUMMYFUNCTION("if(BC132 &lt;&gt; """", 
  LET( 
    TargetLevel, VLOOKUP(BC132,MS_Labs_Array,3,false),
    MaxLevel, VLOOKUP(BC132,MS_Labs_Array,4,false),
    MaxOrTarget, IF(OR(TargetLevel = """",$AD$1 &lt;&gt; ""Target""), MaxLevel, TargetLevel),
    LabLevel, VLOOKUP(BC132,MS_La"&amp;"bs_Array,2,False),
    Levelprogress, LabLevel / MaxOrTarget,
    DVTColumn, MATCH(BC132,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2" s="1251" t="str">
        <f>IFERROR(__xludf.DUMMYFUNCTION("if(BC132 &lt;&gt; """", 
  LET(
    TargetLevel, VLOOKUP(BC132,MS_Labs_Array,3,false),
    LabSpeed, (1 * REGEXEXTRACT($BH$1, ""[\d.-]+"")) * {IF(BC132 =""Labs Speed"", 1+'Master Sheet'!$BK$5, LAB_SPEED_TOTAL())},
    MaxLevel, VLOOKUP(BC132,MS_Labs_Array,4,fal"&amp;"se),
    MaxOrTarget, IF(OR(TargetLevel = """",$AD$1 &lt;&gt; ""Target""), MaxLevel, TargetLevel),
    LabLevel, VLOOKUP(BC132,MS_Labs_Array,2,False),
    DVTColumn, MATCH(BC132, DVT_Laboratory!$A$1:BO$1, 0),
    xextTime, INDIRECT(""DVT_Laboratory!"" &amp; ADDRESS"&amp;"(LabLevel+3, DVTColumn)) / LabSpeed,
    remainingTime, SUM(INDIRECT(""DVT_Laboratory!"" &amp; ADDRESS(LabLevel+3, DVTColumn) &amp; "":"" &amp; ADDRESS(MaxOrTarget+2, DVTColumn))) / LabSpeed,
  BC132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2" s="1249"/>
      <c r="BG132" s="1249" t="str">
        <f>IFERROR(__xludf.DUMMYFUNCTION("""COMPUTED_VALUE"""),"")</f>
        <v/>
      </c>
      <c r="BH132" s="1260" t="str">
        <f>IFERROR(__xludf.DUMMYFUNCTION("""COMPUTED_VALUE"""),"")</f>
        <v/>
      </c>
      <c r="BI132" s="1252"/>
      <c r="BJ132" s="1253" t="str">
        <f>IFERROR(__xludf.DUMMYFUNCTION("if(BI132 &lt;&gt; """", 
  LET( 
    TargetLevel, VLOOKUP(BI132,MS_Labs_Array,3,false),
    MaxLevel, VLOOKUP(BI132,MS_Labs_Array,4,false),
    MaxOrTarget, IF(OR(TargetLevel = """",$AD$1 &lt;&gt; ""Target""), MaxLevel, TargetLevel),
    LabLevel, VLOOKUP(BI132,MS_La"&amp;"bs_Array,2,False),
    Levelprogress, IF(LabLevel &gt;= MaxOrTarget, 1, LabLevel / MaxOrTarget),
    DVTColumn, MATCH(BI132,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2" s="1254" t="str">
        <f>IFERROR(__xludf.DUMMYFUNCTION("if(BI132 &lt;&gt; """", 
  LET(
    TargetLevel, VLOOKUP(BI132,MS_Labs_Array,3,false),
    LabSpeed, (1 * REGEXEXTRACT($BH$1, ""[\d.-]+"")) * {IF(BI132 =""Labs Speed"", 1+'Master Sheet'!$BK$5, LAB_SPEED_TOTAL())},
    MaxLevel, VLOOKUP(BI132,MS_Labs_Array,4,fal"&amp;"se),
    MaxOrTarget, IF(OR(TargetLevel = """",$AD$1 &lt;&gt; ""Target""), MaxLevel, TargetLevel),
    LabLevel, VLOOKUP(BI132,MS_Labs_Array,2,False),
    DVTColumn, MATCH(BI132, DVT_Laboratory!$A$1:BO$1, 0),
    xextTime, INDIRECT(""DVT_Laboratory!"" &amp; ADDRESS"&amp;"(LabLevel+3, DVTColumn)) / LabSpeed,
    remainingTime, SUM(INDIRECT(""DVT_Laboratory!"" &amp; ADDRESS(LabLevel+3, DVTColumn) &amp; "":"" &amp; ADDRESS(MaxOrTarget+2, DVTColumn))) / LabSpeed,
  BI132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2" s="1252"/>
      <c r="BM132" s="1252" t="str">
        <f>IFERROR(__xludf.DUMMYFUNCTION("""COMPUTED_VALUE"""),"")</f>
        <v/>
      </c>
      <c r="BN132" s="1222"/>
      <c r="BO132" s="1261"/>
    </row>
    <row r="133">
      <c r="A133" s="1222"/>
      <c r="B133" s="1257"/>
      <c r="C133" s="1325" t="s">
        <v>209</v>
      </c>
      <c r="D133" s="1280" t="str">
        <f>VLOOKUP(C133,'Remote Tier List'!A:D, 2, FALSE)</f>
        <v>F</v>
      </c>
      <c r="E133" s="1281" t="str">
        <f>VLOOKUP(C133,'Remote Tier List'!A:D, 3, FALSE)</f>
        <v/>
      </c>
      <c r="F133" s="1257"/>
      <c r="G133" s="1245" t="b">
        <f t="shared" si="23"/>
        <v>1</v>
      </c>
      <c r="H133" s="1246" t="str">
        <f t="array" ref="H133:I133">LET(
  Lab, $C133,
  Mode, $AD$1,
  Level, VLOOKUP(Lab, MS_Labs_Array, 2, FALSE),
  Target, VLOOKUP(Lab, MS_Labs_Array, 3, FALSE),
  Max, VLOOKUP(Lab, MS_Labs_Array, 4, FALSE),
  Result,
    IF(
      AND(
        Mode &lt;&gt; "Never",
        Level &gt;= IF(OR(Target = "", Mode = "Max"), Max, Target)
      ),
      "Completed",
      ""
    ),
  HSTACK(
    IF(Result &lt;&gt; "", Result, $D133),
    IF(Result &lt;&gt; "", Result, IF($E133 = "", $D133, $E133))
  )
)</f>
        <v>F</v>
      </c>
      <c r="I133" s="1247" t="s">
        <v>549</v>
      </c>
      <c r="J133" s="1248" t="str">
        <f t="shared" si="24"/>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3" s="1229"/>
      <c r="L133" s="1249"/>
      <c r="M133" s="1249"/>
      <c r="N133" s="1250" t="str">
        <f>IFERROR(__xludf.DUMMYFUNCTION("if(M133 &lt;&gt; """", 
  LET( 
    TargetLevel, VLOOKUP(M133,MS_Labs_Array,3,false),
    MaxLevel, VLOOKUP(M133,MS_Labs_Array,4,false),
    MaxOrTarget, IF(OR(TargetLevel = """",$AD$1 &lt;&gt; ""Target""), MaxLevel, TargetLevel),
    LabLevel, VLOOKUP(M133,MS_Labs_A"&amp;"rray,2,False),
    Levelprogress, LabLevel / MaxOrTarget,
    DVTColumn, MATCH(M133,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3" s="1251" t="str">
        <f>IFERROR(__xludf.DUMMYFUNCTION("if(M133 &lt;&gt; """", 
  LET(
    TargetLevel, VLOOKUP(M133,MS_Labs_Array,3,false),
    LabSpeed, (1 * REGEXEXTRACT($BH$1, ""[\d.-]+"")) * {IF(M133 =""Labs Speed"", 1+'Master Sheet'!$BK$5, LAB_SPEED_TOTAL())},
    MaxLevel, VLOOKUP(M133,MS_Labs_Array,4,false),"&amp;"
    MaxOrTarget, IF(OR(TargetLevel = """",$AD$1 &lt;&gt; ""Target""), MaxLevel, TargetLevel),
    LabLevel, VLOOKUP(M133,MS_Labs_Array,2,False),
    DVTColumn, MATCH(M133, DVT_Laboratory!$A$1:BO$1, 0),
    xextTime, INDIRECT(""DVT_Laboratory!"" &amp; ADDRESS(LabLe"&amp;"vel+3, DVTColumn)) / LabSpeed,
    remainingTime, SUM(INDIRECT(""DVT_Laboratory!"" &amp; ADDRESS(LabLevel+3, DVTColumn) &amp; "":"" &amp; ADDRESS(MaxOrTarget+2, DVTColumn))) / LabSpeed,
  M133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3" s="1249"/>
      <c r="Q133" s="1249"/>
      <c r="R133" s="1249"/>
      <c r="S133" s="1249"/>
      <c r="T133" s="1250" t="str">
        <f>IFERROR(__xludf.DUMMYFUNCTION("if(S133 &lt;&gt; """", 
  LET( 
    TargetLevel, VLOOKUP(S133,MS_Labs_Array,3,false),
    MaxLevel, VLOOKUP(S133,MS_Labs_Array,4,false),
    MaxOrTarget, IF(OR(TargetLevel = """",$AD$1 &lt;&gt; ""Target""), MaxLevel, TargetLevel),
    LabLevel, VLOOKUP(S133,MS_Labs_A"&amp;"rray,2,False),
    Levelprogress, LabLevel / MaxOrTarget,
    DVTColumn, MATCH(S133,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3" s="1251" t="str">
        <f>IFERROR(__xludf.DUMMYFUNCTION("if(S133 &lt;&gt; """", 
  LET(
    TargetLevel, VLOOKUP(S133,MS_Labs_Array,3,false),
    LabSpeed, (1 * REGEXEXTRACT($BH$1, ""[\d.-]+"")) * {IF(S133 =""Labs Speed"", 1+'Master Sheet'!$BK$5, LAB_SPEED_TOTAL())},
    MaxLevel, VLOOKUP(S133,MS_Labs_Array,4,false),"&amp;"
    MaxOrTarget, IF(OR(TargetLevel = """",$AD$1 &lt;&gt; ""Target""), MaxLevel, TargetLevel),
    LabLevel, VLOOKUP(S133,MS_Labs_Array,2,False),
    DVTColumn, MATCH(S133, DVT_Laboratory!$A$1:BO$1, 0),
    xextTime, INDIRECT(""DVT_Laboratory!"" &amp; ADDRESS(LabLe"&amp;"vel+3, DVTColumn)) / LabSpeed,
    remainingTime, SUM(INDIRECT(""DVT_Laboratory!"" &amp; ADDRESS(LabLevel+3, DVTColumn) &amp; "":"" &amp; ADDRESS(MaxOrTarget+2, DVTColumn))) / LabSpeed,
  S133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3" s="1249"/>
      <c r="W133" s="1249"/>
      <c r="X133" s="1249"/>
      <c r="Y133" s="1249"/>
      <c r="Z133" s="1250" t="str">
        <f>IFERROR(__xludf.DUMMYFUNCTION("if(Y133 &lt;&gt; """", 
  LET( 
    TargetLevel, VLOOKUP(Y133,MS_Labs_Array,3,false),
    MaxLevel, VLOOKUP(Y133,MS_Labs_Array,4,false),
    MaxOrTarget, IF(OR(TargetLevel = """",$AD$1 &lt;&gt; ""Target""), MaxLevel, TargetLevel),
    LabLevel, VLOOKUP(Y133,MS_Labs_A"&amp;"rray,2,False),
    Levelprogress, LabLevel / MaxOrTarget,
    DVTColumn, MATCH(Y133,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3" s="1251" t="str">
        <f>IFERROR(__xludf.DUMMYFUNCTION("if(Y133 &lt;&gt; """", 
  LET(
    TargetLevel, VLOOKUP(Y133,MS_Labs_Array,3,false),
    LabSpeed, (1 * REGEXEXTRACT($BH$1, ""[\d.-]+"")) * {IF(Y133 =""Labs Speed"", 1+'Master Sheet'!$BK$5, LAB_SPEED_TOTAL())},
    MaxLevel, VLOOKUP(Y133,MS_Labs_Array,4,false),"&amp;"
    MaxOrTarget, IF(OR(TargetLevel = """",$AD$1 &lt;&gt; ""Target""), MaxLevel, TargetLevel),
    LabLevel, VLOOKUP(Y133,MS_Labs_Array,2,False),
    DVTColumn, MATCH(Y133, DVT_Laboratory!$A$1:BO$1, 0),
    xextTime, INDIRECT(""DVT_Laboratory!"" &amp; ADDRESS(LabLe"&amp;"vel+3, DVTColumn)) / LabSpeed,
    remainingTime, SUM(INDIRECT(""DVT_Laboratory!"" &amp; ADDRESS(LabLevel+3, DVTColumn) &amp; "":"" &amp; ADDRESS(MaxOrTarget+2, DVTColumn))) / LabSpeed,
  Y133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3" s="1249"/>
      <c r="AC133" s="1249"/>
      <c r="AD133" s="1249"/>
      <c r="AE133" s="1249"/>
      <c r="AF133" s="1250" t="str">
        <f>IFERROR(__xludf.DUMMYFUNCTION("if(AE133 &lt;&gt; """", 
  LET( 
    TargetLevel, VLOOKUP(AE133,MS_Labs_Array,3,false),
    MaxLevel, VLOOKUP(AE133,MS_Labs_Array,4,false),
    MaxOrTarget, IF(OR(TargetLevel = """",$AD$1 &lt;&gt; ""Target""), MaxLevel, TargetLevel),
    LabLevel, VLOOKUP(AE133,MS_La"&amp;"bs_Array,2,False),
    Levelprogress, LabLevel / MaxOrTarget,
    DVTColumn, MATCH(AE133,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3" s="1251" t="str">
        <f>IFERROR(__xludf.DUMMYFUNCTION("if(AE133 &lt;&gt; """", 
  LET(
    TargetLevel, VLOOKUP(AE133,MS_Labs_Array,3,false),
    LabSpeed, (1 * REGEXEXTRACT($BH$1, ""[\d.-]+"")) * {IF(AE133 =""Labs Speed"", 1+'Master Sheet'!$BK$5, LAB_SPEED_TOTAL())},
    MaxLevel, VLOOKUP(AE133,MS_Labs_Array,4,fal"&amp;"se),
    MaxOrTarget, IF(OR(TargetLevel = """",$AD$1 &lt;&gt; ""Target""), MaxLevel, TargetLevel),
    LabLevel, VLOOKUP(AE133,MS_Labs_Array,2,False),
    DVTColumn, MATCH(AE133, DVT_Laboratory!$A$1:BO$1, 0),
    xextTime, INDIRECT(""DVT_Laboratory!"" &amp; ADDRESS"&amp;"(LabLevel+3, DVTColumn)) / LabSpeed,
    remainingTime, SUM(INDIRECT(""DVT_Laboratory!"" &amp; ADDRESS(LabLevel+3, DVTColumn) &amp; "":"" &amp; ADDRESS(MaxOrTarget+2, DVTColumn))) / LabSpeed,
  AE133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3" s="1249"/>
      <c r="AI133" s="1249"/>
      <c r="AJ133" s="1249"/>
      <c r="AK133" s="1249"/>
      <c r="AL133" s="1250" t="str">
        <f>IFERROR(__xludf.DUMMYFUNCTION("if(AK133 &lt;&gt; """", 
  LET( 
    TargetLevel, VLOOKUP(AK133,MS_Labs_Array,3,false),
    MaxLevel, VLOOKUP(AK133,MS_Labs_Array,4,false),
    MaxOrTarget, IF(OR(TargetLevel = """",$AD$1 &lt;&gt; ""Target""), MaxLevel, TargetLevel),
    LabLevel, VLOOKUP(AK133,MS_La"&amp;"bs_Array,2,False),
    Levelprogress, LabLevel / MaxOrTarget,
    DVTColumn, MATCH(AK133,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3" s="1251" t="str">
        <f>IFERROR(__xludf.DUMMYFUNCTION("if(AK133 &lt;&gt; """", 
  LET(
    TargetLevel, VLOOKUP(AK133,MS_Labs_Array,3,false),
    LabSpeed, (1 * REGEXEXTRACT($BH$1, ""[\d.-]+"")) * {IF(AK133 =""Labs Speed"", 1+'Master Sheet'!$BK$5, LAB_SPEED_TOTAL())},
    MaxLevel, VLOOKUP(AK133,MS_Labs_Array,4,fal"&amp;"se),
    MaxOrTarget, IF(OR(TargetLevel = """",$AD$1 &lt;&gt; ""Target""), MaxLevel, TargetLevel),
    LabLevel, VLOOKUP(AK133,MS_Labs_Array,2,False),
    DVTColumn, MATCH(AK133, DVT_Laboratory!$A$1:BO$1, 0),
    xextTime, INDIRECT(""DVT_Laboratory!"" &amp; ADDRESS"&amp;"(LabLevel+3, DVTColumn)) / LabSpeed,
    remainingTime, SUM(INDIRECT(""DVT_Laboratory!"" &amp; ADDRESS(LabLevel+3, DVTColumn) &amp; "":"" &amp; ADDRESS(MaxOrTarget+2, DVTColumn))) / LabSpeed,
  AK133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3" s="1249"/>
      <c r="AO133" s="1249"/>
      <c r="AP133" s="1249"/>
      <c r="AQ133" s="1249"/>
      <c r="AR133" s="1250" t="str">
        <f>IFERROR(__xludf.DUMMYFUNCTION("if(AQ133 &lt;&gt; """", 
  LET( 
    TargetLevel, VLOOKUP(AQ133,MS_Labs_Array,3,false),
    MaxLevel, VLOOKUP(AQ133,MS_Labs_Array,4,false),
    MaxOrTarget, IF(OR(TargetLevel = """",$AD$1 &lt;&gt; ""Target""), MaxLevel, TargetLevel),
    LabLevel, VLOOKUP(AQ133,MS_La"&amp;"bs_Array,2,False),
    Levelprogress, LabLevel / MaxOrTarget,
    DVTColumn, MATCH(AQ133,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3" s="1251" t="str">
        <f>IFERROR(__xludf.DUMMYFUNCTION("if(AQ133 &lt;&gt; """", 
  LET(
    TargetLevel, VLOOKUP(AQ133,MS_Labs_Array,3,false),
    LabSpeed, (1 * REGEXEXTRACT($BH$1, ""[\d.-]+"")) * {IF(AQ133 =""Labs Speed"", 1+'Master Sheet'!$BK$5, LAB_SPEED_TOTAL())},
    MaxLevel, VLOOKUP(AQ133,MS_Labs_Array,4,fal"&amp;"se),
    MaxOrTarget, IF(OR(TargetLevel = """",$AD$1 &lt;&gt; ""Target""), MaxLevel, TargetLevel),
    LabLevel, VLOOKUP(AQ133,MS_Labs_Array,2,False),
    DVTColumn, MATCH(AQ133, DVT_Laboratory!$A$1:BO$1, 0),
    xextTime, INDIRECT(""DVT_Laboratory!"" &amp; ADDRESS"&amp;"(LabLevel+3, DVTColumn)) / LabSpeed,
    remainingTime, SUM(INDIRECT(""DVT_Laboratory!"" &amp; ADDRESS(LabLevel+3, DVTColumn) &amp; "":"" &amp; ADDRESS(MaxOrTarget+2, DVTColumn))) / LabSpeed,
  AQ133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3" s="1249"/>
      <c r="AU133" s="1249"/>
      <c r="AV133" s="1249"/>
      <c r="AW133" s="1249"/>
      <c r="AX133" s="1250" t="str">
        <f>IFERROR(__xludf.DUMMYFUNCTION("if(AW133 &lt;&gt; """", 
  LET( 
    TargetLevel, VLOOKUP(AW133,MS_Labs_Array,3,false),
    MaxLevel, VLOOKUP(AW133,MS_Labs_Array,4,false),
    MaxOrTarget, IF(OR(TargetLevel = """",$AD$1 &lt;&gt; ""Target""), MaxLevel, TargetLevel),
    LabLevel, VLOOKUP(AW133,MS_La"&amp;"bs_Array,2,False),
    Levelprogress, LabLevel / MaxOrTarget,
    DVTColumn, MATCH(AW133,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3" s="1251" t="str">
        <f>IFERROR(__xludf.DUMMYFUNCTION("if(AW133 &lt;&gt; """", 
  LET(
    TargetLevel, VLOOKUP(AW133,MS_Labs_Array,3,false),
    LabSpeed, (1 * REGEXEXTRACT($BH$1, ""[\d.-]+"")) * {IF(AW133 =""Labs Speed"", 1+'Master Sheet'!$BK$5, LAB_SPEED_TOTAL())},
    MaxLevel, VLOOKUP(AW133,MS_Labs_Array,4,fal"&amp;"se),
    MaxOrTarget, IF(OR(TargetLevel = """",$AD$1 &lt;&gt; ""Target""), MaxLevel, TargetLevel),
    LabLevel, VLOOKUP(AW133,MS_Labs_Array,2,False),
    DVTColumn, MATCH(AW133, DVT_Laboratory!$A$1:BO$1, 0),
    xextTime, INDIRECT(""DVT_Laboratory!"" &amp; ADDRESS"&amp;"(LabLevel+3, DVTColumn)) / LabSpeed,
    remainingTime, SUM(INDIRECT(""DVT_Laboratory!"" &amp; ADDRESS(LabLevel+3, DVTColumn) &amp; "":"" &amp; ADDRESS(MaxOrTarget+2, DVTColumn))) / LabSpeed,
  AW133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3" s="1249"/>
      <c r="BA133" s="1249"/>
      <c r="BB133" s="1249"/>
      <c r="BC133" s="1249"/>
      <c r="BD133" s="1250" t="str">
        <f>IFERROR(__xludf.DUMMYFUNCTION("if(BC133 &lt;&gt; """", 
  LET( 
    TargetLevel, VLOOKUP(BC133,MS_Labs_Array,3,false),
    MaxLevel, VLOOKUP(BC133,MS_Labs_Array,4,false),
    MaxOrTarget, IF(OR(TargetLevel = """",$AD$1 &lt;&gt; ""Target""), MaxLevel, TargetLevel),
    LabLevel, VLOOKUP(BC133,MS_La"&amp;"bs_Array,2,False),
    Levelprogress, LabLevel / MaxOrTarget,
    DVTColumn, MATCH(BC133,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3" s="1251" t="str">
        <f>IFERROR(__xludf.DUMMYFUNCTION("if(BC133 &lt;&gt; """", 
  LET(
    TargetLevel, VLOOKUP(BC133,MS_Labs_Array,3,false),
    LabSpeed, (1 * REGEXEXTRACT($BH$1, ""[\d.-]+"")) * {IF(BC133 =""Labs Speed"", 1+'Master Sheet'!$BK$5, LAB_SPEED_TOTAL())},
    MaxLevel, VLOOKUP(BC133,MS_Labs_Array,4,fal"&amp;"se),
    MaxOrTarget, IF(OR(TargetLevel = """",$AD$1 &lt;&gt; ""Target""), MaxLevel, TargetLevel),
    LabLevel, VLOOKUP(BC133,MS_Labs_Array,2,False),
    DVTColumn, MATCH(BC133, DVT_Laboratory!$A$1:BO$1, 0),
    xextTime, INDIRECT(""DVT_Laboratory!"" &amp; ADDRESS"&amp;"(LabLevel+3, DVTColumn)) / LabSpeed,
    remainingTime, SUM(INDIRECT(""DVT_Laboratory!"" &amp; ADDRESS(LabLevel+3, DVTColumn) &amp; "":"" &amp; ADDRESS(MaxOrTarget+2, DVTColumn))) / LabSpeed,
  BC133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3" s="1249"/>
      <c r="BG133" s="1249"/>
      <c r="BH133" s="1260"/>
      <c r="BI133" s="1252"/>
      <c r="BJ133" s="1253" t="str">
        <f>IFERROR(__xludf.DUMMYFUNCTION("if(BI133 &lt;&gt; """", 
  LET( 
    TargetLevel, VLOOKUP(BI133,MS_Labs_Array,3,false),
    MaxLevel, VLOOKUP(BI133,MS_Labs_Array,4,false),
    MaxOrTarget, IF(OR(TargetLevel = """",$AD$1 &lt;&gt; ""Target""), MaxLevel, TargetLevel),
    LabLevel, VLOOKUP(BI133,MS_La"&amp;"bs_Array,2,False),
    Levelprogress, IF(LabLevel &gt;= MaxOrTarget, 1, LabLevel / MaxOrTarget),
    DVTColumn, MATCH(BI133,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3" s="1254" t="str">
        <f>IFERROR(__xludf.DUMMYFUNCTION("if(BI133 &lt;&gt; """", 
  LET(
    TargetLevel, VLOOKUP(BI133,MS_Labs_Array,3,false),
    LabSpeed, (1 * REGEXEXTRACT($BH$1, ""[\d.-]+"")) * {IF(BI133 =""Labs Speed"", 1+'Master Sheet'!$BK$5, LAB_SPEED_TOTAL())},
    MaxLevel, VLOOKUP(BI133,MS_Labs_Array,4,fal"&amp;"se),
    MaxOrTarget, IF(OR(TargetLevel = """",$AD$1 &lt;&gt; ""Target""), MaxLevel, TargetLevel),
    LabLevel, VLOOKUP(BI133,MS_Labs_Array,2,False),
    DVTColumn, MATCH(BI133, DVT_Laboratory!$A$1:BO$1, 0),
    xextTime, INDIRECT(""DVT_Laboratory!"" &amp; ADDRESS"&amp;"(LabLevel+3, DVTColumn)) / LabSpeed,
    remainingTime, SUM(INDIRECT(""DVT_Laboratory!"" &amp; ADDRESS(LabLevel+3, DVTColumn) &amp; "":"" &amp; ADDRESS(MaxOrTarget+2, DVTColumn))) / LabSpeed,
  BI133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3" s="1252"/>
      <c r="BM133" s="1252"/>
      <c r="BN133" s="1222"/>
      <c r="BO133" s="1261"/>
    </row>
    <row r="134" ht="7.5" customHeight="1">
      <c r="A134" s="1222"/>
      <c r="B134" s="1257"/>
      <c r="C134" s="1325" t="s">
        <v>223</v>
      </c>
      <c r="D134" s="1280" t="str">
        <f>VLOOKUP(C134,'Remote Tier List'!A:D, 2, FALSE)</f>
        <v>C</v>
      </c>
      <c r="E134" s="1281" t="str">
        <f>VLOOKUP(C134,'Remote Tier List'!A:D, 3, FALSE)</f>
        <v/>
      </c>
      <c r="F134" s="1257"/>
      <c r="G134" s="1245" t="b">
        <f t="shared" si="23"/>
        <v>1</v>
      </c>
      <c r="H134" s="1246" t="str">
        <f t="array" ref="H134:I134">LET(
  Lab, $C134,
  Mode, $AD$1,
  Level, VLOOKUP(Lab, MS_Labs_Array, 2, FALSE),
  Target, VLOOKUP(Lab, MS_Labs_Array, 3, FALSE),
  Max, VLOOKUP(Lab, MS_Labs_Array, 4, FALSE),
  Result,
    IF(
      AND(
        Mode &lt;&gt; "Never",
        Level &gt;= IF(OR(Target = "", Mode = "Max"), Max, Target)
      ),
      "Completed",
      ""
    ),
  HSTACK(
    IF(Result &lt;&gt; "", Result, $D134),
    IF(Result &lt;&gt; "", Result, IF($E134 = "", $D134, $E134))
  )
)</f>
        <v>C</v>
      </c>
      <c r="I134" s="1247" t="s">
        <v>547</v>
      </c>
      <c r="J134" s="1248" t="str">
        <f t="shared" si="24"/>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4" s="1229"/>
      <c r="L134" s="1249" t="str">
        <f>IFERROR(__xludf.DUMMYFUNCTION("""COMPUTED_VALUE"""),"")</f>
        <v/>
      </c>
      <c r="M134" s="1249"/>
      <c r="N134" s="1250" t="str">
        <f>IFERROR(__xludf.DUMMYFUNCTION("if(M134 &lt;&gt; """", 
  LET( 
    TargetLevel, VLOOKUP(M134,MS_Labs_Array,3,false),
    MaxLevel, VLOOKUP(M134,MS_Labs_Array,4,false),
    MaxOrTarget, IF(OR(TargetLevel = """",$AD$1 &lt;&gt; ""Target""), MaxLevel, TargetLevel),
    LabLevel, VLOOKUP(M134,MS_Labs_A"&amp;"rray,2,False),
    Levelprogress, LabLevel / MaxOrTarget,
    DVTColumn, MATCH(M134,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4" s="1251" t="str">
        <f>IFERROR(__xludf.DUMMYFUNCTION("if(M134 &lt;&gt; """", 
  LET(
    TargetLevel, VLOOKUP(M134,MS_Labs_Array,3,false),
    LabSpeed, (1 * REGEXEXTRACT($BH$1, ""[\d.-]+"")) * {IF(M134 =""Labs Speed"", 1+'Master Sheet'!$BK$5, LAB_SPEED_TOTAL())},
    MaxLevel, VLOOKUP(M134,MS_Labs_Array,4,false),"&amp;"
    MaxOrTarget, IF(OR(TargetLevel = """",$AD$1 &lt;&gt; ""Target""), MaxLevel, TargetLevel),
    LabLevel, VLOOKUP(M134,MS_Labs_Array,2,False),
    DVTColumn, MATCH(M134, DVT_Laboratory!$A$1:BO$1, 0),
    xextTime, INDIRECT(""DVT_Laboratory!"" &amp; ADDRESS(LabLe"&amp;"vel+3, DVTColumn)) / LabSpeed,
    remainingTime, SUM(INDIRECT(""DVT_Laboratory!"" &amp; ADDRESS(LabLevel+3, DVTColumn) &amp; "":"" &amp; ADDRESS(MaxOrTarget+2, DVTColumn))) / LabSpeed,
  M134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4" s="1249"/>
      <c r="Q134" s="1249" t="str">
        <f>IFERROR(__xludf.DUMMYFUNCTION("""COMPUTED_VALUE"""),"")</f>
        <v/>
      </c>
      <c r="R134" s="1249" t="str">
        <f>IFERROR(__xludf.DUMMYFUNCTION("""COMPUTED_VALUE"""),"")</f>
        <v/>
      </c>
      <c r="S134" s="1249"/>
      <c r="T134" s="1250" t="str">
        <f>IFERROR(__xludf.DUMMYFUNCTION("if(S134 &lt;&gt; """", 
  LET( 
    TargetLevel, VLOOKUP(S134,MS_Labs_Array,3,false),
    MaxLevel, VLOOKUP(S134,MS_Labs_Array,4,false),
    MaxOrTarget, IF(OR(TargetLevel = """",$AD$1 &lt;&gt; ""Target""), MaxLevel, TargetLevel),
    LabLevel, VLOOKUP(S134,MS_Labs_A"&amp;"rray,2,False),
    Levelprogress, LabLevel / MaxOrTarget,
    DVTColumn, MATCH(S134,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4" s="1251" t="str">
        <f>IFERROR(__xludf.DUMMYFUNCTION("if(S134 &lt;&gt; """", 
  LET(
    TargetLevel, VLOOKUP(S134,MS_Labs_Array,3,false),
    LabSpeed, (1 * REGEXEXTRACT($BH$1, ""[\d.-]+"")) * {IF(S134 =""Labs Speed"", 1+'Master Sheet'!$BK$5, LAB_SPEED_TOTAL())},
    MaxLevel, VLOOKUP(S134,MS_Labs_Array,4,false),"&amp;"
    MaxOrTarget, IF(OR(TargetLevel = """",$AD$1 &lt;&gt; ""Target""), MaxLevel, TargetLevel),
    LabLevel, VLOOKUP(S134,MS_Labs_Array,2,False),
    DVTColumn, MATCH(S134, DVT_Laboratory!$A$1:BO$1, 0),
    xextTime, INDIRECT(""DVT_Laboratory!"" &amp; ADDRESS(LabLe"&amp;"vel+3, DVTColumn)) / LabSpeed,
    remainingTime, SUM(INDIRECT(""DVT_Laboratory!"" &amp; ADDRESS(LabLevel+3, DVTColumn) &amp; "":"" &amp; ADDRESS(MaxOrTarget+2, DVTColumn))) / LabSpeed,
  S134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4" s="1249"/>
      <c r="W134" s="1249" t="str">
        <f>IFERROR(__xludf.DUMMYFUNCTION("""COMPUTED_VALUE"""),"")</f>
        <v/>
      </c>
      <c r="X134" s="1249" t="str">
        <f>IFERROR(__xludf.DUMMYFUNCTION("""COMPUTED_VALUE"""),"")</f>
        <v/>
      </c>
      <c r="Y134" s="1249"/>
      <c r="Z134" s="1250" t="str">
        <f>IFERROR(__xludf.DUMMYFUNCTION("if(Y134 &lt;&gt; """", 
  LET( 
    TargetLevel, VLOOKUP(Y134,MS_Labs_Array,3,false),
    MaxLevel, VLOOKUP(Y134,MS_Labs_Array,4,false),
    MaxOrTarget, IF(OR(TargetLevel = """",$AD$1 &lt;&gt; ""Target""), MaxLevel, TargetLevel),
    LabLevel, VLOOKUP(Y134,MS_Labs_A"&amp;"rray,2,False),
    Levelprogress, LabLevel / MaxOrTarget,
    DVTColumn, MATCH(Y134,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4" s="1251" t="str">
        <f>IFERROR(__xludf.DUMMYFUNCTION("if(Y134 &lt;&gt; """", 
  LET(
    TargetLevel, VLOOKUP(Y134,MS_Labs_Array,3,false),
    LabSpeed, (1 * REGEXEXTRACT($BH$1, ""[\d.-]+"")) * {IF(Y134 =""Labs Speed"", 1+'Master Sheet'!$BK$5, LAB_SPEED_TOTAL())},
    MaxLevel, VLOOKUP(Y134,MS_Labs_Array,4,false),"&amp;"
    MaxOrTarget, IF(OR(TargetLevel = """",$AD$1 &lt;&gt; ""Target""), MaxLevel, TargetLevel),
    LabLevel, VLOOKUP(Y134,MS_Labs_Array,2,False),
    DVTColumn, MATCH(Y134, DVT_Laboratory!$A$1:BO$1, 0),
    xextTime, INDIRECT(""DVT_Laboratory!"" &amp; ADDRESS(LabLe"&amp;"vel+3, DVTColumn)) / LabSpeed,
    remainingTime, SUM(INDIRECT(""DVT_Laboratory!"" &amp; ADDRESS(LabLevel+3, DVTColumn) &amp; "":"" &amp; ADDRESS(MaxOrTarget+2, DVTColumn))) / LabSpeed,
  Y134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4" s="1249"/>
      <c r="AC134" s="1249" t="str">
        <f>IFERROR(__xludf.DUMMYFUNCTION("""COMPUTED_VALUE"""),"")</f>
        <v/>
      </c>
      <c r="AD134" s="1249" t="str">
        <f>IFERROR(__xludf.DUMMYFUNCTION("""COMPUTED_VALUE"""),"")</f>
        <v/>
      </c>
      <c r="AE134" s="1249"/>
      <c r="AF134" s="1250" t="str">
        <f>IFERROR(__xludf.DUMMYFUNCTION("if(AE134 &lt;&gt; """", 
  LET( 
    TargetLevel, VLOOKUP(AE134,MS_Labs_Array,3,false),
    MaxLevel, VLOOKUP(AE134,MS_Labs_Array,4,false),
    MaxOrTarget, IF(OR(TargetLevel = """",$AD$1 &lt;&gt; ""Target""), MaxLevel, TargetLevel),
    LabLevel, VLOOKUP(AE134,MS_La"&amp;"bs_Array,2,False),
    Levelprogress, LabLevel / MaxOrTarget,
    DVTColumn, MATCH(AE134,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4" s="1251" t="str">
        <f>IFERROR(__xludf.DUMMYFUNCTION("if(AE134 &lt;&gt; """", 
  LET(
    TargetLevel, VLOOKUP(AE134,MS_Labs_Array,3,false),
    LabSpeed, (1 * REGEXEXTRACT($BH$1, ""[\d.-]+"")) * {IF(AE134 =""Labs Speed"", 1+'Master Sheet'!$BK$5, LAB_SPEED_TOTAL())},
    MaxLevel, VLOOKUP(AE134,MS_Labs_Array,4,fal"&amp;"se),
    MaxOrTarget, IF(OR(TargetLevel = """",$AD$1 &lt;&gt; ""Target""), MaxLevel, TargetLevel),
    LabLevel, VLOOKUP(AE134,MS_Labs_Array,2,False),
    DVTColumn, MATCH(AE134, DVT_Laboratory!$A$1:BO$1, 0),
    xextTime, INDIRECT(""DVT_Laboratory!"" &amp; ADDRESS"&amp;"(LabLevel+3, DVTColumn)) / LabSpeed,
    remainingTime, SUM(INDIRECT(""DVT_Laboratory!"" &amp; ADDRESS(LabLevel+3, DVTColumn) &amp; "":"" &amp; ADDRESS(MaxOrTarget+2, DVTColumn))) / LabSpeed,
  AE134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4" s="1249"/>
      <c r="AI134" s="1249" t="str">
        <f>IFERROR(__xludf.DUMMYFUNCTION("""COMPUTED_VALUE"""),"")</f>
        <v/>
      </c>
      <c r="AJ134" s="1249" t="str">
        <f>IFERROR(__xludf.DUMMYFUNCTION("""COMPUTED_VALUE"""),"")</f>
        <v/>
      </c>
      <c r="AK134" s="1249"/>
      <c r="AL134" s="1250" t="str">
        <f>IFERROR(__xludf.DUMMYFUNCTION("if(AK134 &lt;&gt; """", 
  LET( 
    TargetLevel, VLOOKUP(AK134,MS_Labs_Array,3,false),
    MaxLevel, VLOOKUP(AK134,MS_Labs_Array,4,false),
    MaxOrTarget, IF(OR(TargetLevel = """",$AD$1 &lt;&gt; ""Target""), MaxLevel, TargetLevel),
    LabLevel, VLOOKUP(AK134,MS_La"&amp;"bs_Array,2,False),
    Levelprogress, LabLevel / MaxOrTarget,
    DVTColumn, MATCH(AK134,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4" s="1251" t="str">
        <f>IFERROR(__xludf.DUMMYFUNCTION("if(AK134 &lt;&gt; """", 
  LET(
    TargetLevel, VLOOKUP(AK134,MS_Labs_Array,3,false),
    LabSpeed, (1 * REGEXEXTRACT($BH$1, ""[\d.-]+"")) * {IF(AK134 =""Labs Speed"", 1+'Master Sheet'!$BK$5, LAB_SPEED_TOTAL())},
    MaxLevel, VLOOKUP(AK134,MS_Labs_Array,4,fal"&amp;"se),
    MaxOrTarget, IF(OR(TargetLevel = """",$AD$1 &lt;&gt; ""Target""), MaxLevel, TargetLevel),
    LabLevel, VLOOKUP(AK134,MS_Labs_Array,2,False),
    DVTColumn, MATCH(AK134, DVT_Laboratory!$A$1:BO$1, 0),
    xextTime, INDIRECT(""DVT_Laboratory!"" &amp; ADDRESS"&amp;"(LabLevel+3, DVTColumn)) / LabSpeed,
    remainingTime, SUM(INDIRECT(""DVT_Laboratory!"" &amp; ADDRESS(LabLevel+3, DVTColumn) &amp; "":"" &amp; ADDRESS(MaxOrTarget+2, DVTColumn))) / LabSpeed,
  AK134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4" s="1249"/>
      <c r="AO134" s="1249" t="str">
        <f>IFERROR(__xludf.DUMMYFUNCTION("""COMPUTED_VALUE"""),"")</f>
        <v/>
      </c>
      <c r="AP134" s="1249" t="str">
        <f>IFERROR(__xludf.DUMMYFUNCTION("""COMPUTED_VALUE"""),"")</f>
        <v/>
      </c>
      <c r="AQ134" s="1249"/>
      <c r="AR134" s="1250" t="str">
        <f>IFERROR(__xludf.DUMMYFUNCTION("if(AQ134 &lt;&gt; """", 
  LET( 
    TargetLevel, VLOOKUP(AQ134,MS_Labs_Array,3,false),
    MaxLevel, VLOOKUP(AQ134,MS_Labs_Array,4,false),
    MaxOrTarget, IF(OR(TargetLevel = """",$AD$1 &lt;&gt; ""Target""), MaxLevel, TargetLevel),
    LabLevel, VLOOKUP(AQ134,MS_La"&amp;"bs_Array,2,False),
    Levelprogress, LabLevel / MaxOrTarget,
    DVTColumn, MATCH(AQ134,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4" s="1251" t="str">
        <f>IFERROR(__xludf.DUMMYFUNCTION("if(AQ134 &lt;&gt; """", 
  LET(
    TargetLevel, VLOOKUP(AQ134,MS_Labs_Array,3,false),
    LabSpeed, (1 * REGEXEXTRACT($BH$1, ""[\d.-]+"")) * {IF(AQ134 =""Labs Speed"", 1+'Master Sheet'!$BK$5, LAB_SPEED_TOTAL())},
    MaxLevel, VLOOKUP(AQ134,MS_Labs_Array,4,fal"&amp;"se),
    MaxOrTarget, IF(OR(TargetLevel = """",$AD$1 &lt;&gt; ""Target""), MaxLevel, TargetLevel),
    LabLevel, VLOOKUP(AQ134,MS_Labs_Array,2,False),
    DVTColumn, MATCH(AQ134, DVT_Laboratory!$A$1:BO$1, 0),
    xextTime, INDIRECT(""DVT_Laboratory!"" &amp; ADDRESS"&amp;"(LabLevel+3, DVTColumn)) / LabSpeed,
    remainingTime, SUM(INDIRECT(""DVT_Laboratory!"" &amp; ADDRESS(LabLevel+3, DVTColumn) &amp; "":"" &amp; ADDRESS(MaxOrTarget+2, DVTColumn))) / LabSpeed,
  AQ134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4" s="1249"/>
      <c r="AU134" s="1249" t="str">
        <f>IFERROR(__xludf.DUMMYFUNCTION("""COMPUTED_VALUE"""),"")</f>
        <v/>
      </c>
      <c r="AV134" s="1249" t="str">
        <f>IFERROR(__xludf.DUMMYFUNCTION("""COMPUTED_VALUE"""),"")</f>
        <v/>
      </c>
      <c r="AW134" s="1249"/>
      <c r="AX134" s="1250" t="str">
        <f>IFERROR(__xludf.DUMMYFUNCTION("if(AW134 &lt;&gt; """", 
  LET( 
    TargetLevel, VLOOKUP(AW134,MS_Labs_Array,3,false),
    MaxLevel, VLOOKUP(AW134,MS_Labs_Array,4,false),
    MaxOrTarget, IF(OR(TargetLevel = """",$AD$1 &lt;&gt; ""Target""), MaxLevel, TargetLevel),
    LabLevel, VLOOKUP(AW134,MS_La"&amp;"bs_Array,2,False),
    Levelprogress, LabLevel / MaxOrTarget,
    DVTColumn, MATCH(AW134,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4" s="1251" t="str">
        <f>IFERROR(__xludf.DUMMYFUNCTION("if(AW134 &lt;&gt; """", 
  LET(
    TargetLevel, VLOOKUP(AW134,MS_Labs_Array,3,false),
    LabSpeed, (1 * REGEXEXTRACT($BH$1, ""[\d.-]+"")) * {IF(AW134 =""Labs Speed"", 1+'Master Sheet'!$BK$5, LAB_SPEED_TOTAL())},
    MaxLevel, VLOOKUP(AW134,MS_Labs_Array,4,fal"&amp;"se),
    MaxOrTarget, IF(OR(TargetLevel = """",$AD$1 &lt;&gt; ""Target""), MaxLevel, TargetLevel),
    LabLevel, VLOOKUP(AW134,MS_Labs_Array,2,False),
    DVTColumn, MATCH(AW134, DVT_Laboratory!$A$1:BO$1, 0),
    xextTime, INDIRECT(""DVT_Laboratory!"" &amp; ADDRESS"&amp;"(LabLevel+3, DVTColumn)) / LabSpeed,
    remainingTime, SUM(INDIRECT(""DVT_Laboratory!"" &amp; ADDRESS(LabLevel+3, DVTColumn) &amp; "":"" &amp; ADDRESS(MaxOrTarget+2, DVTColumn))) / LabSpeed,
  AW134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4" s="1249"/>
      <c r="BA134" s="1249" t="str">
        <f>IFERROR(__xludf.DUMMYFUNCTION("""COMPUTED_VALUE"""),"")</f>
        <v/>
      </c>
      <c r="BB134" s="1249" t="str">
        <f>IFERROR(__xludf.DUMMYFUNCTION("""COMPUTED_VALUE"""),"")</f>
        <v/>
      </c>
      <c r="BC134" s="1249"/>
      <c r="BD134" s="1250" t="str">
        <f>IFERROR(__xludf.DUMMYFUNCTION("if(BC134 &lt;&gt; """", 
  LET( 
    TargetLevel, VLOOKUP(BC134,MS_Labs_Array,3,false),
    MaxLevel, VLOOKUP(BC134,MS_Labs_Array,4,false),
    MaxOrTarget, IF(OR(TargetLevel = """",$AD$1 &lt;&gt; ""Target""), MaxLevel, TargetLevel),
    LabLevel, VLOOKUP(BC134,MS_La"&amp;"bs_Array,2,False),
    Levelprogress, LabLevel / MaxOrTarget,
    DVTColumn, MATCH(BC134,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4" s="1251" t="str">
        <f>IFERROR(__xludf.DUMMYFUNCTION("if(BC134 &lt;&gt; """", 
  LET(
    TargetLevel, VLOOKUP(BC134,MS_Labs_Array,3,false),
    LabSpeed, (1 * REGEXEXTRACT($BH$1, ""[\d.-]+"")) * {IF(BC134 =""Labs Speed"", 1+'Master Sheet'!$BK$5, LAB_SPEED_TOTAL())},
    MaxLevel, VLOOKUP(BC134,MS_Labs_Array,4,fal"&amp;"se),
    MaxOrTarget, IF(OR(TargetLevel = """",$AD$1 &lt;&gt; ""Target""), MaxLevel, TargetLevel),
    LabLevel, VLOOKUP(BC134,MS_Labs_Array,2,False),
    DVTColumn, MATCH(BC134, DVT_Laboratory!$A$1:BO$1, 0),
    xextTime, INDIRECT(""DVT_Laboratory!"" &amp; ADDRESS"&amp;"(LabLevel+3, DVTColumn)) / LabSpeed,
    remainingTime, SUM(INDIRECT(""DVT_Laboratory!"" &amp; ADDRESS(LabLevel+3, DVTColumn) &amp; "":"" &amp; ADDRESS(MaxOrTarget+2, DVTColumn))) / LabSpeed,
  BC134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4" s="1249"/>
      <c r="BG134" s="1249" t="str">
        <f>IFERROR(__xludf.DUMMYFUNCTION("""COMPUTED_VALUE"""),"")</f>
        <v/>
      </c>
      <c r="BH134" s="1260" t="str">
        <f>IFERROR(__xludf.DUMMYFUNCTION("""COMPUTED_VALUE"""),"")</f>
        <v/>
      </c>
      <c r="BI134" s="1252"/>
      <c r="BJ134" s="1253" t="str">
        <f>IFERROR(__xludf.DUMMYFUNCTION("if(BI134 &lt;&gt; """", 
  LET( 
    TargetLevel, VLOOKUP(BI134,MS_Labs_Array,3,false),
    MaxLevel, VLOOKUP(BI134,MS_Labs_Array,4,false),
    MaxOrTarget, IF(OR(TargetLevel = """",$AD$1 &lt;&gt; ""Target""), MaxLevel, TargetLevel),
    LabLevel, VLOOKUP(BI134,MS_La"&amp;"bs_Array,2,False),
    Levelprogress, IF(LabLevel &gt;= MaxOrTarget, 1, LabLevel / MaxOrTarget),
    DVTColumn, MATCH(BI134,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4" s="1254" t="str">
        <f>IFERROR(__xludf.DUMMYFUNCTION("if(BI134 &lt;&gt; """", 
  LET(
    TargetLevel, VLOOKUP(BI134,MS_Labs_Array,3,false),
    LabSpeed, (1 * REGEXEXTRACT($BH$1, ""[\d.-]+"")) * {IF(BI134 =""Labs Speed"", 1+'Master Sheet'!$BK$5, LAB_SPEED_TOTAL())},
    MaxLevel, VLOOKUP(BI134,MS_Labs_Array,4,fal"&amp;"se),
    MaxOrTarget, IF(OR(TargetLevel = """",$AD$1 &lt;&gt; ""Target""), MaxLevel, TargetLevel),
    LabLevel, VLOOKUP(BI134,MS_Labs_Array,2,False),
    DVTColumn, MATCH(BI134, DVT_Laboratory!$A$1:BO$1, 0),
    xextTime, INDIRECT(""DVT_Laboratory!"" &amp; ADDRESS"&amp;"(LabLevel+3, DVTColumn)) / LabSpeed,
    remainingTime, SUM(INDIRECT(""DVT_Laboratory!"" &amp; ADDRESS(LabLevel+3, DVTColumn) &amp; "":"" &amp; ADDRESS(MaxOrTarget+2, DVTColumn))) / LabSpeed,
  BI134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4" s="1252"/>
      <c r="BM134" s="1252" t="str">
        <f>IFERROR(__xludf.DUMMYFUNCTION("""COMPUTED_VALUE"""),"")</f>
        <v/>
      </c>
      <c r="BN134" s="1222"/>
      <c r="BO134" s="1261"/>
    </row>
    <row r="135">
      <c r="A135" s="1222"/>
      <c r="B135" s="1257"/>
      <c r="C135" s="1325" t="s">
        <v>235</v>
      </c>
      <c r="D135" s="1280" t="str">
        <f>VLOOKUP(C135,'Remote Tier List'!A:D, 2, FALSE)</f>
        <v>D</v>
      </c>
      <c r="E135" s="1281" t="str">
        <f>VLOOKUP(C135,'Remote Tier List'!A:D, 3, FALSE)</f>
        <v/>
      </c>
      <c r="F135" s="1257"/>
      <c r="G135" s="1245" t="b">
        <f t="shared" si="23"/>
        <v>1</v>
      </c>
      <c r="H135" s="1246" t="str">
        <f t="array" ref="H135:I135">LET(
  Lab, $C135,
  Mode, $AD$1,
  Level, VLOOKUP(Lab, MS_Labs_Array, 2, FALSE),
  Target, VLOOKUP(Lab, MS_Labs_Array, 3, FALSE),
  Max, VLOOKUP(Lab, MS_Labs_Array, 4, FALSE),
  Result,
    IF(
      AND(
        Mode &lt;&gt; "Never",
        Level &gt;= IF(OR(Target = "", Mode = "Max"), Max, Target)
      ),
      "Completed",
      ""
    ),
  HSTACK(
    IF(Result &lt;&gt; "", Result, $D135),
    IF(Result &lt;&gt; "", Result, IF($E135 = "", $D135, $E135))
  )
)</f>
        <v>D</v>
      </c>
      <c r="I135" s="1247" t="s">
        <v>548</v>
      </c>
      <c r="J135" s="1248" t="str">
        <f t="shared" si="24"/>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5" s="1229"/>
      <c r="L135" s="1249"/>
      <c r="M135" s="1249"/>
      <c r="N135" s="1250" t="str">
        <f>IFERROR(__xludf.DUMMYFUNCTION("if(M135 &lt;&gt; """", 
  LET( 
    TargetLevel, VLOOKUP(M135,MS_Labs_Array,3,false),
    MaxLevel, VLOOKUP(M135,MS_Labs_Array,4,false),
    MaxOrTarget, IF(OR(TargetLevel = """",$AD$1 &lt;&gt; ""Target""), MaxLevel, TargetLevel),
    LabLevel, VLOOKUP(M135,MS_Labs_A"&amp;"rray,2,False),
    Levelprogress, LabLevel / MaxOrTarget,
    DVTColumn, MATCH(M135,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5" s="1251" t="str">
        <f>IFERROR(__xludf.DUMMYFUNCTION("if(M135 &lt;&gt; """", 
  LET(
    TargetLevel, VLOOKUP(M135,MS_Labs_Array,3,false),
    LabSpeed, (1 * REGEXEXTRACT($BH$1, ""[\d.-]+"")) * {IF(M135 =""Labs Speed"", 1+'Master Sheet'!$BK$5, LAB_SPEED_TOTAL())},
    MaxLevel, VLOOKUP(M135,MS_Labs_Array,4,false),"&amp;"
    MaxOrTarget, IF(OR(TargetLevel = """",$AD$1 &lt;&gt; ""Target""), MaxLevel, TargetLevel),
    LabLevel, VLOOKUP(M135,MS_Labs_Array,2,False),
    DVTColumn, MATCH(M135, DVT_Laboratory!$A$1:BO$1, 0),
    xextTime, INDIRECT(""DVT_Laboratory!"" &amp; ADDRESS(LabLe"&amp;"vel+3, DVTColumn)) / LabSpeed,
    remainingTime, SUM(INDIRECT(""DVT_Laboratory!"" &amp; ADDRESS(LabLevel+3, DVTColumn) &amp; "":"" &amp; ADDRESS(MaxOrTarget+2, DVTColumn))) / LabSpeed,
  M135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5" s="1249"/>
      <c r="Q135" s="1249"/>
      <c r="R135" s="1249"/>
      <c r="S135" s="1249"/>
      <c r="T135" s="1250" t="str">
        <f>IFERROR(__xludf.DUMMYFUNCTION("if(S135 &lt;&gt; """", 
  LET( 
    TargetLevel, VLOOKUP(S135,MS_Labs_Array,3,false),
    MaxLevel, VLOOKUP(S135,MS_Labs_Array,4,false),
    MaxOrTarget, IF(OR(TargetLevel = """",$AD$1 &lt;&gt; ""Target""), MaxLevel, TargetLevel),
    LabLevel, VLOOKUP(S135,MS_Labs_A"&amp;"rray,2,False),
    Levelprogress, LabLevel / MaxOrTarget,
    DVTColumn, MATCH(S135,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5" s="1251" t="str">
        <f>IFERROR(__xludf.DUMMYFUNCTION("if(S135 &lt;&gt; """", 
  LET(
    TargetLevel, VLOOKUP(S135,MS_Labs_Array,3,false),
    LabSpeed, (1 * REGEXEXTRACT($BH$1, ""[\d.-]+"")) * {IF(S135 =""Labs Speed"", 1+'Master Sheet'!$BK$5, LAB_SPEED_TOTAL())},
    MaxLevel, VLOOKUP(S135,MS_Labs_Array,4,false),"&amp;"
    MaxOrTarget, IF(OR(TargetLevel = """",$AD$1 &lt;&gt; ""Target""), MaxLevel, TargetLevel),
    LabLevel, VLOOKUP(S135,MS_Labs_Array,2,False),
    DVTColumn, MATCH(S135, DVT_Laboratory!$A$1:BO$1, 0),
    xextTime, INDIRECT(""DVT_Laboratory!"" &amp; ADDRESS(LabLe"&amp;"vel+3, DVTColumn)) / LabSpeed,
    remainingTime, SUM(INDIRECT(""DVT_Laboratory!"" &amp; ADDRESS(LabLevel+3, DVTColumn) &amp; "":"" &amp; ADDRESS(MaxOrTarget+2, DVTColumn))) / LabSpeed,
  S135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5" s="1249"/>
      <c r="W135" s="1249"/>
      <c r="X135" s="1249"/>
      <c r="Y135" s="1249"/>
      <c r="Z135" s="1250" t="str">
        <f>IFERROR(__xludf.DUMMYFUNCTION("if(Y135 &lt;&gt; """", 
  LET( 
    TargetLevel, VLOOKUP(Y135,MS_Labs_Array,3,false),
    MaxLevel, VLOOKUP(Y135,MS_Labs_Array,4,false),
    MaxOrTarget, IF(OR(TargetLevel = """",$AD$1 &lt;&gt; ""Target""), MaxLevel, TargetLevel),
    LabLevel, VLOOKUP(Y135,MS_Labs_A"&amp;"rray,2,False),
    Levelprogress, LabLevel / MaxOrTarget,
    DVTColumn, MATCH(Y135,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5" s="1251" t="str">
        <f>IFERROR(__xludf.DUMMYFUNCTION("if(Y135 &lt;&gt; """", 
  LET(
    TargetLevel, VLOOKUP(Y135,MS_Labs_Array,3,false),
    LabSpeed, (1 * REGEXEXTRACT($BH$1, ""[\d.-]+"")) * {IF(Y135 =""Labs Speed"", 1+'Master Sheet'!$BK$5, LAB_SPEED_TOTAL())},
    MaxLevel, VLOOKUP(Y135,MS_Labs_Array,4,false),"&amp;"
    MaxOrTarget, IF(OR(TargetLevel = """",$AD$1 &lt;&gt; ""Target""), MaxLevel, TargetLevel),
    LabLevel, VLOOKUP(Y135,MS_Labs_Array,2,False),
    DVTColumn, MATCH(Y135, DVT_Laboratory!$A$1:BO$1, 0),
    xextTime, INDIRECT(""DVT_Laboratory!"" &amp; ADDRESS(LabLe"&amp;"vel+3, DVTColumn)) / LabSpeed,
    remainingTime, SUM(INDIRECT(""DVT_Laboratory!"" &amp; ADDRESS(LabLevel+3, DVTColumn) &amp; "":"" &amp; ADDRESS(MaxOrTarget+2, DVTColumn))) / LabSpeed,
  Y135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5" s="1249"/>
      <c r="AC135" s="1249"/>
      <c r="AD135" s="1249"/>
      <c r="AE135" s="1249"/>
      <c r="AF135" s="1250" t="str">
        <f>IFERROR(__xludf.DUMMYFUNCTION("if(AE135 &lt;&gt; """", 
  LET( 
    TargetLevel, VLOOKUP(AE135,MS_Labs_Array,3,false),
    MaxLevel, VLOOKUP(AE135,MS_Labs_Array,4,false),
    MaxOrTarget, IF(OR(TargetLevel = """",$AD$1 &lt;&gt; ""Target""), MaxLevel, TargetLevel),
    LabLevel, VLOOKUP(AE135,MS_La"&amp;"bs_Array,2,False),
    Levelprogress, LabLevel / MaxOrTarget,
    DVTColumn, MATCH(AE135,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5" s="1251" t="str">
        <f>IFERROR(__xludf.DUMMYFUNCTION("if(AE135 &lt;&gt; """", 
  LET(
    TargetLevel, VLOOKUP(AE135,MS_Labs_Array,3,false),
    LabSpeed, (1 * REGEXEXTRACT($BH$1, ""[\d.-]+"")) * {IF(AE135 =""Labs Speed"", 1+'Master Sheet'!$BK$5, LAB_SPEED_TOTAL())},
    MaxLevel, VLOOKUP(AE135,MS_Labs_Array,4,fal"&amp;"se),
    MaxOrTarget, IF(OR(TargetLevel = """",$AD$1 &lt;&gt; ""Target""), MaxLevel, TargetLevel),
    LabLevel, VLOOKUP(AE135,MS_Labs_Array,2,False),
    DVTColumn, MATCH(AE135, DVT_Laboratory!$A$1:BO$1, 0),
    xextTime, INDIRECT(""DVT_Laboratory!"" &amp; ADDRESS"&amp;"(LabLevel+3, DVTColumn)) / LabSpeed,
    remainingTime, SUM(INDIRECT(""DVT_Laboratory!"" &amp; ADDRESS(LabLevel+3, DVTColumn) &amp; "":"" &amp; ADDRESS(MaxOrTarget+2, DVTColumn))) / LabSpeed,
  AE135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5" s="1249"/>
      <c r="AI135" s="1249"/>
      <c r="AJ135" s="1249"/>
      <c r="AK135" s="1249"/>
      <c r="AL135" s="1250" t="str">
        <f>IFERROR(__xludf.DUMMYFUNCTION("if(AK135 &lt;&gt; """", 
  LET( 
    TargetLevel, VLOOKUP(AK135,MS_Labs_Array,3,false),
    MaxLevel, VLOOKUP(AK135,MS_Labs_Array,4,false),
    MaxOrTarget, IF(OR(TargetLevel = """",$AD$1 &lt;&gt; ""Target""), MaxLevel, TargetLevel),
    LabLevel, VLOOKUP(AK135,MS_La"&amp;"bs_Array,2,False),
    Levelprogress, LabLevel / MaxOrTarget,
    DVTColumn, MATCH(AK135,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5" s="1251" t="str">
        <f>IFERROR(__xludf.DUMMYFUNCTION("if(AK135 &lt;&gt; """", 
  LET(
    TargetLevel, VLOOKUP(AK135,MS_Labs_Array,3,false),
    LabSpeed, (1 * REGEXEXTRACT($BH$1, ""[\d.-]+"")) * {IF(AK135 =""Labs Speed"", 1+'Master Sheet'!$BK$5, LAB_SPEED_TOTAL())},
    MaxLevel, VLOOKUP(AK135,MS_Labs_Array,4,fal"&amp;"se),
    MaxOrTarget, IF(OR(TargetLevel = """",$AD$1 &lt;&gt; ""Target""), MaxLevel, TargetLevel),
    LabLevel, VLOOKUP(AK135,MS_Labs_Array,2,False),
    DVTColumn, MATCH(AK135, DVT_Laboratory!$A$1:BO$1, 0),
    xextTime, INDIRECT(""DVT_Laboratory!"" &amp; ADDRESS"&amp;"(LabLevel+3, DVTColumn)) / LabSpeed,
    remainingTime, SUM(INDIRECT(""DVT_Laboratory!"" &amp; ADDRESS(LabLevel+3, DVTColumn) &amp; "":"" &amp; ADDRESS(MaxOrTarget+2, DVTColumn))) / LabSpeed,
  AK135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5" s="1249"/>
      <c r="AO135" s="1249"/>
      <c r="AP135" s="1249"/>
      <c r="AQ135" s="1249"/>
      <c r="AR135" s="1250" t="str">
        <f>IFERROR(__xludf.DUMMYFUNCTION("if(AQ135 &lt;&gt; """", 
  LET( 
    TargetLevel, VLOOKUP(AQ135,MS_Labs_Array,3,false),
    MaxLevel, VLOOKUP(AQ135,MS_Labs_Array,4,false),
    MaxOrTarget, IF(OR(TargetLevel = """",$AD$1 &lt;&gt; ""Target""), MaxLevel, TargetLevel),
    LabLevel, VLOOKUP(AQ135,MS_La"&amp;"bs_Array,2,False),
    Levelprogress, LabLevel / MaxOrTarget,
    DVTColumn, MATCH(AQ135,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5" s="1251" t="str">
        <f>IFERROR(__xludf.DUMMYFUNCTION("if(AQ135 &lt;&gt; """", 
  LET(
    TargetLevel, VLOOKUP(AQ135,MS_Labs_Array,3,false),
    LabSpeed, (1 * REGEXEXTRACT($BH$1, ""[\d.-]+"")) * {IF(AQ135 =""Labs Speed"", 1+'Master Sheet'!$BK$5, LAB_SPEED_TOTAL())},
    MaxLevel, VLOOKUP(AQ135,MS_Labs_Array,4,fal"&amp;"se),
    MaxOrTarget, IF(OR(TargetLevel = """",$AD$1 &lt;&gt; ""Target""), MaxLevel, TargetLevel),
    LabLevel, VLOOKUP(AQ135,MS_Labs_Array,2,False),
    DVTColumn, MATCH(AQ135, DVT_Laboratory!$A$1:BO$1, 0),
    xextTime, INDIRECT(""DVT_Laboratory!"" &amp; ADDRESS"&amp;"(LabLevel+3, DVTColumn)) / LabSpeed,
    remainingTime, SUM(INDIRECT(""DVT_Laboratory!"" &amp; ADDRESS(LabLevel+3, DVTColumn) &amp; "":"" &amp; ADDRESS(MaxOrTarget+2, DVTColumn))) / LabSpeed,
  AQ135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5" s="1249"/>
      <c r="AU135" s="1249"/>
      <c r="AV135" s="1249"/>
      <c r="AW135" s="1249"/>
      <c r="AX135" s="1250" t="str">
        <f>IFERROR(__xludf.DUMMYFUNCTION("if(AW135 &lt;&gt; """", 
  LET( 
    TargetLevel, VLOOKUP(AW135,MS_Labs_Array,3,false),
    MaxLevel, VLOOKUP(AW135,MS_Labs_Array,4,false),
    MaxOrTarget, IF(OR(TargetLevel = """",$AD$1 &lt;&gt; ""Target""), MaxLevel, TargetLevel),
    LabLevel, VLOOKUP(AW135,MS_La"&amp;"bs_Array,2,False),
    Levelprogress, LabLevel / MaxOrTarget,
    DVTColumn, MATCH(AW135,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5" s="1251" t="str">
        <f>IFERROR(__xludf.DUMMYFUNCTION("if(AW135 &lt;&gt; """", 
  LET(
    TargetLevel, VLOOKUP(AW135,MS_Labs_Array,3,false),
    LabSpeed, (1 * REGEXEXTRACT($BH$1, ""[\d.-]+"")) * {IF(AW135 =""Labs Speed"", 1+'Master Sheet'!$BK$5, LAB_SPEED_TOTAL())},
    MaxLevel, VLOOKUP(AW135,MS_Labs_Array,4,fal"&amp;"se),
    MaxOrTarget, IF(OR(TargetLevel = """",$AD$1 &lt;&gt; ""Target""), MaxLevel, TargetLevel),
    LabLevel, VLOOKUP(AW135,MS_Labs_Array,2,False),
    DVTColumn, MATCH(AW135, DVT_Laboratory!$A$1:BO$1, 0),
    xextTime, INDIRECT(""DVT_Laboratory!"" &amp; ADDRESS"&amp;"(LabLevel+3, DVTColumn)) / LabSpeed,
    remainingTime, SUM(INDIRECT(""DVT_Laboratory!"" &amp; ADDRESS(LabLevel+3, DVTColumn) &amp; "":"" &amp; ADDRESS(MaxOrTarget+2, DVTColumn))) / LabSpeed,
  AW135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5" s="1249"/>
      <c r="BA135" s="1249"/>
      <c r="BB135" s="1249"/>
      <c r="BC135" s="1249"/>
      <c r="BD135" s="1250" t="str">
        <f>IFERROR(__xludf.DUMMYFUNCTION("if(BC135 &lt;&gt; """", 
  LET( 
    TargetLevel, VLOOKUP(BC135,MS_Labs_Array,3,false),
    MaxLevel, VLOOKUP(BC135,MS_Labs_Array,4,false),
    MaxOrTarget, IF(OR(TargetLevel = """",$AD$1 &lt;&gt; ""Target""), MaxLevel, TargetLevel),
    LabLevel, VLOOKUP(BC135,MS_La"&amp;"bs_Array,2,False),
    Levelprogress, LabLevel / MaxOrTarget,
    DVTColumn, MATCH(BC135,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5" s="1251" t="str">
        <f>IFERROR(__xludf.DUMMYFUNCTION("if(BC135 &lt;&gt; """", 
  LET(
    TargetLevel, VLOOKUP(BC135,MS_Labs_Array,3,false),
    LabSpeed, (1 * REGEXEXTRACT($BH$1, ""[\d.-]+"")) * {IF(BC135 =""Labs Speed"", 1+'Master Sheet'!$BK$5, LAB_SPEED_TOTAL())},
    MaxLevel, VLOOKUP(BC135,MS_Labs_Array,4,fal"&amp;"se),
    MaxOrTarget, IF(OR(TargetLevel = """",$AD$1 &lt;&gt; ""Target""), MaxLevel, TargetLevel),
    LabLevel, VLOOKUP(BC135,MS_Labs_Array,2,False),
    DVTColumn, MATCH(BC135, DVT_Laboratory!$A$1:BO$1, 0),
    xextTime, INDIRECT(""DVT_Laboratory!"" &amp; ADDRESS"&amp;"(LabLevel+3, DVTColumn)) / LabSpeed,
    remainingTime, SUM(INDIRECT(""DVT_Laboratory!"" &amp; ADDRESS(LabLevel+3, DVTColumn) &amp; "":"" &amp; ADDRESS(MaxOrTarget+2, DVTColumn))) / LabSpeed,
  BC135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5" s="1249"/>
      <c r="BG135" s="1249"/>
      <c r="BH135" s="1260"/>
      <c r="BI135" s="1252"/>
      <c r="BJ135" s="1253" t="str">
        <f>IFERROR(__xludf.DUMMYFUNCTION("if(BI135 &lt;&gt; """", 
  LET( 
    TargetLevel, VLOOKUP(BI135,MS_Labs_Array,3,false),
    MaxLevel, VLOOKUP(BI135,MS_Labs_Array,4,false),
    MaxOrTarget, IF(OR(TargetLevel = """",$AD$1 &lt;&gt; ""Target""), MaxLevel, TargetLevel),
    LabLevel, VLOOKUP(BI135,MS_La"&amp;"bs_Array,2,False),
    Levelprogress, IF(LabLevel &gt;= MaxOrTarget, 1, LabLevel / MaxOrTarget),
    DVTColumn, MATCH(BI135,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5" s="1254" t="str">
        <f>IFERROR(__xludf.DUMMYFUNCTION("if(BI135 &lt;&gt; """", 
  LET(
    TargetLevel, VLOOKUP(BI135,MS_Labs_Array,3,false),
    LabSpeed, (1 * REGEXEXTRACT($BH$1, ""[\d.-]+"")) * {IF(BI135 =""Labs Speed"", 1+'Master Sheet'!$BK$5, LAB_SPEED_TOTAL())},
    MaxLevel, VLOOKUP(BI135,MS_Labs_Array,4,fal"&amp;"se),
    MaxOrTarget, IF(OR(TargetLevel = """",$AD$1 &lt;&gt; ""Target""), MaxLevel, TargetLevel),
    LabLevel, VLOOKUP(BI135,MS_Labs_Array,2,False),
    DVTColumn, MATCH(BI135, DVT_Laboratory!$A$1:BO$1, 0),
    xextTime, INDIRECT(""DVT_Laboratory!"" &amp; ADDRESS"&amp;"(LabLevel+3, DVTColumn)) / LabSpeed,
    remainingTime, SUM(INDIRECT(""DVT_Laboratory!"" &amp; ADDRESS(LabLevel+3, DVTColumn) &amp; "":"" &amp; ADDRESS(MaxOrTarget+2, DVTColumn))) / LabSpeed,
  BI135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5" s="1252"/>
      <c r="BM135" s="1252"/>
      <c r="BN135" s="1222"/>
      <c r="BO135" s="1261"/>
    </row>
    <row r="136" ht="7.5" customHeight="1">
      <c r="A136" s="1222"/>
      <c r="B136" s="1257"/>
      <c r="C136" s="1325" t="s">
        <v>246</v>
      </c>
      <c r="D136" s="1280" t="str">
        <f>VLOOKUP(C136,'Remote Tier List'!A:D, 2, FALSE)</f>
        <v>F</v>
      </c>
      <c r="E136" s="1281" t="str">
        <f>VLOOKUP(C136,'Remote Tier List'!A:D, 3, FALSE)</f>
        <v/>
      </c>
      <c r="F136" s="1257"/>
      <c r="G136" s="1245" t="b">
        <f t="shared" si="23"/>
        <v>1</v>
      </c>
      <c r="H136" s="1246" t="str">
        <f t="array" ref="H136:I136">LET(
  Lab, $C136,
  Mode, $AD$1,
  Level, VLOOKUP(Lab, MS_Labs_Array, 2, FALSE),
  Target, VLOOKUP(Lab, MS_Labs_Array, 3, FALSE),
  Max, VLOOKUP(Lab, MS_Labs_Array, 4, FALSE),
  Result,
    IF(
      AND(
        Mode &lt;&gt; "Never",
        Level &gt;= IF(OR(Target = "", Mode = "Max"), Max, Target)
      ),
      "Completed",
      ""
    ),
  HSTACK(
    IF(Result &lt;&gt; "", Result, $D136),
    IF(Result &lt;&gt; "", Result, IF($E136 = "", $D136, $E136))
  )
)</f>
        <v>F</v>
      </c>
      <c r="I136" s="1247" t="s">
        <v>549</v>
      </c>
      <c r="J136" s="1248" t="str">
        <f t="shared" si="24"/>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6" s="1229"/>
      <c r="L136" s="1249" t="str">
        <f>IFERROR(__xludf.DUMMYFUNCTION("""COMPUTED_VALUE"""),"")</f>
        <v/>
      </c>
      <c r="M136" s="1249"/>
      <c r="N136" s="1250" t="str">
        <f>IFERROR(__xludf.DUMMYFUNCTION("if(M136 &lt;&gt; """", 
  LET( 
    TargetLevel, VLOOKUP(M136,MS_Labs_Array,3,false),
    MaxLevel, VLOOKUP(M136,MS_Labs_Array,4,false),
    MaxOrTarget, IF(OR(TargetLevel = """",$AD$1 &lt;&gt; ""Target""), MaxLevel, TargetLevel),
    LabLevel, VLOOKUP(M136,MS_Labs_A"&amp;"rray,2,False),
    Levelprogress, LabLevel / MaxOrTarget,
    DVTColumn, MATCH(M136,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6" s="1251" t="str">
        <f>IFERROR(__xludf.DUMMYFUNCTION("if(M136 &lt;&gt; """", 
  LET(
    TargetLevel, VLOOKUP(M136,MS_Labs_Array,3,false),
    LabSpeed, (1 * REGEXEXTRACT($BH$1, ""[\d.-]+"")) * {IF(M136 =""Labs Speed"", 1+'Master Sheet'!$BK$5, LAB_SPEED_TOTAL())},
    MaxLevel, VLOOKUP(M136,MS_Labs_Array,4,false),"&amp;"
    MaxOrTarget, IF(OR(TargetLevel = """",$AD$1 &lt;&gt; ""Target""), MaxLevel, TargetLevel),
    LabLevel, VLOOKUP(M136,MS_Labs_Array,2,False),
    DVTColumn, MATCH(M136, DVT_Laboratory!$A$1:BO$1, 0),
    xextTime, INDIRECT(""DVT_Laboratory!"" &amp; ADDRESS(LabLe"&amp;"vel+3, DVTColumn)) / LabSpeed,
    remainingTime, SUM(INDIRECT(""DVT_Laboratory!"" &amp; ADDRESS(LabLevel+3, DVTColumn) &amp; "":"" &amp; ADDRESS(MaxOrTarget+2, DVTColumn))) / LabSpeed,
  M136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6" s="1249"/>
      <c r="Q136" s="1249" t="str">
        <f>IFERROR(__xludf.DUMMYFUNCTION("""COMPUTED_VALUE"""),"")</f>
        <v/>
      </c>
      <c r="R136" s="1249" t="str">
        <f>IFERROR(__xludf.DUMMYFUNCTION("""COMPUTED_VALUE"""),"")</f>
        <v/>
      </c>
      <c r="S136" s="1249"/>
      <c r="T136" s="1250" t="str">
        <f>IFERROR(__xludf.DUMMYFUNCTION("if(S136 &lt;&gt; """", 
  LET( 
    TargetLevel, VLOOKUP(S136,MS_Labs_Array,3,false),
    MaxLevel, VLOOKUP(S136,MS_Labs_Array,4,false),
    MaxOrTarget, IF(OR(TargetLevel = """",$AD$1 &lt;&gt; ""Target""), MaxLevel, TargetLevel),
    LabLevel, VLOOKUP(S136,MS_Labs_A"&amp;"rray,2,False),
    Levelprogress, LabLevel / MaxOrTarget,
    DVTColumn, MATCH(S136,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6" s="1251" t="str">
        <f>IFERROR(__xludf.DUMMYFUNCTION("if(S136 &lt;&gt; """", 
  LET(
    TargetLevel, VLOOKUP(S136,MS_Labs_Array,3,false),
    LabSpeed, (1 * REGEXEXTRACT($BH$1, ""[\d.-]+"")) * {IF(S136 =""Labs Speed"", 1+'Master Sheet'!$BK$5, LAB_SPEED_TOTAL())},
    MaxLevel, VLOOKUP(S136,MS_Labs_Array,4,false),"&amp;"
    MaxOrTarget, IF(OR(TargetLevel = """",$AD$1 &lt;&gt; ""Target""), MaxLevel, TargetLevel),
    LabLevel, VLOOKUP(S136,MS_Labs_Array,2,False),
    DVTColumn, MATCH(S136, DVT_Laboratory!$A$1:BO$1, 0),
    xextTime, INDIRECT(""DVT_Laboratory!"" &amp; ADDRESS(LabLe"&amp;"vel+3, DVTColumn)) / LabSpeed,
    remainingTime, SUM(INDIRECT(""DVT_Laboratory!"" &amp; ADDRESS(LabLevel+3, DVTColumn) &amp; "":"" &amp; ADDRESS(MaxOrTarget+2, DVTColumn))) / LabSpeed,
  S136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6" s="1249"/>
      <c r="W136" s="1249" t="str">
        <f>IFERROR(__xludf.DUMMYFUNCTION("""COMPUTED_VALUE"""),"")</f>
        <v/>
      </c>
      <c r="X136" s="1249" t="str">
        <f>IFERROR(__xludf.DUMMYFUNCTION("""COMPUTED_VALUE"""),"")</f>
        <v/>
      </c>
      <c r="Y136" s="1249"/>
      <c r="Z136" s="1250" t="str">
        <f>IFERROR(__xludf.DUMMYFUNCTION("if(Y136 &lt;&gt; """", 
  LET( 
    TargetLevel, VLOOKUP(Y136,MS_Labs_Array,3,false),
    MaxLevel, VLOOKUP(Y136,MS_Labs_Array,4,false),
    MaxOrTarget, IF(OR(TargetLevel = """",$AD$1 &lt;&gt; ""Target""), MaxLevel, TargetLevel),
    LabLevel, VLOOKUP(Y136,MS_Labs_A"&amp;"rray,2,False),
    Levelprogress, LabLevel / MaxOrTarget,
    DVTColumn, MATCH(Y136,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6" s="1251" t="str">
        <f>IFERROR(__xludf.DUMMYFUNCTION("if(Y136 &lt;&gt; """", 
  LET(
    TargetLevel, VLOOKUP(Y136,MS_Labs_Array,3,false),
    LabSpeed, (1 * REGEXEXTRACT($BH$1, ""[\d.-]+"")) * {IF(Y136 =""Labs Speed"", 1+'Master Sheet'!$BK$5, LAB_SPEED_TOTAL())},
    MaxLevel, VLOOKUP(Y136,MS_Labs_Array,4,false),"&amp;"
    MaxOrTarget, IF(OR(TargetLevel = """",$AD$1 &lt;&gt; ""Target""), MaxLevel, TargetLevel),
    LabLevel, VLOOKUP(Y136,MS_Labs_Array,2,False),
    DVTColumn, MATCH(Y136, DVT_Laboratory!$A$1:BO$1, 0),
    xextTime, INDIRECT(""DVT_Laboratory!"" &amp; ADDRESS(LabLe"&amp;"vel+3, DVTColumn)) / LabSpeed,
    remainingTime, SUM(INDIRECT(""DVT_Laboratory!"" &amp; ADDRESS(LabLevel+3, DVTColumn) &amp; "":"" &amp; ADDRESS(MaxOrTarget+2, DVTColumn))) / LabSpeed,
  Y136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6" s="1249"/>
      <c r="AC136" s="1249" t="str">
        <f>IFERROR(__xludf.DUMMYFUNCTION("""COMPUTED_VALUE"""),"")</f>
        <v/>
      </c>
      <c r="AD136" s="1249" t="str">
        <f>IFERROR(__xludf.DUMMYFUNCTION("""COMPUTED_VALUE"""),"")</f>
        <v/>
      </c>
      <c r="AE136" s="1249"/>
      <c r="AF136" s="1250" t="str">
        <f>IFERROR(__xludf.DUMMYFUNCTION("if(AE136 &lt;&gt; """", 
  LET( 
    TargetLevel, VLOOKUP(AE136,MS_Labs_Array,3,false),
    MaxLevel, VLOOKUP(AE136,MS_Labs_Array,4,false),
    MaxOrTarget, IF(OR(TargetLevel = """",$AD$1 &lt;&gt; ""Target""), MaxLevel, TargetLevel),
    LabLevel, VLOOKUP(AE136,MS_La"&amp;"bs_Array,2,False),
    Levelprogress, LabLevel / MaxOrTarget,
    DVTColumn, MATCH(AE136,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6" s="1251" t="str">
        <f>IFERROR(__xludf.DUMMYFUNCTION("if(AE136 &lt;&gt; """", 
  LET(
    TargetLevel, VLOOKUP(AE136,MS_Labs_Array,3,false),
    LabSpeed, (1 * REGEXEXTRACT($BH$1, ""[\d.-]+"")) * {IF(AE136 =""Labs Speed"", 1+'Master Sheet'!$BK$5, LAB_SPEED_TOTAL())},
    MaxLevel, VLOOKUP(AE136,MS_Labs_Array,4,fal"&amp;"se),
    MaxOrTarget, IF(OR(TargetLevel = """",$AD$1 &lt;&gt; ""Target""), MaxLevel, TargetLevel),
    LabLevel, VLOOKUP(AE136,MS_Labs_Array,2,False),
    DVTColumn, MATCH(AE136, DVT_Laboratory!$A$1:BO$1, 0),
    xextTime, INDIRECT(""DVT_Laboratory!"" &amp; ADDRESS"&amp;"(LabLevel+3, DVTColumn)) / LabSpeed,
    remainingTime, SUM(INDIRECT(""DVT_Laboratory!"" &amp; ADDRESS(LabLevel+3, DVTColumn) &amp; "":"" &amp; ADDRESS(MaxOrTarget+2, DVTColumn))) / LabSpeed,
  AE136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6" s="1249"/>
      <c r="AI136" s="1249" t="str">
        <f>IFERROR(__xludf.DUMMYFUNCTION("""COMPUTED_VALUE"""),"")</f>
        <v/>
      </c>
      <c r="AJ136" s="1249" t="str">
        <f>IFERROR(__xludf.DUMMYFUNCTION("""COMPUTED_VALUE"""),"")</f>
        <v/>
      </c>
      <c r="AK136" s="1249"/>
      <c r="AL136" s="1250" t="str">
        <f>IFERROR(__xludf.DUMMYFUNCTION("if(AK136 &lt;&gt; """", 
  LET( 
    TargetLevel, VLOOKUP(AK136,MS_Labs_Array,3,false),
    MaxLevel, VLOOKUP(AK136,MS_Labs_Array,4,false),
    MaxOrTarget, IF(OR(TargetLevel = """",$AD$1 &lt;&gt; ""Target""), MaxLevel, TargetLevel),
    LabLevel, VLOOKUP(AK136,MS_La"&amp;"bs_Array,2,False),
    Levelprogress, LabLevel / MaxOrTarget,
    DVTColumn, MATCH(AK136,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6" s="1251" t="str">
        <f>IFERROR(__xludf.DUMMYFUNCTION("if(AK136 &lt;&gt; """", 
  LET(
    TargetLevel, VLOOKUP(AK136,MS_Labs_Array,3,false),
    LabSpeed, (1 * REGEXEXTRACT($BH$1, ""[\d.-]+"")) * {IF(AK136 =""Labs Speed"", 1+'Master Sheet'!$BK$5, LAB_SPEED_TOTAL())},
    MaxLevel, VLOOKUP(AK136,MS_Labs_Array,4,fal"&amp;"se),
    MaxOrTarget, IF(OR(TargetLevel = """",$AD$1 &lt;&gt; ""Target""), MaxLevel, TargetLevel),
    LabLevel, VLOOKUP(AK136,MS_Labs_Array,2,False),
    DVTColumn, MATCH(AK136, DVT_Laboratory!$A$1:BO$1, 0),
    xextTime, INDIRECT(""DVT_Laboratory!"" &amp; ADDRESS"&amp;"(LabLevel+3, DVTColumn)) / LabSpeed,
    remainingTime, SUM(INDIRECT(""DVT_Laboratory!"" &amp; ADDRESS(LabLevel+3, DVTColumn) &amp; "":"" &amp; ADDRESS(MaxOrTarget+2, DVTColumn))) / LabSpeed,
  AK136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6" s="1249"/>
      <c r="AO136" s="1249" t="str">
        <f>IFERROR(__xludf.DUMMYFUNCTION("""COMPUTED_VALUE"""),"")</f>
        <v/>
      </c>
      <c r="AP136" s="1249" t="str">
        <f>IFERROR(__xludf.DUMMYFUNCTION("""COMPUTED_VALUE"""),"")</f>
        <v/>
      </c>
      <c r="AQ136" s="1249"/>
      <c r="AR136" s="1250" t="str">
        <f>IFERROR(__xludf.DUMMYFUNCTION("if(AQ136 &lt;&gt; """", 
  LET( 
    TargetLevel, VLOOKUP(AQ136,MS_Labs_Array,3,false),
    MaxLevel, VLOOKUP(AQ136,MS_Labs_Array,4,false),
    MaxOrTarget, IF(OR(TargetLevel = """",$AD$1 &lt;&gt; ""Target""), MaxLevel, TargetLevel),
    LabLevel, VLOOKUP(AQ136,MS_La"&amp;"bs_Array,2,False),
    Levelprogress, LabLevel / MaxOrTarget,
    DVTColumn, MATCH(AQ136,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6" s="1251" t="str">
        <f>IFERROR(__xludf.DUMMYFUNCTION("if(AQ136 &lt;&gt; """", 
  LET(
    TargetLevel, VLOOKUP(AQ136,MS_Labs_Array,3,false),
    LabSpeed, (1 * REGEXEXTRACT($BH$1, ""[\d.-]+"")) * {IF(AQ136 =""Labs Speed"", 1+'Master Sheet'!$BK$5, LAB_SPEED_TOTAL())},
    MaxLevel, VLOOKUP(AQ136,MS_Labs_Array,4,fal"&amp;"se),
    MaxOrTarget, IF(OR(TargetLevel = """",$AD$1 &lt;&gt; ""Target""), MaxLevel, TargetLevel),
    LabLevel, VLOOKUP(AQ136,MS_Labs_Array,2,False),
    DVTColumn, MATCH(AQ136, DVT_Laboratory!$A$1:BO$1, 0),
    xextTime, INDIRECT(""DVT_Laboratory!"" &amp; ADDRESS"&amp;"(LabLevel+3, DVTColumn)) / LabSpeed,
    remainingTime, SUM(INDIRECT(""DVT_Laboratory!"" &amp; ADDRESS(LabLevel+3, DVTColumn) &amp; "":"" &amp; ADDRESS(MaxOrTarget+2, DVTColumn))) / LabSpeed,
  AQ136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6" s="1249"/>
      <c r="AU136" s="1249" t="str">
        <f>IFERROR(__xludf.DUMMYFUNCTION("""COMPUTED_VALUE"""),"")</f>
        <v/>
      </c>
      <c r="AV136" s="1249" t="str">
        <f>IFERROR(__xludf.DUMMYFUNCTION("""COMPUTED_VALUE"""),"")</f>
        <v/>
      </c>
      <c r="AW136" s="1249"/>
      <c r="AX136" s="1250" t="str">
        <f>IFERROR(__xludf.DUMMYFUNCTION("if(AW136 &lt;&gt; """", 
  LET( 
    TargetLevel, VLOOKUP(AW136,MS_Labs_Array,3,false),
    MaxLevel, VLOOKUP(AW136,MS_Labs_Array,4,false),
    MaxOrTarget, IF(OR(TargetLevel = """",$AD$1 &lt;&gt; ""Target""), MaxLevel, TargetLevel),
    LabLevel, VLOOKUP(AW136,MS_La"&amp;"bs_Array,2,False),
    Levelprogress, LabLevel / MaxOrTarget,
    DVTColumn, MATCH(AW136,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6" s="1251" t="str">
        <f>IFERROR(__xludf.DUMMYFUNCTION("if(AW136 &lt;&gt; """", 
  LET(
    TargetLevel, VLOOKUP(AW136,MS_Labs_Array,3,false),
    LabSpeed, (1 * REGEXEXTRACT($BH$1, ""[\d.-]+"")) * {IF(AW136 =""Labs Speed"", 1+'Master Sheet'!$BK$5, LAB_SPEED_TOTAL())},
    MaxLevel, VLOOKUP(AW136,MS_Labs_Array,4,fal"&amp;"se),
    MaxOrTarget, IF(OR(TargetLevel = """",$AD$1 &lt;&gt; ""Target""), MaxLevel, TargetLevel),
    LabLevel, VLOOKUP(AW136,MS_Labs_Array,2,False),
    DVTColumn, MATCH(AW136, DVT_Laboratory!$A$1:BO$1, 0),
    xextTime, INDIRECT(""DVT_Laboratory!"" &amp; ADDRESS"&amp;"(LabLevel+3, DVTColumn)) / LabSpeed,
    remainingTime, SUM(INDIRECT(""DVT_Laboratory!"" &amp; ADDRESS(LabLevel+3, DVTColumn) &amp; "":"" &amp; ADDRESS(MaxOrTarget+2, DVTColumn))) / LabSpeed,
  AW136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6" s="1249"/>
      <c r="BA136" s="1249" t="str">
        <f>IFERROR(__xludf.DUMMYFUNCTION("""COMPUTED_VALUE"""),"")</f>
        <v/>
      </c>
      <c r="BB136" s="1249" t="str">
        <f>IFERROR(__xludf.DUMMYFUNCTION("""COMPUTED_VALUE"""),"")</f>
        <v/>
      </c>
      <c r="BC136" s="1249"/>
      <c r="BD136" s="1250" t="str">
        <f>IFERROR(__xludf.DUMMYFUNCTION("if(BC136 &lt;&gt; """", 
  LET( 
    TargetLevel, VLOOKUP(BC136,MS_Labs_Array,3,false),
    MaxLevel, VLOOKUP(BC136,MS_Labs_Array,4,false),
    MaxOrTarget, IF(OR(TargetLevel = """",$AD$1 &lt;&gt; ""Target""), MaxLevel, TargetLevel),
    LabLevel, VLOOKUP(BC136,MS_La"&amp;"bs_Array,2,False),
    Levelprogress, LabLevel / MaxOrTarget,
    DVTColumn, MATCH(BC136,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6" s="1251" t="str">
        <f>IFERROR(__xludf.DUMMYFUNCTION("if(BC136 &lt;&gt; """", 
  LET(
    TargetLevel, VLOOKUP(BC136,MS_Labs_Array,3,false),
    LabSpeed, (1 * REGEXEXTRACT($BH$1, ""[\d.-]+"")) * {IF(BC136 =""Labs Speed"", 1+'Master Sheet'!$BK$5, LAB_SPEED_TOTAL())},
    MaxLevel, VLOOKUP(BC136,MS_Labs_Array,4,fal"&amp;"se),
    MaxOrTarget, IF(OR(TargetLevel = """",$AD$1 &lt;&gt; ""Target""), MaxLevel, TargetLevel),
    LabLevel, VLOOKUP(BC136,MS_Labs_Array,2,False),
    DVTColumn, MATCH(BC136, DVT_Laboratory!$A$1:BO$1, 0),
    xextTime, INDIRECT(""DVT_Laboratory!"" &amp; ADDRESS"&amp;"(LabLevel+3, DVTColumn)) / LabSpeed,
    remainingTime, SUM(INDIRECT(""DVT_Laboratory!"" &amp; ADDRESS(LabLevel+3, DVTColumn) &amp; "":"" &amp; ADDRESS(MaxOrTarget+2, DVTColumn))) / LabSpeed,
  BC136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6" s="1249"/>
      <c r="BG136" s="1249" t="str">
        <f>IFERROR(__xludf.DUMMYFUNCTION("""COMPUTED_VALUE"""),"")</f>
        <v/>
      </c>
      <c r="BH136" s="1260" t="str">
        <f>IFERROR(__xludf.DUMMYFUNCTION("""COMPUTED_VALUE"""),"")</f>
        <v/>
      </c>
      <c r="BI136" s="1252"/>
      <c r="BJ136" s="1253" t="str">
        <f>IFERROR(__xludf.DUMMYFUNCTION("if(BI136 &lt;&gt; """", 
  LET( 
    TargetLevel, VLOOKUP(BI136,MS_Labs_Array,3,false),
    MaxLevel, VLOOKUP(BI136,MS_Labs_Array,4,false),
    MaxOrTarget, IF(OR(TargetLevel = """",$AD$1 &lt;&gt; ""Target""), MaxLevel, TargetLevel),
    LabLevel, VLOOKUP(BI136,MS_La"&amp;"bs_Array,2,False),
    Levelprogress, IF(LabLevel &gt;= MaxOrTarget, 1, LabLevel / MaxOrTarget),
    DVTColumn, MATCH(BI136,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6" s="1254" t="str">
        <f>IFERROR(__xludf.DUMMYFUNCTION("if(BI136 &lt;&gt; """", 
  LET(
    TargetLevel, VLOOKUP(BI136,MS_Labs_Array,3,false),
    LabSpeed, (1 * REGEXEXTRACT($BH$1, ""[\d.-]+"")) * {IF(BI136 =""Labs Speed"", 1+'Master Sheet'!$BK$5, LAB_SPEED_TOTAL())},
    MaxLevel, VLOOKUP(BI136,MS_Labs_Array,4,fal"&amp;"se),
    MaxOrTarget, IF(OR(TargetLevel = """",$AD$1 &lt;&gt; ""Target""), MaxLevel, TargetLevel),
    LabLevel, VLOOKUP(BI136,MS_Labs_Array,2,False),
    DVTColumn, MATCH(BI136, DVT_Laboratory!$A$1:BO$1, 0),
    xextTime, INDIRECT(""DVT_Laboratory!"" &amp; ADDRESS"&amp;"(LabLevel+3, DVTColumn)) / LabSpeed,
    remainingTime, SUM(INDIRECT(""DVT_Laboratory!"" &amp; ADDRESS(LabLevel+3, DVTColumn) &amp; "":"" &amp; ADDRESS(MaxOrTarget+2, DVTColumn))) / LabSpeed,
  BI136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6" s="1252"/>
      <c r="BM136" s="1252" t="str">
        <f>IFERROR(__xludf.DUMMYFUNCTION("""COMPUTED_VALUE"""),"")</f>
        <v/>
      </c>
      <c r="BN136" s="1222"/>
      <c r="BO136" s="1261"/>
    </row>
    <row r="137">
      <c r="A137" s="1222"/>
      <c r="B137" s="1257"/>
      <c r="C137" s="1325" t="s">
        <v>257</v>
      </c>
      <c r="D137" s="1280" t="str">
        <f>VLOOKUP(C137,'Remote Tier List'!A:D, 2, FALSE)</f>
        <v>D</v>
      </c>
      <c r="E137" s="1281" t="str">
        <f>VLOOKUP(C137,'Remote Tier List'!A:D, 3, FALSE)</f>
        <v/>
      </c>
      <c r="F137" s="1257"/>
      <c r="G137" s="1245" t="b">
        <f t="shared" si="23"/>
        <v>1</v>
      </c>
      <c r="H137" s="1246" t="str">
        <f t="array" ref="H137:I137">LET(
  Lab, $C137,
  Mode, $AD$1,
  Level, VLOOKUP(Lab, MS_Labs_Array, 2, FALSE),
  Target, VLOOKUP(Lab, MS_Labs_Array, 3, FALSE),
  Max, VLOOKUP(Lab, MS_Labs_Array, 4, FALSE),
  Result,
    IF(
      AND(
        Mode &lt;&gt; "Never",
        Level &gt;= IF(OR(Target = "", Mode = "Max"), Max, Target)
      ),
      "Completed",
      ""
    ),
  HSTACK(
    IF(Result &lt;&gt; "", Result, $D137),
    IF(Result &lt;&gt; "", Result, IF($E137 = "", $D137, $E137))
  )
)</f>
        <v>D</v>
      </c>
      <c r="I137" s="1247" t="s">
        <v>548</v>
      </c>
      <c r="J137" s="1248" t="str">
        <f t="shared" si="24"/>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7" s="1229"/>
      <c r="L137" s="1249"/>
      <c r="M137" s="1249"/>
      <c r="N137" s="1250" t="str">
        <f>IFERROR(__xludf.DUMMYFUNCTION("if(M137 &lt;&gt; """", 
  LET( 
    TargetLevel, VLOOKUP(M137,MS_Labs_Array,3,false),
    MaxLevel, VLOOKUP(M137,MS_Labs_Array,4,false),
    MaxOrTarget, IF(OR(TargetLevel = """",$AD$1 &lt;&gt; ""Target""), MaxLevel, TargetLevel),
    LabLevel, VLOOKUP(M137,MS_Labs_A"&amp;"rray,2,False),
    Levelprogress, LabLevel / MaxOrTarget,
    DVTColumn, MATCH(M137,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7" s="1251" t="str">
        <f>IFERROR(__xludf.DUMMYFUNCTION("if(M137 &lt;&gt; """", 
  LET(
    TargetLevel, VLOOKUP(M137,MS_Labs_Array,3,false),
    LabSpeed, (1 * REGEXEXTRACT($BH$1, ""[\d.-]+"")) * {IF(M137 =""Labs Speed"", 1+'Master Sheet'!$BK$5, LAB_SPEED_TOTAL())},
    MaxLevel, VLOOKUP(M137,MS_Labs_Array,4,false),"&amp;"
    MaxOrTarget, IF(OR(TargetLevel = """",$AD$1 &lt;&gt; ""Target""), MaxLevel, TargetLevel),
    LabLevel, VLOOKUP(M137,MS_Labs_Array,2,False),
    DVTColumn, MATCH(M137, DVT_Laboratory!$A$1:BO$1, 0),
    xextTime, INDIRECT(""DVT_Laboratory!"" &amp; ADDRESS(LabLe"&amp;"vel+3, DVTColumn)) / LabSpeed,
    remainingTime, SUM(INDIRECT(""DVT_Laboratory!"" &amp; ADDRESS(LabLevel+3, DVTColumn) &amp; "":"" &amp; ADDRESS(MaxOrTarget+2, DVTColumn))) / LabSpeed,
  M137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7" s="1249"/>
      <c r="Q137" s="1249"/>
      <c r="R137" s="1249"/>
      <c r="S137" s="1249"/>
      <c r="T137" s="1250" t="str">
        <f>IFERROR(__xludf.DUMMYFUNCTION("if(S137 &lt;&gt; """", 
  LET( 
    TargetLevel, VLOOKUP(S137,MS_Labs_Array,3,false),
    MaxLevel, VLOOKUP(S137,MS_Labs_Array,4,false),
    MaxOrTarget, IF(OR(TargetLevel = """",$AD$1 &lt;&gt; ""Target""), MaxLevel, TargetLevel),
    LabLevel, VLOOKUP(S137,MS_Labs_A"&amp;"rray,2,False),
    Levelprogress, LabLevel / MaxOrTarget,
    DVTColumn, MATCH(S137,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7" s="1251" t="str">
        <f>IFERROR(__xludf.DUMMYFUNCTION("if(S137 &lt;&gt; """", 
  LET(
    TargetLevel, VLOOKUP(S137,MS_Labs_Array,3,false),
    LabSpeed, (1 * REGEXEXTRACT($BH$1, ""[\d.-]+"")) * {IF(S137 =""Labs Speed"", 1+'Master Sheet'!$BK$5, LAB_SPEED_TOTAL())},
    MaxLevel, VLOOKUP(S137,MS_Labs_Array,4,false),"&amp;"
    MaxOrTarget, IF(OR(TargetLevel = """",$AD$1 &lt;&gt; ""Target""), MaxLevel, TargetLevel),
    LabLevel, VLOOKUP(S137,MS_Labs_Array,2,False),
    DVTColumn, MATCH(S137, DVT_Laboratory!$A$1:BO$1, 0),
    xextTime, INDIRECT(""DVT_Laboratory!"" &amp; ADDRESS(LabLe"&amp;"vel+3, DVTColumn)) / LabSpeed,
    remainingTime, SUM(INDIRECT(""DVT_Laboratory!"" &amp; ADDRESS(LabLevel+3, DVTColumn) &amp; "":"" &amp; ADDRESS(MaxOrTarget+2, DVTColumn))) / LabSpeed,
  S137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7" s="1249"/>
      <c r="W137" s="1249"/>
      <c r="X137" s="1249"/>
      <c r="Y137" s="1249"/>
      <c r="Z137" s="1250" t="str">
        <f>IFERROR(__xludf.DUMMYFUNCTION("if(Y137 &lt;&gt; """", 
  LET( 
    TargetLevel, VLOOKUP(Y137,MS_Labs_Array,3,false),
    MaxLevel, VLOOKUP(Y137,MS_Labs_Array,4,false),
    MaxOrTarget, IF(OR(TargetLevel = """",$AD$1 &lt;&gt; ""Target""), MaxLevel, TargetLevel),
    LabLevel, VLOOKUP(Y137,MS_Labs_A"&amp;"rray,2,False),
    Levelprogress, LabLevel / MaxOrTarget,
    DVTColumn, MATCH(Y137,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7" s="1251" t="str">
        <f>IFERROR(__xludf.DUMMYFUNCTION("if(Y137 &lt;&gt; """", 
  LET(
    TargetLevel, VLOOKUP(Y137,MS_Labs_Array,3,false),
    LabSpeed, (1 * REGEXEXTRACT($BH$1, ""[\d.-]+"")) * {IF(Y137 =""Labs Speed"", 1+'Master Sheet'!$BK$5, LAB_SPEED_TOTAL())},
    MaxLevel, VLOOKUP(Y137,MS_Labs_Array,4,false),"&amp;"
    MaxOrTarget, IF(OR(TargetLevel = """",$AD$1 &lt;&gt; ""Target""), MaxLevel, TargetLevel),
    LabLevel, VLOOKUP(Y137,MS_Labs_Array,2,False),
    DVTColumn, MATCH(Y137, DVT_Laboratory!$A$1:BO$1, 0),
    xextTime, INDIRECT(""DVT_Laboratory!"" &amp; ADDRESS(LabLe"&amp;"vel+3, DVTColumn)) / LabSpeed,
    remainingTime, SUM(INDIRECT(""DVT_Laboratory!"" &amp; ADDRESS(LabLevel+3, DVTColumn) &amp; "":"" &amp; ADDRESS(MaxOrTarget+2, DVTColumn))) / LabSpeed,
  Y137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7" s="1249"/>
      <c r="AC137" s="1249"/>
      <c r="AD137" s="1249"/>
      <c r="AE137" s="1249"/>
      <c r="AF137" s="1250" t="str">
        <f>IFERROR(__xludf.DUMMYFUNCTION("if(AE137 &lt;&gt; """", 
  LET( 
    TargetLevel, VLOOKUP(AE137,MS_Labs_Array,3,false),
    MaxLevel, VLOOKUP(AE137,MS_Labs_Array,4,false),
    MaxOrTarget, IF(OR(TargetLevel = """",$AD$1 &lt;&gt; ""Target""), MaxLevel, TargetLevel),
    LabLevel, VLOOKUP(AE137,MS_La"&amp;"bs_Array,2,False),
    Levelprogress, LabLevel / MaxOrTarget,
    DVTColumn, MATCH(AE137,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7" s="1251" t="str">
        <f>IFERROR(__xludf.DUMMYFUNCTION("if(AE137 &lt;&gt; """", 
  LET(
    TargetLevel, VLOOKUP(AE137,MS_Labs_Array,3,false),
    LabSpeed, (1 * REGEXEXTRACT($BH$1, ""[\d.-]+"")) * {IF(AE137 =""Labs Speed"", 1+'Master Sheet'!$BK$5, LAB_SPEED_TOTAL())},
    MaxLevel, VLOOKUP(AE137,MS_Labs_Array,4,fal"&amp;"se),
    MaxOrTarget, IF(OR(TargetLevel = """",$AD$1 &lt;&gt; ""Target""), MaxLevel, TargetLevel),
    LabLevel, VLOOKUP(AE137,MS_Labs_Array,2,False),
    DVTColumn, MATCH(AE137, DVT_Laboratory!$A$1:BO$1, 0),
    xextTime, INDIRECT(""DVT_Laboratory!"" &amp; ADDRESS"&amp;"(LabLevel+3, DVTColumn)) / LabSpeed,
    remainingTime, SUM(INDIRECT(""DVT_Laboratory!"" &amp; ADDRESS(LabLevel+3, DVTColumn) &amp; "":"" &amp; ADDRESS(MaxOrTarget+2, DVTColumn))) / LabSpeed,
  AE137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7" s="1249"/>
      <c r="AI137" s="1249"/>
      <c r="AJ137" s="1249"/>
      <c r="AK137" s="1249"/>
      <c r="AL137" s="1250" t="str">
        <f>IFERROR(__xludf.DUMMYFUNCTION("if(AK137 &lt;&gt; """", 
  LET( 
    TargetLevel, VLOOKUP(AK137,MS_Labs_Array,3,false),
    MaxLevel, VLOOKUP(AK137,MS_Labs_Array,4,false),
    MaxOrTarget, IF(OR(TargetLevel = """",$AD$1 &lt;&gt; ""Target""), MaxLevel, TargetLevel),
    LabLevel, VLOOKUP(AK137,MS_La"&amp;"bs_Array,2,False),
    Levelprogress, LabLevel / MaxOrTarget,
    DVTColumn, MATCH(AK137,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7" s="1251" t="str">
        <f>IFERROR(__xludf.DUMMYFUNCTION("if(AK137 &lt;&gt; """", 
  LET(
    TargetLevel, VLOOKUP(AK137,MS_Labs_Array,3,false),
    LabSpeed, (1 * REGEXEXTRACT($BH$1, ""[\d.-]+"")) * {IF(AK137 =""Labs Speed"", 1+'Master Sheet'!$BK$5, LAB_SPEED_TOTAL())},
    MaxLevel, VLOOKUP(AK137,MS_Labs_Array,4,fal"&amp;"se),
    MaxOrTarget, IF(OR(TargetLevel = """",$AD$1 &lt;&gt; ""Target""), MaxLevel, TargetLevel),
    LabLevel, VLOOKUP(AK137,MS_Labs_Array,2,False),
    DVTColumn, MATCH(AK137, DVT_Laboratory!$A$1:BO$1, 0),
    xextTime, INDIRECT(""DVT_Laboratory!"" &amp; ADDRESS"&amp;"(LabLevel+3, DVTColumn)) / LabSpeed,
    remainingTime, SUM(INDIRECT(""DVT_Laboratory!"" &amp; ADDRESS(LabLevel+3, DVTColumn) &amp; "":"" &amp; ADDRESS(MaxOrTarget+2, DVTColumn))) / LabSpeed,
  AK137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7" s="1249"/>
      <c r="AO137" s="1249"/>
      <c r="AP137" s="1249"/>
      <c r="AQ137" s="1249"/>
      <c r="AR137" s="1250" t="str">
        <f>IFERROR(__xludf.DUMMYFUNCTION("if(AQ137 &lt;&gt; """", 
  LET( 
    TargetLevel, VLOOKUP(AQ137,MS_Labs_Array,3,false),
    MaxLevel, VLOOKUP(AQ137,MS_Labs_Array,4,false),
    MaxOrTarget, IF(OR(TargetLevel = """",$AD$1 &lt;&gt; ""Target""), MaxLevel, TargetLevel),
    LabLevel, VLOOKUP(AQ137,MS_La"&amp;"bs_Array,2,False),
    Levelprogress, LabLevel / MaxOrTarget,
    DVTColumn, MATCH(AQ137,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7" s="1251" t="str">
        <f>IFERROR(__xludf.DUMMYFUNCTION("if(AQ137 &lt;&gt; """", 
  LET(
    TargetLevel, VLOOKUP(AQ137,MS_Labs_Array,3,false),
    LabSpeed, (1 * REGEXEXTRACT($BH$1, ""[\d.-]+"")) * {IF(AQ137 =""Labs Speed"", 1+'Master Sheet'!$BK$5, LAB_SPEED_TOTAL())},
    MaxLevel, VLOOKUP(AQ137,MS_Labs_Array,4,fal"&amp;"se),
    MaxOrTarget, IF(OR(TargetLevel = """",$AD$1 &lt;&gt; ""Target""), MaxLevel, TargetLevel),
    LabLevel, VLOOKUP(AQ137,MS_Labs_Array,2,False),
    DVTColumn, MATCH(AQ137, DVT_Laboratory!$A$1:BO$1, 0),
    xextTime, INDIRECT(""DVT_Laboratory!"" &amp; ADDRESS"&amp;"(LabLevel+3, DVTColumn)) / LabSpeed,
    remainingTime, SUM(INDIRECT(""DVT_Laboratory!"" &amp; ADDRESS(LabLevel+3, DVTColumn) &amp; "":"" &amp; ADDRESS(MaxOrTarget+2, DVTColumn))) / LabSpeed,
  AQ137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7" s="1249"/>
      <c r="AU137" s="1249"/>
      <c r="AV137" s="1249"/>
      <c r="AW137" s="1249"/>
      <c r="AX137" s="1250" t="str">
        <f>IFERROR(__xludf.DUMMYFUNCTION("if(AW137 &lt;&gt; """", 
  LET( 
    TargetLevel, VLOOKUP(AW137,MS_Labs_Array,3,false),
    MaxLevel, VLOOKUP(AW137,MS_Labs_Array,4,false),
    MaxOrTarget, IF(OR(TargetLevel = """",$AD$1 &lt;&gt; ""Target""), MaxLevel, TargetLevel),
    LabLevel, VLOOKUP(AW137,MS_La"&amp;"bs_Array,2,False),
    Levelprogress, LabLevel / MaxOrTarget,
    DVTColumn, MATCH(AW137,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7" s="1251" t="str">
        <f>IFERROR(__xludf.DUMMYFUNCTION("if(AW137 &lt;&gt; """", 
  LET(
    TargetLevel, VLOOKUP(AW137,MS_Labs_Array,3,false),
    LabSpeed, (1 * REGEXEXTRACT($BH$1, ""[\d.-]+"")) * {IF(AW137 =""Labs Speed"", 1+'Master Sheet'!$BK$5, LAB_SPEED_TOTAL())},
    MaxLevel, VLOOKUP(AW137,MS_Labs_Array,4,fal"&amp;"se),
    MaxOrTarget, IF(OR(TargetLevel = """",$AD$1 &lt;&gt; ""Target""), MaxLevel, TargetLevel),
    LabLevel, VLOOKUP(AW137,MS_Labs_Array,2,False),
    DVTColumn, MATCH(AW137, DVT_Laboratory!$A$1:BO$1, 0),
    xextTime, INDIRECT(""DVT_Laboratory!"" &amp; ADDRESS"&amp;"(LabLevel+3, DVTColumn)) / LabSpeed,
    remainingTime, SUM(INDIRECT(""DVT_Laboratory!"" &amp; ADDRESS(LabLevel+3, DVTColumn) &amp; "":"" &amp; ADDRESS(MaxOrTarget+2, DVTColumn))) / LabSpeed,
  AW137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7" s="1249"/>
      <c r="BA137" s="1249"/>
      <c r="BB137" s="1249"/>
      <c r="BC137" s="1249"/>
      <c r="BD137" s="1250" t="str">
        <f>IFERROR(__xludf.DUMMYFUNCTION("if(BC137 &lt;&gt; """", 
  LET( 
    TargetLevel, VLOOKUP(BC137,MS_Labs_Array,3,false),
    MaxLevel, VLOOKUP(BC137,MS_Labs_Array,4,false),
    MaxOrTarget, IF(OR(TargetLevel = """",$AD$1 &lt;&gt; ""Target""), MaxLevel, TargetLevel),
    LabLevel, VLOOKUP(BC137,MS_La"&amp;"bs_Array,2,False),
    Levelprogress, LabLevel / MaxOrTarget,
    DVTColumn, MATCH(BC137,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7" s="1251" t="str">
        <f>IFERROR(__xludf.DUMMYFUNCTION("if(BC137 &lt;&gt; """", 
  LET(
    TargetLevel, VLOOKUP(BC137,MS_Labs_Array,3,false),
    LabSpeed, (1 * REGEXEXTRACT($BH$1, ""[\d.-]+"")) * {IF(BC137 =""Labs Speed"", 1+'Master Sheet'!$BK$5, LAB_SPEED_TOTAL())},
    MaxLevel, VLOOKUP(BC137,MS_Labs_Array,4,fal"&amp;"se),
    MaxOrTarget, IF(OR(TargetLevel = """",$AD$1 &lt;&gt; ""Target""), MaxLevel, TargetLevel),
    LabLevel, VLOOKUP(BC137,MS_Labs_Array,2,False),
    DVTColumn, MATCH(BC137, DVT_Laboratory!$A$1:BO$1, 0),
    xextTime, INDIRECT(""DVT_Laboratory!"" &amp; ADDRESS"&amp;"(LabLevel+3, DVTColumn)) / LabSpeed,
    remainingTime, SUM(INDIRECT(""DVT_Laboratory!"" &amp; ADDRESS(LabLevel+3, DVTColumn) &amp; "":"" &amp; ADDRESS(MaxOrTarget+2, DVTColumn))) / LabSpeed,
  BC137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7" s="1249"/>
      <c r="BG137" s="1249"/>
      <c r="BH137" s="1260"/>
      <c r="BI137" s="1252"/>
      <c r="BJ137" s="1253" t="str">
        <f>IFERROR(__xludf.DUMMYFUNCTION("if(BI137 &lt;&gt; """", 
  LET( 
    TargetLevel, VLOOKUP(BI137,MS_Labs_Array,3,false),
    MaxLevel, VLOOKUP(BI137,MS_Labs_Array,4,false),
    MaxOrTarget, IF(OR(TargetLevel = """",$AD$1 &lt;&gt; ""Target""), MaxLevel, TargetLevel),
    LabLevel, VLOOKUP(BI137,MS_La"&amp;"bs_Array,2,False),
    Levelprogress, IF(LabLevel &gt;= MaxOrTarget, 1, LabLevel / MaxOrTarget),
    DVTColumn, MATCH(BI137,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7" s="1254" t="str">
        <f>IFERROR(__xludf.DUMMYFUNCTION("if(BI137 &lt;&gt; """", 
  LET(
    TargetLevel, VLOOKUP(BI137,MS_Labs_Array,3,false),
    LabSpeed, (1 * REGEXEXTRACT($BH$1, ""[\d.-]+"")) * {IF(BI137 =""Labs Speed"", 1+'Master Sheet'!$BK$5, LAB_SPEED_TOTAL())},
    MaxLevel, VLOOKUP(BI137,MS_Labs_Array,4,fal"&amp;"se),
    MaxOrTarget, IF(OR(TargetLevel = """",$AD$1 &lt;&gt; ""Target""), MaxLevel, TargetLevel),
    LabLevel, VLOOKUP(BI137,MS_Labs_Array,2,False),
    DVTColumn, MATCH(BI137, DVT_Laboratory!$A$1:BO$1, 0),
    xextTime, INDIRECT(""DVT_Laboratory!"" &amp; ADDRESS"&amp;"(LabLevel+3, DVTColumn)) / LabSpeed,
    remainingTime, SUM(INDIRECT(""DVT_Laboratory!"" &amp; ADDRESS(LabLevel+3, DVTColumn) &amp; "":"" &amp; ADDRESS(MaxOrTarget+2, DVTColumn))) / LabSpeed,
  BI137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7" s="1252"/>
      <c r="BM137" s="1252"/>
      <c r="BN137" s="1222"/>
      <c r="BO137" s="1261"/>
    </row>
    <row r="138" ht="7.5" customHeight="1">
      <c r="A138" s="1222"/>
      <c r="B138" s="1257"/>
      <c r="C138" s="1325" t="s">
        <v>267</v>
      </c>
      <c r="D138" s="1280" t="str">
        <f>VLOOKUP(C138,'Remote Tier List'!A:D, 2, FALSE)</f>
        <v>F</v>
      </c>
      <c r="E138" s="1281" t="str">
        <f>VLOOKUP(C138,'Remote Tier List'!A:D, 3, FALSE)</f>
        <v/>
      </c>
      <c r="F138" s="1257"/>
      <c r="G138" s="1245" t="b">
        <f t="shared" si="23"/>
        <v>1</v>
      </c>
      <c r="H138" s="1246" t="str">
        <f t="array" ref="H138:I138">LET(
  Lab, $C138,
  Mode, $AD$1,
  Level, VLOOKUP(Lab, MS_Labs_Array, 2, FALSE),
  Target, VLOOKUP(Lab, MS_Labs_Array, 3, FALSE),
  Max, VLOOKUP(Lab, MS_Labs_Array, 4, FALSE),
  Result,
    IF(
      AND(
        Mode &lt;&gt; "Never",
        Level &gt;= IF(OR(Target = "", Mode = "Max"), Max, Target)
      ),
      "Completed",
      ""
    ),
  HSTACK(
    IF(Result &lt;&gt; "", Result, $D138),
    IF(Result &lt;&gt; "", Result, IF($E138 = "", $D138, $E138))
  )
)</f>
        <v>F</v>
      </c>
      <c r="I138" s="1247" t="s">
        <v>549</v>
      </c>
      <c r="J138" s="1248" t="str">
        <f t="shared" si="24"/>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8" s="1229"/>
      <c r="L138" s="1249" t="str">
        <f>IFERROR(__xludf.DUMMYFUNCTION("""COMPUTED_VALUE"""),"")</f>
        <v/>
      </c>
      <c r="M138" s="1249"/>
      <c r="N138" s="1250" t="str">
        <f>IFERROR(__xludf.DUMMYFUNCTION("if(M138 &lt;&gt; """", 
  LET( 
    TargetLevel, VLOOKUP(M138,MS_Labs_Array,3,false),
    MaxLevel, VLOOKUP(M138,MS_Labs_Array,4,false),
    MaxOrTarget, IF(OR(TargetLevel = """",$AD$1 &lt;&gt; ""Target""), MaxLevel, TargetLevel),
    LabLevel, VLOOKUP(M138,MS_Labs_A"&amp;"rray,2,False),
    Levelprogress, LabLevel / MaxOrTarget,
    DVTColumn, MATCH(M138,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8" s="1251" t="str">
        <f>IFERROR(__xludf.DUMMYFUNCTION("if(M138 &lt;&gt; """", 
  LET(
    TargetLevel, VLOOKUP(M138,MS_Labs_Array,3,false),
    LabSpeed, (1 * REGEXEXTRACT($BH$1, ""[\d.-]+"")) * {IF(M138 =""Labs Speed"", 1+'Master Sheet'!$BK$5, LAB_SPEED_TOTAL())},
    MaxLevel, VLOOKUP(M138,MS_Labs_Array,4,false),"&amp;"
    MaxOrTarget, IF(OR(TargetLevel = """",$AD$1 &lt;&gt; ""Target""), MaxLevel, TargetLevel),
    LabLevel, VLOOKUP(M138,MS_Labs_Array,2,False),
    DVTColumn, MATCH(M138, DVT_Laboratory!$A$1:BO$1, 0),
    xextTime, INDIRECT(""DVT_Laboratory!"" &amp; ADDRESS(LabLe"&amp;"vel+3, DVTColumn)) / LabSpeed,
    remainingTime, SUM(INDIRECT(""DVT_Laboratory!"" &amp; ADDRESS(LabLevel+3, DVTColumn) &amp; "":"" &amp; ADDRESS(MaxOrTarget+2, DVTColumn))) / LabSpeed,
  M138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8" s="1249"/>
      <c r="Q138" s="1249" t="str">
        <f>IFERROR(__xludf.DUMMYFUNCTION("""COMPUTED_VALUE"""),"")</f>
        <v/>
      </c>
      <c r="R138" s="1249" t="str">
        <f>IFERROR(__xludf.DUMMYFUNCTION("""COMPUTED_VALUE"""),"")</f>
        <v/>
      </c>
      <c r="S138" s="1249"/>
      <c r="T138" s="1250" t="str">
        <f>IFERROR(__xludf.DUMMYFUNCTION("if(S138 &lt;&gt; """", 
  LET( 
    TargetLevel, VLOOKUP(S138,MS_Labs_Array,3,false),
    MaxLevel, VLOOKUP(S138,MS_Labs_Array,4,false),
    MaxOrTarget, IF(OR(TargetLevel = """",$AD$1 &lt;&gt; ""Target""), MaxLevel, TargetLevel),
    LabLevel, VLOOKUP(S138,MS_Labs_A"&amp;"rray,2,False),
    Levelprogress, LabLevel / MaxOrTarget,
    DVTColumn, MATCH(S138,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8" s="1251" t="str">
        <f>IFERROR(__xludf.DUMMYFUNCTION("if(S138 &lt;&gt; """", 
  LET(
    TargetLevel, VLOOKUP(S138,MS_Labs_Array,3,false),
    LabSpeed, (1 * REGEXEXTRACT($BH$1, ""[\d.-]+"")) * {IF(S138 =""Labs Speed"", 1+'Master Sheet'!$BK$5, LAB_SPEED_TOTAL())},
    MaxLevel, VLOOKUP(S138,MS_Labs_Array,4,false),"&amp;"
    MaxOrTarget, IF(OR(TargetLevel = """",$AD$1 &lt;&gt; ""Target""), MaxLevel, TargetLevel),
    LabLevel, VLOOKUP(S138,MS_Labs_Array,2,False),
    DVTColumn, MATCH(S138, DVT_Laboratory!$A$1:BO$1, 0),
    xextTime, INDIRECT(""DVT_Laboratory!"" &amp; ADDRESS(LabLe"&amp;"vel+3, DVTColumn)) / LabSpeed,
    remainingTime, SUM(INDIRECT(""DVT_Laboratory!"" &amp; ADDRESS(LabLevel+3, DVTColumn) &amp; "":"" &amp; ADDRESS(MaxOrTarget+2, DVTColumn))) / LabSpeed,
  S138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8" s="1249"/>
      <c r="W138" s="1249" t="str">
        <f>IFERROR(__xludf.DUMMYFUNCTION("""COMPUTED_VALUE"""),"")</f>
        <v/>
      </c>
      <c r="X138" s="1249" t="str">
        <f>IFERROR(__xludf.DUMMYFUNCTION("""COMPUTED_VALUE"""),"")</f>
        <v/>
      </c>
      <c r="Y138" s="1249"/>
      <c r="Z138" s="1250" t="str">
        <f>IFERROR(__xludf.DUMMYFUNCTION("if(Y138 &lt;&gt; """", 
  LET( 
    TargetLevel, VLOOKUP(Y138,MS_Labs_Array,3,false),
    MaxLevel, VLOOKUP(Y138,MS_Labs_Array,4,false),
    MaxOrTarget, IF(OR(TargetLevel = """",$AD$1 &lt;&gt; ""Target""), MaxLevel, TargetLevel),
    LabLevel, VLOOKUP(Y138,MS_Labs_A"&amp;"rray,2,False),
    Levelprogress, LabLevel / MaxOrTarget,
    DVTColumn, MATCH(Y138,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8" s="1251" t="str">
        <f>IFERROR(__xludf.DUMMYFUNCTION("if(Y138 &lt;&gt; """", 
  LET(
    TargetLevel, VLOOKUP(Y138,MS_Labs_Array,3,false),
    LabSpeed, (1 * REGEXEXTRACT($BH$1, ""[\d.-]+"")) * {IF(Y138 =""Labs Speed"", 1+'Master Sheet'!$BK$5, LAB_SPEED_TOTAL())},
    MaxLevel, VLOOKUP(Y138,MS_Labs_Array,4,false),"&amp;"
    MaxOrTarget, IF(OR(TargetLevel = """",$AD$1 &lt;&gt; ""Target""), MaxLevel, TargetLevel),
    LabLevel, VLOOKUP(Y138,MS_Labs_Array,2,False),
    DVTColumn, MATCH(Y138, DVT_Laboratory!$A$1:BO$1, 0),
    xextTime, INDIRECT(""DVT_Laboratory!"" &amp; ADDRESS(LabLe"&amp;"vel+3, DVTColumn)) / LabSpeed,
    remainingTime, SUM(INDIRECT(""DVT_Laboratory!"" &amp; ADDRESS(LabLevel+3, DVTColumn) &amp; "":"" &amp; ADDRESS(MaxOrTarget+2, DVTColumn))) / LabSpeed,
  Y138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8" s="1249"/>
      <c r="AC138" s="1249" t="str">
        <f>IFERROR(__xludf.DUMMYFUNCTION("""COMPUTED_VALUE"""),"")</f>
        <v/>
      </c>
      <c r="AD138" s="1249" t="str">
        <f>IFERROR(__xludf.DUMMYFUNCTION("""COMPUTED_VALUE"""),"")</f>
        <v/>
      </c>
      <c r="AE138" s="1249"/>
      <c r="AF138" s="1250" t="str">
        <f>IFERROR(__xludf.DUMMYFUNCTION("if(AE138 &lt;&gt; """", 
  LET( 
    TargetLevel, VLOOKUP(AE138,MS_Labs_Array,3,false),
    MaxLevel, VLOOKUP(AE138,MS_Labs_Array,4,false),
    MaxOrTarget, IF(OR(TargetLevel = """",$AD$1 &lt;&gt; ""Target""), MaxLevel, TargetLevel),
    LabLevel, VLOOKUP(AE138,MS_La"&amp;"bs_Array,2,False),
    Levelprogress, LabLevel / MaxOrTarget,
    DVTColumn, MATCH(AE138,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8" s="1251" t="str">
        <f>IFERROR(__xludf.DUMMYFUNCTION("if(AE138 &lt;&gt; """", 
  LET(
    TargetLevel, VLOOKUP(AE138,MS_Labs_Array,3,false),
    LabSpeed, (1 * REGEXEXTRACT($BH$1, ""[\d.-]+"")) * {IF(AE138 =""Labs Speed"", 1+'Master Sheet'!$BK$5, LAB_SPEED_TOTAL())},
    MaxLevel, VLOOKUP(AE138,MS_Labs_Array,4,fal"&amp;"se),
    MaxOrTarget, IF(OR(TargetLevel = """",$AD$1 &lt;&gt; ""Target""), MaxLevel, TargetLevel),
    LabLevel, VLOOKUP(AE138,MS_Labs_Array,2,False),
    DVTColumn, MATCH(AE138, DVT_Laboratory!$A$1:BO$1, 0),
    xextTime, INDIRECT(""DVT_Laboratory!"" &amp; ADDRESS"&amp;"(LabLevel+3, DVTColumn)) / LabSpeed,
    remainingTime, SUM(INDIRECT(""DVT_Laboratory!"" &amp; ADDRESS(LabLevel+3, DVTColumn) &amp; "":"" &amp; ADDRESS(MaxOrTarget+2, DVTColumn))) / LabSpeed,
  AE138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8" s="1249"/>
      <c r="AI138" s="1249" t="str">
        <f>IFERROR(__xludf.DUMMYFUNCTION("""COMPUTED_VALUE"""),"")</f>
        <v/>
      </c>
      <c r="AJ138" s="1249" t="str">
        <f>IFERROR(__xludf.DUMMYFUNCTION("""COMPUTED_VALUE"""),"")</f>
        <v/>
      </c>
      <c r="AK138" s="1249"/>
      <c r="AL138" s="1250" t="str">
        <f>IFERROR(__xludf.DUMMYFUNCTION("if(AK138 &lt;&gt; """", 
  LET( 
    TargetLevel, VLOOKUP(AK138,MS_Labs_Array,3,false),
    MaxLevel, VLOOKUP(AK138,MS_Labs_Array,4,false),
    MaxOrTarget, IF(OR(TargetLevel = """",$AD$1 &lt;&gt; ""Target""), MaxLevel, TargetLevel),
    LabLevel, VLOOKUP(AK138,MS_La"&amp;"bs_Array,2,False),
    Levelprogress, LabLevel / MaxOrTarget,
    DVTColumn, MATCH(AK138,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8" s="1251" t="str">
        <f>IFERROR(__xludf.DUMMYFUNCTION("if(AK138 &lt;&gt; """", 
  LET(
    TargetLevel, VLOOKUP(AK138,MS_Labs_Array,3,false),
    LabSpeed, (1 * REGEXEXTRACT($BH$1, ""[\d.-]+"")) * {IF(AK138 =""Labs Speed"", 1+'Master Sheet'!$BK$5, LAB_SPEED_TOTAL())},
    MaxLevel, VLOOKUP(AK138,MS_Labs_Array,4,fal"&amp;"se),
    MaxOrTarget, IF(OR(TargetLevel = """",$AD$1 &lt;&gt; ""Target""), MaxLevel, TargetLevel),
    LabLevel, VLOOKUP(AK138,MS_Labs_Array,2,False),
    DVTColumn, MATCH(AK138, DVT_Laboratory!$A$1:BO$1, 0),
    xextTime, INDIRECT(""DVT_Laboratory!"" &amp; ADDRESS"&amp;"(LabLevel+3, DVTColumn)) / LabSpeed,
    remainingTime, SUM(INDIRECT(""DVT_Laboratory!"" &amp; ADDRESS(LabLevel+3, DVTColumn) &amp; "":"" &amp; ADDRESS(MaxOrTarget+2, DVTColumn))) / LabSpeed,
  AK138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8" s="1249"/>
      <c r="AO138" s="1249" t="str">
        <f>IFERROR(__xludf.DUMMYFUNCTION("""COMPUTED_VALUE"""),"")</f>
        <v/>
      </c>
      <c r="AP138" s="1249" t="str">
        <f>IFERROR(__xludf.DUMMYFUNCTION("""COMPUTED_VALUE"""),"")</f>
        <v/>
      </c>
      <c r="AQ138" s="1249"/>
      <c r="AR138" s="1250" t="str">
        <f>IFERROR(__xludf.DUMMYFUNCTION("if(AQ138 &lt;&gt; """", 
  LET( 
    TargetLevel, VLOOKUP(AQ138,MS_Labs_Array,3,false),
    MaxLevel, VLOOKUP(AQ138,MS_Labs_Array,4,false),
    MaxOrTarget, IF(OR(TargetLevel = """",$AD$1 &lt;&gt; ""Target""), MaxLevel, TargetLevel),
    LabLevel, VLOOKUP(AQ138,MS_La"&amp;"bs_Array,2,False),
    Levelprogress, LabLevel / MaxOrTarget,
    DVTColumn, MATCH(AQ138,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8" s="1251" t="str">
        <f>IFERROR(__xludf.DUMMYFUNCTION("if(AQ138 &lt;&gt; """", 
  LET(
    TargetLevel, VLOOKUP(AQ138,MS_Labs_Array,3,false),
    LabSpeed, (1 * REGEXEXTRACT($BH$1, ""[\d.-]+"")) * {IF(AQ138 =""Labs Speed"", 1+'Master Sheet'!$BK$5, LAB_SPEED_TOTAL())},
    MaxLevel, VLOOKUP(AQ138,MS_Labs_Array,4,fal"&amp;"se),
    MaxOrTarget, IF(OR(TargetLevel = """",$AD$1 &lt;&gt; ""Target""), MaxLevel, TargetLevel),
    LabLevel, VLOOKUP(AQ138,MS_Labs_Array,2,False),
    DVTColumn, MATCH(AQ138, DVT_Laboratory!$A$1:BO$1, 0),
    xextTime, INDIRECT(""DVT_Laboratory!"" &amp; ADDRESS"&amp;"(LabLevel+3, DVTColumn)) / LabSpeed,
    remainingTime, SUM(INDIRECT(""DVT_Laboratory!"" &amp; ADDRESS(LabLevel+3, DVTColumn) &amp; "":"" &amp; ADDRESS(MaxOrTarget+2, DVTColumn))) / LabSpeed,
  AQ138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8" s="1249"/>
      <c r="AU138" s="1249" t="str">
        <f>IFERROR(__xludf.DUMMYFUNCTION("""COMPUTED_VALUE"""),"")</f>
        <v/>
      </c>
      <c r="AV138" s="1249" t="str">
        <f>IFERROR(__xludf.DUMMYFUNCTION("""COMPUTED_VALUE"""),"")</f>
        <v/>
      </c>
      <c r="AW138" s="1249"/>
      <c r="AX138" s="1250" t="str">
        <f>IFERROR(__xludf.DUMMYFUNCTION("if(AW138 &lt;&gt; """", 
  LET( 
    TargetLevel, VLOOKUP(AW138,MS_Labs_Array,3,false),
    MaxLevel, VLOOKUP(AW138,MS_Labs_Array,4,false),
    MaxOrTarget, IF(OR(TargetLevel = """",$AD$1 &lt;&gt; ""Target""), MaxLevel, TargetLevel),
    LabLevel, VLOOKUP(AW138,MS_La"&amp;"bs_Array,2,False),
    Levelprogress, LabLevel / MaxOrTarget,
    DVTColumn, MATCH(AW138,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8" s="1251" t="str">
        <f>IFERROR(__xludf.DUMMYFUNCTION("if(AW138 &lt;&gt; """", 
  LET(
    TargetLevel, VLOOKUP(AW138,MS_Labs_Array,3,false),
    LabSpeed, (1 * REGEXEXTRACT($BH$1, ""[\d.-]+"")) * {IF(AW138 =""Labs Speed"", 1+'Master Sheet'!$BK$5, LAB_SPEED_TOTAL())},
    MaxLevel, VLOOKUP(AW138,MS_Labs_Array,4,fal"&amp;"se),
    MaxOrTarget, IF(OR(TargetLevel = """",$AD$1 &lt;&gt; ""Target""), MaxLevel, TargetLevel),
    LabLevel, VLOOKUP(AW138,MS_Labs_Array,2,False),
    DVTColumn, MATCH(AW138, DVT_Laboratory!$A$1:BO$1, 0),
    xextTime, INDIRECT(""DVT_Laboratory!"" &amp; ADDRESS"&amp;"(LabLevel+3, DVTColumn)) / LabSpeed,
    remainingTime, SUM(INDIRECT(""DVT_Laboratory!"" &amp; ADDRESS(LabLevel+3, DVTColumn) &amp; "":"" &amp; ADDRESS(MaxOrTarget+2, DVTColumn))) / LabSpeed,
  AW138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8" s="1249"/>
      <c r="BA138" s="1249" t="str">
        <f>IFERROR(__xludf.DUMMYFUNCTION("""COMPUTED_VALUE"""),"")</f>
        <v/>
      </c>
      <c r="BB138" s="1249" t="str">
        <f>IFERROR(__xludf.DUMMYFUNCTION("""COMPUTED_VALUE"""),"")</f>
        <v/>
      </c>
      <c r="BC138" s="1249"/>
      <c r="BD138" s="1250" t="str">
        <f>IFERROR(__xludf.DUMMYFUNCTION("if(BC138 &lt;&gt; """", 
  LET( 
    TargetLevel, VLOOKUP(BC138,MS_Labs_Array,3,false),
    MaxLevel, VLOOKUP(BC138,MS_Labs_Array,4,false),
    MaxOrTarget, IF(OR(TargetLevel = """",$AD$1 &lt;&gt; ""Target""), MaxLevel, TargetLevel),
    LabLevel, VLOOKUP(BC138,MS_La"&amp;"bs_Array,2,False),
    Levelprogress, LabLevel / MaxOrTarget,
    DVTColumn, MATCH(BC138,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8" s="1251" t="str">
        <f>IFERROR(__xludf.DUMMYFUNCTION("if(BC138 &lt;&gt; """", 
  LET(
    TargetLevel, VLOOKUP(BC138,MS_Labs_Array,3,false),
    LabSpeed, (1 * REGEXEXTRACT($BH$1, ""[\d.-]+"")) * {IF(BC138 =""Labs Speed"", 1+'Master Sheet'!$BK$5, LAB_SPEED_TOTAL())},
    MaxLevel, VLOOKUP(BC138,MS_Labs_Array,4,fal"&amp;"se),
    MaxOrTarget, IF(OR(TargetLevel = """",$AD$1 &lt;&gt; ""Target""), MaxLevel, TargetLevel),
    LabLevel, VLOOKUP(BC138,MS_Labs_Array,2,False),
    DVTColumn, MATCH(BC138, DVT_Laboratory!$A$1:BO$1, 0),
    xextTime, INDIRECT(""DVT_Laboratory!"" &amp; ADDRESS"&amp;"(LabLevel+3, DVTColumn)) / LabSpeed,
    remainingTime, SUM(INDIRECT(""DVT_Laboratory!"" &amp; ADDRESS(LabLevel+3, DVTColumn) &amp; "":"" &amp; ADDRESS(MaxOrTarget+2, DVTColumn))) / LabSpeed,
  BC138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8" s="1249"/>
      <c r="BG138" s="1249" t="str">
        <f>IFERROR(__xludf.DUMMYFUNCTION("""COMPUTED_VALUE"""),"")</f>
        <v/>
      </c>
      <c r="BH138" s="1260" t="str">
        <f>IFERROR(__xludf.DUMMYFUNCTION("""COMPUTED_VALUE"""),"")</f>
        <v/>
      </c>
      <c r="BI138" s="1252"/>
      <c r="BJ138" s="1253" t="str">
        <f>IFERROR(__xludf.DUMMYFUNCTION("if(BI138 &lt;&gt; """", 
  LET( 
    TargetLevel, VLOOKUP(BI138,MS_Labs_Array,3,false),
    MaxLevel, VLOOKUP(BI138,MS_Labs_Array,4,false),
    MaxOrTarget, IF(OR(TargetLevel = """",$AD$1 &lt;&gt; ""Target""), MaxLevel, TargetLevel),
    LabLevel, VLOOKUP(BI138,MS_La"&amp;"bs_Array,2,False),
    Levelprogress, IF(LabLevel &gt;= MaxOrTarget, 1, LabLevel / MaxOrTarget),
    DVTColumn, MATCH(BI138,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8" s="1254" t="str">
        <f>IFERROR(__xludf.DUMMYFUNCTION("if(BI138 &lt;&gt; """", 
  LET(
    TargetLevel, VLOOKUP(BI138,MS_Labs_Array,3,false),
    LabSpeed, (1 * REGEXEXTRACT($BH$1, ""[\d.-]+"")) * {IF(BI138 =""Labs Speed"", 1+'Master Sheet'!$BK$5, LAB_SPEED_TOTAL())},
    MaxLevel, VLOOKUP(BI138,MS_Labs_Array,4,fal"&amp;"se),
    MaxOrTarget, IF(OR(TargetLevel = """",$AD$1 &lt;&gt; ""Target""), MaxLevel, TargetLevel),
    LabLevel, VLOOKUP(BI138,MS_Labs_Array,2,False),
    DVTColumn, MATCH(BI138, DVT_Laboratory!$A$1:BO$1, 0),
    xextTime, INDIRECT(""DVT_Laboratory!"" &amp; ADDRESS"&amp;"(LabLevel+3, DVTColumn)) / LabSpeed,
    remainingTime, SUM(INDIRECT(""DVT_Laboratory!"" &amp; ADDRESS(LabLevel+3, DVTColumn) &amp; "":"" &amp; ADDRESS(MaxOrTarget+2, DVTColumn))) / LabSpeed,
  BI138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8" s="1252"/>
      <c r="BM138" s="1252" t="str">
        <f>IFERROR(__xludf.DUMMYFUNCTION("""COMPUTED_VALUE"""),"")</f>
        <v/>
      </c>
      <c r="BN138" s="1222"/>
      <c r="BO138" s="1261"/>
    </row>
    <row r="139">
      <c r="A139" s="1222"/>
      <c r="B139" s="1257"/>
      <c r="C139" s="1325" t="s">
        <v>275</v>
      </c>
      <c r="D139" s="1280" t="str">
        <f>VLOOKUP(C139,'Remote Tier List'!A:D, 2, FALSE)</f>
        <v>C</v>
      </c>
      <c r="E139" s="1281" t="str">
        <f>VLOOKUP(C139,'Remote Tier List'!A:D, 3, FALSE)</f>
        <v/>
      </c>
      <c r="F139" s="1257"/>
      <c r="G139" s="1245" t="b">
        <f t="shared" si="23"/>
        <v>1</v>
      </c>
      <c r="H139" s="1246" t="str">
        <f t="array" ref="H139:I139">LET(
  Lab, $C139,
  Mode, $AD$1,
  Level, VLOOKUP(Lab, MS_Labs_Array, 2, FALSE),
  Target, VLOOKUP(Lab, MS_Labs_Array, 3, FALSE),
  Max, VLOOKUP(Lab, MS_Labs_Array, 4, FALSE),
  Result,
    IF(
      AND(
        Mode &lt;&gt; "Never",
        Level &gt;= IF(OR(Target = "", Mode = "Max"), Max, Target)
      ),
      "Completed",
      ""
    ),
  HSTACK(
    IF(Result &lt;&gt; "", Result, $D139),
    IF(Result &lt;&gt; "", Result, IF($E139 = "", $D139, $E139))
  )
)</f>
        <v>C</v>
      </c>
      <c r="I139" s="1247" t="s">
        <v>547</v>
      </c>
      <c r="J139" s="1248" t="str">
        <f t="shared" si="24"/>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9" s="1229"/>
      <c r="L139" s="1249"/>
      <c r="M139" s="1249"/>
      <c r="N139" s="1250" t="str">
        <f>IFERROR(__xludf.DUMMYFUNCTION("if(M139 &lt;&gt; """", 
  LET( 
    TargetLevel, VLOOKUP(M139,MS_Labs_Array,3,false),
    MaxLevel, VLOOKUP(M139,MS_Labs_Array,4,false),
    MaxOrTarget, IF(OR(TargetLevel = """",$AD$1 &lt;&gt; ""Target""), MaxLevel, TargetLevel),
    LabLevel, VLOOKUP(M139,MS_Labs_A"&amp;"rray,2,False),
    Levelprogress, LabLevel / MaxOrTarget,
    DVTColumn, MATCH(M139,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9" s="1251" t="str">
        <f>IFERROR(__xludf.DUMMYFUNCTION("if(M139 &lt;&gt; """", 
  LET(
    TargetLevel, VLOOKUP(M139,MS_Labs_Array,3,false),
    LabSpeed, (1 * REGEXEXTRACT($BH$1, ""[\d.-]+"")) * {IF(M139 =""Labs Speed"", 1+'Master Sheet'!$BK$5, LAB_SPEED_TOTAL())},
    MaxLevel, VLOOKUP(M139,MS_Labs_Array,4,false),"&amp;"
    MaxOrTarget, IF(OR(TargetLevel = """",$AD$1 &lt;&gt; ""Target""), MaxLevel, TargetLevel),
    LabLevel, VLOOKUP(M139,MS_Labs_Array,2,False),
    DVTColumn, MATCH(M139, DVT_Laboratory!$A$1:BO$1, 0),
    xextTime, INDIRECT(""DVT_Laboratory!"" &amp; ADDRESS(LabLe"&amp;"vel+3, DVTColumn)) / LabSpeed,
    remainingTime, SUM(INDIRECT(""DVT_Laboratory!"" &amp; ADDRESS(LabLevel+3, DVTColumn) &amp; "":"" &amp; ADDRESS(MaxOrTarget+2, DVTColumn))) / LabSpeed,
  M139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9" s="1249"/>
      <c r="Q139" s="1249"/>
      <c r="R139" s="1249"/>
      <c r="S139" s="1249"/>
      <c r="T139" s="1250" t="str">
        <f>IFERROR(__xludf.DUMMYFUNCTION("if(S139 &lt;&gt; """", 
  LET( 
    TargetLevel, VLOOKUP(S139,MS_Labs_Array,3,false),
    MaxLevel, VLOOKUP(S139,MS_Labs_Array,4,false),
    MaxOrTarget, IF(OR(TargetLevel = """",$AD$1 &lt;&gt; ""Target""), MaxLevel, TargetLevel),
    LabLevel, VLOOKUP(S139,MS_Labs_A"&amp;"rray,2,False),
    Levelprogress, LabLevel / MaxOrTarget,
    DVTColumn, MATCH(S139,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9" s="1251" t="str">
        <f>IFERROR(__xludf.DUMMYFUNCTION("if(S139 &lt;&gt; """", 
  LET(
    TargetLevel, VLOOKUP(S139,MS_Labs_Array,3,false),
    LabSpeed, (1 * REGEXEXTRACT($BH$1, ""[\d.-]+"")) * {IF(S139 =""Labs Speed"", 1+'Master Sheet'!$BK$5, LAB_SPEED_TOTAL())},
    MaxLevel, VLOOKUP(S139,MS_Labs_Array,4,false),"&amp;"
    MaxOrTarget, IF(OR(TargetLevel = """",$AD$1 &lt;&gt; ""Target""), MaxLevel, TargetLevel),
    LabLevel, VLOOKUP(S139,MS_Labs_Array,2,False),
    DVTColumn, MATCH(S139, DVT_Laboratory!$A$1:BO$1, 0),
    xextTime, INDIRECT(""DVT_Laboratory!"" &amp; ADDRESS(LabLe"&amp;"vel+3, DVTColumn)) / LabSpeed,
    remainingTime, SUM(INDIRECT(""DVT_Laboratory!"" &amp; ADDRESS(LabLevel+3, DVTColumn) &amp; "":"" &amp; ADDRESS(MaxOrTarget+2, DVTColumn))) / LabSpeed,
  S139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9" s="1249"/>
      <c r="W139" s="1249"/>
      <c r="X139" s="1249"/>
      <c r="Y139" s="1249"/>
      <c r="Z139" s="1250" t="str">
        <f>IFERROR(__xludf.DUMMYFUNCTION("if(Y139 &lt;&gt; """", 
  LET( 
    TargetLevel, VLOOKUP(Y139,MS_Labs_Array,3,false),
    MaxLevel, VLOOKUP(Y139,MS_Labs_Array,4,false),
    MaxOrTarget, IF(OR(TargetLevel = """",$AD$1 &lt;&gt; ""Target""), MaxLevel, TargetLevel),
    LabLevel, VLOOKUP(Y139,MS_Labs_A"&amp;"rray,2,False),
    Levelprogress, LabLevel / MaxOrTarget,
    DVTColumn, MATCH(Y139,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9" s="1251" t="str">
        <f>IFERROR(__xludf.DUMMYFUNCTION("if(Y139 &lt;&gt; """", 
  LET(
    TargetLevel, VLOOKUP(Y139,MS_Labs_Array,3,false),
    LabSpeed, (1 * REGEXEXTRACT($BH$1, ""[\d.-]+"")) * {IF(Y139 =""Labs Speed"", 1+'Master Sheet'!$BK$5, LAB_SPEED_TOTAL())},
    MaxLevel, VLOOKUP(Y139,MS_Labs_Array,4,false),"&amp;"
    MaxOrTarget, IF(OR(TargetLevel = """",$AD$1 &lt;&gt; ""Target""), MaxLevel, TargetLevel),
    LabLevel, VLOOKUP(Y139,MS_Labs_Array,2,False),
    DVTColumn, MATCH(Y139, DVT_Laboratory!$A$1:BO$1, 0),
    xextTime, INDIRECT(""DVT_Laboratory!"" &amp; ADDRESS(LabLe"&amp;"vel+3, DVTColumn)) / LabSpeed,
    remainingTime, SUM(INDIRECT(""DVT_Laboratory!"" &amp; ADDRESS(LabLevel+3, DVTColumn) &amp; "":"" &amp; ADDRESS(MaxOrTarget+2, DVTColumn))) / LabSpeed,
  Y139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9" s="1249"/>
      <c r="AC139" s="1249"/>
      <c r="AD139" s="1249"/>
      <c r="AE139" s="1249"/>
      <c r="AF139" s="1250" t="str">
        <f>IFERROR(__xludf.DUMMYFUNCTION("if(AE139 &lt;&gt; """", 
  LET( 
    TargetLevel, VLOOKUP(AE139,MS_Labs_Array,3,false),
    MaxLevel, VLOOKUP(AE139,MS_Labs_Array,4,false),
    MaxOrTarget, IF(OR(TargetLevel = """",$AD$1 &lt;&gt; ""Target""), MaxLevel, TargetLevel),
    LabLevel, VLOOKUP(AE139,MS_La"&amp;"bs_Array,2,False),
    Levelprogress, LabLevel / MaxOrTarget,
    DVTColumn, MATCH(AE139,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9" s="1251" t="str">
        <f>IFERROR(__xludf.DUMMYFUNCTION("if(AE139 &lt;&gt; """", 
  LET(
    TargetLevel, VLOOKUP(AE139,MS_Labs_Array,3,false),
    LabSpeed, (1 * REGEXEXTRACT($BH$1, ""[\d.-]+"")) * {IF(AE139 =""Labs Speed"", 1+'Master Sheet'!$BK$5, LAB_SPEED_TOTAL())},
    MaxLevel, VLOOKUP(AE139,MS_Labs_Array,4,fal"&amp;"se),
    MaxOrTarget, IF(OR(TargetLevel = """",$AD$1 &lt;&gt; ""Target""), MaxLevel, TargetLevel),
    LabLevel, VLOOKUP(AE139,MS_Labs_Array,2,False),
    DVTColumn, MATCH(AE139, DVT_Laboratory!$A$1:BO$1, 0),
    xextTime, INDIRECT(""DVT_Laboratory!"" &amp; ADDRESS"&amp;"(LabLevel+3, DVTColumn)) / LabSpeed,
    remainingTime, SUM(INDIRECT(""DVT_Laboratory!"" &amp; ADDRESS(LabLevel+3, DVTColumn) &amp; "":"" &amp; ADDRESS(MaxOrTarget+2, DVTColumn))) / LabSpeed,
  AE139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9" s="1249"/>
      <c r="AI139" s="1249"/>
      <c r="AJ139" s="1249"/>
      <c r="AK139" s="1249"/>
      <c r="AL139" s="1250" t="str">
        <f>IFERROR(__xludf.DUMMYFUNCTION("if(AK139 &lt;&gt; """", 
  LET( 
    TargetLevel, VLOOKUP(AK139,MS_Labs_Array,3,false),
    MaxLevel, VLOOKUP(AK139,MS_Labs_Array,4,false),
    MaxOrTarget, IF(OR(TargetLevel = """",$AD$1 &lt;&gt; ""Target""), MaxLevel, TargetLevel),
    LabLevel, VLOOKUP(AK139,MS_La"&amp;"bs_Array,2,False),
    Levelprogress, LabLevel / MaxOrTarget,
    DVTColumn, MATCH(AK139,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9" s="1251" t="str">
        <f>IFERROR(__xludf.DUMMYFUNCTION("if(AK139 &lt;&gt; """", 
  LET(
    TargetLevel, VLOOKUP(AK139,MS_Labs_Array,3,false),
    LabSpeed, (1 * REGEXEXTRACT($BH$1, ""[\d.-]+"")) * {IF(AK139 =""Labs Speed"", 1+'Master Sheet'!$BK$5, LAB_SPEED_TOTAL())},
    MaxLevel, VLOOKUP(AK139,MS_Labs_Array,4,fal"&amp;"se),
    MaxOrTarget, IF(OR(TargetLevel = """",$AD$1 &lt;&gt; ""Target""), MaxLevel, TargetLevel),
    LabLevel, VLOOKUP(AK139,MS_Labs_Array,2,False),
    DVTColumn, MATCH(AK139, DVT_Laboratory!$A$1:BO$1, 0),
    xextTime, INDIRECT(""DVT_Laboratory!"" &amp; ADDRESS"&amp;"(LabLevel+3, DVTColumn)) / LabSpeed,
    remainingTime, SUM(INDIRECT(""DVT_Laboratory!"" &amp; ADDRESS(LabLevel+3, DVTColumn) &amp; "":"" &amp; ADDRESS(MaxOrTarget+2, DVTColumn))) / LabSpeed,
  AK139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9" s="1249"/>
      <c r="AO139" s="1249"/>
      <c r="AP139" s="1249"/>
      <c r="AQ139" s="1249"/>
      <c r="AR139" s="1250" t="str">
        <f>IFERROR(__xludf.DUMMYFUNCTION("if(AQ139 &lt;&gt; """", 
  LET( 
    TargetLevel, VLOOKUP(AQ139,MS_Labs_Array,3,false),
    MaxLevel, VLOOKUP(AQ139,MS_Labs_Array,4,false),
    MaxOrTarget, IF(OR(TargetLevel = """",$AD$1 &lt;&gt; ""Target""), MaxLevel, TargetLevel),
    LabLevel, VLOOKUP(AQ139,MS_La"&amp;"bs_Array,2,False),
    Levelprogress, LabLevel / MaxOrTarget,
    DVTColumn, MATCH(AQ139,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9" s="1251" t="str">
        <f>IFERROR(__xludf.DUMMYFUNCTION("if(AQ139 &lt;&gt; """", 
  LET(
    TargetLevel, VLOOKUP(AQ139,MS_Labs_Array,3,false),
    LabSpeed, (1 * REGEXEXTRACT($BH$1, ""[\d.-]+"")) * {IF(AQ139 =""Labs Speed"", 1+'Master Sheet'!$BK$5, LAB_SPEED_TOTAL())},
    MaxLevel, VLOOKUP(AQ139,MS_Labs_Array,4,fal"&amp;"se),
    MaxOrTarget, IF(OR(TargetLevel = """",$AD$1 &lt;&gt; ""Target""), MaxLevel, TargetLevel),
    LabLevel, VLOOKUP(AQ139,MS_Labs_Array,2,False),
    DVTColumn, MATCH(AQ139, DVT_Laboratory!$A$1:BO$1, 0),
    xextTime, INDIRECT(""DVT_Laboratory!"" &amp; ADDRESS"&amp;"(LabLevel+3, DVTColumn)) / LabSpeed,
    remainingTime, SUM(INDIRECT(""DVT_Laboratory!"" &amp; ADDRESS(LabLevel+3, DVTColumn) &amp; "":"" &amp; ADDRESS(MaxOrTarget+2, DVTColumn))) / LabSpeed,
  AQ139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9" s="1249"/>
      <c r="AU139" s="1249"/>
      <c r="AV139" s="1249"/>
      <c r="AW139" s="1249"/>
      <c r="AX139" s="1250" t="str">
        <f>IFERROR(__xludf.DUMMYFUNCTION("if(AW139 &lt;&gt; """", 
  LET( 
    TargetLevel, VLOOKUP(AW139,MS_Labs_Array,3,false),
    MaxLevel, VLOOKUP(AW139,MS_Labs_Array,4,false),
    MaxOrTarget, IF(OR(TargetLevel = """",$AD$1 &lt;&gt; ""Target""), MaxLevel, TargetLevel),
    LabLevel, VLOOKUP(AW139,MS_La"&amp;"bs_Array,2,False),
    Levelprogress, LabLevel / MaxOrTarget,
    DVTColumn, MATCH(AW139,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9" s="1251" t="str">
        <f>IFERROR(__xludf.DUMMYFUNCTION("if(AW139 &lt;&gt; """", 
  LET(
    TargetLevel, VLOOKUP(AW139,MS_Labs_Array,3,false),
    LabSpeed, (1 * REGEXEXTRACT($BH$1, ""[\d.-]+"")) * {IF(AW139 =""Labs Speed"", 1+'Master Sheet'!$BK$5, LAB_SPEED_TOTAL())},
    MaxLevel, VLOOKUP(AW139,MS_Labs_Array,4,fal"&amp;"se),
    MaxOrTarget, IF(OR(TargetLevel = """",$AD$1 &lt;&gt; ""Target""), MaxLevel, TargetLevel),
    LabLevel, VLOOKUP(AW139,MS_Labs_Array,2,False),
    DVTColumn, MATCH(AW139, DVT_Laboratory!$A$1:BO$1, 0),
    xextTime, INDIRECT(""DVT_Laboratory!"" &amp; ADDRESS"&amp;"(LabLevel+3, DVTColumn)) / LabSpeed,
    remainingTime, SUM(INDIRECT(""DVT_Laboratory!"" &amp; ADDRESS(LabLevel+3, DVTColumn) &amp; "":"" &amp; ADDRESS(MaxOrTarget+2, DVTColumn))) / LabSpeed,
  AW139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9" s="1249"/>
      <c r="BA139" s="1249"/>
      <c r="BB139" s="1249"/>
      <c r="BC139" s="1249"/>
      <c r="BD139" s="1250" t="str">
        <f>IFERROR(__xludf.DUMMYFUNCTION("if(BC139 &lt;&gt; """", 
  LET( 
    TargetLevel, VLOOKUP(BC139,MS_Labs_Array,3,false),
    MaxLevel, VLOOKUP(BC139,MS_Labs_Array,4,false),
    MaxOrTarget, IF(OR(TargetLevel = """",$AD$1 &lt;&gt; ""Target""), MaxLevel, TargetLevel),
    LabLevel, VLOOKUP(BC139,MS_La"&amp;"bs_Array,2,False),
    Levelprogress, LabLevel / MaxOrTarget,
    DVTColumn, MATCH(BC139,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9" s="1251" t="str">
        <f>IFERROR(__xludf.DUMMYFUNCTION("if(BC139 &lt;&gt; """", 
  LET(
    TargetLevel, VLOOKUP(BC139,MS_Labs_Array,3,false),
    LabSpeed, (1 * REGEXEXTRACT($BH$1, ""[\d.-]+"")) * {IF(BC139 =""Labs Speed"", 1+'Master Sheet'!$BK$5, LAB_SPEED_TOTAL())},
    MaxLevel, VLOOKUP(BC139,MS_Labs_Array,4,fal"&amp;"se),
    MaxOrTarget, IF(OR(TargetLevel = """",$AD$1 &lt;&gt; ""Target""), MaxLevel, TargetLevel),
    LabLevel, VLOOKUP(BC139,MS_Labs_Array,2,False),
    DVTColumn, MATCH(BC139, DVT_Laboratory!$A$1:BO$1, 0),
    xextTime, INDIRECT(""DVT_Laboratory!"" &amp; ADDRESS"&amp;"(LabLevel+3, DVTColumn)) / LabSpeed,
    remainingTime, SUM(INDIRECT(""DVT_Laboratory!"" &amp; ADDRESS(LabLevel+3, DVTColumn) &amp; "":"" &amp; ADDRESS(MaxOrTarget+2, DVTColumn))) / LabSpeed,
  BC139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9" s="1249"/>
      <c r="BG139" s="1249"/>
      <c r="BH139" s="1260"/>
      <c r="BI139" s="1252"/>
      <c r="BJ139" s="1253" t="str">
        <f>IFERROR(__xludf.DUMMYFUNCTION("if(BI139 &lt;&gt; """", 
  LET( 
    TargetLevel, VLOOKUP(BI139,MS_Labs_Array,3,false),
    MaxLevel, VLOOKUP(BI139,MS_Labs_Array,4,false),
    MaxOrTarget, IF(OR(TargetLevel = """",$AD$1 &lt;&gt; ""Target""), MaxLevel, TargetLevel),
    LabLevel, VLOOKUP(BI139,MS_La"&amp;"bs_Array,2,False),
    Levelprogress, IF(LabLevel &gt;= MaxOrTarget, 1, LabLevel / MaxOrTarget),
    DVTColumn, MATCH(BI139,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9" s="1254" t="str">
        <f>IFERROR(__xludf.DUMMYFUNCTION("if(BI139 &lt;&gt; """", 
  LET(
    TargetLevel, VLOOKUP(BI139,MS_Labs_Array,3,false),
    LabSpeed, (1 * REGEXEXTRACT($BH$1, ""[\d.-]+"")) * {IF(BI139 =""Labs Speed"", 1+'Master Sheet'!$BK$5, LAB_SPEED_TOTAL())},
    MaxLevel, VLOOKUP(BI139,MS_Labs_Array,4,fal"&amp;"se),
    MaxOrTarget, IF(OR(TargetLevel = """",$AD$1 &lt;&gt; ""Target""), MaxLevel, TargetLevel),
    LabLevel, VLOOKUP(BI139,MS_Labs_Array,2,False),
    DVTColumn, MATCH(BI139, DVT_Laboratory!$A$1:BO$1, 0),
    xextTime, INDIRECT(""DVT_Laboratory!"" &amp; ADDRESS"&amp;"(LabLevel+3, DVTColumn)) / LabSpeed,
    remainingTime, SUM(INDIRECT(""DVT_Laboratory!"" &amp; ADDRESS(LabLevel+3, DVTColumn) &amp; "":"" &amp; ADDRESS(MaxOrTarget+2, DVTColumn))) / LabSpeed,
  BI139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9" s="1252"/>
      <c r="BM139" s="1252"/>
      <c r="BN139" s="1222"/>
      <c r="BO139" s="1261"/>
    </row>
    <row r="140" ht="7.5" customHeight="1">
      <c r="A140" s="1222"/>
      <c r="B140" s="1257"/>
      <c r="C140" s="1325" t="s">
        <v>283</v>
      </c>
      <c r="D140" s="1280" t="str">
        <f>VLOOKUP(C140,'Remote Tier List'!A:D, 2, FALSE)</f>
        <v>F</v>
      </c>
      <c r="E140" s="1281" t="str">
        <f>VLOOKUP(C140,'Remote Tier List'!A:D, 3, FALSE)</f>
        <v/>
      </c>
      <c r="F140" s="1257"/>
      <c r="G140" s="1245" t="b">
        <f t="shared" si="23"/>
        <v>1</v>
      </c>
      <c r="H140" s="1246" t="str">
        <f t="array" ref="H140:I140">LET(
  Lab, $C140,
  Mode, $AD$1,
  Level, VLOOKUP(Lab, MS_Labs_Array, 2, FALSE),
  Target, VLOOKUP(Lab, MS_Labs_Array, 3, FALSE),
  Max, VLOOKUP(Lab, MS_Labs_Array, 4, FALSE),
  Result,
    IF(
      AND(
        Mode &lt;&gt; "Never",
        Level &gt;= IF(OR(Target = "", Mode = "Max"), Max, Target)
      ),
      "Completed",
      ""
    ),
  HSTACK(
    IF(Result &lt;&gt; "", Result, $D140),
    IF(Result &lt;&gt; "", Result, IF($E140 = "", $D140, $E140))
  )
)</f>
        <v>F</v>
      </c>
      <c r="I140" s="1247" t="s">
        <v>549</v>
      </c>
      <c r="J140" s="1248" t="str">
        <f t="shared" si="24"/>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40" s="1229"/>
      <c r="L140" s="1249" t="str">
        <f>IFERROR(__xludf.DUMMYFUNCTION("""COMPUTED_VALUE"""),"")</f>
        <v/>
      </c>
      <c r="M140" s="1249"/>
      <c r="N140" s="1250" t="str">
        <f>IFERROR(__xludf.DUMMYFUNCTION("if(M140 &lt;&gt; """", 
  LET( 
    TargetLevel, VLOOKUP(M140,MS_Labs_Array,3,false),
    MaxLevel, VLOOKUP(M140,MS_Labs_Array,4,false),
    MaxOrTarget, IF(OR(TargetLevel = """",$AD$1 &lt;&gt; ""Target""), MaxLevel, TargetLevel),
    LabLevel, VLOOKUP(M140,MS_Labs_A"&amp;"rray,2,False),
    Levelprogress, LabLevel / MaxOrTarget,
    DVTColumn, MATCH(M140,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0" s="1251" t="str">
        <f>IFERROR(__xludf.DUMMYFUNCTION("if(M140 &lt;&gt; """", 
  LET(
    TargetLevel, VLOOKUP(M140,MS_Labs_Array,3,false),
    LabSpeed, (1 * REGEXEXTRACT($BH$1, ""[\d.-]+"")) * {IF(M140 =""Labs Speed"", 1+'Master Sheet'!$BK$5, LAB_SPEED_TOTAL())},
    MaxLevel, VLOOKUP(M140,MS_Labs_Array,4,false),"&amp;"
    MaxOrTarget, IF(OR(TargetLevel = """",$AD$1 &lt;&gt; ""Target""), MaxLevel, TargetLevel),
    LabLevel, VLOOKUP(M140,MS_Labs_Array,2,False),
    DVTColumn, MATCH(M140, DVT_Laboratory!$A$1:BO$1, 0),
    xextTime, INDIRECT(""DVT_Laboratory!"" &amp; ADDRESS(LabLe"&amp;"vel+3, DVTColumn)) / LabSpeed,
    remainingTime, SUM(INDIRECT(""DVT_Laboratory!"" &amp; ADDRESS(LabLevel+3, DVTColumn) &amp; "":"" &amp; ADDRESS(MaxOrTarget+2, DVTColumn))) / LabSpeed,
  M140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0" s="1249"/>
      <c r="Q140" s="1249" t="str">
        <f>IFERROR(__xludf.DUMMYFUNCTION("""COMPUTED_VALUE"""),"")</f>
        <v/>
      </c>
      <c r="R140" s="1249" t="str">
        <f>IFERROR(__xludf.DUMMYFUNCTION("""COMPUTED_VALUE"""),"")</f>
        <v/>
      </c>
      <c r="S140" s="1249"/>
      <c r="T140" s="1250" t="str">
        <f>IFERROR(__xludf.DUMMYFUNCTION("if(S140 &lt;&gt; """", 
  LET( 
    TargetLevel, VLOOKUP(S140,MS_Labs_Array,3,false),
    MaxLevel, VLOOKUP(S140,MS_Labs_Array,4,false),
    MaxOrTarget, IF(OR(TargetLevel = """",$AD$1 &lt;&gt; ""Target""), MaxLevel, TargetLevel),
    LabLevel, VLOOKUP(S140,MS_Labs_A"&amp;"rray,2,False),
    Levelprogress, LabLevel / MaxOrTarget,
    DVTColumn, MATCH(S140,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0" s="1251" t="str">
        <f>IFERROR(__xludf.DUMMYFUNCTION("if(S140 &lt;&gt; """", 
  LET(
    TargetLevel, VLOOKUP(S140,MS_Labs_Array,3,false),
    LabSpeed, (1 * REGEXEXTRACT($BH$1, ""[\d.-]+"")) * {IF(S140 =""Labs Speed"", 1+'Master Sheet'!$BK$5, LAB_SPEED_TOTAL())},
    MaxLevel, VLOOKUP(S140,MS_Labs_Array,4,false),"&amp;"
    MaxOrTarget, IF(OR(TargetLevel = """",$AD$1 &lt;&gt; ""Target""), MaxLevel, TargetLevel),
    LabLevel, VLOOKUP(S140,MS_Labs_Array,2,False),
    DVTColumn, MATCH(S140, DVT_Laboratory!$A$1:BO$1, 0),
    xextTime, INDIRECT(""DVT_Laboratory!"" &amp; ADDRESS(LabLe"&amp;"vel+3, DVTColumn)) / LabSpeed,
    remainingTime, SUM(INDIRECT(""DVT_Laboratory!"" &amp; ADDRESS(LabLevel+3, DVTColumn) &amp; "":"" &amp; ADDRESS(MaxOrTarget+2, DVTColumn))) / LabSpeed,
  S140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0" s="1249"/>
      <c r="W140" s="1249" t="str">
        <f>IFERROR(__xludf.DUMMYFUNCTION("""COMPUTED_VALUE"""),"")</f>
        <v/>
      </c>
      <c r="X140" s="1249" t="str">
        <f>IFERROR(__xludf.DUMMYFUNCTION("""COMPUTED_VALUE"""),"")</f>
        <v/>
      </c>
      <c r="Y140" s="1249"/>
      <c r="Z140" s="1250" t="str">
        <f>IFERROR(__xludf.DUMMYFUNCTION("if(Y140 &lt;&gt; """", 
  LET( 
    TargetLevel, VLOOKUP(Y140,MS_Labs_Array,3,false),
    MaxLevel, VLOOKUP(Y140,MS_Labs_Array,4,false),
    MaxOrTarget, IF(OR(TargetLevel = """",$AD$1 &lt;&gt; ""Target""), MaxLevel, TargetLevel),
    LabLevel, VLOOKUP(Y140,MS_Labs_A"&amp;"rray,2,False),
    Levelprogress, LabLevel / MaxOrTarget,
    DVTColumn, MATCH(Y140,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0" s="1251" t="str">
        <f>IFERROR(__xludf.DUMMYFUNCTION("if(Y140 &lt;&gt; """", 
  LET(
    TargetLevel, VLOOKUP(Y140,MS_Labs_Array,3,false),
    LabSpeed, (1 * REGEXEXTRACT($BH$1, ""[\d.-]+"")) * {IF(Y140 =""Labs Speed"", 1+'Master Sheet'!$BK$5, LAB_SPEED_TOTAL())},
    MaxLevel, VLOOKUP(Y140,MS_Labs_Array,4,false),"&amp;"
    MaxOrTarget, IF(OR(TargetLevel = """",$AD$1 &lt;&gt; ""Target""), MaxLevel, TargetLevel),
    LabLevel, VLOOKUP(Y140,MS_Labs_Array,2,False),
    DVTColumn, MATCH(Y140, DVT_Laboratory!$A$1:BO$1, 0),
    xextTime, INDIRECT(""DVT_Laboratory!"" &amp; ADDRESS(LabLe"&amp;"vel+3, DVTColumn)) / LabSpeed,
    remainingTime, SUM(INDIRECT(""DVT_Laboratory!"" &amp; ADDRESS(LabLevel+3, DVTColumn) &amp; "":"" &amp; ADDRESS(MaxOrTarget+2, DVTColumn))) / LabSpeed,
  Y140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0" s="1249"/>
      <c r="AC140" s="1249" t="str">
        <f>IFERROR(__xludf.DUMMYFUNCTION("""COMPUTED_VALUE"""),"")</f>
        <v/>
      </c>
      <c r="AD140" s="1249" t="str">
        <f>IFERROR(__xludf.DUMMYFUNCTION("""COMPUTED_VALUE"""),"")</f>
        <v/>
      </c>
      <c r="AE140" s="1249"/>
      <c r="AF140" s="1250" t="str">
        <f>IFERROR(__xludf.DUMMYFUNCTION("if(AE140 &lt;&gt; """", 
  LET( 
    TargetLevel, VLOOKUP(AE140,MS_Labs_Array,3,false),
    MaxLevel, VLOOKUP(AE140,MS_Labs_Array,4,false),
    MaxOrTarget, IF(OR(TargetLevel = """",$AD$1 &lt;&gt; ""Target""), MaxLevel, TargetLevel),
    LabLevel, VLOOKUP(AE140,MS_La"&amp;"bs_Array,2,False),
    Levelprogress, LabLevel / MaxOrTarget,
    DVTColumn, MATCH(AE140,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0" s="1251" t="str">
        <f>IFERROR(__xludf.DUMMYFUNCTION("if(AE140 &lt;&gt; """", 
  LET(
    TargetLevel, VLOOKUP(AE140,MS_Labs_Array,3,false),
    LabSpeed, (1 * REGEXEXTRACT($BH$1, ""[\d.-]+"")) * {IF(AE140 =""Labs Speed"", 1+'Master Sheet'!$BK$5, LAB_SPEED_TOTAL())},
    MaxLevel, VLOOKUP(AE140,MS_Labs_Array,4,fal"&amp;"se),
    MaxOrTarget, IF(OR(TargetLevel = """",$AD$1 &lt;&gt; ""Target""), MaxLevel, TargetLevel),
    LabLevel, VLOOKUP(AE140,MS_Labs_Array,2,False),
    DVTColumn, MATCH(AE140, DVT_Laboratory!$A$1:BO$1, 0),
    xextTime, INDIRECT(""DVT_Laboratory!"" &amp; ADDRESS"&amp;"(LabLevel+3, DVTColumn)) / LabSpeed,
    remainingTime, SUM(INDIRECT(""DVT_Laboratory!"" &amp; ADDRESS(LabLevel+3, DVTColumn) &amp; "":"" &amp; ADDRESS(MaxOrTarget+2, DVTColumn))) / LabSpeed,
  AE140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0" s="1249"/>
      <c r="AI140" s="1249" t="str">
        <f>IFERROR(__xludf.DUMMYFUNCTION("""COMPUTED_VALUE"""),"")</f>
        <v/>
      </c>
      <c r="AJ140" s="1249" t="str">
        <f>IFERROR(__xludf.DUMMYFUNCTION("""COMPUTED_VALUE"""),"")</f>
        <v/>
      </c>
      <c r="AK140" s="1249"/>
      <c r="AL140" s="1250" t="str">
        <f>IFERROR(__xludf.DUMMYFUNCTION("if(AK140 &lt;&gt; """", 
  LET( 
    TargetLevel, VLOOKUP(AK140,MS_Labs_Array,3,false),
    MaxLevel, VLOOKUP(AK140,MS_Labs_Array,4,false),
    MaxOrTarget, IF(OR(TargetLevel = """",$AD$1 &lt;&gt; ""Target""), MaxLevel, TargetLevel),
    LabLevel, VLOOKUP(AK140,MS_La"&amp;"bs_Array,2,False),
    Levelprogress, LabLevel / MaxOrTarget,
    DVTColumn, MATCH(AK140,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0" s="1251" t="str">
        <f>IFERROR(__xludf.DUMMYFUNCTION("if(AK140 &lt;&gt; """", 
  LET(
    TargetLevel, VLOOKUP(AK140,MS_Labs_Array,3,false),
    LabSpeed, (1 * REGEXEXTRACT($BH$1, ""[\d.-]+"")) * {IF(AK140 =""Labs Speed"", 1+'Master Sheet'!$BK$5, LAB_SPEED_TOTAL())},
    MaxLevel, VLOOKUP(AK140,MS_Labs_Array,4,fal"&amp;"se),
    MaxOrTarget, IF(OR(TargetLevel = """",$AD$1 &lt;&gt; ""Target""), MaxLevel, TargetLevel),
    LabLevel, VLOOKUP(AK140,MS_Labs_Array,2,False),
    DVTColumn, MATCH(AK140, DVT_Laboratory!$A$1:BO$1, 0),
    xextTime, INDIRECT(""DVT_Laboratory!"" &amp; ADDRESS"&amp;"(LabLevel+3, DVTColumn)) / LabSpeed,
    remainingTime, SUM(INDIRECT(""DVT_Laboratory!"" &amp; ADDRESS(LabLevel+3, DVTColumn) &amp; "":"" &amp; ADDRESS(MaxOrTarget+2, DVTColumn))) / LabSpeed,
  AK140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0" s="1249"/>
      <c r="AO140" s="1249" t="str">
        <f>IFERROR(__xludf.DUMMYFUNCTION("""COMPUTED_VALUE"""),"")</f>
        <v/>
      </c>
      <c r="AP140" s="1249" t="str">
        <f>IFERROR(__xludf.DUMMYFUNCTION("""COMPUTED_VALUE"""),"")</f>
        <v/>
      </c>
      <c r="AQ140" s="1249"/>
      <c r="AR140" s="1250" t="str">
        <f>IFERROR(__xludf.DUMMYFUNCTION("if(AQ140 &lt;&gt; """", 
  LET( 
    TargetLevel, VLOOKUP(AQ140,MS_Labs_Array,3,false),
    MaxLevel, VLOOKUP(AQ140,MS_Labs_Array,4,false),
    MaxOrTarget, IF(OR(TargetLevel = """",$AD$1 &lt;&gt; ""Target""), MaxLevel, TargetLevel),
    LabLevel, VLOOKUP(AQ140,MS_La"&amp;"bs_Array,2,False),
    Levelprogress, LabLevel / MaxOrTarget,
    DVTColumn, MATCH(AQ140,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0" s="1251" t="str">
        <f>IFERROR(__xludf.DUMMYFUNCTION("if(AQ140 &lt;&gt; """", 
  LET(
    TargetLevel, VLOOKUP(AQ140,MS_Labs_Array,3,false),
    LabSpeed, (1 * REGEXEXTRACT($BH$1, ""[\d.-]+"")) * {IF(AQ140 =""Labs Speed"", 1+'Master Sheet'!$BK$5, LAB_SPEED_TOTAL())},
    MaxLevel, VLOOKUP(AQ140,MS_Labs_Array,4,fal"&amp;"se),
    MaxOrTarget, IF(OR(TargetLevel = """",$AD$1 &lt;&gt; ""Target""), MaxLevel, TargetLevel),
    LabLevel, VLOOKUP(AQ140,MS_Labs_Array,2,False),
    DVTColumn, MATCH(AQ140, DVT_Laboratory!$A$1:BO$1, 0),
    xextTime, INDIRECT(""DVT_Laboratory!"" &amp; ADDRESS"&amp;"(LabLevel+3, DVTColumn)) / LabSpeed,
    remainingTime, SUM(INDIRECT(""DVT_Laboratory!"" &amp; ADDRESS(LabLevel+3, DVTColumn) &amp; "":"" &amp; ADDRESS(MaxOrTarget+2, DVTColumn))) / LabSpeed,
  AQ140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0" s="1249"/>
      <c r="AU140" s="1249" t="str">
        <f>IFERROR(__xludf.DUMMYFUNCTION("""COMPUTED_VALUE"""),"")</f>
        <v/>
      </c>
      <c r="AV140" s="1249" t="str">
        <f>IFERROR(__xludf.DUMMYFUNCTION("""COMPUTED_VALUE"""),"")</f>
        <v/>
      </c>
      <c r="AW140" s="1249"/>
      <c r="AX140" s="1250" t="str">
        <f>IFERROR(__xludf.DUMMYFUNCTION("if(AW140 &lt;&gt; """", 
  LET( 
    TargetLevel, VLOOKUP(AW140,MS_Labs_Array,3,false),
    MaxLevel, VLOOKUP(AW140,MS_Labs_Array,4,false),
    MaxOrTarget, IF(OR(TargetLevel = """",$AD$1 &lt;&gt; ""Target""), MaxLevel, TargetLevel),
    LabLevel, VLOOKUP(AW140,MS_La"&amp;"bs_Array,2,False),
    Levelprogress, LabLevel / MaxOrTarget,
    DVTColumn, MATCH(AW140,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0" s="1251" t="str">
        <f>IFERROR(__xludf.DUMMYFUNCTION("if(AW140 &lt;&gt; """", 
  LET(
    TargetLevel, VLOOKUP(AW140,MS_Labs_Array,3,false),
    LabSpeed, (1 * REGEXEXTRACT($BH$1, ""[\d.-]+"")) * {IF(AW140 =""Labs Speed"", 1+'Master Sheet'!$BK$5, LAB_SPEED_TOTAL())},
    MaxLevel, VLOOKUP(AW140,MS_Labs_Array,4,fal"&amp;"se),
    MaxOrTarget, IF(OR(TargetLevel = """",$AD$1 &lt;&gt; ""Target""), MaxLevel, TargetLevel),
    LabLevel, VLOOKUP(AW140,MS_Labs_Array,2,False),
    DVTColumn, MATCH(AW140, DVT_Laboratory!$A$1:BO$1, 0),
    xextTime, INDIRECT(""DVT_Laboratory!"" &amp; ADDRESS"&amp;"(LabLevel+3, DVTColumn)) / LabSpeed,
    remainingTime, SUM(INDIRECT(""DVT_Laboratory!"" &amp; ADDRESS(LabLevel+3, DVTColumn) &amp; "":"" &amp; ADDRESS(MaxOrTarget+2, DVTColumn))) / LabSpeed,
  AW140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0" s="1249"/>
      <c r="BA140" s="1249" t="str">
        <f>IFERROR(__xludf.DUMMYFUNCTION("""COMPUTED_VALUE"""),"")</f>
        <v/>
      </c>
      <c r="BB140" s="1249" t="str">
        <f>IFERROR(__xludf.DUMMYFUNCTION("""COMPUTED_VALUE"""),"")</f>
        <v/>
      </c>
      <c r="BC140" s="1249"/>
      <c r="BD140" s="1250" t="str">
        <f>IFERROR(__xludf.DUMMYFUNCTION("if(BC140 &lt;&gt; """", 
  LET( 
    TargetLevel, VLOOKUP(BC140,MS_Labs_Array,3,false),
    MaxLevel, VLOOKUP(BC140,MS_Labs_Array,4,false),
    MaxOrTarget, IF(OR(TargetLevel = """",$AD$1 &lt;&gt; ""Target""), MaxLevel, TargetLevel),
    LabLevel, VLOOKUP(BC140,MS_La"&amp;"bs_Array,2,False),
    Levelprogress, LabLevel / MaxOrTarget,
    DVTColumn, MATCH(BC140,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0" s="1251" t="str">
        <f>IFERROR(__xludf.DUMMYFUNCTION("if(BC140 &lt;&gt; """", 
  LET(
    TargetLevel, VLOOKUP(BC140,MS_Labs_Array,3,false),
    LabSpeed, (1 * REGEXEXTRACT($BH$1, ""[\d.-]+"")) * {IF(BC140 =""Labs Speed"", 1+'Master Sheet'!$BK$5, LAB_SPEED_TOTAL())},
    MaxLevel, VLOOKUP(BC140,MS_Labs_Array,4,fal"&amp;"se),
    MaxOrTarget, IF(OR(TargetLevel = """",$AD$1 &lt;&gt; ""Target""), MaxLevel, TargetLevel),
    LabLevel, VLOOKUP(BC140,MS_Labs_Array,2,False),
    DVTColumn, MATCH(BC140, DVT_Laboratory!$A$1:BO$1, 0),
    xextTime, INDIRECT(""DVT_Laboratory!"" &amp; ADDRESS"&amp;"(LabLevel+3, DVTColumn)) / LabSpeed,
    remainingTime, SUM(INDIRECT(""DVT_Laboratory!"" &amp; ADDRESS(LabLevel+3, DVTColumn) &amp; "":"" &amp; ADDRESS(MaxOrTarget+2, DVTColumn))) / LabSpeed,
  BC140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0" s="1249"/>
      <c r="BG140" s="1249" t="str">
        <f>IFERROR(__xludf.DUMMYFUNCTION("""COMPUTED_VALUE"""),"")</f>
        <v/>
      </c>
      <c r="BH140" s="1260" t="str">
        <f>IFERROR(__xludf.DUMMYFUNCTION("""COMPUTED_VALUE"""),"")</f>
        <v/>
      </c>
      <c r="BI140" s="1252"/>
      <c r="BJ140" s="1253" t="str">
        <f>IFERROR(__xludf.DUMMYFUNCTION("if(BI140 &lt;&gt; """", 
  LET( 
    TargetLevel, VLOOKUP(BI140,MS_Labs_Array,3,false),
    MaxLevel, VLOOKUP(BI140,MS_Labs_Array,4,false),
    MaxOrTarget, IF(OR(TargetLevel = """",$AD$1 &lt;&gt; ""Target""), MaxLevel, TargetLevel),
    LabLevel, VLOOKUP(BI140,MS_La"&amp;"bs_Array,2,False),
    Levelprogress, IF(LabLevel &gt;= MaxOrTarget, 1, LabLevel / MaxOrTarget),
    DVTColumn, MATCH(BI140,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0" s="1254" t="str">
        <f>IFERROR(__xludf.DUMMYFUNCTION("if(BI140 &lt;&gt; """", 
  LET(
    TargetLevel, VLOOKUP(BI140,MS_Labs_Array,3,false),
    LabSpeed, (1 * REGEXEXTRACT($BH$1, ""[\d.-]+"")) * {IF(BI140 =""Labs Speed"", 1+'Master Sheet'!$BK$5, LAB_SPEED_TOTAL())},
    MaxLevel, VLOOKUP(BI140,MS_Labs_Array,4,fal"&amp;"se),
    MaxOrTarget, IF(OR(TargetLevel = """",$AD$1 &lt;&gt; ""Target""), MaxLevel, TargetLevel),
    LabLevel, VLOOKUP(BI140,MS_Labs_Array,2,False),
    DVTColumn, MATCH(BI140, DVT_Laboratory!$A$1:BO$1, 0),
    xextTime, INDIRECT(""DVT_Laboratory!"" &amp; ADDRESS"&amp;"(LabLevel+3, DVTColumn)) / LabSpeed,
    remainingTime, SUM(INDIRECT(""DVT_Laboratory!"" &amp; ADDRESS(LabLevel+3, DVTColumn) &amp; "":"" &amp; ADDRESS(MaxOrTarget+2, DVTColumn))) / LabSpeed,
  BI140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0" s="1252"/>
      <c r="BM140" s="1252" t="str">
        <f>IFERROR(__xludf.DUMMYFUNCTION("""COMPUTED_VALUE"""),"")</f>
        <v/>
      </c>
      <c r="BN140" s="1222"/>
      <c r="BO140" s="1261"/>
    </row>
    <row r="141">
      <c r="A141" s="1222"/>
      <c r="B141" s="1257"/>
      <c r="C141" s="1325" t="s">
        <v>291</v>
      </c>
      <c r="D141" s="1280" t="str">
        <f>VLOOKUP(C141,'Remote Tier List'!A:D, 2, FALSE)</f>
        <v>C</v>
      </c>
      <c r="E141" s="1281" t="str">
        <f>VLOOKUP(C141,'Remote Tier List'!A:D, 3, FALSE)</f>
        <v/>
      </c>
      <c r="F141" s="1258" t="str">
        <f>VLOOKUP(C141,'Remote Tier List'!A:D, 4, FALSE)</f>
        <v>Good with high level CL+ to fully kill protectors with percentage damage</v>
      </c>
      <c r="G141" s="1245" t="b">
        <f t="shared" si="23"/>
        <v>1</v>
      </c>
      <c r="H141" s="1246" t="str">
        <f t="array" ref="H141:I141">LET(
  Lab, $C141,
  Mode, $AD$1,
  Level, VLOOKUP(Lab, MS_Labs_Array, 2, FALSE),
  Target, VLOOKUP(Lab, MS_Labs_Array, 3, FALSE),
  Max, VLOOKUP(Lab, MS_Labs_Array, 4, FALSE),
  Result,
    IF(
      AND(
        Mode &lt;&gt; "Never",
        Level &gt;= IF(OR(Target = "", Mode = "Max"), Max, Target)
      ),
      "Completed",
      ""
    ),
  HSTACK(
    IF(Result &lt;&gt; "", Result, $D141),
    IF(Result &lt;&gt; "", Result, IF($E141 = "", $D141, $E141))
  )
)</f>
        <v>C</v>
      </c>
      <c r="I141" s="1247" t="s">
        <v>547</v>
      </c>
      <c r="J141" s="1248" t="str">
        <f t="shared" si="24"/>
        <v>Good with high level CL+ to fully kill protectors with percentage damage</v>
      </c>
      <c r="K141" s="1229"/>
      <c r="L141" s="1249"/>
      <c r="M141" s="1249"/>
      <c r="N141" s="1250" t="str">
        <f>IFERROR(__xludf.DUMMYFUNCTION("if(M141 &lt;&gt; """", 
  LET( 
    TargetLevel, VLOOKUP(M141,MS_Labs_Array,3,false),
    MaxLevel, VLOOKUP(M141,MS_Labs_Array,4,false),
    MaxOrTarget, IF(OR(TargetLevel = """",$AD$1 &lt;&gt; ""Target""), MaxLevel, TargetLevel),
    LabLevel, VLOOKUP(M141,MS_Labs_A"&amp;"rray,2,False),
    Levelprogress, LabLevel / MaxOrTarget,
    DVTColumn, MATCH(M141,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1" s="1251" t="str">
        <f>IFERROR(__xludf.DUMMYFUNCTION("if(M141 &lt;&gt; """", 
  LET(
    TargetLevel, VLOOKUP(M141,MS_Labs_Array,3,false),
    LabSpeed, (1 * REGEXEXTRACT($BH$1, ""[\d.-]+"")) * {IF(M141 =""Labs Speed"", 1+'Master Sheet'!$BK$5, LAB_SPEED_TOTAL())},
    MaxLevel, VLOOKUP(M141,MS_Labs_Array,4,false),"&amp;"
    MaxOrTarget, IF(OR(TargetLevel = """",$AD$1 &lt;&gt; ""Target""), MaxLevel, TargetLevel),
    LabLevel, VLOOKUP(M141,MS_Labs_Array,2,False),
    DVTColumn, MATCH(M141, DVT_Laboratory!$A$1:BO$1, 0),
    xextTime, INDIRECT(""DVT_Laboratory!"" &amp; ADDRESS(LabLe"&amp;"vel+3, DVTColumn)) / LabSpeed,
    remainingTime, SUM(INDIRECT(""DVT_Laboratory!"" &amp; ADDRESS(LabLevel+3, DVTColumn) &amp; "":"" &amp; ADDRESS(MaxOrTarget+2, DVTColumn))) / LabSpeed,
  M141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1" s="1249"/>
      <c r="Q141" s="1249"/>
      <c r="R141" s="1249"/>
      <c r="S141" s="1249"/>
      <c r="T141" s="1250" t="str">
        <f>IFERROR(__xludf.DUMMYFUNCTION("if(S141 &lt;&gt; """", 
  LET( 
    TargetLevel, VLOOKUP(S141,MS_Labs_Array,3,false),
    MaxLevel, VLOOKUP(S141,MS_Labs_Array,4,false),
    MaxOrTarget, IF(OR(TargetLevel = """",$AD$1 &lt;&gt; ""Target""), MaxLevel, TargetLevel),
    LabLevel, VLOOKUP(S141,MS_Labs_A"&amp;"rray,2,False),
    Levelprogress, LabLevel / MaxOrTarget,
    DVTColumn, MATCH(S141,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1" s="1251" t="str">
        <f>IFERROR(__xludf.DUMMYFUNCTION("if(S141 &lt;&gt; """", 
  LET(
    TargetLevel, VLOOKUP(S141,MS_Labs_Array,3,false),
    LabSpeed, (1 * REGEXEXTRACT($BH$1, ""[\d.-]+"")) * {IF(S141 =""Labs Speed"", 1+'Master Sheet'!$BK$5, LAB_SPEED_TOTAL())},
    MaxLevel, VLOOKUP(S141,MS_Labs_Array,4,false),"&amp;"
    MaxOrTarget, IF(OR(TargetLevel = """",$AD$1 &lt;&gt; ""Target""), MaxLevel, TargetLevel),
    LabLevel, VLOOKUP(S141,MS_Labs_Array,2,False),
    DVTColumn, MATCH(S141, DVT_Laboratory!$A$1:BO$1, 0),
    xextTime, INDIRECT(""DVT_Laboratory!"" &amp; ADDRESS(LabLe"&amp;"vel+3, DVTColumn)) / LabSpeed,
    remainingTime, SUM(INDIRECT(""DVT_Laboratory!"" &amp; ADDRESS(LabLevel+3, DVTColumn) &amp; "":"" &amp; ADDRESS(MaxOrTarget+2, DVTColumn))) / LabSpeed,
  S141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1" s="1249"/>
      <c r="W141" s="1249"/>
      <c r="X141" s="1249"/>
      <c r="Y141" s="1249"/>
      <c r="Z141" s="1250" t="str">
        <f>IFERROR(__xludf.DUMMYFUNCTION("if(Y141 &lt;&gt; """", 
  LET( 
    TargetLevel, VLOOKUP(Y141,MS_Labs_Array,3,false),
    MaxLevel, VLOOKUP(Y141,MS_Labs_Array,4,false),
    MaxOrTarget, IF(OR(TargetLevel = """",$AD$1 &lt;&gt; ""Target""), MaxLevel, TargetLevel),
    LabLevel, VLOOKUP(Y141,MS_Labs_A"&amp;"rray,2,False),
    Levelprogress, LabLevel / MaxOrTarget,
    DVTColumn, MATCH(Y141,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1" s="1251" t="str">
        <f>IFERROR(__xludf.DUMMYFUNCTION("if(Y141 &lt;&gt; """", 
  LET(
    TargetLevel, VLOOKUP(Y141,MS_Labs_Array,3,false),
    LabSpeed, (1 * REGEXEXTRACT($BH$1, ""[\d.-]+"")) * {IF(Y141 =""Labs Speed"", 1+'Master Sheet'!$BK$5, LAB_SPEED_TOTAL())},
    MaxLevel, VLOOKUP(Y141,MS_Labs_Array,4,false),"&amp;"
    MaxOrTarget, IF(OR(TargetLevel = """",$AD$1 &lt;&gt; ""Target""), MaxLevel, TargetLevel),
    LabLevel, VLOOKUP(Y141,MS_Labs_Array,2,False),
    DVTColumn, MATCH(Y141, DVT_Laboratory!$A$1:BO$1, 0),
    xextTime, INDIRECT(""DVT_Laboratory!"" &amp; ADDRESS(LabLe"&amp;"vel+3, DVTColumn)) / LabSpeed,
    remainingTime, SUM(INDIRECT(""DVT_Laboratory!"" &amp; ADDRESS(LabLevel+3, DVTColumn) &amp; "":"" &amp; ADDRESS(MaxOrTarget+2, DVTColumn))) / LabSpeed,
  Y141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1" s="1249"/>
      <c r="AC141" s="1249"/>
      <c r="AD141" s="1249"/>
      <c r="AE141" s="1249"/>
      <c r="AF141" s="1250" t="str">
        <f>IFERROR(__xludf.DUMMYFUNCTION("if(AE141 &lt;&gt; """", 
  LET( 
    TargetLevel, VLOOKUP(AE141,MS_Labs_Array,3,false),
    MaxLevel, VLOOKUP(AE141,MS_Labs_Array,4,false),
    MaxOrTarget, IF(OR(TargetLevel = """",$AD$1 &lt;&gt; ""Target""), MaxLevel, TargetLevel),
    LabLevel, VLOOKUP(AE141,MS_La"&amp;"bs_Array,2,False),
    Levelprogress, LabLevel / MaxOrTarget,
    DVTColumn, MATCH(AE141,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1" s="1251" t="str">
        <f>IFERROR(__xludf.DUMMYFUNCTION("if(AE141 &lt;&gt; """", 
  LET(
    TargetLevel, VLOOKUP(AE141,MS_Labs_Array,3,false),
    LabSpeed, (1 * REGEXEXTRACT($BH$1, ""[\d.-]+"")) * {IF(AE141 =""Labs Speed"", 1+'Master Sheet'!$BK$5, LAB_SPEED_TOTAL())},
    MaxLevel, VLOOKUP(AE141,MS_Labs_Array,4,fal"&amp;"se),
    MaxOrTarget, IF(OR(TargetLevel = """",$AD$1 &lt;&gt; ""Target""), MaxLevel, TargetLevel),
    LabLevel, VLOOKUP(AE141,MS_Labs_Array,2,False),
    DVTColumn, MATCH(AE141, DVT_Laboratory!$A$1:BO$1, 0),
    xextTime, INDIRECT(""DVT_Laboratory!"" &amp; ADDRESS"&amp;"(LabLevel+3, DVTColumn)) / LabSpeed,
    remainingTime, SUM(INDIRECT(""DVT_Laboratory!"" &amp; ADDRESS(LabLevel+3, DVTColumn) &amp; "":"" &amp; ADDRESS(MaxOrTarget+2, DVTColumn))) / LabSpeed,
  AE141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1" s="1249"/>
      <c r="AI141" s="1249"/>
      <c r="AJ141" s="1249"/>
      <c r="AK141" s="1249"/>
      <c r="AL141" s="1250" t="str">
        <f>IFERROR(__xludf.DUMMYFUNCTION("if(AK141 &lt;&gt; """", 
  LET( 
    TargetLevel, VLOOKUP(AK141,MS_Labs_Array,3,false),
    MaxLevel, VLOOKUP(AK141,MS_Labs_Array,4,false),
    MaxOrTarget, IF(OR(TargetLevel = """",$AD$1 &lt;&gt; ""Target""), MaxLevel, TargetLevel),
    LabLevel, VLOOKUP(AK141,MS_La"&amp;"bs_Array,2,False),
    Levelprogress, LabLevel / MaxOrTarget,
    DVTColumn, MATCH(AK141,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1" s="1251" t="str">
        <f>IFERROR(__xludf.DUMMYFUNCTION("if(AK141 &lt;&gt; """", 
  LET(
    TargetLevel, VLOOKUP(AK141,MS_Labs_Array,3,false),
    LabSpeed, (1 * REGEXEXTRACT($BH$1, ""[\d.-]+"")) * {IF(AK141 =""Labs Speed"", 1+'Master Sheet'!$BK$5, LAB_SPEED_TOTAL())},
    MaxLevel, VLOOKUP(AK141,MS_Labs_Array,4,fal"&amp;"se),
    MaxOrTarget, IF(OR(TargetLevel = """",$AD$1 &lt;&gt; ""Target""), MaxLevel, TargetLevel),
    LabLevel, VLOOKUP(AK141,MS_Labs_Array,2,False),
    DVTColumn, MATCH(AK141, DVT_Laboratory!$A$1:BO$1, 0),
    xextTime, INDIRECT(""DVT_Laboratory!"" &amp; ADDRESS"&amp;"(LabLevel+3, DVTColumn)) / LabSpeed,
    remainingTime, SUM(INDIRECT(""DVT_Laboratory!"" &amp; ADDRESS(LabLevel+3, DVTColumn) &amp; "":"" &amp; ADDRESS(MaxOrTarget+2, DVTColumn))) / LabSpeed,
  AK141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1" s="1249"/>
      <c r="AO141" s="1249"/>
      <c r="AP141" s="1249"/>
      <c r="AQ141" s="1249"/>
      <c r="AR141" s="1250" t="str">
        <f>IFERROR(__xludf.DUMMYFUNCTION("if(AQ141 &lt;&gt; """", 
  LET( 
    TargetLevel, VLOOKUP(AQ141,MS_Labs_Array,3,false),
    MaxLevel, VLOOKUP(AQ141,MS_Labs_Array,4,false),
    MaxOrTarget, IF(OR(TargetLevel = """",$AD$1 &lt;&gt; ""Target""), MaxLevel, TargetLevel),
    LabLevel, VLOOKUP(AQ141,MS_La"&amp;"bs_Array,2,False),
    Levelprogress, LabLevel / MaxOrTarget,
    DVTColumn, MATCH(AQ141,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1" s="1251" t="str">
        <f>IFERROR(__xludf.DUMMYFUNCTION("if(AQ141 &lt;&gt; """", 
  LET(
    TargetLevel, VLOOKUP(AQ141,MS_Labs_Array,3,false),
    LabSpeed, (1 * REGEXEXTRACT($BH$1, ""[\d.-]+"")) * {IF(AQ141 =""Labs Speed"", 1+'Master Sheet'!$BK$5, LAB_SPEED_TOTAL())},
    MaxLevel, VLOOKUP(AQ141,MS_Labs_Array,4,fal"&amp;"se),
    MaxOrTarget, IF(OR(TargetLevel = """",$AD$1 &lt;&gt; ""Target""), MaxLevel, TargetLevel),
    LabLevel, VLOOKUP(AQ141,MS_Labs_Array,2,False),
    DVTColumn, MATCH(AQ141, DVT_Laboratory!$A$1:BO$1, 0),
    xextTime, INDIRECT(""DVT_Laboratory!"" &amp; ADDRESS"&amp;"(LabLevel+3, DVTColumn)) / LabSpeed,
    remainingTime, SUM(INDIRECT(""DVT_Laboratory!"" &amp; ADDRESS(LabLevel+3, DVTColumn) &amp; "":"" &amp; ADDRESS(MaxOrTarget+2, DVTColumn))) / LabSpeed,
  AQ141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1" s="1249"/>
      <c r="AU141" s="1249"/>
      <c r="AV141" s="1249"/>
      <c r="AW141" s="1249"/>
      <c r="AX141" s="1250" t="str">
        <f>IFERROR(__xludf.DUMMYFUNCTION("if(AW141 &lt;&gt; """", 
  LET( 
    TargetLevel, VLOOKUP(AW141,MS_Labs_Array,3,false),
    MaxLevel, VLOOKUP(AW141,MS_Labs_Array,4,false),
    MaxOrTarget, IF(OR(TargetLevel = """",$AD$1 &lt;&gt; ""Target""), MaxLevel, TargetLevel),
    LabLevel, VLOOKUP(AW141,MS_La"&amp;"bs_Array,2,False),
    Levelprogress, LabLevel / MaxOrTarget,
    DVTColumn, MATCH(AW141,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1" s="1251" t="str">
        <f>IFERROR(__xludf.DUMMYFUNCTION("if(AW141 &lt;&gt; """", 
  LET(
    TargetLevel, VLOOKUP(AW141,MS_Labs_Array,3,false),
    LabSpeed, (1 * REGEXEXTRACT($BH$1, ""[\d.-]+"")) * {IF(AW141 =""Labs Speed"", 1+'Master Sheet'!$BK$5, LAB_SPEED_TOTAL())},
    MaxLevel, VLOOKUP(AW141,MS_Labs_Array,4,fal"&amp;"se),
    MaxOrTarget, IF(OR(TargetLevel = """",$AD$1 &lt;&gt; ""Target""), MaxLevel, TargetLevel),
    LabLevel, VLOOKUP(AW141,MS_Labs_Array,2,False),
    DVTColumn, MATCH(AW141, DVT_Laboratory!$A$1:BO$1, 0),
    xextTime, INDIRECT(""DVT_Laboratory!"" &amp; ADDRESS"&amp;"(LabLevel+3, DVTColumn)) / LabSpeed,
    remainingTime, SUM(INDIRECT(""DVT_Laboratory!"" &amp; ADDRESS(LabLevel+3, DVTColumn) &amp; "":"" &amp; ADDRESS(MaxOrTarget+2, DVTColumn))) / LabSpeed,
  AW141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1" s="1249"/>
      <c r="BA141" s="1249"/>
      <c r="BB141" s="1249"/>
      <c r="BC141" s="1249"/>
      <c r="BD141" s="1250" t="str">
        <f>IFERROR(__xludf.DUMMYFUNCTION("if(BC141 &lt;&gt; """", 
  LET( 
    TargetLevel, VLOOKUP(BC141,MS_Labs_Array,3,false),
    MaxLevel, VLOOKUP(BC141,MS_Labs_Array,4,false),
    MaxOrTarget, IF(OR(TargetLevel = """",$AD$1 &lt;&gt; ""Target""), MaxLevel, TargetLevel),
    LabLevel, VLOOKUP(BC141,MS_La"&amp;"bs_Array,2,False),
    Levelprogress, LabLevel / MaxOrTarget,
    DVTColumn, MATCH(BC141,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1" s="1251" t="str">
        <f>IFERROR(__xludf.DUMMYFUNCTION("if(BC141 &lt;&gt; """", 
  LET(
    TargetLevel, VLOOKUP(BC141,MS_Labs_Array,3,false),
    LabSpeed, (1 * REGEXEXTRACT($BH$1, ""[\d.-]+"")) * {IF(BC141 =""Labs Speed"", 1+'Master Sheet'!$BK$5, LAB_SPEED_TOTAL())},
    MaxLevel, VLOOKUP(BC141,MS_Labs_Array,4,fal"&amp;"se),
    MaxOrTarget, IF(OR(TargetLevel = """",$AD$1 &lt;&gt; ""Target""), MaxLevel, TargetLevel),
    LabLevel, VLOOKUP(BC141,MS_Labs_Array,2,False),
    DVTColumn, MATCH(BC141, DVT_Laboratory!$A$1:BO$1, 0),
    xextTime, INDIRECT(""DVT_Laboratory!"" &amp; ADDRESS"&amp;"(LabLevel+3, DVTColumn)) / LabSpeed,
    remainingTime, SUM(INDIRECT(""DVT_Laboratory!"" &amp; ADDRESS(LabLevel+3, DVTColumn) &amp; "":"" &amp; ADDRESS(MaxOrTarget+2, DVTColumn))) / LabSpeed,
  BC141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1" s="1249"/>
      <c r="BG141" s="1249"/>
      <c r="BH141" s="1260"/>
      <c r="BI141" s="1252"/>
      <c r="BJ141" s="1253" t="str">
        <f>IFERROR(__xludf.DUMMYFUNCTION("if(BI141 &lt;&gt; """", 
  LET( 
    TargetLevel, VLOOKUP(BI141,MS_Labs_Array,3,false),
    MaxLevel, VLOOKUP(BI141,MS_Labs_Array,4,false),
    MaxOrTarget, IF(OR(TargetLevel = """",$AD$1 &lt;&gt; ""Target""), MaxLevel, TargetLevel),
    LabLevel, VLOOKUP(BI141,MS_La"&amp;"bs_Array,2,False),
    Levelprogress, IF(LabLevel &gt;= MaxOrTarget, 1, LabLevel / MaxOrTarget),
    DVTColumn, MATCH(BI141,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1" s="1254" t="str">
        <f>IFERROR(__xludf.DUMMYFUNCTION("if(BI141 &lt;&gt; """", 
  LET(
    TargetLevel, VLOOKUP(BI141,MS_Labs_Array,3,false),
    LabSpeed, (1 * REGEXEXTRACT($BH$1, ""[\d.-]+"")) * {IF(BI141 =""Labs Speed"", 1+'Master Sheet'!$BK$5, LAB_SPEED_TOTAL())},
    MaxLevel, VLOOKUP(BI141,MS_Labs_Array,4,fal"&amp;"se),
    MaxOrTarget, IF(OR(TargetLevel = """",$AD$1 &lt;&gt; ""Target""), MaxLevel, TargetLevel),
    LabLevel, VLOOKUP(BI141,MS_Labs_Array,2,False),
    DVTColumn, MATCH(BI141, DVT_Laboratory!$A$1:BO$1, 0),
    xextTime, INDIRECT(""DVT_Laboratory!"" &amp; ADDRESS"&amp;"(LabLevel+3, DVTColumn)) / LabSpeed,
    remainingTime, SUM(INDIRECT(""DVT_Laboratory!"" &amp; ADDRESS(LabLevel+3, DVTColumn) &amp; "":"" &amp; ADDRESS(MaxOrTarget+2, DVTColumn))) / LabSpeed,
  BI141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1" s="1252"/>
      <c r="BM141" s="1252"/>
      <c r="BN141" s="1222"/>
      <c r="BO141" s="1261"/>
    </row>
    <row r="142" ht="7.5" customHeight="1">
      <c r="A142" s="1222"/>
      <c r="B142" s="1257"/>
      <c r="C142" s="1325" t="s">
        <v>298</v>
      </c>
      <c r="D142" s="1280" t="str">
        <f>VLOOKUP(C142,'Remote Tier List'!A:D, 2, FALSE)</f>
        <v>C</v>
      </c>
      <c r="E142" s="1281" t="str">
        <f>VLOOKUP(C142,'Remote Tier List'!A:D, 3, FALSE)</f>
        <v/>
      </c>
      <c r="F142" s="1273" t="str">
        <f>VLOOKUP(C142,'Remote Tier List'!A:D, 4, FALSE)</f>
        <v>Decent value for the lower levels</v>
      </c>
      <c r="G142" s="1245" t="b">
        <f t="shared" si="23"/>
        <v>1</v>
      </c>
      <c r="H142" s="1246" t="str">
        <f t="array" ref="H142:I142">LET(
  Lab, $C142,
  Mode, $AD$1,
  Level, VLOOKUP(Lab, MS_Labs_Array, 2, FALSE),
  Target, VLOOKUP(Lab, MS_Labs_Array, 3, FALSE),
  Max, VLOOKUP(Lab, MS_Labs_Array, 4, FALSE),
  Result,
    IF(
      AND(
        Mode &lt;&gt; "Never",
        Level &gt;= IF(OR(Target = "", Mode = "Max"), Max, Target)
      ),
      "Completed",
      ""
    ),
  HSTACK(
    IF(Result &lt;&gt; "", Result, $D142),
    IF(Result &lt;&gt; "", Result, IF($E142 = "", $D142, $E142))
  )
)</f>
        <v>C</v>
      </c>
      <c r="I142" s="1247" t="s">
        <v>547</v>
      </c>
      <c r="J142" s="1248" t="str">
        <f t="shared" si="24"/>
        <v>Decent value for the lower levels</v>
      </c>
      <c r="K142" s="1229"/>
      <c r="L142" s="1249" t="str">
        <f>IFERROR(__xludf.DUMMYFUNCTION("""COMPUTED_VALUE"""),"")</f>
        <v/>
      </c>
      <c r="M142" s="1249"/>
      <c r="N142" s="1250" t="str">
        <f>IFERROR(__xludf.DUMMYFUNCTION("if(M142 &lt;&gt; """", 
  LET( 
    TargetLevel, VLOOKUP(M142,MS_Labs_Array,3,false),
    MaxLevel, VLOOKUP(M142,MS_Labs_Array,4,false),
    MaxOrTarget, IF(OR(TargetLevel = """",$AD$1 &lt;&gt; ""Target""), MaxLevel, TargetLevel),
    LabLevel, VLOOKUP(M142,MS_Labs_A"&amp;"rray,2,False),
    Levelprogress, LabLevel / MaxOrTarget,
    DVTColumn, MATCH(M142,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2" s="1251" t="str">
        <f>IFERROR(__xludf.DUMMYFUNCTION("if(M142 &lt;&gt; """", 
  LET(
    TargetLevel, VLOOKUP(M142,MS_Labs_Array,3,false),
    LabSpeed, (1 * REGEXEXTRACT($BH$1, ""[\d.-]+"")) * {IF(M142 =""Labs Speed"", 1+'Master Sheet'!$BK$5, LAB_SPEED_TOTAL())},
    MaxLevel, VLOOKUP(M142,MS_Labs_Array,4,false),"&amp;"
    MaxOrTarget, IF(OR(TargetLevel = """",$AD$1 &lt;&gt; ""Target""), MaxLevel, TargetLevel),
    LabLevel, VLOOKUP(M142,MS_Labs_Array,2,False),
    DVTColumn, MATCH(M142, DVT_Laboratory!$A$1:BO$1, 0),
    xextTime, INDIRECT(""DVT_Laboratory!"" &amp; ADDRESS(LabLe"&amp;"vel+3, DVTColumn)) / LabSpeed,
    remainingTime, SUM(INDIRECT(""DVT_Laboratory!"" &amp; ADDRESS(LabLevel+3, DVTColumn) &amp; "":"" &amp; ADDRESS(MaxOrTarget+2, DVTColumn))) / LabSpeed,
  M142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2" s="1249"/>
      <c r="Q142" s="1249" t="str">
        <f>IFERROR(__xludf.DUMMYFUNCTION("""COMPUTED_VALUE"""),"")</f>
        <v/>
      </c>
      <c r="R142" s="1249" t="str">
        <f>IFERROR(__xludf.DUMMYFUNCTION("""COMPUTED_VALUE"""),"")</f>
        <v/>
      </c>
      <c r="S142" s="1249"/>
      <c r="T142" s="1250" t="str">
        <f>IFERROR(__xludf.DUMMYFUNCTION("if(S142 &lt;&gt; """", 
  LET( 
    TargetLevel, VLOOKUP(S142,MS_Labs_Array,3,false),
    MaxLevel, VLOOKUP(S142,MS_Labs_Array,4,false),
    MaxOrTarget, IF(OR(TargetLevel = """",$AD$1 &lt;&gt; ""Target""), MaxLevel, TargetLevel),
    LabLevel, VLOOKUP(S142,MS_Labs_A"&amp;"rray,2,False),
    Levelprogress, LabLevel / MaxOrTarget,
    DVTColumn, MATCH(S142,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2" s="1251" t="str">
        <f>IFERROR(__xludf.DUMMYFUNCTION("if(S142 &lt;&gt; """", 
  LET(
    TargetLevel, VLOOKUP(S142,MS_Labs_Array,3,false),
    LabSpeed, (1 * REGEXEXTRACT($BH$1, ""[\d.-]+"")) * {IF(S142 =""Labs Speed"", 1+'Master Sheet'!$BK$5, LAB_SPEED_TOTAL())},
    MaxLevel, VLOOKUP(S142,MS_Labs_Array,4,false),"&amp;"
    MaxOrTarget, IF(OR(TargetLevel = """",$AD$1 &lt;&gt; ""Target""), MaxLevel, TargetLevel),
    LabLevel, VLOOKUP(S142,MS_Labs_Array,2,False),
    DVTColumn, MATCH(S142, DVT_Laboratory!$A$1:BO$1, 0),
    xextTime, INDIRECT(""DVT_Laboratory!"" &amp; ADDRESS(LabLe"&amp;"vel+3, DVTColumn)) / LabSpeed,
    remainingTime, SUM(INDIRECT(""DVT_Laboratory!"" &amp; ADDRESS(LabLevel+3, DVTColumn) &amp; "":"" &amp; ADDRESS(MaxOrTarget+2, DVTColumn))) / LabSpeed,
  S142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2" s="1249"/>
      <c r="W142" s="1249" t="str">
        <f>IFERROR(__xludf.DUMMYFUNCTION("""COMPUTED_VALUE"""),"")</f>
        <v/>
      </c>
      <c r="X142" s="1249" t="str">
        <f>IFERROR(__xludf.DUMMYFUNCTION("""COMPUTED_VALUE"""),"")</f>
        <v/>
      </c>
      <c r="Y142" s="1249"/>
      <c r="Z142" s="1250" t="str">
        <f>IFERROR(__xludf.DUMMYFUNCTION("if(Y142 &lt;&gt; """", 
  LET( 
    TargetLevel, VLOOKUP(Y142,MS_Labs_Array,3,false),
    MaxLevel, VLOOKUP(Y142,MS_Labs_Array,4,false),
    MaxOrTarget, IF(OR(TargetLevel = """",$AD$1 &lt;&gt; ""Target""), MaxLevel, TargetLevel),
    LabLevel, VLOOKUP(Y142,MS_Labs_A"&amp;"rray,2,False),
    Levelprogress, LabLevel / MaxOrTarget,
    DVTColumn, MATCH(Y142,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2" s="1251" t="str">
        <f>IFERROR(__xludf.DUMMYFUNCTION("if(Y142 &lt;&gt; """", 
  LET(
    TargetLevel, VLOOKUP(Y142,MS_Labs_Array,3,false),
    LabSpeed, (1 * REGEXEXTRACT($BH$1, ""[\d.-]+"")) * {IF(Y142 =""Labs Speed"", 1+'Master Sheet'!$BK$5, LAB_SPEED_TOTAL())},
    MaxLevel, VLOOKUP(Y142,MS_Labs_Array,4,false),"&amp;"
    MaxOrTarget, IF(OR(TargetLevel = """",$AD$1 &lt;&gt; ""Target""), MaxLevel, TargetLevel),
    LabLevel, VLOOKUP(Y142,MS_Labs_Array,2,False),
    DVTColumn, MATCH(Y142, DVT_Laboratory!$A$1:BO$1, 0),
    xextTime, INDIRECT(""DVT_Laboratory!"" &amp; ADDRESS(LabLe"&amp;"vel+3, DVTColumn)) / LabSpeed,
    remainingTime, SUM(INDIRECT(""DVT_Laboratory!"" &amp; ADDRESS(LabLevel+3, DVTColumn) &amp; "":"" &amp; ADDRESS(MaxOrTarget+2, DVTColumn))) / LabSpeed,
  Y142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2" s="1249"/>
      <c r="AC142" s="1249" t="str">
        <f>IFERROR(__xludf.DUMMYFUNCTION("""COMPUTED_VALUE"""),"")</f>
        <v/>
      </c>
      <c r="AD142" s="1249" t="str">
        <f>IFERROR(__xludf.DUMMYFUNCTION("""COMPUTED_VALUE"""),"")</f>
        <v/>
      </c>
      <c r="AE142" s="1249"/>
      <c r="AF142" s="1250" t="str">
        <f>IFERROR(__xludf.DUMMYFUNCTION("if(AE142 &lt;&gt; """", 
  LET( 
    TargetLevel, VLOOKUP(AE142,MS_Labs_Array,3,false),
    MaxLevel, VLOOKUP(AE142,MS_Labs_Array,4,false),
    MaxOrTarget, IF(OR(TargetLevel = """",$AD$1 &lt;&gt; ""Target""), MaxLevel, TargetLevel),
    LabLevel, VLOOKUP(AE142,MS_La"&amp;"bs_Array,2,False),
    Levelprogress, LabLevel / MaxOrTarget,
    DVTColumn, MATCH(AE142,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2" s="1251" t="str">
        <f>IFERROR(__xludf.DUMMYFUNCTION("if(AE142 &lt;&gt; """", 
  LET(
    TargetLevel, VLOOKUP(AE142,MS_Labs_Array,3,false),
    LabSpeed, (1 * REGEXEXTRACT($BH$1, ""[\d.-]+"")) * {IF(AE142 =""Labs Speed"", 1+'Master Sheet'!$BK$5, LAB_SPEED_TOTAL())},
    MaxLevel, VLOOKUP(AE142,MS_Labs_Array,4,fal"&amp;"se),
    MaxOrTarget, IF(OR(TargetLevel = """",$AD$1 &lt;&gt; ""Target""), MaxLevel, TargetLevel),
    LabLevel, VLOOKUP(AE142,MS_Labs_Array,2,False),
    DVTColumn, MATCH(AE142, DVT_Laboratory!$A$1:BO$1, 0),
    xextTime, INDIRECT(""DVT_Laboratory!"" &amp; ADDRESS"&amp;"(LabLevel+3, DVTColumn)) / LabSpeed,
    remainingTime, SUM(INDIRECT(""DVT_Laboratory!"" &amp; ADDRESS(LabLevel+3, DVTColumn) &amp; "":"" &amp; ADDRESS(MaxOrTarget+2, DVTColumn))) / LabSpeed,
  AE142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2" s="1249"/>
      <c r="AI142" s="1249" t="str">
        <f>IFERROR(__xludf.DUMMYFUNCTION("""COMPUTED_VALUE"""),"")</f>
        <v/>
      </c>
      <c r="AJ142" s="1249" t="str">
        <f>IFERROR(__xludf.DUMMYFUNCTION("""COMPUTED_VALUE"""),"")</f>
        <v/>
      </c>
      <c r="AK142" s="1249"/>
      <c r="AL142" s="1250" t="str">
        <f>IFERROR(__xludf.DUMMYFUNCTION("if(AK142 &lt;&gt; """", 
  LET( 
    TargetLevel, VLOOKUP(AK142,MS_Labs_Array,3,false),
    MaxLevel, VLOOKUP(AK142,MS_Labs_Array,4,false),
    MaxOrTarget, IF(OR(TargetLevel = """",$AD$1 &lt;&gt; ""Target""), MaxLevel, TargetLevel),
    LabLevel, VLOOKUP(AK142,MS_La"&amp;"bs_Array,2,False),
    Levelprogress, LabLevel / MaxOrTarget,
    DVTColumn, MATCH(AK142,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2" s="1251" t="str">
        <f>IFERROR(__xludf.DUMMYFUNCTION("if(AK142 &lt;&gt; """", 
  LET(
    TargetLevel, VLOOKUP(AK142,MS_Labs_Array,3,false),
    LabSpeed, (1 * REGEXEXTRACT($BH$1, ""[\d.-]+"")) * {IF(AK142 =""Labs Speed"", 1+'Master Sheet'!$BK$5, LAB_SPEED_TOTAL())},
    MaxLevel, VLOOKUP(AK142,MS_Labs_Array,4,fal"&amp;"se),
    MaxOrTarget, IF(OR(TargetLevel = """",$AD$1 &lt;&gt; ""Target""), MaxLevel, TargetLevel),
    LabLevel, VLOOKUP(AK142,MS_Labs_Array,2,False),
    DVTColumn, MATCH(AK142, DVT_Laboratory!$A$1:BO$1, 0),
    xextTime, INDIRECT(""DVT_Laboratory!"" &amp; ADDRESS"&amp;"(LabLevel+3, DVTColumn)) / LabSpeed,
    remainingTime, SUM(INDIRECT(""DVT_Laboratory!"" &amp; ADDRESS(LabLevel+3, DVTColumn) &amp; "":"" &amp; ADDRESS(MaxOrTarget+2, DVTColumn))) / LabSpeed,
  AK142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2" s="1249"/>
      <c r="AO142" s="1249" t="str">
        <f>IFERROR(__xludf.DUMMYFUNCTION("""COMPUTED_VALUE"""),"")</f>
        <v/>
      </c>
      <c r="AP142" s="1249" t="str">
        <f>IFERROR(__xludf.DUMMYFUNCTION("""COMPUTED_VALUE"""),"")</f>
        <v/>
      </c>
      <c r="AQ142" s="1249"/>
      <c r="AR142" s="1250" t="str">
        <f>IFERROR(__xludf.DUMMYFUNCTION("if(AQ142 &lt;&gt; """", 
  LET( 
    TargetLevel, VLOOKUP(AQ142,MS_Labs_Array,3,false),
    MaxLevel, VLOOKUP(AQ142,MS_Labs_Array,4,false),
    MaxOrTarget, IF(OR(TargetLevel = """",$AD$1 &lt;&gt; ""Target""), MaxLevel, TargetLevel),
    LabLevel, VLOOKUP(AQ142,MS_La"&amp;"bs_Array,2,False),
    Levelprogress, LabLevel / MaxOrTarget,
    DVTColumn, MATCH(AQ142,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2" s="1251" t="str">
        <f>IFERROR(__xludf.DUMMYFUNCTION("if(AQ142 &lt;&gt; """", 
  LET(
    TargetLevel, VLOOKUP(AQ142,MS_Labs_Array,3,false),
    LabSpeed, (1 * REGEXEXTRACT($BH$1, ""[\d.-]+"")) * {IF(AQ142 =""Labs Speed"", 1+'Master Sheet'!$BK$5, LAB_SPEED_TOTAL())},
    MaxLevel, VLOOKUP(AQ142,MS_Labs_Array,4,fal"&amp;"se),
    MaxOrTarget, IF(OR(TargetLevel = """",$AD$1 &lt;&gt; ""Target""), MaxLevel, TargetLevel),
    LabLevel, VLOOKUP(AQ142,MS_Labs_Array,2,False),
    DVTColumn, MATCH(AQ142, DVT_Laboratory!$A$1:BO$1, 0),
    xextTime, INDIRECT(""DVT_Laboratory!"" &amp; ADDRESS"&amp;"(LabLevel+3, DVTColumn)) / LabSpeed,
    remainingTime, SUM(INDIRECT(""DVT_Laboratory!"" &amp; ADDRESS(LabLevel+3, DVTColumn) &amp; "":"" &amp; ADDRESS(MaxOrTarget+2, DVTColumn))) / LabSpeed,
  AQ142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2" s="1249"/>
      <c r="AU142" s="1249" t="str">
        <f>IFERROR(__xludf.DUMMYFUNCTION("""COMPUTED_VALUE"""),"")</f>
        <v/>
      </c>
      <c r="AV142" s="1249" t="str">
        <f>IFERROR(__xludf.DUMMYFUNCTION("""COMPUTED_VALUE"""),"")</f>
        <v/>
      </c>
      <c r="AW142" s="1249"/>
      <c r="AX142" s="1250" t="str">
        <f>IFERROR(__xludf.DUMMYFUNCTION("if(AW142 &lt;&gt; """", 
  LET( 
    TargetLevel, VLOOKUP(AW142,MS_Labs_Array,3,false),
    MaxLevel, VLOOKUP(AW142,MS_Labs_Array,4,false),
    MaxOrTarget, IF(OR(TargetLevel = """",$AD$1 &lt;&gt; ""Target""), MaxLevel, TargetLevel),
    LabLevel, VLOOKUP(AW142,MS_La"&amp;"bs_Array,2,False),
    Levelprogress, LabLevel / MaxOrTarget,
    DVTColumn, MATCH(AW142,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2" s="1251" t="str">
        <f>IFERROR(__xludf.DUMMYFUNCTION("if(AW142 &lt;&gt; """", 
  LET(
    TargetLevel, VLOOKUP(AW142,MS_Labs_Array,3,false),
    LabSpeed, (1 * REGEXEXTRACT($BH$1, ""[\d.-]+"")) * {IF(AW142 =""Labs Speed"", 1+'Master Sheet'!$BK$5, LAB_SPEED_TOTAL())},
    MaxLevel, VLOOKUP(AW142,MS_Labs_Array,4,fal"&amp;"se),
    MaxOrTarget, IF(OR(TargetLevel = """",$AD$1 &lt;&gt; ""Target""), MaxLevel, TargetLevel),
    LabLevel, VLOOKUP(AW142,MS_Labs_Array,2,False),
    DVTColumn, MATCH(AW142, DVT_Laboratory!$A$1:BO$1, 0),
    xextTime, INDIRECT(""DVT_Laboratory!"" &amp; ADDRESS"&amp;"(LabLevel+3, DVTColumn)) / LabSpeed,
    remainingTime, SUM(INDIRECT(""DVT_Laboratory!"" &amp; ADDRESS(LabLevel+3, DVTColumn) &amp; "":"" &amp; ADDRESS(MaxOrTarget+2, DVTColumn))) / LabSpeed,
  AW142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2" s="1249"/>
      <c r="BA142" s="1249" t="str">
        <f>IFERROR(__xludf.DUMMYFUNCTION("""COMPUTED_VALUE"""),"")</f>
        <v/>
      </c>
      <c r="BB142" s="1249" t="str">
        <f>IFERROR(__xludf.DUMMYFUNCTION("""COMPUTED_VALUE"""),"")</f>
        <v/>
      </c>
      <c r="BC142" s="1249"/>
      <c r="BD142" s="1250" t="str">
        <f>IFERROR(__xludf.DUMMYFUNCTION("if(BC142 &lt;&gt; """", 
  LET( 
    TargetLevel, VLOOKUP(BC142,MS_Labs_Array,3,false),
    MaxLevel, VLOOKUP(BC142,MS_Labs_Array,4,false),
    MaxOrTarget, IF(OR(TargetLevel = """",$AD$1 &lt;&gt; ""Target""), MaxLevel, TargetLevel),
    LabLevel, VLOOKUP(BC142,MS_La"&amp;"bs_Array,2,False),
    Levelprogress, LabLevel / MaxOrTarget,
    DVTColumn, MATCH(BC142,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2" s="1251" t="str">
        <f>IFERROR(__xludf.DUMMYFUNCTION("if(BC142 &lt;&gt; """", 
  LET(
    TargetLevel, VLOOKUP(BC142,MS_Labs_Array,3,false),
    LabSpeed, (1 * REGEXEXTRACT($BH$1, ""[\d.-]+"")) * {IF(BC142 =""Labs Speed"", 1+'Master Sheet'!$BK$5, LAB_SPEED_TOTAL())},
    MaxLevel, VLOOKUP(BC142,MS_Labs_Array,4,fal"&amp;"se),
    MaxOrTarget, IF(OR(TargetLevel = """",$AD$1 &lt;&gt; ""Target""), MaxLevel, TargetLevel),
    LabLevel, VLOOKUP(BC142,MS_Labs_Array,2,False),
    DVTColumn, MATCH(BC142, DVT_Laboratory!$A$1:BO$1, 0),
    xextTime, INDIRECT(""DVT_Laboratory!"" &amp; ADDRESS"&amp;"(LabLevel+3, DVTColumn)) / LabSpeed,
    remainingTime, SUM(INDIRECT(""DVT_Laboratory!"" &amp; ADDRESS(LabLevel+3, DVTColumn) &amp; "":"" &amp; ADDRESS(MaxOrTarget+2, DVTColumn))) / LabSpeed,
  BC142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2" s="1249"/>
      <c r="BG142" s="1249" t="str">
        <f>IFERROR(__xludf.DUMMYFUNCTION("""COMPUTED_VALUE"""),"")</f>
        <v/>
      </c>
      <c r="BH142" s="1260" t="str">
        <f>IFERROR(__xludf.DUMMYFUNCTION("""COMPUTED_VALUE"""),"")</f>
        <v/>
      </c>
      <c r="BI142" s="1252"/>
      <c r="BJ142" s="1253" t="str">
        <f>IFERROR(__xludf.DUMMYFUNCTION("if(BI142 &lt;&gt; """", 
  LET( 
    TargetLevel, VLOOKUP(BI142,MS_Labs_Array,3,false),
    MaxLevel, VLOOKUP(BI142,MS_Labs_Array,4,false),
    MaxOrTarget, IF(OR(TargetLevel = """",$AD$1 &lt;&gt; ""Target""), MaxLevel, TargetLevel),
    LabLevel, VLOOKUP(BI142,MS_La"&amp;"bs_Array,2,False),
    Levelprogress, IF(LabLevel &gt;= MaxOrTarget, 1, LabLevel / MaxOrTarget),
    DVTColumn, MATCH(BI142,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2" s="1254" t="str">
        <f>IFERROR(__xludf.DUMMYFUNCTION("if(BI142 &lt;&gt; """", 
  LET(
    TargetLevel, VLOOKUP(BI142,MS_Labs_Array,3,false),
    LabSpeed, (1 * REGEXEXTRACT($BH$1, ""[\d.-]+"")) * {IF(BI142 =""Labs Speed"", 1+'Master Sheet'!$BK$5, LAB_SPEED_TOTAL())},
    MaxLevel, VLOOKUP(BI142,MS_Labs_Array,4,fal"&amp;"se),
    MaxOrTarget, IF(OR(TargetLevel = """",$AD$1 &lt;&gt; ""Target""), MaxLevel, TargetLevel),
    LabLevel, VLOOKUP(BI142,MS_Labs_Array,2,False),
    DVTColumn, MATCH(BI142, DVT_Laboratory!$A$1:BO$1, 0),
    xextTime, INDIRECT(""DVT_Laboratory!"" &amp; ADDRESS"&amp;"(LabLevel+3, DVTColumn)) / LabSpeed,
    remainingTime, SUM(INDIRECT(""DVT_Laboratory!"" &amp; ADDRESS(LabLevel+3, DVTColumn) &amp; "":"" &amp; ADDRESS(MaxOrTarget+2, DVTColumn))) / LabSpeed,
  BI142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2" s="1252"/>
      <c r="BM142" s="1252" t="str">
        <f>IFERROR(__xludf.DUMMYFUNCTION("""COMPUTED_VALUE"""),"")</f>
        <v/>
      </c>
      <c r="BN142" s="1222"/>
      <c r="BO142" s="1261"/>
    </row>
    <row r="143">
      <c r="A143" s="1222"/>
      <c r="B143" s="1257"/>
      <c r="C143" s="1326" t="s">
        <v>305</v>
      </c>
      <c r="D143" s="1280" t="str">
        <f>VLOOKUP(C143,'Remote Tier List'!A:D, 2, FALSE)</f>
        <v>D</v>
      </c>
      <c r="E143" s="1281" t="str">
        <f>VLOOKUP(C143,'Remote Tier List'!A:D, 3, FALSE)</f>
        <v/>
      </c>
      <c r="F143" s="1276"/>
      <c r="G143" s="1245" t="b">
        <f t="shared" si="23"/>
        <v>1</v>
      </c>
      <c r="H143" s="1246" t="str">
        <f t="array" ref="H143:I143">LET(
  Lab, $C143,
  Mode, $AD$1,
  Level, VLOOKUP(Lab, MS_Labs_Array, 2, FALSE),
  Target, VLOOKUP(Lab, MS_Labs_Array, 3, FALSE),
  Max, VLOOKUP(Lab, MS_Labs_Array, 4, FALSE),
  Result,
    IF(
      AND(
        Mode &lt;&gt; "Never",
        Level &gt;= IF(OR(Target = "", Mode = "Max"), Max, Target)
      ),
      "Completed",
      ""
    ),
  HSTACK(
    IF(Result &lt;&gt; "", Result, $D143),
    IF(Result &lt;&gt; "", Result, IF($E143 = "", $D143, $E143))
  )
)</f>
        <v>D</v>
      </c>
      <c r="I143" s="1247" t="s">
        <v>548</v>
      </c>
      <c r="J143" s="1248"/>
      <c r="K143" s="1229"/>
      <c r="L143" s="1249"/>
      <c r="M143" s="1249"/>
      <c r="N143" s="1250" t="str">
        <f>IFERROR(__xludf.DUMMYFUNCTION("if(M143 &lt;&gt; """", 
  LET( 
    TargetLevel, VLOOKUP(M143,MS_Labs_Array,3,false),
    MaxLevel, VLOOKUP(M143,MS_Labs_Array,4,false),
    MaxOrTarget, IF(OR(TargetLevel = """",$AD$1 &lt;&gt; ""Target""), MaxLevel, TargetLevel),
    LabLevel, VLOOKUP(M143,MS_Labs_A"&amp;"rray,2,False),
    Levelprogress, LabLevel / MaxOrTarget,
    DVTColumn, MATCH(M143,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3" s="1251" t="str">
        <f>IFERROR(__xludf.DUMMYFUNCTION("if(M143 &lt;&gt; """", 
  LET(
    TargetLevel, VLOOKUP(M143,MS_Labs_Array,3,false),
    LabSpeed, (1 * REGEXEXTRACT($BH$1, ""[\d.-]+"")) * {IF(M143 =""Labs Speed"", 1+'Master Sheet'!$BK$5, LAB_SPEED_TOTAL())},
    MaxLevel, VLOOKUP(M143,MS_Labs_Array,4,false),"&amp;"
    MaxOrTarget, IF(OR(TargetLevel = """",$AD$1 &lt;&gt; ""Target""), MaxLevel, TargetLevel),
    LabLevel, VLOOKUP(M143,MS_Labs_Array,2,False),
    DVTColumn, MATCH(M143, DVT_Laboratory!$A$1:BO$1, 0),
    xextTime, INDIRECT(""DVT_Laboratory!"" &amp; ADDRESS(LabLe"&amp;"vel+3, DVTColumn)) / LabSpeed,
    remainingTime, SUM(INDIRECT(""DVT_Laboratory!"" &amp; ADDRESS(LabLevel+3, DVTColumn) &amp; "":"" &amp; ADDRESS(MaxOrTarget+2, DVTColumn))) / LabSpeed,
  M143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3" s="1249"/>
      <c r="Q143" s="1249"/>
      <c r="R143" s="1249"/>
      <c r="S143" s="1249"/>
      <c r="T143" s="1250" t="str">
        <f>IFERROR(__xludf.DUMMYFUNCTION("if(S143 &lt;&gt; """", 
  LET( 
    TargetLevel, VLOOKUP(S143,MS_Labs_Array,3,false),
    MaxLevel, VLOOKUP(S143,MS_Labs_Array,4,false),
    MaxOrTarget, IF(OR(TargetLevel = """",$AD$1 &lt;&gt; ""Target""), MaxLevel, TargetLevel),
    LabLevel, VLOOKUP(S143,MS_Labs_A"&amp;"rray,2,False),
    Levelprogress, LabLevel / MaxOrTarget,
    DVTColumn, MATCH(S143,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3" s="1251" t="str">
        <f>IFERROR(__xludf.DUMMYFUNCTION("if(S143 &lt;&gt; """", 
  LET(
    TargetLevel, VLOOKUP(S143,MS_Labs_Array,3,false),
    LabSpeed, (1 * REGEXEXTRACT($BH$1, ""[\d.-]+"")) * {IF(S143 =""Labs Speed"", 1+'Master Sheet'!$BK$5, LAB_SPEED_TOTAL())},
    MaxLevel, VLOOKUP(S143,MS_Labs_Array,4,false),"&amp;"
    MaxOrTarget, IF(OR(TargetLevel = """",$AD$1 &lt;&gt; ""Target""), MaxLevel, TargetLevel),
    LabLevel, VLOOKUP(S143,MS_Labs_Array,2,False),
    DVTColumn, MATCH(S143, DVT_Laboratory!$A$1:BO$1, 0),
    xextTime, INDIRECT(""DVT_Laboratory!"" &amp; ADDRESS(LabLe"&amp;"vel+3, DVTColumn)) / LabSpeed,
    remainingTime, SUM(INDIRECT(""DVT_Laboratory!"" &amp; ADDRESS(LabLevel+3, DVTColumn) &amp; "":"" &amp; ADDRESS(MaxOrTarget+2, DVTColumn))) / LabSpeed,
  S143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3" s="1249"/>
      <c r="W143" s="1249"/>
      <c r="X143" s="1249"/>
      <c r="Y143" s="1249"/>
      <c r="Z143" s="1250" t="str">
        <f>IFERROR(__xludf.DUMMYFUNCTION("if(Y143 &lt;&gt; """", 
  LET( 
    TargetLevel, VLOOKUP(Y143,MS_Labs_Array,3,false),
    MaxLevel, VLOOKUP(Y143,MS_Labs_Array,4,false),
    MaxOrTarget, IF(OR(TargetLevel = """",$AD$1 &lt;&gt; ""Target""), MaxLevel, TargetLevel),
    LabLevel, VLOOKUP(Y143,MS_Labs_A"&amp;"rray,2,False),
    Levelprogress, LabLevel / MaxOrTarget,
    DVTColumn, MATCH(Y143,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3" s="1251" t="str">
        <f>IFERROR(__xludf.DUMMYFUNCTION("if(Y143 &lt;&gt; """", 
  LET(
    TargetLevel, VLOOKUP(Y143,MS_Labs_Array,3,false),
    LabSpeed, (1 * REGEXEXTRACT($BH$1, ""[\d.-]+"")) * {IF(Y143 =""Labs Speed"", 1+'Master Sheet'!$BK$5, LAB_SPEED_TOTAL())},
    MaxLevel, VLOOKUP(Y143,MS_Labs_Array,4,false),"&amp;"
    MaxOrTarget, IF(OR(TargetLevel = """",$AD$1 &lt;&gt; ""Target""), MaxLevel, TargetLevel),
    LabLevel, VLOOKUP(Y143,MS_Labs_Array,2,False),
    DVTColumn, MATCH(Y143, DVT_Laboratory!$A$1:BO$1, 0),
    xextTime, INDIRECT(""DVT_Laboratory!"" &amp; ADDRESS(LabLe"&amp;"vel+3, DVTColumn)) / LabSpeed,
    remainingTime, SUM(INDIRECT(""DVT_Laboratory!"" &amp; ADDRESS(LabLevel+3, DVTColumn) &amp; "":"" &amp; ADDRESS(MaxOrTarget+2, DVTColumn))) / LabSpeed,
  Y143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3" s="1249"/>
      <c r="AC143" s="1249"/>
      <c r="AD143" s="1249"/>
      <c r="AE143" s="1249"/>
      <c r="AF143" s="1250" t="str">
        <f>IFERROR(__xludf.DUMMYFUNCTION("if(AE143 &lt;&gt; """", 
  LET( 
    TargetLevel, VLOOKUP(AE143,MS_Labs_Array,3,false),
    MaxLevel, VLOOKUP(AE143,MS_Labs_Array,4,false),
    MaxOrTarget, IF(OR(TargetLevel = """",$AD$1 &lt;&gt; ""Target""), MaxLevel, TargetLevel),
    LabLevel, VLOOKUP(AE143,MS_La"&amp;"bs_Array,2,False),
    Levelprogress, LabLevel / MaxOrTarget,
    DVTColumn, MATCH(AE143,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3" s="1251" t="str">
        <f>IFERROR(__xludf.DUMMYFUNCTION("if(AE143 &lt;&gt; """", 
  LET(
    TargetLevel, VLOOKUP(AE143,MS_Labs_Array,3,false),
    LabSpeed, (1 * REGEXEXTRACT($BH$1, ""[\d.-]+"")) * {IF(AE143 =""Labs Speed"", 1+'Master Sheet'!$BK$5, LAB_SPEED_TOTAL())},
    MaxLevel, VLOOKUP(AE143,MS_Labs_Array,4,fal"&amp;"se),
    MaxOrTarget, IF(OR(TargetLevel = """",$AD$1 &lt;&gt; ""Target""), MaxLevel, TargetLevel),
    LabLevel, VLOOKUP(AE143,MS_Labs_Array,2,False),
    DVTColumn, MATCH(AE143, DVT_Laboratory!$A$1:BO$1, 0),
    xextTime, INDIRECT(""DVT_Laboratory!"" &amp; ADDRESS"&amp;"(LabLevel+3, DVTColumn)) / LabSpeed,
    remainingTime, SUM(INDIRECT(""DVT_Laboratory!"" &amp; ADDRESS(LabLevel+3, DVTColumn) &amp; "":"" &amp; ADDRESS(MaxOrTarget+2, DVTColumn))) / LabSpeed,
  AE143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3" s="1249"/>
      <c r="AI143" s="1249"/>
      <c r="AJ143" s="1249"/>
      <c r="AK143" s="1249"/>
      <c r="AL143" s="1250" t="str">
        <f>IFERROR(__xludf.DUMMYFUNCTION("if(AK143 &lt;&gt; """", 
  LET( 
    TargetLevel, VLOOKUP(AK143,MS_Labs_Array,3,false),
    MaxLevel, VLOOKUP(AK143,MS_Labs_Array,4,false),
    MaxOrTarget, IF(OR(TargetLevel = """",$AD$1 &lt;&gt; ""Target""), MaxLevel, TargetLevel),
    LabLevel, VLOOKUP(AK143,MS_La"&amp;"bs_Array,2,False),
    Levelprogress, LabLevel / MaxOrTarget,
    DVTColumn, MATCH(AK143,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3" s="1251" t="str">
        <f>IFERROR(__xludf.DUMMYFUNCTION("if(AK143 &lt;&gt; """", 
  LET(
    TargetLevel, VLOOKUP(AK143,MS_Labs_Array,3,false),
    LabSpeed, (1 * REGEXEXTRACT($BH$1, ""[\d.-]+"")) * {IF(AK143 =""Labs Speed"", 1+'Master Sheet'!$BK$5, LAB_SPEED_TOTAL())},
    MaxLevel, VLOOKUP(AK143,MS_Labs_Array,4,fal"&amp;"se),
    MaxOrTarget, IF(OR(TargetLevel = """",$AD$1 &lt;&gt; ""Target""), MaxLevel, TargetLevel),
    LabLevel, VLOOKUP(AK143,MS_Labs_Array,2,False),
    DVTColumn, MATCH(AK143, DVT_Laboratory!$A$1:BO$1, 0),
    xextTime, INDIRECT(""DVT_Laboratory!"" &amp; ADDRESS"&amp;"(LabLevel+3, DVTColumn)) / LabSpeed,
    remainingTime, SUM(INDIRECT(""DVT_Laboratory!"" &amp; ADDRESS(LabLevel+3, DVTColumn) &amp; "":"" &amp; ADDRESS(MaxOrTarget+2, DVTColumn))) / LabSpeed,
  AK143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3" s="1249"/>
      <c r="AO143" s="1249"/>
      <c r="AP143" s="1249"/>
      <c r="AQ143" s="1249"/>
      <c r="AR143" s="1250" t="str">
        <f>IFERROR(__xludf.DUMMYFUNCTION("if(AQ143 &lt;&gt; """", 
  LET( 
    TargetLevel, VLOOKUP(AQ143,MS_Labs_Array,3,false),
    MaxLevel, VLOOKUP(AQ143,MS_Labs_Array,4,false),
    MaxOrTarget, IF(OR(TargetLevel = """",$AD$1 &lt;&gt; ""Target""), MaxLevel, TargetLevel),
    LabLevel, VLOOKUP(AQ143,MS_La"&amp;"bs_Array,2,False),
    Levelprogress, LabLevel / MaxOrTarget,
    DVTColumn, MATCH(AQ143,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3" s="1251" t="str">
        <f>IFERROR(__xludf.DUMMYFUNCTION("if(AQ143 &lt;&gt; """", 
  LET(
    TargetLevel, VLOOKUP(AQ143,MS_Labs_Array,3,false),
    LabSpeed, (1 * REGEXEXTRACT($BH$1, ""[\d.-]+"")) * {IF(AQ143 =""Labs Speed"", 1+'Master Sheet'!$BK$5, LAB_SPEED_TOTAL())},
    MaxLevel, VLOOKUP(AQ143,MS_Labs_Array,4,fal"&amp;"se),
    MaxOrTarget, IF(OR(TargetLevel = """",$AD$1 &lt;&gt; ""Target""), MaxLevel, TargetLevel),
    LabLevel, VLOOKUP(AQ143,MS_Labs_Array,2,False),
    DVTColumn, MATCH(AQ143, DVT_Laboratory!$A$1:BO$1, 0),
    xextTime, INDIRECT(""DVT_Laboratory!"" &amp; ADDRESS"&amp;"(LabLevel+3, DVTColumn)) / LabSpeed,
    remainingTime, SUM(INDIRECT(""DVT_Laboratory!"" &amp; ADDRESS(LabLevel+3, DVTColumn) &amp; "":"" &amp; ADDRESS(MaxOrTarget+2, DVTColumn))) / LabSpeed,
  AQ143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3" s="1249"/>
      <c r="AU143" s="1249"/>
      <c r="AV143" s="1249"/>
      <c r="AW143" s="1249"/>
      <c r="AX143" s="1250" t="str">
        <f>IFERROR(__xludf.DUMMYFUNCTION("if(AW143 &lt;&gt; """", 
  LET( 
    TargetLevel, VLOOKUP(AW143,MS_Labs_Array,3,false),
    MaxLevel, VLOOKUP(AW143,MS_Labs_Array,4,false),
    MaxOrTarget, IF(OR(TargetLevel = """",$AD$1 &lt;&gt; ""Target""), MaxLevel, TargetLevel),
    LabLevel, VLOOKUP(AW143,MS_La"&amp;"bs_Array,2,False),
    Levelprogress, LabLevel / MaxOrTarget,
    DVTColumn, MATCH(AW143,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3" s="1251" t="str">
        <f>IFERROR(__xludf.DUMMYFUNCTION("if(AW143 &lt;&gt; """", 
  LET(
    TargetLevel, VLOOKUP(AW143,MS_Labs_Array,3,false),
    LabSpeed, (1 * REGEXEXTRACT($BH$1, ""[\d.-]+"")) * {IF(AW143 =""Labs Speed"", 1+'Master Sheet'!$BK$5, LAB_SPEED_TOTAL())},
    MaxLevel, VLOOKUP(AW143,MS_Labs_Array,4,fal"&amp;"se),
    MaxOrTarget, IF(OR(TargetLevel = """",$AD$1 &lt;&gt; ""Target""), MaxLevel, TargetLevel),
    LabLevel, VLOOKUP(AW143,MS_Labs_Array,2,False),
    DVTColumn, MATCH(AW143, DVT_Laboratory!$A$1:BO$1, 0),
    xextTime, INDIRECT(""DVT_Laboratory!"" &amp; ADDRESS"&amp;"(LabLevel+3, DVTColumn)) / LabSpeed,
    remainingTime, SUM(INDIRECT(""DVT_Laboratory!"" &amp; ADDRESS(LabLevel+3, DVTColumn) &amp; "":"" &amp; ADDRESS(MaxOrTarget+2, DVTColumn))) / LabSpeed,
  AW143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3" s="1249"/>
      <c r="BA143" s="1249"/>
      <c r="BB143" s="1249"/>
      <c r="BC143" s="1249"/>
      <c r="BD143" s="1250" t="str">
        <f>IFERROR(__xludf.DUMMYFUNCTION("if(BC143 &lt;&gt; """", 
  LET( 
    TargetLevel, VLOOKUP(BC143,MS_Labs_Array,3,false),
    MaxLevel, VLOOKUP(BC143,MS_Labs_Array,4,false),
    MaxOrTarget, IF(OR(TargetLevel = """",$AD$1 &lt;&gt; ""Target""), MaxLevel, TargetLevel),
    LabLevel, VLOOKUP(BC143,MS_La"&amp;"bs_Array,2,False),
    Levelprogress, LabLevel / MaxOrTarget,
    DVTColumn, MATCH(BC143,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3" s="1251" t="str">
        <f>IFERROR(__xludf.DUMMYFUNCTION("if(BC143 &lt;&gt; """", 
  LET(
    TargetLevel, VLOOKUP(BC143,MS_Labs_Array,3,false),
    LabSpeed, (1 * REGEXEXTRACT($BH$1, ""[\d.-]+"")) * {IF(BC143 =""Labs Speed"", 1+'Master Sheet'!$BK$5, LAB_SPEED_TOTAL())},
    MaxLevel, VLOOKUP(BC143,MS_Labs_Array,4,fal"&amp;"se),
    MaxOrTarget, IF(OR(TargetLevel = """",$AD$1 &lt;&gt; ""Target""), MaxLevel, TargetLevel),
    LabLevel, VLOOKUP(BC143,MS_Labs_Array,2,False),
    DVTColumn, MATCH(BC143, DVT_Laboratory!$A$1:BO$1, 0),
    xextTime, INDIRECT(""DVT_Laboratory!"" &amp; ADDRESS"&amp;"(LabLevel+3, DVTColumn)) / LabSpeed,
    remainingTime, SUM(INDIRECT(""DVT_Laboratory!"" &amp; ADDRESS(LabLevel+3, DVTColumn) &amp; "":"" &amp; ADDRESS(MaxOrTarget+2, DVTColumn))) / LabSpeed,
  BC143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3" s="1249"/>
      <c r="BG143" s="1249"/>
      <c r="BH143" s="1260"/>
      <c r="BI143" s="1252"/>
      <c r="BJ143" s="1253" t="str">
        <f>IFERROR(__xludf.DUMMYFUNCTION("if(BI143 &lt;&gt; """", 
  LET( 
    TargetLevel, VLOOKUP(BI143,MS_Labs_Array,3,false),
    MaxLevel, VLOOKUP(BI143,MS_Labs_Array,4,false),
    MaxOrTarget, IF(OR(TargetLevel = """",$AD$1 &lt;&gt; ""Target""), MaxLevel, TargetLevel),
    LabLevel, VLOOKUP(BI143,MS_La"&amp;"bs_Array,2,False),
    Levelprogress, IF(LabLevel &gt;= MaxOrTarget, 1, LabLevel / MaxOrTarget),
    DVTColumn, MATCH(BI143,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3" s="1254" t="str">
        <f>IFERROR(__xludf.DUMMYFUNCTION("if(BI143 &lt;&gt; """", 
  LET(
    TargetLevel, VLOOKUP(BI143,MS_Labs_Array,3,false),
    LabSpeed, (1 * REGEXEXTRACT($BH$1, ""[\d.-]+"")) * {IF(BI143 =""Labs Speed"", 1+'Master Sheet'!$BK$5, LAB_SPEED_TOTAL())},
    MaxLevel, VLOOKUP(BI143,MS_Labs_Array,4,fal"&amp;"se),
    MaxOrTarget, IF(OR(TargetLevel = """",$AD$1 &lt;&gt; ""Target""), MaxLevel, TargetLevel),
    LabLevel, VLOOKUP(BI143,MS_Labs_Array,2,False),
    DVTColumn, MATCH(BI143, DVT_Laboratory!$A$1:BO$1, 0),
    xextTime, INDIRECT(""DVT_Laboratory!"" &amp; ADDRESS"&amp;"(LabLevel+3, DVTColumn)) / LabSpeed,
    remainingTime, SUM(INDIRECT(""DVT_Laboratory!"" &amp; ADDRESS(LabLevel+3, DVTColumn) &amp; "":"" &amp; ADDRESS(MaxOrTarget+2, DVTColumn))) / LabSpeed,
  BI143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3" s="1252"/>
      <c r="BM143" s="1252"/>
      <c r="BN143" s="1222"/>
      <c r="BO143" s="1261"/>
    </row>
    <row r="144" ht="7.5" customHeight="1">
      <c r="A144" s="1222"/>
      <c r="B144" s="1269" t="s">
        <v>568</v>
      </c>
      <c r="C144" s="1326" t="s">
        <v>312</v>
      </c>
      <c r="D144" s="1280" t="str">
        <f>VLOOKUP(C144,'Remote Tier List'!A:D, 2, FALSE)</f>
        <v>D</v>
      </c>
      <c r="E144" s="1281" t="str">
        <f>VLOOKUP(C144,'Remote Tier List'!A:D, 3, FALSE)</f>
        <v/>
      </c>
      <c r="F144" s="1327" t="str">
        <f>VLOOKUP(C144,'Remote Tier List'!A:D, 4, FALSE)</f>
        <v>By the time you unlock this you're very likely past the point where eHP is a realistic build</v>
      </c>
      <c r="G144" s="1245" t="b">
        <f t="shared" si="23"/>
        <v>0</v>
      </c>
      <c r="H144" s="1246" t="str">
        <f t="array" ref="H144:I144">LET(
  Lab, $C144,
  Mode, $AD$1,
  Level, VLOOKUP(Lab, MS_Labs_Array, 2, FALSE),
  Target, VLOOKUP(Lab, MS_Labs_Array, 3, FALSE),
  Max, VLOOKUP(Lab, MS_Labs_Array, 4, FALSE),
  Result,
    IF(
      AND(
        Mode &lt;&gt; "Never",
        Level &gt;= IF(OR(Target = "", Mode = "Max"), Max, Target)
      ),
      "Completed",
      ""
    ),
  HSTACK(
    IF(Result &lt;&gt; "", Result, $D144),
    IF(Result &lt;&gt; "", Result, IF($E144 = "", $D144, $E144))
  )
)</f>
        <v>D</v>
      </c>
      <c r="I144" s="1247" t="s">
        <v>548</v>
      </c>
      <c r="J144" s="1248"/>
      <c r="K144" s="1229"/>
      <c r="L144" s="1249" t="str">
        <f>IFERROR(__xludf.DUMMYFUNCTION("""COMPUTED_VALUE"""),"")</f>
        <v/>
      </c>
      <c r="M144" s="1249"/>
      <c r="N144" s="1250" t="str">
        <f>IFERROR(__xludf.DUMMYFUNCTION("if(M144 &lt;&gt; """", 
  LET( 
    TargetLevel, VLOOKUP(M144,MS_Labs_Array,3,false),
    MaxLevel, VLOOKUP(M144,MS_Labs_Array,4,false),
    MaxOrTarget, IF(OR(TargetLevel = """",$AD$1 &lt;&gt; ""Target""), MaxLevel, TargetLevel),
    LabLevel, VLOOKUP(M144,MS_Labs_A"&amp;"rray,2,False),
    Levelprogress, LabLevel / MaxOrTarget,
    DVTColumn, MATCH(M144,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4" s="1251" t="str">
        <f>IFERROR(__xludf.DUMMYFUNCTION("if(M144 &lt;&gt; """", 
  LET(
    TargetLevel, VLOOKUP(M144,MS_Labs_Array,3,false),
    LabSpeed, (1 * REGEXEXTRACT($BH$1, ""[\d.-]+"")) * {IF(M144 =""Labs Speed"", 1+'Master Sheet'!$BK$5, LAB_SPEED_TOTAL())},
    MaxLevel, VLOOKUP(M144,MS_Labs_Array,4,false),"&amp;"
    MaxOrTarget, IF(OR(TargetLevel = """",$AD$1 &lt;&gt; ""Target""), MaxLevel, TargetLevel),
    LabLevel, VLOOKUP(M144,MS_Labs_Array,2,False),
    DVTColumn, MATCH(M144, DVT_Laboratory!$A$1:BO$1, 0),
    xextTime, INDIRECT(""DVT_Laboratory!"" &amp; ADDRESS(LabLe"&amp;"vel+3, DVTColumn)) / LabSpeed,
    remainingTime, SUM(INDIRECT(""DVT_Laboratory!"" &amp; ADDRESS(LabLevel+3, DVTColumn) &amp; "":"" &amp; ADDRESS(MaxOrTarget+2, DVTColumn))) / LabSpeed,
  M144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4" s="1249"/>
      <c r="Q144" s="1249" t="str">
        <f>IFERROR(__xludf.DUMMYFUNCTION("""COMPUTED_VALUE"""),"")</f>
        <v/>
      </c>
      <c r="R144" s="1249" t="str">
        <f>IFERROR(__xludf.DUMMYFUNCTION("""COMPUTED_VALUE"""),"")</f>
        <v/>
      </c>
      <c r="S144" s="1249"/>
      <c r="T144" s="1250" t="str">
        <f>IFERROR(__xludf.DUMMYFUNCTION("if(S144 &lt;&gt; """", 
  LET( 
    TargetLevel, VLOOKUP(S144,MS_Labs_Array,3,false),
    MaxLevel, VLOOKUP(S144,MS_Labs_Array,4,false),
    MaxOrTarget, IF(OR(TargetLevel = """",$AD$1 &lt;&gt; ""Target""), MaxLevel, TargetLevel),
    LabLevel, VLOOKUP(S144,MS_Labs_A"&amp;"rray,2,False),
    Levelprogress, LabLevel / MaxOrTarget,
    DVTColumn, MATCH(S144,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4" s="1251" t="str">
        <f>IFERROR(__xludf.DUMMYFUNCTION("if(S144 &lt;&gt; """", 
  LET(
    TargetLevel, VLOOKUP(S144,MS_Labs_Array,3,false),
    LabSpeed, (1 * REGEXEXTRACT($BH$1, ""[\d.-]+"")) * {IF(S144 =""Labs Speed"", 1+'Master Sheet'!$BK$5, LAB_SPEED_TOTAL())},
    MaxLevel, VLOOKUP(S144,MS_Labs_Array,4,false),"&amp;"
    MaxOrTarget, IF(OR(TargetLevel = """",$AD$1 &lt;&gt; ""Target""), MaxLevel, TargetLevel),
    LabLevel, VLOOKUP(S144,MS_Labs_Array,2,False),
    DVTColumn, MATCH(S144, DVT_Laboratory!$A$1:BO$1, 0),
    xextTime, INDIRECT(""DVT_Laboratory!"" &amp; ADDRESS(LabLe"&amp;"vel+3, DVTColumn)) / LabSpeed,
    remainingTime, SUM(INDIRECT(""DVT_Laboratory!"" &amp; ADDRESS(LabLevel+3, DVTColumn) &amp; "":"" &amp; ADDRESS(MaxOrTarget+2, DVTColumn))) / LabSpeed,
  S144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4" s="1249"/>
      <c r="W144" s="1249" t="str">
        <f>IFERROR(__xludf.DUMMYFUNCTION("""COMPUTED_VALUE"""),"")</f>
        <v/>
      </c>
      <c r="X144" s="1249" t="str">
        <f>IFERROR(__xludf.DUMMYFUNCTION("""COMPUTED_VALUE"""),"")</f>
        <v/>
      </c>
      <c r="Y144" s="1249"/>
      <c r="Z144" s="1250" t="str">
        <f>IFERROR(__xludf.DUMMYFUNCTION("if(Y144 &lt;&gt; """", 
  LET( 
    TargetLevel, VLOOKUP(Y144,MS_Labs_Array,3,false),
    MaxLevel, VLOOKUP(Y144,MS_Labs_Array,4,false),
    MaxOrTarget, IF(OR(TargetLevel = """",$AD$1 &lt;&gt; ""Target""), MaxLevel, TargetLevel),
    LabLevel, VLOOKUP(Y144,MS_Labs_A"&amp;"rray,2,False),
    Levelprogress, LabLevel / MaxOrTarget,
    DVTColumn, MATCH(Y144,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4" s="1251" t="str">
        <f>IFERROR(__xludf.DUMMYFUNCTION("if(Y144 &lt;&gt; """", 
  LET(
    TargetLevel, VLOOKUP(Y144,MS_Labs_Array,3,false),
    LabSpeed, (1 * REGEXEXTRACT($BH$1, ""[\d.-]+"")) * {IF(Y144 =""Labs Speed"", 1+'Master Sheet'!$BK$5, LAB_SPEED_TOTAL())},
    MaxLevel, VLOOKUP(Y144,MS_Labs_Array,4,false),"&amp;"
    MaxOrTarget, IF(OR(TargetLevel = """",$AD$1 &lt;&gt; ""Target""), MaxLevel, TargetLevel),
    LabLevel, VLOOKUP(Y144,MS_Labs_Array,2,False),
    DVTColumn, MATCH(Y144, DVT_Laboratory!$A$1:BO$1, 0),
    xextTime, INDIRECT(""DVT_Laboratory!"" &amp; ADDRESS(LabLe"&amp;"vel+3, DVTColumn)) / LabSpeed,
    remainingTime, SUM(INDIRECT(""DVT_Laboratory!"" &amp; ADDRESS(LabLevel+3, DVTColumn) &amp; "":"" &amp; ADDRESS(MaxOrTarget+2, DVTColumn))) / LabSpeed,
  Y144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4" s="1249"/>
      <c r="AC144" s="1249" t="str">
        <f>IFERROR(__xludf.DUMMYFUNCTION("""COMPUTED_VALUE"""),"")</f>
        <v/>
      </c>
      <c r="AD144" s="1249" t="str">
        <f>IFERROR(__xludf.DUMMYFUNCTION("""COMPUTED_VALUE"""),"")</f>
        <v/>
      </c>
      <c r="AE144" s="1249"/>
      <c r="AF144" s="1250" t="str">
        <f>IFERROR(__xludf.DUMMYFUNCTION("if(AE144 &lt;&gt; """", 
  LET( 
    TargetLevel, VLOOKUP(AE144,MS_Labs_Array,3,false),
    MaxLevel, VLOOKUP(AE144,MS_Labs_Array,4,false),
    MaxOrTarget, IF(OR(TargetLevel = """",$AD$1 &lt;&gt; ""Target""), MaxLevel, TargetLevel),
    LabLevel, VLOOKUP(AE144,MS_La"&amp;"bs_Array,2,False),
    Levelprogress, LabLevel / MaxOrTarget,
    DVTColumn, MATCH(AE144,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4" s="1251" t="str">
        <f>IFERROR(__xludf.DUMMYFUNCTION("if(AE144 &lt;&gt; """", 
  LET(
    TargetLevel, VLOOKUP(AE144,MS_Labs_Array,3,false),
    LabSpeed, (1 * REGEXEXTRACT($BH$1, ""[\d.-]+"")) * {IF(AE144 =""Labs Speed"", 1+'Master Sheet'!$BK$5, LAB_SPEED_TOTAL())},
    MaxLevel, VLOOKUP(AE144,MS_Labs_Array,4,fal"&amp;"se),
    MaxOrTarget, IF(OR(TargetLevel = """",$AD$1 &lt;&gt; ""Target""), MaxLevel, TargetLevel),
    LabLevel, VLOOKUP(AE144,MS_Labs_Array,2,False),
    DVTColumn, MATCH(AE144, DVT_Laboratory!$A$1:BO$1, 0),
    xextTime, INDIRECT(""DVT_Laboratory!"" &amp; ADDRESS"&amp;"(LabLevel+3, DVTColumn)) / LabSpeed,
    remainingTime, SUM(INDIRECT(""DVT_Laboratory!"" &amp; ADDRESS(LabLevel+3, DVTColumn) &amp; "":"" &amp; ADDRESS(MaxOrTarget+2, DVTColumn))) / LabSpeed,
  AE144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4" s="1249"/>
      <c r="AI144" s="1249" t="str">
        <f>IFERROR(__xludf.DUMMYFUNCTION("""COMPUTED_VALUE"""),"")</f>
        <v/>
      </c>
      <c r="AJ144" s="1249" t="str">
        <f>IFERROR(__xludf.DUMMYFUNCTION("""COMPUTED_VALUE"""),"")</f>
        <v/>
      </c>
      <c r="AK144" s="1249"/>
      <c r="AL144" s="1250" t="str">
        <f>IFERROR(__xludf.DUMMYFUNCTION("if(AK144 &lt;&gt; """", 
  LET( 
    TargetLevel, VLOOKUP(AK144,MS_Labs_Array,3,false),
    MaxLevel, VLOOKUP(AK144,MS_Labs_Array,4,false),
    MaxOrTarget, IF(OR(TargetLevel = """",$AD$1 &lt;&gt; ""Target""), MaxLevel, TargetLevel),
    LabLevel, VLOOKUP(AK144,MS_La"&amp;"bs_Array,2,False),
    Levelprogress, LabLevel / MaxOrTarget,
    DVTColumn, MATCH(AK144,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4" s="1251" t="str">
        <f>IFERROR(__xludf.DUMMYFUNCTION("if(AK144 &lt;&gt; """", 
  LET(
    TargetLevel, VLOOKUP(AK144,MS_Labs_Array,3,false),
    LabSpeed, (1 * REGEXEXTRACT($BH$1, ""[\d.-]+"")) * {IF(AK144 =""Labs Speed"", 1+'Master Sheet'!$BK$5, LAB_SPEED_TOTAL())},
    MaxLevel, VLOOKUP(AK144,MS_Labs_Array,4,fal"&amp;"se),
    MaxOrTarget, IF(OR(TargetLevel = """",$AD$1 &lt;&gt; ""Target""), MaxLevel, TargetLevel),
    LabLevel, VLOOKUP(AK144,MS_Labs_Array,2,False),
    DVTColumn, MATCH(AK144, DVT_Laboratory!$A$1:BO$1, 0),
    xextTime, INDIRECT(""DVT_Laboratory!"" &amp; ADDRESS"&amp;"(LabLevel+3, DVTColumn)) / LabSpeed,
    remainingTime, SUM(INDIRECT(""DVT_Laboratory!"" &amp; ADDRESS(LabLevel+3, DVTColumn) &amp; "":"" &amp; ADDRESS(MaxOrTarget+2, DVTColumn))) / LabSpeed,
  AK144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4" s="1249"/>
      <c r="AO144" s="1249" t="str">
        <f>IFERROR(__xludf.DUMMYFUNCTION("""COMPUTED_VALUE"""),"")</f>
        <v/>
      </c>
      <c r="AP144" s="1249" t="str">
        <f>IFERROR(__xludf.DUMMYFUNCTION("""COMPUTED_VALUE"""),"")</f>
        <v/>
      </c>
      <c r="AQ144" s="1249"/>
      <c r="AR144" s="1250" t="str">
        <f>IFERROR(__xludf.DUMMYFUNCTION("if(AQ144 &lt;&gt; """", 
  LET( 
    TargetLevel, VLOOKUP(AQ144,MS_Labs_Array,3,false),
    MaxLevel, VLOOKUP(AQ144,MS_Labs_Array,4,false),
    MaxOrTarget, IF(OR(TargetLevel = """",$AD$1 &lt;&gt; ""Target""), MaxLevel, TargetLevel),
    LabLevel, VLOOKUP(AQ144,MS_La"&amp;"bs_Array,2,False),
    Levelprogress, LabLevel / MaxOrTarget,
    DVTColumn, MATCH(AQ144,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4" s="1251" t="str">
        <f>IFERROR(__xludf.DUMMYFUNCTION("if(AQ144 &lt;&gt; """", 
  LET(
    TargetLevel, VLOOKUP(AQ144,MS_Labs_Array,3,false),
    LabSpeed, (1 * REGEXEXTRACT($BH$1, ""[\d.-]+"")) * {IF(AQ144 =""Labs Speed"", 1+'Master Sheet'!$BK$5, LAB_SPEED_TOTAL())},
    MaxLevel, VLOOKUP(AQ144,MS_Labs_Array,4,fal"&amp;"se),
    MaxOrTarget, IF(OR(TargetLevel = """",$AD$1 &lt;&gt; ""Target""), MaxLevel, TargetLevel),
    LabLevel, VLOOKUP(AQ144,MS_Labs_Array,2,False),
    DVTColumn, MATCH(AQ144, DVT_Laboratory!$A$1:BO$1, 0),
    xextTime, INDIRECT(""DVT_Laboratory!"" &amp; ADDRESS"&amp;"(LabLevel+3, DVTColumn)) / LabSpeed,
    remainingTime, SUM(INDIRECT(""DVT_Laboratory!"" &amp; ADDRESS(LabLevel+3, DVTColumn) &amp; "":"" &amp; ADDRESS(MaxOrTarget+2, DVTColumn))) / LabSpeed,
  AQ144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4" s="1249"/>
      <c r="AU144" s="1249" t="str">
        <f>IFERROR(__xludf.DUMMYFUNCTION("""COMPUTED_VALUE"""),"")</f>
        <v/>
      </c>
      <c r="AV144" s="1249" t="str">
        <f>IFERROR(__xludf.DUMMYFUNCTION("""COMPUTED_VALUE"""),"")</f>
        <v/>
      </c>
      <c r="AW144" s="1249"/>
      <c r="AX144" s="1250" t="str">
        <f>IFERROR(__xludf.DUMMYFUNCTION("if(AW144 &lt;&gt; """", 
  LET( 
    TargetLevel, VLOOKUP(AW144,MS_Labs_Array,3,false),
    MaxLevel, VLOOKUP(AW144,MS_Labs_Array,4,false),
    MaxOrTarget, IF(OR(TargetLevel = """",$AD$1 &lt;&gt; ""Target""), MaxLevel, TargetLevel),
    LabLevel, VLOOKUP(AW144,MS_La"&amp;"bs_Array,2,False),
    Levelprogress, LabLevel / MaxOrTarget,
    DVTColumn, MATCH(AW144,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4" s="1251" t="str">
        <f>IFERROR(__xludf.DUMMYFUNCTION("if(AW144 &lt;&gt; """", 
  LET(
    TargetLevel, VLOOKUP(AW144,MS_Labs_Array,3,false),
    LabSpeed, (1 * REGEXEXTRACT($BH$1, ""[\d.-]+"")) * {IF(AW144 =""Labs Speed"", 1+'Master Sheet'!$BK$5, LAB_SPEED_TOTAL())},
    MaxLevel, VLOOKUP(AW144,MS_Labs_Array,4,fal"&amp;"se),
    MaxOrTarget, IF(OR(TargetLevel = """",$AD$1 &lt;&gt; ""Target""), MaxLevel, TargetLevel),
    LabLevel, VLOOKUP(AW144,MS_Labs_Array,2,False),
    DVTColumn, MATCH(AW144, DVT_Laboratory!$A$1:BO$1, 0),
    xextTime, INDIRECT(""DVT_Laboratory!"" &amp; ADDRESS"&amp;"(LabLevel+3, DVTColumn)) / LabSpeed,
    remainingTime, SUM(INDIRECT(""DVT_Laboratory!"" &amp; ADDRESS(LabLevel+3, DVTColumn) &amp; "":"" &amp; ADDRESS(MaxOrTarget+2, DVTColumn))) / LabSpeed,
  AW144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4" s="1249"/>
      <c r="BA144" s="1249" t="str">
        <f>IFERROR(__xludf.DUMMYFUNCTION("""COMPUTED_VALUE"""),"")</f>
        <v/>
      </c>
      <c r="BB144" s="1249" t="str">
        <f>IFERROR(__xludf.DUMMYFUNCTION("""COMPUTED_VALUE"""),"")</f>
        <v/>
      </c>
      <c r="BC144" s="1249"/>
      <c r="BD144" s="1250" t="str">
        <f>IFERROR(__xludf.DUMMYFUNCTION("if(BC144 &lt;&gt; """", 
  LET( 
    TargetLevel, VLOOKUP(BC144,MS_Labs_Array,3,false),
    MaxLevel, VLOOKUP(BC144,MS_Labs_Array,4,false),
    MaxOrTarget, IF(OR(TargetLevel = """",$AD$1 &lt;&gt; ""Target""), MaxLevel, TargetLevel),
    LabLevel, VLOOKUP(BC144,MS_La"&amp;"bs_Array,2,False),
    Levelprogress, LabLevel / MaxOrTarget,
    DVTColumn, MATCH(BC144,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4" s="1251" t="str">
        <f>IFERROR(__xludf.DUMMYFUNCTION("if(BC144 &lt;&gt; """", 
  LET(
    TargetLevel, VLOOKUP(BC144,MS_Labs_Array,3,false),
    LabSpeed, (1 * REGEXEXTRACT($BH$1, ""[\d.-]+"")) * {IF(BC144 =""Labs Speed"", 1+'Master Sheet'!$BK$5, LAB_SPEED_TOTAL())},
    MaxLevel, VLOOKUP(BC144,MS_Labs_Array,4,fal"&amp;"se),
    MaxOrTarget, IF(OR(TargetLevel = """",$AD$1 &lt;&gt; ""Target""), MaxLevel, TargetLevel),
    LabLevel, VLOOKUP(BC144,MS_Labs_Array,2,False),
    DVTColumn, MATCH(BC144, DVT_Laboratory!$A$1:BO$1, 0),
    xextTime, INDIRECT(""DVT_Laboratory!"" &amp; ADDRESS"&amp;"(LabLevel+3, DVTColumn)) / LabSpeed,
    remainingTime, SUM(INDIRECT(""DVT_Laboratory!"" &amp; ADDRESS(LabLevel+3, DVTColumn) &amp; "":"" &amp; ADDRESS(MaxOrTarget+2, DVTColumn))) / LabSpeed,
  BC144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4" s="1249"/>
      <c r="BG144" s="1249" t="str">
        <f>IFERROR(__xludf.DUMMYFUNCTION("""COMPUTED_VALUE"""),"")</f>
        <v/>
      </c>
      <c r="BH144" s="1260" t="str">
        <f>IFERROR(__xludf.DUMMYFUNCTION("""COMPUTED_VALUE"""),"")</f>
        <v/>
      </c>
      <c r="BI144" s="1252"/>
      <c r="BJ144" s="1253" t="str">
        <f>IFERROR(__xludf.DUMMYFUNCTION("if(BI144 &lt;&gt; """", 
  LET( 
    TargetLevel, VLOOKUP(BI144,MS_Labs_Array,3,false),
    MaxLevel, VLOOKUP(BI144,MS_Labs_Array,4,false),
    MaxOrTarget, IF(OR(TargetLevel = """",$AD$1 &lt;&gt; ""Target""), MaxLevel, TargetLevel),
    LabLevel, VLOOKUP(BI144,MS_La"&amp;"bs_Array,2,False),
    Levelprogress, IF(LabLevel &gt;= MaxOrTarget, 1, LabLevel / MaxOrTarget),
    DVTColumn, MATCH(BI144,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4" s="1254" t="str">
        <f>IFERROR(__xludf.DUMMYFUNCTION("if(BI144 &lt;&gt; """", 
  LET(
    TargetLevel, VLOOKUP(BI144,MS_Labs_Array,3,false),
    LabSpeed, (1 * REGEXEXTRACT($BH$1, ""[\d.-]+"")) * {IF(BI144 =""Labs Speed"", 1+'Master Sheet'!$BK$5, LAB_SPEED_TOTAL())},
    MaxLevel, VLOOKUP(BI144,MS_Labs_Array,4,fal"&amp;"se),
    MaxOrTarget, IF(OR(TargetLevel = """",$AD$1 &lt;&gt; ""Target""), MaxLevel, TargetLevel),
    LabLevel, VLOOKUP(BI144,MS_Labs_Array,2,False),
    DVTColumn, MATCH(BI144, DVT_Laboratory!$A$1:BO$1, 0),
    xextTime, INDIRECT(""DVT_Laboratory!"" &amp; ADDRESS"&amp;"(LabLevel+3, DVTColumn)) / LabSpeed,
    remainingTime, SUM(INDIRECT(""DVT_Laboratory!"" &amp; ADDRESS(LabLevel+3, DVTColumn) &amp; "":"" &amp; ADDRESS(MaxOrTarget+2, DVTColumn))) / LabSpeed,
  BI144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4" s="1252"/>
      <c r="BM144" s="1252" t="str">
        <f>IFERROR(__xludf.DUMMYFUNCTION("""COMPUTED_VALUE"""),"")</f>
        <v/>
      </c>
      <c r="BN144" s="1222"/>
      <c r="BO144" s="1261"/>
    </row>
    <row r="145">
      <c r="A145" s="1222"/>
      <c r="B145" s="1257"/>
      <c r="C145" s="1326" t="s">
        <v>319</v>
      </c>
      <c r="D145" s="1280" t="str">
        <f>VLOOKUP(C145,'Remote Tier List'!A:D, 2, FALSE)</f>
        <v>A</v>
      </c>
      <c r="E145" s="1281" t="str">
        <f>VLOOKUP(C145,'Remote Tier List'!A:D, 3, FALSE)</f>
        <v/>
      </c>
      <c r="F145" s="1320" t="str">
        <f>VLOOKUP(C145,'Remote Tier List'!A:D, 4, FALSE)</f>
        <v>Alongisde CL+ and PC mastery, can leave Rays at only 4.24% hp</v>
      </c>
      <c r="G145" s="1245" t="b">
        <f t="shared" si="23"/>
        <v>0</v>
      </c>
      <c r="H145" s="1246" t="str">
        <f t="array" ref="H145:I145">LET(
  Lab, $C145,
  Mode, $AD$1,
  Level, VLOOKUP(Lab, MS_Labs_Array, 2, FALSE),
  Target, VLOOKUP(Lab, MS_Labs_Array, 3, FALSE),
  Max, VLOOKUP(Lab, MS_Labs_Array, 4, FALSE),
  Result,
    IF(
      AND(
        Mode &lt;&gt; "Never",
        Level &gt;= IF(OR(Target = "", Mode = "Max"), Max, Target)
      ),
      "Completed",
      ""
    ),
  HSTACK(
    IF(Result &lt;&gt; "", Result, $D145),
    IF(Result &lt;&gt; "", Result, IF($E145 = "", $D145, $E145))
  )
)</f>
        <v>A</v>
      </c>
      <c r="I145" s="1247" t="s">
        <v>545</v>
      </c>
      <c r="J145" s="1248" t="str">
        <f t="shared" ref="J145:J147" si="25">if(ISBLANK(F145),J144, F145)</f>
        <v>Alongisde CL+ and PC mastery, can leave Rays at only 4.24% hp</v>
      </c>
      <c r="K145" s="1229"/>
      <c r="L145" s="1249"/>
      <c r="M145" s="1249"/>
      <c r="N145" s="1250" t="str">
        <f>IFERROR(__xludf.DUMMYFUNCTION("if(M145 &lt;&gt; """", 
  LET( 
    TargetLevel, VLOOKUP(M145,MS_Labs_Array,3,false),
    MaxLevel, VLOOKUP(M145,MS_Labs_Array,4,false),
    MaxOrTarget, IF(OR(TargetLevel = """",$AD$1 &lt;&gt; ""Target""), MaxLevel, TargetLevel),
    LabLevel, VLOOKUP(M145,MS_Labs_A"&amp;"rray,2,False),
    Levelprogress, LabLevel / MaxOrTarget,
    DVTColumn, MATCH(M145,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5" s="1251" t="str">
        <f>IFERROR(__xludf.DUMMYFUNCTION("if(M145 &lt;&gt; """", 
  LET(
    TargetLevel, VLOOKUP(M145,MS_Labs_Array,3,false),
    LabSpeed, (1 * REGEXEXTRACT($BH$1, ""[\d.-]+"")) * {IF(M145 =""Labs Speed"", 1+'Master Sheet'!$BK$5, LAB_SPEED_TOTAL())},
    MaxLevel, VLOOKUP(M145,MS_Labs_Array,4,false),"&amp;"
    MaxOrTarget, IF(OR(TargetLevel = """",$AD$1 &lt;&gt; ""Target""), MaxLevel, TargetLevel),
    LabLevel, VLOOKUP(M145,MS_Labs_Array,2,False),
    DVTColumn, MATCH(M145, DVT_Laboratory!$A$1:BO$1, 0),
    xextTime, INDIRECT(""DVT_Laboratory!"" &amp; ADDRESS(LabLe"&amp;"vel+3, DVTColumn)) / LabSpeed,
    remainingTime, SUM(INDIRECT(""DVT_Laboratory!"" &amp; ADDRESS(LabLevel+3, DVTColumn) &amp; "":"" &amp; ADDRESS(MaxOrTarget+2, DVTColumn))) / LabSpeed,
  M145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5" s="1249"/>
      <c r="Q145" s="1249"/>
      <c r="R145" s="1249"/>
      <c r="S145" s="1249"/>
      <c r="T145" s="1250" t="str">
        <f>IFERROR(__xludf.DUMMYFUNCTION("if(S145 &lt;&gt; """", 
  LET( 
    TargetLevel, VLOOKUP(S145,MS_Labs_Array,3,false),
    MaxLevel, VLOOKUP(S145,MS_Labs_Array,4,false),
    MaxOrTarget, IF(OR(TargetLevel = """",$AD$1 &lt;&gt; ""Target""), MaxLevel, TargetLevel),
    LabLevel, VLOOKUP(S145,MS_Labs_A"&amp;"rray,2,False),
    Levelprogress, LabLevel / MaxOrTarget,
    DVTColumn, MATCH(S145,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5" s="1251" t="str">
        <f>IFERROR(__xludf.DUMMYFUNCTION("if(S145 &lt;&gt; """", 
  LET(
    TargetLevel, VLOOKUP(S145,MS_Labs_Array,3,false),
    LabSpeed, (1 * REGEXEXTRACT($BH$1, ""[\d.-]+"")) * {IF(S145 =""Labs Speed"", 1+'Master Sheet'!$BK$5, LAB_SPEED_TOTAL())},
    MaxLevel, VLOOKUP(S145,MS_Labs_Array,4,false),"&amp;"
    MaxOrTarget, IF(OR(TargetLevel = """",$AD$1 &lt;&gt; ""Target""), MaxLevel, TargetLevel),
    LabLevel, VLOOKUP(S145,MS_Labs_Array,2,False),
    DVTColumn, MATCH(S145, DVT_Laboratory!$A$1:BO$1, 0),
    xextTime, INDIRECT(""DVT_Laboratory!"" &amp; ADDRESS(LabLe"&amp;"vel+3, DVTColumn)) / LabSpeed,
    remainingTime, SUM(INDIRECT(""DVT_Laboratory!"" &amp; ADDRESS(LabLevel+3, DVTColumn) &amp; "":"" &amp; ADDRESS(MaxOrTarget+2, DVTColumn))) / LabSpeed,
  S145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5" s="1249"/>
      <c r="W145" s="1249"/>
      <c r="X145" s="1249"/>
      <c r="Y145" s="1249"/>
      <c r="Z145" s="1250" t="str">
        <f>IFERROR(__xludf.DUMMYFUNCTION("if(Y145 &lt;&gt; """", 
  LET( 
    TargetLevel, VLOOKUP(Y145,MS_Labs_Array,3,false),
    MaxLevel, VLOOKUP(Y145,MS_Labs_Array,4,false),
    MaxOrTarget, IF(OR(TargetLevel = """",$AD$1 &lt;&gt; ""Target""), MaxLevel, TargetLevel),
    LabLevel, VLOOKUP(Y145,MS_Labs_A"&amp;"rray,2,False),
    Levelprogress, LabLevel / MaxOrTarget,
    DVTColumn, MATCH(Y145,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5" s="1251" t="str">
        <f>IFERROR(__xludf.DUMMYFUNCTION("if(Y145 &lt;&gt; """", 
  LET(
    TargetLevel, VLOOKUP(Y145,MS_Labs_Array,3,false),
    LabSpeed, (1 * REGEXEXTRACT($BH$1, ""[\d.-]+"")) * {IF(Y145 =""Labs Speed"", 1+'Master Sheet'!$BK$5, LAB_SPEED_TOTAL())},
    MaxLevel, VLOOKUP(Y145,MS_Labs_Array,4,false),"&amp;"
    MaxOrTarget, IF(OR(TargetLevel = """",$AD$1 &lt;&gt; ""Target""), MaxLevel, TargetLevel),
    LabLevel, VLOOKUP(Y145,MS_Labs_Array,2,False),
    DVTColumn, MATCH(Y145, DVT_Laboratory!$A$1:BO$1, 0),
    xextTime, INDIRECT(""DVT_Laboratory!"" &amp; ADDRESS(LabLe"&amp;"vel+3, DVTColumn)) / LabSpeed,
    remainingTime, SUM(INDIRECT(""DVT_Laboratory!"" &amp; ADDRESS(LabLevel+3, DVTColumn) &amp; "":"" &amp; ADDRESS(MaxOrTarget+2, DVTColumn))) / LabSpeed,
  Y145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5" s="1249"/>
      <c r="AC145" s="1249"/>
      <c r="AD145" s="1249"/>
      <c r="AE145" s="1249"/>
      <c r="AF145" s="1250" t="str">
        <f>IFERROR(__xludf.DUMMYFUNCTION("if(AE145 &lt;&gt; """", 
  LET( 
    TargetLevel, VLOOKUP(AE145,MS_Labs_Array,3,false),
    MaxLevel, VLOOKUP(AE145,MS_Labs_Array,4,false),
    MaxOrTarget, IF(OR(TargetLevel = """",$AD$1 &lt;&gt; ""Target""), MaxLevel, TargetLevel),
    LabLevel, VLOOKUP(AE145,MS_La"&amp;"bs_Array,2,False),
    Levelprogress, LabLevel / MaxOrTarget,
    DVTColumn, MATCH(AE145,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5" s="1251" t="str">
        <f>IFERROR(__xludf.DUMMYFUNCTION("if(AE145 &lt;&gt; """", 
  LET(
    TargetLevel, VLOOKUP(AE145,MS_Labs_Array,3,false),
    LabSpeed, (1 * REGEXEXTRACT($BH$1, ""[\d.-]+"")) * {IF(AE145 =""Labs Speed"", 1+'Master Sheet'!$BK$5, LAB_SPEED_TOTAL())},
    MaxLevel, VLOOKUP(AE145,MS_Labs_Array,4,fal"&amp;"se),
    MaxOrTarget, IF(OR(TargetLevel = """",$AD$1 &lt;&gt; ""Target""), MaxLevel, TargetLevel),
    LabLevel, VLOOKUP(AE145,MS_Labs_Array,2,False),
    DVTColumn, MATCH(AE145, DVT_Laboratory!$A$1:BO$1, 0),
    xextTime, INDIRECT(""DVT_Laboratory!"" &amp; ADDRESS"&amp;"(LabLevel+3, DVTColumn)) / LabSpeed,
    remainingTime, SUM(INDIRECT(""DVT_Laboratory!"" &amp; ADDRESS(LabLevel+3, DVTColumn) &amp; "":"" &amp; ADDRESS(MaxOrTarget+2, DVTColumn))) / LabSpeed,
  AE145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5" s="1249"/>
      <c r="AI145" s="1249"/>
      <c r="AJ145" s="1249"/>
      <c r="AK145" s="1249"/>
      <c r="AL145" s="1250" t="str">
        <f>IFERROR(__xludf.DUMMYFUNCTION("if(AK145 &lt;&gt; """", 
  LET( 
    TargetLevel, VLOOKUP(AK145,MS_Labs_Array,3,false),
    MaxLevel, VLOOKUP(AK145,MS_Labs_Array,4,false),
    MaxOrTarget, IF(OR(TargetLevel = """",$AD$1 &lt;&gt; ""Target""), MaxLevel, TargetLevel),
    LabLevel, VLOOKUP(AK145,MS_La"&amp;"bs_Array,2,False),
    Levelprogress, LabLevel / MaxOrTarget,
    DVTColumn, MATCH(AK145,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5" s="1251" t="str">
        <f>IFERROR(__xludf.DUMMYFUNCTION("if(AK145 &lt;&gt; """", 
  LET(
    TargetLevel, VLOOKUP(AK145,MS_Labs_Array,3,false),
    LabSpeed, (1 * REGEXEXTRACT($BH$1, ""[\d.-]+"")) * {IF(AK145 =""Labs Speed"", 1+'Master Sheet'!$BK$5, LAB_SPEED_TOTAL())},
    MaxLevel, VLOOKUP(AK145,MS_Labs_Array,4,fal"&amp;"se),
    MaxOrTarget, IF(OR(TargetLevel = """",$AD$1 &lt;&gt; ""Target""), MaxLevel, TargetLevel),
    LabLevel, VLOOKUP(AK145,MS_Labs_Array,2,False),
    DVTColumn, MATCH(AK145, DVT_Laboratory!$A$1:BO$1, 0),
    xextTime, INDIRECT(""DVT_Laboratory!"" &amp; ADDRESS"&amp;"(LabLevel+3, DVTColumn)) / LabSpeed,
    remainingTime, SUM(INDIRECT(""DVT_Laboratory!"" &amp; ADDRESS(LabLevel+3, DVTColumn) &amp; "":"" &amp; ADDRESS(MaxOrTarget+2, DVTColumn))) / LabSpeed,
  AK145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5" s="1249"/>
      <c r="AO145" s="1249"/>
      <c r="AP145" s="1249"/>
      <c r="AQ145" s="1249"/>
      <c r="AR145" s="1250" t="str">
        <f>IFERROR(__xludf.DUMMYFUNCTION("if(AQ145 &lt;&gt; """", 
  LET( 
    TargetLevel, VLOOKUP(AQ145,MS_Labs_Array,3,false),
    MaxLevel, VLOOKUP(AQ145,MS_Labs_Array,4,false),
    MaxOrTarget, IF(OR(TargetLevel = """",$AD$1 &lt;&gt; ""Target""), MaxLevel, TargetLevel),
    LabLevel, VLOOKUP(AQ145,MS_La"&amp;"bs_Array,2,False),
    Levelprogress, LabLevel / MaxOrTarget,
    DVTColumn, MATCH(AQ145,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5" s="1251" t="str">
        <f>IFERROR(__xludf.DUMMYFUNCTION("if(AQ145 &lt;&gt; """", 
  LET(
    TargetLevel, VLOOKUP(AQ145,MS_Labs_Array,3,false),
    LabSpeed, (1 * REGEXEXTRACT($BH$1, ""[\d.-]+"")) * {IF(AQ145 =""Labs Speed"", 1+'Master Sheet'!$BK$5, LAB_SPEED_TOTAL())},
    MaxLevel, VLOOKUP(AQ145,MS_Labs_Array,4,fal"&amp;"se),
    MaxOrTarget, IF(OR(TargetLevel = """",$AD$1 &lt;&gt; ""Target""), MaxLevel, TargetLevel),
    LabLevel, VLOOKUP(AQ145,MS_Labs_Array,2,False),
    DVTColumn, MATCH(AQ145, DVT_Laboratory!$A$1:BO$1, 0),
    xextTime, INDIRECT(""DVT_Laboratory!"" &amp; ADDRESS"&amp;"(LabLevel+3, DVTColumn)) / LabSpeed,
    remainingTime, SUM(INDIRECT(""DVT_Laboratory!"" &amp; ADDRESS(LabLevel+3, DVTColumn) &amp; "":"" &amp; ADDRESS(MaxOrTarget+2, DVTColumn))) / LabSpeed,
  AQ145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5" s="1249"/>
      <c r="AU145" s="1249"/>
      <c r="AV145" s="1249"/>
      <c r="AW145" s="1249"/>
      <c r="AX145" s="1250" t="str">
        <f>IFERROR(__xludf.DUMMYFUNCTION("if(AW145 &lt;&gt; """", 
  LET( 
    TargetLevel, VLOOKUP(AW145,MS_Labs_Array,3,false),
    MaxLevel, VLOOKUP(AW145,MS_Labs_Array,4,false),
    MaxOrTarget, IF(OR(TargetLevel = """",$AD$1 &lt;&gt; ""Target""), MaxLevel, TargetLevel),
    LabLevel, VLOOKUP(AW145,MS_La"&amp;"bs_Array,2,False),
    Levelprogress, LabLevel / MaxOrTarget,
    DVTColumn, MATCH(AW145,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5" s="1251" t="str">
        <f>IFERROR(__xludf.DUMMYFUNCTION("if(AW145 &lt;&gt; """", 
  LET(
    TargetLevel, VLOOKUP(AW145,MS_Labs_Array,3,false),
    LabSpeed, (1 * REGEXEXTRACT($BH$1, ""[\d.-]+"")) * {IF(AW145 =""Labs Speed"", 1+'Master Sheet'!$BK$5, LAB_SPEED_TOTAL())},
    MaxLevel, VLOOKUP(AW145,MS_Labs_Array,4,fal"&amp;"se),
    MaxOrTarget, IF(OR(TargetLevel = """",$AD$1 &lt;&gt; ""Target""), MaxLevel, TargetLevel),
    LabLevel, VLOOKUP(AW145,MS_Labs_Array,2,False),
    DVTColumn, MATCH(AW145, DVT_Laboratory!$A$1:BO$1, 0),
    xextTime, INDIRECT(""DVT_Laboratory!"" &amp; ADDRESS"&amp;"(LabLevel+3, DVTColumn)) / LabSpeed,
    remainingTime, SUM(INDIRECT(""DVT_Laboratory!"" &amp; ADDRESS(LabLevel+3, DVTColumn) &amp; "":"" &amp; ADDRESS(MaxOrTarget+2, DVTColumn))) / LabSpeed,
  AW145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5" s="1249"/>
      <c r="BA145" s="1249"/>
      <c r="BB145" s="1249"/>
      <c r="BC145" s="1249"/>
      <c r="BD145" s="1250" t="str">
        <f>IFERROR(__xludf.DUMMYFUNCTION("if(BC145 &lt;&gt; """", 
  LET( 
    TargetLevel, VLOOKUP(BC145,MS_Labs_Array,3,false),
    MaxLevel, VLOOKUP(BC145,MS_Labs_Array,4,false),
    MaxOrTarget, IF(OR(TargetLevel = """",$AD$1 &lt;&gt; ""Target""), MaxLevel, TargetLevel),
    LabLevel, VLOOKUP(BC145,MS_La"&amp;"bs_Array,2,False),
    Levelprogress, LabLevel / MaxOrTarget,
    DVTColumn, MATCH(BC145,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5" s="1251" t="str">
        <f>IFERROR(__xludf.DUMMYFUNCTION("if(BC145 &lt;&gt; """", 
  LET(
    TargetLevel, VLOOKUP(BC145,MS_Labs_Array,3,false),
    LabSpeed, (1 * REGEXEXTRACT($BH$1, ""[\d.-]+"")) * {IF(BC145 =""Labs Speed"", 1+'Master Sheet'!$BK$5, LAB_SPEED_TOTAL())},
    MaxLevel, VLOOKUP(BC145,MS_Labs_Array,4,fal"&amp;"se),
    MaxOrTarget, IF(OR(TargetLevel = """",$AD$1 &lt;&gt; ""Target""), MaxLevel, TargetLevel),
    LabLevel, VLOOKUP(BC145,MS_Labs_Array,2,False),
    DVTColumn, MATCH(BC145, DVT_Laboratory!$A$1:BO$1, 0),
    xextTime, INDIRECT(""DVT_Laboratory!"" &amp; ADDRESS"&amp;"(LabLevel+3, DVTColumn)) / LabSpeed,
    remainingTime, SUM(INDIRECT(""DVT_Laboratory!"" &amp; ADDRESS(LabLevel+3, DVTColumn) &amp; "":"" &amp; ADDRESS(MaxOrTarget+2, DVTColumn))) / LabSpeed,
  BC145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5" s="1249"/>
      <c r="BG145" s="1249"/>
      <c r="BH145" s="1260"/>
      <c r="BI145" s="1252"/>
      <c r="BJ145" s="1253" t="str">
        <f>IFERROR(__xludf.DUMMYFUNCTION("if(BI145 &lt;&gt; """", 
  LET( 
    TargetLevel, VLOOKUP(BI145,MS_Labs_Array,3,false),
    MaxLevel, VLOOKUP(BI145,MS_Labs_Array,4,false),
    MaxOrTarget, IF(OR(TargetLevel = """",$AD$1 &lt;&gt; ""Target""), MaxLevel, TargetLevel),
    LabLevel, VLOOKUP(BI145,MS_La"&amp;"bs_Array,2,False),
    Levelprogress, IF(LabLevel &gt;= MaxOrTarget, 1, LabLevel / MaxOrTarget),
    DVTColumn, MATCH(BI145,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5" s="1254" t="str">
        <f>IFERROR(__xludf.DUMMYFUNCTION("if(BI145 &lt;&gt; """", 
  LET(
    TargetLevel, VLOOKUP(BI145,MS_Labs_Array,3,false),
    LabSpeed, (1 * REGEXEXTRACT($BH$1, ""[\d.-]+"")) * {IF(BI145 =""Labs Speed"", 1+'Master Sheet'!$BK$5, LAB_SPEED_TOTAL())},
    MaxLevel, VLOOKUP(BI145,MS_Labs_Array,4,fal"&amp;"se),
    MaxOrTarget, IF(OR(TargetLevel = """",$AD$1 &lt;&gt; ""Target""), MaxLevel, TargetLevel),
    LabLevel, VLOOKUP(BI145,MS_Labs_Array,2,False),
    DVTColumn, MATCH(BI145, DVT_Laboratory!$A$1:BO$1, 0),
    xextTime, INDIRECT(""DVT_Laboratory!"" &amp; ADDRESS"&amp;"(LabLevel+3, DVTColumn)) / LabSpeed,
    remainingTime, SUM(INDIRECT(""DVT_Laboratory!"" &amp; ADDRESS(LabLevel+3, DVTColumn) &amp; "":"" &amp; ADDRESS(MaxOrTarget+2, DVTColumn))) / LabSpeed,
  BI145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5" s="1252"/>
      <c r="BM145" s="1252"/>
      <c r="BN145" s="1222"/>
      <c r="BO145" s="1261"/>
    </row>
    <row r="146" ht="7.5" customHeight="1">
      <c r="A146" s="1222"/>
      <c r="B146" s="1257"/>
      <c r="C146" s="1326" t="s">
        <v>325</v>
      </c>
      <c r="D146" s="1280" t="str">
        <f>VLOOKUP(C146,'Remote Tier List'!A:D, 2, FALSE)</f>
        <v>F</v>
      </c>
      <c r="E146" s="1281" t="str">
        <f>VLOOKUP(C146,'Remote Tier List'!A:D, 3, FALSE)</f>
        <v/>
      </c>
      <c r="F146" s="1258" t="str">
        <f>VLOOKUP(C146,'Remote Tier List'!A:D, 4, FALSE)</f>
        <v>Vamps with garlic thorns, wall and package+ are a non threat anyway</v>
      </c>
      <c r="G146" s="1245" t="b">
        <f t="shared" si="23"/>
        <v>0</v>
      </c>
      <c r="H146" s="1246" t="str">
        <f t="array" ref="H146:I146">LET(
  Lab, $C146,
  Mode, $AD$1,
  Level, VLOOKUP(Lab, MS_Labs_Array, 2, FALSE),
  Target, VLOOKUP(Lab, MS_Labs_Array, 3, FALSE),
  Max, VLOOKUP(Lab, MS_Labs_Array, 4, FALSE),
  Result,
    IF(
      AND(
        Mode &lt;&gt; "Never",
        Level &gt;= IF(OR(Target = "", Mode = "Max"), Max, Target)
      ),
      "Completed",
      ""
    ),
  HSTACK(
    IF(Result &lt;&gt; "", Result, $D146),
    IF(Result &lt;&gt; "", Result, IF($E146 = "", $D146, $E146))
  )
)</f>
        <v>F</v>
      </c>
      <c r="I146" s="1247" t="s">
        <v>549</v>
      </c>
      <c r="J146" s="1248" t="str">
        <f t="shared" si="25"/>
        <v>Vamps with garlic thorns, wall and package+ are a non threat anyway</v>
      </c>
      <c r="K146" s="1229"/>
      <c r="L146" s="1249" t="str">
        <f>IFERROR(__xludf.DUMMYFUNCTION("""COMPUTED_VALUE"""),"")</f>
        <v/>
      </c>
      <c r="M146" s="1249"/>
      <c r="N146" s="1250" t="str">
        <f>IFERROR(__xludf.DUMMYFUNCTION("if(M146 &lt;&gt; """", 
  LET( 
    TargetLevel, VLOOKUP(M146,MS_Labs_Array,3,false),
    MaxLevel, VLOOKUP(M146,MS_Labs_Array,4,false),
    MaxOrTarget, IF(OR(TargetLevel = """",$AD$1 &lt;&gt; ""Target""), MaxLevel, TargetLevel),
    LabLevel, VLOOKUP(M146,MS_Labs_A"&amp;"rray,2,False),
    Levelprogress, LabLevel / MaxOrTarget,
    DVTColumn, MATCH(M146,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6" s="1251" t="str">
        <f>IFERROR(__xludf.DUMMYFUNCTION("if(M146 &lt;&gt; """", 
  LET(
    TargetLevel, VLOOKUP(M146,MS_Labs_Array,3,false),
    LabSpeed, (1 * REGEXEXTRACT($BH$1, ""[\d.-]+"")) * {IF(M146 =""Labs Speed"", 1+'Master Sheet'!$BK$5, LAB_SPEED_TOTAL())},
    MaxLevel, VLOOKUP(M146,MS_Labs_Array,4,false),"&amp;"
    MaxOrTarget, IF(OR(TargetLevel = """",$AD$1 &lt;&gt; ""Target""), MaxLevel, TargetLevel),
    LabLevel, VLOOKUP(M146,MS_Labs_Array,2,False),
    DVTColumn, MATCH(M146, DVT_Laboratory!$A$1:BO$1, 0),
    xextTime, INDIRECT(""DVT_Laboratory!"" &amp; ADDRESS(LabLe"&amp;"vel+3, DVTColumn)) / LabSpeed,
    remainingTime, SUM(INDIRECT(""DVT_Laboratory!"" &amp; ADDRESS(LabLevel+3, DVTColumn) &amp; "":"" &amp; ADDRESS(MaxOrTarget+2, DVTColumn))) / LabSpeed,
  M146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6" s="1249"/>
      <c r="Q146" s="1249" t="str">
        <f>IFERROR(__xludf.DUMMYFUNCTION("""COMPUTED_VALUE"""),"")</f>
        <v/>
      </c>
      <c r="R146" s="1249" t="str">
        <f>IFERROR(__xludf.DUMMYFUNCTION("""COMPUTED_VALUE"""),"")</f>
        <v/>
      </c>
      <c r="S146" s="1249"/>
      <c r="T146" s="1250" t="str">
        <f>IFERROR(__xludf.DUMMYFUNCTION("if(S146 &lt;&gt; """", 
  LET( 
    TargetLevel, VLOOKUP(S146,MS_Labs_Array,3,false),
    MaxLevel, VLOOKUP(S146,MS_Labs_Array,4,false),
    MaxOrTarget, IF(OR(TargetLevel = """",$AD$1 &lt;&gt; ""Target""), MaxLevel, TargetLevel),
    LabLevel, VLOOKUP(S146,MS_Labs_A"&amp;"rray,2,False),
    Levelprogress, LabLevel / MaxOrTarget,
    DVTColumn, MATCH(S146,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6" s="1251" t="str">
        <f>IFERROR(__xludf.DUMMYFUNCTION("if(S146 &lt;&gt; """", 
  LET(
    TargetLevel, VLOOKUP(S146,MS_Labs_Array,3,false),
    LabSpeed, (1 * REGEXEXTRACT($BH$1, ""[\d.-]+"")) * {IF(S146 =""Labs Speed"", 1+'Master Sheet'!$BK$5, LAB_SPEED_TOTAL())},
    MaxLevel, VLOOKUP(S146,MS_Labs_Array,4,false),"&amp;"
    MaxOrTarget, IF(OR(TargetLevel = """",$AD$1 &lt;&gt; ""Target""), MaxLevel, TargetLevel),
    LabLevel, VLOOKUP(S146,MS_Labs_Array,2,False),
    DVTColumn, MATCH(S146, DVT_Laboratory!$A$1:BO$1, 0),
    xextTime, INDIRECT(""DVT_Laboratory!"" &amp; ADDRESS(LabLe"&amp;"vel+3, DVTColumn)) / LabSpeed,
    remainingTime, SUM(INDIRECT(""DVT_Laboratory!"" &amp; ADDRESS(LabLevel+3, DVTColumn) &amp; "":"" &amp; ADDRESS(MaxOrTarget+2, DVTColumn))) / LabSpeed,
  S146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6" s="1249"/>
      <c r="W146" s="1249" t="str">
        <f>IFERROR(__xludf.DUMMYFUNCTION("""COMPUTED_VALUE"""),"")</f>
        <v/>
      </c>
      <c r="X146" s="1249" t="str">
        <f>IFERROR(__xludf.DUMMYFUNCTION("""COMPUTED_VALUE"""),"")</f>
        <v/>
      </c>
      <c r="Y146" s="1249"/>
      <c r="Z146" s="1250" t="str">
        <f>IFERROR(__xludf.DUMMYFUNCTION("if(Y146 &lt;&gt; """", 
  LET( 
    TargetLevel, VLOOKUP(Y146,MS_Labs_Array,3,false),
    MaxLevel, VLOOKUP(Y146,MS_Labs_Array,4,false),
    MaxOrTarget, IF(OR(TargetLevel = """",$AD$1 &lt;&gt; ""Target""), MaxLevel, TargetLevel),
    LabLevel, VLOOKUP(Y146,MS_Labs_A"&amp;"rray,2,False),
    Levelprogress, LabLevel / MaxOrTarget,
    DVTColumn, MATCH(Y146,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6" s="1251" t="str">
        <f>IFERROR(__xludf.DUMMYFUNCTION("if(Y146 &lt;&gt; """", 
  LET(
    TargetLevel, VLOOKUP(Y146,MS_Labs_Array,3,false),
    LabSpeed, (1 * REGEXEXTRACT($BH$1, ""[\d.-]+"")) * {IF(Y146 =""Labs Speed"", 1+'Master Sheet'!$BK$5, LAB_SPEED_TOTAL())},
    MaxLevel, VLOOKUP(Y146,MS_Labs_Array,4,false),"&amp;"
    MaxOrTarget, IF(OR(TargetLevel = """",$AD$1 &lt;&gt; ""Target""), MaxLevel, TargetLevel),
    LabLevel, VLOOKUP(Y146,MS_Labs_Array,2,False),
    DVTColumn, MATCH(Y146, DVT_Laboratory!$A$1:BO$1, 0),
    xextTime, INDIRECT(""DVT_Laboratory!"" &amp; ADDRESS(LabLe"&amp;"vel+3, DVTColumn)) / LabSpeed,
    remainingTime, SUM(INDIRECT(""DVT_Laboratory!"" &amp; ADDRESS(LabLevel+3, DVTColumn) &amp; "":"" &amp; ADDRESS(MaxOrTarget+2, DVTColumn))) / LabSpeed,
  Y146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6" s="1249"/>
      <c r="AC146" s="1249" t="str">
        <f>IFERROR(__xludf.DUMMYFUNCTION("""COMPUTED_VALUE"""),"")</f>
        <v/>
      </c>
      <c r="AD146" s="1249" t="str">
        <f>IFERROR(__xludf.DUMMYFUNCTION("""COMPUTED_VALUE"""),"")</f>
        <v/>
      </c>
      <c r="AE146" s="1249"/>
      <c r="AF146" s="1250" t="str">
        <f>IFERROR(__xludf.DUMMYFUNCTION("if(AE146 &lt;&gt; """", 
  LET( 
    TargetLevel, VLOOKUP(AE146,MS_Labs_Array,3,false),
    MaxLevel, VLOOKUP(AE146,MS_Labs_Array,4,false),
    MaxOrTarget, IF(OR(TargetLevel = """",$AD$1 &lt;&gt; ""Target""), MaxLevel, TargetLevel),
    LabLevel, VLOOKUP(AE146,MS_La"&amp;"bs_Array,2,False),
    Levelprogress, LabLevel / MaxOrTarget,
    DVTColumn, MATCH(AE146,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6" s="1251" t="str">
        <f>IFERROR(__xludf.DUMMYFUNCTION("if(AE146 &lt;&gt; """", 
  LET(
    TargetLevel, VLOOKUP(AE146,MS_Labs_Array,3,false),
    LabSpeed, (1 * REGEXEXTRACT($BH$1, ""[\d.-]+"")) * {IF(AE146 =""Labs Speed"", 1+'Master Sheet'!$BK$5, LAB_SPEED_TOTAL())},
    MaxLevel, VLOOKUP(AE146,MS_Labs_Array,4,fal"&amp;"se),
    MaxOrTarget, IF(OR(TargetLevel = """",$AD$1 &lt;&gt; ""Target""), MaxLevel, TargetLevel),
    LabLevel, VLOOKUP(AE146,MS_Labs_Array,2,False),
    DVTColumn, MATCH(AE146, DVT_Laboratory!$A$1:BO$1, 0),
    xextTime, INDIRECT(""DVT_Laboratory!"" &amp; ADDRESS"&amp;"(LabLevel+3, DVTColumn)) / LabSpeed,
    remainingTime, SUM(INDIRECT(""DVT_Laboratory!"" &amp; ADDRESS(LabLevel+3, DVTColumn) &amp; "":"" &amp; ADDRESS(MaxOrTarget+2, DVTColumn))) / LabSpeed,
  AE146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6" s="1249"/>
      <c r="AI146" s="1249" t="str">
        <f>IFERROR(__xludf.DUMMYFUNCTION("""COMPUTED_VALUE"""),"")</f>
        <v/>
      </c>
      <c r="AJ146" s="1249" t="str">
        <f>IFERROR(__xludf.DUMMYFUNCTION("""COMPUTED_VALUE"""),"")</f>
        <v/>
      </c>
      <c r="AK146" s="1249"/>
      <c r="AL146" s="1250" t="str">
        <f>IFERROR(__xludf.DUMMYFUNCTION("if(AK146 &lt;&gt; """", 
  LET( 
    TargetLevel, VLOOKUP(AK146,MS_Labs_Array,3,false),
    MaxLevel, VLOOKUP(AK146,MS_Labs_Array,4,false),
    MaxOrTarget, IF(OR(TargetLevel = """",$AD$1 &lt;&gt; ""Target""), MaxLevel, TargetLevel),
    LabLevel, VLOOKUP(AK146,MS_La"&amp;"bs_Array,2,False),
    Levelprogress, LabLevel / MaxOrTarget,
    DVTColumn, MATCH(AK146,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6" s="1251" t="str">
        <f>IFERROR(__xludf.DUMMYFUNCTION("if(AK146 &lt;&gt; """", 
  LET(
    TargetLevel, VLOOKUP(AK146,MS_Labs_Array,3,false),
    LabSpeed, (1 * REGEXEXTRACT($BH$1, ""[\d.-]+"")) * {IF(AK146 =""Labs Speed"", 1+'Master Sheet'!$BK$5, LAB_SPEED_TOTAL())},
    MaxLevel, VLOOKUP(AK146,MS_Labs_Array,4,fal"&amp;"se),
    MaxOrTarget, IF(OR(TargetLevel = """",$AD$1 &lt;&gt; ""Target""), MaxLevel, TargetLevel),
    LabLevel, VLOOKUP(AK146,MS_Labs_Array,2,False),
    DVTColumn, MATCH(AK146, DVT_Laboratory!$A$1:BO$1, 0),
    xextTime, INDIRECT(""DVT_Laboratory!"" &amp; ADDRESS"&amp;"(LabLevel+3, DVTColumn)) / LabSpeed,
    remainingTime, SUM(INDIRECT(""DVT_Laboratory!"" &amp; ADDRESS(LabLevel+3, DVTColumn) &amp; "":"" &amp; ADDRESS(MaxOrTarget+2, DVTColumn))) / LabSpeed,
  AK146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6" s="1249"/>
      <c r="AO146" s="1249" t="str">
        <f>IFERROR(__xludf.DUMMYFUNCTION("""COMPUTED_VALUE"""),"")</f>
        <v/>
      </c>
      <c r="AP146" s="1249" t="str">
        <f>IFERROR(__xludf.DUMMYFUNCTION("""COMPUTED_VALUE"""),"")</f>
        <v/>
      </c>
      <c r="AQ146" s="1249"/>
      <c r="AR146" s="1250" t="str">
        <f>IFERROR(__xludf.DUMMYFUNCTION("if(AQ146 &lt;&gt; """", 
  LET( 
    TargetLevel, VLOOKUP(AQ146,MS_Labs_Array,3,false),
    MaxLevel, VLOOKUP(AQ146,MS_Labs_Array,4,false),
    MaxOrTarget, IF(OR(TargetLevel = """",$AD$1 &lt;&gt; ""Target""), MaxLevel, TargetLevel),
    LabLevel, VLOOKUP(AQ146,MS_La"&amp;"bs_Array,2,False),
    Levelprogress, LabLevel / MaxOrTarget,
    DVTColumn, MATCH(AQ146,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6" s="1251" t="str">
        <f>IFERROR(__xludf.DUMMYFUNCTION("if(AQ146 &lt;&gt; """", 
  LET(
    TargetLevel, VLOOKUP(AQ146,MS_Labs_Array,3,false),
    LabSpeed, (1 * REGEXEXTRACT($BH$1, ""[\d.-]+"")) * {IF(AQ146 =""Labs Speed"", 1+'Master Sheet'!$BK$5, LAB_SPEED_TOTAL())},
    MaxLevel, VLOOKUP(AQ146,MS_Labs_Array,4,fal"&amp;"se),
    MaxOrTarget, IF(OR(TargetLevel = """",$AD$1 &lt;&gt; ""Target""), MaxLevel, TargetLevel),
    LabLevel, VLOOKUP(AQ146,MS_Labs_Array,2,False),
    DVTColumn, MATCH(AQ146, DVT_Laboratory!$A$1:BO$1, 0),
    xextTime, INDIRECT(""DVT_Laboratory!"" &amp; ADDRESS"&amp;"(LabLevel+3, DVTColumn)) / LabSpeed,
    remainingTime, SUM(INDIRECT(""DVT_Laboratory!"" &amp; ADDRESS(LabLevel+3, DVTColumn) &amp; "":"" &amp; ADDRESS(MaxOrTarget+2, DVTColumn))) / LabSpeed,
  AQ146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6" s="1249"/>
      <c r="AU146" s="1249" t="str">
        <f>IFERROR(__xludf.DUMMYFUNCTION("""COMPUTED_VALUE"""),"")</f>
        <v/>
      </c>
      <c r="AV146" s="1249" t="str">
        <f>IFERROR(__xludf.DUMMYFUNCTION("""COMPUTED_VALUE"""),"")</f>
        <v/>
      </c>
      <c r="AW146" s="1249"/>
      <c r="AX146" s="1250" t="str">
        <f>IFERROR(__xludf.DUMMYFUNCTION("if(AW146 &lt;&gt; """", 
  LET( 
    TargetLevel, VLOOKUP(AW146,MS_Labs_Array,3,false),
    MaxLevel, VLOOKUP(AW146,MS_Labs_Array,4,false),
    MaxOrTarget, IF(OR(TargetLevel = """",$AD$1 &lt;&gt; ""Target""), MaxLevel, TargetLevel),
    LabLevel, VLOOKUP(AW146,MS_La"&amp;"bs_Array,2,False),
    Levelprogress, LabLevel / MaxOrTarget,
    DVTColumn, MATCH(AW146,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6" s="1251" t="str">
        <f>IFERROR(__xludf.DUMMYFUNCTION("if(AW146 &lt;&gt; """", 
  LET(
    TargetLevel, VLOOKUP(AW146,MS_Labs_Array,3,false),
    LabSpeed, (1 * REGEXEXTRACT($BH$1, ""[\d.-]+"")) * {IF(AW146 =""Labs Speed"", 1+'Master Sheet'!$BK$5, LAB_SPEED_TOTAL())},
    MaxLevel, VLOOKUP(AW146,MS_Labs_Array,4,fal"&amp;"se),
    MaxOrTarget, IF(OR(TargetLevel = """",$AD$1 &lt;&gt; ""Target""), MaxLevel, TargetLevel),
    LabLevel, VLOOKUP(AW146,MS_Labs_Array,2,False),
    DVTColumn, MATCH(AW146, DVT_Laboratory!$A$1:BO$1, 0),
    xextTime, INDIRECT(""DVT_Laboratory!"" &amp; ADDRESS"&amp;"(LabLevel+3, DVTColumn)) / LabSpeed,
    remainingTime, SUM(INDIRECT(""DVT_Laboratory!"" &amp; ADDRESS(LabLevel+3, DVTColumn) &amp; "":"" &amp; ADDRESS(MaxOrTarget+2, DVTColumn))) / LabSpeed,
  AW146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6" s="1249"/>
      <c r="BA146" s="1249" t="str">
        <f>IFERROR(__xludf.DUMMYFUNCTION("""COMPUTED_VALUE"""),"")</f>
        <v/>
      </c>
      <c r="BB146" s="1249" t="str">
        <f>IFERROR(__xludf.DUMMYFUNCTION("""COMPUTED_VALUE"""),"")</f>
        <v/>
      </c>
      <c r="BC146" s="1249"/>
      <c r="BD146" s="1250" t="str">
        <f>IFERROR(__xludf.DUMMYFUNCTION("if(BC146 &lt;&gt; """", 
  LET( 
    TargetLevel, VLOOKUP(BC146,MS_Labs_Array,3,false),
    MaxLevel, VLOOKUP(BC146,MS_Labs_Array,4,false),
    MaxOrTarget, IF(OR(TargetLevel = """",$AD$1 &lt;&gt; ""Target""), MaxLevel, TargetLevel),
    LabLevel, VLOOKUP(BC146,MS_La"&amp;"bs_Array,2,False),
    Levelprogress, LabLevel / MaxOrTarget,
    DVTColumn, MATCH(BC146,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6" s="1251" t="str">
        <f>IFERROR(__xludf.DUMMYFUNCTION("if(BC146 &lt;&gt; """", 
  LET(
    TargetLevel, VLOOKUP(BC146,MS_Labs_Array,3,false),
    LabSpeed, (1 * REGEXEXTRACT($BH$1, ""[\d.-]+"")) * {IF(BC146 =""Labs Speed"", 1+'Master Sheet'!$BK$5, LAB_SPEED_TOTAL())},
    MaxLevel, VLOOKUP(BC146,MS_Labs_Array,4,fal"&amp;"se),
    MaxOrTarget, IF(OR(TargetLevel = """",$AD$1 &lt;&gt; ""Target""), MaxLevel, TargetLevel),
    LabLevel, VLOOKUP(BC146,MS_Labs_Array,2,False),
    DVTColumn, MATCH(BC146, DVT_Laboratory!$A$1:BO$1, 0),
    xextTime, INDIRECT(""DVT_Laboratory!"" &amp; ADDRESS"&amp;"(LabLevel+3, DVTColumn)) / LabSpeed,
    remainingTime, SUM(INDIRECT(""DVT_Laboratory!"" &amp; ADDRESS(LabLevel+3, DVTColumn) &amp; "":"" &amp; ADDRESS(MaxOrTarget+2, DVTColumn))) / LabSpeed,
  BC146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6" s="1249"/>
      <c r="BG146" s="1249" t="str">
        <f>IFERROR(__xludf.DUMMYFUNCTION("""COMPUTED_VALUE"""),"")</f>
        <v/>
      </c>
      <c r="BH146" s="1260" t="str">
        <f>IFERROR(__xludf.DUMMYFUNCTION("""COMPUTED_VALUE"""),"")</f>
        <v/>
      </c>
      <c r="BI146" s="1252"/>
      <c r="BJ146" s="1253" t="str">
        <f>IFERROR(__xludf.DUMMYFUNCTION("if(BI146 &lt;&gt; """", 
  LET( 
    TargetLevel, VLOOKUP(BI146,MS_Labs_Array,3,false),
    MaxLevel, VLOOKUP(BI146,MS_Labs_Array,4,false),
    MaxOrTarget, IF(OR(TargetLevel = """",$AD$1 &lt;&gt; ""Target""), MaxLevel, TargetLevel),
    LabLevel, VLOOKUP(BI146,MS_La"&amp;"bs_Array,2,False),
    Levelprogress, IF(LabLevel &gt;= MaxOrTarget, 1, LabLevel / MaxOrTarget),
    DVTColumn, MATCH(BI146,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6" s="1254" t="str">
        <f>IFERROR(__xludf.DUMMYFUNCTION("if(BI146 &lt;&gt; """", 
  LET(
    TargetLevel, VLOOKUP(BI146,MS_Labs_Array,3,false),
    LabSpeed, (1 * REGEXEXTRACT($BH$1, ""[\d.-]+"")) * {IF(BI146 =""Labs Speed"", 1+'Master Sheet'!$BK$5, LAB_SPEED_TOTAL())},
    MaxLevel, VLOOKUP(BI146,MS_Labs_Array,4,fal"&amp;"se),
    MaxOrTarget, IF(OR(TargetLevel = """",$AD$1 &lt;&gt; ""Target""), MaxLevel, TargetLevel),
    LabLevel, VLOOKUP(BI146,MS_Labs_Array,2,False),
    DVTColumn, MATCH(BI146, DVT_Laboratory!$A$1:BO$1, 0),
    xextTime, INDIRECT(""DVT_Laboratory!"" &amp; ADDRESS"&amp;"(LabLevel+3, DVTColumn)) / LabSpeed,
    remainingTime, SUM(INDIRECT(""DVT_Laboratory!"" &amp; ADDRESS(LabLevel+3, DVTColumn) &amp; "":"" &amp; ADDRESS(MaxOrTarget+2, DVTColumn))) / LabSpeed,
  BI146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6" s="1252"/>
      <c r="BM146" s="1252" t="str">
        <f>IFERROR(__xludf.DUMMYFUNCTION("""COMPUTED_VALUE"""),"")</f>
        <v/>
      </c>
      <c r="BN146" s="1222"/>
      <c r="BO146" s="1261"/>
    </row>
    <row r="147">
      <c r="A147" s="1222"/>
      <c r="B147" s="1257"/>
      <c r="C147" s="1326" t="s">
        <v>330</v>
      </c>
      <c r="D147" s="1280" t="str">
        <f>VLOOKUP(C147,'Remote Tier List'!A:D, 2, FALSE)</f>
        <v>F</v>
      </c>
      <c r="E147" s="1281" t="str">
        <f>VLOOKUP(C147,'Remote Tier List'!A:D, 3, FALSE)</f>
        <v/>
      </c>
      <c r="F147" s="1328"/>
      <c r="G147" s="1245" t="b">
        <f t="shared" si="23"/>
        <v>0</v>
      </c>
      <c r="H147" s="1246" t="str">
        <f t="array" ref="H147:I147">LET(
  Lab, $C147,
  Mode, $AD$1,
  Level, VLOOKUP(Lab, MS_Labs_Array, 2, FALSE),
  Target, VLOOKUP(Lab, MS_Labs_Array, 3, FALSE),
  Max, VLOOKUP(Lab, MS_Labs_Array, 4, FALSE),
  Result,
    IF(
      AND(
        Mode &lt;&gt; "Never",
        Level &gt;= IF(OR(Target = "", Mode = "Max"), Max, Target)
      ),
      "Completed",
      ""
    ),
  HSTACK(
    IF(Result &lt;&gt; "", Result, $D147),
    IF(Result &lt;&gt; "", Result, IF($E147 = "", $D147, $E147))
  )
)</f>
        <v>F</v>
      </c>
      <c r="I147" s="1247" t="s">
        <v>549</v>
      </c>
      <c r="J147" s="1248" t="str">
        <f t="shared" si="25"/>
        <v>Vamps with garlic thorns, wall and package+ are a non threat anyway</v>
      </c>
      <c r="K147" s="1229"/>
      <c r="L147" s="1249"/>
      <c r="M147" s="1249"/>
      <c r="N147" s="1250" t="str">
        <f>IFERROR(__xludf.DUMMYFUNCTION("if(M147 &lt;&gt; """", 
  LET( 
    TargetLevel, VLOOKUP(M147,MS_Labs_Array,3,false),
    MaxLevel, VLOOKUP(M147,MS_Labs_Array,4,false),
    MaxOrTarget, IF(OR(TargetLevel = """",$AD$1 &lt;&gt; ""Target""), MaxLevel, TargetLevel),
    LabLevel, VLOOKUP(M147,MS_Labs_A"&amp;"rray,2,False),
    Levelprogress, LabLevel / MaxOrTarget,
    DVTColumn, MATCH(M147,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7" s="1251" t="str">
        <f>IFERROR(__xludf.DUMMYFUNCTION("if(M147 &lt;&gt; """", 
  LET(
    TargetLevel, VLOOKUP(M147,MS_Labs_Array,3,false),
    LabSpeed, (1 * REGEXEXTRACT($BH$1, ""[\d.-]+"")) * {IF(M147 =""Labs Speed"", 1+'Master Sheet'!$BK$5, LAB_SPEED_TOTAL())},
    MaxLevel, VLOOKUP(M147,MS_Labs_Array,4,false),"&amp;"
    MaxOrTarget, IF(OR(TargetLevel = """",$AD$1 &lt;&gt; ""Target""), MaxLevel, TargetLevel),
    LabLevel, VLOOKUP(M147,MS_Labs_Array,2,False),
    DVTColumn, MATCH(M147, DVT_Laboratory!$A$1:BO$1, 0),
    xextTime, INDIRECT(""DVT_Laboratory!"" &amp; ADDRESS(LabLe"&amp;"vel+3, DVTColumn)) / LabSpeed,
    remainingTime, SUM(INDIRECT(""DVT_Laboratory!"" &amp; ADDRESS(LabLevel+3, DVTColumn) &amp; "":"" &amp; ADDRESS(MaxOrTarget+2, DVTColumn))) / LabSpeed,
  M147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7" s="1249"/>
      <c r="Q147" s="1249"/>
      <c r="R147" s="1249"/>
      <c r="S147" s="1249"/>
      <c r="T147" s="1250" t="str">
        <f>IFERROR(__xludf.DUMMYFUNCTION("if(S147 &lt;&gt; """", 
  LET( 
    TargetLevel, VLOOKUP(S147,MS_Labs_Array,3,false),
    MaxLevel, VLOOKUP(S147,MS_Labs_Array,4,false),
    MaxOrTarget, IF(OR(TargetLevel = """",$AD$1 &lt;&gt; ""Target""), MaxLevel, TargetLevel),
    LabLevel, VLOOKUP(S147,MS_Labs_A"&amp;"rray,2,False),
    Levelprogress, LabLevel / MaxOrTarget,
    DVTColumn, MATCH(S147,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7" s="1251" t="str">
        <f>IFERROR(__xludf.DUMMYFUNCTION("if(S147 &lt;&gt; """", 
  LET(
    TargetLevel, VLOOKUP(S147,MS_Labs_Array,3,false),
    LabSpeed, (1 * REGEXEXTRACT($BH$1, ""[\d.-]+"")) * {IF(S147 =""Labs Speed"", 1+'Master Sheet'!$BK$5, LAB_SPEED_TOTAL())},
    MaxLevel, VLOOKUP(S147,MS_Labs_Array,4,false),"&amp;"
    MaxOrTarget, IF(OR(TargetLevel = """",$AD$1 &lt;&gt; ""Target""), MaxLevel, TargetLevel),
    LabLevel, VLOOKUP(S147,MS_Labs_Array,2,False),
    DVTColumn, MATCH(S147, DVT_Laboratory!$A$1:BO$1, 0),
    xextTime, INDIRECT(""DVT_Laboratory!"" &amp; ADDRESS(LabLe"&amp;"vel+3, DVTColumn)) / LabSpeed,
    remainingTime, SUM(INDIRECT(""DVT_Laboratory!"" &amp; ADDRESS(LabLevel+3, DVTColumn) &amp; "":"" &amp; ADDRESS(MaxOrTarget+2, DVTColumn))) / LabSpeed,
  S147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7" s="1249"/>
      <c r="W147" s="1249"/>
      <c r="X147" s="1249"/>
      <c r="Y147" s="1249"/>
      <c r="Z147" s="1250" t="str">
        <f>IFERROR(__xludf.DUMMYFUNCTION("if(Y147 &lt;&gt; """", 
  LET( 
    TargetLevel, VLOOKUP(Y147,MS_Labs_Array,3,false),
    MaxLevel, VLOOKUP(Y147,MS_Labs_Array,4,false),
    MaxOrTarget, IF(OR(TargetLevel = """",$AD$1 &lt;&gt; ""Target""), MaxLevel, TargetLevel),
    LabLevel, VLOOKUP(Y147,MS_Labs_A"&amp;"rray,2,False),
    Levelprogress, LabLevel / MaxOrTarget,
    DVTColumn, MATCH(Y147,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7" s="1251" t="str">
        <f>IFERROR(__xludf.DUMMYFUNCTION("if(Y147 &lt;&gt; """", 
  LET(
    TargetLevel, VLOOKUP(Y147,MS_Labs_Array,3,false),
    LabSpeed, (1 * REGEXEXTRACT($BH$1, ""[\d.-]+"")) * {IF(Y147 =""Labs Speed"", 1+'Master Sheet'!$BK$5, LAB_SPEED_TOTAL())},
    MaxLevel, VLOOKUP(Y147,MS_Labs_Array,4,false),"&amp;"
    MaxOrTarget, IF(OR(TargetLevel = """",$AD$1 &lt;&gt; ""Target""), MaxLevel, TargetLevel),
    LabLevel, VLOOKUP(Y147,MS_Labs_Array,2,False),
    DVTColumn, MATCH(Y147, DVT_Laboratory!$A$1:BO$1, 0),
    xextTime, INDIRECT(""DVT_Laboratory!"" &amp; ADDRESS(LabLe"&amp;"vel+3, DVTColumn)) / LabSpeed,
    remainingTime, SUM(INDIRECT(""DVT_Laboratory!"" &amp; ADDRESS(LabLevel+3, DVTColumn) &amp; "":"" &amp; ADDRESS(MaxOrTarget+2, DVTColumn))) / LabSpeed,
  Y147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7" s="1249"/>
      <c r="AC147" s="1249"/>
      <c r="AD147" s="1249"/>
      <c r="AE147" s="1249"/>
      <c r="AF147" s="1250" t="str">
        <f>IFERROR(__xludf.DUMMYFUNCTION("if(AE147 &lt;&gt; """", 
  LET( 
    TargetLevel, VLOOKUP(AE147,MS_Labs_Array,3,false),
    MaxLevel, VLOOKUP(AE147,MS_Labs_Array,4,false),
    MaxOrTarget, IF(OR(TargetLevel = """",$AD$1 &lt;&gt; ""Target""), MaxLevel, TargetLevel),
    LabLevel, VLOOKUP(AE147,MS_La"&amp;"bs_Array,2,False),
    Levelprogress, LabLevel / MaxOrTarget,
    DVTColumn, MATCH(AE147,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7" s="1251" t="str">
        <f>IFERROR(__xludf.DUMMYFUNCTION("if(AE147 &lt;&gt; """", 
  LET(
    TargetLevel, VLOOKUP(AE147,MS_Labs_Array,3,false),
    LabSpeed, (1 * REGEXEXTRACT($BH$1, ""[\d.-]+"")) * {IF(AE147 =""Labs Speed"", 1+'Master Sheet'!$BK$5, LAB_SPEED_TOTAL())},
    MaxLevel, VLOOKUP(AE147,MS_Labs_Array,4,fal"&amp;"se),
    MaxOrTarget, IF(OR(TargetLevel = """",$AD$1 &lt;&gt; ""Target""), MaxLevel, TargetLevel),
    LabLevel, VLOOKUP(AE147,MS_Labs_Array,2,False),
    DVTColumn, MATCH(AE147, DVT_Laboratory!$A$1:BO$1, 0),
    xextTime, INDIRECT(""DVT_Laboratory!"" &amp; ADDRESS"&amp;"(LabLevel+3, DVTColumn)) / LabSpeed,
    remainingTime, SUM(INDIRECT(""DVT_Laboratory!"" &amp; ADDRESS(LabLevel+3, DVTColumn) &amp; "":"" &amp; ADDRESS(MaxOrTarget+2, DVTColumn))) / LabSpeed,
  AE147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7" s="1249"/>
      <c r="AI147" s="1249"/>
      <c r="AJ147" s="1249"/>
      <c r="AK147" s="1249"/>
      <c r="AL147" s="1250" t="str">
        <f>IFERROR(__xludf.DUMMYFUNCTION("if(AK147 &lt;&gt; """", 
  LET( 
    TargetLevel, VLOOKUP(AK147,MS_Labs_Array,3,false),
    MaxLevel, VLOOKUP(AK147,MS_Labs_Array,4,false),
    MaxOrTarget, IF(OR(TargetLevel = """",$AD$1 &lt;&gt; ""Target""), MaxLevel, TargetLevel),
    LabLevel, VLOOKUP(AK147,MS_La"&amp;"bs_Array,2,False),
    Levelprogress, LabLevel / MaxOrTarget,
    DVTColumn, MATCH(AK147,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7" s="1251" t="str">
        <f>IFERROR(__xludf.DUMMYFUNCTION("if(AK147 &lt;&gt; """", 
  LET(
    TargetLevel, VLOOKUP(AK147,MS_Labs_Array,3,false),
    LabSpeed, (1 * REGEXEXTRACT($BH$1, ""[\d.-]+"")) * {IF(AK147 =""Labs Speed"", 1+'Master Sheet'!$BK$5, LAB_SPEED_TOTAL())},
    MaxLevel, VLOOKUP(AK147,MS_Labs_Array,4,fal"&amp;"se),
    MaxOrTarget, IF(OR(TargetLevel = """",$AD$1 &lt;&gt; ""Target""), MaxLevel, TargetLevel),
    LabLevel, VLOOKUP(AK147,MS_Labs_Array,2,False),
    DVTColumn, MATCH(AK147, DVT_Laboratory!$A$1:BO$1, 0),
    xextTime, INDIRECT(""DVT_Laboratory!"" &amp; ADDRESS"&amp;"(LabLevel+3, DVTColumn)) / LabSpeed,
    remainingTime, SUM(INDIRECT(""DVT_Laboratory!"" &amp; ADDRESS(LabLevel+3, DVTColumn) &amp; "":"" &amp; ADDRESS(MaxOrTarget+2, DVTColumn))) / LabSpeed,
  AK147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7" s="1249"/>
      <c r="AO147" s="1249"/>
      <c r="AP147" s="1249"/>
      <c r="AQ147" s="1249"/>
      <c r="AR147" s="1250" t="str">
        <f>IFERROR(__xludf.DUMMYFUNCTION("if(AQ147 &lt;&gt; """", 
  LET( 
    TargetLevel, VLOOKUP(AQ147,MS_Labs_Array,3,false),
    MaxLevel, VLOOKUP(AQ147,MS_Labs_Array,4,false),
    MaxOrTarget, IF(OR(TargetLevel = """",$AD$1 &lt;&gt; ""Target""), MaxLevel, TargetLevel),
    LabLevel, VLOOKUP(AQ147,MS_La"&amp;"bs_Array,2,False),
    Levelprogress, LabLevel / MaxOrTarget,
    DVTColumn, MATCH(AQ147,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7" s="1251" t="str">
        <f>IFERROR(__xludf.DUMMYFUNCTION("if(AQ147 &lt;&gt; """", 
  LET(
    TargetLevel, VLOOKUP(AQ147,MS_Labs_Array,3,false),
    LabSpeed, (1 * REGEXEXTRACT($BH$1, ""[\d.-]+"")) * {IF(AQ147 =""Labs Speed"", 1+'Master Sheet'!$BK$5, LAB_SPEED_TOTAL())},
    MaxLevel, VLOOKUP(AQ147,MS_Labs_Array,4,fal"&amp;"se),
    MaxOrTarget, IF(OR(TargetLevel = """",$AD$1 &lt;&gt; ""Target""), MaxLevel, TargetLevel),
    LabLevel, VLOOKUP(AQ147,MS_Labs_Array,2,False),
    DVTColumn, MATCH(AQ147, DVT_Laboratory!$A$1:BO$1, 0),
    xextTime, INDIRECT(""DVT_Laboratory!"" &amp; ADDRESS"&amp;"(LabLevel+3, DVTColumn)) / LabSpeed,
    remainingTime, SUM(INDIRECT(""DVT_Laboratory!"" &amp; ADDRESS(LabLevel+3, DVTColumn) &amp; "":"" &amp; ADDRESS(MaxOrTarget+2, DVTColumn))) / LabSpeed,
  AQ147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7" s="1249"/>
      <c r="AU147" s="1249"/>
      <c r="AV147" s="1249"/>
      <c r="AW147" s="1249"/>
      <c r="AX147" s="1250" t="str">
        <f>IFERROR(__xludf.DUMMYFUNCTION("if(AW147 &lt;&gt; """", 
  LET( 
    TargetLevel, VLOOKUP(AW147,MS_Labs_Array,3,false),
    MaxLevel, VLOOKUP(AW147,MS_Labs_Array,4,false),
    MaxOrTarget, IF(OR(TargetLevel = """",$AD$1 &lt;&gt; ""Target""), MaxLevel, TargetLevel),
    LabLevel, VLOOKUP(AW147,MS_La"&amp;"bs_Array,2,False),
    Levelprogress, LabLevel / MaxOrTarget,
    DVTColumn, MATCH(AW147,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7" s="1251" t="str">
        <f>IFERROR(__xludf.DUMMYFUNCTION("if(AW147 &lt;&gt; """", 
  LET(
    TargetLevel, VLOOKUP(AW147,MS_Labs_Array,3,false),
    LabSpeed, (1 * REGEXEXTRACT($BH$1, ""[\d.-]+"")) * {IF(AW147 =""Labs Speed"", 1+'Master Sheet'!$BK$5, LAB_SPEED_TOTAL())},
    MaxLevel, VLOOKUP(AW147,MS_Labs_Array,4,fal"&amp;"se),
    MaxOrTarget, IF(OR(TargetLevel = """",$AD$1 &lt;&gt; ""Target""), MaxLevel, TargetLevel),
    LabLevel, VLOOKUP(AW147,MS_Labs_Array,2,False),
    DVTColumn, MATCH(AW147, DVT_Laboratory!$A$1:BO$1, 0),
    xextTime, INDIRECT(""DVT_Laboratory!"" &amp; ADDRESS"&amp;"(LabLevel+3, DVTColumn)) / LabSpeed,
    remainingTime, SUM(INDIRECT(""DVT_Laboratory!"" &amp; ADDRESS(LabLevel+3, DVTColumn) &amp; "":"" &amp; ADDRESS(MaxOrTarget+2, DVTColumn))) / LabSpeed,
  AW147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7" s="1249"/>
      <c r="BA147" s="1249"/>
      <c r="BB147" s="1249"/>
      <c r="BC147" s="1249"/>
      <c r="BD147" s="1250" t="str">
        <f>IFERROR(__xludf.DUMMYFUNCTION("if(BC147 &lt;&gt; """", 
  LET( 
    TargetLevel, VLOOKUP(BC147,MS_Labs_Array,3,false),
    MaxLevel, VLOOKUP(BC147,MS_Labs_Array,4,false),
    MaxOrTarget, IF(OR(TargetLevel = """",$AD$1 &lt;&gt; ""Target""), MaxLevel, TargetLevel),
    LabLevel, VLOOKUP(BC147,MS_La"&amp;"bs_Array,2,False),
    Levelprogress, LabLevel / MaxOrTarget,
    DVTColumn, MATCH(BC147,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7" s="1251" t="str">
        <f>IFERROR(__xludf.DUMMYFUNCTION("if(BC147 &lt;&gt; """", 
  LET(
    TargetLevel, VLOOKUP(BC147,MS_Labs_Array,3,false),
    LabSpeed, (1 * REGEXEXTRACT($BH$1, ""[\d.-]+"")) * {IF(BC147 =""Labs Speed"", 1+'Master Sheet'!$BK$5, LAB_SPEED_TOTAL())},
    MaxLevel, VLOOKUP(BC147,MS_Labs_Array,4,fal"&amp;"se),
    MaxOrTarget, IF(OR(TargetLevel = """",$AD$1 &lt;&gt; ""Target""), MaxLevel, TargetLevel),
    LabLevel, VLOOKUP(BC147,MS_Labs_Array,2,False),
    DVTColumn, MATCH(BC147, DVT_Laboratory!$A$1:BO$1, 0),
    xextTime, INDIRECT(""DVT_Laboratory!"" &amp; ADDRESS"&amp;"(LabLevel+3, DVTColumn)) / LabSpeed,
    remainingTime, SUM(INDIRECT(""DVT_Laboratory!"" &amp; ADDRESS(LabLevel+3, DVTColumn) &amp; "":"" &amp; ADDRESS(MaxOrTarget+2, DVTColumn))) / LabSpeed,
  BC147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7" s="1249"/>
      <c r="BG147" s="1249"/>
      <c r="BH147" s="1260"/>
      <c r="BI147" s="1252"/>
      <c r="BJ147" s="1253" t="str">
        <f>IFERROR(__xludf.DUMMYFUNCTION("if(BI147 &lt;&gt; """", 
  LET( 
    TargetLevel, VLOOKUP(BI147,MS_Labs_Array,3,false),
    MaxLevel, VLOOKUP(BI147,MS_Labs_Array,4,false),
    MaxOrTarget, IF(OR(TargetLevel = """",$AD$1 &lt;&gt; ""Target""), MaxLevel, TargetLevel),
    LabLevel, VLOOKUP(BI147,MS_La"&amp;"bs_Array,2,False),
    Levelprogress, IF(LabLevel &gt;= MaxOrTarget, 1, LabLevel / MaxOrTarget),
    DVTColumn, MATCH(BI147,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7" s="1254" t="str">
        <f>IFERROR(__xludf.DUMMYFUNCTION("if(BI147 &lt;&gt; """", 
  LET(
    TargetLevel, VLOOKUP(BI147,MS_Labs_Array,3,false),
    LabSpeed, (1 * REGEXEXTRACT($BH$1, ""[\d.-]+"")) * {IF(BI147 =""Labs Speed"", 1+'Master Sheet'!$BK$5, LAB_SPEED_TOTAL())},
    MaxLevel, VLOOKUP(BI147,MS_Labs_Array,4,fal"&amp;"se),
    MaxOrTarget, IF(OR(TargetLevel = """",$AD$1 &lt;&gt; ""Target""), MaxLevel, TargetLevel),
    LabLevel, VLOOKUP(BI147,MS_Labs_Array,2,False),
    DVTColumn, MATCH(BI147, DVT_Laboratory!$A$1:BO$1, 0),
    xextTime, INDIRECT(""DVT_Laboratory!"" &amp; ADDRESS"&amp;"(LabLevel+3, DVTColumn)) / LabSpeed,
    remainingTime, SUM(INDIRECT(""DVT_Laboratory!"" &amp; ADDRESS(LabLevel+3, DVTColumn) &amp; "":"" &amp; ADDRESS(MaxOrTarget+2, DVTColumn))) / LabSpeed,
  BI147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7" s="1252"/>
      <c r="BM147" s="1252"/>
      <c r="BN147" s="1222"/>
      <c r="BO147" s="1261"/>
    </row>
    <row r="148" ht="7.5" customHeight="1">
      <c r="A148" s="1222"/>
      <c r="B148" s="1257"/>
      <c r="C148" s="1326" t="s">
        <v>335</v>
      </c>
      <c r="D148" s="1280" t="str">
        <f>VLOOKUP(C148,'Remote Tier List'!A:D, 2, FALSE)</f>
        <v>D</v>
      </c>
      <c r="E148" s="1281" t="str">
        <f>VLOOKUP(C148,'Remote Tier List'!A:D, 3, FALSE)</f>
        <v/>
      </c>
      <c r="F148" s="1327" t="str">
        <f>VLOOKUP(C148,'Remote Tier List'!A:D, 4, FALSE)</f>
        <v>By the time you unlock this you're very likely past the point where eHP is a realistic build</v>
      </c>
      <c r="G148" s="1245" t="b">
        <f t="shared" si="23"/>
        <v>0</v>
      </c>
      <c r="H148" s="1246" t="str">
        <f t="array" ref="H148:I148">LET(
  Lab, $C148,
  Mode, $AD$1,
  Level, VLOOKUP(Lab, MS_Labs_Array, 2, FALSE),
  Target, VLOOKUP(Lab, MS_Labs_Array, 3, FALSE),
  Max, VLOOKUP(Lab, MS_Labs_Array, 4, FALSE),
  Result,
    IF(
      AND(
        Mode &lt;&gt; "Never",
        Level &gt;= IF(OR(Target = "", Mode = "Max"), Max, Target)
      ),
      "Completed",
      ""
    ),
  HSTACK(
    IF(Result &lt;&gt; "", Result, $D148),
    IF(Result &lt;&gt; "", Result, IF($E148 = "", $D148, $E148))
  )
)</f>
        <v>D</v>
      </c>
      <c r="I148" s="1247" t="s">
        <v>548</v>
      </c>
      <c r="J148" s="1248"/>
      <c r="K148" s="1229"/>
      <c r="L148" s="1249" t="str">
        <f>IFERROR(__xludf.DUMMYFUNCTION("""COMPUTED_VALUE"""),"")</f>
        <v/>
      </c>
      <c r="M148" s="1249"/>
      <c r="N148" s="1250" t="str">
        <f>IFERROR(__xludf.DUMMYFUNCTION("if(M148 &lt;&gt; """", 
  LET( 
    TargetLevel, VLOOKUP(M148,MS_Labs_Array,3,false),
    MaxLevel, VLOOKUP(M148,MS_Labs_Array,4,false),
    MaxOrTarget, IF(OR(TargetLevel = """",$AD$1 &lt;&gt; ""Target""), MaxLevel, TargetLevel),
    LabLevel, VLOOKUP(M148,MS_Labs_A"&amp;"rray,2,False),
    Levelprogress, LabLevel / MaxOrTarget,
    DVTColumn, MATCH(M148,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8" s="1251" t="str">
        <f>IFERROR(__xludf.DUMMYFUNCTION("if(M148 &lt;&gt; """", 
  LET(
    TargetLevel, VLOOKUP(M148,MS_Labs_Array,3,false),
    LabSpeed, (1 * REGEXEXTRACT($BH$1, ""[\d.-]+"")) * {IF(M148 =""Labs Speed"", 1+'Master Sheet'!$BK$5, LAB_SPEED_TOTAL())},
    MaxLevel, VLOOKUP(M148,MS_Labs_Array,4,false),"&amp;"
    MaxOrTarget, IF(OR(TargetLevel = """",$AD$1 &lt;&gt; ""Target""), MaxLevel, TargetLevel),
    LabLevel, VLOOKUP(M148,MS_Labs_Array,2,False),
    DVTColumn, MATCH(M148, DVT_Laboratory!$A$1:BO$1, 0),
    xextTime, INDIRECT(""DVT_Laboratory!"" &amp; ADDRESS(LabLe"&amp;"vel+3, DVTColumn)) / LabSpeed,
    remainingTime, SUM(INDIRECT(""DVT_Laboratory!"" &amp; ADDRESS(LabLevel+3, DVTColumn) &amp; "":"" &amp; ADDRESS(MaxOrTarget+2, DVTColumn))) / LabSpeed,
  M148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8" s="1249"/>
      <c r="Q148" s="1249" t="str">
        <f>IFERROR(__xludf.DUMMYFUNCTION("""COMPUTED_VALUE"""),"")</f>
        <v/>
      </c>
      <c r="R148" s="1249" t="str">
        <f>IFERROR(__xludf.DUMMYFUNCTION("""COMPUTED_VALUE"""),"")</f>
        <v/>
      </c>
      <c r="S148" s="1249"/>
      <c r="T148" s="1250" t="str">
        <f>IFERROR(__xludf.DUMMYFUNCTION("if(S148 &lt;&gt; """", 
  LET( 
    TargetLevel, VLOOKUP(S148,MS_Labs_Array,3,false),
    MaxLevel, VLOOKUP(S148,MS_Labs_Array,4,false),
    MaxOrTarget, IF(OR(TargetLevel = """",$AD$1 &lt;&gt; ""Target""), MaxLevel, TargetLevel),
    LabLevel, VLOOKUP(S148,MS_Labs_A"&amp;"rray,2,False),
    Levelprogress, LabLevel / MaxOrTarget,
    DVTColumn, MATCH(S148,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8" s="1251" t="str">
        <f>IFERROR(__xludf.DUMMYFUNCTION("if(S148 &lt;&gt; """", 
  LET(
    TargetLevel, VLOOKUP(S148,MS_Labs_Array,3,false),
    LabSpeed, (1 * REGEXEXTRACT($BH$1, ""[\d.-]+"")) * {IF(S148 =""Labs Speed"", 1+'Master Sheet'!$BK$5, LAB_SPEED_TOTAL())},
    MaxLevel, VLOOKUP(S148,MS_Labs_Array,4,false),"&amp;"
    MaxOrTarget, IF(OR(TargetLevel = """",$AD$1 &lt;&gt; ""Target""), MaxLevel, TargetLevel),
    LabLevel, VLOOKUP(S148,MS_Labs_Array,2,False),
    DVTColumn, MATCH(S148, DVT_Laboratory!$A$1:BO$1, 0),
    xextTime, INDIRECT(""DVT_Laboratory!"" &amp; ADDRESS(LabLe"&amp;"vel+3, DVTColumn)) / LabSpeed,
    remainingTime, SUM(INDIRECT(""DVT_Laboratory!"" &amp; ADDRESS(LabLevel+3, DVTColumn) &amp; "":"" &amp; ADDRESS(MaxOrTarget+2, DVTColumn))) / LabSpeed,
  S148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8" s="1249"/>
      <c r="W148" s="1249" t="str">
        <f>IFERROR(__xludf.DUMMYFUNCTION("""COMPUTED_VALUE"""),"")</f>
        <v/>
      </c>
      <c r="X148" s="1249" t="str">
        <f>IFERROR(__xludf.DUMMYFUNCTION("""COMPUTED_VALUE"""),"")</f>
        <v/>
      </c>
      <c r="Y148" s="1249"/>
      <c r="Z148" s="1250" t="str">
        <f>IFERROR(__xludf.DUMMYFUNCTION("if(Y148 &lt;&gt; """", 
  LET( 
    TargetLevel, VLOOKUP(Y148,MS_Labs_Array,3,false),
    MaxLevel, VLOOKUP(Y148,MS_Labs_Array,4,false),
    MaxOrTarget, IF(OR(TargetLevel = """",$AD$1 &lt;&gt; ""Target""), MaxLevel, TargetLevel),
    LabLevel, VLOOKUP(Y148,MS_Labs_A"&amp;"rray,2,False),
    Levelprogress, LabLevel / MaxOrTarget,
    DVTColumn, MATCH(Y148,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8" s="1251" t="str">
        <f>IFERROR(__xludf.DUMMYFUNCTION("if(Y148 &lt;&gt; """", 
  LET(
    TargetLevel, VLOOKUP(Y148,MS_Labs_Array,3,false),
    LabSpeed, (1 * REGEXEXTRACT($BH$1, ""[\d.-]+"")) * {IF(Y148 =""Labs Speed"", 1+'Master Sheet'!$BK$5, LAB_SPEED_TOTAL())},
    MaxLevel, VLOOKUP(Y148,MS_Labs_Array,4,false),"&amp;"
    MaxOrTarget, IF(OR(TargetLevel = """",$AD$1 &lt;&gt; ""Target""), MaxLevel, TargetLevel),
    LabLevel, VLOOKUP(Y148,MS_Labs_Array,2,False),
    DVTColumn, MATCH(Y148, DVT_Laboratory!$A$1:BO$1, 0),
    xextTime, INDIRECT(""DVT_Laboratory!"" &amp; ADDRESS(LabLe"&amp;"vel+3, DVTColumn)) / LabSpeed,
    remainingTime, SUM(INDIRECT(""DVT_Laboratory!"" &amp; ADDRESS(LabLevel+3, DVTColumn) &amp; "":"" &amp; ADDRESS(MaxOrTarget+2, DVTColumn))) / LabSpeed,
  Y148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8" s="1249"/>
      <c r="AC148" s="1249" t="str">
        <f>IFERROR(__xludf.DUMMYFUNCTION("""COMPUTED_VALUE"""),"")</f>
        <v/>
      </c>
      <c r="AD148" s="1249" t="str">
        <f>IFERROR(__xludf.DUMMYFUNCTION("""COMPUTED_VALUE"""),"")</f>
        <v/>
      </c>
      <c r="AE148" s="1249"/>
      <c r="AF148" s="1250" t="str">
        <f>IFERROR(__xludf.DUMMYFUNCTION("if(AE148 &lt;&gt; """", 
  LET( 
    TargetLevel, VLOOKUP(AE148,MS_Labs_Array,3,false),
    MaxLevel, VLOOKUP(AE148,MS_Labs_Array,4,false),
    MaxOrTarget, IF(OR(TargetLevel = """",$AD$1 &lt;&gt; ""Target""), MaxLevel, TargetLevel),
    LabLevel, VLOOKUP(AE148,MS_La"&amp;"bs_Array,2,False),
    Levelprogress, LabLevel / MaxOrTarget,
    DVTColumn, MATCH(AE148,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8" s="1251" t="str">
        <f>IFERROR(__xludf.DUMMYFUNCTION("if(AE148 &lt;&gt; """", 
  LET(
    TargetLevel, VLOOKUP(AE148,MS_Labs_Array,3,false),
    LabSpeed, (1 * REGEXEXTRACT($BH$1, ""[\d.-]+"")) * {IF(AE148 =""Labs Speed"", 1+'Master Sheet'!$BK$5, LAB_SPEED_TOTAL())},
    MaxLevel, VLOOKUP(AE148,MS_Labs_Array,4,fal"&amp;"se),
    MaxOrTarget, IF(OR(TargetLevel = """",$AD$1 &lt;&gt; ""Target""), MaxLevel, TargetLevel),
    LabLevel, VLOOKUP(AE148,MS_Labs_Array,2,False),
    DVTColumn, MATCH(AE148, DVT_Laboratory!$A$1:BO$1, 0),
    xextTime, INDIRECT(""DVT_Laboratory!"" &amp; ADDRESS"&amp;"(LabLevel+3, DVTColumn)) / LabSpeed,
    remainingTime, SUM(INDIRECT(""DVT_Laboratory!"" &amp; ADDRESS(LabLevel+3, DVTColumn) &amp; "":"" &amp; ADDRESS(MaxOrTarget+2, DVTColumn))) / LabSpeed,
  AE148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8" s="1249"/>
      <c r="AI148" s="1249" t="str">
        <f>IFERROR(__xludf.DUMMYFUNCTION("""COMPUTED_VALUE"""),"")</f>
        <v/>
      </c>
      <c r="AJ148" s="1249" t="str">
        <f>IFERROR(__xludf.DUMMYFUNCTION("""COMPUTED_VALUE"""),"")</f>
        <v/>
      </c>
      <c r="AK148" s="1249"/>
      <c r="AL148" s="1250" t="str">
        <f>IFERROR(__xludf.DUMMYFUNCTION("if(AK148 &lt;&gt; """", 
  LET( 
    TargetLevel, VLOOKUP(AK148,MS_Labs_Array,3,false),
    MaxLevel, VLOOKUP(AK148,MS_Labs_Array,4,false),
    MaxOrTarget, IF(OR(TargetLevel = """",$AD$1 &lt;&gt; ""Target""), MaxLevel, TargetLevel),
    LabLevel, VLOOKUP(AK148,MS_La"&amp;"bs_Array,2,False),
    Levelprogress, LabLevel / MaxOrTarget,
    DVTColumn, MATCH(AK148,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8" s="1251" t="str">
        <f>IFERROR(__xludf.DUMMYFUNCTION("if(AK148 &lt;&gt; """", 
  LET(
    TargetLevel, VLOOKUP(AK148,MS_Labs_Array,3,false),
    LabSpeed, (1 * REGEXEXTRACT($BH$1, ""[\d.-]+"")) * {IF(AK148 =""Labs Speed"", 1+'Master Sheet'!$BK$5, LAB_SPEED_TOTAL())},
    MaxLevel, VLOOKUP(AK148,MS_Labs_Array,4,fal"&amp;"se),
    MaxOrTarget, IF(OR(TargetLevel = """",$AD$1 &lt;&gt; ""Target""), MaxLevel, TargetLevel),
    LabLevel, VLOOKUP(AK148,MS_Labs_Array,2,False),
    DVTColumn, MATCH(AK148, DVT_Laboratory!$A$1:BO$1, 0),
    xextTime, INDIRECT(""DVT_Laboratory!"" &amp; ADDRESS"&amp;"(LabLevel+3, DVTColumn)) / LabSpeed,
    remainingTime, SUM(INDIRECT(""DVT_Laboratory!"" &amp; ADDRESS(LabLevel+3, DVTColumn) &amp; "":"" &amp; ADDRESS(MaxOrTarget+2, DVTColumn))) / LabSpeed,
  AK148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8" s="1249"/>
      <c r="AO148" s="1249" t="str">
        <f>IFERROR(__xludf.DUMMYFUNCTION("""COMPUTED_VALUE"""),"")</f>
        <v/>
      </c>
      <c r="AP148" s="1249" t="str">
        <f>IFERROR(__xludf.DUMMYFUNCTION("""COMPUTED_VALUE"""),"")</f>
        <v/>
      </c>
      <c r="AQ148" s="1249"/>
      <c r="AR148" s="1250" t="str">
        <f>IFERROR(__xludf.DUMMYFUNCTION("if(AQ148 &lt;&gt; """", 
  LET( 
    TargetLevel, VLOOKUP(AQ148,MS_Labs_Array,3,false),
    MaxLevel, VLOOKUP(AQ148,MS_Labs_Array,4,false),
    MaxOrTarget, IF(OR(TargetLevel = """",$AD$1 &lt;&gt; ""Target""), MaxLevel, TargetLevel),
    LabLevel, VLOOKUP(AQ148,MS_La"&amp;"bs_Array,2,False),
    Levelprogress, LabLevel / MaxOrTarget,
    DVTColumn, MATCH(AQ148,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8" s="1251" t="str">
        <f>IFERROR(__xludf.DUMMYFUNCTION("if(AQ148 &lt;&gt; """", 
  LET(
    TargetLevel, VLOOKUP(AQ148,MS_Labs_Array,3,false),
    LabSpeed, (1 * REGEXEXTRACT($BH$1, ""[\d.-]+"")) * {IF(AQ148 =""Labs Speed"", 1+'Master Sheet'!$BK$5, LAB_SPEED_TOTAL())},
    MaxLevel, VLOOKUP(AQ148,MS_Labs_Array,4,fal"&amp;"se),
    MaxOrTarget, IF(OR(TargetLevel = """",$AD$1 &lt;&gt; ""Target""), MaxLevel, TargetLevel),
    LabLevel, VLOOKUP(AQ148,MS_Labs_Array,2,False),
    DVTColumn, MATCH(AQ148, DVT_Laboratory!$A$1:BO$1, 0),
    xextTime, INDIRECT(""DVT_Laboratory!"" &amp; ADDRESS"&amp;"(LabLevel+3, DVTColumn)) / LabSpeed,
    remainingTime, SUM(INDIRECT(""DVT_Laboratory!"" &amp; ADDRESS(LabLevel+3, DVTColumn) &amp; "":"" &amp; ADDRESS(MaxOrTarget+2, DVTColumn))) / LabSpeed,
  AQ148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8" s="1249"/>
      <c r="AU148" s="1249" t="str">
        <f>IFERROR(__xludf.DUMMYFUNCTION("""COMPUTED_VALUE"""),"")</f>
        <v/>
      </c>
      <c r="AV148" s="1249" t="str">
        <f>IFERROR(__xludf.DUMMYFUNCTION("""COMPUTED_VALUE"""),"")</f>
        <v/>
      </c>
      <c r="AW148" s="1249"/>
      <c r="AX148" s="1250" t="str">
        <f>IFERROR(__xludf.DUMMYFUNCTION("if(AW148 &lt;&gt; """", 
  LET( 
    TargetLevel, VLOOKUP(AW148,MS_Labs_Array,3,false),
    MaxLevel, VLOOKUP(AW148,MS_Labs_Array,4,false),
    MaxOrTarget, IF(OR(TargetLevel = """",$AD$1 &lt;&gt; ""Target""), MaxLevel, TargetLevel),
    LabLevel, VLOOKUP(AW148,MS_La"&amp;"bs_Array,2,False),
    Levelprogress, LabLevel / MaxOrTarget,
    DVTColumn, MATCH(AW148,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8" s="1251" t="str">
        <f>IFERROR(__xludf.DUMMYFUNCTION("if(AW148 &lt;&gt; """", 
  LET(
    TargetLevel, VLOOKUP(AW148,MS_Labs_Array,3,false),
    LabSpeed, (1 * REGEXEXTRACT($BH$1, ""[\d.-]+"")) * {IF(AW148 =""Labs Speed"", 1+'Master Sheet'!$BK$5, LAB_SPEED_TOTAL())},
    MaxLevel, VLOOKUP(AW148,MS_Labs_Array,4,fal"&amp;"se),
    MaxOrTarget, IF(OR(TargetLevel = """",$AD$1 &lt;&gt; ""Target""), MaxLevel, TargetLevel),
    LabLevel, VLOOKUP(AW148,MS_Labs_Array,2,False),
    DVTColumn, MATCH(AW148, DVT_Laboratory!$A$1:BO$1, 0),
    xextTime, INDIRECT(""DVT_Laboratory!"" &amp; ADDRESS"&amp;"(LabLevel+3, DVTColumn)) / LabSpeed,
    remainingTime, SUM(INDIRECT(""DVT_Laboratory!"" &amp; ADDRESS(LabLevel+3, DVTColumn) &amp; "":"" &amp; ADDRESS(MaxOrTarget+2, DVTColumn))) / LabSpeed,
  AW148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8" s="1249"/>
      <c r="BA148" s="1249" t="str">
        <f>IFERROR(__xludf.DUMMYFUNCTION("""COMPUTED_VALUE"""),"")</f>
        <v/>
      </c>
      <c r="BB148" s="1249" t="str">
        <f>IFERROR(__xludf.DUMMYFUNCTION("""COMPUTED_VALUE"""),"")</f>
        <v/>
      </c>
      <c r="BC148" s="1249"/>
      <c r="BD148" s="1250" t="str">
        <f>IFERROR(__xludf.DUMMYFUNCTION("if(BC148 &lt;&gt; """", 
  LET( 
    TargetLevel, VLOOKUP(BC148,MS_Labs_Array,3,false),
    MaxLevel, VLOOKUP(BC148,MS_Labs_Array,4,false),
    MaxOrTarget, IF(OR(TargetLevel = """",$AD$1 &lt;&gt; ""Target""), MaxLevel, TargetLevel),
    LabLevel, VLOOKUP(BC148,MS_La"&amp;"bs_Array,2,False),
    Levelprogress, LabLevel / MaxOrTarget,
    DVTColumn, MATCH(BC148,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8" s="1251" t="str">
        <f>IFERROR(__xludf.DUMMYFUNCTION("if(BC148 &lt;&gt; """", 
  LET(
    TargetLevel, VLOOKUP(BC148,MS_Labs_Array,3,false),
    LabSpeed, (1 * REGEXEXTRACT($BH$1, ""[\d.-]+"")) * {IF(BC148 =""Labs Speed"", 1+'Master Sheet'!$BK$5, LAB_SPEED_TOTAL())},
    MaxLevel, VLOOKUP(BC148,MS_Labs_Array,4,fal"&amp;"se),
    MaxOrTarget, IF(OR(TargetLevel = """",$AD$1 &lt;&gt; ""Target""), MaxLevel, TargetLevel),
    LabLevel, VLOOKUP(BC148,MS_Labs_Array,2,False),
    DVTColumn, MATCH(BC148, DVT_Laboratory!$A$1:BO$1, 0),
    xextTime, INDIRECT(""DVT_Laboratory!"" &amp; ADDRESS"&amp;"(LabLevel+3, DVTColumn)) / LabSpeed,
    remainingTime, SUM(INDIRECT(""DVT_Laboratory!"" &amp; ADDRESS(LabLevel+3, DVTColumn) &amp; "":"" &amp; ADDRESS(MaxOrTarget+2, DVTColumn))) / LabSpeed,
  BC148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8" s="1249"/>
      <c r="BG148" s="1249" t="str">
        <f>IFERROR(__xludf.DUMMYFUNCTION("""COMPUTED_VALUE"""),"")</f>
        <v/>
      </c>
      <c r="BH148" s="1260" t="str">
        <f>IFERROR(__xludf.DUMMYFUNCTION("""COMPUTED_VALUE"""),"")</f>
        <v/>
      </c>
      <c r="BI148" s="1252"/>
      <c r="BJ148" s="1253" t="str">
        <f>IFERROR(__xludf.DUMMYFUNCTION("if(BI148 &lt;&gt; """", 
  LET( 
    TargetLevel, VLOOKUP(BI148,MS_Labs_Array,3,false),
    MaxLevel, VLOOKUP(BI148,MS_Labs_Array,4,false),
    MaxOrTarget, IF(OR(TargetLevel = """",$AD$1 &lt;&gt; ""Target""), MaxLevel, TargetLevel),
    LabLevel, VLOOKUP(BI148,MS_La"&amp;"bs_Array,2,False),
    Levelprogress, IF(LabLevel &gt;= MaxOrTarget, 1, LabLevel / MaxOrTarget),
    DVTColumn, MATCH(BI148,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8" s="1254" t="str">
        <f>IFERROR(__xludf.DUMMYFUNCTION("if(BI148 &lt;&gt; """", 
  LET(
    TargetLevel, VLOOKUP(BI148,MS_Labs_Array,3,false),
    LabSpeed, (1 * REGEXEXTRACT($BH$1, ""[\d.-]+"")) * {IF(BI148 =""Labs Speed"", 1+'Master Sheet'!$BK$5, LAB_SPEED_TOTAL())},
    MaxLevel, VLOOKUP(BI148,MS_Labs_Array,4,fal"&amp;"se),
    MaxOrTarget, IF(OR(TargetLevel = """",$AD$1 &lt;&gt; ""Target""), MaxLevel, TargetLevel),
    LabLevel, VLOOKUP(BI148,MS_Labs_Array,2,False),
    DVTColumn, MATCH(BI148, DVT_Laboratory!$A$1:BO$1, 0),
    xextTime, INDIRECT(""DVT_Laboratory!"" &amp; ADDRESS"&amp;"(LabLevel+3, DVTColumn)) / LabSpeed,
    remainingTime, SUM(INDIRECT(""DVT_Laboratory!"" &amp; ADDRESS(LabLevel+3, DVTColumn) &amp; "":"" &amp; ADDRESS(MaxOrTarget+2, DVTColumn))) / LabSpeed,
  BI148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8" s="1252"/>
      <c r="BM148" s="1252" t="str">
        <f>IFERROR(__xludf.DUMMYFUNCTION("""COMPUTED_VALUE"""),"")</f>
        <v/>
      </c>
      <c r="BN148" s="1222"/>
      <c r="BO148" s="1261"/>
    </row>
    <row r="149">
      <c r="A149" s="1222"/>
      <c r="B149" s="1257"/>
      <c r="C149" s="1326" t="s">
        <v>340</v>
      </c>
      <c r="D149" s="1280" t="str">
        <f>VLOOKUP(C149,'Remote Tier List'!A:D, 2, FALSE)</f>
        <v>D</v>
      </c>
      <c r="E149" s="1281" t="str">
        <f>VLOOKUP(C149,'Remote Tier List'!A:D, 3, FALSE)</f>
        <v/>
      </c>
      <c r="F149" s="1276"/>
      <c r="G149" s="1245" t="b">
        <f t="shared" si="23"/>
        <v>0</v>
      </c>
      <c r="H149" s="1246" t="str">
        <f t="array" ref="H149:I149">LET(
  Lab, $C149,
  Mode, $AD$1,
  Level, VLOOKUP(Lab, MS_Labs_Array, 2, FALSE),
  Target, VLOOKUP(Lab, MS_Labs_Array, 3, FALSE),
  Max, VLOOKUP(Lab, MS_Labs_Array, 4, FALSE),
  Result,
    IF(
      AND(
        Mode &lt;&gt; "Never",
        Level &gt;= IF(OR(Target = "", Mode = "Max"), Max, Target)
      ),
      "Completed",
      ""
    ),
  HSTACK(
    IF(Result &lt;&gt; "", Result, $D149),
    IF(Result &lt;&gt; "", Result, IF($E149 = "", $D149, $E149))
  )
)</f>
        <v>D</v>
      </c>
      <c r="I149" s="1247" t="s">
        <v>548</v>
      </c>
      <c r="J149" s="1248"/>
      <c r="K149" s="1229"/>
      <c r="L149" s="1249"/>
      <c r="M149" s="1249"/>
      <c r="N149" s="1250" t="str">
        <f>IFERROR(__xludf.DUMMYFUNCTION("if(M149 &lt;&gt; """", 
  LET( 
    TargetLevel, VLOOKUP(M149,MS_Labs_Array,3,false),
    MaxLevel, VLOOKUP(M149,MS_Labs_Array,4,false),
    MaxOrTarget, IF(OR(TargetLevel = """",$AD$1 &lt;&gt; ""Target""), MaxLevel, TargetLevel),
    LabLevel, VLOOKUP(M149,MS_Labs_A"&amp;"rray,2,False),
    Levelprogress, LabLevel / MaxOrTarget,
    DVTColumn, MATCH(M149,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9" s="1251" t="str">
        <f>IFERROR(__xludf.DUMMYFUNCTION("if(M149 &lt;&gt; """", 
  LET(
    TargetLevel, VLOOKUP(M149,MS_Labs_Array,3,false),
    LabSpeed, (1 * REGEXEXTRACT($BH$1, ""[\d.-]+"")) * {IF(M149 =""Labs Speed"", 1+'Master Sheet'!$BK$5, LAB_SPEED_TOTAL())},
    MaxLevel, VLOOKUP(M149,MS_Labs_Array,4,false),"&amp;"
    MaxOrTarget, IF(OR(TargetLevel = """",$AD$1 &lt;&gt; ""Target""), MaxLevel, TargetLevel),
    LabLevel, VLOOKUP(M149,MS_Labs_Array,2,False),
    DVTColumn, MATCH(M149, DVT_Laboratory!$A$1:BO$1, 0),
    xextTime, INDIRECT(""DVT_Laboratory!"" &amp; ADDRESS(LabLe"&amp;"vel+3, DVTColumn)) / LabSpeed,
    remainingTime, SUM(INDIRECT(""DVT_Laboratory!"" &amp; ADDRESS(LabLevel+3, DVTColumn) &amp; "":"" &amp; ADDRESS(MaxOrTarget+2, DVTColumn))) / LabSpeed,
  M149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9" s="1249"/>
      <c r="Q149" s="1249"/>
      <c r="R149" s="1249"/>
      <c r="S149" s="1249"/>
      <c r="T149" s="1250" t="str">
        <f>IFERROR(__xludf.DUMMYFUNCTION("if(S149 &lt;&gt; """", 
  LET( 
    TargetLevel, VLOOKUP(S149,MS_Labs_Array,3,false),
    MaxLevel, VLOOKUP(S149,MS_Labs_Array,4,false),
    MaxOrTarget, IF(OR(TargetLevel = """",$AD$1 &lt;&gt; ""Target""), MaxLevel, TargetLevel),
    LabLevel, VLOOKUP(S149,MS_Labs_A"&amp;"rray,2,False),
    Levelprogress, LabLevel / MaxOrTarget,
    DVTColumn, MATCH(S149,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9" s="1251" t="str">
        <f>IFERROR(__xludf.DUMMYFUNCTION("if(S149 &lt;&gt; """", 
  LET(
    TargetLevel, VLOOKUP(S149,MS_Labs_Array,3,false),
    LabSpeed, (1 * REGEXEXTRACT($BH$1, ""[\d.-]+"")) * {IF(S149 =""Labs Speed"", 1+'Master Sheet'!$BK$5, LAB_SPEED_TOTAL())},
    MaxLevel, VLOOKUP(S149,MS_Labs_Array,4,false),"&amp;"
    MaxOrTarget, IF(OR(TargetLevel = """",$AD$1 &lt;&gt; ""Target""), MaxLevel, TargetLevel),
    LabLevel, VLOOKUP(S149,MS_Labs_Array,2,False),
    DVTColumn, MATCH(S149, DVT_Laboratory!$A$1:BO$1, 0),
    xextTime, INDIRECT(""DVT_Laboratory!"" &amp; ADDRESS(LabLe"&amp;"vel+3, DVTColumn)) / LabSpeed,
    remainingTime, SUM(INDIRECT(""DVT_Laboratory!"" &amp; ADDRESS(LabLevel+3, DVTColumn) &amp; "":"" &amp; ADDRESS(MaxOrTarget+2, DVTColumn))) / LabSpeed,
  S149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9" s="1249"/>
      <c r="W149" s="1249"/>
      <c r="X149" s="1249"/>
      <c r="Y149" s="1249"/>
      <c r="Z149" s="1250" t="str">
        <f>IFERROR(__xludf.DUMMYFUNCTION("if(Y149 &lt;&gt; """", 
  LET( 
    TargetLevel, VLOOKUP(Y149,MS_Labs_Array,3,false),
    MaxLevel, VLOOKUP(Y149,MS_Labs_Array,4,false),
    MaxOrTarget, IF(OR(TargetLevel = """",$AD$1 &lt;&gt; ""Target""), MaxLevel, TargetLevel),
    LabLevel, VLOOKUP(Y149,MS_Labs_A"&amp;"rray,2,False),
    Levelprogress, LabLevel / MaxOrTarget,
    DVTColumn, MATCH(Y149,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9" s="1251" t="str">
        <f>IFERROR(__xludf.DUMMYFUNCTION("if(Y149 &lt;&gt; """", 
  LET(
    TargetLevel, VLOOKUP(Y149,MS_Labs_Array,3,false),
    LabSpeed, (1 * REGEXEXTRACT($BH$1, ""[\d.-]+"")) * {IF(Y149 =""Labs Speed"", 1+'Master Sheet'!$BK$5, LAB_SPEED_TOTAL())},
    MaxLevel, VLOOKUP(Y149,MS_Labs_Array,4,false),"&amp;"
    MaxOrTarget, IF(OR(TargetLevel = """",$AD$1 &lt;&gt; ""Target""), MaxLevel, TargetLevel),
    LabLevel, VLOOKUP(Y149,MS_Labs_Array,2,False),
    DVTColumn, MATCH(Y149, DVT_Laboratory!$A$1:BO$1, 0),
    xextTime, INDIRECT(""DVT_Laboratory!"" &amp; ADDRESS(LabLe"&amp;"vel+3, DVTColumn)) / LabSpeed,
    remainingTime, SUM(INDIRECT(""DVT_Laboratory!"" &amp; ADDRESS(LabLevel+3, DVTColumn) &amp; "":"" &amp; ADDRESS(MaxOrTarget+2, DVTColumn))) / LabSpeed,
  Y149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9" s="1249"/>
      <c r="AC149" s="1249"/>
      <c r="AD149" s="1249"/>
      <c r="AE149" s="1249"/>
      <c r="AF149" s="1250" t="str">
        <f>IFERROR(__xludf.DUMMYFUNCTION("if(AE149 &lt;&gt; """", 
  LET( 
    TargetLevel, VLOOKUP(AE149,MS_Labs_Array,3,false),
    MaxLevel, VLOOKUP(AE149,MS_Labs_Array,4,false),
    MaxOrTarget, IF(OR(TargetLevel = """",$AD$1 &lt;&gt; ""Target""), MaxLevel, TargetLevel),
    LabLevel, VLOOKUP(AE149,MS_La"&amp;"bs_Array,2,False),
    Levelprogress, LabLevel / MaxOrTarget,
    DVTColumn, MATCH(AE149,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9" s="1251" t="str">
        <f>IFERROR(__xludf.DUMMYFUNCTION("if(AE149 &lt;&gt; """", 
  LET(
    TargetLevel, VLOOKUP(AE149,MS_Labs_Array,3,false),
    LabSpeed, (1 * REGEXEXTRACT($BH$1, ""[\d.-]+"")) * {IF(AE149 =""Labs Speed"", 1+'Master Sheet'!$BK$5, LAB_SPEED_TOTAL())},
    MaxLevel, VLOOKUP(AE149,MS_Labs_Array,4,fal"&amp;"se),
    MaxOrTarget, IF(OR(TargetLevel = """",$AD$1 &lt;&gt; ""Target""), MaxLevel, TargetLevel),
    LabLevel, VLOOKUP(AE149,MS_Labs_Array,2,False),
    DVTColumn, MATCH(AE149, DVT_Laboratory!$A$1:BO$1, 0),
    xextTime, INDIRECT(""DVT_Laboratory!"" &amp; ADDRESS"&amp;"(LabLevel+3, DVTColumn)) / LabSpeed,
    remainingTime, SUM(INDIRECT(""DVT_Laboratory!"" &amp; ADDRESS(LabLevel+3, DVTColumn) &amp; "":"" &amp; ADDRESS(MaxOrTarget+2, DVTColumn))) / LabSpeed,
  AE149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9" s="1249"/>
      <c r="AI149" s="1249"/>
      <c r="AJ149" s="1249"/>
      <c r="AK149" s="1249"/>
      <c r="AL149" s="1250" t="str">
        <f>IFERROR(__xludf.DUMMYFUNCTION("if(AK149 &lt;&gt; """", 
  LET( 
    TargetLevel, VLOOKUP(AK149,MS_Labs_Array,3,false),
    MaxLevel, VLOOKUP(AK149,MS_Labs_Array,4,false),
    MaxOrTarget, IF(OR(TargetLevel = """",$AD$1 &lt;&gt; ""Target""), MaxLevel, TargetLevel),
    LabLevel, VLOOKUP(AK149,MS_La"&amp;"bs_Array,2,False),
    Levelprogress, LabLevel / MaxOrTarget,
    DVTColumn, MATCH(AK149,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9" s="1251" t="str">
        <f>IFERROR(__xludf.DUMMYFUNCTION("if(AK149 &lt;&gt; """", 
  LET(
    TargetLevel, VLOOKUP(AK149,MS_Labs_Array,3,false),
    LabSpeed, (1 * REGEXEXTRACT($BH$1, ""[\d.-]+"")) * {IF(AK149 =""Labs Speed"", 1+'Master Sheet'!$BK$5, LAB_SPEED_TOTAL())},
    MaxLevel, VLOOKUP(AK149,MS_Labs_Array,4,fal"&amp;"se),
    MaxOrTarget, IF(OR(TargetLevel = """",$AD$1 &lt;&gt; ""Target""), MaxLevel, TargetLevel),
    LabLevel, VLOOKUP(AK149,MS_Labs_Array,2,False),
    DVTColumn, MATCH(AK149, DVT_Laboratory!$A$1:BO$1, 0),
    xextTime, INDIRECT(""DVT_Laboratory!"" &amp; ADDRESS"&amp;"(LabLevel+3, DVTColumn)) / LabSpeed,
    remainingTime, SUM(INDIRECT(""DVT_Laboratory!"" &amp; ADDRESS(LabLevel+3, DVTColumn) &amp; "":"" &amp; ADDRESS(MaxOrTarget+2, DVTColumn))) / LabSpeed,
  AK149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9" s="1249"/>
      <c r="AO149" s="1249"/>
      <c r="AP149" s="1249"/>
      <c r="AQ149" s="1249"/>
      <c r="AR149" s="1250" t="str">
        <f>IFERROR(__xludf.DUMMYFUNCTION("if(AQ149 &lt;&gt; """", 
  LET( 
    TargetLevel, VLOOKUP(AQ149,MS_Labs_Array,3,false),
    MaxLevel, VLOOKUP(AQ149,MS_Labs_Array,4,false),
    MaxOrTarget, IF(OR(TargetLevel = """",$AD$1 &lt;&gt; ""Target""), MaxLevel, TargetLevel),
    LabLevel, VLOOKUP(AQ149,MS_La"&amp;"bs_Array,2,False),
    Levelprogress, LabLevel / MaxOrTarget,
    DVTColumn, MATCH(AQ149,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9" s="1251" t="str">
        <f>IFERROR(__xludf.DUMMYFUNCTION("if(AQ149 &lt;&gt; """", 
  LET(
    TargetLevel, VLOOKUP(AQ149,MS_Labs_Array,3,false),
    LabSpeed, (1 * REGEXEXTRACT($BH$1, ""[\d.-]+"")) * {IF(AQ149 =""Labs Speed"", 1+'Master Sheet'!$BK$5, LAB_SPEED_TOTAL())},
    MaxLevel, VLOOKUP(AQ149,MS_Labs_Array,4,fal"&amp;"se),
    MaxOrTarget, IF(OR(TargetLevel = """",$AD$1 &lt;&gt; ""Target""), MaxLevel, TargetLevel),
    LabLevel, VLOOKUP(AQ149,MS_Labs_Array,2,False),
    DVTColumn, MATCH(AQ149, DVT_Laboratory!$A$1:BO$1, 0),
    xextTime, INDIRECT(""DVT_Laboratory!"" &amp; ADDRESS"&amp;"(LabLevel+3, DVTColumn)) / LabSpeed,
    remainingTime, SUM(INDIRECT(""DVT_Laboratory!"" &amp; ADDRESS(LabLevel+3, DVTColumn) &amp; "":"" &amp; ADDRESS(MaxOrTarget+2, DVTColumn))) / LabSpeed,
  AQ149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9" s="1249"/>
      <c r="AU149" s="1249"/>
      <c r="AV149" s="1249"/>
      <c r="AW149" s="1249"/>
      <c r="AX149" s="1250" t="str">
        <f>IFERROR(__xludf.DUMMYFUNCTION("if(AW149 &lt;&gt; """", 
  LET( 
    TargetLevel, VLOOKUP(AW149,MS_Labs_Array,3,false),
    MaxLevel, VLOOKUP(AW149,MS_Labs_Array,4,false),
    MaxOrTarget, IF(OR(TargetLevel = """",$AD$1 &lt;&gt; ""Target""), MaxLevel, TargetLevel),
    LabLevel, VLOOKUP(AW149,MS_La"&amp;"bs_Array,2,False),
    Levelprogress, LabLevel / MaxOrTarget,
    DVTColumn, MATCH(AW149,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9" s="1251" t="str">
        <f>IFERROR(__xludf.DUMMYFUNCTION("if(AW149 &lt;&gt; """", 
  LET(
    TargetLevel, VLOOKUP(AW149,MS_Labs_Array,3,false),
    LabSpeed, (1 * REGEXEXTRACT($BH$1, ""[\d.-]+"")) * {IF(AW149 =""Labs Speed"", 1+'Master Sheet'!$BK$5, LAB_SPEED_TOTAL())},
    MaxLevel, VLOOKUP(AW149,MS_Labs_Array,4,fal"&amp;"se),
    MaxOrTarget, IF(OR(TargetLevel = """",$AD$1 &lt;&gt; ""Target""), MaxLevel, TargetLevel),
    LabLevel, VLOOKUP(AW149,MS_Labs_Array,2,False),
    DVTColumn, MATCH(AW149, DVT_Laboratory!$A$1:BO$1, 0),
    xextTime, INDIRECT(""DVT_Laboratory!"" &amp; ADDRESS"&amp;"(LabLevel+3, DVTColumn)) / LabSpeed,
    remainingTime, SUM(INDIRECT(""DVT_Laboratory!"" &amp; ADDRESS(LabLevel+3, DVTColumn) &amp; "":"" &amp; ADDRESS(MaxOrTarget+2, DVTColumn))) / LabSpeed,
  AW149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9" s="1249"/>
      <c r="BA149" s="1249"/>
      <c r="BB149" s="1249"/>
      <c r="BC149" s="1249"/>
      <c r="BD149" s="1250" t="str">
        <f>IFERROR(__xludf.DUMMYFUNCTION("if(BC149 &lt;&gt; """", 
  LET( 
    TargetLevel, VLOOKUP(BC149,MS_Labs_Array,3,false),
    MaxLevel, VLOOKUP(BC149,MS_Labs_Array,4,false),
    MaxOrTarget, IF(OR(TargetLevel = """",$AD$1 &lt;&gt; ""Target""), MaxLevel, TargetLevel),
    LabLevel, VLOOKUP(BC149,MS_La"&amp;"bs_Array,2,False),
    Levelprogress, LabLevel / MaxOrTarget,
    DVTColumn, MATCH(BC149,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9" s="1251" t="str">
        <f>IFERROR(__xludf.DUMMYFUNCTION("if(BC149 &lt;&gt; """", 
  LET(
    TargetLevel, VLOOKUP(BC149,MS_Labs_Array,3,false),
    LabSpeed, (1 * REGEXEXTRACT($BH$1, ""[\d.-]+"")) * {IF(BC149 =""Labs Speed"", 1+'Master Sheet'!$BK$5, LAB_SPEED_TOTAL())},
    MaxLevel, VLOOKUP(BC149,MS_Labs_Array,4,fal"&amp;"se),
    MaxOrTarget, IF(OR(TargetLevel = """",$AD$1 &lt;&gt; ""Target""), MaxLevel, TargetLevel),
    LabLevel, VLOOKUP(BC149,MS_Labs_Array,2,False),
    DVTColumn, MATCH(BC149, DVT_Laboratory!$A$1:BO$1, 0),
    xextTime, INDIRECT(""DVT_Laboratory!"" &amp; ADDRESS"&amp;"(LabLevel+3, DVTColumn)) / LabSpeed,
    remainingTime, SUM(INDIRECT(""DVT_Laboratory!"" &amp; ADDRESS(LabLevel+3, DVTColumn) &amp; "":"" &amp; ADDRESS(MaxOrTarget+2, DVTColumn))) / LabSpeed,
  BC149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9" s="1249"/>
      <c r="BG149" s="1249"/>
      <c r="BH149" s="1260"/>
      <c r="BI149" s="1252"/>
      <c r="BJ149" s="1253" t="str">
        <f>IFERROR(__xludf.DUMMYFUNCTION("if(BI149 &lt;&gt; """", 
  LET( 
    TargetLevel, VLOOKUP(BI149,MS_Labs_Array,3,false),
    MaxLevel, VLOOKUP(BI149,MS_Labs_Array,4,false),
    MaxOrTarget, IF(OR(TargetLevel = """",$AD$1 &lt;&gt; ""Target""), MaxLevel, TargetLevel),
    LabLevel, VLOOKUP(BI149,MS_La"&amp;"bs_Array,2,False),
    Levelprogress, IF(LabLevel &gt;= MaxOrTarget, 1, LabLevel / MaxOrTarget),
    DVTColumn, MATCH(BI149,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9" s="1254" t="str">
        <f>IFERROR(__xludf.DUMMYFUNCTION("if(BI149 &lt;&gt; """", 
  LET(
    TargetLevel, VLOOKUP(BI149,MS_Labs_Array,3,false),
    LabSpeed, (1 * REGEXEXTRACT($BH$1, ""[\d.-]+"")) * {IF(BI149 =""Labs Speed"", 1+'Master Sheet'!$BK$5, LAB_SPEED_TOTAL())},
    MaxLevel, VLOOKUP(BI149,MS_Labs_Array,4,fal"&amp;"se),
    MaxOrTarget, IF(OR(TargetLevel = """",$AD$1 &lt;&gt; ""Target""), MaxLevel, TargetLevel),
    LabLevel, VLOOKUP(BI149,MS_Labs_Array,2,False),
    DVTColumn, MATCH(BI149, DVT_Laboratory!$A$1:BO$1, 0),
    xextTime, INDIRECT(""DVT_Laboratory!"" &amp; ADDRESS"&amp;"(LabLevel+3, DVTColumn)) / LabSpeed,
    remainingTime, SUM(INDIRECT(""DVT_Laboratory!"" &amp; ADDRESS(LabLevel+3, DVTColumn) &amp; "":"" &amp; ADDRESS(MaxOrTarget+2, DVTColumn))) / LabSpeed,
  BI149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9" s="1252"/>
      <c r="BM149" s="1252"/>
      <c r="BN149" s="1222"/>
      <c r="BO149" s="1261"/>
    </row>
    <row r="150" ht="7.5" customHeight="1">
      <c r="A150" s="1222"/>
      <c r="B150" s="1329" t="s">
        <v>559</v>
      </c>
      <c r="C150" s="1330" t="s">
        <v>345</v>
      </c>
      <c r="D150" s="1280" t="str">
        <f>VLOOKUP(C150,'Remote Tier List'!A:D, 2, FALSE)</f>
        <v>C</v>
      </c>
      <c r="E150" s="1281" t="str">
        <f>VLOOKUP(C150,'Remote Tier List'!A:D, 3, FALSE)</f>
        <v/>
      </c>
      <c r="F150" s="1331" t="str">
        <f>VLOOKUP(C150,'Remote Tier List'!A:D, 4, FALSE)</f>
        <v>Good to reduce ranged chips</v>
      </c>
      <c r="G150" s="1245" t="b">
        <f t="shared" si="23"/>
        <v>1</v>
      </c>
      <c r="H150" s="1246" t="str">
        <f t="array" ref="H150:I150">LET(
  Lab, $C150,
  Mode, $AD$1,
  Level, VLOOKUP(Lab, MS_Labs_Array, 2, FALSE),
  Target, VLOOKUP(Lab, MS_Labs_Array, 3, FALSE),
  Max, VLOOKUP(Lab, MS_Labs_Array, 4, FALSE),
  Result,
    IF(
      AND(
        Mode &lt;&gt; "Never",
        Level &gt;= IF(OR(Target = "", Mode = "Max"), Max, Target)
      ),
      "Completed",
      ""
    ),
  HSTACK(
    IF(Result &lt;&gt; "", Result, $D150),
    IF(Result &lt;&gt; "", Result, IF($E150 = "", $D150, $E150))
  )
)</f>
        <v>C</v>
      </c>
      <c r="I150" s="1247" t="s">
        <v>547</v>
      </c>
      <c r="J150" s="1248" t="str">
        <f>if(ISBLANK(F150),J149, F150)</f>
        <v>Good to reduce ranged chips</v>
      </c>
      <c r="K150" s="1229"/>
      <c r="L150" s="1249" t="str">
        <f>IFERROR(__xludf.DUMMYFUNCTION("""COMPUTED_VALUE"""),"")</f>
        <v/>
      </c>
      <c r="M150" s="1249"/>
      <c r="N150" s="1250" t="str">
        <f>IFERROR(__xludf.DUMMYFUNCTION("if(M150 &lt;&gt; """", 
  LET( 
    TargetLevel, VLOOKUP(M150,MS_Labs_Array,3,false),
    MaxLevel, VLOOKUP(M150,MS_Labs_Array,4,false),
    MaxOrTarget, IF(OR(TargetLevel = """",$AD$1 &lt;&gt; ""Target""), MaxLevel, TargetLevel),
    LabLevel, VLOOKUP(M150,MS_Labs_A"&amp;"rray,2,False),
    Levelprogress, LabLevel / MaxOrTarget,
    DVTColumn, MATCH(M150,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0" s="1251" t="str">
        <f>IFERROR(__xludf.DUMMYFUNCTION("if(M150 &lt;&gt; """", 
  LET(
    TargetLevel, VLOOKUP(M150,MS_Labs_Array,3,false),
    LabSpeed, (1 * REGEXEXTRACT($BH$1, ""[\d.-]+"")) * {IF(M150 =""Labs Speed"", 1+'Master Sheet'!$BK$5, LAB_SPEED_TOTAL())},
    MaxLevel, VLOOKUP(M150,MS_Labs_Array,4,false),"&amp;"
    MaxOrTarget, IF(OR(TargetLevel = """",$AD$1 &lt;&gt; ""Target""), MaxLevel, TargetLevel),
    LabLevel, VLOOKUP(M150,MS_Labs_Array,2,False),
    DVTColumn, MATCH(M150, DVT_Laboratory!$A$1:BO$1, 0),
    xextTime, INDIRECT(""DVT_Laboratory!"" &amp; ADDRESS(LabLe"&amp;"vel+3, DVTColumn)) / LabSpeed,
    remainingTime, SUM(INDIRECT(""DVT_Laboratory!"" &amp; ADDRESS(LabLevel+3, DVTColumn) &amp; "":"" &amp; ADDRESS(MaxOrTarget+2, DVTColumn))) / LabSpeed,
  M150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0" s="1249"/>
      <c r="Q150" s="1249" t="str">
        <f>IFERROR(__xludf.DUMMYFUNCTION("""COMPUTED_VALUE"""),"")</f>
        <v/>
      </c>
      <c r="R150" s="1249" t="str">
        <f>IFERROR(__xludf.DUMMYFUNCTION("""COMPUTED_VALUE"""),"")</f>
        <v/>
      </c>
      <c r="S150" s="1249"/>
      <c r="T150" s="1250" t="str">
        <f>IFERROR(__xludf.DUMMYFUNCTION("if(S150 &lt;&gt; """", 
  LET( 
    TargetLevel, VLOOKUP(S150,MS_Labs_Array,3,false),
    MaxLevel, VLOOKUP(S150,MS_Labs_Array,4,false),
    MaxOrTarget, IF(OR(TargetLevel = """",$AD$1 &lt;&gt; ""Target""), MaxLevel, TargetLevel),
    LabLevel, VLOOKUP(S150,MS_Labs_A"&amp;"rray,2,False),
    Levelprogress, LabLevel / MaxOrTarget,
    DVTColumn, MATCH(S150,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0" s="1251" t="str">
        <f>IFERROR(__xludf.DUMMYFUNCTION("if(S150 &lt;&gt; """", 
  LET(
    TargetLevel, VLOOKUP(S150,MS_Labs_Array,3,false),
    LabSpeed, (1 * REGEXEXTRACT($BH$1, ""[\d.-]+"")) * {IF(S150 =""Labs Speed"", 1+'Master Sheet'!$BK$5, LAB_SPEED_TOTAL())},
    MaxLevel, VLOOKUP(S150,MS_Labs_Array,4,false),"&amp;"
    MaxOrTarget, IF(OR(TargetLevel = """",$AD$1 &lt;&gt; ""Target""), MaxLevel, TargetLevel),
    LabLevel, VLOOKUP(S150,MS_Labs_Array,2,False),
    DVTColumn, MATCH(S150, DVT_Laboratory!$A$1:BO$1, 0),
    xextTime, INDIRECT(""DVT_Laboratory!"" &amp; ADDRESS(LabLe"&amp;"vel+3, DVTColumn)) / LabSpeed,
    remainingTime, SUM(INDIRECT(""DVT_Laboratory!"" &amp; ADDRESS(LabLevel+3, DVTColumn) &amp; "":"" &amp; ADDRESS(MaxOrTarget+2, DVTColumn))) / LabSpeed,
  S150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0" s="1249"/>
      <c r="W150" s="1249" t="str">
        <f>IFERROR(__xludf.DUMMYFUNCTION("""COMPUTED_VALUE"""),"")</f>
        <v/>
      </c>
      <c r="X150" s="1249" t="str">
        <f>IFERROR(__xludf.DUMMYFUNCTION("""COMPUTED_VALUE"""),"")</f>
        <v/>
      </c>
      <c r="Y150" s="1249"/>
      <c r="Z150" s="1250" t="str">
        <f>IFERROR(__xludf.DUMMYFUNCTION("if(Y150 &lt;&gt; """", 
  LET( 
    TargetLevel, VLOOKUP(Y150,MS_Labs_Array,3,false),
    MaxLevel, VLOOKUP(Y150,MS_Labs_Array,4,false),
    MaxOrTarget, IF(OR(TargetLevel = """",$AD$1 &lt;&gt; ""Target""), MaxLevel, TargetLevel),
    LabLevel, VLOOKUP(Y150,MS_Labs_A"&amp;"rray,2,False),
    Levelprogress, LabLevel / MaxOrTarget,
    DVTColumn, MATCH(Y150,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0" s="1251" t="str">
        <f>IFERROR(__xludf.DUMMYFUNCTION("if(Y150 &lt;&gt; """", 
  LET(
    TargetLevel, VLOOKUP(Y150,MS_Labs_Array,3,false),
    LabSpeed, (1 * REGEXEXTRACT($BH$1, ""[\d.-]+"")) * {IF(Y150 =""Labs Speed"", 1+'Master Sheet'!$BK$5, LAB_SPEED_TOTAL())},
    MaxLevel, VLOOKUP(Y150,MS_Labs_Array,4,false),"&amp;"
    MaxOrTarget, IF(OR(TargetLevel = """",$AD$1 &lt;&gt; ""Target""), MaxLevel, TargetLevel),
    LabLevel, VLOOKUP(Y150,MS_Labs_Array,2,False),
    DVTColumn, MATCH(Y150, DVT_Laboratory!$A$1:BO$1, 0),
    xextTime, INDIRECT(""DVT_Laboratory!"" &amp; ADDRESS(LabLe"&amp;"vel+3, DVTColumn)) / LabSpeed,
    remainingTime, SUM(INDIRECT(""DVT_Laboratory!"" &amp; ADDRESS(LabLevel+3, DVTColumn) &amp; "":"" &amp; ADDRESS(MaxOrTarget+2, DVTColumn))) / LabSpeed,
  Y150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0" s="1249"/>
      <c r="AC150" s="1249" t="str">
        <f>IFERROR(__xludf.DUMMYFUNCTION("""COMPUTED_VALUE"""),"")</f>
        <v/>
      </c>
      <c r="AD150" s="1249" t="str">
        <f>IFERROR(__xludf.DUMMYFUNCTION("""COMPUTED_VALUE"""),"")</f>
        <v/>
      </c>
      <c r="AE150" s="1249"/>
      <c r="AF150" s="1250" t="str">
        <f>IFERROR(__xludf.DUMMYFUNCTION("if(AE150 &lt;&gt; """", 
  LET( 
    TargetLevel, VLOOKUP(AE150,MS_Labs_Array,3,false),
    MaxLevel, VLOOKUP(AE150,MS_Labs_Array,4,false),
    MaxOrTarget, IF(OR(TargetLevel = """",$AD$1 &lt;&gt; ""Target""), MaxLevel, TargetLevel),
    LabLevel, VLOOKUP(AE150,MS_La"&amp;"bs_Array,2,False),
    Levelprogress, LabLevel / MaxOrTarget,
    DVTColumn, MATCH(AE150,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0" s="1251" t="str">
        <f>IFERROR(__xludf.DUMMYFUNCTION("if(AE150 &lt;&gt; """", 
  LET(
    TargetLevel, VLOOKUP(AE150,MS_Labs_Array,3,false),
    LabSpeed, (1 * REGEXEXTRACT($BH$1, ""[\d.-]+"")) * {IF(AE150 =""Labs Speed"", 1+'Master Sheet'!$BK$5, LAB_SPEED_TOTAL())},
    MaxLevel, VLOOKUP(AE150,MS_Labs_Array,4,fal"&amp;"se),
    MaxOrTarget, IF(OR(TargetLevel = """",$AD$1 &lt;&gt; ""Target""), MaxLevel, TargetLevel),
    LabLevel, VLOOKUP(AE150,MS_Labs_Array,2,False),
    DVTColumn, MATCH(AE150, DVT_Laboratory!$A$1:BO$1, 0),
    xextTime, INDIRECT(""DVT_Laboratory!"" &amp; ADDRESS"&amp;"(LabLevel+3, DVTColumn)) / LabSpeed,
    remainingTime, SUM(INDIRECT(""DVT_Laboratory!"" &amp; ADDRESS(LabLevel+3, DVTColumn) &amp; "":"" &amp; ADDRESS(MaxOrTarget+2, DVTColumn))) / LabSpeed,
  AE150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0" s="1249"/>
      <c r="AI150" s="1249" t="str">
        <f>IFERROR(__xludf.DUMMYFUNCTION("""COMPUTED_VALUE"""),"")</f>
        <v/>
      </c>
      <c r="AJ150" s="1249" t="str">
        <f>IFERROR(__xludf.DUMMYFUNCTION("""COMPUTED_VALUE"""),"")</f>
        <v/>
      </c>
      <c r="AK150" s="1249"/>
      <c r="AL150" s="1250" t="str">
        <f>IFERROR(__xludf.DUMMYFUNCTION("if(AK150 &lt;&gt; """", 
  LET( 
    TargetLevel, VLOOKUP(AK150,MS_Labs_Array,3,false),
    MaxLevel, VLOOKUP(AK150,MS_Labs_Array,4,false),
    MaxOrTarget, IF(OR(TargetLevel = """",$AD$1 &lt;&gt; ""Target""), MaxLevel, TargetLevel),
    LabLevel, VLOOKUP(AK150,MS_La"&amp;"bs_Array,2,False),
    Levelprogress, LabLevel / MaxOrTarget,
    DVTColumn, MATCH(AK150,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0" s="1251" t="str">
        <f>IFERROR(__xludf.DUMMYFUNCTION("if(AK150 &lt;&gt; """", 
  LET(
    TargetLevel, VLOOKUP(AK150,MS_Labs_Array,3,false),
    LabSpeed, (1 * REGEXEXTRACT($BH$1, ""[\d.-]+"")) * {IF(AK150 =""Labs Speed"", 1+'Master Sheet'!$BK$5, LAB_SPEED_TOTAL())},
    MaxLevel, VLOOKUP(AK150,MS_Labs_Array,4,fal"&amp;"se),
    MaxOrTarget, IF(OR(TargetLevel = """",$AD$1 &lt;&gt; ""Target""), MaxLevel, TargetLevel),
    LabLevel, VLOOKUP(AK150,MS_Labs_Array,2,False),
    DVTColumn, MATCH(AK150, DVT_Laboratory!$A$1:BO$1, 0),
    xextTime, INDIRECT(""DVT_Laboratory!"" &amp; ADDRESS"&amp;"(LabLevel+3, DVTColumn)) / LabSpeed,
    remainingTime, SUM(INDIRECT(""DVT_Laboratory!"" &amp; ADDRESS(LabLevel+3, DVTColumn) &amp; "":"" &amp; ADDRESS(MaxOrTarget+2, DVTColumn))) / LabSpeed,
  AK150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0" s="1249"/>
      <c r="AO150" s="1249" t="str">
        <f>IFERROR(__xludf.DUMMYFUNCTION("""COMPUTED_VALUE"""),"")</f>
        <v/>
      </c>
      <c r="AP150" s="1249" t="str">
        <f>IFERROR(__xludf.DUMMYFUNCTION("""COMPUTED_VALUE"""),"")</f>
        <v/>
      </c>
      <c r="AQ150" s="1249"/>
      <c r="AR150" s="1250" t="str">
        <f>IFERROR(__xludf.DUMMYFUNCTION("if(AQ150 &lt;&gt; """", 
  LET( 
    TargetLevel, VLOOKUP(AQ150,MS_Labs_Array,3,false),
    MaxLevel, VLOOKUP(AQ150,MS_Labs_Array,4,false),
    MaxOrTarget, IF(OR(TargetLevel = """",$AD$1 &lt;&gt; ""Target""), MaxLevel, TargetLevel),
    LabLevel, VLOOKUP(AQ150,MS_La"&amp;"bs_Array,2,False),
    Levelprogress, LabLevel / MaxOrTarget,
    DVTColumn, MATCH(AQ150,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0" s="1251" t="str">
        <f>IFERROR(__xludf.DUMMYFUNCTION("if(AQ150 &lt;&gt; """", 
  LET(
    TargetLevel, VLOOKUP(AQ150,MS_Labs_Array,3,false),
    LabSpeed, (1 * REGEXEXTRACT($BH$1, ""[\d.-]+"")) * {IF(AQ150 =""Labs Speed"", 1+'Master Sheet'!$BK$5, LAB_SPEED_TOTAL())},
    MaxLevel, VLOOKUP(AQ150,MS_Labs_Array,4,fal"&amp;"se),
    MaxOrTarget, IF(OR(TargetLevel = """",$AD$1 &lt;&gt; ""Target""), MaxLevel, TargetLevel),
    LabLevel, VLOOKUP(AQ150,MS_Labs_Array,2,False),
    DVTColumn, MATCH(AQ150, DVT_Laboratory!$A$1:BO$1, 0),
    xextTime, INDIRECT(""DVT_Laboratory!"" &amp; ADDRESS"&amp;"(LabLevel+3, DVTColumn)) / LabSpeed,
    remainingTime, SUM(INDIRECT(""DVT_Laboratory!"" &amp; ADDRESS(LabLevel+3, DVTColumn) &amp; "":"" &amp; ADDRESS(MaxOrTarget+2, DVTColumn))) / LabSpeed,
  AQ150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0" s="1249"/>
      <c r="AU150" s="1249" t="str">
        <f>IFERROR(__xludf.DUMMYFUNCTION("""COMPUTED_VALUE"""),"")</f>
        <v/>
      </c>
      <c r="AV150" s="1249" t="str">
        <f>IFERROR(__xludf.DUMMYFUNCTION("""COMPUTED_VALUE"""),"")</f>
        <v/>
      </c>
      <c r="AW150" s="1249"/>
      <c r="AX150" s="1250" t="str">
        <f>IFERROR(__xludf.DUMMYFUNCTION("if(AW150 &lt;&gt; """", 
  LET( 
    TargetLevel, VLOOKUP(AW150,MS_Labs_Array,3,false),
    MaxLevel, VLOOKUP(AW150,MS_Labs_Array,4,false),
    MaxOrTarget, IF(OR(TargetLevel = """",$AD$1 &lt;&gt; ""Target""), MaxLevel, TargetLevel),
    LabLevel, VLOOKUP(AW150,MS_La"&amp;"bs_Array,2,False),
    Levelprogress, LabLevel / MaxOrTarget,
    DVTColumn, MATCH(AW150,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0" s="1251" t="str">
        <f>IFERROR(__xludf.DUMMYFUNCTION("if(AW150 &lt;&gt; """", 
  LET(
    TargetLevel, VLOOKUP(AW150,MS_Labs_Array,3,false),
    LabSpeed, (1 * REGEXEXTRACT($BH$1, ""[\d.-]+"")) * {IF(AW150 =""Labs Speed"", 1+'Master Sheet'!$BK$5, LAB_SPEED_TOTAL())},
    MaxLevel, VLOOKUP(AW150,MS_Labs_Array,4,fal"&amp;"se),
    MaxOrTarget, IF(OR(TargetLevel = """",$AD$1 &lt;&gt; ""Target""), MaxLevel, TargetLevel),
    LabLevel, VLOOKUP(AW150,MS_Labs_Array,2,False),
    DVTColumn, MATCH(AW150, DVT_Laboratory!$A$1:BO$1, 0),
    xextTime, INDIRECT(""DVT_Laboratory!"" &amp; ADDRESS"&amp;"(LabLevel+3, DVTColumn)) / LabSpeed,
    remainingTime, SUM(INDIRECT(""DVT_Laboratory!"" &amp; ADDRESS(LabLevel+3, DVTColumn) &amp; "":"" &amp; ADDRESS(MaxOrTarget+2, DVTColumn))) / LabSpeed,
  AW150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0" s="1249"/>
      <c r="BA150" s="1249" t="str">
        <f>IFERROR(__xludf.DUMMYFUNCTION("""COMPUTED_VALUE"""),"")</f>
        <v/>
      </c>
      <c r="BB150" s="1249" t="str">
        <f>IFERROR(__xludf.DUMMYFUNCTION("""COMPUTED_VALUE"""),"")</f>
        <v/>
      </c>
      <c r="BC150" s="1249"/>
      <c r="BD150" s="1250" t="str">
        <f>IFERROR(__xludf.DUMMYFUNCTION("if(BC150 &lt;&gt; """", 
  LET( 
    TargetLevel, VLOOKUP(BC150,MS_Labs_Array,3,false),
    MaxLevel, VLOOKUP(BC150,MS_Labs_Array,4,false),
    MaxOrTarget, IF(OR(TargetLevel = """",$AD$1 &lt;&gt; ""Target""), MaxLevel, TargetLevel),
    LabLevel, VLOOKUP(BC150,MS_La"&amp;"bs_Array,2,False),
    Levelprogress, LabLevel / MaxOrTarget,
    DVTColumn, MATCH(BC150,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0" s="1251" t="str">
        <f>IFERROR(__xludf.DUMMYFUNCTION("if(BC150 &lt;&gt; """", 
  LET(
    TargetLevel, VLOOKUP(BC150,MS_Labs_Array,3,false),
    LabSpeed, (1 * REGEXEXTRACT($BH$1, ""[\d.-]+"")) * {IF(BC150 =""Labs Speed"", 1+'Master Sheet'!$BK$5, LAB_SPEED_TOTAL())},
    MaxLevel, VLOOKUP(BC150,MS_Labs_Array,4,fal"&amp;"se),
    MaxOrTarget, IF(OR(TargetLevel = """",$AD$1 &lt;&gt; ""Target""), MaxLevel, TargetLevel),
    LabLevel, VLOOKUP(BC150,MS_Labs_Array,2,False),
    DVTColumn, MATCH(BC150, DVT_Laboratory!$A$1:BO$1, 0),
    xextTime, INDIRECT(""DVT_Laboratory!"" &amp; ADDRESS"&amp;"(LabLevel+3, DVTColumn)) / LabSpeed,
    remainingTime, SUM(INDIRECT(""DVT_Laboratory!"" &amp; ADDRESS(LabLevel+3, DVTColumn) &amp; "":"" &amp; ADDRESS(MaxOrTarget+2, DVTColumn))) / LabSpeed,
  BC150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0" s="1249"/>
      <c r="BG150" s="1249" t="str">
        <f>IFERROR(__xludf.DUMMYFUNCTION("""COMPUTED_VALUE"""),"")</f>
        <v/>
      </c>
      <c r="BH150" s="1260" t="str">
        <f>IFERROR(__xludf.DUMMYFUNCTION("""COMPUTED_VALUE"""),"")</f>
        <v/>
      </c>
      <c r="BI150" s="1252"/>
      <c r="BJ150" s="1253" t="str">
        <f>IFERROR(__xludf.DUMMYFUNCTION("if(BI150 &lt;&gt; """", 
  LET( 
    TargetLevel, VLOOKUP(BI150,MS_Labs_Array,3,false),
    MaxLevel, VLOOKUP(BI150,MS_Labs_Array,4,false),
    MaxOrTarget, IF(OR(TargetLevel = """",$AD$1 &lt;&gt; ""Target""), MaxLevel, TargetLevel),
    LabLevel, VLOOKUP(BI150,MS_La"&amp;"bs_Array,2,False),
    Levelprogress, IF(LabLevel &gt;= MaxOrTarget, 1, LabLevel / MaxOrTarget),
    DVTColumn, MATCH(BI150,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0" s="1254" t="str">
        <f>IFERROR(__xludf.DUMMYFUNCTION("if(BI150 &lt;&gt; """", 
  LET(
    TargetLevel, VLOOKUP(BI150,MS_Labs_Array,3,false),
    LabSpeed, (1 * REGEXEXTRACT($BH$1, ""[\d.-]+"")) * {IF(BI150 =""Labs Speed"", 1+'Master Sheet'!$BK$5, LAB_SPEED_TOTAL())},
    MaxLevel, VLOOKUP(BI150,MS_Labs_Array,4,fal"&amp;"se),
    MaxOrTarget, IF(OR(TargetLevel = """",$AD$1 &lt;&gt; ""Target""), MaxLevel, TargetLevel),
    LabLevel, VLOOKUP(BI150,MS_Labs_Array,2,False),
    DVTColumn, MATCH(BI150, DVT_Laboratory!$A$1:BO$1, 0),
    xextTime, INDIRECT(""DVT_Laboratory!"" &amp; ADDRESS"&amp;"(LabLevel+3, DVTColumn)) / LabSpeed,
    remainingTime, SUM(INDIRECT(""DVT_Laboratory!"" &amp; ADDRESS(LabLevel+3, DVTColumn) &amp; "":"" &amp; ADDRESS(MaxOrTarget+2, DVTColumn))) / LabSpeed,
  BI150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0" s="1252"/>
      <c r="BM150" s="1252" t="str">
        <f>IFERROR(__xludf.DUMMYFUNCTION("""COMPUTED_VALUE"""),"")</f>
        <v/>
      </c>
      <c r="BN150" s="1222"/>
      <c r="BO150" s="1261"/>
    </row>
    <row r="151">
      <c r="A151" s="1222"/>
      <c r="B151" s="1274"/>
      <c r="C151" s="1275"/>
      <c r="D151" s="1274"/>
      <c r="E151" s="1274"/>
      <c r="F151" s="1274"/>
      <c r="G151" s="1296"/>
      <c r="H151" s="1297"/>
      <c r="I151" s="1297"/>
      <c r="J151" s="1248"/>
      <c r="K151" s="1229"/>
      <c r="L151" s="1249"/>
      <c r="M151" s="1249"/>
      <c r="N151" s="1250" t="str">
        <f>IFERROR(__xludf.DUMMYFUNCTION("if(M151 &lt;&gt; """", 
  LET( 
    TargetLevel, VLOOKUP(M151,MS_Labs_Array,3,false),
    MaxLevel, VLOOKUP(M151,MS_Labs_Array,4,false),
    MaxOrTarget, IF(OR(TargetLevel = """",$AD$1 &lt;&gt; ""Target""), MaxLevel, TargetLevel),
    LabLevel, VLOOKUP(M151,MS_Labs_A"&amp;"rray,2,False),
    Levelprogress, LabLevel / MaxOrTarget,
    DVTColumn, MATCH(M151,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1" s="1251" t="str">
        <f>IFERROR(__xludf.DUMMYFUNCTION("if(M151 &lt;&gt; """", 
  LET(
    TargetLevel, VLOOKUP(M151,MS_Labs_Array,3,false),
    LabSpeed, (1 * REGEXEXTRACT($BH$1, ""[\d.-]+"")) * {IF(M151 =""Labs Speed"", 1+'Master Sheet'!$BK$5, LAB_SPEED_TOTAL())},
    MaxLevel, VLOOKUP(M151,MS_Labs_Array,4,false),"&amp;"
    MaxOrTarget, IF(OR(TargetLevel = """",$AD$1 &lt;&gt; ""Target""), MaxLevel, TargetLevel),
    LabLevel, VLOOKUP(M151,MS_Labs_Array,2,False),
    DVTColumn, MATCH(M151, DVT_Laboratory!$A$1:BO$1, 0),
    xextTime, INDIRECT(""DVT_Laboratory!"" &amp; ADDRESS(LabLe"&amp;"vel+3, DVTColumn)) / LabSpeed,
    remainingTime, SUM(INDIRECT(""DVT_Laboratory!"" &amp; ADDRESS(LabLevel+3, DVTColumn) &amp; "":"" &amp; ADDRESS(MaxOrTarget+2, DVTColumn))) / LabSpeed,
  M151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1" s="1249"/>
      <c r="Q151" s="1249"/>
      <c r="R151" s="1249"/>
      <c r="S151" s="1249"/>
      <c r="T151" s="1250" t="str">
        <f>IFERROR(__xludf.DUMMYFUNCTION("if(S151 &lt;&gt; """", 
  LET( 
    TargetLevel, VLOOKUP(S151,MS_Labs_Array,3,false),
    MaxLevel, VLOOKUP(S151,MS_Labs_Array,4,false),
    MaxOrTarget, IF(OR(TargetLevel = """",$AD$1 &lt;&gt; ""Target""), MaxLevel, TargetLevel),
    LabLevel, VLOOKUP(S151,MS_Labs_A"&amp;"rray,2,False),
    Levelprogress, LabLevel / MaxOrTarget,
    DVTColumn, MATCH(S151,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1" s="1251" t="str">
        <f>IFERROR(__xludf.DUMMYFUNCTION("if(S151 &lt;&gt; """", 
  LET(
    TargetLevel, VLOOKUP(S151,MS_Labs_Array,3,false),
    LabSpeed, (1 * REGEXEXTRACT($BH$1, ""[\d.-]+"")) * {IF(S151 =""Labs Speed"", 1+'Master Sheet'!$BK$5, LAB_SPEED_TOTAL())},
    MaxLevel, VLOOKUP(S151,MS_Labs_Array,4,false),"&amp;"
    MaxOrTarget, IF(OR(TargetLevel = """",$AD$1 &lt;&gt; ""Target""), MaxLevel, TargetLevel),
    LabLevel, VLOOKUP(S151,MS_Labs_Array,2,False),
    DVTColumn, MATCH(S151, DVT_Laboratory!$A$1:BO$1, 0),
    xextTime, INDIRECT(""DVT_Laboratory!"" &amp; ADDRESS(LabLe"&amp;"vel+3, DVTColumn)) / LabSpeed,
    remainingTime, SUM(INDIRECT(""DVT_Laboratory!"" &amp; ADDRESS(LabLevel+3, DVTColumn) &amp; "":"" &amp; ADDRESS(MaxOrTarget+2, DVTColumn))) / LabSpeed,
  S151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1" s="1249"/>
      <c r="W151" s="1249"/>
      <c r="X151" s="1249"/>
      <c r="Y151" s="1249"/>
      <c r="Z151" s="1250" t="str">
        <f>IFERROR(__xludf.DUMMYFUNCTION("if(Y151 &lt;&gt; """", 
  LET( 
    TargetLevel, VLOOKUP(Y151,MS_Labs_Array,3,false),
    MaxLevel, VLOOKUP(Y151,MS_Labs_Array,4,false),
    MaxOrTarget, IF(OR(TargetLevel = """",$AD$1 &lt;&gt; ""Target""), MaxLevel, TargetLevel),
    LabLevel, VLOOKUP(Y151,MS_Labs_A"&amp;"rray,2,False),
    Levelprogress, LabLevel / MaxOrTarget,
    DVTColumn, MATCH(Y151,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1" s="1251" t="str">
        <f>IFERROR(__xludf.DUMMYFUNCTION("if(Y151 &lt;&gt; """", 
  LET(
    TargetLevel, VLOOKUP(Y151,MS_Labs_Array,3,false),
    LabSpeed, (1 * REGEXEXTRACT($BH$1, ""[\d.-]+"")) * {IF(Y151 =""Labs Speed"", 1+'Master Sheet'!$BK$5, LAB_SPEED_TOTAL())},
    MaxLevel, VLOOKUP(Y151,MS_Labs_Array,4,false),"&amp;"
    MaxOrTarget, IF(OR(TargetLevel = """",$AD$1 &lt;&gt; ""Target""), MaxLevel, TargetLevel),
    LabLevel, VLOOKUP(Y151,MS_Labs_Array,2,False),
    DVTColumn, MATCH(Y151, DVT_Laboratory!$A$1:BO$1, 0),
    xextTime, INDIRECT(""DVT_Laboratory!"" &amp; ADDRESS(LabLe"&amp;"vel+3, DVTColumn)) / LabSpeed,
    remainingTime, SUM(INDIRECT(""DVT_Laboratory!"" &amp; ADDRESS(LabLevel+3, DVTColumn) &amp; "":"" &amp; ADDRESS(MaxOrTarget+2, DVTColumn))) / LabSpeed,
  Y151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1" s="1249"/>
      <c r="AC151" s="1249"/>
      <c r="AD151" s="1249"/>
      <c r="AE151" s="1249"/>
      <c r="AF151" s="1250" t="str">
        <f>IFERROR(__xludf.DUMMYFUNCTION("if(AE151 &lt;&gt; """", 
  LET( 
    TargetLevel, VLOOKUP(AE151,MS_Labs_Array,3,false),
    MaxLevel, VLOOKUP(AE151,MS_Labs_Array,4,false),
    MaxOrTarget, IF(OR(TargetLevel = """",$AD$1 &lt;&gt; ""Target""), MaxLevel, TargetLevel),
    LabLevel, VLOOKUP(AE151,MS_La"&amp;"bs_Array,2,False),
    Levelprogress, LabLevel / MaxOrTarget,
    DVTColumn, MATCH(AE151,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1" s="1251" t="str">
        <f>IFERROR(__xludf.DUMMYFUNCTION("if(AE151 &lt;&gt; """", 
  LET(
    TargetLevel, VLOOKUP(AE151,MS_Labs_Array,3,false),
    LabSpeed, (1 * REGEXEXTRACT($BH$1, ""[\d.-]+"")) * {IF(AE151 =""Labs Speed"", 1+'Master Sheet'!$BK$5, LAB_SPEED_TOTAL())},
    MaxLevel, VLOOKUP(AE151,MS_Labs_Array,4,fal"&amp;"se),
    MaxOrTarget, IF(OR(TargetLevel = """",$AD$1 &lt;&gt; ""Target""), MaxLevel, TargetLevel),
    LabLevel, VLOOKUP(AE151,MS_Labs_Array,2,False),
    DVTColumn, MATCH(AE151, DVT_Laboratory!$A$1:BO$1, 0),
    xextTime, INDIRECT(""DVT_Laboratory!"" &amp; ADDRESS"&amp;"(LabLevel+3, DVTColumn)) / LabSpeed,
    remainingTime, SUM(INDIRECT(""DVT_Laboratory!"" &amp; ADDRESS(LabLevel+3, DVTColumn) &amp; "":"" &amp; ADDRESS(MaxOrTarget+2, DVTColumn))) / LabSpeed,
  AE151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1" s="1249"/>
      <c r="AI151" s="1249"/>
      <c r="AJ151" s="1249"/>
      <c r="AK151" s="1249"/>
      <c r="AL151" s="1250" t="str">
        <f>IFERROR(__xludf.DUMMYFUNCTION("if(AK151 &lt;&gt; """", 
  LET( 
    TargetLevel, VLOOKUP(AK151,MS_Labs_Array,3,false),
    MaxLevel, VLOOKUP(AK151,MS_Labs_Array,4,false),
    MaxOrTarget, IF(OR(TargetLevel = """",$AD$1 &lt;&gt; ""Target""), MaxLevel, TargetLevel),
    LabLevel, VLOOKUP(AK151,MS_La"&amp;"bs_Array,2,False),
    Levelprogress, LabLevel / MaxOrTarget,
    DVTColumn, MATCH(AK151,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1" s="1251" t="str">
        <f>IFERROR(__xludf.DUMMYFUNCTION("if(AK151 &lt;&gt; """", 
  LET(
    TargetLevel, VLOOKUP(AK151,MS_Labs_Array,3,false),
    LabSpeed, (1 * REGEXEXTRACT($BH$1, ""[\d.-]+"")) * {IF(AK151 =""Labs Speed"", 1+'Master Sheet'!$BK$5, LAB_SPEED_TOTAL())},
    MaxLevel, VLOOKUP(AK151,MS_Labs_Array,4,fal"&amp;"se),
    MaxOrTarget, IF(OR(TargetLevel = """",$AD$1 &lt;&gt; ""Target""), MaxLevel, TargetLevel),
    LabLevel, VLOOKUP(AK151,MS_Labs_Array,2,False),
    DVTColumn, MATCH(AK151, DVT_Laboratory!$A$1:BO$1, 0),
    xextTime, INDIRECT(""DVT_Laboratory!"" &amp; ADDRESS"&amp;"(LabLevel+3, DVTColumn)) / LabSpeed,
    remainingTime, SUM(INDIRECT(""DVT_Laboratory!"" &amp; ADDRESS(LabLevel+3, DVTColumn) &amp; "":"" &amp; ADDRESS(MaxOrTarget+2, DVTColumn))) / LabSpeed,
  AK151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1" s="1249"/>
      <c r="AO151" s="1249"/>
      <c r="AP151" s="1249"/>
      <c r="AQ151" s="1249"/>
      <c r="AR151" s="1250" t="str">
        <f>IFERROR(__xludf.DUMMYFUNCTION("if(AQ151 &lt;&gt; """", 
  LET( 
    TargetLevel, VLOOKUP(AQ151,MS_Labs_Array,3,false),
    MaxLevel, VLOOKUP(AQ151,MS_Labs_Array,4,false),
    MaxOrTarget, IF(OR(TargetLevel = """",$AD$1 &lt;&gt; ""Target""), MaxLevel, TargetLevel),
    LabLevel, VLOOKUP(AQ151,MS_La"&amp;"bs_Array,2,False),
    Levelprogress, LabLevel / MaxOrTarget,
    DVTColumn, MATCH(AQ151,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1" s="1251" t="str">
        <f>IFERROR(__xludf.DUMMYFUNCTION("if(AQ151 &lt;&gt; """", 
  LET(
    TargetLevel, VLOOKUP(AQ151,MS_Labs_Array,3,false),
    LabSpeed, (1 * REGEXEXTRACT($BH$1, ""[\d.-]+"")) * {IF(AQ151 =""Labs Speed"", 1+'Master Sheet'!$BK$5, LAB_SPEED_TOTAL())},
    MaxLevel, VLOOKUP(AQ151,MS_Labs_Array,4,fal"&amp;"se),
    MaxOrTarget, IF(OR(TargetLevel = """",$AD$1 &lt;&gt; ""Target""), MaxLevel, TargetLevel),
    LabLevel, VLOOKUP(AQ151,MS_Labs_Array,2,False),
    DVTColumn, MATCH(AQ151, DVT_Laboratory!$A$1:BO$1, 0),
    xextTime, INDIRECT(""DVT_Laboratory!"" &amp; ADDRESS"&amp;"(LabLevel+3, DVTColumn)) / LabSpeed,
    remainingTime, SUM(INDIRECT(""DVT_Laboratory!"" &amp; ADDRESS(LabLevel+3, DVTColumn) &amp; "":"" &amp; ADDRESS(MaxOrTarget+2, DVTColumn))) / LabSpeed,
  AQ151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1" s="1249"/>
      <c r="AU151" s="1249"/>
      <c r="AV151" s="1249"/>
      <c r="AW151" s="1249"/>
      <c r="AX151" s="1250" t="str">
        <f>IFERROR(__xludf.DUMMYFUNCTION("if(AW151 &lt;&gt; """", 
  LET( 
    TargetLevel, VLOOKUP(AW151,MS_Labs_Array,3,false),
    MaxLevel, VLOOKUP(AW151,MS_Labs_Array,4,false),
    MaxOrTarget, IF(OR(TargetLevel = """",$AD$1 &lt;&gt; ""Target""), MaxLevel, TargetLevel),
    LabLevel, VLOOKUP(AW151,MS_La"&amp;"bs_Array,2,False),
    Levelprogress, LabLevel / MaxOrTarget,
    DVTColumn, MATCH(AW151,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1" s="1251" t="str">
        <f>IFERROR(__xludf.DUMMYFUNCTION("if(AW151 &lt;&gt; """", 
  LET(
    TargetLevel, VLOOKUP(AW151,MS_Labs_Array,3,false),
    LabSpeed, (1 * REGEXEXTRACT($BH$1, ""[\d.-]+"")) * {IF(AW151 =""Labs Speed"", 1+'Master Sheet'!$BK$5, LAB_SPEED_TOTAL())},
    MaxLevel, VLOOKUP(AW151,MS_Labs_Array,4,fal"&amp;"se),
    MaxOrTarget, IF(OR(TargetLevel = """",$AD$1 &lt;&gt; ""Target""), MaxLevel, TargetLevel),
    LabLevel, VLOOKUP(AW151,MS_Labs_Array,2,False),
    DVTColumn, MATCH(AW151, DVT_Laboratory!$A$1:BO$1, 0),
    xextTime, INDIRECT(""DVT_Laboratory!"" &amp; ADDRESS"&amp;"(LabLevel+3, DVTColumn)) / LabSpeed,
    remainingTime, SUM(INDIRECT(""DVT_Laboratory!"" &amp; ADDRESS(LabLevel+3, DVTColumn) &amp; "":"" &amp; ADDRESS(MaxOrTarget+2, DVTColumn))) / LabSpeed,
  AW151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1" s="1249"/>
      <c r="BA151" s="1249"/>
      <c r="BB151" s="1249"/>
      <c r="BC151" s="1249"/>
      <c r="BD151" s="1250" t="str">
        <f>IFERROR(__xludf.DUMMYFUNCTION("if(BC151 &lt;&gt; """", 
  LET( 
    TargetLevel, VLOOKUP(BC151,MS_Labs_Array,3,false),
    MaxLevel, VLOOKUP(BC151,MS_Labs_Array,4,false),
    MaxOrTarget, IF(OR(TargetLevel = """",$AD$1 &lt;&gt; ""Target""), MaxLevel, TargetLevel),
    LabLevel, VLOOKUP(BC151,MS_La"&amp;"bs_Array,2,False),
    Levelprogress, LabLevel / MaxOrTarget,
    DVTColumn, MATCH(BC151,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1" s="1251" t="str">
        <f>IFERROR(__xludf.DUMMYFUNCTION("if(BC151 &lt;&gt; """", 
  LET(
    TargetLevel, VLOOKUP(BC151,MS_Labs_Array,3,false),
    LabSpeed, (1 * REGEXEXTRACT($BH$1, ""[\d.-]+"")) * {IF(BC151 =""Labs Speed"", 1+'Master Sheet'!$BK$5, LAB_SPEED_TOTAL())},
    MaxLevel, VLOOKUP(BC151,MS_Labs_Array,4,fal"&amp;"se),
    MaxOrTarget, IF(OR(TargetLevel = """",$AD$1 &lt;&gt; ""Target""), MaxLevel, TargetLevel),
    LabLevel, VLOOKUP(BC151,MS_Labs_Array,2,False),
    DVTColumn, MATCH(BC151, DVT_Laboratory!$A$1:BO$1, 0),
    xextTime, INDIRECT(""DVT_Laboratory!"" &amp; ADDRESS"&amp;"(LabLevel+3, DVTColumn)) / LabSpeed,
    remainingTime, SUM(INDIRECT(""DVT_Laboratory!"" &amp; ADDRESS(LabLevel+3, DVTColumn) &amp; "":"" &amp; ADDRESS(MaxOrTarget+2, DVTColumn))) / LabSpeed,
  BC151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1" s="1249"/>
      <c r="BG151" s="1249"/>
      <c r="BH151" s="1260"/>
      <c r="BI151" s="1252"/>
      <c r="BJ151" s="1253" t="str">
        <f>IFERROR(__xludf.DUMMYFUNCTION("if(BI151 &lt;&gt; """", 
  LET( 
    TargetLevel, VLOOKUP(BI151,MS_Labs_Array,3,false),
    MaxLevel, VLOOKUP(BI151,MS_Labs_Array,4,false),
    MaxOrTarget, IF(OR(TargetLevel = """",$AD$1 &lt;&gt; ""Target""), MaxLevel, TargetLevel),
    LabLevel, VLOOKUP(BI151,MS_La"&amp;"bs_Array,2,False),
    Levelprogress, IF(LabLevel &gt;= MaxOrTarget, 1, LabLevel / MaxOrTarget),
    DVTColumn, MATCH(BI151,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1" s="1254" t="str">
        <f>IFERROR(__xludf.DUMMYFUNCTION("if(BI151 &lt;&gt; """", 
  LET(
    TargetLevel, VLOOKUP(BI151,MS_Labs_Array,3,false),
    LabSpeed, (1 * REGEXEXTRACT($BH$1, ""[\d.-]+"")) * {IF(BI151 =""Labs Speed"", 1+'Master Sheet'!$BK$5, LAB_SPEED_TOTAL())},
    MaxLevel, VLOOKUP(BI151,MS_Labs_Array,4,fal"&amp;"se),
    MaxOrTarget, IF(OR(TargetLevel = """",$AD$1 &lt;&gt; ""Target""), MaxLevel, TargetLevel),
    LabLevel, VLOOKUP(BI151,MS_Labs_Array,2,False),
    DVTColumn, MATCH(BI151, DVT_Laboratory!$A$1:BO$1, 0),
    xextTime, INDIRECT(""DVT_Laboratory!"" &amp; ADDRESS"&amp;"(LabLevel+3, DVTColumn)) / LabSpeed,
    remainingTime, SUM(INDIRECT(""DVT_Laboratory!"" &amp; ADDRESS(LabLevel+3, DVTColumn) &amp; "":"" &amp; ADDRESS(MaxOrTarget+2, DVTColumn))) / LabSpeed,
  BI151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1" s="1252"/>
      <c r="BM151" s="1252"/>
      <c r="BN151" s="1222"/>
      <c r="BO151" s="1261"/>
    </row>
    <row r="152" ht="7.5" customHeight="1">
      <c r="A152" s="1222"/>
      <c r="B152" s="1240" t="s">
        <v>554</v>
      </c>
      <c r="C152" s="1332" t="s">
        <v>163</v>
      </c>
      <c r="D152" s="1280" t="str">
        <f>VLOOKUP(C152,'Remote Tier List'!A:D, 2, FALSE)</f>
        <v>S</v>
      </c>
      <c r="E152" s="1281" t="str">
        <f>VLOOKUP(C152,'Remote Tier List'!A:D, 3, FALSE)</f>
        <v/>
      </c>
      <c r="F152" s="1282" t="str">
        <f>VLOOKUP(C152,'Remote Tier List'!A:D, 4, FALSE)</f>
        <v>Very important long term for shard income. Affects most stats</v>
      </c>
      <c r="G152" s="1245" t="b">
        <f t="shared" ref="G152:G171" si="26">LET(
  LabTierUnlock, DVT_LAB_UNLOCK_AT_TIER(C152),
  PlayerPbAtTier, IDS_PS_TIER_PB("Tier "&amp;LabTierUnlock),
  PlayerPb, "T"&amp;LabTierUnlock&amp;" "&amp;PlayerPbAtTier,
  DVT_HAS_LAB_UNLOCKED(C152, PlayerPb))</f>
        <v>1</v>
      </c>
      <c r="H152" s="1246" t="str">
        <f t="array" ref="H152:I152">LET(
  Lab, $C152,
  Mode, $AD$1,
  Level, VLOOKUP(Lab, MS_Labs_Array, 2, FALSE),
  Target, VLOOKUP(Lab, MS_Labs_Array, 3, FALSE),
  Max, VLOOKUP(Lab, MS_Labs_Array, 4, FALSE),
  Result,
    IF(
      AND(
        Mode &lt;&gt; "Never",
        Level &gt;= IF(OR(Target = "", Mode = "Max"), Max, Target)
      ),
      "Completed",
      ""
    ),
  HSTACK(
    IF(Result &lt;&gt; "", Result, $D152),
    IF(Result &lt;&gt; "", Result, IF($E152 = "", $D152, $E152))
  )
)</f>
        <v>Completed</v>
      </c>
      <c r="I152" s="1247" t="s">
        <v>551</v>
      </c>
      <c r="J152" s="1248" t="str">
        <f t="shared" ref="J152:J163" si="27">if(ISBLANK(F152),J151, F152)</f>
        <v>Very important long term for shard income. Affects most stats</v>
      </c>
      <c r="K152" s="1229"/>
      <c r="L152" s="1249" t="str">
        <f>IFERROR(__xludf.DUMMYFUNCTION("""COMPUTED_VALUE"""),"")</f>
        <v/>
      </c>
      <c r="M152" s="1249"/>
      <c r="N152" s="1250" t="str">
        <f>IFERROR(__xludf.DUMMYFUNCTION("if(M152 &lt;&gt; """", 
  LET( 
    TargetLevel, VLOOKUP(M152,MS_Labs_Array,3,false),
    MaxLevel, VLOOKUP(M152,MS_Labs_Array,4,false),
    MaxOrTarget, IF(OR(TargetLevel = """",$AD$1 &lt;&gt; ""Target""), MaxLevel, TargetLevel),
    LabLevel, VLOOKUP(M152,MS_Labs_A"&amp;"rray,2,False),
    Levelprogress, LabLevel / MaxOrTarget,
    DVTColumn, MATCH(M152,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2" s="1251" t="str">
        <f>IFERROR(__xludf.DUMMYFUNCTION("if(M152 &lt;&gt; """", 
  LET(
    TargetLevel, VLOOKUP(M152,MS_Labs_Array,3,false),
    LabSpeed, (1 * REGEXEXTRACT($BH$1, ""[\d.-]+"")) * {IF(M152 =""Labs Speed"", 1+'Master Sheet'!$BK$5, LAB_SPEED_TOTAL())},
    MaxLevel, VLOOKUP(M152,MS_Labs_Array,4,false),"&amp;"
    MaxOrTarget, IF(OR(TargetLevel = """",$AD$1 &lt;&gt; ""Target""), MaxLevel, TargetLevel),
    LabLevel, VLOOKUP(M152,MS_Labs_Array,2,False),
    DVTColumn, MATCH(M152, DVT_Laboratory!$A$1:BO$1, 0),
    xextTime, INDIRECT(""DVT_Laboratory!"" &amp; ADDRESS(LabLe"&amp;"vel+3, DVTColumn)) / LabSpeed,
    remainingTime, SUM(INDIRECT(""DVT_Laboratory!"" &amp; ADDRESS(LabLevel+3, DVTColumn) &amp; "":"" &amp; ADDRESS(MaxOrTarget+2, DVTColumn))) / LabSpeed,
  M152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2" s="1249"/>
      <c r="Q152" s="1249" t="str">
        <f>IFERROR(__xludf.DUMMYFUNCTION("""COMPUTED_VALUE"""),"")</f>
        <v/>
      </c>
      <c r="R152" s="1249" t="str">
        <f>IFERROR(__xludf.DUMMYFUNCTION("""COMPUTED_VALUE"""),"")</f>
        <v/>
      </c>
      <c r="S152" s="1249"/>
      <c r="T152" s="1250" t="str">
        <f>IFERROR(__xludf.DUMMYFUNCTION("if(S152 &lt;&gt; """", 
  LET( 
    TargetLevel, VLOOKUP(S152,MS_Labs_Array,3,false),
    MaxLevel, VLOOKUP(S152,MS_Labs_Array,4,false),
    MaxOrTarget, IF(OR(TargetLevel = """",$AD$1 &lt;&gt; ""Target""), MaxLevel, TargetLevel),
    LabLevel, VLOOKUP(S152,MS_Labs_A"&amp;"rray,2,False),
    Levelprogress, LabLevel / MaxOrTarget,
    DVTColumn, MATCH(S152,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2" s="1251" t="str">
        <f>IFERROR(__xludf.DUMMYFUNCTION("if(S152 &lt;&gt; """", 
  LET(
    TargetLevel, VLOOKUP(S152,MS_Labs_Array,3,false),
    LabSpeed, (1 * REGEXEXTRACT($BH$1, ""[\d.-]+"")) * {IF(S152 =""Labs Speed"", 1+'Master Sheet'!$BK$5, LAB_SPEED_TOTAL())},
    MaxLevel, VLOOKUP(S152,MS_Labs_Array,4,false),"&amp;"
    MaxOrTarget, IF(OR(TargetLevel = """",$AD$1 &lt;&gt; ""Target""), MaxLevel, TargetLevel),
    LabLevel, VLOOKUP(S152,MS_Labs_Array,2,False),
    DVTColumn, MATCH(S152, DVT_Laboratory!$A$1:BO$1, 0),
    xextTime, INDIRECT(""DVT_Laboratory!"" &amp; ADDRESS(LabLe"&amp;"vel+3, DVTColumn)) / LabSpeed,
    remainingTime, SUM(INDIRECT(""DVT_Laboratory!"" &amp; ADDRESS(LabLevel+3, DVTColumn) &amp; "":"" &amp; ADDRESS(MaxOrTarget+2, DVTColumn))) / LabSpeed,
  S152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2" s="1249"/>
      <c r="W152" s="1249" t="str">
        <f>IFERROR(__xludf.DUMMYFUNCTION("""COMPUTED_VALUE"""),"")</f>
        <v/>
      </c>
      <c r="X152" s="1249" t="str">
        <f>IFERROR(__xludf.DUMMYFUNCTION("""COMPUTED_VALUE"""),"")</f>
        <v/>
      </c>
      <c r="Y152" s="1249"/>
      <c r="Z152" s="1250" t="str">
        <f>IFERROR(__xludf.DUMMYFUNCTION("if(Y152 &lt;&gt; """", 
  LET( 
    TargetLevel, VLOOKUP(Y152,MS_Labs_Array,3,false),
    MaxLevel, VLOOKUP(Y152,MS_Labs_Array,4,false),
    MaxOrTarget, IF(OR(TargetLevel = """",$AD$1 &lt;&gt; ""Target""), MaxLevel, TargetLevel),
    LabLevel, VLOOKUP(Y152,MS_Labs_A"&amp;"rray,2,False),
    Levelprogress, LabLevel / MaxOrTarget,
    DVTColumn, MATCH(Y152,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2" s="1251" t="str">
        <f>IFERROR(__xludf.DUMMYFUNCTION("if(Y152 &lt;&gt; """", 
  LET(
    TargetLevel, VLOOKUP(Y152,MS_Labs_Array,3,false),
    LabSpeed, (1 * REGEXEXTRACT($BH$1, ""[\d.-]+"")) * {IF(Y152 =""Labs Speed"", 1+'Master Sheet'!$BK$5, LAB_SPEED_TOTAL())},
    MaxLevel, VLOOKUP(Y152,MS_Labs_Array,4,false),"&amp;"
    MaxOrTarget, IF(OR(TargetLevel = """",$AD$1 &lt;&gt; ""Target""), MaxLevel, TargetLevel),
    LabLevel, VLOOKUP(Y152,MS_Labs_Array,2,False),
    DVTColumn, MATCH(Y152, DVT_Laboratory!$A$1:BO$1, 0),
    xextTime, INDIRECT(""DVT_Laboratory!"" &amp; ADDRESS(LabLe"&amp;"vel+3, DVTColumn)) / LabSpeed,
    remainingTime, SUM(INDIRECT(""DVT_Laboratory!"" &amp; ADDRESS(LabLevel+3, DVTColumn) &amp; "":"" &amp; ADDRESS(MaxOrTarget+2, DVTColumn))) / LabSpeed,
  Y152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2" s="1249"/>
      <c r="AC152" s="1249" t="str">
        <f>IFERROR(__xludf.DUMMYFUNCTION("""COMPUTED_VALUE"""),"")</f>
        <v/>
      </c>
      <c r="AD152" s="1249" t="str">
        <f>IFERROR(__xludf.DUMMYFUNCTION("""COMPUTED_VALUE"""),"")</f>
        <v/>
      </c>
      <c r="AE152" s="1249"/>
      <c r="AF152" s="1250" t="str">
        <f>IFERROR(__xludf.DUMMYFUNCTION("if(AE152 &lt;&gt; """", 
  LET( 
    TargetLevel, VLOOKUP(AE152,MS_Labs_Array,3,false),
    MaxLevel, VLOOKUP(AE152,MS_Labs_Array,4,false),
    MaxOrTarget, IF(OR(TargetLevel = """",$AD$1 &lt;&gt; ""Target""), MaxLevel, TargetLevel),
    LabLevel, VLOOKUP(AE152,MS_La"&amp;"bs_Array,2,False),
    Levelprogress, LabLevel / MaxOrTarget,
    DVTColumn, MATCH(AE152,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2" s="1251" t="str">
        <f>IFERROR(__xludf.DUMMYFUNCTION("if(AE152 &lt;&gt; """", 
  LET(
    TargetLevel, VLOOKUP(AE152,MS_Labs_Array,3,false),
    LabSpeed, (1 * REGEXEXTRACT($BH$1, ""[\d.-]+"")) * {IF(AE152 =""Labs Speed"", 1+'Master Sheet'!$BK$5, LAB_SPEED_TOTAL())},
    MaxLevel, VLOOKUP(AE152,MS_Labs_Array,4,fal"&amp;"se),
    MaxOrTarget, IF(OR(TargetLevel = """",$AD$1 &lt;&gt; ""Target""), MaxLevel, TargetLevel),
    LabLevel, VLOOKUP(AE152,MS_Labs_Array,2,False),
    DVTColumn, MATCH(AE152, DVT_Laboratory!$A$1:BO$1, 0),
    xextTime, INDIRECT(""DVT_Laboratory!"" &amp; ADDRESS"&amp;"(LabLevel+3, DVTColumn)) / LabSpeed,
    remainingTime, SUM(INDIRECT(""DVT_Laboratory!"" &amp; ADDRESS(LabLevel+3, DVTColumn) &amp; "":"" &amp; ADDRESS(MaxOrTarget+2, DVTColumn))) / LabSpeed,
  AE152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2" s="1249"/>
      <c r="AI152" s="1249" t="str">
        <f>IFERROR(__xludf.DUMMYFUNCTION("""COMPUTED_VALUE"""),"")</f>
        <v/>
      </c>
      <c r="AJ152" s="1249" t="str">
        <f>IFERROR(__xludf.DUMMYFUNCTION("""COMPUTED_VALUE"""),"")</f>
        <v/>
      </c>
      <c r="AK152" s="1249"/>
      <c r="AL152" s="1250" t="str">
        <f>IFERROR(__xludf.DUMMYFUNCTION("if(AK152 &lt;&gt; """", 
  LET( 
    TargetLevel, VLOOKUP(AK152,MS_Labs_Array,3,false),
    MaxLevel, VLOOKUP(AK152,MS_Labs_Array,4,false),
    MaxOrTarget, IF(OR(TargetLevel = """",$AD$1 &lt;&gt; ""Target""), MaxLevel, TargetLevel),
    LabLevel, VLOOKUP(AK152,MS_La"&amp;"bs_Array,2,False),
    Levelprogress, LabLevel / MaxOrTarget,
    DVTColumn, MATCH(AK152,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2" s="1251" t="str">
        <f>IFERROR(__xludf.DUMMYFUNCTION("if(AK152 &lt;&gt; """", 
  LET(
    TargetLevel, VLOOKUP(AK152,MS_Labs_Array,3,false),
    LabSpeed, (1 * REGEXEXTRACT($BH$1, ""[\d.-]+"")) * {IF(AK152 =""Labs Speed"", 1+'Master Sheet'!$BK$5, LAB_SPEED_TOTAL())},
    MaxLevel, VLOOKUP(AK152,MS_Labs_Array,4,fal"&amp;"se),
    MaxOrTarget, IF(OR(TargetLevel = """",$AD$1 &lt;&gt; ""Target""), MaxLevel, TargetLevel),
    LabLevel, VLOOKUP(AK152,MS_Labs_Array,2,False),
    DVTColumn, MATCH(AK152, DVT_Laboratory!$A$1:BO$1, 0),
    xextTime, INDIRECT(""DVT_Laboratory!"" &amp; ADDRESS"&amp;"(LabLevel+3, DVTColumn)) / LabSpeed,
    remainingTime, SUM(INDIRECT(""DVT_Laboratory!"" &amp; ADDRESS(LabLevel+3, DVTColumn) &amp; "":"" &amp; ADDRESS(MaxOrTarget+2, DVTColumn))) / LabSpeed,
  AK152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2" s="1249"/>
      <c r="AO152" s="1249" t="str">
        <f>IFERROR(__xludf.DUMMYFUNCTION("""COMPUTED_VALUE"""),"")</f>
        <v/>
      </c>
      <c r="AP152" s="1249" t="str">
        <f>IFERROR(__xludf.DUMMYFUNCTION("""COMPUTED_VALUE"""),"")</f>
        <v/>
      </c>
      <c r="AQ152" s="1249"/>
      <c r="AR152" s="1250" t="str">
        <f>IFERROR(__xludf.DUMMYFUNCTION("if(AQ152 &lt;&gt; """", 
  LET( 
    TargetLevel, VLOOKUP(AQ152,MS_Labs_Array,3,false),
    MaxLevel, VLOOKUP(AQ152,MS_Labs_Array,4,false),
    MaxOrTarget, IF(OR(TargetLevel = """",$AD$1 &lt;&gt; ""Target""), MaxLevel, TargetLevel),
    LabLevel, VLOOKUP(AQ152,MS_La"&amp;"bs_Array,2,False),
    Levelprogress, LabLevel / MaxOrTarget,
    DVTColumn, MATCH(AQ152,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2" s="1251" t="str">
        <f>IFERROR(__xludf.DUMMYFUNCTION("if(AQ152 &lt;&gt; """", 
  LET(
    TargetLevel, VLOOKUP(AQ152,MS_Labs_Array,3,false),
    LabSpeed, (1 * REGEXEXTRACT($BH$1, ""[\d.-]+"")) * {IF(AQ152 =""Labs Speed"", 1+'Master Sheet'!$BK$5, LAB_SPEED_TOTAL())},
    MaxLevel, VLOOKUP(AQ152,MS_Labs_Array,4,fal"&amp;"se),
    MaxOrTarget, IF(OR(TargetLevel = """",$AD$1 &lt;&gt; ""Target""), MaxLevel, TargetLevel),
    LabLevel, VLOOKUP(AQ152,MS_Labs_Array,2,False),
    DVTColumn, MATCH(AQ152, DVT_Laboratory!$A$1:BO$1, 0),
    xextTime, INDIRECT(""DVT_Laboratory!"" &amp; ADDRESS"&amp;"(LabLevel+3, DVTColumn)) / LabSpeed,
    remainingTime, SUM(INDIRECT(""DVT_Laboratory!"" &amp; ADDRESS(LabLevel+3, DVTColumn) &amp; "":"" &amp; ADDRESS(MaxOrTarget+2, DVTColumn))) / LabSpeed,
  AQ152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2" s="1249"/>
      <c r="AU152" s="1249" t="str">
        <f>IFERROR(__xludf.DUMMYFUNCTION("""COMPUTED_VALUE"""),"")</f>
        <v/>
      </c>
      <c r="AV152" s="1249" t="str">
        <f>IFERROR(__xludf.DUMMYFUNCTION("""COMPUTED_VALUE"""),"")</f>
        <v/>
      </c>
      <c r="AW152" s="1249"/>
      <c r="AX152" s="1250" t="str">
        <f>IFERROR(__xludf.DUMMYFUNCTION("if(AW152 &lt;&gt; """", 
  LET( 
    TargetLevel, VLOOKUP(AW152,MS_Labs_Array,3,false),
    MaxLevel, VLOOKUP(AW152,MS_Labs_Array,4,false),
    MaxOrTarget, IF(OR(TargetLevel = """",$AD$1 &lt;&gt; ""Target""), MaxLevel, TargetLevel),
    LabLevel, VLOOKUP(AW152,MS_La"&amp;"bs_Array,2,False),
    Levelprogress, LabLevel / MaxOrTarget,
    DVTColumn, MATCH(AW152,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2" s="1251" t="str">
        <f>IFERROR(__xludf.DUMMYFUNCTION("if(AW152 &lt;&gt; """", 
  LET(
    TargetLevel, VLOOKUP(AW152,MS_Labs_Array,3,false),
    LabSpeed, (1 * REGEXEXTRACT($BH$1, ""[\d.-]+"")) * {IF(AW152 =""Labs Speed"", 1+'Master Sheet'!$BK$5, LAB_SPEED_TOTAL())},
    MaxLevel, VLOOKUP(AW152,MS_Labs_Array,4,fal"&amp;"se),
    MaxOrTarget, IF(OR(TargetLevel = """",$AD$1 &lt;&gt; ""Target""), MaxLevel, TargetLevel),
    LabLevel, VLOOKUP(AW152,MS_Labs_Array,2,False),
    DVTColumn, MATCH(AW152, DVT_Laboratory!$A$1:BO$1, 0),
    xextTime, INDIRECT(""DVT_Laboratory!"" &amp; ADDRESS"&amp;"(LabLevel+3, DVTColumn)) / LabSpeed,
    remainingTime, SUM(INDIRECT(""DVT_Laboratory!"" &amp; ADDRESS(LabLevel+3, DVTColumn) &amp; "":"" &amp; ADDRESS(MaxOrTarget+2, DVTColumn))) / LabSpeed,
  AW152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2" s="1249"/>
      <c r="BA152" s="1249" t="str">
        <f>IFERROR(__xludf.DUMMYFUNCTION("""COMPUTED_VALUE"""),"")</f>
        <v/>
      </c>
      <c r="BB152" s="1249" t="str">
        <f>IFERROR(__xludf.DUMMYFUNCTION("""COMPUTED_VALUE"""),"")</f>
        <v/>
      </c>
      <c r="BC152" s="1249"/>
      <c r="BD152" s="1250" t="str">
        <f>IFERROR(__xludf.DUMMYFUNCTION("if(BC152 &lt;&gt; """", 
  LET( 
    TargetLevel, VLOOKUP(BC152,MS_Labs_Array,3,false),
    MaxLevel, VLOOKUP(BC152,MS_Labs_Array,4,false),
    MaxOrTarget, IF(OR(TargetLevel = """",$AD$1 &lt;&gt; ""Target""), MaxLevel, TargetLevel),
    LabLevel, VLOOKUP(BC152,MS_La"&amp;"bs_Array,2,False),
    Levelprogress, LabLevel / MaxOrTarget,
    DVTColumn, MATCH(BC152,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2" s="1251" t="str">
        <f>IFERROR(__xludf.DUMMYFUNCTION("if(BC152 &lt;&gt; """", 
  LET(
    TargetLevel, VLOOKUP(BC152,MS_Labs_Array,3,false),
    LabSpeed, (1 * REGEXEXTRACT($BH$1, ""[\d.-]+"")) * {IF(BC152 =""Labs Speed"", 1+'Master Sheet'!$BK$5, LAB_SPEED_TOTAL())},
    MaxLevel, VLOOKUP(BC152,MS_Labs_Array,4,fal"&amp;"se),
    MaxOrTarget, IF(OR(TargetLevel = """",$AD$1 &lt;&gt; ""Target""), MaxLevel, TargetLevel),
    LabLevel, VLOOKUP(BC152,MS_Labs_Array,2,False),
    DVTColumn, MATCH(BC152, DVT_Laboratory!$A$1:BO$1, 0),
    xextTime, INDIRECT(""DVT_Laboratory!"" &amp; ADDRESS"&amp;"(LabLevel+3, DVTColumn)) / LabSpeed,
    remainingTime, SUM(INDIRECT(""DVT_Laboratory!"" &amp; ADDRESS(LabLevel+3, DVTColumn) &amp; "":"" &amp; ADDRESS(MaxOrTarget+2, DVTColumn))) / LabSpeed,
  BC152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2" s="1249"/>
      <c r="BG152" s="1249" t="str">
        <f>IFERROR(__xludf.DUMMYFUNCTION("""COMPUTED_VALUE"""),"")</f>
        <v/>
      </c>
      <c r="BH152" s="1260" t="str">
        <f>IFERROR(__xludf.DUMMYFUNCTION("""COMPUTED_VALUE"""),"")</f>
        <v/>
      </c>
      <c r="BI152" s="1252"/>
      <c r="BJ152" s="1253" t="str">
        <f>IFERROR(__xludf.DUMMYFUNCTION("if(BI152 &lt;&gt; """", 
  LET( 
    TargetLevel, VLOOKUP(BI152,MS_Labs_Array,3,false),
    MaxLevel, VLOOKUP(BI152,MS_Labs_Array,4,false),
    MaxOrTarget, IF(OR(TargetLevel = """",$AD$1 &lt;&gt; ""Target""), MaxLevel, TargetLevel),
    LabLevel, VLOOKUP(BI152,MS_La"&amp;"bs_Array,2,False),
    Levelprogress, IF(LabLevel &gt;= MaxOrTarget, 1, LabLevel / MaxOrTarget),
    DVTColumn, MATCH(BI152,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2" s="1254" t="str">
        <f>IFERROR(__xludf.DUMMYFUNCTION("if(BI152 &lt;&gt; """", 
  LET(
    TargetLevel, VLOOKUP(BI152,MS_Labs_Array,3,false),
    LabSpeed, (1 * REGEXEXTRACT($BH$1, ""[\d.-]+"")) * {IF(BI152 =""Labs Speed"", 1+'Master Sheet'!$BK$5, LAB_SPEED_TOTAL())},
    MaxLevel, VLOOKUP(BI152,MS_Labs_Array,4,fal"&amp;"se),
    MaxOrTarget, IF(OR(TargetLevel = """",$AD$1 &lt;&gt; ""Target""), MaxLevel, TargetLevel),
    LabLevel, VLOOKUP(BI152,MS_Labs_Array,2,False),
    DVTColumn, MATCH(BI152, DVT_Laboratory!$A$1:BO$1, 0),
    xextTime, INDIRECT(""DVT_Laboratory!"" &amp; ADDRESS"&amp;"(LabLevel+3, DVTColumn)) / LabSpeed,
    remainingTime, SUM(INDIRECT(""DVT_Laboratory!"" &amp; ADDRESS(LabLevel+3, DVTColumn) &amp; "":"" &amp; ADDRESS(MaxOrTarget+2, DVTColumn))) / LabSpeed,
  BI152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2" s="1252"/>
      <c r="BM152" s="1252" t="str">
        <f>IFERROR(__xludf.DUMMYFUNCTION("""COMPUTED_VALUE"""),"")</f>
        <v/>
      </c>
      <c r="BN152" s="1222"/>
      <c r="BO152" s="1261"/>
    </row>
    <row r="153">
      <c r="A153" s="1222"/>
      <c r="B153" s="1257"/>
      <c r="C153" s="1333" t="s">
        <v>178</v>
      </c>
      <c r="D153" s="1280" t="str">
        <f>VLOOKUP(C153,'Remote Tier List'!A:D, 2, FALSE)</f>
        <v>A</v>
      </c>
      <c r="E153" s="1281" t="str">
        <f>VLOOKUP(C153,'Remote Tier List'!A:D, 3, FALSE)</f>
        <v/>
      </c>
      <c r="F153" s="1258" t="str">
        <f>VLOOKUP(C153,'Remote Tier List'!A:D, 4, FALSE)</f>
        <v>The costs of rerolling get really high with better developed modules</v>
      </c>
      <c r="G153" s="1245" t="b">
        <f t="shared" si="26"/>
        <v>1</v>
      </c>
      <c r="H153" s="1246" t="str">
        <f t="array" ref="H153:I153">LET(
  Lab, $C153,
  Mode, $AD$1,
  Level, VLOOKUP(Lab, MS_Labs_Array, 2, FALSE),
  Target, VLOOKUP(Lab, MS_Labs_Array, 3, FALSE),
  Max, VLOOKUP(Lab, MS_Labs_Array, 4, FALSE),
  Result,
    IF(
      AND(
        Mode &lt;&gt; "Never",
        Level &gt;= IF(OR(Target = "", Mode = "Max"), Max, Target)
      ),
      "Completed",
      ""
    ),
  HSTACK(
    IF(Result &lt;&gt; "", Result, $D153),
    IF(Result &lt;&gt; "", Result, IF($E153 = "", $D153, $E153))
  )
)</f>
        <v>Completed</v>
      </c>
      <c r="I153" s="1247" t="s">
        <v>551</v>
      </c>
      <c r="J153" s="1248" t="str">
        <f t="shared" si="27"/>
        <v>The costs of rerolling get really high with better developed modules</v>
      </c>
      <c r="K153" s="1229"/>
      <c r="L153" s="1249"/>
      <c r="M153" s="1249"/>
      <c r="N153" s="1250" t="str">
        <f>IFERROR(__xludf.DUMMYFUNCTION("if(M153 &lt;&gt; """", 
  LET( 
    TargetLevel, VLOOKUP(M153,MS_Labs_Array,3,false),
    MaxLevel, VLOOKUP(M153,MS_Labs_Array,4,false),
    MaxOrTarget, IF(OR(TargetLevel = """",$AD$1 &lt;&gt; ""Target""), MaxLevel, TargetLevel),
    LabLevel, VLOOKUP(M153,MS_Labs_A"&amp;"rray,2,False),
    Levelprogress, LabLevel / MaxOrTarget,
    DVTColumn, MATCH(M153,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3" s="1251" t="str">
        <f>IFERROR(__xludf.DUMMYFUNCTION("if(M153 &lt;&gt; """", 
  LET(
    TargetLevel, VLOOKUP(M153,MS_Labs_Array,3,false),
    LabSpeed, (1 * REGEXEXTRACT($BH$1, ""[\d.-]+"")) * {IF(M153 =""Labs Speed"", 1+'Master Sheet'!$BK$5, LAB_SPEED_TOTAL())},
    MaxLevel, VLOOKUP(M153,MS_Labs_Array,4,false),"&amp;"
    MaxOrTarget, IF(OR(TargetLevel = """",$AD$1 &lt;&gt; ""Target""), MaxLevel, TargetLevel),
    LabLevel, VLOOKUP(M153,MS_Labs_Array,2,False),
    DVTColumn, MATCH(M153, DVT_Laboratory!$A$1:BO$1, 0),
    xextTime, INDIRECT(""DVT_Laboratory!"" &amp; ADDRESS(LabLe"&amp;"vel+3, DVTColumn)) / LabSpeed,
    remainingTime, SUM(INDIRECT(""DVT_Laboratory!"" &amp; ADDRESS(LabLevel+3, DVTColumn) &amp; "":"" &amp; ADDRESS(MaxOrTarget+2, DVTColumn))) / LabSpeed,
  M153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3" s="1249"/>
      <c r="Q153" s="1249"/>
      <c r="R153" s="1249"/>
      <c r="S153" s="1249"/>
      <c r="T153" s="1250" t="str">
        <f>IFERROR(__xludf.DUMMYFUNCTION("if(S153 &lt;&gt; """", 
  LET( 
    TargetLevel, VLOOKUP(S153,MS_Labs_Array,3,false),
    MaxLevel, VLOOKUP(S153,MS_Labs_Array,4,false),
    MaxOrTarget, IF(OR(TargetLevel = """",$AD$1 &lt;&gt; ""Target""), MaxLevel, TargetLevel),
    LabLevel, VLOOKUP(S153,MS_Labs_A"&amp;"rray,2,False),
    Levelprogress, LabLevel / MaxOrTarget,
    DVTColumn, MATCH(S153,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3" s="1251" t="str">
        <f>IFERROR(__xludf.DUMMYFUNCTION("if(S153 &lt;&gt; """", 
  LET(
    TargetLevel, VLOOKUP(S153,MS_Labs_Array,3,false),
    LabSpeed, (1 * REGEXEXTRACT($BH$1, ""[\d.-]+"")) * {IF(S153 =""Labs Speed"", 1+'Master Sheet'!$BK$5, LAB_SPEED_TOTAL())},
    MaxLevel, VLOOKUP(S153,MS_Labs_Array,4,false),"&amp;"
    MaxOrTarget, IF(OR(TargetLevel = """",$AD$1 &lt;&gt; ""Target""), MaxLevel, TargetLevel),
    LabLevel, VLOOKUP(S153,MS_Labs_Array,2,False),
    DVTColumn, MATCH(S153, DVT_Laboratory!$A$1:BO$1, 0),
    xextTime, INDIRECT(""DVT_Laboratory!"" &amp; ADDRESS(LabLe"&amp;"vel+3, DVTColumn)) / LabSpeed,
    remainingTime, SUM(INDIRECT(""DVT_Laboratory!"" &amp; ADDRESS(LabLevel+3, DVTColumn) &amp; "":"" &amp; ADDRESS(MaxOrTarget+2, DVTColumn))) / LabSpeed,
  S153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3" s="1249"/>
      <c r="W153" s="1249"/>
      <c r="X153" s="1249"/>
      <c r="Y153" s="1249"/>
      <c r="Z153" s="1250" t="str">
        <f>IFERROR(__xludf.DUMMYFUNCTION("if(Y153 &lt;&gt; """", 
  LET( 
    TargetLevel, VLOOKUP(Y153,MS_Labs_Array,3,false),
    MaxLevel, VLOOKUP(Y153,MS_Labs_Array,4,false),
    MaxOrTarget, IF(OR(TargetLevel = """",$AD$1 &lt;&gt; ""Target""), MaxLevel, TargetLevel),
    LabLevel, VLOOKUP(Y153,MS_Labs_A"&amp;"rray,2,False),
    Levelprogress, LabLevel / MaxOrTarget,
    DVTColumn, MATCH(Y153,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3" s="1251" t="str">
        <f>IFERROR(__xludf.DUMMYFUNCTION("if(Y153 &lt;&gt; """", 
  LET(
    TargetLevel, VLOOKUP(Y153,MS_Labs_Array,3,false),
    LabSpeed, (1 * REGEXEXTRACT($BH$1, ""[\d.-]+"")) * {IF(Y153 =""Labs Speed"", 1+'Master Sheet'!$BK$5, LAB_SPEED_TOTAL())},
    MaxLevel, VLOOKUP(Y153,MS_Labs_Array,4,false),"&amp;"
    MaxOrTarget, IF(OR(TargetLevel = """",$AD$1 &lt;&gt; ""Target""), MaxLevel, TargetLevel),
    LabLevel, VLOOKUP(Y153,MS_Labs_Array,2,False),
    DVTColumn, MATCH(Y153, DVT_Laboratory!$A$1:BO$1, 0),
    xextTime, INDIRECT(""DVT_Laboratory!"" &amp; ADDRESS(LabLe"&amp;"vel+3, DVTColumn)) / LabSpeed,
    remainingTime, SUM(INDIRECT(""DVT_Laboratory!"" &amp; ADDRESS(LabLevel+3, DVTColumn) &amp; "":"" &amp; ADDRESS(MaxOrTarget+2, DVTColumn))) / LabSpeed,
  Y153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3" s="1249"/>
      <c r="AC153" s="1249"/>
      <c r="AD153" s="1249"/>
      <c r="AE153" s="1249"/>
      <c r="AF153" s="1250" t="str">
        <f>IFERROR(__xludf.DUMMYFUNCTION("if(AE153 &lt;&gt; """", 
  LET( 
    TargetLevel, VLOOKUP(AE153,MS_Labs_Array,3,false),
    MaxLevel, VLOOKUP(AE153,MS_Labs_Array,4,false),
    MaxOrTarget, IF(OR(TargetLevel = """",$AD$1 &lt;&gt; ""Target""), MaxLevel, TargetLevel),
    LabLevel, VLOOKUP(AE153,MS_La"&amp;"bs_Array,2,False),
    Levelprogress, LabLevel / MaxOrTarget,
    DVTColumn, MATCH(AE153,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3" s="1251" t="str">
        <f>IFERROR(__xludf.DUMMYFUNCTION("if(AE153 &lt;&gt; """", 
  LET(
    TargetLevel, VLOOKUP(AE153,MS_Labs_Array,3,false),
    LabSpeed, (1 * REGEXEXTRACT($BH$1, ""[\d.-]+"")) * {IF(AE153 =""Labs Speed"", 1+'Master Sheet'!$BK$5, LAB_SPEED_TOTAL())},
    MaxLevel, VLOOKUP(AE153,MS_Labs_Array,4,fal"&amp;"se),
    MaxOrTarget, IF(OR(TargetLevel = """",$AD$1 &lt;&gt; ""Target""), MaxLevel, TargetLevel),
    LabLevel, VLOOKUP(AE153,MS_Labs_Array,2,False),
    DVTColumn, MATCH(AE153, DVT_Laboratory!$A$1:BO$1, 0),
    xextTime, INDIRECT(""DVT_Laboratory!"" &amp; ADDRESS"&amp;"(LabLevel+3, DVTColumn)) / LabSpeed,
    remainingTime, SUM(INDIRECT(""DVT_Laboratory!"" &amp; ADDRESS(LabLevel+3, DVTColumn) &amp; "":"" &amp; ADDRESS(MaxOrTarget+2, DVTColumn))) / LabSpeed,
  AE153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3" s="1249"/>
      <c r="AI153" s="1249"/>
      <c r="AJ153" s="1249"/>
      <c r="AK153" s="1249"/>
      <c r="AL153" s="1250" t="str">
        <f>IFERROR(__xludf.DUMMYFUNCTION("if(AK153 &lt;&gt; """", 
  LET( 
    TargetLevel, VLOOKUP(AK153,MS_Labs_Array,3,false),
    MaxLevel, VLOOKUP(AK153,MS_Labs_Array,4,false),
    MaxOrTarget, IF(OR(TargetLevel = """",$AD$1 &lt;&gt; ""Target""), MaxLevel, TargetLevel),
    LabLevel, VLOOKUP(AK153,MS_La"&amp;"bs_Array,2,False),
    Levelprogress, LabLevel / MaxOrTarget,
    DVTColumn, MATCH(AK153,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3" s="1251" t="str">
        <f>IFERROR(__xludf.DUMMYFUNCTION("if(AK153 &lt;&gt; """", 
  LET(
    TargetLevel, VLOOKUP(AK153,MS_Labs_Array,3,false),
    LabSpeed, (1 * REGEXEXTRACT($BH$1, ""[\d.-]+"")) * {IF(AK153 =""Labs Speed"", 1+'Master Sheet'!$BK$5, LAB_SPEED_TOTAL())},
    MaxLevel, VLOOKUP(AK153,MS_Labs_Array,4,fal"&amp;"se),
    MaxOrTarget, IF(OR(TargetLevel = """",$AD$1 &lt;&gt; ""Target""), MaxLevel, TargetLevel),
    LabLevel, VLOOKUP(AK153,MS_Labs_Array,2,False),
    DVTColumn, MATCH(AK153, DVT_Laboratory!$A$1:BO$1, 0),
    xextTime, INDIRECT(""DVT_Laboratory!"" &amp; ADDRESS"&amp;"(LabLevel+3, DVTColumn)) / LabSpeed,
    remainingTime, SUM(INDIRECT(""DVT_Laboratory!"" &amp; ADDRESS(LabLevel+3, DVTColumn) &amp; "":"" &amp; ADDRESS(MaxOrTarget+2, DVTColumn))) / LabSpeed,
  AK153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3" s="1249"/>
      <c r="AO153" s="1249"/>
      <c r="AP153" s="1249"/>
      <c r="AQ153" s="1249"/>
      <c r="AR153" s="1250" t="str">
        <f>IFERROR(__xludf.DUMMYFUNCTION("if(AQ153 &lt;&gt; """", 
  LET( 
    TargetLevel, VLOOKUP(AQ153,MS_Labs_Array,3,false),
    MaxLevel, VLOOKUP(AQ153,MS_Labs_Array,4,false),
    MaxOrTarget, IF(OR(TargetLevel = """",$AD$1 &lt;&gt; ""Target""), MaxLevel, TargetLevel),
    LabLevel, VLOOKUP(AQ153,MS_La"&amp;"bs_Array,2,False),
    Levelprogress, LabLevel / MaxOrTarget,
    DVTColumn, MATCH(AQ153,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3" s="1251" t="str">
        <f>IFERROR(__xludf.DUMMYFUNCTION("if(AQ153 &lt;&gt; """", 
  LET(
    TargetLevel, VLOOKUP(AQ153,MS_Labs_Array,3,false),
    LabSpeed, (1 * REGEXEXTRACT($BH$1, ""[\d.-]+"")) * {IF(AQ153 =""Labs Speed"", 1+'Master Sheet'!$BK$5, LAB_SPEED_TOTAL())},
    MaxLevel, VLOOKUP(AQ153,MS_Labs_Array,4,fal"&amp;"se),
    MaxOrTarget, IF(OR(TargetLevel = """",$AD$1 &lt;&gt; ""Target""), MaxLevel, TargetLevel),
    LabLevel, VLOOKUP(AQ153,MS_Labs_Array,2,False),
    DVTColumn, MATCH(AQ153, DVT_Laboratory!$A$1:BO$1, 0),
    xextTime, INDIRECT(""DVT_Laboratory!"" &amp; ADDRESS"&amp;"(LabLevel+3, DVTColumn)) / LabSpeed,
    remainingTime, SUM(INDIRECT(""DVT_Laboratory!"" &amp; ADDRESS(LabLevel+3, DVTColumn) &amp; "":"" &amp; ADDRESS(MaxOrTarget+2, DVTColumn))) / LabSpeed,
  AQ153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3" s="1249"/>
      <c r="AU153" s="1249"/>
      <c r="AV153" s="1249"/>
      <c r="AW153" s="1249"/>
      <c r="AX153" s="1250" t="str">
        <f>IFERROR(__xludf.DUMMYFUNCTION("if(AW153 &lt;&gt; """", 
  LET( 
    TargetLevel, VLOOKUP(AW153,MS_Labs_Array,3,false),
    MaxLevel, VLOOKUP(AW153,MS_Labs_Array,4,false),
    MaxOrTarget, IF(OR(TargetLevel = """",$AD$1 &lt;&gt; ""Target""), MaxLevel, TargetLevel),
    LabLevel, VLOOKUP(AW153,MS_La"&amp;"bs_Array,2,False),
    Levelprogress, LabLevel / MaxOrTarget,
    DVTColumn, MATCH(AW153,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3" s="1251" t="str">
        <f>IFERROR(__xludf.DUMMYFUNCTION("if(AW153 &lt;&gt; """", 
  LET(
    TargetLevel, VLOOKUP(AW153,MS_Labs_Array,3,false),
    LabSpeed, (1 * REGEXEXTRACT($BH$1, ""[\d.-]+"")) * {IF(AW153 =""Labs Speed"", 1+'Master Sheet'!$BK$5, LAB_SPEED_TOTAL())},
    MaxLevel, VLOOKUP(AW153,MS_Labs_Array,4,fal"&amp;"se),
    MaxOrTarget, IF(OR(TargetLevel = """",$AD$1 &lt;&gt; ""Target""), MaxLevel, TargetLevel),
    LabLevel, VLOOKUP(AW153,MS_Labs_Array,2,False),
    DVTColumn, MATCH(AW153, DVT_Laboratory!$A$1:BO$1, 0),
    xextTime, INDIRECT(""DVT_Laboratory!"" &amp; ADDRESS"&amp;"(LabLevel+3, DVTColumn)) / LabSpeed,
    remainingTime, SUM(INDIRECT(""DVT_Laboratory!"" &amp; ADDRESS(LabLevel+3, DVTColumn) &amp; "":"" &amp; ADDRESS(MaxOrTarget+2, DVTColumn))) / LabSpeed,
  AW153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3" s="1249"/>
      <c r="BA153" s="1249"/>
      <c r="BB153" s="1249"/>
      <c r="BC153" s="1249"/>
      <c r="BD153" s="1250" t="str">
        <f>IFERROR(__xludf.DUMMYFUNCTION("if(BC153 &lt;&gt; """", 
  LET( 
    TargetLevel, VLOOKUP(BC153,MS_Labs_Array,3,false),
    MaxLevel, VLOOKUP(BC153,MS_Labs_Array,4,false),
    MaxOrTarget, IF(OR(TargetLevel = """",$AD$1 &lt;&gt; ""Target""), MaxLevel, TargetLevel),
    LabLevel, VLOOKUP(BC153,MS_La"&amp;"bs_Array,2,False),
    Levelprogress, LabLevel / MaxOrTarget,
    DVTColumn, MATCH(BC153,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3" s="1251" t="str">
        <f>IFERROR(__xludf.DUMMYFUNCTION("if(BC153 &lt;&gt; """", 
  LET(
    TargetLevel, VLOOKUP(BC153,MS_Labs_Array,3,false),
    LabSpeed, (1 * REGEXEXTRACT($BH$1, ""[\d.-]+"")) * {IF(BC153 =""Labs Speed"", 1+'Master Sheet'!$BK$5, LAB_SPEED_TOTAL())},
    MaxLevel, VLOOKUP(BC153,MS_Labs_Array,4,fal"&amp;"se),
    MaxOrTarget, IF(OR(TargetLevel = """",$AD$1 &lt;&gt; ""Target""), MaxLevel, TargetLevel),
    LabLevel, VLOOKUP(BC153,MS_Labs_Array,2,False),
    DVTColumn, MATCH(BC153, DVT_Laboratory!$A$1:BO$1, 0),
    xextTime, INDIRECT(""DVT_Laboratory!"" &amp; ADDRESS"&amp;"(LabLevel+3, DVTColumn)) / LabSpeed,
    remainingTime, SUM(INDIRECT(""DVT_Laboratory!"" &amp; ADDRESS(LabLevel+3, DVTColumn) &amp; "":"" &amp; ADDRESS(MaxOrTarget+2, DVTColumn))) / LabSpeed,
  BC153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3" s="1249"/>
      <c r="BG153" s="1249"/>
      <c r="BH153" s="1260"/>
      <c r="BI153" s="1252"/>
      <c r="BJ153" s="1253" t="str">
        <f>IFERROR(__xludf.DUMMYFUNCTION("if(BI153 &lt;&gt; """", 
  LET( 
    TargetLevel, VLOOKUP(BI153,MS_Labs_Array,3,false),
    MaxLevel, VLOOKUP(BI153,MS_Labs_Array,4,false),
    MaxOrTarget, IF(OR(TargetLevel = """",$AD$1 &lt;&gt; ""Target""), MaxLevel, TargetLevel),
    LabLevel, VLOOKUP(BI153,MS_La"&amp;"bs_Array,2,False),
    Levelprogress, IF(LabLevel &gt;= MaxOrTarget, 1, LabLevel / MaxOrTarget),
    DVTColumn, MATCH(BI153,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3" s="1254" t="str">
        <f>IFERROR(__xludf.DUMMYFUNCTION("if(BI153 &lt;&gt; """", 
  LET(
    TargetLevel, VLOOKUP(BI153,MS_Labs_Array,3,false),
    LabSpeed, (1 * REGEXEXTRACT($BH$1, ""[\d.-]+"")) * {IF(BI153 =""Labs Speed"", 1+'Master Sheet'!$BK$5, LAB_SPEED_TOTAL())},
    MaxLevel, VLOOKUP(BI153,MS_Labs_Array,4,fal"&amp;"se),
    MaxOrTarget, IF(OR(TargetLevel = """",$AD$1 &lt;&gt; ""Target""), MaxLevel, TargetLevel),
    LabLevel, VLOOKUP(BI153,MS_Labs_Array,2,False),
    DVTColumn, MATCH(BI153, DVT_Laboratory!$A$1:BO$1, 0),
    xextTime, INDIRECT(""DVT_Laboratory!"" &amp; ADDRESS"&amp;"(LabLevel+3, DVTColumn)) / LabSpeed,
    remainingTime, SUM(INDIRECT(""DVT_Laboratory!"" &amp; ADDRESS(LabLevel+3, DVTColumn) &amp; "":"" &amp; ADDRESS(MaxOrTarget+2, DVTColumn))) / LabSpeed,
  BI153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3" s="1252"/>
      <c r="BM153" s="1252"/>
      <c r="BN153" s="1222"/>
      <c r="BO153" s="1261"/>
    </row>
    <row r="154" ht="7.5" customHeight="1">
      <c r="A154" s="1222"/>
      <c r="B154" s="1257"/>
      <c r="C154" s="1333" t="s">
        <v>189</v>
      </c>
      <c r="D154" s="1280" t="str">
        <f>VLOOKUP(C154,'Remote Tier List'!A:D, 2, FALSE)</f>
        <v>S</v>
      </c>
      <c r="E154" s="1281" t="str">
        <f>VLOOKUP(C154,'Remote Tier List'!A:D, 3, FALSE)</f>
        <v/>
      </c>
      <c r="F154" s="1258" t="str">
        <f>VLOOKUP(C154,'Remote Tier List'!A:D, 4, FALSE)</f>
        <v>Very important long term for shard income. Affects most stats</v>
      </c>
      <c r="G154" s="1245" t="b">
        <f t="shared" si="26"/>
        <v>1</v>
      </c>
      <c r="H154" s="1246" t="str">
        <f t="array" ref="H154:I154">LET(
  Lab, $C154,
  Mode, $AD$1,
  Level, VLOOKUP(Lab, MS_Labs_Array, 2, FALSE),
  Target, VLOOKUP(Lab, MS_Labs_Array, 3, FALSE),
  Max, VLOOKUP(Lab, MS_Labs_Array, 4, FALSE),
  Result,
    IF(
      AND(
        Mode &lt;&gt; "Never",
        Level &gt;= IF(OR(Target = "", Mode = "Max"), Max, Target)
      ),
      "Completed",
      ""
    ),
  HSTACK(
    IF(Result &lt;&gt; "", Result, $D154),
    IF(Result &lt;&gt; "", Result, IF($E154 = "", $D154, $E154))
  )
)</f>
        <v>Completed</v>
      </c>
      <c r="I154" s="1247" t="s">
        <v>551</v>
      </c>
      <c r="J154" s="1248" t="str">
        <f t="shared" si="27"/>
        <v>Very important long term for shard income. Affects most stats</v>
      </c>
      <c r="K154" s="1229"/>
      <c r="L154" s="1249" t="str">
        <f>IFERROR(__xludf.DUMMYFUNCTION("""COMPUTED_VALUE"""),"")</f>
        <v/>
      </c>
      <c r="M154" s="1249"/>
      <c r="N154" s="1250" t="str">
        <f>IFERROR(__xludf.DUMMYFUNCTION("if(M154 &lt;&gt; """", 
  LET( 
    TargetLevel, VLOOKUP(M154,MS_Labs_Array,3,false),
    MaxLevel, VLOOKUP(M154,MS_Labs_Array,4,false),
    MaxOrTarget, IF(OR(TargetLevel = """",$AD$1 &lt;&gt; ""Target""), MaxLevel, TargetLevel),
    LabLevel, VLOOKUP(M154,MS_Labs_A"&amp;"rray,2,False),
    Levelprogress, LabLevel / MaxOrTarget,
    DVTColumn, MATCH(M154,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4" s="1251" t="str">
        <f>IFERROR(__xludf.DUMMYFUNCTION("if(M154 &lt;&gt; """", 
  LET(
    TargetLevel, VLOOKUP(M154,MS_Labs_Array,3,false),
    LabSpeed, (1 * REGEXEXTRACT($BH$1, ""[\d.-]+"")) * {IF(M154 =""Labs Speed"", 1+'Master Sheet'!$BK$5, LAB_SPEED_TOTAL())},
    MaxLevel, VLOOKUP(M154,MS_Labs_Array,4,false),"&amp;"
    MaxOrTarget, IF(OR(TargetLevel = """",$AD$1 &lt;&gt; ""Target""), MaxLevel, TargetLevel),
    LabLevel, VLOOKUP(M154,MS_Labs_Array,2,False),
    DVTColumn, MATCH(M154, DVT_Laboratory!$A$1:BO$1, 0),
    xextTime, INDIRECT(""DVT_Laboratory!"" &amp; ADDRESS(LabLe"&amp;"vel+3, DVTColumn)) / LabSpeed,
    remainingTime, SUM(INDIRECT(""DVT_Laboratory!"" &amp; ADDRESS(LabLevel+3, DVTColumn) &amp; "":"" &amp; ADDRESS(MaxOrTarget+2, DVTColumn))) / LabSpeed,
  M154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4" s="1249"/>
      <c r="Q154" s="1249" t="str">
        <f>IFERROR(__xludf.DUMMYFUNCTION("""COMPUTED_VALUE"""),"")</f>
        <v/>
      </c>
      <c r="R154" s="1249" t="str">
        <f>IFERROR(__xludf.DUMMYFUNCTION("""COMPUTED_VALUE"""),"")</f>
        <v/>
      </c>
      <c r="S154" s="1249"/>
      <c r="T154" s="1250" t="str">
        <f>IFERROR(__xludf.DUMMYFUNCTION("if(S154 &lt;&gt; """", 
  LET( 
    TargetLevel, VLOOKUP(S154,MS_Labs_Array,3,false),
    MaxLevel, VLOOKUP(S154,MS_Labs_Array,4,false),
    MaxOrTarget, IF(OR(TargetLevel = """",$AD$1 &lt;&gt; ""Target""), MaxLevel, TargetLevel),
    LabLevel, VLOOKUP(S154,MS_Labs_A"&amp;"rray,2,False),
    Levelprogress, LabLevel / MaxOrTarget,
    DVTColumn, MATCH(S154,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4" s="1251" t="str">
        <f>IFERROR(__xludf.DUMMYFUNCTION("if(S154 &lt;&gt; """", 
  LET(
    TargetLevel, VLOOKUP(S154,MS_Labs_Array,3,false),
    LabSpeed, (1 * REGEXEXTRACT($BH$1, ""[\d.-]+"")) * {IF(S154 =""Labs Speed"", 1+'Master Sheet'!$BK$5, LAB_SPEED_TOTAL())},
    MaxLevel, VLOOKUP(S154,MS_Labs_Array,4,false),"&amp;"
    MaxOrTarget, IF(OR(TargetLevel = """",$AD$1 &lt;&gt; ""Target""), MaxLevel, TargetLevel),
    LabLevel, VLOOKUP(S154,MS_Labs_Array,2,False),
    DVTColumn, MATCH(S154, DVT_Laboratory!$A$1:BO$1, 0),
    xextTime, INDIRECT(""DVT_Laboratory!"" &amp; ADDRESS(LabLe"&amp;"vel+3, DVTColumn)) / LabSpeed,
    remainingTime, SUM(INDIRECT(""DVT_Laboratory!"" &amp; ADDRESS(LabLevel+3, DVTColumn) &amp; "":"" &amp; ADDRESS(MaxOrTarget+2, DVTColumn))) / LabSpeed,
  S154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4" s="1249"/>
      <c r="W154" s="1249" t="str">
        <f>IFERROR(__xludf.DUMMYFUNCTION("""COMPUTED_VALUE"""),"")</f>
        <v/>
      </c>
      <c r="X154" s="1249" t="str">
        <f>IFERROR(__xludf.DUMMYFUNCTION("""COMPUTED_VALUE"""),"")</f>
        <v/>
      </c>
      <c r="Y154" s="1249"/>
      <c r="Z154" s="1250" t="str">
        <f>IFERROR(__xludf.DUMMYFUNCTION("if(Y154 &lt;&gt; """", 
  LET( 
    TargetLevel, VLOOKUP(Y154,MS_Labs_Array,3,false),
    MaxLevel, VLOOKUP(Y154,MS_Labs_Array,4,false),
    MaxOrTarget, IF(OR(TargetLevel = """",$AD$1 &lt;&gt; ""Target""), MaxLevel, TargetLevel),
    LabLevel, VLOOKUP(Y154,MS_Labs_A"&amp;"rray,2,False),
    Levelprogress, LabLevel / MaxOrTarget,
    DVTColumn, MATCH(Y154,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4" s="1251" t="str">
        <f>IFERROR(__xludf.DUMMYFUNCTION("if(Y154 &lt;&gt; """", 
  LET(
    TargetLevel, VLOOKUP(Y154,MS_Labs_Array,3,false),
    LabSpeed, (1 * REGEXEXTRACT($BH$1, ""[\d.-]+"")) * {IF(Y154 =""Labs Speed"", 1+'Master Sheet'!$BK$5, LAB_SPEED_TOTAL())},
    MaxLevel, VLOOKUP(Y154,MS_Labs_Array,4,false),"&amp;"
    MaxOrTarget, IF(OR(TargetLevel = """",$AD$1 &lt;&gt; ""Target""), MaxLevel, TargetLevel),
    LabLevel, VLOOKUP(Y154,MS_Labs_Array,2,False),
    DVTColumn, MATCH(Y154, DVT_Laboratory!$A$1:BO$1, 0),
    xextTime, INDIRECT(""DVT_Laboratory!"" &amp; ADDRESS(LabLe"&amp;"vel+3, DVTColumn)) / LabSpeed,
    remainingTime, SUM(INDIRECT(""DVT_Laboratory!"" &amp; ADDRESS(LabLevel+3, DVTColumn) &amp; "":"" &amp; ADDRESS(MaxOrTarget+2, DVTColumn))) / LabSpeed,
  Y154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4" s="1249"/>
      <c r="AC154" s="1249" t="str">
        <f>IFERROR(__xludf.DUMMYFUNCTION("""COMPUTED_VALUE"""),"")</f>
        <v/>
      </c>
      <c r="AD154" s="1249" t="str">
        <f>IFERROR(__xludf.DUMMYFUNCTION("""COMPUTED_VALUE"""),"")</f>
        <v/>
      </c>
      <c r="AE154" s="1249"/>
      <c r="AF154" s="1250" t="str">
        <f>IFERROR(__xludf.DUMMYFUNCTION("if(AE154 &lt;&gt; """", 
  LET( 
    TargetLevel, VLOOKUP(AE154,MS_Labs_Array,3,false),
    MaxLevel, VLOOKUP(AE154,MS_Labs_Array,4,false),
    MaxOrTarget, IF(OR(TargetLevel = """",$AD$1 &lt;&gt; ""Target""), MaxLevel, TargetLevel),
    LabLevel, VLOOKUP(AE154,MS_La"&amp;"bs_Array,2,False),
    Levelprogress, LabLevel / MaxOrTarget,
    DVTColumn, MATCH(AE154,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4" s="1251" t="str">
        <f>IFERROR(__xludf.DUMMYFUNCTION("if(AE154 &lt;&gt; """", 
  LET(
    TargetLevel, VLOOKUP(AE154,MS_Labs_Array,3,false),
    LabSpeed, (1 * REGEXEXTRACT($BH$1, ""[\d.-]+"")) * {IF(AE154 =""Labs Speed"", 1+'Master Sheet'!$BK$5, LAB_SPEED_TOTAL())},
    MaxLevel, VLOOKUP(AE154,MS_Labs_Array,4,fal"&amp;"se),
    MaxOrTarget, IF(OR(TargetLevel = """",$AD$1 &lt;&gt; ""Target""), MaxLevel, TargetLevel),
    LabLevel, VLOOKUP(AE154,MS_Labs_Array,2,False),
    DVTColumn, MATCH(AE154, DVT_Laboratory!$A$1:BO$1, 0),
    xextTime, INDIRECT(""DVT_Laboratory!"" &amp; ADDRESS"&amp;"(LabLevel+3, DVTColumn)) / LabSpeed,
    remainingTime, SUM(INDIRECT(""DVT_Laboratory!"" &amp; ADDRESS(LabLevel+3, DVTColumn) &amp; "":"" &amp; ADDRESS(MaxOrTarget+2, DVTColumn))) / LabSpeed,
  AE154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4" s="1249"/>
      <c r="AI154" s="1249" t="str">
        <f>IFERROR(__xludf.DUMMYFUNCTION("""COMPUTED_VALUE"""),"")</f>
        <v/>
      </c>
      <c r="AJ154" s="1249" t="str">
        <f>IFERROR(__xludf.DUMMYFUNCTION("""COMPUTED_VALUE"""),"")</f>
        <v/>
      </c>
      <c r="AK154" s="1249"/>
      <c r="AL154" s="1250" t="str">
        <f>IFERROR(__xludf.DUMMYFUNCTION("if(AK154 &lt;&gt; """", 
  LET( 
    TargetLevel, VLOOKUP(AK154,MS_Labs_Array,3,false),
    MaxLevel, VLOOKUP(AK154,MS_Labs_Array,4,false),
    MaxOrTarget, IF(OR(TargetLevel = """",$AD$1 &lt;&gt; ""Target""), MaxLevel, TargetLevel),
    LabLevel, VLOOKUP(AK154,MS_La"&amp;"bs_Array,2,False),
    Levelprogress, LabLevel / MaxOrTarget,
    DVTColumn, MATCH(AK154,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4" s="1251" t="str">
        <f>IFERROR(__xludf.DUMMYFUNCTION("if(AK154 &lt;&gt; """", 
  LET(
    TargetLevel, VLOOKUP(AK154,MS_Labs_Array,3,false),
    LabSpeed, (1 * REGEXEXTRACT($BH$1, ""[\d.-]+"")) * {IF(AK154 =""Labs Speed"", 1+'Master Sheet'!$BK$5, LAB_SPEED_TOTAL())},
    MaxLevel, VLOOKUP(AK154,MS_Labs_Array,4,fal"&amp;"se),
    MaxOrTarget, IF(OR(TargetLevel = """",$AD$1 &lt;&gt; ""Target""), MaxLevel, TargetLevel),
    LabLevel, VLOOKUP(AK154,MS_Labs_Array,2,False),
    DVTColumn, MATCH(AK154, DVT_Laboratory!$A$1:BO$1, 0),
    xextTime, INDIRECT(""DVT_Laboratory!"" &amp; ADDRESS"&amp;"(LabLevel+3, DVTColumn)) / LabSpeed,
    remainingTime, SUM(INDIRECT(""DVT_Laboratory!"" &amp; ADDRESS(LabLevel+3, DVTColumn) &amp; "":"" &amp; ADDRESS(MaxOrTarget+2, DVTColumn))) / LabSpeed,
  AK154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4" s="1249"/>
      <c r="AO154" s="1249" t="str">
        <f>IFERROR(__xludf.DUMMYFUNCTION("""COMPUTED_VALUE"""),"")</f>
        <v/>
      </c>
      <c r="AP154" s="1249" t="str">
        <f>IFERROR(__xludf.DUMMYFUNCTION("""COMPUTED_VALUE"""),"")</f>
        <v/>
      </c>
      <c r="AQ154" s="1249"/>
      <c r="AR154" s="1250" t="str">
        <f>IFERROR(__xludf.DUMMYFUNCTION("if(AQ154 &lt;&gt; """", 
  LET( 
    TargetLevel, VLOOKUP(AQ154,MS_Labs_Array,3,false),
    MaxLevel, VLOOKUP(AQ154,MS_Labs_Array,4,false),
    MaxOrTarget, IF(OR(TargetLevel = """",$AD$1 &lt;&gt; ""Target""), MaxLevel, TargetLevel),
    LabLevel, VLOOKUP(AQ154,MS_La"&amp;"bs_Array,2,False),
    Levelprogress, LabLevel / MaxOrTarget,
    DVTColumn, MATCH(AQ154,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4" s="1251" t="str">
        <f>IFERROR(__xludf.DUMMYFUNCTION("if(AQ154 &lt;&gt; """", 
  LET(
    TargetLevel, VLOOKUP(AQ154,MS_Labs_Array,3,false),
    LabSpeed, (1 * REGEXEXTRACT($BH$1, ""[\d.-]+"")) * {IF(AQ154 =""Labs Speed"", 1+'Master Sheet'!$BK$5, LAB_SPEED_TOTAL())},
    MaxLevel, VLOOKUP(AQ154,MS_Labs_Array,4,fal"&amp;"se),
    MaxOrTarget, IF(OR(TargetLevel = """",$AD$1 &lt;&gt; ""Target""), MaxLevel, TargetLevel),
    LabLevel, VLOOKUP(AQ154,MS_Labs_Array,2,False),
    DVTColumn, MATCH(AQ154, DVT_Laboratory!$A$1:BO$1, 0),
    xextTime, INDIRECT(""DVT_Laboratory!"" &amp; ADDRESS"&amp;"(LabLevel+3, DVTColumn)) / LabSpeed,
    remainingTime, SUM(INDIRECT(""DVT_Laboratory!"" &amp; ADDRESS(LabLevel+3, DVTColumn) &amp; "":"" &amp; ADDRESS(MaxOrTarget+2, DVTColumn))) / LabSpeed,
  AQ154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4" s="1249"/>
      <c r="AU154" s="1249" t="str">
        <f>IFERROR(__xludf.DUMMYFUNCTION("""COMPUTED_VALUE"""),"")</f>
        <v/>
      </c>
      <c r="AV154" s="1249" t="str">
        <f>IFERROR(__xludf.DUMMYFUNCTION("""COMPUTED_VALUE"""),"")</f>
        <v/>
      </c>
      <c r="AW154" s="1249"/>
      <c r="AX154" s="1250" t="str">
        <f>IFERROR(__xludf.DUMMYFUNCTION("if(AW154 &lt;&gt; """", 
  LET( 
    TargetLevel, VLOOKUP(AW154,MS_Labs_Array,3,false),
    MaxLevel, VLOOKUP(AW154,MS_Labs_Array,4,false),
    MaxOrTarget, IF(OR(TargetLevel = """",$AD$1 &lt;&gt; ""Target""), MaxLevel, TargetLevel),
    LabLevel, VLOOKUP(AW154,MS_La"&amp;"bs_Array,2,False),
    Levelprogress, LabLevel / MaxOrTarget,
    DVTColumn, MATCH(AW154,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4" s="1251" t="str">
        <f>IFERROR(__xludf.DUMMYFUNCTION("if(AW154 &lt;&gt; """", 
  LET(
    TargetLevel, VLOOKUP(AW154,MS_Labs_Array,3,false),
    LabSpeed, (1 * REGEXEXTRACT($BH$1, ""[\d.-]+"")) * {IF(AW154 =""Labs Speed"", 1+'Master Sheet'!$BK$5, LAB_SPEED_TOTAL())},
    MaxLevel, VLOOKUP(AW154,MS_Labs_Array,4,fal"&amp;"se),
    MaxOrTarget, IF(OR(TargetLevel = """",$AD$1 &lt;&gt; ""Target""), MaxLevel, TargetLevel),
    LabLevel, VLOOKUP(AW154,MS_Labs_Array,2,False),
    DVTColumn, MATCH(AW154, DVT_Laboratory!$A$1:BO$1, 0),
    xextTime, INDIRECT(""DVT_Laboratory!"" &amp; ADDRESS"&amp;"(LabLevel+3, DVTColumn)) / LabSpeed,
    remainingTime, SUM(INDIRECT(""DVT_Laboratory!"" &amp; ADDRESS(LabLevel+3, DVTColumn) &amp; "":"" &amp; ADDRESS(MaxOrTarget+2, DVTColumn))) / LabSpeed,
  AW154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4" s="1249"/>
      <c r="BA154" s="1249" t="str">
        <f>IFERROR(__xludf.DUMMYFUNCTION("""COMPUTED_VALUE"""),"")</f>
        <v/>
      </c>
      <c r="BB154" s="1249" t="str">
        <f>IFERROR(__xludf.DUMMYFUNCTION("""COMPUTED_VALUE"""),"")</f>
        <v/>
      </c>
      <c r="BC154" s="1249"/>
      <c r="BD154" s="1250" t="str">
        <f>IFERROR(__xludf.DUMMYFUNCTION("if(BC154 &lt;&gt; """", 
  LET( 
    TargetLevel, VLOOKUP(BC154,MS_Labs_Array,3,false),
    MaxLevel, VLOOKUP(BC154,MS_Labs_Array,4,false),
    MaxOrTarget, IF(OR(TargetLevel = """",$AD$1 &lt;&gt; ""Target""), MaxLevel, TargetLevel),
    LabLevel, VLOOKUP(BC154,MS_La"&amp;"bs_Array,2,False),
    Levelprogress, LabLevel / MaxOrTarget,
    DVTColumn, MATCH(BC154,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4" s="1251" t="str">
        <f>IFERROR(__xludf.DUMMYFUNCTION("if(BC154 &lt;&gt; """", 
  LET(
    TargetLevel, VLOOKUP(BC154,MS_Labs_Array,3,false),
    LabSpeed, (1 * REGEXEXTRACT($BH$1, ""[\d.-]+"")) * {IF(BC154 =""Labs Speed"", 1+'Master Sheet'!$BK$5, LAB_SPEED_TOTAL())},
    MaxLevel, VLOOKUP(BC154,MS_Labs_Array,4,fal"&amp;"se),
    MaxOrTarget, IF(OR(TargetLevel = """",$AD$1 &lt;&gt; ""Target""), MaxLevel, TargetLevel),
    LabLevel, VLOOKUP(BC154,MS_Labs_Array,2,False),
    DVTColumn, MATCH(BC154, DVT_Laboratory!$A$1:BO$1, 0),
    xextTime, INDIRECT(""DVT_Laboratory!"" &amp; ADDRESS"&amp;"(LabLevel+3, DVTColumn)) / LabSpeed,
    remainingTime, SUM(INDIRECT(""DVT_Laboratory!"" &amp; ADDRESS(LabLevel+3, DVTColumn) &amp; "":"" &amp; ADDRESS(MaxOrTarget+2, DVTColumn))) / LabSpeed,
  BC154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4" s="1249"/>
      <c r="BG154" s="1249" t="str">
        <f>IFERROR(__xludf.DUMMYFUNCTION("""COMPUTED_VALUE"""),"")</f>
        <v/>
      </c>
      <c r="BH154" s="1260" t="str">
        <f>IFERROR(__xludf.DUMMYFUNCTION("""COMPUTED_VALUE"""),"")</f>
        <v/>
      </c>
      <c r="BI154" s="1252"/>
      <c r="BJ154" s="1253" t="str">
        <f>IFERROR(__xludf.DUMMYFUNCTION("if(BI154 &lt;&gt; """", 
  LET( 
    TargetLevel, VLOOKUP(BI154,MS_Labs_Array,3,false),
    MaxLevel, VLOOKUP(BI154,MS_Labs_Array,4,false),
    MaxOrTarget, IF(OR(TargetLevel = """",$AD$1 &lt;&gt; ""Target""), MaxLevel, TargetLevel),
    LabLevel, VLOOKUP(BI154,MS_La"&amp;"bs_Array,2,False),
    Levelprogress, IF(LabLevel &gt;= MaxOrTarget, 1, LabLevel / MaxOrTarget),
    DVTColumn, MATCH(BI154,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4" s="1254" t="str">
        <f>IFERROR(__xludf.DUMMYFUNCTION("if(BI154 &lt;&gt; """", 
  LET(
    TargetLevel, VLOOKUP(BI154,MS_Labs_Array,3,false),
    LabSpeed, (1 * REGEXEXTRACT($BH$1, ""[\d.-]+"")) * {IF(BI154 =""Labs Speed"", 1+'Master Sheet'!$BK$5, LAB_SPEED_TOTAL())},
    MaxLevel, VLOOKUP(BI154,MS_Labs_Array,4,fal"&amp;"se),
    MaxOrTarget, IF(OR(TargetLevel = """",$AD$1 &lt;&gt; ""Target""), MaxLevel, TargetLevel),
    LabLevel, VLOOKUP(BI154,MS_Labs_Array,2,False),
    DVTColumn, MATCH(BI154, DVT_Laboratory!$A$1:BO$1, 0),
    xextTime, INDIRECT(""DVT_Laboratory!"" &amp; ADDRESS"&amp;"(LabLevel+3, DVTColumn)) / LabSpeed,
    remainingTime, SUM(INDIRECT(""DVT_Laboratory!"" &amp; ADDRESS(LabLevel+3, DVTColumn) &amp; "":"" &amp; ADDRESS(MaxOrTarget+2, DVTColumn))) / LabSpeed,
  BI154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4" s="1252"/>
      <c r="BM154" s="1252" t="str">
        <f>IFERROR(__xludf.DUMMYFUNCTION("""COMPUTED_VALUE"""),"")</f>
        <v/>
      </c>
      <c r="BN154" s="1222"/>
      <c r="BO154" s="1261"/>
    </row>
    <row r="155">
      <c r="A155" s="1222"/>
      <c r="B155" s="1262" t="s">
        <v>563</v>
      </c>
      <c r="C155" s="1333" t="s">
        <v>211</v>
      </c>
      <c r="D155" s="1280" t="str">
        <f>VLOOKUP(C155,'Remote Tier List'!A:D, 2, FALSE)</f>
        <v>A</v>
      </c>
      <c r="E155" s="1281" t="str">
        <f>VLOOKUP(C155,'Remote Tier List'!A:D, 3, FALSE)</f>
        <v/>
      </c>
      <c r="F155" s="1284" t="str">
        <f>VLOOKUP(C155,'Remote Tier List'!A:D, 4, FALSE)</f>
        <v>Important but also retroactive</v>
      </c>
      <c r="G155" s="1245" t="b">
        <f t="shared" si="26"/>
        <v>1</v>
      </c>
      <c r="H155" s="1246" t="str">
        <f t="array" ref="H155:I155">LET(
  Lab, $C155,
  Mode, $AD$1,
  Level, VLOOKUP(Lab, MS_Labs_Array, 2, FALSE),
  Target, VLOOKUP(Lab, MS_Labs_Array, 3, FALSE),
  Max, VLOOKUP(Lab, MS_Labs_Array, 4, FALSE),
  Result,
    IF(
      AND(
        Mode &lt;&gt; "Never",
        Level &gt;= IF(OR(Target = "", Mode = "Max"), Max, Target)
      ),
      "Completed",
      ""
    ),
  HSTACK(
    IF(Result &lt;&gt; "", Result, $D155),
    IF(Result &lt;&gt; "", Result, IF($E155 = "", $D155, $E155))
  )
)</f>
        <v>Completed</v>
      </c>
      <c r="I155" s="1247" t="s">
        <v>551</v>
      </c>
      <c r="J155" s="1248" t="str">
        <f t="shared" si="27"/>
        <v>Important but also retroactive</v>
      </c>
      <c r="K155" s="1229"/>
      <c r="L155" s="1249"/>
      <c r="M155" s="1249"/>
      <c r="N155" s="1250" t="str">
        <f>IFERROR(__xludf.DUMMYFUNCTION("if(M155 &lt;&gt; """", 
  LET( 
    TargetLevel, VLOOKUP(M155,MS_Labs_Array,3,false),
    MaxLevel, VLOOKUP(M155,MS_Labs_Array,4,false),
    MaxOrTarget, IF(OR(TargetLevel = """",$AD$1 &lt;&gt; ""Target""), MaxLevel, TargetLevel),
    LabLevel, VLOOKUP(M155,MS_Labs_A"&amp;"rray,2,False),
    Levelprogress, LabLevel / MaxOrTarget,
    DVTColumn, MATCH(M155,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5" s="1251" t="str">
        <f>IFERROR(__xludf.DUMMYFUNCTION("if(M155 &lt;&gt; """", 
  LET(
    TargetLevel, VLOOKUP(M155,MS_Labs_Array,3,false),
    LabSpeed, (1 * REGEXEXTRACT($BH$1, ""[\d.-]+"")) * {IF(M155 =""Labs Speed"", 1+'Master Sheet'!$BK$5, LAB_SPEED_TOTAL())},
    MaxLevel, VLOOKUP(M155,MS_Labs_Array,4,false),"&amp;"
    MaxOrTarget, IF(OR(TargetLevel = """",$AD$1 &lt;&gt; ""Target""), MaxLevel, TargetLevel),
    LabLevel, VLOOKUP(M155,MS_Labs_Array,2,False),
    DVTColumn, MATCH(M155, DVT_Laboratory!$A$1:BO$1, 0),
    xextTime, INDIRECT(""DVT_Laboratory!"" &amp; ADDRESS(LabLe"&amp;"vel+3, DVTColumn)) / LabSpeed,
    remainingTime, SUM(INDIRECT(""DVT_Laboratory!"" &amp; ADDRESS(LabLevel+3, DVTColumn) &amp; "":"" &amp; ADDRESS(MaxOrTarget+2, DVTColumn))) / LabSpeed,
  M155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5" s="1249"/>
      <c r="Q155" s="1249"/>
      <c r="R155" s="1249"/>
      <c r="S155" s="1249"/>
      <c r="T155" s="1250" t="str">
        <f>IFERROR(__xludf.DUMMYFUNCTION("if(S155 &lt;&gt; """", 
  LET( 
    TargetLevel, VLOOKUP(S155,MS_Labs_Array,3,false),
    MaxLevel, VLOOKUP(S155,MS_Labs_Array,4,false),
    MaxOrTarget, IF(OR(TargetLevel = """",$AD$1 &lt;&gt; ""Target""), MaxLevel, TargetLevel),
    LabLevel, VLOOKUP(S155,MS_Labs_A"&amp;"rray,2,False),
    Levelprogress, LabLevel / MaxOrTarget,
    DVTColumn, MATCH(S155,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5" s="1251" t="str">
        <f>IFERROR(__xludf.DUMMYFUNCTION("if(S155 &lt;&gt; """", 
  LET(
    TargetLevel, VLOOKUP(S155,MS_Labs_Array,3,false),
    LabSpeed, (1 * REGEXEXTRACT($BH$1, ""[\d.-]+"")) * {IF(S155 =""Labs Speed"", 1+'Master Sheet'!$BK$5, LAB_SPEED_TOTAL())},
    MaxLevel, VLOOKUP(S155,MS_Labs_Array,4,false),"&amp;"
    MaxOrTarget, IF(OR(TargetLevel = """",$AD$1 &lt;&gt; ""Target""), MaxLevel, TargetLevel),
    LabLevel, VLOOKUP(S155,MS_Labs_Array,2,False),
    DVTColumn, MATCH(S155, DVT_Laboratory!$A$1:BO$1, 0),
    xextTime, INDIRECT(""DVT_Laboratory!"" &amp; ADDRESS(LabLe"&amp;"vel+3, DVTColumn)) / LabSpeed,
    remainingTime, SUM(INDIRECT(""DVT_Laboratory!"" &amp; ADDRESS(LabLevel+3, DVTColumn) &amp; "":"" &amp; ADDRESS(MaxOrTarget+2, DVTColumn))) / LabSpeed,
  S155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5" s="1249"/>
      <c r="W155" s="1249"/>
      <c r="X155" s="1249"/>
      <c r="Y155" s="1249"/>
      <c r="Z155" s="1250" t="str">
        <f>IFERROR(__xludf.DUMMYFUNCTION("if(Y155 &lt;&gt; """", 
  LET( 
    TargetLevel, VLOOKUP(Y155,MS_Labs_Array,3,false),
    MaxLevel, VLOOKUP(Y155,MS_Labs_Array,4,false),
    MaxOrTarget, IF(OR(TargetLevel = """",$AD$1 &lt;&gt; ""Target""), MaxLevel, TargetLevel),
    LabLevel, VLOOKUP(Y155,MS_Labs_A"&amp;"rray,2,False),
    Levelprogress, LabLevel / MaxOrTarget,
    DVTColumn, MATCH(Y155,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5" s="1251" t="str">
        <f>IFERROR(__xludf.DUMMYFUNCTION("if(Y155 &lt;&gt; """", 
  LET(
    TargetLevel, VLOOKUP(Y155,MS_Labs_Array,3,false),
    LabSpeed, (1 * REGEXEXTRACT($BH$1, ""[\d.-]+"")) * {IF(Y155 =""Labs Speed"", 1+'Master Sheet'!$BK$5, LAB_SPEED_TOTAL())},
    MaxLevel, VLOOKUP(Y155,MS_Labs_Array,4,false),"&amp;"
    MaxOrTarget, IF(OR(TargetLevel = """",$AD$1 &lt;&gt; ""Target""), MaxLevel, TargetLevel),
    LabLevel, VLOOKUP(Y155,MS_Labs_Array,2,False),
    DVTColumn, MATCH(Y155, DVT_Laboratory!$A$1:BO$1, 0),
    xextTime, INDIRECT(""DVT_Laboratory!"" &amp; ADDRESS(LabLe"&amp;"vel+3, DVTColumn)) / LabSpeed,
    remainingTime, SUM(INDIRECT(""DVT_Laboratory!"" &amp; ADDRESS(LabLevel+3, DVTColumn) &amp; "":"" &amp; ADDRESS(MaxOrTarget+2, DVTColumn))) / LabSpeed,
  Y155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5" s="1249"/>
      <c r="AC155" s="1249"/>
      <c r="AD155" s="1249"/>
      <c r="AE155" s="1249"/>
      <c r="AF155" s="1250" t="str">
        <f>IFERROR(__xludf.DUMMYFUNCTION("if(AE155 &lt;&gt; """", 
  LET( 
    TargetLevel, VLOOKUP(AE155,MS_Labs_Array,3,false),
    MaxLevel, VLOOKUP(AE155,MS_Labs_Array,4,false),
    MaxOrTarget, IF(OR(TargetLevel = """",$AD$1 &lt;&gt; ""Target""), MaxLevel, TargetLevel),
    LabLevel, VLOOKUP(AE155,MS_La"&amp;"bs_Array,2,False),
    Levelprogress, LabLevel / MaxOrTarget,
    DVTColumn, MATCH(AE155,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5" s="1251" t="str">
        <f>IFERROR(__xludf.DUMMYFUNCTION("if(AE155 &lt;&gt; """", 
  LET(
    TargetLevel, VLOOKUP(AE155,MS_Labs_Array,3,false),
    LabSpeed, (1 * REGEXEXTRACT($BH$1, ""[\d.-]+"")) * {IF(AE155 =""Labs Speed"", 1+'Master Sheet'!$BK$5, LAB_SPEED_TOTAL())},
    MaxLevel, VLOOKUP(AE155,MS_Labs_Array,4,fal"&amp;"se),
    MaxOrTarget, IF(OR(TargetLevel = """",$AD$1 &lt;&gt; ""Target""), MaxLevel, TargetLevel),
    LabLevel, VLOOKUP(AE155,MS_Labs_Array,2,False),
    DVTColumn, MATCH(AE155, DVT_Laboratory!$A$1:BO$1, 0),
    xextTime, INDIRECT(""DVT_Laboratory!"" &amp; ADDRESS"&amp;"(LabLevel+3, DVTColumn)) / LabSpeed,
    remainingTime, SUM(INDIRECT(""DVT_Laboratory!"" &amp; ADDRESS(LabLevel+3, DVTColumn) &amp; "":"" &amp; ADDRESS(MaxOrTarget+2, DVTColumn))) / LabSpeed,
  AE155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5" s="1249"/>
      <c r="AI155" s="1249"/>
      <c r="AJ155" s="1249"/>
      <c r="AK155" s="1249"/>
      <c r="AL155" s="1250" t="str">
        <f>IFERROR(__xludf.DUMMYFUNCTION("if(AK155 &lt;&gt; """", 
  LET( 
    TargetLevel, VLOOKUP(AK155,MS_Labs_Array,3,false),
    MaxLevel, VLOOKUP(AK155,MS_Labs_Array,4,false),
    MaxOrTarget, IF(OR(TargetLevel = """",$AD$1 &lt;&gt; ""Target""), MaxLevel, TargetLevel),
    LabLevel, VLOOKUP(AK155,MS_La"&amp;"bs_Array,2,False),
    Levelprogress, LabLevel / MaxOrTarget,
    DVTColumn, MATCH(AK155,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5" s="1251" t="str">
        <f>IFERROR(__xludf.DUMMYFUNCTION("if(AK155 &lt;&gt; """", 
  LET(
    TargetLevel, VLOOKUP(AK155,MS_Labs_Array,3,false),
    LabSpeed, (1 * REGEXEXTRACT($BH$1, ""[\d.-]+"")) * {IF(AK155 =""Labs Speed"", 1+'Master Sheet'!$BK$5, LAB_SPEED_TOTAL())},
    MaxLevel, VLOOKUP(AK155,MS_Labs_Array,4,fal"&amp;"se),
    MaxOrTarget, IF(OR(TargetLevel = """",$AD$1 &lt;&gt; ""Target""), MaxLevel, TargetLevel),
    LabLevel, VLOOKUP(AK155,MS_Labs_Array,2,False),
    DVTColumn, MATCH(AK155, DVT_Laboratory!$A$1:BO$1, 0),
    xextTime, INDIRECT(""DVT_Laboratory!"" &amp; ADDRESS"&amp;"(LabLevel+3, DVTColumn)) / LabSpeed,
    remainingTime, SUM(INDIRECT(""DVT_Laboratory!"" &amp; ADDRESS(LabLevel+3, DVTColumn) &amp; "":"" &amp; ADDRESS(MaxOrTarget+2, DVTColumn))) / LabSpeed,
  AK155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5" s="1249"/>
      <c r="AO155" s="1249"/>
      <c r="AP155" s="1249"/>
      <c r="AQ155" s="1249"/>
      <c r="AR155" s="1250" t="str">
        <f>IFERROR(__xludf.DUMMYFUNCTION("if(AQ155 &lt;&gt; """", 
  LET( 
    TargetLevel, VLOOKUP(AQ155,MS_Labs_Array,3,false),
    MaxLevel, VLOOKUP(AQ155,MS_Labs_Array,4,false),
    MaxOrTarget, IF(OR(TargetLevel = """",$AD$1 &lt;&gt; ""Target""), MaxLevel, TargetLevel),
    LabLevel, VLOOKUP(AQ155,MS_La"&amp;"bs_Array,2,False),
    Levelprogress, LabLevel / MaxOrTarget,
    DVTColumn, MATCH(AQ155,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5" s="1251" t="str">
        <f>IFERROR(__xludf.DUMMYFUNCTION("if(AQ155 &lt;&gt; """", 
  LET(
    TargetLevel, VLOOKUP(AQ155,MS_Labs_Array,3,false),
    LabSpeed, (1 * REGEXEXTRACT($BH$1, ""[\d.-]+"")) * {IF(AQ155 =""Labs Speed"", 1+'Master Sheet'!$BK$5, LAB_SPEED_TOTAL())},
    MaxLevel, VLOOKUP(AQ155,MS_Labs_Array,4,fal"&amp;"se),
    MaxOrTarget, IF(OR(TargetLevel = """",$AD$1 &lt;&gt; ""Target""), MaxLevel, TargetLevel),
    LabLevel, VLOOKUP(AQ155,MS_Labs_Array,2,False),
    DVTColumn, MATCH(AQ155, DVT_Laboratory!$A$1:BO$1, 0),
    xextTime, INDIRECT(""DVT_Laboratory!"" &amp; ADDRESS"&amp;"(LabLevel+3, DVTColumn)) / LabSpeed,
    remainingTime, SUM(INDIRECT(""DVT_Laboratory!"" &amp; ADDRESS(LabLevel+3, DVTColumn) &amp; "":"" &amp; ADDRESS(MaxOrTarget+2, DVTColumn))) / LabSpeed,
  AQ155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5" s="1249"/>
      <c r="AU155" s="1249"/>
      <c r="AV155" s="1249"/>
      <c r="AW155" s="1249"/>
      <c r="AX155" s="1250" t="str">
        <f>IFERROR(__xludf.DUMMYFUNCTION("if(AW155 &lt;&gt; """", 
  LET( 
    TargetLevel, VLOOKUP(AW155,MS_Labs_Array,3,false),
    MaxLevel, VLOOKUP(AW155,MS_Labs_Array,4,false),
    MaxOrTarget, IF(OR(TargetLevel = """",$AD$1 &lt;&gt; ""Target""), MaxLevel, TargetLevel),
    LabLevel, VLOOKUP(AW155,MS_La"&amp;"bs_Array,2,False),
    Levelprogress, LabLevel / MaxOrTarget,
    DVTColumn, MATCH(AW155,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5" s="1251" t="str">
        <f>IFERROR(__xludf.DUMMYFUNCTION("if(AW155 &lt;&gt; """", 
  LET(
    TargetLevel, VLOOKUP(AW155,MS_Labs_Array,3,false),
    LabSpeed, (1 * REGEXEXTRACT($BH$1, ""[\d.-]+"")) * {IF(AW155 =""Labs Speed"", 1+'Master Sheet'!$BK$5, LAB_SPEED_TOTAL())},
    MaxLevel, VLOOKUP(AW155,MS_Labs_Array,4,fal"&amp;"se),
    MaxOrTarget, IF(OR(TargetLevel = """",$AD$1 &lt;&gt; ""Target""), MaxLevel, TargetLevel),
    LabLevel, VLOOKUP(AW155,MS_Labs_Array,2,False),
    DVTColumn, MATCH(AW155, DVT_Laboratory!$A$1:BO$1, 0),
    xextTime, INDIRECT(""DVT_Laboratory!"" &amp; ADDRESS"&amp;"(LabLevel+3, DVTColumn)) / LabSpeed,
    remainingTime, SUM(INDIRECT(""DVT_Laboratory!"" &amp; ADDRESS(LabLevel+3, DVTColumn) &amp; "":"" &amp; ADDRESS(MaxOrTarget+2, DVTColumn))) / LabSpeed,
  AW155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5" s="1249"/>
      <c r="BA155" s="1249"/>
      <c r="BB155" s="1249"/>
      <c r="BC155" s="1249"/>
      <c r="BD155" s="1250" t="str">
        <f>IFERROR(__xludf.DUMMYFUNCTION("if(BC155 &lt;&gt; """", 
  LET( 
    TargetLevel, VLOOKUP(BC155,MS_Labs_Array,3,false),
    MaxLevel, VLOOKUP(BC155,MS_Labs_Array,4,false),
    MaxOrTarget, IF(OR(TargetLevel = """",$AD$1 &lt;&gt; ""Target""), MaxLevel, TargetLevel),
    LabLevel, VLOOKUP(BC155,MS_La"&amp;"bs_Array,2,False),
    Levelprogress, LabLevel / MaxOrTarget,
    DVTColumn, MATCH(BC155,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5" s="1251" t="str">
        <f>IFERROR(__xludf.DUMMYFUNCTION("if(BC155 &lt;&gt; """", 
  LET(
    TargetLevel, VLOOKUP(BC155,MS_Labs_Array,3,false),
    LabSpeed, (1 * REGEXEXTRACT($BH$1, ""[\d.-]+"")) * {IF(BC155 =""Labs Speed"", 1+'Master Sheet'!$BK$5, LAB_SPEED_TOTAL())},
    MaxLevel, VLOOKUP(BC155,MS_Labs_Array,4,fal"&amp;"se),
    MaxOrTarget, IF(OR(TargetLevel = """",$AD$1 &lt;&gt; ""Target""), MaxLevel, TargetLevel),
    LabLevel, VLOOKUP(BC155,MS_Labs_Array,2,False),
    DVTColumn, MATCH(BC155, DVT_Laboratory!$A$1:BO$1, 0),
    xextTime, INDIRECT(""DVT_Laboratory!"" &amp; ADDRESS"&amp;"(LabLevel+3, DVTColumn)) / LabSpeed,
    remainingTime, SUM(INDIRECT(""DVT_Laboratory!"" &amp; ADDRESS(LabLevel+3, DVTColumn) &amp; "":"" &amp; ADDRESS(MaxOrTarget+2, DVTColumn))) / LabSpeed,
  BC155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5" s="1249"/>
      <c r="BG155" s="1249"/>
      <c r="BH155" s="1260"/>
      <c r="BI155" s="1252"/>
      <c r="BJ155" s="1253" t="str">
        <f>IFERROR(__xludf.DUMMYFUNCTION("if(BI155 &lt;&gt; """", 
  LET( 
    TargetLevel, VLOOKUP(BI155,MS_Labs_Array,3,false),
    MaxLevel, VLOOKUP(BI155,MS_Labs_Array,4,false),
    MaxOrTarget, IF(OR(TargetLevel = """",$AD$1 &lt;&gt; ""Target""), MaxLevel, TargetLevel),
    LabLevel, VLOOKUP(BI155,MS_La"&amp;"bs_Array,2,False),
    Levelprogress, IF(LabLevel &gt;= MaxOrTarget, 1, LabLevel / MaxOrTarget),
    DVTColumn, MATCH(BI155,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5" s="1254" t="str">
        <f>IFERROR(__xludf.DUMMYFUNCTION("if(BI155 &lt;&gt; """", 
  LET(
    TargetLevel, VLOOKUP(BI155,MS_Labs_Array,3,false),
    LabSpeed, (1 * REGEXEXTRACT($BH$1, ""[\d.-]+"")) * {IF(BI155 =""Labs Speed"", 1+'Master Sheet'!$BK$5, LAB_SPEED_TOTAL())},
    MaxLevel, VLOOKUP(BI155,MS_Labs_Array,4,fal"&amp;"se),
    MaxOrTarget, IF(OR(TargetLevel = """",$AD$1 &lt;&gt; ""Target""), MaxLevel, TargetLevel),
    LabLevel, VLOOKUP(BI155,MS_Labs_Array,2,False),
    DVTColumn, MATCH(BI155, DVT_Laboratory!$A$1:BO$1, 0),
    xextTime, INDIRECT(""DVT_Laboratory!"" &amp; ADDRESS"&amp;"(LabLevel+3, DVTColumn)) / LabSpeed,
    remainingTime, SUM(INDIRECT(""DVT_Laboratory!"" &amp; ADDRESS(LabLevel+3, DVTColumn) &amp; "":"" &amp; ADDRESS(MaxOrTarget+2, DVTColumn))) / LabSpeed,
  BI155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5" s="1252"/>
      <c r="BM155" s="1252"/>
      <c r="BN155" s="1222"/>
      <c r="BO155" s="1261"/>
    </row>
    <row r="156" ht="7.5" customHeight="1">
      <c r="A156" s="1222"/>
      <c r="B156" s="1257"/>
      <c r="C156" s="1333" t="s">
        <v>224</v>
      </c>
      <c r="D156" s="1280" t="str">
        <f>VLOOKUP(C156,'Remote Tier List'!A:D, 2, FALSE)</f>
        <v>D</v>
      </c>
      <c r="E156" s="1281" t="str">
        <f>VLOOKUP(C156,'Remote Tier List'!A:D, 3, FALSE)</f>
        <v>B</v>
      </c>
      <c r="F156" s="1284" t="str">
        <f>VLOOKUP(C156,'Remote Tier List'!A:D, 4, FALSE)</f>
        <v>Useless until level 161+ when costs go into trillions and quadrillions. Retroactive</v>
      </c>
      <c r="G156" s="1245" t="b">
        <f t="shared" si="26"/>
        <v>1</v>
      </c>
      <c r="H156" s="1265" t="str">
        <f t="array" ref="H156:I156">LET(
  Lab, $C156,
  Mode, $AD$1,
  Level, VLOOKUP(Lab, MS_Labs_Array, 2, FALSE),
  Target, VLOOKUP(Lab, MS_Labs_Array, 3, FALSE),
  Max, VLOOKUP(Lab, MS_Labs_Array, 4, FALSE),
  Result,
    IF(
      AND(
        Mode &lt;&gt; "Never",
        Level &gt;= IF(OR(Target = "", Mode = "Max"), Max, Target)
      ),
      "Completed",
      ""
    ),
  HSTACK(
    IF(Result &lt;&gt; "", Result, $D156),
    IF(Result &lt;&gt; "", Result, IF($E156 = "", $D156, $E156))
  )
)</f>
        <v>D</v>
      </c>
      <c r="I156" s="1265" t="s">
        <v>546</v>
      </c>
      <c r="J156" s="1248" t="str">
        <f t="shared" si="27"/>
        <v>Useless until level 161+ when costs go into trillions and quadrillions. Retroactive</v>
      </c>
      <c r="K156" s="1229"/>
      <c r="L156" s="1249" t="str">
        <f>IFERROR(__xludf.DUMMYFUNCTION("""COMPUTED_VALUE"""),"")</f>
        <v/>
      </c>
      <c r="M156" s="1249"/>
      <c r="N156" s="1250" t="str">
        <f>IFERROR(__xludf.DUMMYFUNCTION("if(M156 &lt;&gt; """", 
  LET( 
    TargetLevel, VLOOKUP(M156,MS_Labs_Array,3,false),
    MaxLevel, VLOOKUP(M156,MS_Labs_Array,4,false),
    MaxOrTarget, IF(OR(TargetLevel = """",$AD$1 &lt;&gt; ""Target""), MaxLevel, TargetLevel),
    LabLevel, VLOOKUP(M156,MS_Labs_A"&amp;"rray,2,False),
    Levelprogress, LabLevel / MaxOrTarget,
    DVTColumn, MATCH(M156,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6" s="1251" t="str">
        <f>IFERROR(__xludf.DUMMYFUNCTION("if(M156 &lt;&gt; """", 
  LET(
    TargetLevel, VLOOKUP(M156,MS_Labs_Array,3,false),
    LabSpeed, (1 * REGEXEXTRACT($BH$1, ""[\d.-]+"")) * {IF(M156 =""Labs Speed"", 1+'Master Sheet'!$BK$5, LAB_SPEED_TOTAL())},
    MaxLevel, VLOOKUP(M156,MS_Labs_Array,4,false),"&amp;"
    MaxOrTarget, IF(OR(TargetLevel = """",$AD$1 &lt;&gt; ""Target""), MaxLevel, TargetLevel),
    LabLevel, VLOOKUP(M156,MS_Labs_Array,2,False),
    DVTColumn, MATCH(M156, DVT_Laboratory!$A$1:BO$1, 0),
    xextTime, INDIRECT(""DVT_Laboratory!"" &amp; ADDRESS(LabLe"&amp;"vel+3, DVTColumn)) / LabSpeed,
    remainingTime, SUM(INDIRECT(""DVT_Laboratory!"" &amp; ADDRESS(LabLevel+3, DVTColumn) &amp; "":"" &amp; ADDRESS(MaxOrTarget+2, DVTColumn))) / LabSpeed,
  M156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6" s="1249"/>
      <c r="Q156" s="1249" t="str">
        <f>IFERROR(__xludf.DUMMYFUNCTION("""COMPUTED_VALUE"""),"")</f>
        <v/>
      </c>
      <c r="R156" s="1249" t="str">
        <f>IFERROR(__xludf.DUMMYFUNCTION("""COMPUTED_VALUE"""),"")</f>
        <v/>
      </c>
      <c r="S156" s="1249"/>
      <c r="T156" s="1250" t="str">
        <f>IFERROR(__xludf.DUMMYFUNCTION("if(S156 &lt;&gt; """", 
  LET( 
    TargetLevel, VLOOKUP(S156,MS_Labs_Array,3,false),
    MaxLevel, VLOOKUP(S156,MS_Labs_Array,4,false),
    MaxOrTarget, IF(OR(TargetLevel = """",$AD$1 &lt;&gt; ""Target""), MaxLevel, TargetLevel),
    LabLevel, VLOOKUP(S156,MS_Labs_A"&amp;"rray,2,False),
    Levelprogress, LabLevel / MaxOrTarget,
    DVTColumn, MATCH(S156,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6" s="1251" t="str">
        <f>IFERROR(__xludf.DUMMYFUNCTION("if(S156 &lt;&gt; """", 
  LET(
    TargetLevel, VLOOKUP(S156,MS_Labs_Array,3,false),
    LabSpeed, (1 * REGEXEXTRACT($BH$1, ""[\d.-]+"")) * {IF(S156 =""Labs Speed"", 1+'Master Sheet'!$BK$5, LAB_SPEED_TOTAL())},
    MaxLevel, VLOOKUP(S156,MS_Labs_Array,4,false),"&amp;"
    MaxOrTarget, IF(OR(TargetLevel = """",$AD$1 &lt;&gt; ""Target""), MaxLevel, TargetLevel),
    LabLevel, VLOOKUP(S156,MS_Labs_Array,2,False),
    DVTColumn, MATCH(S156, DVT_Laboratory!$A$1:BO$1, 0),
    xextTime, INDIRECT(""DVT_Laboratory!"" &amp; ADDRESS(LabLe"&amp;"vel+3, DVTColumn)) / LabSpeed,
    remainingTime, SUM(INDIRECT(""DVT_Laboratory!"" &amp; ADDRESS(LabLevel+3, DVTColumn) &amp; "":"" &amp; ADDRESS(MaxOrTarget+2, DVTColumn))) / LabSpeed,
  S156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6" s="1249"/>
      <c r="W156" s="1249" t="str">
        <f>IFERROR(__xludf.DUMMYFUNCTION("""COMPUTED_VALUE"""),"")</f>
        <v/>
      </c>
      <c r="X156" s="1249" t="str">
        <f>IFERROR(__xludf.DUMMYFUNCTION("""COMPUTED_VALUE"""),"")</f>
        <v/>
      </c>
      <c r="Y156" s="1249"/>
      <c r="Z156" s="1250" t="str">
        <f>IFERROR(__xludf.DUMMYFUNCTION("if(Y156 &lt;&gt; """", 
  LET( 
    TargetLevel, VLOOKUP(Y156,MS_Labs_Array,3,false),
    MaxLevel, VLOOKUP(Y156,MS_Labs_Array,4,false),
    MaxOrTarget, IF(OR(TargetLevel = """",$AD$1 &lt;&gt; ""Target""), MaxLevel, TargetLevel),
    LabLevel, VLOOKUP(Y156,MS_Labs_A"&amp;"rray,2,False),
    Levelprogress, LabLevel / MaxOrTarget,
    DVTColumn, MATCH(Y156,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6" s="1251" t="str">
        <f>IFERROR(__xludf.DUMMYFUNCTION("if(Y156 &lt;&gt; """", 
  LET(
    TargetLevel, VLOOKUP(Y156,MS_Labs_Array,3,false),
    LabSpeed, (1 * REGEXEXTRACT($BH$1, ""[\d.-]+"")) * {IF(Y156 =""Labs Speed"", 1+'Master Sheet'!$BK$5, LAB_SPEED_TOTAL())},
    MaxLevel, VLOOKUP(Y156,MS_Labs_Array,4,false),"&amp;"
    MaxOrTarget, IF(OR(TargetLevel = """",$AD$1 &lt;&gt; ""Target""), MaxLevel, TargetLevel),
    LabLevel, VLOOKUP(Y156,MS_Labs_Array,2,False),
    DVTColumn, MATCH(Y156, DVT_Laboratory!$A$1:BO$1, 0),
    xextTime, INDIRECT(""DVT_Laboratory!"" &amp; ADDRESS(LabLe"&amp;"vel+3, DVTColumn)) / LabSpeed,
    remainingTime, SUM(INDIRECT(""DVT_Laboratory!"" &amp; ADDRESS(LabLevel+3, DVTColumn) &amp; "":"" &amp; ADDRESS(MaxOrTarget+2, DVTColumn))) / LabSpeed,
  Y156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6" s="1249"/>
      <c r="AC156" s="1249" t="str">
        <f>IFERROR(__xludf.DUMMYFUNCTION("""COMPUTED_VALUE"""),"")</f>
        <v/>
      </c>
      <c r="AD156" s="1249" t="str">
        <f>IFERROR(__xludf.DUMMYFUNCTION("""COMPUTED_VALUE"""),"")</f>
        <v/>
      </c>
      <c r="AE156" s="1249"/>
      <c r="AF156" s="1250" t="str">
        <f>IFERROR(__xludf.DUMMYFUNCTION("if(AE156 &lt;&gt; """", 
  LET( 
    TargetLevel, VLOOKUP(AE156,MS_Labs_Array,3,false),
    MaxLevel, VLOOKUP(AE156,MS_Labs_Array,4,false),
    MaxOrTarget, IF(OR(TargetLevel = """",$AD$1 &lt;&gt; ""Target""), MaxLevel, TargetLevel),
    LabLevel, VLOOKUP(AE156,MS_La"&amp;"bs_Array,2,False),
    Levelprogress, LabLevel / MaxOrTarget,
    DVTColumn, MATCH(AE156,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6" s="1251" t="str">
        <f>IFERROR(__xludf.DUMMYFUNCTION("if(AE156 &lt;&gt; """", 
  LET(
    TargetLevel, VLOOKUP(AE156,MS_Labs_Array,3,false),
    LabSpeed, (1 * REGEXEXTRACT($BH$1, ""[\d.-]+"")) * {IF(AE156 =""Labs Speed"", 1+'Master Sheet'!$BK$5, LAB_SPEED_TOTAL())},
    MaxLevel, VLOOKUP(AE156,MS_Labs_Array,4,fal"&amp;"se),
    MaxOrTarget, IF(OR(TargetLevel = """",$AD$1 &lt;&gt; ""Target""), MaxLevel, TargetLevel),
    LabLevel, VLOOKUP(AE156,MS_Labs_Array,2,False),
    DVTColumn, MATCH(AE156, DVT_Laboratory!$A$1:BO$1, 0),
    xextTime, INDIRECT(""DVT_Laboratory!"" &amp; ADDRESS"&amp;"(LabLevel+3, DVTColumn)) / LabSpeed,
    remainingTime, SUM(INDIRECT(""DVT_Laboratory!"" &amp; ADDRESS(LabLevel+3, DVTColumn) &amp; "":"" &amp; ADDRESS(MaxOrTarget+2, DVTColumn))) / LabSpeed,
  AE156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6" s="1249"/>
      <c r="AI156" s="1249" t="str">
        <f>IFERROR(__xludf.DUMMYFUNCTION("""COMPUTED_VALUE"""),"")</f>
        <v/>
      </c>
      <c r="AJ156" s="1249" t="str">
        <f>IFERROR(__xludf.DUMMYFUNCTION("""COMPUTED_VALUE"""),"")</f>
        <v/>
      </c>
      <c r="AK156" s="1249"/>
      <c r="AL156" s="1250" t="str">
        <f>IFERROR(__xludf.DUMMYFUNCTION("if(AK156 &lt;&gt; """", 
  LET( 
    TargetLevel, VLOOKUP(AK156,MS_Labs_Array,3,false),
    MaxLevel, VLOOKUP(AK156,MS_Labs_Array,4,false),
    MaxOrTarget, IF(OR(TargetLevel = """",$AD$1 &lt;&gt; ""Target""), MaxLevel, TargetLevel),
    LabLevel, VLOOKUP(AK156,MS_La"&amp;"bs_Array,2,False),
    Levelprogress, LabLevel / MaxOrTarget,
    DVTColumn, MATCH(AK156,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6" s="1251" t="str">
        <f>IFERROR(__xludf.DUMMYFUNCTION("if(AK156 &lt;&gt; """", 
  LET(
    TargetLevel, VLOOKUP(AK156,MS_Labs_Array,3,false),
    LabSpeed, (1 * REGEXEXTRACT($BH$1, ""[\d.-]+"")) * {IF(AK156 =""Labs Speed"", 1+'Master Sheet'!$BK$5, LAB_SPEED_TOTAL())},
    MaxLevel, VLOOKUP(AK156,MS_Labs_Array,4,fal"&amp;"se),
    MaxOrTarget, IF(OR(TargetLevel = """",$AD$1 &lt;&gt; ""Target""), MaxLevel, TargetLevel),
    LabLevel, VLOOKUP(AK156,MS_Labs_Array,2,False),
    DVTColumn, MATCH(AK156, DVT_Laboratory!$A$1:BO$1, 0),
    xextTime, INDIRECT(""DVT_Laboratory!"" &amp; ADDRESS"&amp;"(LabLevel+3, DVTColumn)) / LabSpeed,
    remainingTime, SUM(INDIRECT(""DVT_Laboratory!"" &amp; ADDRESS(LabLevel+3, DVTColumn) &amp; "":"" &amp; ADDRESS(MaxOrTarget+2, DVTColumn))) / LabSpeed,
  AK156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6" s="1249"/>
      <c r="AO156" s="1249" t="str">
        <f>IFERROR(__xludf.DUMMYFUNCTION("""COMPUTED_VALUE"""),"")</f>
        <v/>
      </c>
      <c r="AP156" s="1249" t="str">
        <f>IFERROR(__xludf.DUMMYFUNCTION("""COMPUTED_VALUE"""),"")</f>
        <v/>
      </c>
      <c r="AQ156" s="1249"/>
      <c r="AR156" s="1250" t="str">
        <f>IFERROR(__xludf.DUMMYFUNCTION("if(AQ156 &lt;&gt; """", 
  LET( 
    TargetLevel, VLOOKUP(AQ156,MS_Labs_Array,3,false),
    MaxLevel, VLOOKUP(AQ156,MS_Labs_Array,4,false),
    MaxOrTarget, IF(OR(TargetLevel = """",$AD$1 &lt;&gt; ""Target""), MaxLevel, TargetLevel),
    LabLevel, VLOOKUP(AQ156,MS_La"&amp;"bs_Array,2,False),
    Levelprogress, LabLevel / MaxOrTarget,
    DVTColumn, MATCH(AQ156,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6" s="1251" t="str">
        <f>IFERROR(__xludf.DUMMYFUNCTION("if(AQ156 &lt;&gt; """", 
  LET(
    TargetLevel, VLOOKUP(AQ156,MS_Labs_Array,3,false),
    LabSpeed, (1 * REGEXEXTRACT($BH$1, ""[\d.-]+"")) * {IF(AQ156 =""Labs Speed"", 1+'Master Sheet'!$BK$5, LAB_SPEED_TOTAL())},
    MaxLevel, VLOOKUP(AQ156,MS_Labs_Array,4,fal"&amp;"se),
    MaxOrTarget, IF(OR(TargetLevel = """",$AD$1 &lt;&gt; ""Target""), MaxLevel, TargetLevel),
    LabLevel, VLOOKUP(AQ156,MS_Labs_Array,2,False),
    DVTColumn, MATCH(AQ156, DVT_Laboratory!$A$1:BO$1, 0),
    xextTime, INDIRECT(""DVT_Laboratory!"" &amp; ADDRESS"&amp;"(LabLevel+3, DVTColumn)) / LabSpeed,
    remainingTime, SUM(INDIRECT(""DVT_Laboratory!"" &amp; ADDRESS(LabLevel+3, DVTColumn) &amp; "":"" &amp; ADDRESS(MaxOrTarget+2, DVTColumn))) / LabSpeed,
  AQ156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6" s="1249"/>
      <c r="AU156" s="1249" t="str">
        <f>IFERROR(__xludf.DUMMYFUNCTION("""COMPUTED_VALUE"""),"")</f>
        <v/>
      </c>
      <c r="AV156" s="1249" t="str">
        <f>IFERROR(__xludf.DUMMYFUNCTION("""COMPUTED_VALUE"""),"")</f>
        <v/>
      </c>
      <c r="AW156" s="1249"/>
      <c r="AX156" s="1250" t="str">
        <f>IFERROR(__xludf.DUMMYFUNCTION("if(AW156 &lt;&gt; """", 
  LET( 
    TargetLevel, VLOOKUP(AW156,MS_Labs_Array,3,false),
    MaxLevel, VLOOKUP(AW156,MS_Labs_Array,4,false),
    MaxOrTarget, IF(OR(TargetLevel = """",$AD$1 &lt;&gt; ""Target""), MaxLevel, TargetLevel),
    LabLevel, VLOOKUP(AW156,MS_La"&amp;"bs_Array,2,False),
    Levelprogress, LabLevel / MaxOrTarget,
    DVTColumn, MATCH(AW156,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6" s="1251" t="str">
        <f>IFERROR(__xludf.DUMMYFUNCTION("if(AW156 &lt;&gt; """", 
  LET(
    TargetLevel, VLOOKUP(AW156,MS_Labs_Array,3,false),
    LabSpeed, (1 * REGEXEXTRACT($BH$1, ""[\d.-]+"")) * {IF(AW156 =""Labs Speed"", 1+'Master Sheet'!$BK$5, LAB_SPEED_TOTAL())},
    MaxLevel, VLOOKUP(AW156,MS_Labs_Array,4,fal"&amp;"se),
    MaxOrTarget, IF(OR(TargetLevel = """",$AD$1 &lt;&gt; ""Target""), MaxLevel, TargetLevel),
    LabLevel, VLOOKUP(AW156,MS_Labs_Array,2,False),
    DVTColumn, MATCH(AW156, DVT_Laboratory!$A$1:BO$1, 0),
    xextTime, INDIRECT(""DVT_Laboratory!"" &amp; ADDRESS"&amp;"(LabLevel+3, DVTColumn)) / LabSpeed,
    remainingTime, SUM(INDIRECT(""DVT_Laboratory!"" &amp; ADDRESS(LabLevel+3, DVTColumn) &amp; "":"" &amp; ADDRESS(MaxOrTarget+2, DVTColumn))) / LabSpeed,
  AW156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6" s="1249"/>
      <c r="BA156" s="1249" t="str">
        <f>IFERROR(__xludf.DUMMYFUNCTION("""COMPUTED_VALUE"""),"")</f>
        <v/>
      </c>
      <c r="BB156" s="1249" t="str">
        <f>IFERROR(__xludf.DUMMYFUNCTION("""COMPUTED_VALUE"""),"")</f>
        <v/>
      </c>
      <c r="BC156" s="1249"/>
      <c r="BD156" s="1250" t="str">
        <f>IFERROR(__xludf.DUMMYFUNCTION("if(BC156 &lt;&gt; """", 
  LET( 
    TargetLevel, VLOOKUP(BC156,MS_Labs_Array,3,false),
    MaxLevel, VLOOKUP(BC156,MS_Labs_Array,4,false),
    MaxOrTarget, IF(OR(TargetLevel = """",$AD$1 &lt;&gt; ""Target""), MaxLevel, TargetLevel),
    LabLevel, VLOOKUP(BC156,MS_La"&amp;"bs_Array,2,False),
    Levelprogress, LabLevel / MaxOrTarget,
    DVTColumn, MATCH(BC156,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6" s="1251" t="str">
        <f>IFERROR(__xludf.DUMMYFUNCTION("if(BC156 &lt;&gt; """", 
  LET(
    TargetLevel, VLOOKUP(BC156,MS_Labs_Array,3,false),
    LabSpeed, (1 * REGEXEXTRACT($BH$1, ""[\d.-]+"")) * {IF(BC156 =""Labs Speed"", 1+'Master Sheet'!$BK$5, LAB_SPEED_TOTAL())},
    MaxLevel, VLOOKUP(BC156,MS_Labs_Array,4,fal"&amp;"se),
    MaxOrTarget, IF(OR(TargetLevel = """",$AD$1 &lt;&gt; ""Target""), MaxLevel, TargetLevel),
    LabLevel, VLOOKUP(BC156,MS_Labs_Array,2,False),
    DVTColumn, MATCH(BC156, DVT_Laboratory!$A$1:BO$1, 0),
    xextTime, INDIRECT(""DVT_Laboratory!"" &amp; ADDRESS"&amp;"(LabLevel+3, DVTColumn)) / LabSpeed,
    remainingTime, SUM(INDIRECT(""DVT_Laboratory!"" &amp; ADDRESS(LabLevel+3, DVTColumn) &amp; "":"" &amp; ADDRESS(MaxOrTarget+2, DVTColumn))) / LabSpeed,
  BC156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6" s="1249"/>
      <c r="BG156" s="1249" t="str">
        <f>IFERROR(__xludf.DUMMYFUNCTION("""COMPUTED_VALUE"""),"")</f>
        <v/>
      </c>
      <c r="BH156" s="1260" t="str">
        <f>IFERROR(__xludf.DUMMYFUNCTION("""COMPUTED_VALUE"""),"")</f>
        <v/>
      </c>
      <c r="BI156" s="1252"/>
      <c r="BJ156" s="1253" t="str">
        <f>IFERROR(__xludf.DUMMYFUNCTION("if(BI156 &lt;&gt; """", 
  LET( 
    TargetLevel, VLOOKUP(BI156,MS_Labs_Array,3,false),
    MaxLevel, VLOOKUP(BI156,MS_Labs_Array,4,false),
    MaxOrTarget, IF(OR(TargetLevel = """",$AD$1 &lt;&gt; ""Target""), MaxLevel, TargetLevel),
    LabLevel, VLOOKUP(BI156,MS_La"&amp;"bs_Array,2,False),
    Levelprogress, IF(LabLevel &gt;= MaxOrTarget, 1, LabLevel / MaxOrTarget),
    DVTColumn, MATCH(BI156,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6" s="1254" t="str">
        <f>IFERROR(__xludf.DUMMYFUNCTION("if(BI156 &lt;&gt; """", 
  LET(
    TargetLevel, VLOOKUP(BI156,MS_Labs_Array,3,false),
    LabSpeed, (1 * REGEXEXTRACT($BH$1, ""[\d.-]+"")) * {IF(BI156 =""Labs Speed"", 1+'Master Sheet'!$BK$5, LAB_SPEED_TOTAL())},
    MaxLevel, VLOOKUP(BI156,MS_Labs_Array,4,fal"&amp;"se),
    MaxOrTarget, IF(OR(TargetLevel = """",$AD$1 &lt;&gt; ""Target""), MaxLevel, TargetLevel),
    LabLevel, VLOOKUP(BI156,MS_Labs_Array,2,False),
    DVTColumn, MATCH(BI156, DVT_Laboratory!$A$1:BO$1, 0),
    xextTime, INDIRECT(""DVT_Laboratory!"" &amp; ADDRESS"&amp;"(LabLevel+3, DVTColumn)) / LabSpeed,
    remainingTime, SUM(INDIRECT(""DVT_Laboratory!"" &amp; ADDRESS(LabLevel+3, DVTColumn) &amp; "":"" &amp; ADDRESS(MaxOrTarget+2, DVTColumn))) / LabSpeed,
  BI156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6" s="1252"/>
      <c r="BM156" s="1252" t="str">
        <f>IFERROR(__xludf.DUMMYFUNCTION("""COMPUTED_VALUE"""),"")</f>
        <v/>
      </c>
      <c r="BN156" s="1222"/>
      <c r="BO156" s="1261"/>
    </row>
    <row r="157">
      <c r="A157" s="1222"/>
      <c r="B157" s="1257"/>
      <c r="C157" s="1333" t="s">
        <v>236</v>
      </c>
      <c r="D157" s="1280" t="str">
        <f>VLOOKUP(C157,'Remote Tier List'!A:D, 2, FALSE)</f>
        <v>S</v>
      </c>
      <c r="E157" s="1281" t="str">
        <f>VLOOKUP(C157,'Remote Tier List'!A:D, 3, FALSE)</f>
        <v/>
      </c>
      <c r="F157" s="1284" t="str">
        <f>VLOOKUP(C157,'Remote Tier List'!A:D, 4, FALSE)</f>
        <v>Very important long term for fodder and shard income. Each level brings a big increase in the drop rate </v>
      </c>
      <c r="G157" s="1245" t="b">
        <f t="shared" si="26"/>
        <v>1</v>
      </c>
      <c r="H157" s="1246" t="str">
        <f t="array" ref="H157:I157">LET(
  Lab, $C157,
  Mode, $AD$1,
  Level, VLOOKUP(Lab, MS_Labs_Array, 2, FALSE),
  Target, VLOOKUP(Lab, MS_Labs_Array, 3, FALSE),
  Max, VLOOKUP(Lab, MS_Labs_Array, 4, FALSE),
  Result,
    IF(
      AND(
        Mode &lt;&gt; "Never",
        Level &gt;= IF(OR(Target = "", Mode = "Max"), Max, Target)
      ),
      "Completed",
      ""
    ),
  HSTACK(
    IF(Result &lt;&gt; "", Result, $D157),
    IF(Result &lt;&gt; "", Result, IF($E157 = "", $D157, $E157))
  )
)</f>
        <v>Completed</v>
      </c>
      <c r="I157" s="1247" t="s">
        <v>551</v>
      </c>
      <c r="J157" s="1248" t="str">
        <f t="shared" si="27"/>
        <v>Very important long term for fodder and shard income. Each level brings a big increase in the drop rate </v>
      </c>
      <c r="K157" s="1229"/>
      <c r="L157" s="1249"/>
      <c r="M157" s="1249"/>
      <c r="N157" s="1250" t="str">
        <f>IFERROR(__xludf.DUMMYFUNCTION("if(M157 &lt;&gt; """", 
  LET( 
    TargetLevel, VLOOKUP(M157,MS_Labs_Array,3,false),
    MaxLevel, VLOOKUP(M157,MS_Labs_Array,4,false),
    MaxOrTarget, IF(OR(TargetLevel = """",$AD$1 &lt;&gt; ""Target""), MaxLevel, TargetLevel),
    LabLevel, VLOOKUP(M157,MS_Labs_A"&amp;"rray,2,False),
    Levelprogress, LabLevel / MaxOrTarget,
    DVTColumn, MATCH(M157,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7" s="1251" t="str">
        <f>IFERROR(__xludf.DUMMYFUNCTION("if(M157 &lt;&gt; """", 
  LET(
    TargetLevel, VLOOKUP(M157,MS_Labs_Array,3,false),
    LabSpeed, (1 * REGEXEXTRACT($BH$1, ""[\d.-]+"")) * {IF(M157 =""Labs Speed"", 1+'Master Sheet'!$BK$5, LAB_SPEED_TOTAL())},
    MaxLevel, VLOOKUP(M157,MS_Labs_Array,4,false),"&amp;"
    MaxOrTarget, IF(OR(TargetLevel = """",$AD$1 &lt;&gt; ""Target""), MaxLevel, TargetLevel),
    LabLevel, VLOOKUP(M157,MS_Labs_Array,2,False),
    DVTColumn, MATCH(M157, DVT_Laboratory!$A$1:BO$1, 0),
    xextTime, INDIRECT(""DVT_Laboratory!"" &amp; ADDRESS(LabLe"&amp;"vel+3, DVTColumn)) / LabSpeed,
    remainingTime, SUM(INDIRECT(""DVT_Laboratory!"" &amp; ADDRESS(LabLevel+3, DVTColumn) &amp; "":"" &amp; ADDRESS(MaxOrTarget+2, DVTColumn))) / LabSpeed,
  M157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7" s="1249"/>
      <c r="Q157" s="1249"/>
      <c r="R157" s="1249"/>
      <c r="S157" s="1249"/>
      <c r="T157" s="1250" t="str">
        <f>IFERROR(__xludf.DUMMYFUNCTION("if(S157 &lt;&gt; """", 
  LET( 
    TargetLevel, VLOOKUP(S157,MS_Labs_Array,3,false),
    MaxLevel, VLOOKUP(S157,MS_Labs_Array,4,false),
    MaxOrTarget, IF(OR(TargetLevel = """",$AD$1 &lt;&gt; ""Target""), MaxLevel, TargetLevel),
    LabLevel, VLOOKUP(S157,MS_Labs_A"&amp;"rray,2,False),
    Levelprogress, LabLevel / MaxOrTarget,
    DVTColumn, MATCH(S157,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7" s="1251" t="str">
        <f>IFERROR(__xludf.DUMMYFUNCTION("if(S157 &lt;&gt; """", 
  LET(
    TargetLevel, VLOOKUP(S157,MS_Labs_Array,3,false),
    LabSpeed, (1 * REGEXEXTRACT($BH$1, ""[\d.-]+"")) * {IF(S157 =""Labs Speed"", 1+'Master Sheet'!$BK$5, LAB_SPEED_TOTAL())},
    MaxLevel, VLOOKUP(S157,MS_Labs_Array,4,false),"&amp;"
    MaxOrTarget, IF(OR(TargetLevel = """",$AD$1 &lt;&gt; ""Target""), MaxLevel, TargetLevel),
    LabLevel, VLOOKUP(S157,MS_Labs_Array,2,False),
    DVTColumn, MATCH(S157, DVT_Laboratory!$A$1:BO$1, 0),
    xextTime, INDIRECT(""DVT_Laboratory!"" &amp; ADDRESS(LabLe"&amp;"vel+3, DVTColumn)) / LabSpeed,
    remainingTime, SUM(INDIRECT(""DVT_Laboratory!"" &amp; ADDRESS(LabLevel+3, DVTColumn) &amp; "":"" &amp; ADDRESS(MaxOrTarget+2, DVTColumn))) / LabSpeed,
  S157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7" s="1249"/>
      <c r="W157" s="1249"/>
      <c r="X157" s="1249"/>
      <c r="Y157" s="1249"/>
      <c r="Z157" s="1250" t="str">
        <f>IFERROR(__xludf.DUMMYFUNCTION("if(Y157 &lt;&gt; """", 
  LET( 
    TargetLevel, VLOOKUP(Y157,MS_Labs_Array,3,false),
    MaxLevel, VLOOKUP(Y157,MS_Labs_Array,4,false),
    MaxOrTarget, IF(OR(TargetLevel = """",$AD$1 &lt;&gt; ""Target""), MaxLevel, TargetLevel),
    LabLevel, VLOOKUP(Y157,MS_Labs_A"&amp;"rray,2,False),
    Levelprogress, LabLevel / MaxOrTarget,
    DVTColumn, MATCH(Y157,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7" s="1251" t="str">
        <f>IFERROR(__xludf.DUMMYFUNCTION("if(Y157 &lt;&gt; """", 
  LET(
    TargetLevel, VLOOKUP(Y157,MS_Labs_Array,3,false),
    LabSpeed, (1 * REGEXEXTRACT($BH$1, ""[\d.-]+"")) * {IF(Y157 =""Labs Speed"", 1+'Master Sheet'!$BK$5, LAB_SPEED_TOTAL())},
    MaxLevel, VLOOKUP(Y157,MS_Labs_Array,4,false),"&amp;"
    MaxOrTarget, IF(OR(TargetLevel = """",$AD$1 &lt;&gt; ""Target""), MaxLevel, TargetLevel),
    LabLevel, VLOOKUP(Y157,MS_Labs_Array,2,False),
    DVTColumn, MATCH(Y157, DVT_Laboratory!$A$1:BO$1, 0),
    xextTime, INDIRECT(""DVT_Laboratory!"" &amp; ADDRESS(LabLe"&amp;"vel+3, DVTColumn)) / LabSpeed,
    remainingTime, SUM(INDIRECT(""DVT_Laboratory!"" &amp; ADDRESS(LabLevel+3, DVTColumn) &amp; "":"" &amp; ADDRESS(MaxOrTarget+2, DVTColumn))) / LabSpeed,
  Y157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7" s="1249"/>
      <c r="AC157" s="1249"/>
      <c r="AD157" s="1249"/>
      <c r="AE157" s="1249"/>
      <c r="AF157" s="1250" t="str">
        <f>IFERROR(__xludf.DUMMYFUNCTION("if(AE157 &lt;&gt; """", 
  LET( 
    TargetLevel, VLOOKUP(AE157,MS_Labs_Array,3,false),
    MaxLevel, VLOOKUP(AE157,MS_Labs_Array,4,false),
    MaxOrTarget, IF(OR(TargetLevel = """",$AD$1 &lt;&gt; ""Target""), MaxLevel, TargetLevel),
    LabLevel, VLOOKUP(AE157,MS_La"&amp;"bs_Array,2,False),
    Levelprogress, LabLevel / MaxOrTarget,
    DVTColumn, MATCH(AE157,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7" s="1251" t="str">
        <f>IFERROR(__xludf.DUMMYFUNCTION("if(AE157 &lt;&gt; """", 
  LET(
    TargetLevel, VLOOKUP(AE157,MS_Labs_Array,3,false),
    LabSpeed, (1 * REGEXEXTRACT($BH$1, ""[\d.-]+"")) * {IF(AE157 =""Labs Speed"", 1+'Master Sheet'!$BK$5, LAB_SPEED_TOTAL())},
    MaxLevel, VLOOKUP(AE157,MS_Labs_Array,4,fal"&amp;"se),
    MaxOrTarget, IF(OR(TargetLevel = """",$AD$1 &lt;&gt; ""Target""), MaxLevel, TargetLevel),
    LabLevel, VLOOKUP(AE157,MS_Labs_Array,2,False),
    DVTColumn, MATCH(AE157, DVT_Laboratory!$A$1:BO$1, 0),
    xextTime, INDIRECT(""DVT_Laboratory!"" &amp; ADDRESS"&amp;"(LabLevel+3, DVTColumn)) / LabSpeed,
    remainingTime, SUM(INDIRECT(""DVT_Laboratory!"" &amp; ADDRESS(LabLevel+3, DVTColumn) &amp; "":"" &amp; ADDRESS(MaxOrTarget+2, DVTColumn))) / LabSpeed,
  AE157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7" s="1249"/>
      <c r="AI157" s="1249"/>
      <c r="AJ157" s="1249"/>
      <c r="AK157" s="1249"/>
      <c r="AL157" s="1250" t="str">
        <f>IFERROR(__xludf.DUMMYFUNCTION("if(AK157 &lt;&gt; """", 
  LET( 
    TargetLevel, VLOOKUP(AK157,MS_Labs_Array,3,false),
    MaxLevel, VLOOKUP(AK157,MS_Labs_Array,4,false),
    MaxOrTarget, IF(OR(TargetLevel = """",$AD$1 &lt;&gt; ""Target""), MaxLevel, TargetLevel),
    LabLevel, VLOOKUP(AK157,MS_La"&amp;"bs_Array,2,False),
    Levelprogress, LabLevel / MaxOrTarget,
    DVTColumn, MATCH(AK157,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7" s="1251" t="str">
        <f>IFERROR(__xludf.DUMMYFUNCTION("if(AK157 &lt;&gt; """", 
  LET(
    TargetLevel, VLOOKUP(AK157,MS_Labs_Array,3,false),
    LabSpeed, (1 * REGEXEXTRACT($BH$1, ""[\d.-]+"")) * {IF(AK157 =""Labs Speed"", 1+'Master Sheet'!$BK$5, LAB_SPEED_TOTAL())},
    MaxLevel, VLOOKUP(AK157,MS_Labs_Array,4,fal"&amp;"se),
    MaxOrTarget, IF(OR(TargetLevel = """",$AD$1 &lt;&gt; ""Target""), MaxLevel, TargetLevel),
    LabLevel, VLOOKUP(AK157,MS_Labs_Array,2,False),
    DVTColumn, MATCH(AK157, DVT_Laboratory!$A$1:BO$1, 0),
    xextTime, INDIRECT(""DVT_Laboratory!"" &amp; ADDRESS"&amp;"(LabLevel+3, DVTColumn)) / LabSpeed,
    remainingTime, SUM(INDIRECT(""DVT_Laboratory!"" &amp; ADDRESS(LabLevel+3, DVTColumn) &amp; "":"" &amp; ADDRESS(MaxOrTarget+2, DVTColumn))) / LabSpeed,
  AK157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7" s="1249"/>
      <c r="AO157" s="1249"/>
      <c r="AP157" s="1249"/>
      <c r="AQ157" s="1249"/>
      <c r="AR157" s="1250" t="str">
        <f>IFERROR(__xludf.DUMMYFUNCTION("if(AQ157 &lt;&gt; """", 
  LET( 
    TargetLevel, VLOOKUP(AQ157,MS_Labs_Array,3,false),
    MaxLevel, VLOOKUP(AQ157,MS_Labs_Array,4,false),
    MaxOrTarget, IF(OR(TargetLevel = """",$AD$1 &lt;&gt; ""Target""), MaxLevel, TargetLevel),
    LabLevel, VLOOKUP(AQ157,MS_La"&amp;"bs_Array,2,False),
    Levelprogress, LabLevel / MaxOrTarget,
    DVTColumn, MATCH(AQ157,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7" s="1251" t="str">
        <f>IFERROR(__xludf.DUMMYFUNCTION("if(AQ157 &lt;&gt; """", 
  LET(
    TargetLevel, VLOOKUP(AQ157,MS_Labs_Array,3,false),
    LabSpeed, (1 * REGEXEXTRACT($BH$1, ""[\d.-]+"")) * {IF(AQ157 =""Labs Speed"", 1+'Master Sheet'!$BK$5, LAB_SPEED_TOTAL())},
    MaxLevel, VLOOKUP(AQ157,MS_Labs_Array,4,fal"&amp;"se),
    MaxOrTarget, IF(OR(TargetLevel = """",$AD$1 &lt;&gt; ""Target""), MaxLevel, TargetLevel),
    LabLevel, VLOOKUP(AQ157,MS_Labs_Array,2,False),
    DVTColumn, MATCH(AQ157, DVT_Laboratory!$A$1:BO$1, 0),
    xextTime, INDIRECT(""DVT_Laboratory!"" &amp; ADDRESS"&amp;"(LabLevel+3, DVTColumn)) / LabSpeed,
    remainingTime, SUM(INDIRECT(""DVT_Laboratory!"" &amp; ADDRESS(LabLevel+3, DVTColumn) &amp; "":"" &amp; ADDRESS(MaxOrTarget+2, DVTColumn))) / LabSpeed,
  AQ157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7" s="1249"/>
      <c r="AU157" s="1249"/>
      <c r="AV157" s="1249"/>
      <c r="AW157" s="1249"/>
      <c r="AX157" s="1250" t="str">
        <f>IFERROR(__xludf.DUMMYFUNCTION("if(AW157 &lt;&gt; """", 
  LET( 
    TargetLevel, VLOOKUP(AW157,MS_Labs_Array,3,false),
    MaxLevel, VLOOKUP(AW157,MS_Labs_Array,4,false),
    MaxOrTarget, IF(OR(TargetLevel = """",$AD$1 &lt;&gt; ""Target""), MaxLevel, TargetLevel),
    LabLevel, VLOOKUP(AW157,MS_La"&amp;"bs_Array,2,False),
    Levelprogress, LabLevel / MaxOrTarget,
    DVTColumn, MATCH(AW157,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7" s="1251" t="str">
        <f>IFERROR(__xludf.DUMMYFUNCTION("if(AW157 &lt;&gt; """", 
  LET(
    TargetLevel, VLOOKUP(AW157,MS_Labs_Array,3,false),
    LabSpeed, (1 * REGEXEXTRACT($BH$1, ""[\d.-]+"")) * {IF(AW157 =""Labs Speed"", 1+'Master Sheet'!$BK$5, LAB_SPEED_TOTAL())},
    MaxLevel, VLOOKUP(AW157,MS_Labs_Array,4,fal"&amp;"se),
    MaxOrTarget, IF(OR(TargetLevel = """",$AD$1 &lt;&gt; ""Target""), MaxLevel, TargetLevel),
    LabLevel, VLOOKUP(AW157,MS_Labs_Array,2,False),
    DVTColumn, MATCH(AW157, DVT_Laboratory!$A$1:BO$1, 0),
    xextTime, INDIRECT(""DVT_Laboratory!"" &amp; ADDRESS"&amp;"(LabLevel+3, DVTColumn)) / LabSpeed,
    remainingTime, SUM(INDIRECT(""DVT_Laboratory!"" &amp; ADDRESS(LabLevel+3, DVTColumn) &amp; "":"" &amp; ADDRESS(MaxOrTarget+2, DVTColumn))) / LabSpeed,
  AW157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7" s="1249"/>
      <c r="BA157" s="1249"/>
      <c r="BB157" s="1249"/>
      <c r="BC157" s="1249"/>
      <c r="BD157" s="1250" t="str">
        <f>IFERROR(__xludf.DUMMYFUNCTION("if(BC157 &lt;&gt; """", 
  LET( 
    TargetLevel, VLOOKUP(BC157,MS_Labs_Array,3,false),
    MaxLevel, VLOOKUP(BC157,MS_Labs_Array,4,false),
    MaxOrTarget, IF(OR(TargetLevel = """",$AD$1 &lt;&gt; ""Target""), MaxLevel, TargetLevel),
    LabLevel, VLOOKUP(BC157,MS_La"&amp;"bs_Array,2,False),
    Levelprogress, LabLevel / MaxOrTarget,
    DVTColumn, MATCH(BC157,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7" s="1251" t="str">
        <f>IFERROR(__xludf.DUMMYFUNCTION("if(BC157 &lt;&gt; """", 
  LET(
    TargetLevel, VLOOKUP(BC157,MS_Labs_Array,3,false),
    LabSpeed, (1 * REGEXEXTRACT($BH$1, ""[\d.-]+"")) * {IF(BC157 =""Labs Speed"", 1+'Master Sheet'!$BK$5, LAB_SPEED_TOTAL())},
    MaxLevel, VLOOKUP(BC157,MS_Labs_Array,4,fal"&amp;"se),
    MaxOrTarget, IF(OR(TargetLevel = """",$AD$1 &lt;&gt; ""Target""), MaxLevel, TargetLevel),
    LabLevel, VLOOKUP(BC157,MS_Labs_Array,2,False),
    DVTColumn, MATCH(BC157, DVT_Laboratory!$A$1:BO$1, 0),
    xextTime, INDIRECT(""DVT_Laboratory!"" &amp; ADDRESS"&amp;"(LabLevel+3, DVTColumn)) / LabSpeed,
    remainingTime, SUM(INDIRECT(""DVT_Laboratory!"" &amp; ADDRESS(LabLevel+3, DVTColumn) &amp; "":"" &amp; ADDRESS(MaxOrTarget+2, DVTColumn))) / LabSpeed,
  BC157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7" s="1249"/>
      <c r="BG157" s="1249"/>
      <c r="BH157" s="1260"/>
      <c r="BI157" s="1252"/>
      <c r="BJ157" s="1253" t="str">
        <f>IFERROR(__xludf.DUMMYFUNCTION("if(BI157 &lt;&gt; """", 
  LET( 
    TargetLevel, VLOOKUP(BI157,MS_Labs_Array,3,false),
    MaxLevel, VLOOKUP(BI157,MS_Labs_Array,4,false),
    MaxOrTarget, IF(OR(TargetLevel = """",$AD$1 &lt;&gt; ""Target""), MaxLevel, TargetLevel),
    LabLevel, VLOOKUP(BI157,MS_La"&amp;"bs_Array,2,False),
    Levelprogress, IF(LabLevel &gt;= MaxOrTarget, 1, LabLevel / MaxOrTarget),
    DVTColumn, MATCH(BI157,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7" s="1254" t="str">
        <f>IFERROR(__xludf.DUMMYFUNCTION("if(BI157 &lt;&gt; """", 
  LET(
    TargetLevel, VLOOKUP(BI157,MS_Labs_Array,3,false),
    LabSpeed, (1 * REGEXEXTRACT($BH$1, ""[\d.-]+"")) * {IF(BI157 =""Labs Speed"", 1+'Master Sheet'!$BK$5, LAB_SPEED_TOTAL())},
    MaxLevel, VLOOKUP(BI157,MS_Labs_Array,4,fal"&amp;"se),
    MaxOrTarget, IF(OR(TargetLevel = """",$AD$1 &lt;&gt; ""Target""), MaxLevel, TargetLevel),
    LabLevel, VLOOKUP(BI157,MS_Labs_Array,2,False),
    DVTColumn, MATCH(BI157, DVT_Laboratory!$A$1:BO$1, 0),
    xextTime, INDIRECT(""DVT_Laboratory!"" &amp; ADDRESS"&amp;"(LabLevel+3, DVTColumn)) / LabSpeed,
    remainingTime, SUM(INDIRECT(""DVT_Laboratory!"" &amp; ADDRESS(LabLevel+3, DVTColumn) &amp; "":"" &amp; ADDRESS(MaxOrTarget+2, DVTColumn))) / LabSpeed,
  BI157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7" s="1252"/>
      <c r="BM157" s="1252"/>
      <c r="BN157" s="1222"/>
      <c r="BO157" s="1261"/>
    </row>
    <row r="158" ht="7.5" customHeight="1">
      <c r="A158" s="1222"/>
      <c r="B158" s="1262" t="s">
        <v>562</v>
      </c>
      <c r="C158" s="1333" t="s">
        <v>247</v>
      </c>
      <c r="D158" s="1280" t="str">
        <f>VLOOKUP(C158,'Remote Tier List'!A:D, 2, FALSE)</f>
        <v>QOL</v>
      </c>
      <c r="E158" s="1281" t="str">
        <f>VLOOKUP(C158,'Remote Tier List'!A:D, 3, FALSE)</f>
        <v/>
      </c>
      <c r="F158" s="1284" t="str">
        <f>VLOOKUP(C158,'Remote Tier List'!A:D, 4, FALSE)</f>
        <v>Costs 20 gems per unmerge. Shatters fodder on use. Can be used for hoarding modules past inventory limit for Shatter Shards</v>
      </c>
      <c r="G158" s="1245" t="b">
        <f t="shared" si="26"/>
        <v>1</v>
      </c>
      <c r="H158" s="1246" t="str">
        <f t="array" ref="H158:I158">LET(
  Lab, $C158,
  Mode, $AD$1,
  Level, VLOOKUP(Lab, MS_Labs_Array, 2, FALSE),
  Target, VLOOKUP(Lab, MS_Labs_Array, 3, FALSE),
  Max, VLOOKUP(Lab, MS_Labs_Array, 4, FALSE),
  Result,
    IF(
      AND(
        Mode &lt;&gt; "Never",
        Level &gt;= IF(OR(Target = "", Mode = "Max"), Max, Target)
      ),
      "Completed",
      ""
    ),
  HSTACK(
    IF(Result &lt;&gt; "", Result, $D158),
    IF(Result &lt;&gt; "", Result, IF($E158 = "", $D158, $E158))
  )
)</f>
        <v>Completed</v>
      </c>
      <c r="I158" s="1247" t="s">
        <v>551</v>
      </c>
      <c r="J158" s="1248" t="str">
        <f t="shared" si="27"/>
        <v>Costs 20 gems per unmerge. Shatters fodder on use. Can be used for hoarding modules past inventory limit for Shatter Shards</v>
      </c>
      <c r="K158" s="1229"/>
      <c r="L158" s="1249" t="str">
        <f>IFERROR(__xludf.DUMMYFUNCTION("""COMPUTED_VALUE"""),"")</f>
        <v/>
      </c>
      <c r="M158" s="1249"/>
      <c r="N158" s="1250" t="str">
        <f>IFERROR(__xludf.DUMMYFUNCTION("if(M158 &lt;&gt; """", 
  LET( 
    TargetLevel, VLOOKUP(M158,MS_Labs_Array,3,false),
    MaxLevel, VLOOKUP(M158,MS_Labs_Array,4,false),
    MaxOrTarget, IF(OR(TargetLevel = """",$AD$1 &lt;&gt; ""Target""), MaxLevel, TargetLevel),
    LabLevel, VLOOKUP(M158,MS_Labs_A"&amp;"rray,2,False),
    Levelprogress, LabLevel / MaxOrTarget,
    DVTColumn, MATCH(M158,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8" s="1251" t="str">
        <f>IFERROR(__xludf.DUMMYFUNCTION("if(M158 &lt;&gt; """", 
  LET(
    TargetLevel, VLOOKUP(M158,MS_Labs_Array,3,false),
    LabSpeed, (1 * REGEXEXTRACT($BH$1, ""[\d.-]+"")) * {IF(M158 =""Labs Speed"", 1+'Master Sheet'!$BK$5, LAB_SPEED_TOTAL())},
    MaxLevel, VLOOKUP(M158,MS_Labs_Array,4,false),"&amp;"
    MaxOrTarget, IF(OR(TargetLevel = """",$AD$1 &lt;&gt; ""Target""), MaxLevel, TargetLevel),
    LabLevel, VLOOKUP(M158,MS_Labs_Array,2,False),
    DVTColumn, MATCH(M158, DVT_Laboratory!$A$1:BO$1, 0),
    xextTime, INDIRECT(""DVT_Laboratory!"" &amp; ADDRESS(LabLe"&amp;"vel+3, DVTColumn)) / LabSpeed,
    remainingTime, SUM(INDIRECT(""DVT_Laboratory!"" &amp; ADDRESS(LabLevel+3, DVTColumn) &amp; "":"" &amp; ADDRESS(MaxOrTarget+2, DVTColumn))) / LabSpeed,
  M158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8" s="1249"/>
      <c r="Q158" s="1249" t="str">
        <f>IFERROR(__xludf.DUMMYFUNCTION("""COMPUTED_VALUE"""),"")</f>
        <v/>
      </c>
      <c r="R158" s="1249" t="str">
        <f>IFERROR(__xludf.DUMMYFUNCTION("""COMPUTED_VALUE"""),"")</f>
        <v/>
      </c>
      <c r="S158" s="1249"/>
      <c r="T158" s="1250" t="str">
        <f>IFERROR(__xludf.DUMMYFUNCTION("if(S158 &lt;&gt; """", 
  LET( 
    TargetLevel, VLOOKUP(S158,MS_Labs_Array,3,false),
    MaxLevel, VLOOKUP(S158,MS_Labs_Array,4,false),
    MaxOrTarget, IF(OR(TargetLevel = """",$AD$1 &lt;&gt; ""Target""), MaxLevel, TargetLevel),
    LabLevel, VLOOKUP(S158,MS_Labs_A"&amp;"rray,2,False),
    Levelprogress, LabLevel / MaxOrTarget,
    DVTColumn, MATCH(S158,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8" s="1251" t="str">
        <f>IFERROR(__xludf.DUMMYFUNCTION("if(S158 &lt;&gt; """", 
  LET(
    TargetLevel, VLOOKUP(S158,MS_Labs_Array,3,false),
    LabSpeed, (1 * REGEXEXTRACT($BH$1, ""[\d.-]+"")) * {IF(S158 =""Labs Speed"", 1+'Master Sheet'!$BK$5, LAB_SPEED_TOTAL())},
    MaxLevel, VLOOKUP(S158,MS_Labs_Array,4,false),"&amp;"
    MaxOrTarget, IF(OR(TargetLevel = """",$AD$1 &lt;&gt; ""Target""), MaxLevel, TargetLevel),
    LabLevel, VLOOKUP(S158,MS_Labs_Array,2,False),
    DVTColumn, MATCH(S158, DVT_Laboratory!$A$1:BO$1, 0),
    xextTime, INDIRECT(""DVT_Laboratory!"" &amp; ADDRESS(LabLe"&amp;"vel+3, DVTColumn)) / LabSpeed,
    remainingTime, SUM(INDIRECT(""DVT_Laboratory!"" &amp; ADDRESS(LabLevel+3, DVTColumn) &amp; "":"" &amp; ADDRESS(MaxOrTarget+2, DVTColumn))) / LabSpeed,
  S158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8" s="1249"/>
      <c r="W158" s="1249" t="str">
        <f>IFERROR(__xludf.DUMMYFUNCTION("""COMPUTED_VALUE"""),"")</f>
        <v/>
      </c>
      <c r="X158" s="1249" t="str">
        <f>IFERROR(__xludf.DUMMYFUNCTION("""COMPUTED_VALUE"""),"")</f>
        <v/>
      </c>
      <c r="Y158" s="1249"/>
      <c r="Z158" s="1250" t="str">
        <f>IFERROR(__xludf.DUMMYFUNCTION("if(Y158 &lt;&gt; """", 
  LET( 
    TargetLevel, VLOOKUP(Y158,MS_Labs_Array,3,false),
    MaxLevel, VLOOKUP(Y158,MS_Labs_Array,4,false),
    MaxOrTarget, IF(OR(TargetLevel = """",$AD$1 &lt;&gt; ""Target""), MaxLevel, TargetLevel),
    LabLevel, VLOOKUP(Y158,MS_Labs_A"&amp;"rray,2,False),
    Levelprogress, LabLevel / MaxOrTarget,
    DVTColumn, MATCH(Y158,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8" s="1251" t="str">
        <f>IFERROR(__xludf.DUMMYFUNCTION("if(Y158 &lt;&gt; """", 
  LET(
    TargetLevel, VLOOKUP(Y158,MS_Labs_Array,3,false),
    LabSpeed, (1 * REGEXEXTRACT($BH$1, ""[\d.-]+"")) * {IF(Y158 =""Labs Speed"", 1+'Master Sheet'!$BK$5, LAB_SPEED_TOTAL())},
    MaxLevel, VLOOKUP(Y158,MS_Labs_Array,4,false),"&amp;"
    MaxOrTarget, IF(OR(TargetLevel = """",$AD$1 &lt;&gt; ""Target""), MaxLevel, TargetLevel),
    LabLevel, VLOOKUP(Y158,MS_Labs_Array,2,False),
    DVTColumn, MATCH(Y158, DVT_Laboratory!$A$1:BO$1, 0),
    xextTime, INDIRECT(""DVT_Laboratory!"" &amp; ADDRESS(LabLe"&amp;"vel+3, DVTColumn)) / LabSpeed,
    remainingTime, SUM(INDIRECT(""DVT_Laboratory!"" &amp; ADDRESS(LabLevel+3, DVTColumn) &amp; "":"" &amp; ADDRESS(MaxOrTarget+2, DVTColumn))) / LabSpeed,
  Y158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8" s="1249"/>
      <c r="AC158" s="1249" t="str">
        <f>IFERROR(__xludf.DUMMYFUNCTION("""COMPUTED_VALUE"""),"")</f>
        <v/>
      </c>
      <c r="AD158" s="1249" t="str">
        <f>IFERROR(__xludf.DUMMYFUNCTION("""COMPUTED_VALUE"""),"")</f>
        <v/>
      </c>
      <c r="AE158" s="1249"/>
      <c r="AF158" s="1250" t="str">
        <f>IFERROR(__xludf.DUMMYFUNCTION("if(AE158 &lt;&gt; """", 
  LET( 
    TargetLevel, VLOOKUP(AE158,MS_Labs_Array,3,false),
    MaxLevel, VLOOKUP(AE158,MS_Labs_Array,4,false),
    MaxOrTarget, IF(OR(TargetLevel = """",$AD$1 &lt;&gt; ""Target""), MaxLevel, TargetLevel),
    LabLevel, VLOOKUP(AE158,MS_La"&amp;"bs_Array,2,False),
    Levelprogress, LabLevel / MaxOrTarget,
    DVTColumn, MATCH(AE158,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8" s="1251" t="str">
        <f>IFERROR(__xludf.DUMMYFUNCTION("if(AE158 &lt;&gt; """", 
  LET(
    TargetLevel, VLOOKUP(AE158,MS_Labs_Array,3,false),
    LabSpeed, (1 * REGEXEXTRACT($BH$1, ""[\d.-]+"")) * {IF(AE158 =""Labs Speed"", 1+'Master Sheet'!$BK$5, LAB_SPEED_TOTAL())},
    MaxLevel, VLOOKUP(AE158,MS_Labs_Array,4,fal"&amp;"se),
    MaxOrTarget, IF(OR(TargetLevel = """",$AD$1 &lt;&gt; ""Target""), MaxLevel, TargetLevel),
    LabLevel, VLOOKUP(AE158,MS_Labs_Array,2,False),
    DVTColumn, MATCH(AE158, DVT_Laboratory!$A$1:BO$1, 0),
    xextTime, INDIRECT(""DVT_Laboratory!"" &amp; ADDRESS"&amp;"(LabLevel+3, DVTColumn)) / LabSpeed,
    remainingTime, SUM(INDIRECT(""DVT_Laboratory!"" &amp; ADDRESS(LabLevel+3, DVTColumn) &amp; "":"" &amp; ADDRESS(MaxOrTarget+2, DVTColumn))) / LabSpeed,
  AE158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8" s="1249"/>
      <c r="AI158" s="1249" t="str">
        <f>IFERROR(__xludf.DUMMYFUNCTION("""COMPUTED_VALUE"""),"")</f>
        <v/>
      </c>
      <c r="AJ158" s="1249" t="str">
        <f>IFERROR(__xludf.DUMMYFUNCTION("""COMPUTED_VALUE"""),"")</f>
        <v/>
      </c>
      <c r="AK158" s="1249"/>
      <c r="AL158" s="1250" t="str">
        <f>IFERROR(__xludf.DUMMYFUNCTION("if(AK158 &lt;&gt; """", 
  LET( 
    TargetLevel, VLOOKUP(AK158,MS_Labs_Array,3,false),
    MaxLevel, VLOOKUP(AK158,MS_Labs_Array,4,false),
    MaxOrTarget, IF(OR(TargetLevel = """",$AD$1 &lt;&gt; ""Target""), MaxLevel, TargetLevel),
    LabLevel, VLOOKUP(AK158,MS_La"&amp;"bs_Array,2,False),
    Levelprogress, LabLevel / MaxOrTarget,
    DVTColumn, MATCH(AK158,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8" s="1251" t="str">
        <f>IFERROR(__xludf.DUMMYFUNCTION("if(AK158 &lt;&gt; """", 
  LET(
    TargetLevel, VLOOKUP(AK158,MS_Labs_Array,3,false),
    LabSpeed, (1 * REGEXEXTRACT($BH$1, ""[\d.-]+"")) * {IF(AK158 =""Labs Speed"", 1+'Master Sheet'!$BK$5, LAB_SPEED_TOTAL())},
    MaxLevel, VLOOKUP(AK158,MS_Labs_Array,4,fal"&amp;"se),
    MaxOrTarget, IF(OR(TargetLevel = """",$AD$1 &lt;&gt; ""Target""), MaxLevel, TargetLevel),
    LabLevel, VLOOKUP(AK158,MS_Labs_Array,2,False),
    DVTColumn, MATCH(AK158, DVT_Laboratory!$A$1:BO$1, 0),
    xextTime, INDIRECT(""DVT_Laboratory!"" &amp; ADDRESS"&amp;"(LabLevel+3, DVTColumn)) / LabSpeed,
    remainingTime, SUM(INDIRECT(""DVT_Laboratory!"" &amp; ADDRESS(LabLevel+3, DVTColumn) &amp; "":"" &amp; ADDRESS(MaxOrTarget+2, DVTColumn))) / LabSpeed,
  AK158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8" s="1249"/>
      <c r="AO158" s="1249" t="str">
        <f>IFERROR(__xludf.DUMMYFUNCTION("""COMPUTED_VALUE"""),"")</f>
        <v/>
      </c>
      <c r="AP158" s="1249" t="str">
        <f>IFERROR(__xludf.DUMMYFUNCTION("""COMPUTED_VALUE"""),"")</f>
        <v/>
      </c>
      <c r="AQ158" s="1249"/>
      <c r="AR158" s="1250" t="str">
        <f>IFERROR(__xludf.DUMMYFUNCTION("if(AQ158 &lt;&gt; """", 
  LET( 
    TargetLevel, VLOOKUP(AQ158,MS_Labs_Array,3,false),
    MaxLevel, VLOOKUP(AQ158,MS_Labs_Array,4,false),
    MaxOrTarget, IF(OR(TargetLevel = """",$AD$1 &lt;&gt; ""Target""), MaxLevel, TargetLevel),
    LabLevel, VLOOKUP(AQ158,MS_La"&amp;"bs_Array,2,False),
    Levelprogress, LabLevel / MaxOrTarget,
    DVTColumn, MATCH(AQ158,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8" s="1251" t="str">
        <f>IFERROR(__xludf.DUMMYFUNCTION("if(AQ158 &lt;&gt; """", 
  LET(
    TargetLevel, VLOOKUP(AQ158,MS_Labs_Array,3,false),
    LabSpeed, (1 * REGEXEXTRACT($BH$1, ""[\d.-]+"")) * {IF(AQ158 =""Labs Speed"", 1+'Master Sheet'!$BK$5, LAB_SPEED_TOTAL())},
    MaxLevel, VLOOKUP(AQ158,MS_Labs_Array,4,fal"&amp;"se),
    MaxOrTarget, IF(OR(TargetLevel = """",$AD$1 &lt;&gt; ""Target""), MaxLevel, TargetLevel),
    LabLevel, VLOOKUP(AQ158,MS_Labs_Array,2,False),
    DVTColumn, MATCH(AQ158, DVT_Laboratory!$A$1:BO$1, 0),
    xextTime, INDIRECT(""DVT_Laboratory!"" &amp; ADDRESS"&amp;"(LabLevel+3, DVTColumn)) / LabSpeed,
    remainingTime, SUM(INDIRECT(""DVT_Laboratory!"" &amp; ADDRESS(LabLevel+3, DVTColumn) &amp; "":"" &amp; ADDRESS(MaxOrTarget+2, DVTColumn))) / LabSpeed,
  AQ158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8" s="1249"/>
      <c r="AU158" s="1249" t="str">
        <f>IFERROR(__xludf.DUMMYFUNCTION("""COMPUTED_VALUE"""),"")</f>
        <v/>
      </c>
      <c r="AV158" s="1249" t="str">
        <f>IFERROR(__xludf.DUMMYFUNCTION("""COMPUTED_VALUE"""),"")</f>
        <v/>
      </c>
      <c r="AW158" s="1249"/>
      <c r="AX158" s="1250" t="str">
        <f>IFERROR(__xludf.DUMMYFUNCTION("if(AW158 &lt;&gt; """", 
  LET( 
    TargetLevel, VLOOKUP(AW158,MS_Labs_Array,3,false),
    MaxLevel, VLOOKUP(AW158,MS_Labs_Array,4,false),
    MaxOrTarget, IF(OR(TargetLevel = """",$AD$1 &lt;&gt; ""Target""), MaxLevel, TargetLevel),
    LabLevel, VLOOKUP(AW158,MS_La"&amp;"bs_Array,2,False),
    Levelprogress, LabLevel / MaxOrTarget,
    DVTColumn, MATCH(AW158,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8" s="1251" t="str">
        <f>IFERROR(__xludf.DUMMYFUNCTION("if(AW158 &lt;&gt; """", 
  LET(
    TargetLevel, VLOOKUP(AW158,MS_Labs_Array,3,false),
    LabSpeed, (1 * REGEXEXTRACT($BH$1, ""[\d.-]+"")) * {IF(AW158 =""Labs Speed"", 1+'Master Sheet'!$BK$5, LAB_SPEED_TOTAL())},
    MaxLevel, VLOOKUP(AW158,MS_Labs_Array,4,fal"&amp;"se),
    MaxOrTarget, IF(OR(TargetLevel = """",$AD$1 &lt;&gt; ""Target""), MaxLevel, TargetLevel),
    LabLevel, VLOOKUP(AW158,MS_Labs_Array,2,False),
    DVTColumn, MATCH(AW158, DVT_Laboratory!$A$1:BO$1, 0),
    xextTime, INDIRECT(""DVT_Laboratory!"" &amp; ADDRESS"&amp;"(LabLevel+3, DVTColumn)) / LabSpeed,
    remainingTime, SUM(INDIRECT(""DVT_Laboratory!"" &amp; ADDRESS(LabLevel+3, DVTColumn) &amp; "":"" &amp; ADDRESS(MaxOrTarget+2, DVTColumn))) / LabSpeed,
  AW158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8" s="1249"/>
      <c r="BA158" s="1249" t="str">
        <f>IFERROR(__xludf.DUMMYFUNCTION("""COMPUTED_VALUE"""),"")</f>
        <v/>
      </c>
      <c r="BB158" s="1249" t="str">
        <f>IFERROR(__xludf.DUMMYFUNCTION("""COMPUTED_VALUE"""),"")</f>
        <v/>
      </c>
      <c r="BC158" s="1249"/>
      <c r="BD158" s="1250" t="str">
        <f>IFERROR(__xludf.DUMMYFUNCTION("if(BC158 &lt;&gt; """", 
  LET( 
    TargetLevel, VLOOKUP(BC158,MS_Labs_Array,3,false),
    MaxLevel, VLOOKUP(BC158,MS_Labs_Array,4,false),
    MaxOrTarget, IF(OR(TargetLevel = """",$AD$1 &lt;&gt; ""Target""), MaxLevel, TargetLevel),
    LabLevel, VLOOKUP(BC158,MS_La"&amp;"bs_Array,2,False),
    Levelprogress, LabLevel / MaxOrTarget,
    DVTColumn, MATCH(BC158,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8" s="1251" t="str">
        <f>IFERROR(__xludf.DUMMYFUNCTION("if(BC158 &lt;&gt; """", 
  LET(
    TargetLevel, VLOOKUP(BC158,MS_Labs_Array,3,false),
    LabSpeed, (1 * REGEXEXTRACT($BH$1, ""[\d.-]+"")) * {IF(BC158 =""Labs Speed"", 1+'Master Sheet'!$BK$5, LAB_SPEED_TOTAL())},
    MaxLevel, VLOOKUP(BC158,MS_Labs_Array,4,fal"&amp;"se),
    MaxOrTarget, IF(OR(TargetLevel = """",$AD$1 &lt;&gt; ""Target""), MaxLevel, TargetLevel),
    LabLevel, VLOOKUP(BC158,MS_Labs_Array,2,False),
    DVTColumn, MATCH(BC158, DVT_Laboratory!$A$1:BO$1, 0),
    xextTime, INDIRECT(""DVT_Laboratory!"" &amp; ADDRESS"&amp;"(LabLevel+3, DVTColumn)) / LabSpeed,
    remainingTime, SUM(INDIRECT(""DVT_Laboratory!"" &amp; ADDRESS(LabLevel+3, DVTColumn) &amp; "":"" &amp; ADDRESS(MaxOrTarget+2, DVTColumn))) / LabSpeed,
  BC158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8" s="1249"/>
      <c r="BG158" s="1249" t="str">
        <f>IFERROR(__xludf.DUMMYFUNCTION("""COMPUTED_VALUE"""),"")</f>
        <v/>
      </c>
      <c r="BH158" s="1260" t="str">
        <f>IFERROR(__xludf.DUMMYFUNCTION("""COMPUTED_VALUE"""),"")</f>
        <v/>
      </c>
      <c r="BI158" s="1252"/>
      <c r="BJ158" s="1253" t="str">
        <f>IFERROR(__xludf.DUMMYFUNCTION("if(BI158 &lt;&gt; """", 
  LET( 
    TargetLevel, VLOOKUP(BI158,MS_Labs_Array,3,false),
    MaxLevel, VLOOKUP(BI158,MS_Labs_Array,4,false),
    MaxOrTarget, IF(OR(TargetLevel = """",$AD$1 &lt;&gt; ""Target""), MaxLevel, TargetLevel),
    LabLevel, VLOOKUP(BI158,MS_La"&amp;"bs_Array,2,False),
    Levelprogress, IF(LabLevel &gt;= MaxOrTarget, 1, LabLevel / MaxOrTarget),
    DVTColumn, MATCH(BI158,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8" s="1254" t="str">
        <f>IFERROR(__xludf.DUMMYFUNCTION("if(BI158 &lt;&gt; """", 
  LET(
    TargetLevel, VLOOKUP(BI158,MS_Labs_Array,3,false),
    LabSpeed, (1 * REGEXEXTRACT($BH$1, ""[\d.-]+"")) * {IF(BI158 =""Labs Speed"", 1+'Master Sheet'!$BK$5, LAB_SPEED_TOTAL())},
    MaxLevel, VLOOKUP(BI158,MS_Labs_Array,4,fal"&amp;"se),
    MaxOrTarget, IF(OR(TargetLevel = """",$AD$1 &lt;&gt; ""Target""), MaxLevel, TargetLevel),
    LabLevel, VLOOKUP(BI158,MS_Labs_Array,2,False),
    DVTColumn, MATCH(BI158, DVT_Laboratory!$A$1:BO$1, 0),
    xextTime, INDIRECT(""DVT_Laboratory!"" &amp; ADDRESS"&amp;"(LabLevel+3, DVTColumn)) / LabSpeed,
    remainingTime, SUM(INDIRECT(""DVT_Laboratory!"" &amp; ADDRESS(LabLevel+3, DVTColumn) &amp; "":"" &amp; ADDRESS(MaxOrTarget+2, DVTColumn))) / LabSpeed,
  BI158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8" s="1252"/>
      <c r="BM158" s="1252" t="str">
        <f>IFERROR(__xludf.DUMMYFUNCTION("""COMPUTED_VALUE"""),"")</f>
        <v/>
      </c>
      <c r="BN158" s="1222"/>
      <c r="BO158" s="1261"/>
    </row>
    <row r="159">
      <c r="A159" s="1222"/>
      <c r="B159" s="1268" t="s">
        <v>566</v>
      </c>
      <c r="C159" s="1333" t="s">
        <v>258</v>
      </c>
      <c r="D159" s="1280" t="str">
        <f>VLOOKUP(C159,'Remote Tier List'!A:D, 2, FALSE)</f>
        <v>S+</v>
      </c>
      <c r="E159" s="1281" t="str">
        <f>VLOOKUP(C159,'Remote Tier List'!A:D, 3, FALSE)</f>
        <v/>
      </c>
      <c r="F159" s="1284" t="str">
        <f>VLOOKUP(C159,'Remote Tier List'!A:D, 4, FALSE)</f>
        <v>Very important to shard economy, makes getting high mod levels reasonable</v>
      </c>
      <c r="G159" s="1245" t="b">
        <f t="shared" si="26"/>
        <v>1</v>
      </c>
      <c r="H159" s="1246" t="str">
        <f t="array" ref="H159:I159">LET(
  Lab, $C159,
  Mode, $AD$1,
  Level, VLOOKUP(Lab, MS_Labs_Array, 2, FALSE),
  Target, VLOOKUP(Lab, MS_Labs_Array, 3, FALSE),
  Max, VLOOKUP(Lab, MS_Labs_Array, 4, FALSE),
  Result,
    IF(
      AND(
        Mode &lt;&gt; "Never",
        Level &gt;= IF(OR(Target = "", Mode = "Max"), Max, Target)
      ),
      "Completed",
      ""
    ),
  HSTACK(
    IF(Result &lt;&gt; "", Result, $D159),
    IF(Result &lt;&gt; "", Result, IF($E159 = "", $D159, $E159))
  )
)</f>
        <v>Completed</v>
      </c>
      <c r="I159" s="1247" t="s">
        <v>551</v>
      </c>
      <c r="J159" s="1248" t="str">
        <f t="shared" si="27"/>
        <v>Very important to shard economy, makes getting high mod levels reasonable</v>
      </c>
      <c r="K159" s="1229"/>
      <c r="L159" s="1249"/>
      <c r="M159" s="1249"/>
      <c r="N159" s="1250" t="str">
        <f>IFERROR(__xludf.DUMMYFUNCTION("if(M159 &lt;&gt; """", 
  LET( 
    TargetLevel, VLOOKUP(M159,MS_Labs_Array,3,false),
    MaxLevel, VLOOKUP(M159,MS_Labs_Array,4,false),
    MaxOrTarget, IF(OR(TargetLevel = """",$AD$1 &lt;&gt; ""Target""), MaxLevel, TargetLevel),
    LabLevel, VLOOKUP(M159,MS_Labs_A"&amp;"rray,2,False),
    Levelprogress, LabLevel / MaxOrTarget,
    DVTColumn, MATCH(M159,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9" s="1251" t="str">
        <f>IFERROR(__xludf.DUMMYFUNCTION("if(M159 &lt;&gt; """", 
  LET(
    TargetLevel, VLOOKUP(M159,MS_Labs_Array,3,false),
    LabSpeed, (1 * REGEXEXTRACT($BH$1, ""[\d.-]+"")) * {IF(M159 =""Labs Speed"", 1+'Master Sheet'!$BK$5, LAB_SPEED_TOTAL())},
    MaxLevel, VLOOKUP(M159,MS_Labs_Array,4,false),"&amp;"
    MaxOrTarget, IF(OR(TargetLevel = """",$AD$1 &lt;&gt; ""Target""), MaxLevel, TargetLevel),
    LabLevel, VLOOKUP(M159,MS_Labs_Array,2,False),
    DVTColumn, MATCH(M159, DVT_Laboratory!$A$1:BO$1, 0),
    xextTime, INDIRECT(""DVT_Laboratory!"" &amp; ADDRESS(LabLe"&amp;"vel+3, DVTColumn)) / LabSpeed,
    remainingTime, SUM(INDIRECT(""DVT_Laboratory!"" &amp; ADDRESS(LabLevel+3, DVTColumn) &amp; "":"" &amp; ADDRESS(MaxOrTarget+2, DVTColumn))) / LabSpeed,
  M159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9" s="1249"/>
      <c r="Q159" s="1249"/>
      <c r="R159" s="1249"/>
      <c r="S159" s="1249"/>
      <c r="T159" s="1250" t="str">
        <f>IFERROR(__xludf.DUMMYFUNCTION("if(S159 &lt;&gt; """", 
  LET( 
    TargetLevel, VLOOKUP(S159,MS_Labs_Array,3,false),
    MaxLevel, VLOOKUP(S159,MS_Labs_Array,4,false),
    MaxOrTarget, IF(OR(TargetLevel = """",$AD$1 &lt;&gt; ""Target""), MaxLevel, TargetLevel),
    LabLevel, VLOOKUP(S159,MS_Labs_A"&amp;"rray,2,False),
    Levelprogress, LabLevel / MaxOrTarget,
    DVTColumn, MATCH(S159,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9" s="1251" t="str">
        <f>IFERROR(__xludf.DUMMYFUNCTION("if(S159 &lt;&gt; """", 
  LET(
    TargetLevel, VLOOKUP(S159,MS_Labs_Array,3,false),
    LabSpeed, (1 * REGEXEXTRACT($BH$1, ""[\d.-]+"")) * {IF(S159 =""Labs Speed"", 1+'Master Sheet'!$BK$5, LAB_SPEED_TOTAL())},
    MaxLevel, VLOOKUP(S159,MS_Labs_Array,4,false),"&amp;"
    MaxOrTarget, IF(OR(TargetLevel = """",$AD$1 &lt;&gt; ""Target""), MaxLevel, TargetLevel),
    LabLevel, VLOOKUP(S159,MS_Labs_Array,2,False),
    DVTColumn, MATCH(S159, DVT_Laboratory!$A$1:BO$1, 0),
    xextTime, INDIRECT(""DVT_Laboratory!"" &amp; ADDRESS(LabLe"&amp;"vel+3, DVTColumn)) / LabSpeed,
    remainingTime, SUM(INDIRECT(""DVT_Laboratory!"" &amp; ADDRESS(LabLevel+3, DVTColumn) &amp; "":"" &amp; ADDRESS(MaxOrTarget+2, DVTColumn))) / LabSpeed,
  S159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9" s="1249"/>
      <c r="W159" s="1249"/>
      <c r="X159" s="1249"/>
      <c r="Y159" s="1249"/>
      <c r="Z159" s="1250" t="str">
        <f>IFERROR(__xludf.DUMMYFUNCTION("if(Y159 &lt;&gt; """", 
  LET( 
    TargetLevel, VLOOKUP(Y159,MS_Labs_Array,3,false),
    MaxLevel, VLOOKUP(Y159,MS_Labs_Array,4,false),
    MaxOrTarget, IF(OR(TargetLevel = """",$AD$1 &lt;&gt; ""Target""), MaxLevel, TargetLevel),
    LabLevel, VLOOKUP(Y159,MS_Labs_A"&amp;"rray,2,False),
    Levelprogress, LabLevel / MaxOrTarget,
    DVTColumn, MATCH(Y159,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9" s="1251" t="str">
        <f>IFERROR(__xludf.DUMMYFUNCTION("if(Y159 &lt;&gt; """", 
  LET(
    TargetLevel, VLOOKUP(Y159,MS_Labs_Array,3,false),
    LabSpeed, (1 * REGEXEXTRACT($BH$1, ""[\d.-]+"")) * {IF(Y159 =""Labs Speed"", 1+'Master Sheet'!$BK$5, LAB_SPEED_TOTAL())},
    MaxLevel, VLOOKUP(Y159,MS_Labs_Array,4,false),"&amp;"
    MaxOrTarget, IF(OR(TargetLevel = """",$AD$1 &lt;&gt; ""Target""), MaxLevel, TargetLevel),
    LabLevel, VLOOKUP(Y159,MS_Labs_Array,2,False),
    DVTColumn, MATCH(Y159, DVT_Laboratory!$A$1:BO$1, 0),
    xextTime, INDIRECT(""DVT_Laboratory!"" &amp; ADDRESS(LabLe"&amp;"vel+3, DVTColumn)) / LabSpeed,
    remainingTime, SUM(INDIRECT(""DVT_Laboratory!"" &amp; ADDRESS(LabLevel+3, DVTColumn) &amp; "":"" &amp; ADDRESS(MaxOrTarget+2, DVTColumn))) / LabSpeed,
  Y159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9" s="1249"/>
      <c r="AC159" s="1249"/>
      <c r="AD159" s="1249"/>
      <c r="AE159" s="1249"/>
      <c r="AF159" s="1250" t="str">
        <f>IFERROR(__xludf.DUMMYFUNCTION("if(AE159 &lt;&gt; """", 
  LET( 
    TargetLevel, VLOOKUP(AE159,MS_Labs_Array,3,false),
    MaxLevel, VLOOKUP(AE159,MS_Labs_Array,4,false),
    MaxOrTarget, IF(OR(TargetLevel = """",$AD$1 &lt;&gt; ""Target""), MaxLevel, TargetLevel),
    LabLevel, VLOOKUP(AE159,MS_La"&amp;"bs_Array,2,False),
    Levelprogress, LabLevel / MaxOrTarget,
    DVTColumn, MATCH(AE159,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9" s="1251" t="str">
        <f>IFERROR(__xludf.DUMMYFUNCTION("if(AE159 &lt;&gt; """", 
  LET(
    TargetLevel, VLOOKUP(AE159,MS_Labs_Array,3,false),
    LabSpeed, (1 * REGEXEXTRACT($BH$1, ""[\d.-]+"")) * {IF(AE159 =""Labs Speed"", 1+'Master Sheet'!$BK$5, LAB_SPEED_TOTAL())},
    MaxLevel, VLOOKUP(AE159,MS_Labs_Array,4,fal"&amp;"se),
    MaxOrTarget, IF(OR(TargetLevel = """",$AD$1 &lt;&gt; ""Target""), MaxLevel, TargetLevel),
    LabLevel, VLOOKUP(AE159,MS_Labs_Array,2,False),
    DVTColumn, MATCH(AE159, DVT_Laboratory!$A$1:BO$1, 0),
    xextTime, INDIRECT(""DVT_Laboratory!"" &amp; ADDRESS"&amp;"(LabLevel+3, DVTColumn)) / LabSpeed,
    remainingTime, SUM(INDIRECT(""DVT_Laboratory!"" &amp; ADDRESS(LabLevel+3, DVTColumn) &amp; "":"" &amp; ADDRESS(MaxOrTarget+2, DVTColumn))) / LabSpeed,
  AE159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9" s="1249"/>
      <c r="AI159" s="1249"/>
      <c r="AJ159" s="1249"/>
      <c r="AK159" s="1249"/>
      <c r="AL159" s="1250" t="str">
        <f>IFERROR(__xludf.DUMMYFUNCTION("if(AK159 &lt;&gt; """", 
  LET( 
    TargetLevel, VLOOKUP(AK159,MS_Labs_Array,3,false),
    MaxLevel, VLOOKUP(AK159,MS_Labs_Array,4,false),
    MaxOrTarget, IF(OR(TargetLevel = """",$AD$1 &lt;&gt; ""Target""), MaxLevel, TargetLevel),
    LabLevel, VLOOKUP(AK159,MS_La"&amp;"bs_Array,2,False),
    Levelprogress, LabLevel / MaxOrTarget,
    DVTColumn, MATCH(AK159,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9" s="1251" t="str">
        <f>IFERROR(__xludf.DUMMYFUNCTION("if(AK159 &lt;&gt; """", 
  LET(
    TargetLevel, VLOOKUP(AK159,MS_Labs_Array,3,false),
    LabSpeed, (1 * REGEXEXTRACT($BH$1, ""[\d.-]+"")) * {IF(AK159 =""Labs Speed"", 1+'Master Sheet'!$BK$5, LAB_SPEED_TOTAL())},
    MaxLevel, VLOOKUP(AK159,MS_Labs_Array,4,fal"&amp;"se),
    MaxOrTarget, IF(OR(TargetLevel = """",$AD$1 &lt;&gt; ""Target""), MaxLevel, TargetLevel),
    LabLevel, VLOOKUP(AK159,MS_Labs_Array,2,False),
    DVTColumn, MATCH(AK159, DVT_Laboratory!$A$1:BO$1, 0),
    xextTime, INDIRECT(""DVT_Laboratory!"" &amp; ADDRESS"&amp;"(LabLevel+3, DVTColumn)) / LabSpeed,
    remainingTime, SUM(INDIRECT(""DVT_Laboratory!"" &amp; ADDRESS(LabLevel+3, DVTColumn) &amp; "":"" &amp; ADDRESS(MaxOrTarget+2, DVTColumn))) / LabSpeed,
  AK159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9" s="1249"/>
      <c r="AO159" s="1249"/>
      <c r="AP159" s="1249"/>
      <c r="AQ159" s="1249"/>
      <c r="AR159" s="1250" t="str">
        <f>IFERROR(__xludf.DUMMYFUNCTION("if(AQ159 &lt;&gt; """", 
  LET( 
    TargetLevel, VLOOKUP(AQ159,MS_Labs_Array,3,false),
    MaxLevel, VLOOKUP(AQ159,MS_Labs_Array,4,false),
    MaxOrTarget, IF(OR(TargetLevel = """",$AD$1 &lt;&gt; ""Target""), MaxLevel, TargetLevel),
    LabLevel, VLOOKUP(AQ159,MS_La"&amp;"bs_Array,2,False),
    Levelprogress, LabLevel / MaxOrTarget,
    DVTColumn, MATCH(AQ159,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9" s="1251" t="str">
        <f>IFERROR(__xludf.DUMMYFUNCTION("if(AQ159 &lt;&gt; """", 
  LET(
    TargetLevel, VLOOKUP(AQ159,MS_Labs_Array,3,false),
    LabSpeed, (1 * REGEXEXTRACT($BH$1, ""[\d.-]+"")) * {IF(AQ159 =""Labs Speed"", 1+'Master Sheet'!$BK$5, LAB_SPEED_TOTAL())},
    MaxLevel, VLOOKUP(AQ159,MS_Labs_Array,4,fal"&amp;"se),
    MaxOrTarget, IF(OR(TargetLevel = """",$AD$1 &lt;&gt; ""Target""), MaxLevel, TargetLevel),
    LabLevel, VLOOKUP(AQ159,MS_Labs_Array,2,False),
    DVTColumn, MATCH(AQ159, DVT_Laboratory!$A$1:BO$1, 0),
    xextTime, INDIRECT(""DVT_Laboratory!"" &amp; ADDRESS"&amp;"(LabLevel+3, DVTColumn)) / LabSpeed,
    remainingTime, SUM(INDIRECT(""DVT_Laboratory!"" &amp; ADDRESS(LabLevel+3, DVTColumn) &amp; "":"" &amp; ADDRESS(MaxOrTarget+2, DVTColumn))) / LabSpeed,
  AQ159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9" s="1249"/>
      <c r="AU159" s="1249"/>
      <c r="AV159" s="1249"/>
      <c r="AW159" s="1249"/>
      <c r="AX159" s="1250" t="str">
        <f>IFERROR(__xludf.DUMMYFUNCTION("if(AW159 &lt;&gt; """", 
  LET( 
    TargetLevel, VLOOKUP(AW159,MS_Labs_Array,3,false),
    MaxLevel, VLOOKUP(AW159,MS_Labs_Array,4,false),
    MaxOrTarget, IF(OR(TargetLevel = """",$AD$1 &lt;&gt; ""Target""), MaxLevel, TargetLevel),
    LabLevel, VLOOKUP(AW159,MS_La"&amp;"bs_Array,2,False),
    Levelprogress, LabLevel / MaxOrTarget,
    DVTColumn, MATCH(AW159,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9" s="1251" t="str">
        <f>IFERROR(__xludf.DUMMYFUNCTION("if(AW159 &lt;&gt; """", 
  LET(
    TargetLevel, VLOOKUP(AW159,MS_Labs_Array,3,false),
    LabSpeed, (1 * REGEXEXTRACT($BH$1, ""[\d.-]+"")) * {IF(AW159 =""Labs Speed"", 1+'Master Sheet'!$BK$5, LAB_SPEED_TOTAL())},
    MaxLevel, VLOOKUP(AW159,MS_Labs_Array,4,fal"&amp;"se),
    MaxOrTarget, IF(OR(TargetLevel = """",$AD$1 &lt;&gt; ""Target""), MaxLevel, TargetLevel),
    LabLevel, VLOOKUP(AW159,MS_Labs_Array,2,False),
    DVTColumn, MATCH(AW159, DVT_Laboratory!$A$1:BO$1, 0),
    xextTime, INDIRECT(""DVT_Laboratory!"" &amp; ADDRESS"&amp;"(LabLevel+3, DVTColumn)) / LabSpeed,
    remainingTime, SUM(INDIRECT(""DVT_Laboratory!"" &amp; ADDRESS(LabLevel+3, DVTColumn) &amp; "":"" &amp; ADDRESS(MaxOrTarget+2, DVTColumn))) / LabSpeed,
  AW159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9" s="1249"/>
      <c r="BA159" s="1249"/>
      <c r="BB159" s="1249"/>
      <c r="BC159" s="1249"/>
      <c r="BD159" s="1250" t="str">
        <f>IFERROR(__xludf.DUMMYFUNCTION("if(BC159 &lt;&gt; """", 
  LET( 
    TargetLevel, VLOOKUP(BC159,MS_Labs_Array,3,false),
    MaxLevel, VLOOKUP(BC159,MS_Labs_Array,4,false),
    MaxOrTarget, IF(OR(TargetLevel = """",$AD$1 &lt;&gt; ""Target""), MaxLevel, TargetLevel),
    LabLevel, VLOOKUP(BC159,MS_La"&amp;"bs_Array,2,False),
    Levelprogress, LabLevel / MaxOrTarget,
    DVTColumn, MATCH(BC159,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9" s="1251" t="str">
        <f>IFERROR(__xludf.DUMMYFUNCTION("if(BC159 &lt;&gt; """", 
  LET(
    TargetLevel, VLOOKUP(BC159,MS_Labs_Array,3,false),
    LabSpeed, (1 * REGEXEXTRACT($BH$1, ""[\d.-]+"")) * {IF(BC159 =""Labs Speed"", 1+'Master Sheet'!$BK$5, LAB_SPEED_TOTAL())},
    MaxLevel, VLOOKUP(BC159,MS_Labs_Array,4,fal"&amp;"se),
    MaxOrTarget, IF(OR(TargetLevel = """",$AD$1 &lt;&gt; ""Target""), MaxLevel, TargetLevel),
    LabLevel, VLOOKUP(BC159,MS_Labs_Array,2,False),
    DVTColumn, MATCH(BC159, DVT_Laboratory!$A$1:BO$1, 0),
    xextTime, INDIRECT(""DVT_Laboratory!"" &amp; ADDRESS"&amp;"(LabLevel+3, DVTColumn)) / LabSpeed,
    remainingTime, SUM(INDIRECT(""DVT_Laboratory!"" &amp; ADDRESS(LabLevel+3, DVTColumn) &amp; "":"" &amp; ADDRESS(MaxOrTarget+2, DVTColumn))) / LabSpeed,
  BC159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9" s="1249"/>
      <c r="BG159" s="1249"/>
      <c r="BH159" s="1260"/>
      <c r="BI159" s="1252"/>
      <c r="BJ159" s="1253" t="str">
        <f>IFERROR(__xludf.DUMMYFUNCTION("if(BI159 &lt;&gt; """", 
  LET( 
    TargetLevel, VLOOKUP(BI159,MS_Labs_Array,3,false),
    MaxLevel, VLOOKUP(BI159,MS_Labs_Array,4,false),
    MaxOrTarget, IF(OR(TargetLevel = """",$AD$1 &lt;&gt; ""Target""), MaxLevel, TargetLevel),
    LabLevel, VLOOKUP(BI159,MS_La"&amp;"bs_Array,2,False),
    Levelprogress, IF(LabLevel &gt;= MaxOrTarget, 1, LabLevel / MaxOrTarget),
    DVTColumn, MATCH(BI159,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9" s="1254" t="str">
        <f>IFERROR(__xludf.DUMMYFUNCTION("if(BI159 &lt;&gt; """", 
  LET(
    TargetLevel, VLOOKUP(BI159,MS_Labs_Array,3,false),
    LabSpeed, (1 * REGEXEXTRACT($BH$1, ""[\d.-]+"")) * {IF(BI159 =""Labs Speed"", 1+'Master Sheet'!$BK$5, LAB_SPEED_TOTAL())},
    MaxLevel, VLOOKUP(BI159,MS_Labs_Array,4,fal"&amp;"se),
    MaxOrTarget, IF(OR(TargetLevel = """",$AD$1 &lt;&gt; ""Target""), MaxLevel, TargetLevel),
    LabLevel, VLOOKUP(BI159,MS_Labs_Array,2,False),
    DVTColumn, MATCH(BI159, DVT_Laboratory!$A$1:BO$1, 0),
    xextTime, INDIRECT(""DVT_Laboratory!"" &amp; ADDRESS"&amp;"(LabLevel+3, DVTColumn)) / LabSpeed,
    remainingTime, SUM(INDIRECT(""DVT_Laboratory!"" &amp; ADDRESS(LabLevel+3, DVTColumn) &amp; "":"" &amp; ADDRESS(MaxOrTarget+2, DVTColumn))) / LabSpeed,
  BI159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9" s="1252"/>
      <c r="BM159" s="1252"/>
      <c r="BN159" s="1222"/>
      <c r="BO159" s="1261"/>
    </row>
    <row r="160" ht="7.5" customHeight="1">
      <c r="A160" s="1222"/>
      <c r="B160" s="1262" t="s">
        <v>563</v>
      </c>
      <c r="C160" s="1333" t="s">
        <v>268</v>
      </c>
      <c r="D160" s="1280" t="str">
        <f>VLOOKUP(C160,'Remote Tier List'!A:D, 2, FALSE)</f>
        <v>C</v>
      </c>
      <c r="E160" s="1281" t="str">
        <f>VLOOKUP(C160,'Remote Tier List'!A:D, 3, FALSE)</f>
        <v/>
      </c>
      <c r="F160" s="1258" t="str">
        <f>VLOOKUP(C160,'Remote Tier List'!A:D, 4, FALSE)</f>
        <v>Basically another reroll shards lab but arguably worse</v>
      </c>
      <c r="G160" s="1245" t="b">
        <f t="shared" si="26"/>
        <v>1</v>
      </c>
      <c r="H160" s="1246" t="str">
        <f t="array" ref="H160:I160">LET(
  Lab, $C160,
  Mode, $AD$1,
  Level, VLOOKUP(Lab, MS_Labs_Array, 2, FALSE),
  Target, VLOOKUP(Lab, MS_Labs_Array, 3, FALSE),
  Max, VLOOKUP(Lab, MS_Labs_Array, 4, FALSE),
  Result,
    IF(
      AND(
        Mode &lt;&gt; "Never",
        Level &gt;= IF(OR(Target = "", Mode = "Max"), Max, Target)
      ),
      "Completed",
      ""
    ),
  HSTACK(
    IF(Result &lt;&gt; "", Result, $D160),
    IF(Result &lt;&gt; "", Result, IF($E160 = "", $D160, $E160))
  )
)</f>
        <v>C</v>
      </c>
      <c r="I160" s="1247" t="s">
        <v>547</v>
      </c>
      <c r="J160" s="1248" t="str">
        <f t="shared" si="27"/>
        <v>Basically another reroll shards lab but arguably worse</v>
      </c>
      <c r="K160" s="1229"/>
      <c r="L160" s="1249" t="str">
        <f>IFERROR(__xludf.DUMMYFUNCTION("""COMPUTED_VALUE"""),"")</f>
        <v/>
      </c>
      <c r="M160" s="1249"/>
      <c r="N160" s="1250" t="str">
        <f>IFERROR(__xludf.DUMMYFUNCTION("if(M160 &lt;&gt; """", 
  LET( 
    TargetLevel, VLOOKUP(M160,MS_Labs_Array,3,false),
    MaxLevel, VLOOKUP(M160,MS_Labs_Array,4,false),
    MaxOrTarget, IF(OR(TargetLevel = """",$AD$1 &lt;&gt; ""Target""), MaxLevel, TargetLevel),
    LabLevel, VLOOKUP(M160,MS_Labs_A"&amp;"rray,2,False),
    Levelprogress, LabLevel / MaxOrTarget,
    DVTColumn, MATCH(M160,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60" s="1251" t="str">
        <f>IFERROR(__xludf.DUMMYFUNCTION("if(M160 &lt;&gt; """", 
  LET(
    TargetLevel, VLOOKUP(M160,MS_Labs_Array,3,false),
    LabSpeed, (1 * REGEXEXTRACT($BH$1, ""[\d.-]+"")) * {IF(M160 =""Labs Speed"", 1+'Master Sheet'!$BK$5, LAB_SPEED_TOTAL())},
    MaxLevel, VLOOKUP(M160,MS_Labs_Array,4,false),"&amp;"
    MaxOrTarget, IF(OR(TargetLevel = """",$AD$1 &lt;&gt; ""Target""), MaxLevel, TargetLevel),
    LabLevel, VLOOKUP(M160,MS_Labs_Array,2,False),
    DVTColumn, MATCH(M160, DVT_Laboratory!$A$1:BO$1, 0),
    xextTime, INDIRECT(""DVT_Laboratory!"" &amp; ADDRESS(LabLe"&amp;"vel+3, DVTColumn)) / LabSpeed,
    remainingTime, SUM(INDIRECT(""DVT_Laboratory!"" &amp; ADDRESS(LabLevel+3, DVTColumn) &amp; "":"" &amp; ADDRESS(MaxOrTarget+2, DVTColumn))) / LabSpeed,
  M160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60" s="1249"/>
      <c r="Q160" s="1249" t="str">
        <f>IFERROR(__xludf.DUMMYFUNCTION("""COMPUTED_VALUE"""),"")</f>
        <v/>
      </c>
      <c r="R160" s="1249" t="str">
        <f>IFERROR(__xludf.DUMMYFUNCTION("""COMPUTED_VALUE"""),"")</f>
        <v/>
      </c>
      <c r="S160" s="1249"/>
      <c r="T160" s="1250" t="str">
        <f>IFERROR(__xludf.DUMMYFUNCTION("if(S160 &lt;&gt; """", 
  LET( 
    TargetLevel, VLOOKUP(S160,MS_Labs_Array,3,false),
    MaxLevel, VLOOKUP(S160,MS_Labs_Array,4,false),
    MaxOrTarget, IF(OR(TargetLevel = """",$AD$1 &lt;&gt; ""Target""), MaxLevel, TargetLevel),
    LabLevel, VLOOKUP(S160,MS_Labs_A"&amp;"rray,2,False),
    Levelprogress, LabLevel / MaxOrTarget,
    DVTColumn, MATCH(S160,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60" s="1251" t="str">
        <f>IFERROR(__xludf.DUMMYFUNCTION("if(S160 &lt;&gt; """", 
  LET(
    TargetLevel, VLOOKUP(S160,MS_Labs_Array,3,false),
    LabSpeed, (1 * REGEXEXTRACT($BH$1, ""[\d.-]+"")) * {IF(S160 =""Labs Speed"", 1+'Master Sheet'!$BK$5, LAB_SPEED_TOTAL())},
    MaxLevel, VLOOKUP(S160,MS_Labs_Array,4,false),"&amp;"
    MaxOrTarget, IF(OR(TargetLevel = """",$AD$1 &lt;&gt; ""Target""), MaxLevel, TargetLevel),
    LabLevel, VLOOKUP(S160,MS_Labs_Array,2,False),
    DVTColumn, MATCH(S160, DVT_Laboratory!$A$1:BO$1, 0),
    xextTime, INDIRECT(""DVT_Laboratory!"" &amp; ADDRESS(LabLe"&amp;"vel+3, DVTColumn)) / LabSpeed,
    remainingTime, SUM(INDIRECT(""DVT_Laboratory!"" &amp; ADDRESS(LabLevel+3, DVTColumn) &amp; "":"" &amp; ADDRESS(MaxOrTarget+2, DVTColumn))) / LabSpeed,
  S160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60" s="1249"/>
      <c r="W160" s="1249" t="str">
        <f>IFERROR(__xludf.DUMMYFUNCTION("""COMPUTED_VALUE"""),"")</f>
        <v/>
      </c>
      <c r="X160" s="1249" t="str">
        <f>IFERROR(__xludf.DUMMYFUNCTION("""COMPUTED_VALUE"""),"")</f>
        <v/>
      </c>
      <c r="Y160" s="1249"/>
      <c r="Z160" s="1250" t="str">
        <f>IFERROR(__xludf.DUMMYFUNCTION("if(Y160 &lt;&gt; """", 
  LET( 
    TargetLevel, VLOOKUP(Y160,MS_Labs_Array,3,false),
    MaxLevel, VLOOKUP(Y160,MS_Labs_Array,4,false),
    MaxOrTarget, IF(OR(TargetLevel = """",$AD$1 &lt;&gt; ""Target""), MaxLevel, TargetLevel),
    LabLevel, VLOOKUP(Y160,MS_Labs_A"&amp;"rray,2,False),
    Levelprogress, LabLevel / MaxOrTarget,
    DVTColumn, MATCH(Y160,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60" s="1251" t="str">
        <f>IFERROR(__xludf.DUMMYFUNCTION("if(Y160 &lt;&gt; """", 
  LET(
    TargetLevel, VLOOKUP(Y160,MS_Labs_Array,3,false),
    LabSpeed, (1 * REGEXEXTRACT($BH$1, ""[\d.-]+"")) * {IF(Y160 =""Labs Speed"", 1+'Master Sheet'!$BK$5, LAB_SPEED_TOTAL())},
    MaxLevel, VLOOKUP(Y160,MS_Labs_Array,4,false),"&amp;"
    MaxOrTarget, IF(OR(TargetLevel = """",$AD$1 &lt;&gt; ""Target""), MaxLevel, TargetLevel),
    LabLevel, VLOOKUP(Y160,MS_Labs_Array,2,False),
    DVTColumn, MATCH(Y160, DVT_Laboratory!$A$1:BO$1, 0),
    xextTime, INDIRECT(""DVT_Laboratory!"" &amp; ADDRESS(LabLe"&amp;"vel+3, DVTColumn)) / LabSpeed,
    remainingTime, SUM(INDIRECT(""DVT_Laboratory!"" &amp; ADDRESS(LabLevel+3, DVTColumn) &amp; "":"" &amp; ADDRESS(MaxOrTarget+2, DVTColumn))) / LabSpeed,
  Y160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60" s="1249"/>
      <c r="AC160" s="1249" t="str">
        <f>IFERROR(__xludf.DUMMYFUNCTION("""COMPUTED_VALUE"""),"")</f>
        <v/>
      </c>
      <c r="AD160" s="1249" t="str">
        <f>IFERROR(__xludf.DUMMYFUNCTION("""COMPUTED_VALUE"""),"")</f>
        <v/>
      </c>
      <c r="AE160" s="1249"/>
      <c r="AF160" s="1250" t="str">
        <f>IFERROR(__xludf.DUMMYFUNCTION("if(AE160 &lt;&gt; """", 
  LET( 
    TargetLevel, VLOOKUP(AE160,MS_Labs_Array,3,false),
    MaxLevel, VLOOKUP(AE160,MS_Labs_Array,4,false),
    MaxOrTarget, IF(OR(TargetLevel = """",$AD$1 &lt;&gt; ""Target""), MaxLevel, TargetLevel),
    LabLevel, VLOOKUP(AE160,MS_La"&amp;"bs_Array,2,False),
    Levelprogress, LabLevel / MaxOrTarget,
    DVTColumn, MATCH(AE160,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60" s="1251" t="str">
        <f>IFERROR(__xludf.DUMMYFUNCTION("if(AE160 &lt;&gt; """", 
  LET(
    TargetLevel, VLOOKUP(AE160,MS_Labs_Array,3,false),
    LabSpeed, (1 * REGEXEXTRACT($BH$1, ""[\d.-]+"")) * {IF(AE160 =""Labs Speed"", 1+'Master Sheet'!$BK$5, LAB_SPEED_TOTAL())},
    MaxLevel, VLOOKUP(AE160,MS_Labs_Array,4,fal"&amp;"se),
    MaxOrTarget, IF(OR(TargetLevel = """",$AD$1 &lt;&gt; ""Target""), MaxLevel, TargetLevel),
    LabLevel, VLOOKUP(AE160,MS_Labs_Array,2,False),
    DVTColumn, MATCH(AE160, DVT_Laboratory!$A$1:BO$1, 0),
    xextTime, INDIRECT(""DVT_Laboratory!"" &amp; ADDRESS"&amp;"(LabLevel+3, DVTColumn)) / LabSpeed,
    remainingTime, SUM(INDIRECT(""DVT_Laboratory!"" &amp; ADDRESS(LabLevel+3, DVTColumn) &amp; "":"" &amp; ADDRESS(MaxOrTarget+2, DVTColumn))) / LabSpeed,
  AE160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60" s="1249"/>
      <c r="AI160" s="1249" t="str">
        <f>IFERROR(__xludf.DUMMYFUNCTION("""COMPUTED_VALUE"""),"")</f>
        <v/>
      </c>
      <c r="AJ160" s="1249" t="str">
        <f>IFERROR(__xludf.DUMMYFUNCTION("""COMPUTED_VALUE"""),"")</f>
        <v/>
      </c>
      <c r="AK160" s="1249"/>
      <c r="AL160" s="1250" t="str">
        <f>IFERROR(__xludf.DUMMYFUNCTION("if(AK160 &lt;&gt; """", 
  LET( 
    TargetLevel, VLOOKUP(AK160,MS_Labs_Array,3,false),
    MaxLevel, VLOOKUP(AK160,MS_Labs_Array,4,false),
    MaxOrTarget, IF(OR(TargetLevel = """",$AD$1 &lt;&gt; ""Target""), MaxLevel, TargetLevel),
    LabLevel, VLOOKUP(AK160,MS_La"&amp;"bs_Array,2,False),
    Levelprogress, LabLevel / MaxOrTarget,
    DVTColumn, MATCH(AK160,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60" s="1251" t="str">
        <f>IFERROR(__xludf.DUMMYFUNCTION("if(AK160 &lt;&gt; """", 
  LET(
    TargetLevel, VLOOKUP(AK160,MS_Labs_Array,3,false),
    LabSpeed, (1 * REGEXEXTRACT($BH$1, ""[\d.-]+"")) * {IF(AK160 =""Labs Speed"", 1+'Master Sheet'!$BK$5, LAB_SPEED_TOTAL())},
    MaxLevel, VLOOKUP(AK160,MS_Labs_Array,4,fal"&amp;"se),
    MaxOrTarget, IF(OR(TargetLevel = """",$AD$1 &lt;&gt; ""Target""), MaxLevel, TargetLevel),
    LabLevel, VLOOKUP(AK160,MS_Labs_Array,2,False),
    DVTColumn, MATCH(AK160, DVT_Laboratory!$A$1:BO$1, 0),
    xextTime, INDIRECT(""DVT_Laboratory!"" &amp; ADDRESS"&amp;"(LabLevel+3, DVTColumn)) / LabSpeed,
    remainingTime, SUM(INDIRECT(""DVT_Laboratory!"" &amp; ADDRESS(LabLevel+3, DVTColumn) &amp; "":"" &amp; ADDRESS(MaxOrTarget+2, DVTColumn))) / LabSpeed,
  AK160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60" s="1249"/>
      <c r="AO160" s="1249" t="str">
        <f>IFERROR(__xludf.DUMMYFUNCTION("""COMPUTED_VALUE"""),"")</f>
        <v/>
      </c>
      <c r="AP160" s="1249" t="str">
        <f>IFERROR(__xludf.DUMMYFUNCTION("""COMPUTED_VALUE"""),"")</f>
        <v/>
      </c>
      <c r="AQ160" s="1249"/>
      <c r="AR160" s="1250" t="str">
        <f>IFERROR(__xludf.DUMMYFUNCTION("if(AQ160 &lt;&gt; """", 
  LET( 
    TargetLevel, VLOOKUP(AQ160,MS_Labs_Array,3,false),
    MaxLevel, VLOOKUP(AQ160,MS_Labs_Array,4,false),
    MaxOrTarget, IF(OR(TargetLevel = """",$AD$1 &lt;&gt; ""Target""), MaxLevel, TargetLevel),
    LabLevel, VLOOKUP(AQ160,MS_La"&amp;"bs_Array,2,False),
    Levelprogress, LabLevel / MaxOrTarget,
    DVTColumn, MATCH(AQ160,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60" s="1251" t="str">
        <f>IFERROR(__xludf.DUMMYFUNCTION("if(AQ160 &lt;&gt; """", 
  LET(
    TargetLevel, VLOOKUP(AQ160,MS_Labs_Array,3,false),
    LabSpeed, (1 * REGEXEXTRACT($BH$1, ""[\d.-]+"")) * {IF(AQ160 =""Labs Speed"", 1+'Master Sheet'!$BK$5, LAB_SPEED_TOTAL())},
    MaxLevel, VLOOKUP(AQ160,MS_Labs_Array,4,fal"&amp;"se),
    MaxOrTarget, IF(OR(TargetLevel = """",$AD$1 &lt;&gt; ""Target""), MaxLevel, TargetLevel),
    LabLevel, VLOOKUP(AQ160,MS_Labs_Array,2,False),
    DVTColumn, MATCH(AQ160, DVT_Laboratory!$A$1:BO$1, 0),
    xextTime, INDIRECT(""DVT_Laboratory!"" &amp; ADDRESS"&amp;"(LabLevel+3, DVTColumn)) / LabSpeed,
    remainingTime, SUM(INDIRECT(""DVT_Laboratory!"" &amp; ADDRESS(LabLevel+3, DVTColumn) &amp; "":"" &amp; ADDRESS(MaxOrTarget+2, DVTColumn))) / LabSpeed,
  AQ160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60" s="1249"/>
      <c r="AU160" s="1249" t="str">
        <f>IFERROR(__xludf.DUMMYFUNCTION("""COMPUTED_VALUE"""),"")</f>
        <v/>
      </c>
      <c r="AV160" s="1249" t="str">
        <f>IFERROR(__xludf.DUMMYFUNCTION("""COMPUTED_VALUE"""),"")</f>
        <v/>
      </c>
      <c r="AW160" s="1249"/>
      <c r="AX160" s="1250" t="str">
        <f>IFERROR(__xludf.DUMMYFUNCTION("if(AW160 &lt;&gt; """", 
  LET( 
    TargetLevel, VLOOKUP(AW160,MS_Labs_Array,3,false),
    MaxLevel, VLOOKUP(AW160,MS_Labs_Array,4,false),
    MaxOrTarget, IF(OR(TargetLevel = """",$AD$1 &lt;&gt; ""Target""), MaxLevel, TargetLevel),
    LabLevel, VLOOKUP(AW160,MS_La"&amp;"bs_Array,2,False),
    Levelprogress, LabLevel / MaxOrTarget,
    DVTColumn, MATCH(AW160,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60" s="1251" t="str">
        <f>IFERROR(__xludf.DUMMYFUNCTION("if(AW160 &lt;&gt; """", 
  LET(
    TargetLevel, VLOOKUP(AW160,MS_Labs_Array,3,false),
    LabSpeed, (1 * REGEXEXTRACT($BH$1, ""[\d.-]+"")) * {IF(AW160 =""Labs Speed"", 1+'Master Sheet'!$BK$5, LAB_SPEED_TOTAL())},
    MaxLevel, VLOOKUP(AW160,MS_Labs_Array,4,fal"&amp;"se),
    MaxOrTarget, IF(OR(TargetLevel = """",$AD$1 &lt;&gt; ""Target""), MaxLevel, TargetLevel),
    LabLevel, VLOOKUP(AW160,MS_Labs_Array,2,False),
    DVTColumn, MATCH(AW160, DVT_Laboratory!$A$1:BO$1, 0),
    xextTime, INDIRECT(""DVT_Laboratory!"" &amp; ADDRESS"&amp;"(LabLevel+3, DVTColumn)) / LabSpeed,
    remainingTime, SUM(INDIRECT(""DVT_Laboratory!"" &amp; ADDRESS(LabLevel+3, DVTColumn) &amp; "":"" &amp; ADDRESS(MaxOrTarget+2, DVTColumn))) / LabSpeed,
  AW160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60" s="1249"/>
      <c r="BA160" s="1249" t="str">
        <f>IFERROR(__xludf.DUMMYFUNCTION("""COMPUTED_VALUE"""),"")</f>
        <v/>
      </c>
      <c r="BB160" s="1249" t="str">
        <f>IFERROR(__xludf.DUMMYFUNCTION("""COMPUTED_VALUE"""),"")</f>
        <v/>
      </c>
      <c r="BC160" s="1249"/>
      <c r="BD160" s="1250" t="str">
        <f>IFERROR(__xludf.DUMMYFUNCTION("if(BC160 &lt;&gt; """", 
  LET( 
    TargetLevel, VLOOKUP(BC160,MS_Labs_Array,3,false),
    MaxLevel, VLOOKUP(BC160,MS_Labs_Array,4,false),
    MaxOrTarget, IF(OR(TargetLevel = """",$AD$1 &lt;&gt; ""Target""), MaxLevel, TargetLevel),
    LabLevel, VLOOKUP(BC160,MS_La"&amp;"bs_Array,2,False),
    Levelprogress, LabLevel / MaxOrTarget,
    DVTColumn, MATCH(BC160,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60" s="1251" t="str">
        <f>IFERROR(__xludf.DUMMYFUNCTION("if(BC160 &lt;&gt; """", 
  LET(
    TargetLevel, VLOOKUP(BC160,MS_Labs_Array,3,false),
    LabSpeed, (1 * REGEXEXTRACT($BH$1, ""[\d.-]+"")) * {IF(BC160 =""Labs Speed"", 1+'Master Sheet'!$BK$5, LAB_SPEED_TOTAL())},
    MaxLevel, VLOOKUP(BC160,MS_Labs_Array,4,fal"&amp;"se),
    MaxOrTarget, IF(OR(TargetLevel = """",$AD$1 &lt;&gt; ""Target""), MaxLevel, TargetLevel),
    LabLevel, VLOOKUP(BC160,MS_Labs_Array,2,False),
    DVTColumn, MATCH(BC160, DVT_Laboratory!$A$1:BO$1, 0),
    xextTime, INDIRECT(""DVT_Laboratory!"" &amp; ADDRESS"&amp;"(LabLevel+3, DVTColumn)) / LabSpeed,
    remainingTime, SUM(INDIRECT(""DVT_Laboratory!"" &amp; ADDRESS(LabLevel+3, DVTColumn) &amp; "":"" &amp; ADDRESS(MaxOrTarget+2, DVTColumn))) / LabSpeed,
  BC160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60" s="1249"/>
      <c r="BG160" s="1249" t="str">
        <f>IFERROR(__xludf.DUMMYFUNCTION("""COMPUTED_VALUE"""),"")</f>
        <v/>
      </c>
      <c r="BH160" s="1260" t="str">
        <f>IFERROR(__xludf.DUMMYFUNCTION("""COMPUTED_VALUE"""),"")</f>
        <v/>
      </c>
      <c r="BI160" s="1252"/>
      <c r="BJ160" s="1253" t="str">
        <f>IFERROR(__xludf.DUMMYFUNCTION("if(BI160 &lt;&gt; """", 
  LET( 
    TargetLevel, VLOOKUP(BI160,MS_Labs_Array,3,false),
    MaxLevel, VLOOKUP(BI160,MS_Labs_Array,4,false),
    MaxOrTarget, IF(OR(TargetLevel = """",$AD$1 &lt;&gt; ""Target""), MaxLevel, TargetLevel),
    LabLevel, VLOOKUP(BI160,MS_La"&amp;"bs_Array,2,False),
    Levelprogress, IF(LabLevel &gt;= MaxOrTarget, 1, LabLevel / MaxOrTarget),
    DVTColumn, MATCH(BI160,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60" s="1254" t="str">
        <f>IFERROR(__xludf.DUMMYFUNCTION("if(BI160 &lt;&gt; """", 
  LET(
    TargetLevel, VLOOKUP(BI160,MS_Labs_Array,3,false),
    LabSpeed, (1 * REGEXEXTRACT($BH$1, ""[\d.-]+"")) * {IF(BI160 =""Labs Speed"", 1+'Master Sheet'!$BK$5, LAB_SPEED_TOTAL())},
    MaxLevel, VLOOKUP(BI160,MS_Labs_Array,4,fal"&amp;"se),
    MaxOrTarget, IF(OR(TargetLevel = """",$AD$1 &lt;&gt; ""Target""), MaxLevel, TargetLevel),
    LabLevel, VLOOKUP(BI160,MS_Labs_Array,2,False),
    DVTColumn, MATCH(BI160, DVT_Laboratory!$A$1:BO$1, 0),
    xextTime, INDIRECT(""DVT_Laboratory!"" &amp; ADDRESS"&amp;"(LabLevel+3, DVTColumn)) / LabSpeed,
    remainingTime, SUM(INDIRECT(""DVT_Laboratory!"" &amp; ADDRESS(LabLevel+3, DVTColumn) &amp; "":"" &amp; ADDRESS(MaxOrTarget+2, DVTColumn))) / LabSpeed,
  BI160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60" s="1252"/>
      <c r="BM160" s="1252" t="str">
        <f>IFERROR(__xludf.DUMMYFUNCTION("""COMPUTED_VALUE"""),"")</f>
        <v/>
      </c>
      <c r="BN160" s="1222"/>
      <c r="BO160" s="1261"/>
    </row>
    <row r="161">
      <c r="A161" s="1222"/>
      <c r="B161" s="1257"/>
      <c r="C161" s="1333" t="s">
        <v>276</v>
      </c>
      <c r="D161" s="1280" t="str">
        <f>VLOOKUP(C161,'Remote Tier List'!A:D, 2, FALSE)</f>
        <v>C</v>
      </c>
      <c r="E161" s="1281" t="str">
        <f>VLOOKUP(C161,'Remote Tier List'!A:D, 3, FALSE)</f>
        <v/>
      </c>
      <c r="F161" s="1257"/>
      <c r="G161" s="1245" t="b">
        <f t="shared" si="26"/>
        <v>1</v>
      </c>
      <c r="H161" s="1246" t="str">
        <f t="array" ref="H161:I161">LET(
  Lab, $C161,
  Mode, $AD$1,
  Level, VLOOKUP(Lab, MS_Labs_Array, 2, FALSE),
  Target, VLOOKUP(Lab, MS_Labs_Array, 3, FALSE),
  Max, VLOOKUP(Lab, MS_Labs_Array, 4, FALSE),
  Result,
    IF(
      AND(
        Mode &lt;&gt; "Never",
        Level &gt;= IF(OR(Target = "", Mode = "Max"), Max, Target)
      ),
      "Completed",
      ""
    ),
  HSTACK(
    IF(Result &lt;&gt; "", Result, $D161),
    IF(Result &lt;&gt; "", Result, IF($E161 = "", $D161, $E161))
  )
)</f>
        <v>C</v>
      </c>
      <c r="I161" s="1247" t="s">
        <v>547</v>
      </c>
      <c r="J161" s="1248" t="str">
        <f t="shared" si="27"/>
        <v>Basically another reroll shards lab but arguably worse</v>
      </c>
      <c r="K161" s="1229"/>
      <c r="L161" s="1334"/>
      <c r="M161" s="1334"/>
      <c r="N161" s="1250" t="str">
        <f>IFERROR(__xludf.DUMMYFUNCTION("if(M161 &lt;&gt; """", 
  LET( 
    TargetLevel, VLOOKUP(M161,MS_Labs_Array,3,false),
    MaxLevel, VLOOKUP(M161,MS_Labs_Array,4,false),
    MaxOrTarget, IF(OR(TargetLevel = """",$AD$1 &lt;&gt; ""Target""), MaxLevel, TargetLevel),
    LabLevel, VLOOKUP(M161,MS_Labs_A"&amp;"rray,2,False),
    Levelprogress, LabLevel / MaxOrTarget,
    DVTColumn, MATCH(M161,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61" s="1251" t="str">
        <f>IFERROR(__xludf.DUMMYFUNCTION("if(M161 &lt;&gt; """", 
  LET(
    TargetLevel, VLOOKUP(M161,MS_Labs_Array,3,false),
    LabSpeed, (1 * REGEXEXTRACT($BH$1, ""[\d.-]+"")) * {IF(M161 =""Labs Speed"", 1+'Master Sheet'!$BK$5, LAB_SPEED_TOTAL())},
    MaxLevel, VLOOKUP(M161,MS_Labs_Array,4,false),"&amp;"
    MaxOrTarget, IF(OR(TargetLevel = """",$AD$1 &lt;&gt; ""Target""), MaxLevel, TargetLevel),
    LabLevel, VLOOKUP(M161,MS_Labs_Array,2,False),
    DVTColumn, MATCH(M161, DVT_Laboratory!$A$1:BO$1, 0),
    xextTime, INDIRECT(""DVT_Laboratory!"" &amp; ADDRESS(LabLe"&amp;"vel+3, DVTColumn)) / LabSpeed,
    remainingTime, SUM(INDIRECT(""DVT_Laboratory!"" &amp; ADDRESS(LabLevel+3, DVTColumn) &amp; "":"" &amp; ADDRESS(MaxOrTarget+2, DVTColumn))) / LabSpeed,
  M161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61" s="1334"/>
      <c r="Q161" s="1334"/>
      <c r="R161" s="1334"/>
      <c r="S161" s="1334"/>
      <c r="T161" s="1250" t="str">
        <f>IFERROR(__xludf.DUMMYFUNCTION("if(S161 &lt;&gt; """", 
  LET( 
    TargetLevel, VLOOKUP(S161,MS_Labs_Array,3,false),
    MaxLevel, VLOOKUP(S161,MS_Labs_Array,4,false),
    MaxOrTarget, IF(OR(TargetLevel = """",$AD$1 &lt;&gt; ""Target""), MaxLevel, TargetLevel),
    LabLevel, VLOOKUP(S161,MS_Labs_A"&amp;"rray,2,False),
    Levelprogress, LabLevel / MaxOrTarget,
    DVTColumn, MATCH(S161,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61" s="1251" t="str">
        <f>IFERROR(__xludf.DUMMYFUNCTION("if(S161 &lt;&gt; """", 
  LET(
    TargetLevel, VLOOKUP(S161,MS_Labs_Array,3,false),
    LabSpeed, (1 * REGEXEXTRACT($BH$1, ""[\d.-]+"")) * {IF(S161 =""Labs Speed"", 1+'Master Sheet'!$BK$5, LAB_SPEED_TOTAL())},
    MaxLevel, VLOOKUP(S161,MS_Labs_Array,4,false),"&amp;"
    MaxOrTarget, IF(OR(TargetLevel = """",$AD$1 &lt;&gt; ""Target""), MaxLevel, TargetLevel),
    LabLevel, VLOOKUP(S161,MS_Labs_Array,2,False),
    DVTColumn, MATCH(S161, DVT_Laboratory!$A$1:BO$1, 0),
    xextTime, INDIRECT(""DVT_Laboratory!"" &amp; ADDRESS(LabLe"&amp;"vel+3, DVTColumn)) / LabSpeed,
    remainingTime, SUM(INDIRECT(""DVT_Laboratory!"" &amp; ADDRESS(LabLevel+3, DVTColumn) &amp; "":"" &amp; ADDRESS(MaxOrTarget+2, DVTColumn))) / LabSpeed,
  S161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61" s="1334"/>
      <c r="W161" s="1334"/>
      <c r="X161" s="1334"/>
      <c r="Y161" s="1334"/>
      <c r="Z161" s="1250" t="str">
        <f>IFERROR(__xludf.DUMMYFUNCTION("if(Y161 &lt;&gt; """", 
  LET( 
    TargetLevel, VLOOKUP(Y161,MS_Labs_Array,3,false),
    MaxLevel, VLOOKUP(Y161,MS_Labs_Array,4,false),
    MaxOrTarget, IF(OR(TargetLevel = """",$AD$1 &lt;&gt; ""Target""), MaxLevel, TargetLevel),
    LabLevel, VLOOKUP(Y161,MS_Labs_A"&amp;"rray,2,False),
    Levelprogress, LabLevel / MaxOrTarget,
    DVTColumn, MATCH(Y161,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61" s="1251" t="str">
        <f>IFERROR(__xludf.DUMMYFUNCTION("if(Y161 &lt;&gt; """", 
  LET(
    TargetLevel, VLOOKUP(Y161,MS_Labs_Array,3,false),
    LabSpeed, (1 * REGEXEXTRACT($BH$1, ""[\d.-]+"")) * {IF(Y161 =""Labs Speed"", 1+'Master Sheet'!$BK$5, LAB_SPEED_TOTAL())},
    MaxLevel, VLOOKUP(Y161,MS_Labs_Array,4,false),"&amp;"
    MaxOrTarget, IF(OR(TargetLevel = """",$AD$1 &lt;&gt; ""Target""), MaxLevel, TargetLevel),
    LabLevel, VLOOKUP(Y161,MS_Labs_Array,2,False),
    DVTColumn, MATCH(Y161, DVT_Laboratory!$A$1:BO$1, 0),
    xextTime, INDIRECT(""DVT_Laboratory!"" &amp; ADDRESS(LabLe"&amp;"vel+3, DVTColumn)) / LabSpeed,
    remainingTime, SUM(INDIRECT(""DVT_Laboratory!"" &amp; ADDRESS(LabLevel+3, DVTColumn) &amp; "":"" &amp; ADDRESS(MaxOrTarget+2, DVTColumn))) / LabSpeed,
  Y161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61" s="1334"/>
      <c r="AC161" s="1334"/>
      <c r="AD161" s="1334"/>
      <c r="AE161" s="1334"/>
      <c r="AF161" s="1250" t="str">
        <f>IFERROR(__xludf.DUMMYFUNCTION("if(AE161 &lt;&gt; """", 
  LET( 
    TargetLevel, VLOOKUP(AE161,MS_Labs_Array,3,false),
    MaxLevel, VLOOKUP(AE161,MS_Labs_Array,4,false),
    MaxOrTarget, IF(OR(TargetLevel = """",$AD$1 &lt;&gt; ""Target""), MaxLevel, TargetLevel),
    LabLevel, VLOOKUP(AE161,MS_La"&amp;"bs_Array,2,False),
    Levelprogress, LabLevel / MaxOrTarget,
    DVTColumn, MATCH(AE161,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61" s="1251" t="str">
        <f>IFERROR(__xludf.DUMMYFUNCTION("if(AE161 &lt;&gt; """", 
  LET(
    TargetLevel, VLOOKUP(AE161,MS_Labs_Array,3,false),
    LabSpeed, (1 * REGEXEXTRACT($BH$1, ""[\d.-]+"")) * {IF(AE161 =""Labs Speed"", 1+'Master Sheet'!$BK$5, LAB_SPEED_TOTAL())},
    MaxLevel, VLOOKUP(AE161,MS_Labs_Array,4,fal"&amp;"se),
    MaxOrTarget, IF(OR(TargetLevel = """",$AD$1 &lt;&gt; ""Target""), MaxLevel, TargetLevel),
    LabLevel, VLOOKUP(AE161,MS_Labs_Array,2,False),
    DVTColumn, MATCH(AE161, DVT_Laboratory!$A$1:BO$1, 0),
    xextTime, INDIRECT(""DVT_Laboratory!"" &amp; ADDRESS"&amp;"(LabLevel+3, DVTColumn)) / LabSpeed,
    remainingTime, SUM(INDIRECT(""DVT_Laboratory!"" &amp; ADDRESS(LabLevel+3, DVTColumn) &amp; "":"" &amp; ADDRESS(MaxOrTarget+2, DVTColumn))) / LabSpeed,
  AE161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61" s="1334"/>
      <c r="AI161" s="1334"/>
      <c r="AJ161" s="1334"/>
      <c r="AK161" s="1334"/>
      <c r="AL161" s="1250" t="str">
        <f>IFERROR(__xludf.DUMMYFUNCTION("if(AK161 &lt;&gt; """", 
  LET( 
    TargetLevel, VLOOKUP(AK161,MS_Labs_Array,3,false),
    MaxLevel, VLOOKUP(AK161,MS_Labs_Array,4,false),
    MaxOrTarget, IF(OR(TargetLevel = """",$AD$1 &lt;&gt; ""Target""), MaxLevel, TargetLevel),
    LabLevel, VLOOKUP(AK161,MS_La"&amp;"bs_Array,2,False),
    Levelprogress, LabLevel / MaxOrTarget,
    DVTColumn, MATCH(AK161,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61" s="1251" t="str">
        <f>IFERROR(__xludf.DUMMYFUNCTION("if(AK161 &lt;&gt; """", 
  LET(
    TargetLevel, VLOOKUP(AK161,MS_Labs_Array,3,false),
    LabSpeed, (1 * REGEXEXTRACT($BH$1, ""[\d.-]+"")) * {IF(AK161 =""Labs Speed"", 1+'Master Sheet'!$BK$5, LAB_SPEED_TOTAL())},
    MaxLevel, VLOOKUP(AK161,MS_Labs_Array,4,fal"&amp;"se),
    MaxOrTarget, IF(OR(TargetLevel = """",$AD$1 &lt;&gt; ""Target""), MaxLevel, TargetLevel),
    LabLevel, VLOOKUP(AK161,MS_Labs_Array,2,False),
    DVTColumn, MATCH(AK161, DVT_Laboratory!$A$1:BO$1, 0),
    xextTime, INDIRECT(""DVT_Laboratory!"" &amp; ADDRESS"&amp;"(LabLevel+3, DVTColumn)) / LabSpeed,
    remainingTime, SUM(INDIRECT(""DVT_Laboratory!"" &amp; ADDRESS(LabLevel+3, DVTColumn) &amp; "":"" &amp; ADDRESS(MaxOrTarget+2, DVTColumn))) / LabSpeed,
  AK161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61" s="1334"/>
      <c r="AO161" s="1334"/>
      <c r="AP161" s="1334"/>
      <c r="AQ161" s="1334"/>
      <c r="AR161" s="1250" t="str">
        <f>IFERROR(__xludf.DUMMYFUNCTION("if(AQ161 &lt;&gt; """", 
  LET( 
    TargetLevel, VLOOKUP(AQ161,MS_Labs_Array,3,false),
    MaxLevel, VLOOKUP(AQ161,MS_Labs_Array,4,false),
    MaxOrTarget, IF(OR(TargetLevel = """",$AD$1 &lt;&gt; ""Target""), MaxLevel, TargetLevel),
    LabLevel, VLOOKUP(AQ161,MS_La"&amp;"bs_Array,2,False),
    Levelprogress, LabLevel / MaxOrTarget,
    DVTColumn, MATCH(AQ161,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61" s="1251" t="str">
        <f>IFERROR(__xludf.DUMMYFUNCTION("if(AQ161 &lt;&gt; """", 
  LET(
    TargetLevel, VLOOKUP(AQ161,MS_Labs_Array,3,false),
    LabSpeed, (1 * REGEXEXTRACT($BH$1, ""[\d.-]+"")) * {IF(AQ161 =""Labs Speed"", 1+'Master Sheet'!$BK$5, LAB_SPEED_TOTAL())},
    MaxLevel, VLOOKUP(AQ161,MS_Labs_Array,4,fal"&amp;"se),
    MaxOrTarget, IF(OR(TargetLevel = """",$AD$1 &lt;&gt; ""Target""), MaxLevel, TargetLevel),
    LabLevel, VLOOKUP(AQ161,MS_Labs_Array,2,False),
    DVTColumn, MATCH(AQ161, DVT_Laboratory!$A$1:BO$1, 0),
    xextTime, INDIRECT(""DVT_Laboratory!"" &amp; ADDRESS"&amp;"(LabLevel+3, DVTColumn)) / LabSpeed,
    remainingTime, SUM(INDIRECT(""DVT_Laboratory!"" &amp; ADDRESS(LabLevel+3, DVTColumn) &amp; "":"" &amp; ADDRESS(MaxOrTarget+2, DVTColumn))) / LabSpeed,
  AQ161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61" s="1334"/>
      <c r="AU161" s="1334"/>
      <c r="AV161" s="1334"/>
      <c r="AW161" s="1334"/>
      <c r="AX161" s="1250" t="str">
        <f>IFERROR(__xludf.DUMMYFUNCTION("if(AW161 &lt;&gt; """", 
  LET( 
    TargetLevel, VLOOKUP(AW161,MS_Labs_Array,3,false),
    MaxLevel, VLOOKUP(AW161,MS_Labs_Array,4,false),
    MaxOrTarget, IF(OR(TargetLevel = """",$AD$1 &lt;&gt; ""Target""), MaxLevel, TargetLevel),
    LabLevel, VLOOKUP(AW161,MS_La"&amp;"bs_Array,2,False),
    Levelprogress, LabLevel / MaxOrTarget,
    DVTColumn, MATCH(AW161,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61" s="1251" t="str">
        <f>IFERROR(__xludf.DUMMYFUNCTION("if(AW161 &lt;&gt; """", 
  LET(
    TargetLevel, VLOOKUP(AW161,MS_Labs_Array,3,false),
    LabSpeed, (1 * REGEXEXTRACT($BH$1, ""[\d.-]+"")) * {IF(AW161 =""Labs Speed"", 1+'Master Sheet'!$BK$5, LAB_SPEED_TOTAL())},
    MaxLevel, VLOOKUP(AW161,MS_Labs_Array,4,fal"&amp;"se),
    MaxOrTarget, IF(OR(TargetLevel = """",$AD$1 &lt;&gt; ""Target""), MaxLevel, TargetLevel),
    LabLevel, VLOOKUP(AW161,MS_Labs_Array,2,False),
    DVTColumn, MATCH(AW161, DVT_Laboratory!$A$1:BO$1, 0),
    xextTime, INDIRECT(""DVT_Laboratory!"" &amp; ADDRESS"&amp;"(LabLevel+3, DVTColumn)) / LabSpeed,
    remainingTime, SUM(INDIRECT(""DVT_Laboratory!"" &amp; ADDRESS(LabLevel+3, DVTColumn) &amp; "":"" &amp; ADDRESS(MaxOrTarget+2, DVTColumn))) / LabSpeed,
  AW161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61" s="1334"/>
      <c r="BA161" s="1334"/>
      <c r="BB161" s="1334"/>
      <c r="BC161" s="1334"/>
      <c r="BD161" s="1250" t="str">
        <f>IFERROR(__xludf.DUMMYFUNCTION("if(BC161 &lt;&gt; """", 
  LET( 
    TargetLevel, VLOOKUP(BC161,MS_Labs_Array,3,false),
    MaxLevel, VLOOKUP(BC161,MS_Labs_Array,4,false),
    MaxOrTarget, IF(OR(TargetLevel = """",$AD$1 &lt;&gt; ""Target""), MaxLevel, TargetLevel),
    LabLevel, VLOOKUP(BC161,MS_La"&amp;"bs_Array,2,False),
    Levelprogress, LabLevel / MaxOrTarget,
    DVTColumn, MATCH(BC161,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61" s="1251" t="str">
        <f>IFERROR(__xludf.DUMMYFUNCTION("if(BC161 &lt;&gt; """", 
  LET(
    TargetLevel, VLOOKUP(BC161,MS_Labs_Array,3,false),
    LabSpeed, (1 * REGEXEXTRACT($BH$1, ""[\d.-]+"")) * {IF(BC161 =""Labs Speed"", 1+'Master Sheet'!$BK$5, LAB_SPEED_TOTAL())},
    MaxLevel, VLOOKUP(BC161,MS_Labs_Array,4,fal"&amp;"se),
    MaxOrTarget, IF(OR(TargetLevel = """",$AD$1 &lt;&gt; ""Target""), MaxLevel, TargetLevel),
    LabLevel, VLOOKUP(BC161,MS_Labs_Array,2,False),
    DVTColumn, MATCH(BC161, DVT_Laboratory!$A$1:BO$1, 0),
    xextTime, INDIRECT(""DVT_Laboratory!"" &amp; ADDRESS"&amp;"(LabLevel+3, DVTColumn)) / LabSpeed,
    remainingTime, SUM(INDIRECT(""DVT_Laboratory!"" &amp; ADDRESS(LabLevel+3, DVTColumn) &amp; "":"" &amp; ADDRESS(MaxOrTarget+2, DVTColumn))) / LabSpeed,
  BC161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61" s="1334"/>
      <c r="BG161" s="1334"/>
      <c r="BH161" s="1335"/>
      <c r="BI161" s="1336"/>
      <c r="BJ161" s="1253" t="str">
        <f>IFERROR(__xludf.DUMMYFUNCTION("if(BI161 &lt;&gt; """", 
  LET( 
    TargetLevel, VLOOKUP(BI161,MS_Labs_Array,3,false),
    MaxLevel, VLOOKUP(BI161,MS_Labs_Array,4,false),
    MaxOrTarget, IF(OR(TargetLevel = """",$AD$1 &lt;&gt; ""Target""), MaxLevel, TargetLevel),
    LabLevel, VLOOKUP(BI161,MS_La"&amp;"bs_Array,2,False),
    Levelprogress, IF(LabLevel &gt;= MaxOrTarget, 1, LabLevel / MaxOrTarget),
    DVTColumn, MATCH(BI161,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61" s="1254" t="str">
        <f>IFERROR(__xludf.DUMMYFUNCTION("if(BI161 &lt;&gt; """", 
  LET(
    TargetLevel, VLOOKUP(BI161,MS_Labs_Array,3,false),
    LabSpeed, (1 * REGEXEXTRACT($BH$1, ""[\d.-]+"")) * {IF(BI161 =""Labs Speed"", 1+'Master Sheet'!$BK$5, LAB_SPEED_TOTAL())},
    MaxLevel, VLOOKUP(BI161,MS_Labs_Array,4,fal"&amp;"se),
    MaxOrTarget, IF(OR(TargetLevel = """",$AD$1 &lt;&gt; ""Target""), MaxLevel, TargetLevel),
    LabLevel, VLOOKUP(BI161,MS_Labs_Array,2,False),
    DVTColumn, MATCH(BI161, DVT_Laboratory!$A$1:BO$1, 0),
    xextTime, INDIRECT(""DVT_Laboratory!"" &amp; ADDRESS"&amp;"(LabLevel+3, DVTColumn)) / LabSpeed,
    remainingTime, SUM(INDIRECT(""DVT_Laboratory!"" &amp; ADDRESS(LabLevel+3, DVTColumn) &amp; "":"" &amp; ADDRESS(MaxOrTarget+2, DVTColumn))) / LabSpeed,
  BI161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61" s="1336"/>
      <c r="BM161" s="1336"/>
      <c r="BN161" s="1222"/>
      <c r="BO161" s="1261"/>
    </row>
    <row r="162" ht="7.5" customHeight="1">
      <c r="A162" s="1222"/>
      <c r="B162" s="1257"/>
      <c r="C162" s="1333" t="s">
        <v>284</v>
      </c>
      <c r="D162" s="1280" t="str">
        <f>VLOOKUP(C162,'Remote Tier List'!A:D, 2, FALSE)</f>
        <v>C</v>
      </c>
      <c r="E162" s="1281" t="str">
        <f>VLOOKUP(C162,'Remote Tier List'!A:D, 3, FALSE)</f>
        <v/>
      </c>
      <c r="F162" s="1257"/>
      <c r="G162" s="1245" t="b">
        <f t="shared" si="26"/>
        <v>1</v>
      </c>
      <c r="H162" s="1246" t="str">
        <f t="array" ref="H162:I162">LET(
  Lab, $C162,
  Mode, $AD$1,
  Level, VLOOKUP(Lab, MS_Labs_Array, 2, FALSE),
  Target, VLOOKUP(Lab, MS_Labs_Array, 3, FALSE),
  Max, VLOOKUP(Lab, MS_Labs_Array, 4, FALSE),
  Result,
    IF(
      AND(
        Mode &lt;&gt; "Never",
        Level &gt;= IF(OR(Target = "", Mode = "Max"), Max, Target)
      ),
      "Completed",
      ""
    ),
  HSTACK(
    IF(Result &lt;&gt; "", Result, $D162),
    IF(Result &lt;&gt; "", Result, IF($E162 = "", $D162, $E162))
  )
)</f>
        <v>C</v>
      </c>
      <c r="I162" s="1247" t="s">
        <v>547</v>
      </c>
      <c r="J162" s="1248" t="str">
        <f t="shared" si="27"/>
        <v>Basically another reroll shards lab but arguably worse</v>
      </c>
      <c r="K162" s="1229"/>
      <c r="L162" s="1229" t="str">
        <f>IFERROR(__xludf.DUMMYFUNCTION("""COMPUTED_VALUE"""),"")</f>
        <v/>
      </c>
      <c r="M162" s="1229"/>
      <c r="N162" s="1337"/>
      <c r="O162" s="1337"/>
      <c r="P162" s="1229"/>
      <c r="Q162" s="1229" t="str">
        <f>IFERROR(__xludf.DUMMYFUNCTION("""COMPUTED_VALUE"""),"")</f>
        <v/>
      </c>
      <c r="R162" s="1229" t="str">
        <f>IFERROR(__xludf.DUMMYFUNCTION("""COMPUTED_VALUE"""),"")</f>
        <v/>
      </c>
      <c r="S162" s="1229"/>
      <c r="T162" s="1337"/>
      <c r="U162" s="1337"/>
      <c r="V162" s="1229"/>
      <c r="W162" s="1229" t="str">
        <f>IFERROR(__xludf.DUMMYFUNCTION("""COMPUTED_VALUE"""),"")</f>
        <v/>
      </c>
      <c r="X162" s="1229" t="str">
        <f>IFERROR(__xludf.DUMMYFUNCTION("""COMPUTED_VALUE"""),"")</f>
        <v/>
      </c>
      <c r="Y162" s="1229"/>
      <c r="Z162" s="1337"/>
      <c r="AA162" s="1337"/>
      <c r="AB162" s="1229"/>
      <c r="AC162" s="1229" t="str">
        <f>IFERROR(__xludf.DUMMYFUNCTION("""COMPUTED_VALUE"""),"")</f>
        <v/>
      </c>
      <c r="AD162" s="1229" t="str">
        <f>IFERROR(__xludf.DUMMYFUNCTION("""COMPUTED_VALUE"""),"")</f>
        <v/>
      </c>
      <c r="AE162" s="1229"/>
      <c r="AF162" s="1337"/>
      <c r="AG162" s="1337"/>
      <c r="AH162" s="1229"/>
      <c r="AI162" s="1229" t="str">
        <f>IFERROR(__xludf.DUMMYFUNCTION("""COMPUTED_VALUE"""),"")</f>
        <v/>
      </c>
      <c r="AJ162" s="1229" t="str">
        <f>IFERROR(__xludf.DUMMYFUNCTION("""COMPUTED_VALUE"""),"")</f>
        <v/>
      </c>
      <c r="AK162" s="1229"/>
      <c r="AL162" s="1337"/>
      <c r="AM162" s="1337"/>
      <c r="AN162" s="1229"/>
      <c r="AO162" s="1229" t="str">
        <f>IFERROR(__xludf.DUMMYFUNCTION("""COMPUTED_VALUE"""),"")</f>
        <v/>
      </c>
      <c r="AP162" s="1229" t="str">
        <f>IFERROR(__xludf.DUMMYFUNCTION("""COMPUTED_VALUE"""),"")</f>
        <v/>
      </c>
      <c r="AQ162" s="1229"/>
      <c r="AR162" s="1337"/>
      <c r="AS162" s="1337"/>
      <c r="AT162" s="1229"/>
      <c r="AU162" s="1229" t="str">
        <f>IFERROR(__xludf.DUMMYFUNCTION("""COMPUTED_VALUE"""),"")</f>
        <v/>
      </c>
      <c r="AV162" s="1229" t="str">
        <f>IFERROR(__xludf.DUMMYFUNCTION("""COMPUTED_VALUE"""),"")</f>
        <v/>
      </c>
      <c r="AW162" s="1229"/>
      <c r="AX162" s="1337"/>
      <c r="AY162" s="1337"/>
      <c r="AZ162" s="1229"/>
      <c r="BA162" s="1229" t="str">
        <f>IFERROR(__xludf.DUMMYFUNCTION("""COMPUTED_VALUE"""),"")</f>
        <v/>
      </c>
      <c r="BB162" s="1229" t="str">
        <f>IFERROR(__xludf.DUMMYFUNCTION("""COMPUTED_VALUE"""),"")</f>
        <v/>
      </c>
      <c r="BC162" s="1229"/>
      <c r="BD162" s="1337"/>
      <c r="BE162" s="1337"/>
      <c r="BF162" s="1229"/>
      <c r="BG162" s="1229" t="str">
        <f>IFERROR(__xludf.DUMMYFUNCTION("""COMPUTED_VALUE"""),"")</f>
        <v/>
      </c>
      <c r="BH162" s="1229" t="str">
        <f>IFERROR(__xludf.DUMMYFUNCTION("""COMPUTED_VALUE"""),"")</f>
        <v/>
      </c>
      <c r="BI162" s="1222"/>
      <c r="BJ162" s="1338"/>
      <c r="BK162" s="1338"/>
      <c r="BL162" s="1222"/>
      <c r="BM162" s="1222" t="str">
        <f>IFERROR(__xludf.DUMMYFUNCTION("""COMPUTED_VALUE"""),"")</f>
        <v/>
      </c>
      <c r="BN162" s="1222"/>
      <c r="BO162" s="1261"/>
    </row>
    <row r="163">
      <c r="A163" s="1222"/>
      <c r="B163" s="1257"/>
      <c r="C163" s="1333" t="s">
        <v>292</v>
      </c>
      <c r="D163" s="1280" t="str">
        <f>VLOOKUP(C163,'Remote Tier List'!A:D, 2, FALSE)</f>
        <v>C</v>
      </c>
      <c r="E163" s="1281" t="str">
        <f>VLOOKUP(C163,'Remote Tier List'!A:D, 3, FALSE)</f>
        <v/>
      </c>
      <c r="F163" s="1271"/>
      <c r="G163" s="1245" t="b">
        <f t="shared" si="26"/>
        <v>1</v>
      </c>
      <c r="H163" s="1246" t="str">
        <f t="array" ref="H163:I163">LET(
  Lab, $C163,
  Mode, $AD$1,
  Level, VLOOKUP(Lab, MS_Labs_Array, 2, FALSE),
  Target, VLOOKUP(Lab, MS_Labs_Array, 3, FALSE),
  Max, VLOOKUP(Lab, MS_Labs_Array, 4, FALSE),
  Result,
    IF(
      AND(
        Mode &lt;&gt; "Never",
        Level &gt;= IF(OR(Target = "", Mode = "Max"), Max, Target)
      ),
      "Completed",
      ""
    ),
  HSTACK(
    IF(Result &lt;&gt; "", Result, $D163),
    IF(Result &lt;&gt; "", Result, IF($E163 = "", $D163, $E163))
  )
)</f>
        <v>C</v>
      </c>
      <c r="I163" s="1247" t="s">
        <v>547</v>
      </c>
      <c r="J163" s="1248" t="str">
        <f t="shared" si="27"/>
        <v>Basically another reroll shards lab but arguably worse</v>
      </c>
      <c r="K163" s="1229"/>
      <c r="L163" s="1229"/>
      <c r="M163" s="1229"/>
      <c r="N163" s="1337"/>
      <c r="O163" s="1337"/>
      <c r="P163" s="1229"/>
      <c r="Q163" s="1229"/>
      <c r="R163" s="1229"/>
      <c r="S163" s="1229"/>
      <c r="T163" s="1337"/>
      <c r="U163" s="1337"/>
      <c r="V163" s="1229"/>
      <c r="W163" s="1229"/>
      <c r="X163" s="1229"/>
      <c r="Y163" s="1229"/>
      <c r="Z163" s="1337"/>
      <c r="AA163" s="1337"/>
      <c r="AB163" s="1229"/>
      <c r="AC163" s="1229"/>
      <c r="AD163" s="1229"/>
      <c r="AE163" s="1229"/>
      <c r="AF163" s="1337"/>
      <c r="AG163" s="1337"/>
      <c r="AH163" s="1229"/>
      <c r="AI163" s="1229"/>
      <c r="AJ163" s="1229"/>
      <c r="AK163" s="1229"/>
      <c r="AL163" s="1337"/>
      <c r="AM163" s="1337"/>
      <c r="AN163" s="1229"/>
      <c r="AO163" s="1229"/>
      <c r="AP163" s="1229"/>
      <c r="AQ163" s="1229"/>
      <c r="AR163" s="1337"/>
      <c r="AS163" s="1337"/>
      <c r="AT163" s="1229"/>
      <c r="AU163" s="1229"/>
      <c r="AV163" s="1229"/>
      <c r="AW163" s="1229"/>
      <c r="AX163" s="1337"/>
      <c r="AY163" s="1337"/>
      <c r="AZ163" s="1229"/>
      <c r="BA163" s="1229"/>
      <c r="BB163" s="1229"/>
      <c r="BC163" s="1229"/>
      <c r="BD163" s="1337"/>
      <c r="BE163" s="1337"/>
      <c r="BF163" s="1229"/>
      <c r="BG163" s="1229"/>
      <c r="BH163" s="1229"/>
      <c r="BI163" s="1222"/>
      <c r="BJ163" s="1338"/>
      <c r="BK163" s="1338"/>
      <c r="BL163" s="1222"/>
      <c r="BM163" s="1222"/>
      <c r="BN163" s="1222"/>
      <c r="BO163" s="1261"/>
    </row>
    <row r="164" ht="7.5" customHeight="1">
      <c r="A164" s="1222"/>
      <c r="B164" s="1269" t="s">
        <v>568</v>
      </c>
      <c r="C164" s="1339" t="s">
        <v>299</v>
      </c>
      <c r="D164" s="1280" t="str">
        <f>VLOOKUP(C164,'Remote Tier List'!A:D, 2, FALSE)</f>
        <v>A</v>
      </c>
      <c r="E164" s="1281" t="str">
        <f>VLOOKUP(C164,'Remote Tier List'!A:D, 3, FALSE)</f>
        <v/>
      </c>
      <c r="F164" s="1274"/>
      <c r="G164" s="1245" t="b">
        <f t="shared" si="26"/>
        <v>1</v>
      </c>
      <c r="H164" s="1246" t="str">
        <f t="array" ref="H164:I164">LET(
  Lab, $C164,
  Mode, $AD$1,
  Level, VLOOKUP(Lab, MS_Labs_Array, 2, FALSE),
  Target, VLOOKUP(Lab, MS_Labs_Array, 3, FALSE),
  Max, VLOOKUP(Lab, MS_Labs_Array, 4, FALSE),
  Result,
    IF(
      AND(
        Mode &lt;&gt; "Never",
        Level &gt;= IF(OR(Target = "", Mode = "Max"), Max, Target)
      ),
      "Completed",
      ""
    ),
  HSTACK(
    IF(Result &lt;&gt; "", Result, $D164),
    IF(Result &lt;&gt; "", Result, IF($E164 = "", $D164, $E164))
  )
)</f>
        <v>A</v>
      </c>
      <c r="I164" s="1247" t="s">
        <v>545</v>
      </c>
      <c r="J164" s="1248"/>
      <c r="K164" s="1229"/>
      <c r="L164" s="1229" t="str">
        <f>IFERROR(__xludf.DUMMYFUNCTION("""COMPUTED_VALUE"""),"")</f>
        <v/>
      </c>
      <c r="M164" s="1229"/>
      <c r="N164" s="1337"/>
      <c r="O164" s="1337"/>
      <c r="P164" s="1229"/>
      <c r="Q164" s="1229" t="str">
        <f>IFERROR(__xludf.DUMMYFUNCTION("""COMPUTED_VALUE"""),"")</f>
        <v/>
      </c>
      <c r="R164" s="1229" t="str">
        <f>IFERROR(__xludf.DUMMYFUNCTION("""COMPUTED_VALUE"""),"")</f>
        <v/>
      </c>
      <c r="S164" s="1229"/>
      <c r="T164" s="1337"/>
      <c r="U164" s="1337"/>
      <c r="V164" s="1229"/>
      <c r="W164" s="1229" t="str">
        <f>IFERROR(__xludf.DUMMYFUNCTION("""COMPUTED_VALUE"""),"")</f>
        <v/>
      </c>
      <c r="X164" s="1229" t="str">
        <f>IFERROR(__xludf.DUMMYFUNCTION("""COMPUTED_VALUE"""),"")</f>
        <v/>
      </c>
      <c r="Y164" s="1229"/>
      <c r="Z164" s="1337"/>
      <c r="AA164" s="1337"/>
      <c r="AB164" s="1229"/>
      <c r="AC164" s="1229" t="str">
        <f>IFERROR(__xludf.DUMMYFUNCTION("""COMPUTED_VALUE"""),"")</f>
        <v/>
      </c>
      <c r="AD164" s="1229" t="str">
        <f>IFERROR(__xludf.DUMMYFUNCTION("""COMPUTED_VALUE"""),"")</f>
        <v/>
      </c>
      <c r="AE164" s="1229"/>
      <c r="AF164" s="1337"/>
      <c r="AG164" s="1337"/>
      <c r="AH164" s="1229"/>
      <c r="AI164" s="1229" t="str">
        <f>IFERROR(__xludf.DUMMYFUNCTION("""COMPUTED_VALUE"""),"")</f>
        <v/>
      </c>
      <c r="AJ164" s="1229" t="str">
        <f>IFERROR(__xludf.DUMMYFUNCTION("""COMPUTED_VALUE"""),"")</f>
        <v/>
      </c>
      <c r="AK164" s="1229"/>
      <c r="AL164" s="1337"/>
      <c r="AM164" s="1337"/>
      <c r="AN164" s="1229"/>
      <c r="AO164" s="1229" t="str">
        <f>IFERROR(__xludf.DUMMYFUNCTION("""COMPUTED_VALUE"""),"")</f>
        <v/>
      </c>
      <c r="AP164" s="1229" t="str">
        <f>IFERROR(__xludf.DUMMYFUNCTION("""COMPUTED_VALUE"""),"")</f>
        <v/>
      </c>
      <c r="AQ164" s="1229"/>
      <c r="AR164" s="1337"/>
      <c r="AS164" s="1337"/>
      <c r="AT164" s="1229"/>
      <c r="AU164" s="1229" t="str">
        <f>IFERROR(__xludf.DUMMYFUNCTION("""COMPUTED_VALUE"""),"")</f>
        <v/>
      </c>
      <c r="AV164" s="1229" t="str">
        <f>IFERROR(__xludf.DUMMYFUNCTION("""COMPUTED_VALUE"""),"")</f>
        <v/>
      </c>
      <c r="AW164" s="1229"/>
      <c r="AX164" s="1337"/>
      <c r="AY164" s="1337"/>
      <c r="AZ164" s="1229"/>
      <c r="BA164" s="1229" t="str">
        <f>IFERROR(__xludf.DUMMYFUNCTION("""COMPUTED_VALUE"""),"")</f>
        <v/>
      </c>
      <c r="BB164" s="1229" t="str">
        <f>IFERROR(__xludf.DUMMYFUNCTION("""COMPUTED_VALUE"""),"")</f>
        <v/>
      </c>
      <c r="BC164" s="1229"/>
      <c r="BD164" s="1337"/>
      <c r="BE164" s="1337"/>
      <c r="BF164" s="1229"/>
      <c r="BG164" s="1229" t="str">
        <f>IFERROR(__xludf.DUMMYFUNCTION("""COMPUTED_VALUE"""),"")</f>
        <v/>
      </c>
      <c r="BH164" s="1229" t="str">
        <f>IFERROR(__xludf.DUMMYFUNCTION("""COMPUTED_VALUE"""),"")</f>
        <v/>
      </c>
      <c r="BI164" s="1222"/>
      <c r="BJ164" s="1338"/>
      <c r="BK164" s="1338"/>
      <c r="BL164" s="1222"/>
      <c r="BM164" s="1222" t="str">
        <f>IFERROR(__xludf.DUMMYFUNCTION("""COMPUTED_VALUE"""),"")</f>
        <v/>
      </c>
      <c r="BN164" s="1222"/>
      <c r="BO164" s="1261"/>
    </row>
    <row r="165">
      <c r="A165" s="1222"/>
      <c r="B165" s="1257"/>
      <c r="C165" s="1339" t="s">
        <v>306</v>
      </c>
      <c r="D165" s="1280" t="str">
        <f>VLOOKUP(C165,'Remote Tier List'!A:D, 2, FALSE)</f>
        <v>A</v>
      </c>
      <c r="E165" s="1281" t="str">
        <f>VLOOKUP(C165,'Remote Tier List'!A:D, 3, FALSE)</f>
        <v/>
      </c>
      <c r="F165" s="1274"/>
      <c r="G165" s="1245" t="b">
        <f t="shared" si="26"/>
        <v>1</v>
      </c>
      <c r="H165" s="1246" t="str">
        <f t="array" ref="H165:I165">LET(
  Lab, $C165,
  Mode, $AD$1,
  Level, VLOOKUP(Lab, MS_Labs_Array, 2, FALSE),
  Target, VLOOKUP(Lab, MS_Labs_Array, 3, FALSE),
  Max, VLOOKUP(Lab, MS_Labs_Array, 4, FALSE),
  Result,
    IF(
      AND(
        Mode &lt;&gt; "Never",
        Level &gt;= IF(OR(Target = "", Mode = "Max"), Max, Target)
      ),
      "Completed",
      ""
    ),
  HSTACK(
    IF(Result &lt;&gt; "", Result, $D165),
    IF(Result &lt;&gt; "", Result, IF($E165 = "", $D165, $E165))
  )
)</f>
        <v>A</v>
      </c>
      <c r="I165" s="1247" t="s">
        <v>545</v>
      </c>
      <c r="J165" s="1248"/>
      <c r="K165" s="1229"/>
      <c r="L165" s="1229"/>
      <c r="M165" s="1229"/>
      <c r="N165" s="1337"/>
      <c r="O165" s="1337"/>
      <c r="P165" s="1229"/>
      <c r="Q165" s="1229"/>
      <c r="R165" s="1229"/>
      <c r="S165" s="1229"/>
      <c r="T165" s="1337"/>
      <c r="U165" s="1337"/>
      <c r="V165" s="1229"/>
      <c r="W165" s="1229"/>
      <c r="X165" s="1229"/>
      <c r="Y165" s="1229"/>
      <c r="Z165" s="1337"/>
      <c r="AA165" s="1337"/>
      <c r="AB165" s="1229"/>
      <c r="AC165" s="1229"/>
      <c r="AD165" s="1229"/>
      <c r="AE165" s="1229"/>
      <c r="AF165" s="1337"/>
      <c r="AG165" s="1337"/>
      <c r="AH165" s="1229"/>
      <c r="AI165" s="1229"/>
      <c r="AJ165" s="1229"/>
      <c r="AK165" s="1229"/>
      <c r="AL165" s="1337"/>
      <c r="AM165" s="1337"/>
      <c r="AN165" s="1229"/>
      <c r="AO165" s="1229"/>
      <c r="AP165" s="1229"/>
      <c r="AQ165" s="1229"/>
      <c r="AR165" s="1337"/>
      <c r="AS165" s="1337"/>
      <c r="AT165" s="1229"/>
      <c r="AU165" s="1229"/>
      <c r="AV165" s="1229"/>
      <c r="AW165" s="1229"/>
      <c r="AX165" s="1337"/>
      <c r="AY165" s="1337"/>
      <c r="AZ165" s="1229"/>
      <c r="BA165" s="1229"/>
      <c r="BB165" s="1229"/>
      <c r="BC165" s="1229"/>
      <c r="BD165" s="1337"/>
      <c r="BE165" s="1337"/>
      <c r="BF165" s="1229"/>
      <c r="BG165" s="1229"/>
      <c r="BH165" s="1229"/>
      <c r="BI165" s="1222"/>
      <c r="BJ165" s="1338"/>
      <c r="BK165" s="1338"/>
      <c r="BL165" s="1222"/>
      <c r="BM165" s="1222"/>
      <c r="BN165" s="1222"/>
      <c r="BO165" s="1261"/>
    </row>
    <row r="166" ht="7.5" customHeight="1">
      <c r="A166" s="1222"/>
      <c r="B166" s="1257"/>
      <c r="C166" s="1339" t="s">
        <v>313</v>
      </c>
      <c r="D166" s="1280" t="str">
        <f>VLOOKUP(C166,'Remote Tier List'!A:D, 2, FALSE)</f>
        <v>S</v>
      </c>
      <c r="E166" s="1281" t="str">
        <f>VLOOKUP(C166,'Remote Tier List'!A:D, 3, FALSE)</f>
        <v/>
      </c>
      <c r="F166" s="1274"/>
      <c r="G166" s="1245" t="b">
        <f t="shared" si="26"/>
        <v>1</v>
      </c>
      <c r="H166" s="1246" t="str">
        <f t="array" ref="H166:I166">LET(
  Lab, $C166,
  Mode, $AD$1,
  Level, VLOOKUP(Lab, MS_Labs_Array, 2, FALSE),
  Target, VLOOKUP(Lab, MS_Labs_Array, 3, FALSE),
  Max, VLOOKUP(Lab, MS_Labs_Array, 4, FALSE),
  Result,
    IF(
      AND(
        Mode &lt;&gt; "Never",
        Level &gt;= IF(OR(Target = "", Mode = "Max"), Max, Target)
      ),
      "Completed",
      ""
    ),
  HSTACK(
    IF(Result &lt;&gt; "", Result, $D166),
    IF(Result &lt;&gt; "", Result, IF($E166 = "", $D166, $E166))
  )
)</f>
        <v>S</v>
      </c>
      <c r="I166" s="1247" t="s">
        <v>544</v>
      </c>
      <c r="J166" s="1248"/>
      <c r="K166" s="1229"/>
      <c r="L166" s="1229" t="str">
        <f>IFERROR(__xludf.DUMMYFUNCTION("""COMPUTED_VALUE"""),"")</f>
        <v/>
      </c>
      <c r="M166" s="1229"/>
      <c r="N166" s="1337"/>
      <c r="O166" s="1337"/>
      <c r="P166" s="1229"/>
      <c r="Q166" s="1229" t="str">
        <f>IFERROR(__xludf.DUMMYFUNCTION("""COMPUTED_VALUE"""),"")</f>
        <v/>
      </c>
      <c r="R166" s="1229" t="str">
        <f>IFERROR(__xludf.DUMMYFUNCTION("""COMPUTED_VALUE"""),"")</f>
        <v/>
      </c>
      <c r="S166" s="1229"/>
      <c r="T166" s="1337"/>
      <c r="U166" s="1337"/>
      <c r="V166" s="1229"/>
      <c r="W166" s="1229" t="str">
        <f>IFERROR(__xludf.DUMMYFUNCTION("""COMPUTED_VALUE"""),"")</f>
        <v/>
      </c>
      <c r="X166" s="1229" t="str">
        <f>IFERROR(__xludf.DUMMYFUNCTION("""COMPUTED_VALUE"""),"")</f>
        <v/>
      </c>
      <c r="Y166" s="1229"/>
      <c r="Z166" s="1337"/>
      <c r="AA166" s="1337"/>
      <c r="AB166" s="1229"/>
      <c r="AC166" s="1229" t="str">
        <f>IFERROR(__xludf.DUMMYFUNCTION("""COMPUTED_VALUE"""),"")</f>
        <v/>
      </c>
      <c r="AD166" s="1229" t="str">
        <f>IFERROR(__xludf.DUMMYFUNCTION("""COMPUTED_VALUE"""),"")</f>
        <v/>
      </c>
      <c r="AE166" s="1229"/>
      <c r="AF166" s="1337"/>
      <c r="AG166" s="1337"/>
      <c r="AH166" s="1229"/>
      <c r="AI166" s="1229" t="str">
        <f>IFERROR(__xludf.DUMMYFUNCTION("""COMPUTED_VALUE"""),"")</f>
        <v/>
      </c>
      <c r="AJ166" s="1229" t="str">
        <f>IFERROR(__xludf.DUMMYFUNCTION("""COMPUTED_VALUE"""),"")</f>
        <v/>
      </c>
      <c r="AK166" s="1229"/>
      <c r="AL166" s="1337"/>
      <c r="AM166" s="1337"/>
      <c r="AN166" s="1229"/>
      <c r="AO166" s="1229" t="str">
        <f>IFERROR(__xludf.DUMMYFUNCTION("""COMPUTED_VALUE"""),"")</f>
        <v/>
      </c>
      <c r="AP166" s="1229" t="str">
        <f>IFERROR(__xludf.DUMMYFUNCTION("""COMPUTED_VALUE"""),"")</f>
        <v/>
      </c>
      <c r="AQ166" s="1229"/>
      <c r="AR166" s="1337"/>
      <c r="AS166" s="1337"/>
      <c r="AT166" s="1229"/>
      <c r="AU166" s="1229" t="str">
        <f>IFERROR(__xludf.DUMMYFUNCTION("""COMPUTED_VALUE"""),"")</f>
        <v/>
      </c>
      <c r="AV166" s="1229" t="str">
        <f>IFERROR(__xludf.DUMMYFUNCTION("""COMPUTED_VALUE"""),"")</f>
        <v/>
      </c>
      <c r="AW166" s="1229"/>
      <c r="AX166" s="1337"/>
      <c r="AY166" s="1337"/>
      <c r="AZ166" s="1229"/>
      <c r="BA166" s="1229" t="str">
        <f>IFERROR(__xludf.DUMMYFUNCTION("""COMPUTED_VALUE"""),"")</f>
        <v/>
      </c>
      <c r="BB166" s="1229" t="str">
        <f>IFERROR(__xludf.DUMMYFUNCTION("""COMPUTED_VALUE"""),"")</f>
        <v/>
      </c>
      <c r="BC166" s="1229"/>
      <c r="BD166" s="1337"/>
      <c r="BE166" s="1337"/>
      <c r="BF166" s="1229"/>
      <c r="BG166" s="1229" t="str">
        <f>IFERROR(__xludf.DUMMYFUNCTION("""COMPUTED_VALUE"""),"")</f>
        <v/>
      </c>
      <c r="BH166" s="1229" t="str">
        <f>IFERROR(__xludf.DUMMYFUNCTION("""COMPUTED_VALUE"""),"")</f>
        <v/>
      </c>
      <c r="BI166" s="1222"/>
      <c r="BJ166" s="1338"/>
      <c r="BK166" s="1338"/>
      <c r="BL166" s="1222"/>
      <c r="BM166" s="1222" t="str">
        <f>IFERROR(__xludf.DUMMYFUNCTION("""COMPUTED_VALUE"""),"")</f>
        <v/>
      </c>
      <c r="BN166" s="1222"/>
      <c r="BO166" s="1261"/>
    </row>
    <row r="167">
      <c r="A167" s="1222"/>
      <c r="B167" s="1257"/>
      <c r="C167" s="1339" t="s">
        <v>320</v>
      </c>
      <c r="D167" s="1280" t="str">
        <f>VLOOKUP(C167,'Remote Tier List'!A:D, 2, FALSE)</f>
        <v>S</v>
      </c>
      <c r="E167" s="1281" t="str">
        <f>VLOOKUP(C167,'Remote Tier List'!A:D, 3, FALSE)</f>
        <v/>
      </c>
      <c r="F167" s="1274"/>
      <c r="G167" s="1245" t="b">
        <f t="shared" si="26"/>
        <v>1</v>
      </c>
      <c r="H167" s="1246" t="str">
        <f t="array" ref="H167:I167">LET(
  Lab, $C167,
  Mode, $AD$1,
  Level, VLOOKUP(Lab, MS_Labs_Array, 2, FALSE),
  Target, VLOOKUP(Lab, MS_Labs_Array, 3, FALSE),
  Max, VLOOKUP(Lab, MS_Labs_Array, 4, FALSE),
  Result,
    IF(
      AND(
        Mode &lt;&gt; "Never",
        Level &gt;= IF(OR(Target = "", Mode = "Max"), Max, Target)
      ),
      "Completed",
      ""
    ),
  HSTACK(
    IF(Result &lt;&gt; "", Result, $D167),
    IF(Result &lt;&gt; "", Result, IF($E167 = "", $D167, $E167))
  )
)</f>
        <v>S</v>
      </c>
      <c r="I167" s="1247" t="s">
        <v>544</v>
      </c>
      <c r="J167" s="1248"/>
      <c r="K167" s="1229"/>
      <c r="L167" s="1229"/>
      <c r="M167" s="1229"/>
      <c r="N167" s="1337"/>
      <c r="O167" s="1337"/>
      <c r="P167" s="1229"/>
      <c r="Q167" s="1229"/>
      <c r="R167" s="1229"/>
      <c r="S167" s="1229"/>
      <c r="T167" s="1337"/>
      <c r="U167" s="1337"/>
      <c r="V167" s="1229"/>
      <c r="W167" s="1229"/>
      <c r="X167" s="1229"/>
      <c r="Y167" s="1229"/>
      <c r="Z167" s="1337"/>
      <c r="AA167" s="1337"/>
      <c r="AB167" s="1229"/>
      <c r="AC167" s="1229"/>
      <c r="AD167" s="1229"/>
      <c r="AE167" s="1229"/>
      <c r="AF167" s="1337"/>
      <c r="AG167" s="1337"/>
      <c r="AH167" s="1229"/>
      <c r="AI167" s="1229"/>
      <c r="AJ167" s="1229"/>
      <c r="AK167" s="1229"/>
      <c r="AL167" s="1337"/>
      <c r="AM167" s="1337"/>
      <c r="AN167" s="1229"/>
      <c r="AO167" s="1229"/>
      <c r="AP167" s="1229"/>
      <c r="AQ167" s="1229"/>
      <c r="AR167" s="1337"/>
      <c r="AS167" s="1337"/>
      <c r="AT167" s="1229"/>
      <c r="AU167" s="1229"/>
      <c r="AV167" s="1229"/>
      <c r="AW167" s="1229"/>
      <c r="AX167" s="1337"/>
      <c r="AY167" s="1337"/>
      <c r="AZ167" s="1229"/>
      <c r="BA167" s="1229"/>
      <c r="BB167" s="1229"/>
      <c r="BC167" s="1229"/>
      <c r="BD167" s="1337"/>
      <c r="BE167" s="1337"/>
      <c r="BF167" s="1229"/>
      <c r="BG167" s="1229"/>
      <c r="BH167" s="1229"/>
      <c r="BI167" s="1222"/>
      <c r="BJ167" s="1338"/>
      <c r="BK167" s="1338"/>
      <c r="BL167" s="1222"/>
      <c r="BM167" s="1222"/>
      <c r="BN167" s="1222"/>
      <c r="BO167" s="1261"/>
    </row>
    <row r="168" ht="7.5" customHeight="1">
      <c r="A168" s="1222"/>
      <c r="B168" s="1257"/>
      <c r="C168" s="1339" t="s">
        <v>326</v>
      </c>
      <c r="D168" s="1280" t="str">
        <f>VLOOKUP(C168,'Remote Tier List'!A:D, 2, FALSE)</f>
        <v>B</v>
      </c>
      <c r="E168" s="1281" t="str">
        <f>VLOOKUP(C168,'Remote Tier List'!A:D, 3, FALSE)</f>
        <v/>
      </c>
      <c r="F168" s="1274"/>
      <c r="G168" s="1245" t="b">
        <f t="shared" si="26"/>
        <v>1</v>
      </c>
      <c r="H168" s="1246" t="str">
        <f t="array" ref="H168:I168">LET(
  Lab, $C168,
  Mode, $AD$1,
  Level, VLOOKUP(Lab, MS_Labs_Array, 2, FALSE),
  Target, VLOOKUP(Lab, MS_Labs_Array, 3, FALSE),
  Max, VLOOKUP(Lab, MS_Labs_Array, 4, FALSE),
  Result,
    IF(
      AND(
        Mode &lt;&gt; "Never",
        Level &gt;= IF(OR(Target = "", Mode = "Max"), Max, Target)
      ),
      "Completed",
      ""
    ),
  HSTACK(
    IF(Result &lt;&gt; "", Result, $D168),
    IF(Result &lt;&gt; "", Result, IF($E168 = "", $D168, $E168))
  )
)</f>
        <v>B</v>
      </c>
      <c r="I168" s="1247" t="s">
        <v>546</v>
      </c>
      <c r="J168" s="1248" t="str">
        <f>if(ISBLANK(F168),J167, F168)</f>
        <v/>
      </c>
      <c r="K168" s="1229"/>
      <c r="L168" s="1229" t="str">
        <f>IFERROR(__xludf.DUMMYFUNCTION("""COMPUTED_VALUE"""),"")</f>
        <v/>
      </c>
      <c r="M168" s="1229"/>
      <c r="N168" s="1337"/>
      <c r="O168" s="1337"/>
      <c r="P168" s="1229"/>
      <c r="Q168" s="1229" t="str">
        <f>IFERROR(__xludf.DUMMYFUNCTION("""COMPUTED_VALUE"""),"")</f>
        <v/>
      </c>
      <c r="R168" s="1229" t="str">
        <f>IFERROR(__xludf.DUMMYFUNCTION("""COMPUTED_VALUE"""),"")</f>
        <v/>
      </c>
      <c r="S168" s="1229"/>
      <c r="T168" s="1337"/>
      <c r="U168" s="1337"/>
      <c r="V168" s="1229"/>
      <c r="W168" s="1229" t="str">
        <f>IFERROR(__xludf.DUMMYFUNCTION("""COMPUTED_VALUE"""),"")</f>
        <v/>
      </c>
      <c r="X168" s="1229" t="str">
        <f>IFERROR(__xludf.DUMMYFUNCTION("""COMPUTED_VALUE"""),"")</f>
        <v/>
      </c>
      <c r="Y168" s="1229"/>
      <c r="Z168" s="1337"/>
      <c r="AA168" s="1337"/>
      <c r="AB168" s="1229"/>
      <c r="AC168" s="1229" t="str">
        <f>IFERROR(__xludf.DUMMYFUNCTION("""COMPUTED_VALUE"""),"")</f>
        <v/>
      </c>
      <c r="AD168" s="1229" t="str">
        <f>IFERROR(__xludf.DUMMYFUNCTION("""COMPUTED_VALUE"""),"")</f>
        <v/>
      </c>
      <c r="AE168" s="1229"/>
      <c r="AF168" s="1337"/>
      <c r="AG168" s="1337"/>
      <c r="AH168" s="1229"/>
      <c r="AI168" s="1229" t="str">
        <f>IFERROR(__xludf.DUMMYFUNCTION("""COMPUTED_VALUE"""),"")</f>
        <v/>
      </c>
      <c r="AJ168" s="1229" t="str">
        <f>IFERROR(__xludf.DUMMYFUNCTION("""COMPUTED_VALUE"""),"")</f>
        <v/>
      </c>
      <c r="AK168" s="1229"/>
      <c r="AL168" s="1337"/>
      <c r="AM168" s="1337"/>
      <c r="AN168" s="1229"/>
      <c r="AO168" s="1229" t="str">
        <f>IFERROR(__xludf.DUMMYFUNCTION("""COMPUTED_VALUE"""),"")</f>
        <v/>
      </c>
      <c r="AP168" s="1229" t="str">
        <f>IFERROR(__xludf.DUMMYFUNCTION("""COMPUTED_VALUE"""),"")</f>
        <v/>
      </c>
      <c r="AQ168" s="1229"/>
      <c r="AR168" s="1337"/>
      <c r="AS168" s="1337"/>
      <c r="AT168" s="1229"/>
      <c r="AU168" s="1229" t="str">
        <f>IFERROR(__xludf.DUMMYFUNCTION("""COMPUTED_VALUE"""),"")</f>
        <v/>
      </c>
      <c r="AV168" s="1229" t="str">
        <f>IFERROR(__xludf.DUMMYFUNCTION("""COMPUTED_VALUE"""),"")</f>
        <v/>
      </c>
      <c r="AW168" s="1229"/>
      <c r="AX168" s="1337"/>
      <c r="AY168" s="1337"/>
      <c r="AZ168" s="1229"/>
      <c r="BA168" s="1229" t="str">
        <f>IFERROR(__xludf.DUMMYFUNCTION("""COMPUTED_VALUE"""),"")</f>
        <v/>
      </c>
      <c r="BB168" s="1229" t="str">
        <f>IFERROR(__xludf.DUMMYFUNCTION("""COMPUTED_VALUE"""),"")</f>
        <v/>
      </c>
      <c r="BC168" s="1229"/>
      <c r="BD168" s="1337"/>
      <c r="BE168" s="1337"/>
      <c r="BF168" s="1229"/>
      <c r="BG168" s="1229" t="str">
        <f>IFERROR(__xludf.DUMMYFUNCTION("""COMPUTED_VALUE"""),"")</f>
        <v/>
      </c>
      <c r="BH168" s="1229" t="str">
        <f>IFERROR(__xludf.DUMMYFUNCTION("""COMPUTED_VALUE"""),"")</f>
        <v/>
      </c>
      <c r="BI168" s="1222"/>
      <c r="BJ168" s="1338"/>
      <c r="BK168" s="1338"/>
      <c r="BL168" s="1222"/>
      <c r="BM168" s="1222" t="str">
        <f>IFERROR(__xludf.DUMMYFUNCTION("""COMPUTED_VALUE"""),"")</f>
        <v/>
      </c>
      <c r="BN168" s="1222"/>
      <c r="BO168" s="1261"/>
    </row>
    <row r="169">
      <c r="A169" s="1222"/>
      <c r="B169" s="1257"/>
      <c r="C169" s="1339" t="s">
        <v>331</v>
      </c>
      <c r="D169" s="1280" t="str">
        <f>VLOOKUP(C169,'Remote Tier List'!A:D, 2, FALSE)</f>
        <v>C</v>
      </c>
      <c r="E169" s="1281" t="str">
        <f>VLOOKUP(C169,'Remote Tier List'!A:D, 3, FALSE)</f>
        <v/>
      </c>
      <c r="F169" s="1274"/>
      <c r="G169" s="1245" t="b">
        <f t="shared" si="26"/>
        <v>1</v>
      </c>
      <c r="H169" s="1246" t="str">
        <f t="array" ref="H169:I169">LET(
  Lab, $C169,
  Mode, $AD$1,
  Level, VLOOKUP(Lab, MS_Labs_Array, 2, FALSE),
  Target, VLOOKUP(Lab, MS_Labs_Array, 3, FALSE),
  Max, VLOOKUP(Lab, MS_Labs_Array, 4, FALSE),
  Result,
    IF(
      AND(
        Mode &lt;&gt; "Never",
        Level &gt;= IF(OR(Target = "", Mode = "Max"), Max, Target)
      ),
      "Completed",
      ""
    ),
  HSTACK(
    IF(Result &lt;&gt; "", Result, $D169),
    IF(Result &lt;&gt; "", Result, IF($E169 = "", $D169, $E169))
  )
)</f>
        <v>C</v>
      </c>
      <c r="I169" s="1247" t="s">
        <v>547</v>
      </c>
      <c r="J169" s="1248"/>
      <c r="K169" s="1229"/>
      <c r="L169" s="1229"/>
      <c r="M169" s="1229"/>
      <c r="N169" s="1337"/>
      <c r="O169" s="1337"/>
      <c r="P169" s="1229"/>
      <c r="Q169" s="1229"/>
      <c r="R169" s="1229"/>
      <c r="S169" s="1229"/>
      <c r="T169" s="1337"/>
      <c r="U169" s="1337"/>
      <c r="V169" s="1229"/>
      <c r="W169" s="1229"/>
      <c r="X169" s="1229"/>
      <c r="Y169" s="1229"/>
      <c r="Z169" s="1337"/>
      <c r="AA169" s="1337"/>
      <c r="AB169" s="1229"/>
      <c r="AC169" s="1229"/>
      <c r="AD169" s="1229"/>
      <c r="AE169" s="1229"/>
      <c r="AF169" s="1337"/>
      <c r="AG169" s="1337"/>
      <c r="AH169" s="1229"/>
      <c r="AI169" s="1229"/>
      <c r="AJ169" s="1229"/>
      <c r="AK169" s="1229"/>
      <c r="AL169" s="1337"/>
      <c r="AM169" s="1337"/>
      <c r="AN169" s="1229"/>
      <c r="AO169" s="1229"/>
      <c r="AP169" s="1229"/>
      <c r="AQ169" s="1229"/>
      <c r="AR169" s="1337"/>
      <c r="AS169" s="1337"/>
      <c r="AT169" s="1229"/>
      <c r="AU169" s="1229"/>
      <c r="AV169" s="1229"/>
      <c r="AW169" s="1229"/>
      <c r="AX169" s="1337"/>
      <c r="AY169" s="1337"/>
      <c r="AZ169" s="1229"/>
      <c r="BA169" s="1229"/>
      <c r="BB169" s="1229"/>
      <c r="BC169" s="1229"/>
      <c r="BD169" s="1337"/>
      <c r="BE169" s="1337"/>
      <c r="BF169" s="1229"/>
      <c r="BG169" s="1229"/>
      <c r="BH169" s="1229"/>
      <c r="BI169" s="1222"/>
      <c r="BJ169" s="1338"/>
      <c r="BK169" s="1338"/>
      <c r="BL169" s="1222"/>
      <c r="BM169" s="1222"/>
      <c r="BN169" s="1222"/>
      <c r="BO169" s="1261"/>
    </row>
    <row r="170" ht="7.5" customHeight="1">
      <c r="A170" s="1222"/>
      <c r="B170" s="1257"/>
      <c r="C170" s="1339" t="s">
        <v>336</v>
      </c>
      <c r="D170" s="1280" t="str">
        <f>VLOOKUP(C170,'Remote Tier List'!A:D, 2, FALSE)</f>
        <v>A</v>
      </c>
      <c r="E170" s="1281" t="str">
        <f>VLOOKUP(C170,'Remote Tier List'!A:D, 3, FALSE)</f>
        <v/>
      </c>
      <c r="F170" s="1274"/>
      <c r="G170" s="1245" t="b">
        <f t="shared" si="26"/>
        <v>1</v>
      </c>
      <c r="H170" s="1246" t="str">
        <f t="array" ref="H170:I170">LET(
  Lab, $C170,
  Mode, $AD$1,
  Level, VLOOKUP(Lab, MS_Labs_Array, 2, FALSE),
  Target, VLOOKUP(Lab, MS_Labs_Array, 3, FALSE),
  Max, VLOOKUP(Lab, MS_Labs_Array, 4, FALSE),
  Result,
    IF(
      AND(
        Mode &lt;&gt; "Never",
        Level &gt;= IF(OR(Target = "", Mode = "Max"), Max, Target)
      ),
      "Completed",
      ""
    ),
  HSTACK(
    IF(Result &lt;&gt; "", Result, $D170),
    IF(Result &lt;&gt; "", Result, IF($E170 = "", $D170, $E170))
  )
)</f>
        <v>A</v>
      </c>
      <c r="I170" s="1247" t="s">
        <v>545</v>
      </c>
      <c r="J170" s="1248" t="str">
        <f t="shared" ref="J170:J171" si="28">if(ISBLANK(F170),J169, F170)</f>
        <v/>
      </c>
      <c r="K170" s="1229"/>
      <c r="L170" s="1229" t="str">
        <f>IFERROR(__xludf.DUMMYFUNCTION("""COMPUTED_VALUE"""),"")</f>
        <v/>
      </c>
      <c r="M170" s="1229"/>
      <c r="N170" s="1337"/>
      <c r="O170" s="1337"/>
      <c r="P170" s="1229"/>
      <c r="Q170" s="1229" t="str">
        <f>IFERROR(__xludf.DUMMYFUNCTION("""COMPUTED_VALUE"""),"")</f>
        <v/>
      </c>
      <c r="R170" s="1229" t="str">
        <f>IFERROR(__xludf.DUMMYFUNCTION("""COMPUTED_VALUE"""),"")</f>
        <v/>
      </c>
      <c r="S170" s="1229"/>
      <c r="T170" s="1337"/>
      <c r="U170" s="1337"/>
      <c r="V170" s="1229"/>
      <c r="W170" s="1229" t="str">
        <f>IFERROR(__xludf.DUMMYFUNCTION("""COMPUTED_VALUE"""),"")</f>
        <v/>
      </c>
      <c r="X170" s="1229" t="str">
        <f>IFERROR(__xludf.DUMMYFUNCTION("""COMPUTED_VALUE"""),"")</f>
        <v/>
      </c>
      <c r="Y170" s="1229"/>
      <c r="Z170" s="1337"/>
      <c r="AA170" s="1337"/>
      <c r="AB170" s="1229"/>
      <c r="AC170" s="1229" t="str">
        <f>IFERROR(__xludf.DUMMYFUNCTION("""COMPUTED_VALUE"""),"")</f>
        <v/>
      </c>
      <c r="AD170" s="1229" t="str">
        <f>IFERROR(__xludf.DUMMYFUNCTION("""COMPUTED_VALUE"""),"")</f>
        <v/>
      </c>
      <c r="AE170" s="1229"/>
      <c r="AF170" s="1337"/>
      <c r="AG170" s="1337"/>
      <c r="AH170" s="1229"/>
      <c r="AI170" s="1229" t="str">
        <f>IFERROR(__xludf.DUMMYFUNCTION("""COMPUTED_VALUE"""),"")</f>
        <v/>
      </c>
      <c r="AJ170" s="1229" t="str">
        <f>IFERROR(__xludf.DUMMYFUNCTION("""COMPUTED_VALUE"""),"")</f>
        <v/>
      </c>
      <c r="AK170" s="1229"/>
      <c r="AL170" s="1337"/>
      <c r="AM170" s="1337"/>
      <c r="AN170" s="1229"/>
      <c r="AO170" s="1229" t="str">
        <f>IFERROR(__xludf.DUMMYFUNCTION("""COMPUTED_VALUE"""),"")</f>
        <v/>
      </c>
      <c r="AP170" s="1229" t="str">
        <f>IFERROR(__xludf.DUMMYFUNCTION("""COMPUTED_VALUE"""),"")</f>
        <v/>
      </c>
      <c r="AQ170" s="1229"/>
      <c r="AR170" s="1337"/>
      <c r="AS170" s="1337"/>
      <c r="AT170" s="1229"/>
      <c r="AU170" s="1229" t="str">
        <f>IFERROR(__xludf.DUMMYFUNCTION("""COMPUTED_VALUE"""),"")</f>
        <v/>
      </c>
      <c r="AV170" s="1229" t="str">
        <f>IFERROR(__xludf.DUMMYFUNCTION("""COMPUTED_VALUE"""),"")</f>
        <v/>
      </c>
      <c r="AW170" s="1229"/>
      <c r="AX170" s="1337"/>
      <c r="AY170" s="1337"/>
      <c r="AZ170" s="1229"/>
      <c r="BA170" s="1229" t="str">
        <f>IFERROR(__xludf.DUMMYFUNCTION("""COMPUTED_VALUE"""),"")</f>
        <v/>
      </c>
      <c r="BB170" s="1229" t="str">
        <f>IFERROR(__xludf.DUMMYFUNCTION("""COMPUTED_VALUE"""),"")</f>
        <v/>
      </c>
      <c r="BC170" s="1229"/>
      <c r="BD170" s="1337"/>
      <c r="BE170" s="1337"/>
      <c r="BF170" s="1229"/>
      <c r="BG170" s="1229" t="str">
        <f>IFERROR(__xludf.DUMMYFUNCTION("""COMPUTED_VALUE"""),"")</f>
        <v/>
      </c>
      <c r="BH170" s="1229" t="str">
        <f>IFERROR(__xludf.DUMMYFUNCTION("""COMPUTED_VALUE"""),"")</f>
        <v/>
      </c>
      <c r="BI170" s="1222"/>
      <c r="BJ170" s="1338"/>
      <c r="BK170" s="1338"/>
      <c r="BL170" s="1222"/>
      <c r="BM170" s="1222" t="str">
        <f>IFERROR(__xludf.DUMMYFUNCTION("""COMPUTED_VALUE"""),"")</f>
        <v/>
      </c>
      <c r="BN170" s="1222"/>
      <c r="BO170" s="1261"/>
    </row>
    <row r="171">
      <c r="A171" s="1222"/>
      <c r="B171" s="1271"/>
      <c r="C171" s="1340" t="s">
        <v>341</v>
      </c>
      <c r="D171" s="1280" t="str">
        <f>VLOOKUP(C171,'Remote Tier List'!A:D, 2, FALSE)</f>
        <v>B</v>
      </c>
      <c r="E171" s="1281" t="str">
        <f>VLOOKUP(C171,'Remote Tier List'!A:D, 3, FALSE)</f>
        <v/>
      </c>
      <c r="F171" s="1274"/>
      <c r="G171" s="1245" t="b">
        <f t="shared" si="26"/>
        <v>1</v>
      </c>
      <c r="H171" s="1246" t="str">
        <f t="array" ref="H171:I171">LET(
  Lab, $C171,
  Mode, $AD$1,
  Level, VLOOKUP(Lab, MS_Labs_Array, 2, FALSE),
  Target, VLOOKUP(Lab, MS_Labs_Array, 3, FALSE),
  Max, VLOOKUP(Lab, MS_Labs_Array, 4, FALSE),
  Result,
    IF(
      AND(
        Mode &lt;&gt; "Never",
        Level &gt;= IF(OR(Target = "", Mode = "Max"), Max, Target)
      ),
      "Completed",
      ""
    ),
  HSTACK(
    IF(Result &lt;&gt; "", Result, $D171),
    IF(Result &lt;&gt; "", Result, IF($E171 = "", $D171, $E171))
  )
)</f>
        <v>B</v>
      </c>
      <c r="I171" s="1247" t="s">
        <v>546</v>
      </c>
      <c r="J171" s="1248" t="str">
        <f t="shared" si="28"/>
        <v/>
      </c>
      <c r="K171" s="1229"/>
      <c r="L171" s="1229"/>
      <c r="M171" s="1229"/>
      <c r="N171" s="1337"/>
      <c r="O171" s="1337"/>
      <c r="P171" s="1229"/>
      <c r="Q171" s="1229"/>
      <c r="R171" s="1229"/>
      <c r="S171" s="1229"/>
      <c r="T171" s="1337"/>
      <c r="U171" s="1337"/>
      <c r="V171" s="1229"/>
      <c r="W171" s="1229"/>
      <c r="X171" s="1229"/>
      <c r="Y171" s="1229"/>
      <c r="Z171" s="1337"/>
      <c r="AA171" s="1337"/>
      <c r="AB171" s="1229"/>
      <c r="AC171" s="1229"/>
      <c r="AD171" s="1229"/>
      <c r="AE171" s="1229"/>
      <c r="AF171" s="1337"/>
      <c r="AG171" s="1337"/>
      <c r="AH171" s="1229"/>
      <c r="AI171" s="1229"/>
      <c r="AJ171" s="1229"/>
      <c r="AK171" s="1229"/>
      <c r="AL171" s="1337"/>
      <c r="AM171" s="1337"/>
      <c r="AN171" s="1229"/>
      <c r="AO171" s="1229"/>
      <c r="AP171" s="1229"/>
      <c r="AQ171" s="1229"/>
      <c r="AR171" s="1337"/>
      <c r="AS171" s="1337"/>
      <c r="AT171" s="1229"/>
      <c r="AU171" s="1229"/>
      <c r="AV171" s="1229"/>
      <c r="AW171" s="1229"/>
      <c r="AX171" s="1337"/>
      <c r="AY171" s="1337"/>
      <c r="AZ171" s="1229"/>
      <c r="BA171" s="1229"/>
      <c r="BB171" s="1229"/>
      <c r="BC171" s="1229"/>
      <c r="BD171" s="1337"/>
      <c r="BE171" s="1337"/>
      <c r="BF171" s="1229"/>
      <c r="BG171" s="1229"/>
      <c r="BH171" s="1229"/>
      <c r="BI171" s="1222"/>
      <c r="BJ171" s="1338"/>
      <c r="BK171" s="1338"/>
      <c r="BL171" s="1222"/>
      <c r="BM171" s="1222"/>
      <c r="BN171" s="1222"/>
      <c r="BO171" s="1261"/>
    </row>
    <row r="172" ht="7.5" customHeight="1">
      <c r="A172" s="1222"/>
      <c r="B172" s="1274"/>
      <c r="C172" s="1275"/>
      <c r="D172" s="1274"/>
      <c r="E172" s="1274"/>
      <c r="F172" s="1274"/>
      <c r="G172" s="1296"/>
      <c r="H172" s="1297"/>
      <c r="I172" s="1297"/>
      <c r="J172" s="1248"/>
      <c r="K172" s="1229"/>
      <c r="L172" s="1229" t="str">
        <f>IFERROR(__xludf.DUMMYFUNCTION("""COMPUTED_VALUE"""),"")</f>
        <v/>
      </c>
      <c r="M172" s="1229"/>
      <c r="N172" s="1337"/>
      <c r="O172" s="1337"/>
      <c r="P172" s="1229"/>
      <c r="Q172" s="1229" t="str">
        <f>IFERROR(__xludf.DUMMYFUNCTION("""COMPUTED_VALUE"""),"")</f>
        <v/>
      </c>
      <c r="R172" s="1229" t="str">
        <f>IFERROR(__xludf.DUMMYFUNCTION("""COMPUTED_VALUE"""),"")</f>
        <v/>
      </c>
      <c r="S172" s="1229"/>
      <c r="T172" s="1337"/>
      <c r="U172" s="1337"/>
      <c r="V172" s="1229"/>
      <c r="W172" s="1229" t="str">
        <f>IFERROR(__xludf.DUMMYFUNCTION("""COMPUTED_VALUE"""),"")</f>
        <v/>
      </c>
      <c r="X172" s="1229" t="str">
        <f>IFERROR(__xludf.DUMMYFUNCTION("""COMPUTED_VALUE"""),"")</f>
        <v/>
      </c>
      <c r="Y172" s="1229"/>
      <c r="Z172" s="1337"/>
      <c r="AA172" s="1337"/>
      <c r="AB172" s="1229"/>
      <c r="AC172" s="1229" t="str">
        <f>IFERROR(__xludf.DUMMYFUNCTION("""COMPUTED_VALUE"""),"")</f>
        <v/>
      </c>
      <c r="AD172" s="1229" t="str">
        <f>IFERROR(__xludf.DUMMYFUNCTION("""COMPUTED_VALUE"""),"")</f>
        <v/>
      </c>
      <c r="AE172" s="1229"/>
      <c r="AF172" s="1337"/>
      <c r="AG172" s="1337"/>
      <c r="AH172" s="1229"/>
      <c r="AI172" s="1229" t="str">
        <f>IFERROR(__xludf.DUMMYFUNCTION("""COMPUTED_VALUE"""),"")</f>
        <v/>
      </c>
      <c r="AJ172" s="1229" t="str">
        <f>IFERROR(__xludf.DUMMYFUNCTION("""COMPUTED_VALUE"""),"")</f>
        <v/>
      </c>
      <c r="AK172" s="1229"/>
      <c r="AL172" s="1337"/>
      <c r="AM172" s="1337"/>
      <c r="AN172" s="1229"/>
      <c r="AO172" s="1229" t="str">
        <f>IFERROR(__xludf.DUMMYFUNCTION("""COMPUTED_VALUE"""),"")</f>
        <v/>
      </c>
      <c r="AP172" s="1229" t="str">
        <f>IFERROR(__xludf.DUMMYFUNCTION("""COMPUTED_VALUE"""),"")</f>
        <v/>
      </c>
      <c r="AQ172" s="1229"/>
      <c r="AR172" s="1337"/>
      <c r="AS172" s="1337"/>
      <c r="AT172" s="1229"/>
      <c r="AU172" s="1229" t="str">
        <f>IFERROR(__xludf.DUMMYFUNCTION("""COMPUTED_VALUE"""),"")</f>
        <v/>
      </c>
      <c r="AV172" s="1229" t="str">
        <f>IFERROR(__xludf.DUMMYFUNCTION("""COMPUTED_VALUE"""),"")</f>
        <v/>
      </c>
      <c r="AW172" s="1229"/>
      <c r="AX172" s="1337"/>
      <c r="AY172" s="1337"/>
      <c r="AZ172" s="1229"/>
      <c r="BA172" s="1229" t="str">
        <f>IFERROR(__xludf.DUMMYFUNCTION("""COMPUTED_VALUE"""),"")</f>
        <v/>
      </c>
      <c r="BB172" s="1229" t="str">
        <f>IFERROR(__xludf.DUMMYFUNCTION("""COMPUTED_VALUE"""),"")</f>
        <v/>
      </c>
      <c r="BC172" s="1229"/>
      <c r="BD172" s="1337"/>
      <c r="BE172" s="1337"/>
      <c r="BF172" s="1229"/>
      <c r="BG172" s="1229" t="str">
        <f>IFERROR(__xludf.DUMMYFUNCTION("""COMPUTED_VALUE"""),"")</f>
        <v/>
      </c>
      <c r="BH172" s="1229" t="str">
        <f>IFERROR(__xludf.DUMMYFUNCTION("""COMPUTED_VALUE"""),"")</f>
        <v/>
      </c>
      <c r="BI172" s="1222"/>
      <c r="BJ172" s="1338"/>
      <c r="BK172" s="1338"/>
      <c r="BL172" s="1222"/>
      <c r="BM172" s="1222" t="str">
        <f>IFERROR(__xludf.DUMMYFUNCTION("""COMPUTED_VALUE"""),"")</f>
        <v/>
      </c>
      <c r="BN172" s="1222"/>
      <c r="BO172" s="1261"/>
    </row>
    <row r="173">
      <c r="A173" s="1222"/>
      <c r="B173" s="1341" t="s">
        <v>569</v>
      </c>
      <c r="C173" s="1342" t="s">
        <v>164</v>
      </c>
      <c r="D173" s="1280" t="str">
        <f>VLOOKUP(C173,'Remote Tier List'!A:D, 2, FALSE)</f>
        <v>S+</v>
      </c>
      <c r="E173" s="1281" t="str">
        <f>VLOOKUP(C173,'Remote Tier List'!A:D, 3, FALSE)</f>
        <v/>
      </c>
      <c r="F173" s="1320" t="str">
        <f>VLOOKUP(C173,'Remote Tier List'!A:D, 4, FALSE)</f>
        <v>Very strong for those reaching max heat in tournaments. Removes 100% uptime on ultimate enemies. Great for farms in T14 and up</v>
      </c>
      <c r="G173" s="1245" t="b">
        <f t="shared" ref="G173:G192" si="29">LET(
  LabTierUnlock, DVT_LAB_UNLOCK_AT_TIER(C173),
  PlayerPbAtTier, IDS_PS_TIER_PB("Tier "&amp;LabTierUnlock),
  PlayerPb, "T"&amp;LabTierUnlock&amp;" "&amp;PlayerPbAtTier,
  DVT_HAS_LAB_UNLOCKED(C173, PlayerPb))</f>
        <v>0</v>
      </c>
      <c r="H173" s="1246" t="str">
        <f t="array" ref="H173:I173">LET(
  Lab, $C173,
  Mode, $AD$1,
  Level, VLOOKUP(Lab, MS_Labs_Array, 2, FALSE),
  Target, VLOOKUP(Lab, MS_Labs_Array, 3, FALSE),
  Max, VLOOKUP(Lab, MS_Labs_Array, 4, FALSE),
  Result,
    IF(
      AND(
        Mode &lt;&gt; "Never",
        Level &gt;= IF(OR(Target = "", Mode = "Max"), Max, Target)
      ),
      "Completed",
      ""
    ),
  HSTACK(
    IF(Result &lt;&gt; "", Result, $D173),
    IF(Result &lt;&gt; "", Result, IF($E173 = "", $D173, $E173))
  )
)</f>
        <v>S+</v>
      </c>
      <c r="I173" s="1247" t="s">
        <v>543</v>
      </c>
      <c r="J173" s="1248" t="str">
        <f t="shared" ref="J173:J179" si="30">if(ISBLANK(F173),J172, F173)</f>
        <v>Very strong for those reaching max heat in tournaments. Removes 100% uptime on ultimate enemies. Great for farms in T14 and up</v>
      </c>
      <c r="K173" s="1229"/>
      <c r="L173" s="1259"/>
      <c r="M173" s="1259"/>
      <c r="N173" s="1337"/>
      <c r="O173" s="1337"/>
      <c r="P173" s="1259"/>
      <c r="Q173" s="1259"/>
      <c r="R173" s="1259"/>
      <c r="S173" s="1259"/>
      <c r="T173" s="1337"/>
      <c r="U173" s="1337"/>
      <c r="V173" s="1259"/>
      <c r="W173" s="1259"/>
      <c r="X173" s="1259"/>
      <c r="Y173" s="1259"/>
      <c r="Z173" s="1337"/>
      <c r="AA173" s="1337"/>
      <c r="AB173" s="1259"/>
      <c r="AC173" s="1259"/>
      <c r="AD173" s="1259"/>
      <c r="AE173" s="1259"/>
      <c r="AF173" s="1337"/>
      <c r="AG173" s="1337"/>
      <c r="AH173" s="1259"/>
      <c r="AI173" s="1259"/>
      <c r="AJ173" s="1259"/>
      <c r="AK173" s="1259"/>
      <c r="AL173" s="1337"/>
      <c r="AM173" s="1337"/>
      <c r="AN173" s="1259"/>
      <c r="AO173" s="1259"/>
      <c r="AP173" s="1259"/>
      <c r="AQ173" s="1259"/>
      <c r="AR173" s="1337"/>
      <c r="AS173" s="1337"/>
      <c r="AT173" s="1259"/>
      <c r="AU173" s="1259"/>
      <c r="AV173" s="1259"/>
      <c r="AW173" s="1259"/>
      <c r="AX173" s="1337"/>
      <c r="AY173" s="1337"/>
      <c r="AZ173" s="1259"/>
      <c r="BA173" s="1259"/>
      <c r="BB173" s="1259"/>
      <c r="BC173" s="1259"/>
      <c r="BD173" s="1337"/>
      <c r="BE173" s="1337"/>
      <c r="BF173" s="1259"/>
      <c r="BG173" s="1259"/>
      <c r="BH173" s="1229"/>
      <c r="BI173" s="1343"/>
      <c r="BJ173" s="1338"/>
      <c r="BK173" s="1338"/>
      <c r="BL173" s="1343"/>
      <c r="BM173" s="1343"/>
      <c r="BN173" s="1222"/>
      <c r="BO173" s="1261"/>
    </row>
    <row r="174" ht="7.5" customHeight="1">
      <c r="A174" s="1222"/>
      <c r="B174" s="1269" t="s">
        <v>568</v>
      </c>
      <c r="C174" s="1344" t="s">
        <v>179</v>
      </c>
      <c r="D174" s="1280" t="str">
        <f>VLOOKUP(C174,'Remote Tier List'!A:D, 2, FALSE)</f>
        <v>C</v>
      </c>
      <c r="E174" s="1281" t="str">
        <f>VLOOKUP(C174,'Remote Tier List'!A:D, 3, FALSE)</f>
        <v/>
      </c>
      <c r="F174" s="1258" t="str">
        <f>VLOOKUP(C174,'Remote Tier List'!A:D, 4, FALSE)</f>
        <v>Resistances get far weaker than most battle conditions with how they substract the effect</v>
      </c>
      <c r="G174" s="1245" t="b">
        <f t="shared" si="29"/>
        <v>0</v>
      </c>
      <c r="H174" s="1246" t="str">
        <f t="array" ref="H174:I174">LET(
  Lab, $C174,
  Mode, $AD$1,
  Level, VLOOKUP(Lab, MS_Labs_Array, 2, FALSE),
  Target, VLOOKUP(Lab, MS_Labs_Array, 3, FALSE),
  Max, VLOOKUP(Lab, MS_Labs_Array, 4, FALSE),
  Result,
    IF(
      AND(
        Mode &lt;&gt; "Never",
        Level &gt;= IF(OR(Target = "", Mode = "Max"), Max, Target)
      ),
      "Completed",
      ""
    ),
  HSTACK(
    IF(Result &lt;&gt; "", Result, $D174),
    IF(Result &lt;&gt; "", Result, IF($E174 = "", $D174, $E174))
  )
)</f>
        <v>C</v>
      </c>
      <c r="I174" s="1247" t="s">
        <v>547</v>
      </c>
      <c r="J174" s="1248" t="str">
        <f t="shared" si="30"/>
        <v>Resistances get far weaker than most battle conditions with how they substract the effect</v>
      </c>
      <c r="K174" s="1229"/>
      <c r="L174" s="1229" t="str">
        <f>IFERROR(__xludf.DUMMYFUNCTION("""COMPUTED_VALUE"""),"")</f>
        <v/>
      </c>
      <c r="M174" s="1229"/>
      <c r="N174" s="1337"/>
      <c r="O174" s="1337"/>
      <c r="P174" s="1229"/>
      <c r="Q174" s="1229" t="str">
        <f>IFERROR(__xludf.DUMMYFUNCTION("""COMPUTED_VALUE"""),"")</f>
        <v/>
      </c>
      <c r="R174" s="1229" t="str">
        <f>IFERROR(__xludf.DUMMYFUNCTION("""COMPUTED_VALUE"""),"")</f>
        <v/>
      </c>
      <c r="S174" s="1229"/>
      <c r="T174" s="1337"/>
      <c r="U174" s="1337"/>
      <c r="V174" s="1229"/>
      <c r="W174" s="1229" t="str">
        <f>IFERROR(__xludf.DUMMYFUNCTION("""COMPUTED_VALUE"""),"")</f>
        <v/>
      </c>
      <c r="X174" s="1229" t="str">
        <f>IFERROR(__xludf.DUMMYFUNCTION("""COMPUTED_VALUE"""),"")</f>
        <v/>
      </c>
      <c r="Y174" s="1229"/>
      <c r="Z174" s="1337"/>
      <c r="AA174" s="1337"/>
      <c r="AB174" s="1229"/>
      <c r="AC174" s="1229" t="str">
        <f>IFERROR(__xludf.DUMMYFUNCTION("""COMPUTED_VALUE"""),"")</f>
        <v/>
      </c>
      <c r="AD174" s="1229" t="str">
        <f>IFERROR(__xludf.DUMMYFUNCTION("""COMPUTED_VALUE"""),"")</f>
        <v/>
      </c>
      <c r="AE174" s="1229"/>
      <c r="AF174" s="1337"/>
      <c r="AG174" s="1337"/>
      <c r="AH174" s="1229"/>
      <c r="AI174" s="1229" t="str">
        <f>IFERROR(__xludf.DUMMYFUNCTION("""COMPUTED_VALUE"""),"")</f>
        <v/>
      </c>
      <c r="AJ174" s="1229" t="str">
        <f>IFERROR(__xludf.DUMMYFUNCTION("""COMPUTED_VALUE"""),"")</f>
        <v/>
      </c>
      <c r="AK174" s="1229"/>
      <c r="AL174" s="1337"/>
      <c r="AM174" s="1337"/>
      <c r="AN174" s="1229"/>
      <c r="AO174" s="1229" t="str">
        <f>IFERROR(__xludf.DUMMYFUNCTION("""COMPUTED_VALUE"""),"")</f>
        <v/>
      </c>
      <c r="AP174" s="1229" t="str">
        <f>IFERROR(__xludf.DUMMYFUNCTION("""COMPUTED_VALUE"""),"")</f>
        <v/>
      </c>
      <c r="AQ174" s="1229"/>
      <c r="AR174" s="1337"/>
      <c r="AS174" s="1337"/>
      <c r="AT174" s="1229"/>
      <c r="AU174" s="1229" t="str">
        <f>IFERROR(__xludf.DUMMYFUNCTION("""COMPUTED_VALUE"""),"")</f>
        <v/>
      </c>
      <c r="AV174" s="1229" t="str">
        <f>IFERROR(__xludf.DUMMYFUNCTION("""COMPUTED_VALUE"""),"")</f>
        <v/>
      </c>
      <c r="AW174" s="1229"/>
      <c r="AX174" s="1337"/>
      <c r="AY174" s="1337"/>
      <c r="AZ174" s="1229"/>
      <c r="BA174" s="1229" t="str">
        <f>IFERROR(__xludf.DUMMYFUNCTION("""COMPUTED_VALUE"""),"")</f>
        <v/>
      </c>
      <c r="BB174" s="1229" t="str">
        <f>IFERROR(__xludf.DUMMYFUNCTION("""COMPUTED_VALUE"""),"")</f>
        <v/>
      </c>
      <c r="BC174" s="1229"/>
      <c r="BD174" s="1337"/>
      <c r="BE174" s="1337"/>
      <c r="BF174" s="1229"/>
      <c r="BG174" s="1229" t="str">
        <f>IFERROR(__xludf.DUMMYFUNCTION("""COMPUTED_VALUE"""),"")</f>
        <v/>
      </c>
      <c r="BH174" s="1229" t="str">
        <f>IFERROR(__xludf.DUMMYFUNCTION("""COMPUTED_VALUE"""),"")</f>
        <v/>
      </c>
      <c r="BI174" s="1222"/>
      <c r="BJ174" s="1338"/>
      <c r="BK174" s="1338"/>
      <c r="BL174" s="1222"/>
      <c r="BM174" s="1222" t="str">
        <f>IFERROR(__xludf.DUMMYFUNCTION("""COMPUTED_VALUE"""),"")</f>
        <v/>
      </c>
      <c r="BN174" s="1222"/>
      <c r="BO174" s="1261"/>
    </row>
    <row r="175">
      <c r="A175" s="1222"/>
      <c r="B175" s="1257"/>
      <c r="C175" s="1344" t="s">
        <v>190</v>
      </c>
      <c r="D175" s="1280" t="str">
        <f>VLOOKUP(C175,'Remote Tier List'!A:D, 2, FALSE)</f>
        <v>C</v>
      </c>
      <c r="E175" s="1281" t="str">
        <f>VLOOKUP(C175,'Remote Tier List'!A:D, 3, FALSE)</f>
        <v/>
      </c>
      <c r="F175" s="1257"/>
      <c r="G175" s="1245" t="b">
        <f t="shared" si="29"/>
        <v>0</v>
      </c>
      <c r="H175" s="1246" t="str">
        <f t="array" ref="H175:I175">LET(
  Lab, $C175,
  Mode, $AD$1,
  Level, VLOOKUP(Lab, MS_Labs_Array, 2, FALSE),
  Target, VLOOKUP(Lab, MS_Labs_Array, 3, FALSE),
  Max, VLOOKUP(Lab, MS_Labs_Array, 4, FALSE),
  Result,
    IF(
      AND(
        Mode &lt;&gt; "Never",
        Level &gt;= IF(OR(Target = "", Mode = "Max"), Max, Target)
      ),
      "Completed",
      ""
    ),
  HSTACK(
    IF(Result &lt;&gt; "", Result, $D175),
    IF(Result &lt;&gt; "", Result, IF($E175 = "", $D175, $E175))
  )
)</f>
        <v>C</v>
      </c>
      <c r="I175" s="1247" t="s">
        <v>547</v>
      </c>
      <c r="J175" s="1248" t="str">
        <f t="shared" si="30"/>
        <v>Resistances get far weaker than most battle conditions with how they substract the effect</v>
      </c>
      <c r="K175" s="1229"/>
      <c r="L175" s="1229"/>
      <c r="M175" s="1229"/>
      <c r="N175" s="1337"/>
      <c r="O175" s="1337"/>
      <c r="P175" s="1229"/>
      <c r="Q175" s="1229"/>
      <c r="R175" s="1229"/>
      <c r="S175" s="1229"/>
      <c r="T175" s="1337"/>
      <c r="U175" s="1337"/>
      <c r="V175" s="1229"/>
      <c r="W175" s="1229"/>
      <c r="X175" s="1229"/>
      <c r="Y175" s="1229"/>
      <c r="Z175" s="1337"/>
      <c r="AA175" s="1337"/>
      <c r="AB175" s="1229"/>
      <c r="AC175" s="1229"/>
      <c r="AD175" s="1229"/>
      <c r="AE175" s="1229"/>
      <c r="AF175" s="1337"/>
      <c r="AG175" s="1337"/>
      <c r="AH175" s="1229"/>
      <c r="AI175" s="1229"/>
      <c r="AJ175" s="1229"/>
      <c r="AK175" s="1229"/>
      <c r="AL175" s="1337"/>
      <c r="AM175" s="1337"/>
      <c r="AN175" s="1229"/>
      <c r="AO175" s="1229"/>
      <c r="AP175" s="1229"/>
      <c r="AQ175" s="1229"/>
      <c r="AR175" s="1337"/>
      <c r="AS175" s="1337"/>
      <c r="AT175" s="1229"/>
      <c r="AU175" s="1229"/>
      <c r="AV175" s="1229"/>
      <c r="AW175" s="1229"/>
      <c r="AX175" s="1337"/>
      <c r="AY175" s="1337"/>
      <c r="AZ175" s="1229"/>
      <c r="BA175" s="1229"/>
      <c r="BB175" s="1229"/>
      <c r="BC175" s="1229"/>
      <c r="BD175" s="1337"/>
      <c r="BE175" s="1337"/>
      <c r="BF175" s="1229"/>
      <c r="BG175" s="1229"/>
      <c r="BH175" s="1229"/>
      <c r="BI175" s="1222"/>
      <c r="BJ175" s="1338"/>
      <c r="BK175" s="1338"/>
      <c r="BL175" s="1222"/>
      <c r="BM175" s="1222"/>
      <c r="BN175" s="1222"/>
      <c r="BO175" s="1261"/>
    </row>
    <row r="176" ht="7.5" customHeight="1">
      <c r="A176" s="1222"/>
      <c r="B176" s="1257"/>
      <c r="C176" s="1344" t="s">
        <v>213</v>
      </c>
      <c r="D176" s="1280" t="str">
        <f>VLOOKUP(C176,'Remote Tier List'!A:D, 2, FALSE)</f>
        <v>C</v>
      </c>
      <c r="E176" s="1281" t="str">
        <f>VLOOKUP(C176,'Remote Tier List'!A:D, 3, FALSE)</f>
        <v/>
      </c>
      <c r="F176" s="1257"/>
      <c r="G176" s="1245" t="b">
        <f t="shared" si="29"/>
        <v>0</v>
      </c>
      <c r="H176" s="1246" t="str">
        <f t="array" ref="H176:I176">LET(
  Lab, $C176,
  Mode, $AD$1,
  Level, VLOOKUP(Lab, MS_Labs_Array, 2, FALSE),
  Target, VLOOKUP(Lab, MS_Labs_Array, 3, FALSE),
  Max, VLOOKUP(Lab, MS_Labs_Array, 4, FALSE),
  Result,
    IF(
      AND(
        Mode &lt;&gt; "Never",
        Level &gt;= IF(OR(Target = "", Mode = "Max"), Max, Target)
      ),
      "Completed",
      ""
    ),
  HSTACK(
    IF(Result &lt;&gt; "", Result, $D176),
    IF(Result &lt;&gt; "", Result, IF($E176 = "", $D176, $E176))
  )
)</f>
        <v>C</v>
      </c>
      <c r="I176" s="1247" t="s">
        <v>547</v>
      </c>
      <c r="J176" s="1248" t="str">
        <f t="shared" si="30"/>
        <v>Resistances get far weaker than most battle conditions with how they substract the effect</v>
      </c>
      <c r="K176" s="1229"/>
      <c r="L176" s="1229" t="str">
        <f>IFERROR(__xludf.DUMMYFUNCTION("""COMPUTED_VALUE"""),"")</f>
        <v/>
      </c>
      <c r="M176" s="1229"/>
      <c r="N176" s="1337"/>
      <c r="O176" s="1337"/>
      <c r="P176" s="1229"/>
      <c r="Q176" s="1229" t="str">
        <f>IFERROR(__xludf.DUMMYFUNCTION("""COMPUTED_VALUE"""),"")</f>
        <v/>
      </c>
      <c r="R176" s="1229" t="str">
        <f>IFERROR(__xludf.DUMMYFUNCTION("""COMPUTED_VALUE"""),"")</f>
        <v/>
      </c>
      <c r="S176" s="1229"/>
      <c r="T176" s="1337"/>
      <c r="U176" s="1337"/>
      <c r="V176" s="1229"/>
      <c r="W176" s="1229" t="str">
        <f>IFERROR(__xludf.DUMMYFUNCTION("""COMPUTED_VALUE"""),"")</f>
        <v/>
      </c>
      <c r="X176" s="1229" t="str">
        <f>IFERROR(__xludf.DUMMYFUNCTION("""COMPUTED_VALUE"""),"")</f>
        <v/>
      </c>
      <c r="Y176" s="1229"/>
      <c r="Z176" s="1337"/>
      <c r="AA176" s="1337"/>
      <c r="AB176" s="1229"/>
      <c r="AC176" s="1229" t="str">
        <f>IFERROR(__xludf.DUMMYFUNCTION("""COMPUTED_VALUE"""),"")</f>
        <v/>
      </c>
      <c r="AD176" s="1229" t="str">
        <f>IFERROR(__xludf.DUMMYFUNCTION("""COMPUTED_VALUE"""),"")</f>
        <v/>
      </c>
      <c r="AE176" s="1229"/>
      <c r="AF176" s="1337"/>
      <c r="AG176" s="1337"/>
      <c r="AH176" s="1229"/>
      <c r="AI176" s="1229" t="str">
        <f>IFERROR(__xludf.DUMMYFUNCTION("""COMPUTED_VALUE"""),"")</f>
        <v/>
      </c>
      <c r="AJ176" s="1229" t="str">
        <f>IFERROR(__xludf.DUMMYFUNCTION("""COMPUTED_VALUE"""),"")</f>
        <v/>
      </c>
      <c r="AK176" s="1229"/>
      <c r="AL176" s="1337"/>
      <c r="AM176" s="1337"/>
      <c r="AN176" s="1229"/>
      <c r="AO176" s="1229" t="str">
        <f>IFERROR(__xludf.DUMMYFUNCTION("""COMPUTED_VALUE"""),"")</f>
        <v/>
      </c>
      <c r="AP176" s="1229" t="str">
        <f>IFERROR(__xludf.DUMMYFUNCTION("""COMPUTED_VALUE"""),"")</f>
        <v/>
      </c>
      <c r="AQ176" s="1229"/>
      <c r="AR176" s="1337"/>
      <c r="AS176" s="1337"/>
      <c r="AT176" s="1229"/>
      <c r="AU176" s="1229" t="str">
        <f>IFERROR(__xludf.DUMMYFUNCTION("""COMPUTED_VALUE"""),"")</f>
        <v/>
      </c>
      <c r="AV176" s="1229" t="str">
        <f>IFERROR(__xludf.DUMMYFUNCTION("""COMPUTED_VALUE"""),"")</f>
        <v/>
      </c>
      <c r="AW176" s="1229"/>
      <c r="AX176" s="1337"/>
      <c r="AY176" s="1337"/>
      <c r="AZ176" s="1229"/>
      <c r="BA176" s="1229" t="str">
        <f>IFERROR(__xludf.DUMMYFUNCTION("""COMPUTED_VALUE"""),"")</f>
        <v/>
      </c>
      <c r="BB176" s="1229" t="str">
        <f>IFERROR(__xludf.DUMMYFUNCTION("""COMPUTED_VALUE"""),"")</f>
        <v/>
      </c>
      <c r="BC176" s="1229"/>
      <c r="BD176" s="1337"/>
      <c r="BE176" s="1337"/>
      <c r="BF176" s="1229"/>
      <c r="BG176" s="1229" t="str">
        <f>IFERROR(__xludf.DUMMYFUNCTION("""COMPUTED_VALUE"""),"")</f>
        <v/>
      </c>
      <c r="BH176" s="1229" t="str">
        <f>IFERROR(__xludf.DUMMYFUNCTION("""COMPUTED_VALUE"""),"")</f>
        <v/>
      </c>
      <c r="BI176" s="1222"/>
      <c r="BJ176" s="1338"/>
      <c r="BK176" s="1338"/>
      <c r="BL176" s="1222"/>
      <c r="BM176" s="1222" t="str">
        <f>IFERROR(__xludf.DUMMYFUNCTION("""COMPUTED_VALUE"""),"")</f>
        <v/>
      </c>
      <c r="BN176" s="1222"/>
      <c r="BO176" s="1261"/>
    </row>
    <row r="177">
      <c r="A177" s="1222"/>
      <c r="B177" s="1257"/>
      <c r="C177" s="1344" t="s">
        <v>225</v>
      </c>
      <c r="D177" s="1280" t="str">
        <f>VLOOKUP(C177,'Remote Tier List'!A:D, 2, FALSE)</f>
        <v>C</v>
      </c>
      <c r="E177" s="1281" t="str">
        <f>VLOOKUP(C177,'Remote Tier List'!A:D, 3, FALSE)</f>
        <v/>
      </c>
      <c r="F177" s="1257"/>
      <c r="G177" s="1245" t="b">
        <f t="shared" si="29"/>
        <v>0</v>
      </c>
      <c r="H177" s="1246" t="str">
        <f t="array" ref="H177:I177">LET(
  Lab, $C177,
  Mode, $AD$1,
  Level, VLOOKUP(Lab, MS_Labs_Array, 2, FALSE),
  Target, VLOOKUP(Lab, MS_Labs_Array, 3, FALSE),
  Max, VLOOKUP(Lab, MS_Labs_Array, 4, FALSE),
  Result,
    IF(
      AND(
        Mode &lt;&gt; "Never",
        Level &gt;= IF(OR(Target = "", Mode = "Max"), Max, Target)
      ),
      "Completed",
      ""
    ),
  HSTACK(
    IF(Result &lt;&gt; "", Result, $D177),
    IF(Result &lt;&gt; "", Result, IF($E177 = "", $D177, $E177))
  )
)</f>
        <v>C</v>
      </c>
      <c r="I177" s="1247" t="s">
        <v>547</v>
      </c>
      <c r="J177" s="1248" t="str">
        <f t="shared" si="30"/>
        <v>Resistances get far weaker than most battle conditions with how they substract the effect</v>
      </c>
      <c r="K177" s="1229"/>
      <c r="L177" s="1229"/>
      <c r="M177" s="1229"/>
      <c r="N177" s="1337"/>
      <c r="O177" s="1337"/>
      <c r="P177" s="1229"/>
      <c r="Q177" s="1229"/>
      <c r="R177" s="1229"/>
      <c r="S177" s="1229"/>
      <c r="T177" s="1337"/>
      <c r="U177" s="1337"/>
      <c r="V177" s="1229"/>
      <c r="W177" s="1229"/>
      <c r="X177" s="1229"/>
      <c r="Y177" s="1229"/>
      <c r="Z177" s="1337"/>
      <c r="AA177" s="1337"/>
      <c r="AB177" s="1229"/>
      <c r="AC177" s="1229"/>
      <c r="AD177" s="1229"/>
      <c r="AE177" s="1229"/>
      <c r="AF177" s="1337"/>
      <c r="AG177" s="1337"/>
      <c r="AH177" s="1229"/>
      <c r="AI177" s="1229"/>
      <c r="AJ177" s="1229"/>
      <c r="AK177" s="1229"/>
      <c r="AL177" s="1337"/>
      <c r="AM177" s="1337"/>
      <c r="AN177" s="1229"/>
      <c r="AO177" s="1229"/>
      <c r="AP177" s="1229"/>
      <c r="AQ177" s="1229"/>
      <c r="AR177" s="1337"/>
      <c r="AS177" s="1337"/>
      <c r="AT177" s="1229"/>
      <c r="AU177" s="1229"/>
      <c r="AV177" s="1229"/>
      <c r="AW177" s="1229"/>
      <c r="AX177" s="1337"/>
      <c r="AY177" s="1337"/>
      <c r="AZ177" s="1229"/>
      <c r="BA177" s="1229"/>
      <c r="BB177" s="1229"/>
      <c r="BC177" s="1229"/>
      <c r="BD177" s="1337"/>
      <c r="BE177" s="1337"/>
      <c r="BF177" s="1229"/>
      <c r="BG177" s="1229"/>
      <c r="BH177" s="1229"/>
      <c r="BI177" s="1222"/>
      <c r="BJ177" s="1338"/>
      <c r="BK177" s="1338"/>
      <c r="BL177" s="1222"/>
      <c r="BM177" s="1222"/>
      <c r="BN177" s="1222"/>
      <c r="BO177" s="1261"/>
    </row>
    <row r="178" ht="7.5" customHeight="1">
      <c r="A178" s="1222"/>
      <c r="B178" s="1257"/>
      <c r="C178" s="1344" t="s">
        <v>237</v>
      </c>
      <c r="D178" s="1280" t="str">
        <f>VLOOKUP(C178,'Remote Tier List'!A:D, 2, FALSE)</f>
        <v>C</v>
      </c>
      <c r="E178" s="1281" t="str">
        <f>VLOOKUP(C178,'Remote Tier List'!A:D, 3, FALSE)</f>
        <v/>
      </c>
      <c r="F178" s="1257"/>
      <c r="G178" s="1245" t="b">
        <f t="shared" si="29"/>
        <v>0</v>
      </c>
      <c r="H178" s="1246" t="str">
        <f t="array" ref="H178:I178">LET(
  Lab, $C178,
  Mode, $AD$1,
  Level, VLOOKUP(Lab, MS_Labs_Array, 2, FALSE),
  Target, VLOOKUP(Lab, MS_Labs_Array, 3, FALSE),
  Max, VLOOKUP(Lab, MS_Labs_Array, 4, FALSE),
  Result,
    IF(
      AND(
        Mode &lt;&gt; "Never",
        Level &gt;= IF(OR(Target = "", Mode = "Max"), Max, Target)
      ),
      "Completed",
      ""
    ),
  HSTACK(
    IF(Result &lt;&gt; "", Result, $D178),
    IF(Result &lt;&gt; "", Result, IF($E178 = "", $D178, $E178))
  )
)</f>
        <v>C</v>
      </c>
      <c r="I178" s="1247" t="s">
        <v>547</v>
      </c>
      <c r="J178" s="1248" t="str">
        <f t="shared" si="30"/>
        <v>Resistances get far weaker than most battle conditions with how they substract the effect</v>
      </c>
      <c r="K178" s="1229"/>
      <c r="L178" s="1229" t="str">
        <f>IFERROR(__xludf.DUMMYFUNCTION("""COMPUTED_VALUE"""),"")</f>
        <v/>
      </c>
      <c r="M178" s="1229"/>
      <c r="N178" s="1337"/>
      <c r="O178" s="1337"/>
      <c r="P178" s="1229"/>
      <c r="Q178" s="1229" t="str">
        <f>IFERROR(__xludf.DUMMYFUNCTION("""COMPUTED_VALUE"""),"")</f>
        <v/>
      </c>
      <c r="R178" s="1229" t="str">
        <f>IFERROR(__xludf.DUMMYFUNCTION("""COMPUTED_VALUE"""),"")</f>
        <v/>
      </c>
      <c r="S178" s="1229"/>
      <c r="T178" s="1337"/>
      <c r="U178" s="1337"/>
      <c r="V178" s="1229"/>
      <c r="W178" s="1229" t="str">
        <f>IFERROR(__xludf.DUMMYFUNCTION("""COMPUTED_VALUE"""),"")</f>
        <v/>
      </c>
      <c r="X178" s="1229" t="str">
        <f>IFERROR(__xludf.DUMMYFUNCTION("""COMPUTED_VALUE"""),"")</f>
        <v/>
      </c>
      <c r="Y178" s="1229"/>
      <c r="Z178" s="1337"/>
      <c r="AA178" s="1337"/>
      <c r="AB178" s="1229"/>
      <c r="AC178" s="1229" t="str">
        <f>IFERROR(__xludf.DUMMYFUNCTION("""COMPUTED_VALUE"""),"")</f>
        <v/>
      </c>
      <c r="AD178" s="1229" t="str">
        <f>IFERROR(__xludf.DUMMYFUNCTION("""COMPUTED_VALUE"""),"")</f>
        <v/>
      </c>
      <c r="AE178" s="1229"/>
      <c r="AF178" s="1337"/>
      <c r="AG178" s="1337"/>
      <c r="AH178" s="1229"/>
      <c r="AI178" s="1229" t="str">
        <f>IFERROR(__xludf.DUMMYFUNCTION("""COMPUTED_VALUE"""),"")</f>
        <v/>
      </c>
      <c r="AJ178" s="1229" t="str">
        <f>IFERROR(__xludf.DUMMYFUNCTION("""COMPUTED_VALUE"""),"")</f>
        <v/>
      </c>
      <c r="AK178" s="1229"/>
      <c r="AL178" s="1337"/>
      <c r="AM178" s="1337"/>
      <c r="AN178" s="1229"/>
      <c r="AO178" s="1229" t="str">
        <f>IFERROR(__xludf.DUMMYFUNCTION("""COMPUTED_VALUE"""),"")</f>
        <v/>
      </c>
      <c r="AP178" s="1229" t="str">
        <f>IFERROR(__xludf.DUMMYFUNCTION("""COMPUTED_VALUE"""),"")</f>
        <v/>
      </c>
      <c r="AQ178" s="1229"/>
      <c r="AR178" s="1337"/>
      <c r="AS178" s="1337"/>
      <c r="AT178" s="1229"/>
      <c r="AU178" s="1229" t="str">
        <f>IFERROR(__xludf.DUMMYFUNCTION("""COMPUTED_VALUE"""),"")</f>
        <v/>
      </c>
      <c r="AV178" s="1229" t="str">
        <f>IFERROR(__xludf.DUMMYFUNCTION("""COMPUTED_VALUE"""),"")</f>
        <v/>
      </c>
      <c r="AW178" s="1229"/>
      <c r="AX178" s="1337"/>
      <c r="AY178" s="1337"/>
      <c r="AZ178" s="1229"/>
      <c r="BA178" s="1229" t="str">
        <f>IFERROR(__xludf.DUMMYFUNCTION("""COMPUTED_VALUE"""),"")</f>
        <v/>
      </c>
      <c r="BB178" s="1229" t="str">
        <f>IFERROR(__xludf.DUMMYFUNCTION("""COMPUTED_VALUE"""),"")</f>
        <v/>
      </c>
      <c r="BC178" s="1229"/>
      <c r="BD178" s="1337"/>
      <c r="BE178" s="1337"/>
      <c r="BF178" s="1229"/>
      <c r="BG178" s="1229" t="str">
        <f>IFERROR(__xludf.DUMMYFUNCTION("""COMPUTED_VALUE"""),"")</f>
        <v/>
      </c>
      <c r="BH178" s="1229" t="str">
        <f>IFERROR(__xludf.DUMMYFUNCTION("""COMPUTED_VALUE"""),"")</f>
        <v/>
      </c>
      <c r="BI178" s="1222"/>
      <c r="BJ178" s="1338"/>
      <c r="BK178" s="1338"/>
      <c r="BL178" s="1222"/>
      <c r="BM178" s="1222" t="str">
        <f>IFERROR(__xludf.DUMMYFUNCTION("""COMPUTED_VALUE"""),"")</f>
        <v/>
      </c>
      <c r="BN178" s="1222"/>
      <c r="BO178" s="1261"/>
    </row>
    <row r="179">
      <c r="A179" s="1222"/>
      <c r="B179" s="1269" t="s">
        <v>570</v>
      </c>
      <c r="C179" s="1344" t="s">
        <v>248</v>
      </c>
      <c r="D179" s="1280" t="str">
        <f>VLOOKUP(C179,'Remote Tier List'!A:D, 2, FALSE)</f>
        <v>C</v>
      </c>
      <c r="E179" s="1281" t="str">
        <f>VLOOKUP(C179,'Remote Tier List'!A:D, 3, FALSE)</f>
        <v/>
      </c>
      <c r="F179" s="1273" t="str">
        <f>VLOOKUP(C179,'Remote Tier List'!A:D, 4, FALSE)</f>
        <v>Helps avoid losing CL+ damage</v>
      </c>
      <c r="G179" s="1245" t="b">
        <f t="shared" si="29"/>
        <v>0</v>
      </c>
      <c r="H179" s="1246" t="str">
        <f t="array" ref="H179:I179">LET(
  Lab, $C179,
  Mode, $AD$1,
  Level, VLOOKUP(Lab, MS_Labs_Array, 2, FALSE),
  Target, VLOOKUP(Lab, MS_Labs_Array, 3, FALSE),
  Max, VLOOKUP(Lab, MS_Labs_Array, 4, FALSE),
  Result,
    IF(
      AND(
        Mode &lt;&gt; "Never",
        Level &gt;= IF(OR(Target = "", Mode = "Max"), Max, Target)
      ),
      "Completed",
      ""
    ),
  HSTACK(
    IF(Result &lt;&gt; "", Result, $D179),
    IF(Result &lt;&gt; "", Result, IF($E179 = "", $D179, $E179))
  )
)</f>
        <v>C</v>
      </c>
      <c r="I179" s="1247" t="s">
        <v>547</v>
      </c>
      <c r="J179" s="1248" t="str">
        <f t="shared" si="30"/>
        <v>Helps avoid losing CL+ damage</v>
      </c>
      <c r="K179" s="1229"/>
      <c r="L179" s="1229"/>
      <c r="M179" s="1229"/>
      <c r="N179" s="1337"/>
      <c r="O179" s="1337"/>
      <c r="P179" s="1229"/>
      <c r="Q179" s="1229"/>
      <c r="R179" s="1229"/>
      <c r="S179" s="1229"/>
      <c r="T179" s="1337"/>
      <c r="U179" s="1337"/>
      <c r="V179" s="1229"/>
      <c r="W179" s="1229"/>
      <c r="X179" s="1229"/>
      <c r="Y179" s="1229"/>
      <c r="Z179" s="1337"/>
      <c r="AA179" s="1337"/>
      <c r="AB179" s="1229"/>
      <c r="AC179" s="1229"/>
      <c r="AD179" s="1229"/>
      <c r="AE179" s="1229"/>
      <c r="AF179" s="1337"/>
      <c r="AG179" s="1337"/>
      <c r="AH179" s="1229"/>
      <c r="AI179" s="1229"/>
      <c r="AJ179" s="1229"/>
      <c r="AK179" s="1229"/>
      <c r="AL179" s="1337"/>
      <c r="AM179" s="1337"/>
      <c r="AN179" s="1229"/>
      <c r="AO179" s="1229"/>
      <c r="AP179" s="1229"/>
      <c r="AQ179" s="1229"/>
      <c r="AR179" s="1337"/>
      <c r="AS179" s="1337"/>
      <c r="AT179" s="1229"/>
      <c r="AU179" s="1229"/>
      <c r="AV179" s="1229"/>
      <c r="AW179" s="1229"/>
      <c r="AX179" s="1337"/>
      <c r="AY179" s="1337"/>
      <c r="AZ179" s="1229"/>
      <c r="BA179" s="1229"/>
      <c r="BB179" s="1229"/>
      <c r="BC179" s="1229"/>
      <c r="BD179" s="1337"/>
      <c r="BE179" s="1337"/>
      <c r="BF179" s="1229"/>
      <c r="BG179" s="1229"/>
      <c r="BH179" s="1229"/>
      <c r="BI179" s="1222"/>
      <c r="BJ179" s="1338"/>
      <c r="BK179" s="1338"/>
      <c r="BL179" s="1222"/>
      <c r="BM179" s="1222"/>
      <c r="BN179" s="1222"/>
      <c r="BO179" s="1261"/>
    </row>
    <row r="180" ht="7.5" customHeight="1">
      <c r="A180" s="1222"/>
      <c r="B180" s="1257"/>
      <c r="C180" s="1344" t="s">
        <v>259</v>
      </c>
      <c r="D180" s="1280" t="str">
        <f>VLOOKUP(C180,'Remote Tier List'!A:D, 2, FALSE)</f>
        <v>F</v>
      </c>
      <c r="E180" s="1281" t="str">
        <f>VLOOKUP(C180,'Remote Tier List'!A:D, 3, FALSE)</f>
        <v/>
      </c>
      <c r="F180" s="1274"/>
      <c r="G180" s="1245" t="b">
        <f t="shared" si="29"/>
        <v>0</v>
      </c>
      <c r="H180" s="1246" t="str">
        <f t="array" ref="H180:I180">LET(
  Lab, $C180,
  Mode, $AD$1,
  Level, VLOOKUP(Lab, MS_Labs_Array, 2, FALSE),
  Target, VLOOKUP(Lab, MS_Labs_Array, 3, FALSE),
  Max, VLOOKUP(Lab, MS_Labs_Array, 4, FALSE),
  Result,
    IF(
      AND(
        Mode &lt;&gt; "Never",
        Level &gt;= IF(OR(Target = "", Mode = "Max"), Max, Target)
      ),
      "Completed",
      ""
    ),
  HSTACK(
    IF(Result &lt;&gt; "", Result, $D180),
    IF(Result &lt;&gt; "", Result, IF($E180 = "", $D180, $E180))
  )
)</f>
        <v>F</v>
      </c>
      <c r="I180" s="1247" t="s">
        <v>549</v>
      </c>
      <c r="J180" s="1248"/>
      <c r="K180" s="1229"/>
      <c r="L180" s="1229" t="str">
        <f>IFERROR(__xludf.DUMMYFUNCTION("""COMPUTED_VALUE"""),"")</f>
        <v/>
      </c>
      <c r="M180" s="1229"/>
      <c r="N180" s="1337"/>
      <c r="O180" s="1337"/>
      <c r="P180" s="1229"/>
      <c r="Q180" s="1229" t="str">
        <f>IFERROR(__xludf.DUMMYFUNCTION("""COMPUTED_VALUE"""),"")</f>
        <v/>
      </c>
      <c r="R180" s="1229" t="str">
        <f>IFERROR(__xludf.DUMMYFUNCTION("""COMPUTED_VALUE"""),"")</f>
        <v/>
      </c>
      <c r="S180" s="1229"/>
      <c r="T180" s="1337"/>
      <c r="U180" s="1337"/>
      <c r="V180" s="1229"/>
      <c r="W180" s="1229" t="str">
        <f>IFERROR(__xludf.DUMMYFUNCTION("""COMPUTED_VALUE"""),"")</f>
        <v/>
      </c>
      <c r="X180" s="1229" t="str">
        <f>IFERROR(__xludf.DUMMYFUNCTION("""COMPUTED_VALUE"""),"")</f>
        <v/>
      </c>
      <c r="Y180" s="1229"/>
      <c r="Z180" s="1337"/>
      <c r="AA180" s="1337"/>
      <c r="AB180" s="1229"/>
      <c r="AC180" s="1229" t="str">
        <f>IFERROR(__xludf.DUMMYFUNCTION("""COMPUTED_VALUE"""),"")</f>
        <v/>
      </c>
      <c r="AD180" s="1229" t="str">
        <f>IFERROR(__xludf.DUMMYFUNCTION("""COMPUTED_VALUE"""),"")</f>
        <v/>
      </c>
      <c r="AE180" s="1229"/>
      <c r="AF180" s="1337"/>
      <c r="AG180" s="1337"/>
      <c r="AH180" s="1229"/>
      <c r="AI180" s="1229" t="str">
        <f>IFERROR(__xludf.DUMMYFUNCTION("""COMPUTED_VALUE"""),"")</f>
        <v/>
      </c>
      <c r="AJ180" s="1229" t="str">
        <f>IFERROR(__xludf.DUMMYFUNCTION("""COMPUTED_VALUE"""),"")</f>
        <v/>
      </c>
      <c r="AK180" s="1229"/>
      <c r="AL180" s="1337"/>
      <c r="AM180" s="1337"/>
      <c r="AN180" s="1229"/>
      <c r="AO180" s="1229" t="str">
        <f>IFERROR(__xludf.DUMMYFUNCTION("""COMPUTED_VALUE"""),"")</f>
        <v/>
      </c>
      <c r="AP180" s="1229" t="str">
        <f>IFERROR(__xludf.DUMMYFUNCTION("""COMPUTED_VALUE"""),"")</f>
        <v/>
      </c>
      <c r="AQ180" s="1229"/>
      <c r="AR180" s="1337"/>
      <c r="AS180" s="1337"/>
      <c r="AT180" s="1229"/>
      <c r="AU180" s="1229" t="str">
        <f>IFERROR(__xludf.DUMMYFUNCTION("""COMPUTED_VALUE"""),"")</f>
        <v/>
      </c>
      <c r="AV180" s="1229" t="str">
        <f>IFERROR(__xludf.DUMMYFUNCTION("""COMPUTED_VALUE"""),"")</f>
        <v/>
      </c>
      <c r="AW180" s="1229"/>
      <c r="AX180" s="1337"/>
      <c r="AY180" s="1337"/>
      <c r="AZ180" s="1229"/>
      <c r="BA180" s="1229" t="str">
        <f>IFERROR(__xludf.DUMMYFUNCTION("""COMPUTED_VALUE"""),"")</f>
        <v/>
      </c>
      <c r="BB180" s="1229" t="str">
        <f>IFERROR(__xludf.DUMMYFUNCTION("""COMPUTED_VALUE"""),"")</f>
        <v/>
      </c>
      <c r="BC180" s="1229"/>
      <c r="BD180" s="1337"/>
      <c r="BE180" s="1337"/>
      <c r="BF180" s="1229"/>
      <c r="BG180" s="1229" t="str">
        <f>IFERROR(__xludf.DUMMYFUNCTION("""COMPUTED_VALUE"""),"")</f>
        <v/>
      </c>
      <c r="BH180" s="1229" t="str">
        <f>IFERROR(__xludf.DUMMYFUNCTION("""COMPUTED_VALUE"""),"")</f>
        <v/>
      </c>
      <c r="BI180" s="1222"/>
      <c r="BJ180" s="1338"/>
      <c r="BK180" s="1338"/>
      <c r="BL180" s="1222"/>
      <c r="BM180" s="1222" t="str">
        <f>IFERROR(__xludf.DUMMYFUNCTION("""COMPUTED_VALUE"""),"")</f>
        <v/>
      </c>
      <c r="BN180" s="1222"/>
      <c r="BO180" s="1261"/>
    </row>
    <row r="181">
      <c r="A181" s="1222"/>
      <c r="B181" s="1257"/>
      <c r="C181" s="1345" t="s">
        <v>269</v>
      </c>
      <c r="D181" s="1280" t="str">
        <f>VLOOKUP(C181,'Remote Tier List'!A:D, 2, FALSE)</f>
        <v>F</v>
      </c>
      <c r="E181" s="1281" t="str">
        <f>VLOOKUP(C181,'Remote Tier List'!A:D, 3, FALSE)</f>
        <v/>
      </c>
      <c r="F181" s="1274"/>
      <c r="G181" s="1245" t="b">
        <f t="shared" si="29"/>
        <v>0</v>
      </c>
      <c r="H181" s="1246" t="str">
        <f t="array" ref="H181:I181">LET(
  Lab, $C181,
  Mode, $AD$1,
  Level, VLOOKUP(Lab, MS_Labs_Array, 2, FALSE),
  Target, VLOOKUP(Lab, MS_Labs_Array, 3, FALSE),
  Max, VLOOKUP(Lab, MS_Labs_Array, 4, FALSE),
  Result,
    IF(
      AND(
        Mode &lt;&gt; "Never",
        Level &gt;= IF(OR(Target = "", Mode = "Max"), Max, Target)
      ),
      "Completed",
      ""
    ),
  HSTACK(
    IF(Result &lt;&gt; "", Result, $D181),
    IF(Result &lt;&gt; "", Result, IF($E181 = "", $D181, $E181))
  )
)</f>
        <v>F</v>
      </c>
      <c r="I181" s="1247" t="s">
        <v>549</v>
      </c>
      <c r="J181" s="1248"/>
      <c r="K181" s="1229"/>
      <c r="L181" s="1229"/>
      <c r="M181" s="1229"/>
      <c r="N181" s="1337"/>
      <c r="O181" s="1337"/>
      <c r="P181" s="1229"/>
      <c r="Q181" s="1229"/>
      <c r="R181" s="1229"/>
      <c r="S181" s="1229"/>
      <c r="T181" s="1337"/>
      <c r="U181" s="1337"/>
      <c r="V181" s="1229"/>
      <c r="W181" s="1229"/>
      <c r="X181" s="1229"/>
      <c r="Y181" s="1229"/>
      <c r="Z181" s="1337"/>
      <c r="AA181" s="1337"/>
      <c r="AB181" s="1229"/>
      <c r="AC181" s="1229"/>
      <c r="AD181" s="1229"/>
      <c r="AE181" s="1229"/>
      <c r="AF181" s="1337"/>
      <c r="AG181" s="1337"/>
      <c r="AH181" s="1229"/>
      <c r="AI181" s="1229"/>
      <c r="AJ181" s="1229"/>
      <c r="AK181" s="1229"/>
      <c r="AL181" s="1337"/>
      <c r="AM181" s="1337"/>
      <c r="AN181" s="1229"/>
      <c r="AO181" s="1229"/>
      <c r="AP181" s="1229"/>
      <c r="AQ181" s="1229"/>
      <c r="AR181" s="1337"/>
      <c r="AS181" s="1337"/>
      <c r="AT181" s="1229"/>
      <c r="AU181" s="1229"/>
      <c r="AV181" s="1229"/>
      <c r="AW181" s="1229"/>
      <c r="AX181" s="1337"/>
      <c r="AY181" s="1337"/>
      <c r="AZ181" s="1229"/>
      <c r="BA181" s="1229"/>
      <c r="BB181" s="1229"/>
      <c r="BC181" s="1229"/>
      <c r="BD181" s="1337"/>
      <c r="BE181" s="1337"/>
      <c r="BF181" s="1229"/>
      <c r="BG181" s="1229"/>
      <c r="BH181" s="1229"/>
      <c r="BI181" s="1222"/>
      <c r="BJ181" s="1338"/>
      <c r="BK181" s="1338"/>
      <c r="BL181" s="1222"/>
      <c r="BM181" s="1222"/>
      <c r="BN181" s="1222"/>
      <c r="BO181" s="1261"/>
    </row>
    <row r="182" ht="7.5" customHeight="1">
      <c r="A182" s="1222"/>
      <c r="B182" s="1257"/>
      <c r="C182" s="1345" t="s">
        <v>277</v>
      </c>
      <c r="D182" s="1280" t="str">
        <f>VLOOKUP(C182,'Remote Tier List'!A:D, 2, FALSE)</f>
        <v>C</v>
      </c>
      <c r="E182" s="1281" t="str">
        <f>VLOOKUP(C182,'Remote Tier List'!A:D, 3, FALSE)</f>
        <v/>
      </c>
      <c r="F182" s="1274"/>
      <c r="G182" s="1245" t="b">
        <f t="shared" si="29"/>
        <v>0</v>
      </c>
      <c r="H182" s="1246" t="str">
        <f t="array" ref="H182:I182">LET(
  Lab, $C182,
  Mode, $AD$1,
  Level, VLOOKUP(Lab, MS_Labs_Array, 2, FALSE),
  Target, VLOOKUP(Lab, MS_Labs_Array, 3, FALSE),
  Max, VLOOKUP(Lab, MS_Labs_Array, 4, FALSE),
  Result,
    IF(
      AND(
        Mode &lt;&gt; "Never",
        Level &gt;= IF(OR(Target = "", Mode = "Max"), Max, Target)
      ),
      "Completed",
      ""
    ),
  HSTACK(
    IF(Result &lt;&gt; "", Result, $D182),
    IF(Result &lt;&gt; "", Result, IF($E182 = "", $D182, $E182))
  )
)</f>
        <v>C</v>
      </c>
      <c r="I182" s="1247" t="s">
        <v>547</v>
      </c>
      <c r="J182" s="1248"/>
      <c r="K182" s="1229"/>
      <c r="L182" s="1229" t="str">
        <f>IFERROR(__xludf.DUMMYFUNCTION("""COMPUTED_VALUE"""),"")</f>
        <v/>
      </c>
      <c r="M182" s="1229"/>
      <c r="N182" s="1337"/>
      <c r="O182" s="1337"/>
      <c r="P182" s="1229"/>
      <c r="Q182" s="1229" t="str">
        <f>IFERROR(__xludf.DUMMYFUNCTION("""COMPUTED_VALUE"""),"")</f>
        <v/>
      </c>
      <c r="R182" s="1229" t="str">
        <f>IFERROR(__xludf.DUMMYFUNCTION("""COMPUTED_VALUE"""),"")</f>
        <v/>
      </c>
      <c r="S182" s="1229"/>
      <c r="T182" s="1337"/>
      <c r="U182" s="1337"/>
      <c r="V182" s="1229"/>
      <c r="W182" s="1229" t="str">
        <f>IFERROR(__xludf.DUMMYFUNCTION("""COMPUTED_VALUE"""),"")</f>
        <v/>
      </c>
      <c r="X182" s="1229" t="str">
        <f>IFERROR(__xludf.DUMMYFUNCTION("""COMPUTED_VALUE"""),"")</f>
        <v/>
      </c>
      <c r="Y182" s="1229"/>
      <c r="Z182" s="1337"/>
      <c r="AA182" s="1337"/>
      <c r="AB182" s="1229"/>
      <c r="AC182" s="1229" t="str">
        <f>IFERROR(__xludf.DUMMYFUNCTION("""COMPUTED_VALUE"""),"")</f>
        <v/>
      </c>
      <c r="AD182" s="1229" t="str">
        <f>IFERROR(__xludf.DUMMYFUNCTION("""COMPUTED_VALUE"""),"")</f>
        <v/>
      </c>
      <c r="AE182" s="1229"/>
      <c r="AF182" s="1337"/>
      <c r="AG182" s="1337"/>
      <c r="AH182" s="1229"/>
      <c r="AI182" s="1229" t="str">
        <f>IFERROR(__xludf.DUMMYFUNCTION("""COMPUTED_VALUE"""),"")</f>
        <v/>
      </c>
      <c r="AJ182" s="1229" t="str">
        <f>IFERROR(__xludf.DUMMYFUNCTION("""COMPUTED_VALUE"""),"")</f>
        <v/>
      </c>
      <c r="AK182" s="1229"/>
      <c r="AL182" s="1337"/>
      <c r="AM182" s="1337"/>
      <c r="AN182" s="1229"/>
      <c r="AO182" s="1229" t="str">
        <f>IFERROR(__xludf.DUMMYFUNCTION("""COMPUTED_VALUE"""),"")</f>
        <v/>
      </c>
      <c r="AP182" s="1229" t="str">
        <f>IFERROR(__xludf.DUMMYFUNCTION("""COMPUTED_VALUE"""),"")</f>
        <v/>
      </c>
      <c r="AQ182" s="1229"/>
      <c r="AR182" s="1337"/>
      <c r="AS182" s="1337"/>
      <c r="AT182" s="1229"/>
      <c r="AU182" s="1229" t="str">
        <f>IFERROR(__xludf.DUMMYFUNCTION("""COMPUTED_VALUE"""),"")</f>
        <v/>
      </c>
      <c r="AV182" s="1229" t="str">
        <f>IFERROR(__xludf.DUMMYFUNCTION("""COMPUTED_VALUE"""),"")</f>
        <v/>
      </c>
      <c r="AW182" s="1229"/>
      <c r="AX182" s="1337"/>
      <c r="AY182" s="1337"/>
      <c r="AZ182" s="1229"/>
      <c r="BA182" s="1229" t="str">
        <f>IFERROR(__xludf.DUMMYFUNCTION("""COMPUTED_VALUE"""),"")</f>
        <v/>
      </c>
      <c r="BB182" s="1229" t="str">
        <f>IFERROR(__xludf.DUMMYFUNCTION("""COMPUTED_VALUE"""),"")</f>
        <v/>
      </c>
      <c r="BC182" s="1229"/>
      <c r="BD182" s="1337"/>
      <c r="BE182" s="1337"/>
      <c r="BF182" s="1229"/>
      <c r="BG182" s="1229" t="str">
        <f>IFERROR(__xludf.DUMMYFUNCTION("""COMPUTED_VALUE"""),"")</f>
        <v/>
      </c>
      <c r="BH182" s="1229" t="str">
        <f>IFERROR(__xludf.DUMMYFUNCTION("""COMPUTED_VALUE"""),"")</f>
        <v/>
      </c>
      <c r="BI182" s="1222"/>
      <c r="BJ182" s="1338"/>
      <c r="BK182" s="1338"/>
      <c r="BL182" s="1222"/>
      <c r="BM182" s="1222" t="str">
        <f>IFERROR(__xludf.DUMMYFUNCTION("""COMPUTED_VALUE"""),"")</f>
        <v/>
      </c>
      <c r="BN182" s="1222"/>
      <c r="BO182" s="1261"/>
    </row>
    <row r="183">
      <c r="A183" s="1222"/>
      <c r="B183" s="1269" t="s">
        <v>568</v>
      </c>
      <c r="C183" s="1345" t="s">
        <v>285</v>
      </c>
      <c r="D183" s="1280" t="str">
        <f>VLOOKUP(C183,'Remote Tier List'!A:D, 2, FALSE)</f>
        <v>F</v>
      </c>
      <c r="E183" s="1281" t="str">
        <f>VLOOKUP(C183,'Remote Tier List'!A:D, 3, FALSE)</f>
        <v/>
      </c>
      <c r="F183" s="1274"/>
      <c r="G183" s="1245" t="b">
        <f t="shared" si="29"/>
        <v>0</v>
      </c>
      <c r="H183" s="1246" t="str">
        <f t="array" ref="H183:I183">LET(
  Lab, $C183,
  Mode, $AD$1,
  Level, VLOOKUP(Lab, MS_Labs_Array, 2, FALSE),
  Target, VLOOKUP(Lab, MS_Labs_Array, 3, FALSE),
  Max, VLOOKUP(Lab, MS_Labs_Array, 4, FALSE),
  Result,
    IF(
      AND(
        Mode &lt;&gt; "Never",
        Level &gt;= IF(OR(Target = "", Mode = "Max"), Max, Target)
      ),
      "Completed",
      ""
    ),
  HSTACK(
    IF(Result &lt;&gt; "", Result, $D183),
    IF(Result &lt;&gt; "", Result, IF($E183 = "", $D183, $E183))
  )
)</f>
        <v>F</v>
      </c>
      <c r="I183" s="1247" t="s">
        <v>549</v>
      </c>
      <c r="J183" s="1248"/>
      <c r="K183" s="1229"/>
      <c r="L183" s="1229"/>
      <c r="M183" s="1229"/>
      <c r="N183" s="1337"/>
      <c r="O183" s="1337"/>
      <c r="P183" s="1229"/>
      <c r="Q183" s="1229"/>
      <c r="R183" s="1229"/>
      <c r="S183" s="1229"/>
      <c r="T183" s="1337"/>
      <c r="U183" s="1337"/>
      <c r="V183" s="1229"/>
      <c r="W183" s="1229"/>
      <c r="X183" s="1229"/>
      <c r="Y183" s="1229"/>
      <c r="Z183" s="1337"/>
      <c r="AA183" s="1337"/>
      <c r="AB183" s="1229"/>
      <c r="AC183" s="1229"/>
      <c r="AD183" s="1229"/>
      <c r="AE183" s="1229"/>
      <c r="AF183" s="1337"/>
      <c r="AG183" s="1337"/>
      <c r="AH183" s="1229"/>
      <c r="AI183" s="1229"/>
      <c r="AJ183" s="1229"/>
      <c r="AK183" s="1229"/>
      <c r="AL183" s="1337"/>
      <c r="AM183" s="1337"/>
      <c r="AN183" s="1229"/>
      <c r="AO183" s="1229"/>
      <c r="AP183" s="1229"/>
      <c r="AQ183" s="1229"/>
      <c r="AR183" s="1337"/>
      <c r="AS183" s="1337"/>
      <c r="AT183" s="1229"/>
      <c r="AU183" s="1229"/>
      <c r="AV183" s="1229"/>
      <c r="AW183" s="1229"/>
      <c r="AX183" s="1337"/>
      <c r="AY183" s="1337"/>
      <c r="AZ183" s="1229"/>
      <c r="BA183" s="1229"/>
      <c r="BB183" s="1229"/>
      <c r="BC183" s="1229"/>
      <c r="BD183" s="1337"/>
      <c r="BE183" s="1337"/>
      <c r="BF183" s="1229"/>
      <c r="BG183" s="1229"/>
      <c r="BH183" s="1229"/>
      <c r="BI183" s="1222"/>
      <c r="BJ183" s="1338"/>
      <c r="BK183" s="1338"/>
      <c r="BL183" s="1222"/>
      <c r="BM183" s="1222"/>
      <c r="BN183" s="1222"/>
      <c r="BO183" s="1261"/>
    </row>
    <row r="184" ht="7.5" customHeight="1">
      <c r="A184" s="1222"/>
      <c r="B184" s="1257"/>
      <c r="C184" s="1345" t="s">
        <v>293</v>
      </c>
      <c r="D184" s="1280" t="str">
        <f>VLOOKUP(C184,'Remote Tier List'!A:D, 2, FALSE)</f>
        <v>F</v>
      </c>
      <c r="E184" s="1281" t="str">
        <f>VLOOKUP(C184,'Remote Tier List'!A:D, 3, FALSE)</f>
        <v/>
      </c>
      <c r="F184" s="1274"/>
      <c r="G184" s="1245" t="b">
        <f t="shared" si="29"/>
        <v>0</v>
      </c>
      <c r="H184" s="1246" t="str">
        <f t="array" ref="H184:I184">LET(
  Lab, $C184,
  Mode, $AD$1,
  Level, VLOOKUP(Lab, MS_Labs_Array, 2, FALSE),
  Target, VLOOKUP(Lab, MS_Labs_Array, 3, FALSE),
  Max, VLOOKUP(Lab, MS_Labs_Array, 4, FALSE),
  Result,
    IF(
      AND(
        Mode &lt;&gt; "Never",
        Level &gt;= IF(OR(Target = "", Mode = "Max"), Max, Target)
      ),
      "Completed",
      ""
    ),
  HSTACK(
    IF(Result &lt;&gt; "", Result, $D184),
    IF(Result &lt;&gt; "", Result, IF($E184 = "", $D184, $E184))
  )
)</f>
        <v>F</v>
      </c>
      <c r="I184" s="1247" t="s">
        <v>549</v>
      </c>
      <c r="J184" s="1248"/>
      <c r="K184" s="1229"/>
      <c r="L184" s="1229" t="str">
        <f>IFERROR(__xludf.DUMMYFUNCTION("""COMPUTED_VALUE"""),"")</f>
        <v/>
      </c>
      <c r="M184" s="1229"/>
      <c r="N184" s="1337"/>
      <c r="O184" s="1337"/>
      <c r="P184" s="1229"/>
      <c r="Q184" s="1229" t="str">
        <f>IFERROR(__xludf.DUMMYFUNCTION("""COMPUTED_VALUE"""),"")</f>
        <v/>
      </c>
      <c r="R184" s="1229" t="str">
        <f>IFERROR(__xludf.DUMMYFUNCTION("""COMPUTED_VALUE"""),"")</f>
        <v/>
      </c>
      <c r="S184" s="1229"/>
      <c r="T184" s="1337"/>
      <c r="U184" s="1337"/>
      <c r="V184" s="1229"/>
      <c r="W184" s="1229" t="str">
        <f>IFERROR(__xludf.DUMMYFUNCTION("""COMPUTED_VALUE"""),"")</f>
        <v/>
      </c>
      <c r="X184" s="1229" t="str">
        <f>IFERROR(__xludf.DUMMYFUNCTION("""COMPUTED_VALUE"""),"")</f>
        <v/>
      </c>
      <c r="Y184" s="1229"/>
      <c r="Z184" s="1337"/>
      <c r="AA184" s="1337"/>
      <c r="AB184" s="1229"/>
      <c r="AC184" s="1229" t="str">
        <f>IFERROR(__xludf.DUMMYFUNCTION("""COMPUTED_VALUE"""),"")</f>
        <v/>
      </c>
      <c r="AD184" s="1229" t="str">
        <f>IFERROR(__xludf.DUMMYFUNCTION("""COMPUTED_VALUE"""),"")</f>
        <v/>
      </c>
      <c r="AE184" s="1229"/>
      <c r="AF184" s="1337"/>
      <c r="AG184" s="1337"/>
      <c r="AH184" s="1229"/>
      <c r="AI184" s="1229" t="str">
        <f>IFERROR(__xludf.DUMMYFUNCTION("""COMPUTED_VALUE"""),"")</f>
        <v/>
      </c>
      <c r="AJ184" s="1229" t="str">
        <f>IFERROR(__xludf.DUMMYFUNCTION("""COMPUTED_VALUE"""),"")</f>
        <v/>
      </c>
      <c r="AK184" s="1229"/>
      <c r="AL184" s="1337"/>
      <c r="AM184" s="1337"/>
      <c r="AN184" s="1229"/>
      <c r="AO184" s="1229" t="str">
        <f>IFERROR(__xludf.DUMMYFUNCTION("""COMPUTED_VALUE"""),"")</f>
        <v/>
      </c>
      <c r="AP184" s="1229" t="str">
        <f>IFERROR(__xludf.DUMMYFUNCTION("""COMPUTED_VALUE"""),"")</f>
        <v/>
      </c>
      <c r="AQ184" s="1229"/>
      <c r="AR184" s="1337"/>
      <c r="AS184" s="1337"/>
      <c r="AT184" s="1229"/>
      <c r="AU184" s="1229" t="str">
        <f>IFERROR(__xludf.DUMMYFUNCTION("""COMPUTED_VALUE"""),"")</f>
        <v/>
      </c>
      <c r="AV184" s="1229" t="str">
        <f>IFERROR(__xludf.DUMMYFUNCTION("""COMPUTED_VALUE"""),"")</f>
        <v/>
      </c>
      <c r="AW184" s="1229"/>
      <c r="AX184" s="1337"/>
      <c r="AY184" s="1337"/>
      <c r="AZ184" s="1229"/>
      <c r="BA184" s="1229" t="str">
        <f>IFERROR(__xludf.DUMMYFUNCTION("""COMPUTED_VALUE"""),"")</f>
        <v/>
      </c>
      <c r="BB184" s="1229" t="str">
        <f>IFERROR(__xludf.DUMMYFUNCTION("""COMPUTED_VALUE"""),"")</f>
        <v/>
      </c>
      <c r="BC184" s="1229"/>
      <c r="BD184" s="1337"/>
      <c r="BE184" s="1337"/>
      <c r="BF184" s="1229"/>
      <c r="BG184" s="1229" t="str">
        <f>IFERROR(__xludf.DUMMYFUNCTION("""COMPUTED_VALUE"""),"")</f>
        <v/>
      </c>
      <c r="BH184" s="1229" t="str">
        <f>IFERROR(__xludf.DUMMYFUNCTION("""COMPUTED_VALUE"""),"")</f>
        <v/>
      </c>
      <c r="BI184" s="1222"/>
      <c r="BJ184" s="1338"/>
      <c r="BK184" s="1338"/>
      <c r="BL184" s="1222"/>
      <c r="BM184" s="1222" t="str">
        <f>IFERROR(__xludf.DUMMYFUNCTION("""COMPUTED_VALUE"""),"")</f>
        <v/>
      </c>
      <c r="BN184" s="1222"/>
      <c r="BO184" s="1261"/>
    </row>
    <row r="185">
      <c r="A185" s="1222"/>
      <c r="B185" s="1257"/>
      <c r="C185" s="1345" t="s">
        <v>300</v>
      </c>
      <c r="D185" s="1280" t="str">
        <f>VLOOKUP(C185,'Remote Tier List'!A:D, 2, FALSE)</f>
        <v>D</v>
      </c>
      <c r="E185" s="1281" t="str">
        <f>VLOOKUP(C185,'Remote Tier List'!A:D, 3, FALSE)</f>
        <v/>
      </c>
      <c r="F185" s="1274"/>
      <c r="G185" s="1245" t="b">
        <f t="shared" si="29"/>
        <v>0</v>
      </c>
      <c r="H185" s="1246" t="str">
        <f t="array" ref="H185:I185">LET(
  Lab, $C185,
  Mode, $AD$1,
  Level, VLOOKUP(Lab, MS_Labs_Array, 2, FALSE),
  Target, VLOOKUP(Lab, MS_Labs_Array, 3, FALSE),
  Max, VLOOKUP(Lab, MS_Labs_Array, 4, FALSE),
  Result,
    IF(
      AND(
        Mode &lt;&gt; "Never",
        Level &gt;= IF(OR(Target = "", Mode = "Max"), Max, Target)
      ),
      "Completed",
      ""
    ),
  HSTACK(
    IF(Result &lt;&gt; "", Result, $D185),
    IF(Result &lt;&gt; "", Result, IF($E185 = "", $D185, $E185))
  )
)</f>
        <v>D</v>
      </c>
      <c r="I185" s="1247" t="s">
        <v>548</v>
      </c>
      <c r="J185" s="1248"/>
      <c r="K185" s="1229"/>
      <c r="L185" s="1229"/>
      <c r="M185" s="1229"/>
      <c r="N185" s="1337"/>
      <c r="O185" s="1337"/>
      <c r="P185" s="1229"/>
      <c r="Q185" s="1229"/>
      <c r="R185" s="1229"/>
      <c r="S185" s="1229"/>
      <c r="T185" s="1337"/>
      <c r="U185" s="1337"/>
      <c r="V185" s="1229"/>
      <c r="W185" s="1229"/>
      <c r="X185" s="1229"/>
      <c r="Y185" s="1229"/>
      <c r="Z185" s="1337"/>
      <c r="AA185" s="1337"/>
      <c r="AB185" s="1229"/>
      <c r="AC185" s="1229"/>
      <c r="AD185" s="1229"/>
      <c r="AE185" s="1229"/>
      <c r="AF185" s="1337"/>
      <c r="AG185" s="1337"/>
      <c r="AH185" s="1229"/>
      <c r="AI185" s="1229"/>
      <c r="AJ185" s="1229"/>
      <c r="AK185" s="1229"/>
      <c r="AL185" s="1337"/>
      <c r="AM185" s="1337"/>
      <c r="AN185" s="1229"/>
      <c r="AO185" s="1229"/>
      <c r="AP185" s="1229"/>
      <c r="AQ185" s="1229"/>
      <c r="AR185" s="1337"/>
      <c r="AS185" s="1337"/>
      <c r="AT185" s="1229"/>
      <c r="AU185" s="1229"/>
      <c r="AV185" s="1229"/>
      <c r="AW185" s="1229"/>
      <c r="AX185" s="1337"/>
      <c r="AY185" s="1337"/>
      <c r="AZ185" s="1229"/>
      <c r="BA185" s="1229"/>
      <c r="BB185" s="1229"/>
      <c r="BC185" s="1229"/>
      <c r="BD185" s="1337"/>
      <c r="BE185" s="1337"/>
      <c r="BF185" s="1229"/>
      <c r="BG185" s="1229"/>
      <c r="BH185" s="1229"/>
      <c r="BI185" s="1222"/>
      <c r="BJ185" s="1338"/>
      <c r="BK185" s="1338"/>
      <c r="BL185" s="1222"/>
      <c r="BM185" s="1222"/>
      <c r="BN185" s="1222"/>
      <c r="BO185" s="1261"/>
    </row>
    <row r="186" ht="7.5" customHeight="1">
      <c r="A186" s="1222"/>
      <c r="B186" s="1257"/>
      <c r="C186" s="1345" t="s">
        <v>307</v>
      </c>
      <c r="D186" s="1280" t="str">
        <f>VLOOKUP(C186,'Remote Tier List'!A:D, 2, FALSE)</f>
        <v>F</v>
      </c>
      <c r="E186" s="1281" t="str">
        <f>VLOOKUP(C186,'Remote Tier List'!A:D, 3, FALSE)</f>
        <v/>
      </c>
      <c r="F186" s="1274"/>
      <c r="G186" s="1245" t="b">
        <f t="shared" si="29"/>
        <v>0</v>
      </c>
      <c r="H186" s="1246" t="str">
        <f t="array" ref="H186:I186">LET(
  Lab, $C186,
  Mode, $AD$1,
  Level, VLOOKUP(Lab, MS_Labs_Array, 2, FALSE),
  Target, VLOOKUP(Lab, MS_Labs_Array, 3, FALSE),
  Max, VLOOKUP(Lab, MS_Labs_Array, 4, FALSE),
  Result,
    IF(
      AND(
        Mode &lt;&gt; "Never",
        Level &gt;= IF(OR(Target = "", Mode = "Max"), Max, Target)
      ),
      "Completed",
      ""
    ),
  HSTACK(
    IF(Result &lt;&gt; "", Result, $D186),
    IF(Result &lt;&gt; "", Result, IF($E186 = "", $D186, $E186))
  )
)</f>
        <v>F</v>
      </c>
      <c r="I186" s="1247" t="s">
        <v>549</v>
      </c>
      <c r="J186" s="1248"/>
      <c r="K186" s="1229"/>
      <c r="L186" s="1229" t="str">
        <f>IFERROR(__xludf.DUMMYFUNCTION("""COMPUTED_VALUE"""),"")</f>
        <v/>
      </c>
      <c r="M186" s="1229"/>
      <c r="N186" s="1337"/>
      <c r="O186" s="1337"/>
      <c r="P186" s="1229"/>
      <c r="Q186" s="1229" t="str">
        <f>IFERROR(__xludf.DUMMYFUNCTION("""COMPUTED_VALUE"""),"")</f>
        <v/>
      </c>
      <c r="R186" s="1229" t="str">
        <f>IFERROR(__xludf.DUMMYFUNCTION("""COMPUTED_VALUE"""),"")</f>
        <v/>
      </c>
      <c r="S186" s="1229"/>
      <c r="T186" s="1337"/>
      <c r="U186" s="1337"/>
      <c r="V186" s="1229"/>
      <c r="W186" s="1229" t="str">
        <f>IFERROR(__xludf.DUMMYFUNCTION("""COMPUTED_VALUE"""),"")</f>
        <v/>
      </c>
      <c r="X186" s="1229" t="str">
        <f>IFERROR(__xludf.DUMMYFUNCTION("""COMPUTED_VALUE"""),"")</f>
        <v/>
      </c>
      <c r="Y186" s="1229"/>
      <c r="Z186" s="1337"/>
      <c r="AA186" s="1337"/>
      <c r="AB186" s="1229"/>
      <c r="AC186" s="1229" t="str">
        <f>IFERROR(__xludf.DUMMYFUNCTION("""COMPUTED_VALUE"""),"")</f>
        <v/>
      </c>
      <c r="AD186" s="1229" t="str">
        <f>IFERROR(__xludf.DUMMYFUNCTION("""COMPUTED_VALUE"""),"")</f>
        <v/>
      </c>
      <c r="AE186" s="1229"/>
      <c r="AF186" s="1337"/>
      <c r="AG186" s="1337"/>
      <c r="AH186" s="1229"/>
      <c r="AI186" s="1229" t="str">
        <f>IFERROR(__xludf.DUMMYFUNCTION("""COMPUTED_VALUE"""),"")</f>
        <v/>
      </c>
      <c r="AJ186" s="1229" t="str">
        <f>IFERROR(__xludf.DUMMYFUNCTION("""COMPUTED_VALUE"""),"")</f>
        <v/>
      </c>
      <c r="AK186" s="1229"/>
      <c r="AL186" s="1337"/>
      <c r="AM186" s="1337"/>
      <c r="AN186" s="1229"/>
      <c r="AO186" s="1229" t="str">
        <f>IFERROR(__xludf.DUMMYFUNCTION("""COMPUTED_VALUE"""),"")</f>
        <v/>
      </c>
      <c r="AP186" s="1229" t="str">
        <f>IFERROR(__xludf.DUMMYFUNCTION("""COMPUTED_VALUE"""),"")</f>
        <v/>
      </c>
      <c r="AQ186" s="1229"/>
      <c r="AR186" s="1337"/>
      <c r="AS186" s="1337"/>
      <c r="AT186" s="1229"/>
      <c r="AU186" s="1229" t="str">
        <f>IFERROR(__xludf.DUMMYFUNCTION("""COMPUTED_VALUE"""),"")</f>
        <v/>
      </c>
      <c r="AV186" s="1229" t="str">
        <f>IFERROR(__xludf.DUMMYFUNCTION("""COMPUTED_VALUE"""),"")</f>
        <v/>
      </c>
      <c r="AW186" s="1229"/>
      <c r="AX186" s="1337"/>
      <c r="AY186" s="1337"/>
      <c r="AZ186" s="1229"/>
      <c r="BA186" s="1229" t="str">
        <f>IFERROR(__xludf.DUMMYFUNCTION("""COMPUTED_VALUE"""),"")</f>
        <v/>
      </c>
      <c r="BB186" s="1229" t="str">
        <f>IFERROR(__xludf.DUMMYFUNCTION("""COMPUTED_VALUE"""),"")</f>
        <v/>
      </c>
      <c r="BC186" s="1229"/>
      <c r="BD186" s="1337"/>
      <c r="BE186" s="1337"/>
      <c r="BF186" s="1229"/>
      <c r="BG186" s="1229" t="str">
        <f>IFERROR(__xludf.DUMMYFUNCTION("""COMPUTED_VALUE"""),"")</f>
        <v/>
      </c>
      <c r="BH186" s="1229" t="str">
        <f>IFERROR(__xludf.DUMMYFUNCTION("""COMPUTED_VALUE"""),"")</f>
        <v/>
      </c>
      <c r="BI186" s="1222"/>
      <c r="BJ186" s="1338"/>
      <c r="BK186" s="1338"/>
      <c r="BL186" s="1222"/>
      <c r="BM186" s="1222" t="str">
        <f>IFERROR(__xludf.DUMMYFUNCTION("""COMPUTED_VALUE"""),"")</f>
        <v/>
      </c>
      <c r="BN186" s="1222"/>
      <c r="BO186" s="1261"/>
    </row>
    <row r="187">
      <c r="A187" s="1222"/>
      <c r="B187" s="1257"/>
      <c r="C187" s="1345" t="s">
        <v>314</v>
      </c>
      <c r="D187" s="1280" t="str">
        <f>VLOOKUP(C187,'Remote Tier List'!A:D, 2, FALSE)</f>
        <v>D</v>
      </c>
      <c r="E187" s="1281" t="str">
        <f>VLOOKUP(C187,'Remote Tier List'!A:D, 3, FALSE)</f>
        <v/>
      </c>
      <c r="F187" s="1320" t="str">
        <f>VLOOKUP(C187,'Remote Tier List'!A:D, 4, FALSE)</f>
        <v>Cuts off a few seconds of duration, can sometimes help lower the danger</v>
      </c>
      <c r="G187" s="1245" t="b">
        <f t="shared" si="29"/>
        <v>0</v>
      </c>
      <c r="H187" s="1246" t="str">
        <f t="array" ref="H187:I187">LET(
  Lab, $C187,
  Mode, $AD$1,
  Level, VLOOKUP(Lab, MS_Labs_Array, 2, FALSE),
  Target, VLOOKUP(Lab, MS_Labs_Array, 3, FALSE),
  Max, VLOOKUP(Lab, MS_Labs_Array, 4, FALSE),
  Result,
    IF(
      AND(
        Mode &lt;&gt; "Never",
        Level &gt;= IF(OR(Target = "", Mode = "Max"), Max, Target)
      ),
      "Completed",
      ""
    ),
  HSTACK(
    IF(Result &lt;&gt; "", Result, $D187),
    IF(Result &lt;&gt; "", Result, IF($E187 = "", $D187, $E187))
  )
)</f>
        <v>D</v>
      </c>
      <c r="I187" s="1247" t="s">
        <v>548</v>
      </c>
      <c r="J187" s="1248" t="str">
        <f t="shared" ref="J187:J192" si="31">if(ISBLANK(F187),J186, F187)</f>
        <v>Cuts off a few seconds of duration, can sometimes help lower the danger</v>
      </c>
      <c r="K187" s="1229"/>
      <c r="L187" s="1229"/>
      <c r="M187" s="1229"/>
      <c r="N187" s="1337"/>
      <c r="O187" s="1337"/>
      <c r="P187" s="1229"/>
      <c r="Q187" s="1229"/>
      <c r="R187" s="1229"/>
      <c r="S187" s="1229"/>
      <c r="T187" s="1337"/>
      <c r="U187" s="1337"/>
      <c r="V187" s="1229"/>
      <c r="W187" s="1229"/>
      <c r="X187" s="1229"/>
      <c r="Y187" s="1229"/>
      <c r="Z187" s="1337"/>
      <c r="AA187" s="1337"/>
      <c r="AB187" s="1229"/>
      <c r="AC187" s="1229"/>
      <c r="AD187" s="1229"/>
      <c r="AE187" s="1229"/>
      <c r="AF187" s="1337"/>
      <c r="AG187" s="1337"/>
      <c r="AH187" s="1229"/>
      <c r="AI187" s="1229"/>
      <c r="AJ187" s="1229"/>
      <c r="AK187" s="1229"/>
      <c r="AL187" s="1337"/>
      <c r="AM187" s="1337"/>
      <c r="AN187" s="1229"/>
      <c r="AO187" s="1229"/>
      <c r="AP187" s="1229"/>
      <c r="AQ187" s="1229"/>
      <c r="AR187" s="1337"/>
      <c r="AS187" s="1337"/>
      <c r="AT187" s="1229"/>
      <c r="AU187" s="1229"/>
      <c r="AV187" s="1229"/>
      <c r="AW187" s="1229"/>
      <c r="AX187" s="1337"/>
      <c r="AY187" s="1337"/>
      <c r="AZ187" s="1229"/>
      <c r="BA187" s="1229"/>
      <c r="BB187" s="1229"/>
      <c r="BC187" s="1229"/>
      <c r="BD187" s="1337"/>
      <c r="BE187" s="1337"/>
      <c r="BF187" s="1229"/>
      <c r="BG187" s="1229"/>
      <c r="BH187" s="1229"/>
      <c r="BI187" s="1222"/>
      <c r="BJ187" s="1338"/>
      <c r="BK187" s="1338"/>
      <c r="BL187" s="1222"/>
      <c r="BM187" s="1222"/>
      <c r="BN187" s="1222"/>
      <c r="BO187" s="1261"/>
    </row>
    <row r="188" ht="7.5" customHeight="1">
      <c r="A188" s="1222"/>
      <c r="B188" s="1257"/>
      <c r="C188" s="1345" t="s">
        <v>321</v>
      </c>
      <c r="D188" s="1280" t="str">
        <f>VLOOKUP(C188,'Remote Tier List'!A:D, 2, FALSE)</f>
        <v>D</v>
      </c>
      <c r="E188" s="1281" t="str">
        <f>VLOOKUP(C188,'Remote Tier List'!A:D, 3, FALSE)</f>
        <v/>
      </c>
      <c r="F188" s="1264"/>
      <c r="G188" s="1245" t="b">
        <f t="shared" si="29"/>
        <v>0</v>
      </c>
      <c r="H188" s="1246" t="str">
        <f t="array" ref="H188:I188">LET(
  Lab, $C188,
  Mode, $AD$1,
  Level, VLOOKUP(Lab, MS_Labs_Array, 2, FALSE),
  Target, VLOOKUP(Lab, MS_Labs_Array, 3, FALSE),
  Max, VLOOKUP(Lab, MS_Labs_Array, 4, FALSE),
  Result,
    IF(
      AND(
        Mode &lt;&gt; "Never",
        Level &gt;= IF(OR(Target = "", Mode = "Max"), Max, Target)
      ),
      "Completed",
      ""
    ),
  HSTACK(
    IF(Result &lt;&gt; "", Result, $D188),
    IF(Result &lt;&gt; "", Result, IF($E188 = "", $D188, $E188))
  )
)</f>
        <v>D</v>
      </c>
      <c r="I188" s="1247" t="s">
        <v>548</v>
      </c>
      <c r="J188" s="1248" t="str">
        <f t="shared" si="31"/>
        <v>Cuts off a few seconds of duration, can sometimes help lower the danger</v>
      </c>
      <c r="K188" s="1229"/>
      <c r="L188" s="1229" t="str">
        <f>IFERROR(__xludf.DUMMYFUNCTION("""COMPUTED_VALUE"""),"")</f>
        <v/>
      </c>
      <c r="M188" s="1229"/>
      <c r="N188" s="1337"/>
      <c r="O188" s="1337"/>
      <c r="P188" s="1229"/>
      <c r="Q188" s="1229" t="str">
        <f>IFERROR(__xludf.DUMMYFUNCTION("""COMPUTED_VALUE"""),"")</f>
        <v/>
      </c>
      <c r="R188" s="1229" t="str">
        <f>IFERROR(__xludf.DUMMYFUNCTION("""COMPUTED_VALUE"""),"")</f>
        <v/>
      </c>
      <c r="S188" s="1229"/>
      <c r="T188" s="1337"/>
      <c r="U188" s="1337"/>
      <c r="V188" s="1229"/>
      <c r="W188" s="1229" t="str">
        <f>IFERROR(__xludf.DUMMYFUNCTION("""COMPUTED_VALUE"""),"")</f>
        <v/>
      </c>
      <c r="X188" s="1229" t="str">
        <f>IFERROR(__xludf.DUMMYFUNCTION("""COMPUTED_VALUE"""),"")</f>
        <v/>
      </c>
      <c r="Y188" s="1229"/>
      <c r="Z188" s="1337"/>
      <c r="AA188" s="1337"/>
      <c r="AB188" s="1229"/>
      <c r="AC188" s="1229" t="str">
        <f>IFERROR(__xludf.DUMMYFUNCTION("""COMPUTED_VALUE"""),"")</f>
        <v/>
      </c>
      <c r="AD188" s="1229" t="str">
        <f>IFERROR(__xludf.DUMMYFUNCTION("""COMPUTED_VALUE"""),"")</f>
        <v/>
      </c>
      <c r="AE188" s="1229"/>
      <c r="AF188" s="1337"/>
      <c r="AG188" s="1337"/>
      <c r="AH188" s="1229"/>
      <c r="AI188" s="1229" t="str">
        <f>IFERROR(__xludf.DUMMYFUNCTION("""COMPUTED_VALUE"""),"")</f>
        <v/>
      </c>
      <c r="AJ188" s="1229" t="str">
        <f>IFERROR(__xludf.DUMMYFUNCTION("""COMPUTED_VALUE"""),"")</f>
        <v/>
      </c>
      <c r="AK188" s="1229"/>
      <c r="AL188" s="1337"/>
      <c r="AM188" s="1337"/>
      <c r="AN188" s="1229"/>
      <c r="AO188" s="1229" t="str">
        <f>IFERROR(__xludf.DUMMYFUNCTION("""COMPUTED_VALUE"""),"")</f>
        <v/>
      </c>
      <c r="AP188" s="1229" t="str">
        <f>IFERROR(__xludf.DUMMYFUNCTION("""COMPUTED_VALUE"""),"")</f>
        <v/>
      </c>
      <c r="AQ188" s="1229"/>
      <c r="AR188" s="1337"/>
      <c r="AS188" s="1337"/>
      <c r="AT188" s="1229"/>
      <c r="AU188" s="1229" t="str">
        <f>IFERROR(__xludf.DUMMYFUNCTION("""COMPUTED_VALUE"""),"")</f>
        <v/>
      </c>
      <c r="AV188" s="1229" t="str">
        <f>IFERROR(__xludf.DUMMYFUNCTION("""COMPUTED_VALUE"""),"")</f>
        <v/>
      </c>
      <c r="AW188" s="1229"/>
      <c r="AX188" s="1337"/>
      <c r="AY188" s="1337"/>
      <c r="AZ188" s="1229"/>
      <c r="BA188" s="1229" t="str">
        <f>IFERROR(__xludf.DUMMYFUNCTION("""COMPUTED_VALUE"""),"")</f>
        <v/>
      </c>
      <c r="BB188" s="1229" t="str">
        <f>IFERROR(__xludf.DUMMYFUNCTION("""COMPUTED_VALUE"""),"")</f>
        <v/>
      </c>
      <c r="BC188" s="1229"/>
      <c r="BD188" s="1337"/>
      <c r="BE188" s="1337"/>
      <c r="BF188" s="1229"/>
      <c r="BG188" s="1229" t="str">
        <f>IFERROR(__xludf.DUMMYFUNCTION("""COMPUTED_VALUE"""),"")</f>
        <v/>
      </c>
      <c r="BH188" s="1229" t="str">
        <f>IFERROR(__xludf.DUMMYFUNCTION("""COMPUTED_VALUE"""),"")</f>
        <v/>
      </c>
      <c r="BI188" s="1222"/>
      <c r="BJ188" s="1338"/>
      <c r="BK188" s="1338"/>
      <c r="BL188" s="1222"/>
      <c r="BM188" s="1222" t="str">
        <f>IFERROR(__xludf.DUMMYFUNCTION("""COMPUTED_VALUE"""),"")</f>
        <v/>
      </c>
      <c r="BN188" s="1222"/>
      <c r="BO188" s="1261"/>
    </row>
    <row r="189">
      <c r="A189" s="1222"/>
      <c r="B189" s="1269" t="s">
        <v>556</v>
      </c>
      <c r="C189" s="1346" t="s">
        <v>327</v>
      </c>
      <c r="D189" s="1280" t="str">
        <f>VLOOKUP(C189,'Remote Tier List'!A:D, 2, FALSE)</f>
        <v>F</v>
      </c>
      <c r="E189" s="1281" t="str">
        <f>VLOOKUP(C189,'Remote Tier List'!A:D, 3, FALSE)</f>
        <v/>
      </c>
      <c r="F189" s="1258" t="str">
        <f>VLOOKUP(C189,'Remote Tier List'!A:D, 4, FALSE)</f>
        <v>Max lab only gives you back 1 second</v>
      </c>
      <c r="G189" s="1321" t="b">
        <f t="shared" si="29"/>
        <v>0</v>
      </c>
      <c r="H189" s="1246" t="str">
        <f t="array" ref="H189:I189">LET(
  Lab, $C189,
  Mode, $AD$1,
  Level, VLOOKUP(Lab, MS_Labs_Array, 2, FALSE),
  Target, VLOOKUP(Lab, MS_Labs_Array, 3, FALSE),
  Max, VLOOKUP(Lab, MS_Labs_Array, 4, FALSE),
  Result,
    IF(
      AND(
        Mode &lt;&gt; "Never",
        Level &gt;= IF(OR(Target = "", Mode = "Max"), Max, Target)
      ),
      "Completed",
      ""
    ),
  HSTACK(
    IF(Result &lt;&gt; "", Result, $D189),
    IF(Result &lt;&gt; "", Result, IF($E189 = "", $D189, $E189))
  )
)</f>
        <v>F</v>
      </c>
      <c r="I189" s="1247" t="s">
        <v>549</v>
      </c>
      <c r="J189" s="1248" t="str">
        <f t="shared" si="31"/>
        <v>Max lab only gives you back 1 second</v>
      </c>
      <c r="K189" s="1229"/>
      <c r="L189" s="1229"/>
      <c r="M189" s="1229"/>
      <c r="N189" s="1337"/>
      <c r="O189" s="1337"/>
      <c r="P189" s="1229"/>
      <c r="Q189" s="1229"/>
      <c r="R189" s="1229"/>
      <c r="S189" s="1229"/>
      <c r="T189" s="1337"/>
      <c r="U189" s="1337"/>
      <c r="V189" s="1229"/>
      <c r="W189" s="1229"/>
      <c r="X189" s="1229"/>
      <c r="Y189" s="1229"/>
      <c r="Z189" s="1337"/>
      <c r="AA189" s="1337"/>
      <c r="AB189" s="1229"/>
      <c r="AC189" s="1229"/>
      <c r="AD189" s="1229"/>
      <c r="AE189" s="1229"/>
      <c r="AF189" s="1337"/>
      <c r="AG189" s="1337"/>
      <c r="AH189" s="1229"/>
      <c r="AI189" s="1229"/>
      <c r="AJ189" s="1229"/>
      <c r="AK189" s="1229"/>
      <c r="AL189" s="1337"/>
      <c r="AM189" s="1337"/>
      <c r="AN189" s="1229"/>
      <c r="AO189" s="1229"/>
      <c r="AP189" s="1229"/>
      <c r="AQ189" s="1229"/>
      <c r="AR189" s="1337"/>
      <c r="AS189" s="1337"/>
      <c r="AT189" s="1229"/>
      <c r="AU189" s="1229"/>
      <c r="AV189" s="1229"/>
      <c r="AW189" s="1229"/>
      <c r="AX189" s="1337"/>
      <c r="AY189" s="1337"/>
      <c r="AZ189" s="1229"/>
      <c r="BA189" s="1229"/>
      <c r="BB189" s="1229"/>
      <c r="BC189" s="1229"/>
      <c r="BD189" s="1337"/>
      <c r="BE189" s="1337"/>
      <c r="BF189" s="1229"/>
      <c r="BG189" s="1229"/>
      <c r="BH189" s="1229"/>
      <c r="BI189" s="1222"/>
      <c r="BJ189" s="1338"/>
      <c r="BK189" s="1338"/>
      <c r="BL189" s="1222"/>
      <c r="BM189" s="1222"/>
      <c r="BN189" s="1222"/>
      <c r="BO189" s="1261"/>
    </row>
    <row r="190" ht="7.5" customHeight="1">
      <c r="A190" s="1222"/>
      <c r="B190" s="1257"/>
      <c r="C190" s="1345" t="s">
        <v>332</v>
      </c>
      <c r="D190" s="1280" t="str">
        <f>VLOOKUP(C190,'Remote Tier List'!A:D, 2, FALSE)</f>
        <v>C</v>
      </c>
      <c r="E190" s="1281" t="str">
        <f>VLOOKUP(C190,'Remote Tier List'!A:D, 3, FALSE)</f>
        <v/>
      </c>
      <c r="F190" s="1258" t="str">
        <f>VLOOKUP(C190,'Remote Tier List'!A:D, 4, FALSE)</f>
        <v>Extra invincibility is always strong</v>
      </c>
      <c r="G190" s="1321" t="b">
        <f t="shared" si="29"/>
        <v>0</v>
      </c>
      <c r="H190" s="1246" t="str">
        <f t="array" ref="H190:I190">LET(
  Lab, $C190,
  Mode, $AD$1,
  Level, VLOOKUP(Lab, MS_Labs_Array, 2, FALSE),
  Target, VLOOKUP(Lab, MS_Labs_Array, 3, FALSE),
  Max, VLOOKUP(Lab, MS_Labs_Array, 4, FALSE),
  Result,
    IF(
      AND(
        Mode &lt;&gt; "Never",
        Level &gt;= IF(OR(Target = "", Mode = "Max"), Max, Target)
      ),
      "Completed",
      ""
    ),
  HSTACK(
    IF(Result &lt;&gt; "", Result, $D190),
    IF(Result &lt;&gt; "", Result, IF($E190 = "", $D190, $E190))
  )
)</f>
        <v>C</v>
      </c>
      <c r="I190" s="1247" t="s">
        <v>547</v>
      </c>
      <c r="J190" s="1248" t="str">
        <f t="shared" si="31"/>
        <v>Extra invincibility is always strong</v>
      </c>
      <c r="K190" s="1229"/>
      <c r="L190" s="1229" t="str">
        <f>IFERROR(__xludf.DUMMYFUNCTION("""COMPUTED_VALUE"""),"")</f>
        <v/>
      </c>
      <c r="M190" s="1229"/>
      <c r="N190" s="1337"/>
      <c r="O190" s="1337"/>
      <c r="P190" s="1229"/>
      <c r="Q190" s="1229" t="str">
        <f>IFERROR(__xludf.DUMMYFUNCTION("""COMPUTED_VALUE"""),"")</f>
        <v/>
      </c>
      <c r="R190" s="1229" t="str">
        <f>IFERROR(__xludf.DUMMYFUNCTION("""COMPUTED_VALUE"""),"")</f>
        <v/>
      </c>
      <c r="S190" s="1229"/>
      <c r="T190" s="1337"/>
      <c r="U190" s="1337"/>
      <c r="V190" s="1229"/>
      <c r="W190" s="1229" t="str">
        <f>IFERROR(__xludf.DUMMYFUNCTION("""COMPUTED_VALUE"""),"")</f>
        <v/>
      </c>
      <c r="X190" s="1229" t="str">
        <f>IFERROR(__xludf.DUMMYFUNCTION("""COMPUTED_VALUE"""),"")</f>
        <v/>
      </c>
      <c r="Y190" s="1229"/>
      <c r="Z190" s="1337"/>
      <c r="AA190" s="1337"/>
      <c r="AB190" s="1229"/>
      <c r="AC190" s="1229" t="str">
        <f>IFERROR(__xludf.DUMMYFUNCTION("""COMPUTED_VALUE"""),"")</f>
        <v/>
      </c>
      <c r="AD190" s="1229" t="str">
        <f>IFERROR(__xludf.DUMMYFUNCTION("""COMPUTED_VALUE"""),"")</f>
        <v/>
      </c>
      <c r="AE190" s="1229"/>
      <c r="AF190" s="1337"/>
      <c r="AG190" s="1337"/>
      <c r="AH190" s="1229"/>
      <c r="AI190" s="1229" t="str">
        <f>IFERROR(__xludf.DUMMYFUNCTION("""COMPUTED_VALUE"""),"")</f>
        <v/>
      </c>
      <c r="AJ190" s="1229" t="str">
        <f>IFERROR(__xludf.DUMMYFUNCTION("""COMPUTED_VALUE"""),"")</f>
        <v/>
      </c>
      <c r="AK190" s="1229"/>
      <c r="AL190" s="1337"/>
      <c r="AM190" s="1337"/>
      <c r="AN190" s="1229"/>
      <c r="AO190" s="1229" t="str">
        <f>IFERROR(__xludf.DUMMYFUNCTION("""COMPUTED_VALUE"""),"")</f>
        <v/>
      </c>
      <c r="AP190" s="1229" t="str">
        <f>IFERROR(__xludf.DUMMYFUNCTION("""COMPUTED_VALUE"""),"")</f>
        <v/>
      </c>
      <c r="AQ190" s="1229"/>
      <c r="AR190" s="1337"/>
      <c r="AS190" s="1337"/>
      <c r="AT190" s="1229"/>
      <c r="AU190" s="1229" t="str">
        <f>IFERROR(__xludf.DUMMYFUNCTION("""COMPUTED_VALUE"""),"")</f>
        <v/>
      </c>
      <c r="AV190" s="1229" t="str">
        <f>IFERROR(__xludf.DUMMYFUNCTION("""COMPUTED_VALUE"""),"")</f>
        <v/>
      </c>
      <c r="AW190" s="1229"/>
      <c r="AX190" s="1337"/>
      <c r="AY190" s="1337"/>
      <c r="AZ190" s="1229"/>
      <c r="BA190" s="1229" t="str">
        <f>IFERROR(__xludf.DUMMYFUNCTION("""COMPUTED_VALUE"""),"")</f>
        <v/>
      </c>
      <c r="BB190" s="1229" t="str">
        <f>IFERROR(__xludf.DUMMYFUNCTION("""COMPUTED_VALUE"""),"")</f>
        <v/>
      </c>
      <c r="BC190" s="1229"/>
      <c r="BD190" s="1337"/>
      <c r="BE190" s="1337"/>
      <c r="BF190" s="1229"/>
      <c r="BG190" s="1229" t="str">
        <f>IFERROR(__xludf.DUMMYFUNCTION("""COMPUTED_VALUE"""),"")</f>
        <v/>
      </c>
      <c r="BH190" s="1229" t="str">
        <f>IFERROR(__xludf.DUMMYFUNCTION("""COMPUTED_VALUE"""),"")</f>
        <v/>
      </c>
      <c r="BI190" s="1222"/>
      <c r="BJ190" s="1338"/>
      <c r="BK190" s="1338"/>
      <c r="BL190" s="1222"/>
      <c r="BM190" s="1222" t="str">
        <f>IFERROR(__xludf.DUMMYFUNCTION("""COMPUTED_VALUE"""),"")</f>
        <v/>
      </c>
      <c r="BN190" s="1222"/>
      <c r="BO190" s="1261"/>
    </row>
    <row r="191">
      <c r="A191" s="1222"/>
      <c r="B191" s="1257"/>
      <c r="C191" s="1345" t="s">
        <v>337</v>
      </c>
      <c r="D191" s="1280" t="str">
        <f>VLOOKUP(C191,'Remote Tier List'!A:D, 2, FALSE)</f>
        <v>C</v>
      </c>
      <c r="E191" s="1281" t="str">
        <f>VLOOKUP(C191,'Remote Tier List'!A:D, 3, FALSE)</f>
        <v/>
      </c>
      <c r="F191" s="1264"/>
      <c r="G191" s="1321" t="b">
        <f t="shared" si="29"/>
        <v>0</v>
      </c>
      <c r="H191" s="1246" t="str">
        <f t="array" ref="H191:I191">LET(
  Lab, $C191,
  Mode, $AD$1,
  Level, VLOOKUP(Lab, MS_Labs_Array, 2, FALSE),
  Target, VLOOKUP(Lab, MS_Labs_Array, 3, FALSE),
  Max, VLOOKUP(Lab, MS_Labs_Array, 4, FALSE),
  Result,
    IF(
      AND(
        Mode &lt;&gt; "Never",
        Level &gt;= IF(OR(Target = "", Mode = "Max"), Max, Target)
      ),
      "Completed",
      ""
    ),
  HSTACK(
    IF(Result &lt;&gt; "", Result, $D191),
    IF(Result &lt;&gt; "", Result, IF($E191 = "", $D191, $E191))
  )
)</f>
        <v>C</v>
      </c>
      <c r="I191" s="1247" t="s">
        <v>547</v>
      </c>
      <c r="J191" s="1248" t="str">
        <f t="shared" si="31"/>
        <v>Extra invincibility is always strong</v>
      </c>
      <c r="K191" s="1229"/>
      <c r="L191" s="1229"/>
      <c r="M191" s="1229"/>
      <c r="N191" s="1337"/>
      <c r="O191" s="1337"/>
      <c r="P191" s="1229"/>
      <c r="Q191" s="1229"/>
      <c r="R191" s="1229"/>
      <c r="S191" s="1229"/>
      <c r="T191" s="1337"/>
      <c r="U191" s="1337"/>
      <c r="V191" s="1229"/>
      <c r="W191" s="1229"/>
      <c r="X191" s="1229"/>
      <c r="Y191" s="1229"/>
      <c r="Z191" s="1337"/>
      <c r="AA191" s="1337"/>
      <c r="AB191" s="1229"/>
      <c r="AC191" s="1229"/>
      <c r="AD191" s="1229"/>
      <c r="AE191" s="1229"/>
      <c r="AF191" s="1337"/>
      <c r="AG191" s="1337"/>
      <c r="AH191" s="1229"/>
      <c r="AI191" s="1229"/>
      <c r="AJ191" s="1229"/>
      <c r="AK191" s="1229"/>
      <c r="AL191" s="1337"/>
      <c r="AM191" s="1337"/>
      <c r="AN191" s="1229"/>
      <c r="AO191" s="1229"/>
      <c r="AP191" s="1229"/>
      <c r="AQ191" s="1229"/>
      <c r="AR191" s="1337"/>
      <c r="AS191" s="1337"/>
      <c r="AT191" s="1229"/>
      <c r="AU191" s="1229"/>
      <c r="AV191" s="1229"/>
      <c r="AW191" s="1229"/>
      <c r="AX191" s="1337"/>
      <c r="AY191" s="1337"/>
      <c r="AZ191" s="1229"/>
      <c r="BA191" s="1229"/>
      <c r="BB191" s="1229"/>
      <c r="BC191" s="1229"/>
      <c r="BD191" s="1337"/>
      <c r="BE191" s="1337"/>
      <c r="BF191" s="1229"/>
      <c r="BG191" s="1229"/>
      <c r="BH191" s="1229"/>
      <c r="BI191" s="1222"/>
      <c r="BJ191" s="1338"/>
      <c r="BK191" s="1338"/>
      <c r="BL191" s="1222"/>
      <c r="BM191" s="1222"/>
      <c r="BN191" s="1222"/>
      <c r="BO191" s="1261"/>
    </row>
    <row r="192" ht="7.5" customHeight="1">
      <c r="A192" s="1222"/>
      <c r="B192" s="1271"/>
      <c r="C192" s="1347" t="s">
        <v>342</v>
      </c>
      <c r="D192" s="1280" t="str">
        <f>VLOOKUP(C192,'Remote Tier List'!A:D, 2, FALSE)</f>
        <v>A</v>
      </c>
      <c r="E192" s="1281" t="str">
        <f>VLOOKUP(C192,'Remote Tier List'!A:D, 3, FALSE)</f>
        <v/>
      </c>
      <c r="F192" s="1273" t="str">
        <f>VLOOKUP(C192,'Remote Tier List'!A:D, 4, FALSE)</f>
        <v>Expensive and ELS is still very good in farm and milestones, mostly pointless for tourney with the way ELS BC works there</v>
      </c>
      <c r="G192" s="1321" t="b">
        <f t="shared" si="29"/>
        <v>0</v>
      </c>
      <c r="H192" s="1246" t="str">
        <f t="array" ref="H192:I192">LET(
  Lab, $C192,
  Mode, $AD$1,
  Level, VLOOKUP(Lab, MS_Labs_Array, 2, FALSE),
  Target, VLOOKUP(Lab, MS_Labs_Array, 3, FALSE),
  Max, VLOOKUP(Lab, MS_Labs_Array, 4, FALSE),
  Result,
    IF(
      AND(
        Mode &lt;&gt; "Never",
        Level &gt;= IF(OR(Target = "", Mode = "Max"), Max, Target)
      ),
      "Completed",
      ""
    ),
  HSTACK(
    IF(Result &lt;&gt; "", Result, $D192),
    IF(Result &lt;&gt; "", Result, IF($E192 = "", $D192, $E192))
  )
)</f>
        <v>A</v>
      </c>
      <c r="I192" s="1247" t="s">
        <v>545</v>
      </c>
      <c r="J192" s="1248" t="str">
        <f t="shared" si="31"/>
        <v>Expensive and ELS is still very good in farm and milestones, mostly pointless for tourney with the way ELS BC works there</v>
      </c>
      <c r="K192" s="1229"/>
      <c r="L192" s="1229" t="str">
        <f>IFERROR(__xludf.DUMMYFUNCTION("""COMPUTED_VALUE"""),"")</f>
        <v/>
      </c>
      <c r="M192" s="1229"/>
      <c r="N192" s="1337"/>
      <c r="O192" s="1337"/>
      <c r="P192" s="1229"/>
      <c r="Q192" s="1229" t="str">
        <f>IFERROR(__xludf.DUMMYFUNCTION("""COMPUTED_VALUE"""),"")</f>
        <v/>
      </c>
      <c r="R192" s="1229" t="str">
        <f>IFERROR(__xludf.DUMMYFUNCTION("""COMPUTED_VALUE"""),"")</f>
        <v/>
      </c>
      <c r="S192" s="1229"/>
      <c r="T192" s="1337"/>
      <c r="U192" s="1337"/>
      <c r="V192" s="1229"/>
      <c r="W192" s="1229" t="str">
        <f>IFERROR(__xludf.DUMMYFUNCTION("""COMPUTED_VALUE"""),"")</f>
        <v/>
      </c>
      <c r="X192" s="1229" t="str">
        <f>IFERROR(__xludf.DUMMYFUNCTION("""COMPUTED_VALUE"""),"")</f>
        <v/>
      </c>
      <c r="Y192" s="1229"/>
      <c r="Z192" s="1337"/>
      <c r="AA192" s="1337"/>
      <c r="AB192" s="1229"/>
      <c r="AC192" s="1229" t="str">
        <f>IFERROR(__xludf.DUMMYFUNCTION("""COMPUTED_VALUE"""),"")</f>
        <v/>
      </c>
      <c r="AD192" s="1229" t="str">
        <f>IFERROR(__xludf.DUMMYFUNCTION("""COMPUTED_VALUE"""),"")</f>
        <v/>
      </c>
      <c r="AE192" s="1229"/>
      <c r="AF192" s="1337"/>
      <c r="AG192" s="1337"/>
      <c r="AH192" s="1229"/>
      <c r="AI192" s="1229" t="str">
        <f>IFERROR(__xludf.DUMMYFUNCTION("""COMPUTED_VALUE"""),"")</f>
        <v/>
      </c>
      <c r="AJ192" s="1229" t="str">
        <f>IFERROR(__xludf.DUMMYFUNCTION("""COMPUTED_VALUE"""),"")</f>
        <v/>
      </c>
      <c r="AK192" s="1229"/>
      <c r="AL192" s="1337"/>
      <c r="AM192" s="1337"/>
      <c r="AN192" s="1229"/>
      <c r="AO192" s="1229" t="str">
        <f>IFERROR(__xludf.DUMMYFUNCTION("""COMPUTED_VALUE"""),"")</f>
        <v/>
      </c>
      <c r="AP192" s="1229" t="str">
        <f>IFERROR(__xludf.DUMMYFUNCTION("""COMPUTED_VALUE"""),"")</f>
        <v/>
      </c>
      <c r="AQ192" s="1229"/>
      <c r="AR192" s="1337"/>
      <c r="AS192" s="1337"/>
      <c r="AT192" s="1229"/>
      <c r="AU192" s="1229" t="str">
        <f>IFERROR(__xludf.DUMMYFUNCTION("""COMPUTED_VALUE"""),"")</f>
        <v/>
      </c>
      <c r="AV192" s="1229" t="str">
        <f>IFERROR(__xludf.DUMMYFUNCTION("""COMPUTED_VALUE"""),"")</f>
        <v/>
      </c>
      <c r="AW192" s="1229"/>
      <c r="AX192" s="1337"/>
      <c r="AY192" s="1337"/>
      <c r="AZ192" s="1229"/>
      <c r="BA192" s="1229" t="str">
        <f>IFERROR(__xludf.DUMMYFUNCTION("""COMPUTED_VALUE"""),"")</f>
        <v/>
      </c>
      <c r="BB192" s="1229" t="str">
        <f>IFERROR(__xludf.DUMMYFUNCTION("""COMPUTED_VALUE"""),"")</f>
        <v/>
      </c>
      <c r="BC192" s="1229"/>
      <c r="BD192" s="1337"/>
      <c r="BE192" s="1337"/>
      <c r="BF192" s="1229"/>
      <c r="BG192" s="1229" t="str">
        <f>IFERROR(__xludf.DUMMYFUNCTION("""COMPUTED_VALUE"""),"")</f>
        <v/>
      </c>
      <c r="BH192" s="1229" t="str">
        <f>IFERROR(__xludf.DUMMYFUNCTION("""COMPUTED_VALUE"""),"")</f>
        <v/>
      </c>
      <c r="BI192" s="1222"/>
      <c r="BJ192" s="1338"/>
      <c r="BK192" s="1338"/>
      <c r="BL192" s="1222"/>
      <c r="BM192" s="1222" t="str">
        <f>IFERROR(__xludf.DUMMYFUNCTION("""COMPUTED_VALUE"""),"")</f>
        <v/>
      </c>
      <c r="BN192" s="1222"/>
      <c r="BO192" s="1261"/>
    </row>
    <row r="193">
      <c r="A193" s="1222"/>
      <c r="B193" s="1274"/>
      <c r="C193" s="1348"/>
      <c r="D193" s="1274"/>
      <c r="E193" s="1274"/>
      <c r="F193" s="1274"/>
      <c r="G193" s="1229"/>
      <c r="H193" s="1229"/>
      <c r="I193" s="1229"/>
      <c r="J193" s="1229"/>
      <c r="K193" s="1229"/>
      <c r="L193" s="1229"/>
      <c r="M193" s="1229"/>
      <c r="N193" s="1337"/>
      <c r="O193" s="1337"/>
      <c r="P193" s="1229"/>
      <c r="Q193" s="1229"/>
      <c r="R193" s="1229"/>
      <c r="S193" s="1229"/>
      <c r="T193" s="1337"/>
      <c r="U193" s="1337"/>
      <c r="V193" s="1229"/>
      <c r="W193" s="1229"/>
      <c r="X193" s="1229"/>
      <c r="Y193" s="1229"/>
      <c r="Z193" s="1337"/>
      <c r="AA193" s="1337"/>
      <c r="AB193" s="1229"/>
      <c r="AC193" s="1229"/>
      <c r="AD193" s="1229"/>
      <c r="AE193" s="1229"/>
      <c r="AF193" s="1337"/>
      <c r="AG193" s="1337"/>
      <c r="AH193" s="1229"/>
      <c r="AI193" s="1229"/>
      <c r="AJ193" s="1229"/>
      <c r="AK193" s="1229"/>
      <c r="AL193" s="1337"/>
      <c r="AM193" s="1337"/>
      <c r="AN193" s="1229"/>
      <c r="AO193" s="1229"/>
      <c r="AP193" s="1229"/>
      <c r="AQ193" s="1229"/>
      <c r="AR193" s="1337"/>
      <c r="AS193" s="1337"/>
      <c r="AT193" s="1229"/>
      <c r="AU193" s="1229"/>
      <c r="AV193" s="1229"/>
      <c r="AW193" s="1229"/>
      <c r="AX193" s="1337"/>
      <c r="AY193" s="1337"/>
      <c r="AZ193" s="1229"/>
      <c r="BA193" s="1229"/>
      <c r="BB193" s="1229"/>
      <c r="BC193" s="1229"/>
      <c r="BD193" s="1337"/>
      <c r="BE193" s="1337"/>
      <c r="BF193" s="1229"/>
      <c r="BG193" s="1229"/>
      <c r="BH193" s="1229"/>
      <c r="BI193" s="1222"/>
      <c r="BJ193" s="1338"/>
      <c r="BK193" s="1338"/>
      <c r="BL193" s="1222"/>
      <c r="BM193" s="1222"/>
      <c r="BN193" s="1222"/>
      <c r="BO193" s="1222"/>
    </row>
    <row r="194" ht="7.5" customHeight="1">
      <c r="A194" s="1222"/>
      <c r="B194" s="1274"/>
      <c r="C194" s="1348"/>
      <c r="D194" s="1274"/>
      <c r="E194" s="1274"/>
      <c r="F194" s="1274"/>
      <c r="G194" s="1229"/>
      <c r="H194" s="1229"/>
      <c r="I194" s="1229"/>
      <c r="J194" s="1229"/>
      <c r="K194" s="1229"/>
      <c r="L194" s="1229" t="str">
        <f>IFERROR(__xludf.DUMMYFUNCTION("""COMPUTED_VALUE"""),"")</f>
        <v/>
      </c>
      <c r="M194" s="1229"/>
      <c r="N194" s="1337"/>
      <c r="O194" s="1337"/>
      <c r="P194" s="1229"/>
      <c r="Q194" s="1229" t="str">
        <f>IFERROR(__xludf.DUMMYFUNCTION("""COMPUTED_VALUE"""),"")</f>
        <v/>
      </c>
      <c r="R194" s="1229" t="str">
        <f>IFERROR(__xludf.DUMMYFUNCTION("""COMPUTED_VALUE"""),"")</f>
        <v/>
      </c>
      <c r="S194" s="1229"/>
      <c r="T194" s="1337"/>
      <c r="U194" s="1337"/>
      <c r="V194" s="1229"/>
      <c r="W194" s="1229" t="str">
        <f>IFERROR(__xludf.DUMMYFUNCTION("""COMPUTED_VALUE"""),"")</f>
        <v/>
      </c>
      <c r="X194" s="1229" t="str">
        <f>IFERROR(__xludf.DUMMYFUNCTION("""COMPUTED_VALUE"""),"")</f>
        <v/>
      </c>
      <c r="Y194" s="1229"/>
      <c r="Z194" s="1337"/>
      <c r="AA194" s="1337"/>
      <c r="AB194" s="1229"/>
      <c r="AC194" s="1229" t="str">
        <f>IFERROR(__xludf.DUMMYFUNCTION("""COMPUTED_VALUE"""),"")</f>
        <v/>
      </c>
      <c r="AD194" s="1229" t="str">
        <f>IFERROR(__xludf.DUMMYFUNCTION("""COMPUTED_VALUE"""),"")</f>
        <v/>
      </c>
      <c r="AE194" s="1229"/>
      <c r="AF194" s="1337"/>
      <c r="AG194" s="1337"/>
      <c r="AH194" s="1229"/>
      <c r="AI194" s="1229" t="str">
        <f>IFERROR(__xludf.DUMMYFUNCTION("""COMPUTED_VALUE"""),"")</f>
        <v/>
      </c>
      <c r="AJ194" s="1229" t="str">
        <f>IFERROR(__xludf.DUMMYFUNCTION("""COMPUTED_VALUE"""),"")</f>
        <v/>
      </c>
      <c r="AK194" s="1229"/>
      <c r="AL194" s="1337"/>
      <c r="AM194" s="1337"/>
      <c r="AN194" s="1229"/>
      <c r="AO194" s="1229" t="str">
        <f>IFERROR(__xludf.DUMMYFUNCTION("""COMPUTED_VALUE"""),"")</f>
        <v/>
      </c>
      <c r="AP194" s="1229" t="str">
        <f>IFERROR(__xludf.DUMMYFUNCTION("""COMPUTED_VALUE"""),"")</f>
        <v/>
      </c>
      <c r="AQ194" s="1229"/>
      <c r="AR194" s="1337"/>
      <c r="AS194" s="1337"/>
      <c r="AT194" s="1229"/>
      <c r="AU194" s="1229" t="str">
        <f>IFERROR(__xludf.DUMMYFUNCTION("""COMPUTED_VALUE"""),"")</f>
        <v/>
      </c>
      <c r="AV194" s="1229" t="str">
        <f>IFERROR(__xludf.DUMMYFUNCTION("""COMPUTED_VALUE"""),"")</f>
        <v/>
      </c>
      <c r="AW194" s="1229"/>
      <c r="AX194" s="1337"/>
      <c r="AY194" s="1337"/>
      <c r="AZ194" s="1229"/>
      <c r="BA194" s="1229" t="str">
        <f>IFERROR(__xludf.DUMMYFUNCTION("""COMPUTED_VALUE"""),"")</f>
        <v/>
      </c>
      <c r="BB194" s="1229" t="str">
        <f>IFERROR(__xludf.DUMMYFUNCTION("""COMPUTED_VALUE"""),"")</f>
        <v/>
      </c>
      <c r="BC194" s="1229"/>
      <c r="BD194" s="1337"/>
      <c r="BE194" s="1337"/>
      <c r="BF194" s="1229"/>
      <c r="BG194" s="1229" t="str">
        <f>IFERROR(__xludf.DUMMYFUNCTION("""COMPUTED_VALUE"""),"")</f>
        <v/>
      </c>
      <c r="BH194" s="1229" t="str">
        <f>IFERROR(__xludf.DUMMYFUNCTION("""COMPUTED_VALUE"""),"")</f>
        <v/>
      </c>
      <c r="BI194" s="1222"/>
      <c r="BJ194" s="1338"/>
      <c r="BK194" s="1338"/>
      <c r="BL194" s="1222"/>
      <c r="BM194" s="1222" t="str">
        <f>IFERROR(__xludf.DUMMYFUNCTION("""COMPUTED_VALUE"""),"")</f>
        <v/>
      </c>
      <c r="BN194" s="1222"/>
      <c r="BO194" s="1222"/>
    </row>
    <row r="195">
      <c r="A195" s="1222"/>
      <c r="B195" s="1274"/>
      <c r="C195" s="1348"/>
      <c r="D195" s="1274"/>
      <c r="E195" s="1274"/>
      <c r="F195" s="1274"/>
      <c r="G195" s="1229"/>
      <c r="H195" s="1229"/>
      <c r="I195" s="1229"/>
      <c r="J195" s="1229"/>
      <c r="K195" s="1229"/>
      <c r="L195" s="1229"/>
      <c r="M195" s="1229"/>
      <c r="N195" s="1337"/>
      <c r="O195" s="1337"/>
      <c r="P195" s="1229"/>
      <c r="Q195" s="1229"/>
      <c r="R195" s="1229"/>
      <c r="S195" s="1229"/>
      <c r="T195" s="1337"/>
      <c r="U195" s="1337"/>
      <c r="V195" s="1229"/>
      <c r="W195" s="1229"/>
      <c r="X195" s="1229"/>
      <c r="Y195" s="1229"/>
      <c r="Z195" s="1337"/>
      <c r="AA195" s="1337"/>
      <c r="AB195" s="1229"/>
      <c r="AC195" s="1229"/>
      <c r="AD195" s="1229"/>
      <c r="AE195" s="1229"/>
      <c r="AF195" s="1337"/>
      <c r="AG195" s="1337"/>
      <c r="AH195" s="1229"/>
      <c r="AI195" s="1229"/>
      <c r="AJ195" s="1229"/>
      <c r="AK195" s="1229"/>
      <c r="AL195" s="1337"/>
      <c r="AM195" s="1337"/>
      <c r="AN195" s="1229"/>
      <c r="AO195" s="1229"/>
      <c r="AP195" s="1229"/>
      <c r="AQ195" s="1229"/>
      <c r="AR195" s="1337"/>
      <c r="AS195" s="1337"/>
      <c r="AT195" s="1229"/>
      <c r="AU195" s="1229"/>
      <c r="AV195" s="1229"/>
      <c r="AW195" s="1229"/>
      <c r="AX195" s="1337"/>
      <c r="AY195" s="1337"/>
      <c r="AZ195" s="1229"/>
      <c r="BA195" s="1229"/>
      <c r="BB195" s="1229"/>
      <c r="BC195" s="1229"/>
      <c r="BD195" s="1337"/>
      <c r="BE195" s="1337"/>
      <c r="BF195" s="1229"/>
      <c r="BG195" s="1229"/>
      <c r="BH195" s="1229"/>
      <c r="BI195" s="1222"/>
      <c r="BJ195" s="1338"/>
      <c r="BK195" s="1338"/>
      <c r="BL195" s="1222"/>
      <c r="BM195" s="1222"/>
      <c r="BN195" s="1222"/>
      <c r="BO195" s="1222"/>
    </row>
    <row r="196" ht="7.5" customHeight="1">
      <c r="A196" s="1222"/>
      <c r="B196" s="1229"/>
      <c r="C196" s="1349"/>
      <c r="D196" s="1229"/>
      <c r="E196" s="1229"/>
      <c r="F196" s="1229"/>
      <c r="G196" s="1229"/>
      <c r="H196" s="1229"/>
      <c r="I196" s="1229"/>
      <c r="J196" s="1229"/>
      <c r="K196" s="1229"/>
      <c r="L196" s="1229" t="str">
        <f>IFERROR(__xludf.DUMMYFUNCTION("""COMPUTED_VALUE"""),"")</f>
        <v/>
      </c>
      <c r="M196" s="1229"/>
      <c r="N196" s="1337"/>
      <c r="O196" s="1337"/>
      <c r="P196" s="1229"/>
      <c r="Q196" s="1229" t="str">
        <f>IFERROR(__xludf.DUMMYFUNCTION("""COMPUTED_VALUE"""),"")</f>
        <v/>
      </c>
      <c r="R196" s="1229" t="str">
        <f>IFERROR(__xludf.DUMMYFUNCTION("""COMPUTED_VALUE"""),"")</f>
        <v/>
      </c>
      <c r="S196" s="1229"/>
      <c r="T196" s="1337"/>
      <c r="U196" s="1337"/>
      <c r="V196" s="1229"/>
      <c r="W196" s="1229" t="str">
        <f>IFERROR(__xludf.DUMMYFUNCTION("""COMPUTED_VALUE"""),"")</f>
        <v/>
      </c>
      <c r="X196" s="1229" t="str">
        <f>IFERROR(__xludf.DUMMYFUNCTION("""COMPUTED_VALUE"""),"")</f>
        <v/>
      </c>
      <c r="Y196" s="1229"/>
      <c r="Z196" s="1337"/>
      <c r="AA196" s="1337"/>
      <c r="AB196" s="1229"/>
      <c r="AC196" s="1229" t="str">
        <f>IFERROR(__xludf.DUMMYFUNCTION("""COMPUTED_VALUE"""),"")</f>
        <v/>
      </c>
      <c r="AD196" s="1229" t="str">
        <f>IFERROR(__xludf.DUMMYFUNCTION("""COMPUTED_VALUE"""),"")</f>
        <v/>
      </c>
      <c r="AE196" s="1229"/>
      <c r="AF196" s="1337"/>
      <c r="AG196" s="1337"/>
      <c r="AH196" s="1229"/>
      <c r="AI196" s="1229" t="str">
        <f>IFERROR(__xludf.DUMMYFUNCTION("""COMPUTED_VALUE"""),"")</f>
        <v/>
      </c>
      <c r="AJ196" s="1229" t="str">
        <f>IFERROR(__xludf.DUMMYFUNCTION("""COMPUTED_VALUE"""),"")</f>
        <v/>
      </c>
      <c r="AK196" s="1229"/>
      <c r="AL196" s="1337"/>
      <c r="AM196" s="1337"/>
      <c r="AN196" s="1229"/>
      <c r="AO196" s="1229" t="str">
        <f>IFERROR(__xludf.DUMMYFUNCTION("""COMPUTED_VALUE"""),"")</f>
        <v/>
      </c>
      <c r="AP196" s="1229" t="str">
        <f>IFERROR(__xludf.DUMMYFUNCTION("""COMPUTED_VALUE"""),"")</f>
        <v/>
      </c>
      <c r="AQ196" s="1229"/>
      <c r="AR196" s="1337"/>
      <c r="AS196" s="1337"/>
      <c r="AT196" s="1229"/>
      <c r="AU196" s="1229" t="str">
        <f>IFERROR(__xludf.DUMMYFUNCTION("""COMPUTED_VALUE"""),"")</f>
        <v/>
      </c>
      <c r="AV196" s="1229" t="str">
        <f>IFERROR(__xludf.DUMMYFUNCTION("""COMPUTED_VALUE"""),"")</f>
        <v/>
      </c>
      <c r="AW196" s="1229"/>
      <c r="AX196" s="1337"/>
      <c r="AY196" s="1337"/>
      <c r="AZ196" s="1229"/>
      <c r="BA196" s="1229" t="str">
        <f>IFERROR(__xludf.DUMMYFUNCTION("""COMPUTED_VALUE"""),"")</f>
        <v/>
      </c>
      <c r="BB196" s="1229" t="str">
        <f>IFERROR(__xludf.DUMMYFUNCTION("""COMPUTED_VALUE"""),"")</f>
        <v/>
      </c>
      <c r="BC196" s="1229"/>
      <c r="BD196" s="1337"/>
      <c r="BE196" s="1337"/>
      <c r="BF196" s="1229"/>
      <c r="BG196" s="1229" t="str">
        <f>IFERROR(__xludf.DUMMYFUNCTION("""COMPUTED_VALUE"""),"")</f>
        <v/>
      </c>
      <c r="BH196" s="1229" t="str">
        <f>IFERROR(__xludf.DUMMYFUNCTION("""COMPUTED_VALUE"""),"")</f>
        <v/>
      </c>
      <c r="BI196" s="1222"/>
      <c r="BJ196" s="1338"/>
      <c r="BK196" s="1338"/>
      <c r="BL196" s="1222"/>
      <c r="BM196" s="1222" t="str">
        <f>IFERROR(__xludf.DUMMYFUNCTION("""COMPUTED_VALUE"""),"")</f>
        <v/>
      </c>
      <c r="BN196" s="1222"/>
      <c r="BO196" s="1222"/>
    </row>
    <row r="197">
      <c r="A197" s="1222"/>
      <c r="B197" s="1229"/>
      <c r="C197" s="1349"/>
      <c r="D197" s="1229"/>
      <c r="E197" s="1229"/>
      <c r="F197" s="1229"/>
      <c r="G197" s="1229"/>
      <c r="H197" s="1229"/>
      <c r="I197" s="1229"/>
      <c r="J197" s="1229"/>
      <c r="K197" s="1229"/>
      <c r="L197" s="1229"/>
      <c r="M197" s="1229"/>
      <c r="N197" s="1337"/>
      <c r="O197" s="1337"/>
      <c r="P197" s="1229"/>
      <c r="Q197" s="1229"/>
      <c r="R197" s="1229"/>
      <c r="S197" s="1229"/>
      <c r="T197" s="1337"/>
      <c r="U197" s="1337"/>
      <c r="V197" s="1229"/>
      <c r="W197" s="1229"/>
      <c r="X197" s="1229"/>
      <c r="Y197" s="1229"/>
      <c r="Z197" s="1337"/>
      <c r="AA197" s="1337"/>
      <c r="AB197" s="1229"/>
      <c r="AC197" s="1229"/>
      <c r="AD197" s="1229"/>
      <c r="AE197" s="1229"/>
      <c r="AF197" s="1337"/>
      <c r="AG197" s="1337"/>
      <c r="AH197" s="1229"/>
      <c r="AI197" s="1229"/>
      <c r="AJ197" s="1229"/>
      <c r="AK197" s="1229"/>
      <c r="AL197" s="1337"/>
      <c r="AM197" s="1337"/>
      <c r="AN197" s="1229"/>
      <c r="AO197" s="1229"/>
      <c r="AP197" s="1229"/>
      <c r="AQ197" s="1229"/>
      <c r="AR197" s="1337"/>
      <c r="AS197" s="1337"/>
      <c r="AT197" s="1229"/>
      <c r="AU197" s="1229"/>
      <c r="AV197" s="1229"/>
      <c r="AW197" s="1229"/>
      <c r="AX197" s="1337"/>
      <c r="AY197" s="1337"/>
      <c r="AZ197" s="1229"/>
      <c r="BA197" s="1229"/>
      <c r="BB197" s="1229"/>
      <c r="BC197" s="1229"/>
      <c r="BD197" s="1337"/>
      <c r="BE197" s="1337"/>
      <c r="BF197" s="1229"/>
      <c r="BG197" s="1229"/>
      <c r="BH197" s="1229"/>
      <c r="BI197" s="1222"/>
      <c r="BJ197" s="1338"/>
      <c r="BK197" s="1338"/>
      <c r="BL197" s="1222"/>
      <c r="BM197" s="1222"/>
      <c r="BN197" s="1222"/>
      <c r="BO197" s="1222"/>
    </row>
    <row r="198" ht="7.5" customHeight="1">
      <c r="A198" s="1222"/>
      <c r="B198" s="1229"/>
      <c r="C198" s="1349"/>
      <c r="D198" s="1229"/>
      <c r="E198" s="1229"/>
      <c r="F198" s="1229"/>
      <c r="G198" s="1229"/>
      <c r="H198" s="1229"/>
      <c r="I198" s="1229"/>
      <c r="J198" s="1229"/>
      <c r="K198" s="1229"/>
      <c r="L198" s="1229" t="str">
        <f>IFERROR(__xludf.DUMMYFUNCTION("""COMPUTED_VALUE"""),"")</f>
        <v/>
      </c>
      <c r="M198" s="1229"/>
      <c r="N198" s="1337"/>
      <c r="O198" s="1337"/>
      <c r="P198" s="1229"/>
      <c r="Q198" s="1229" t="str">
        <f>IFERROR(__xludf.DUMMYFUNCTION("""COMPUTED_VALUE"""),"")</f>
        <v/>
      </c>
      <c r="R198" s="1229" t="str">
        <f>IFERROR(__xludf.DUMMYFUNCTION("""COMPUTED_VALUE"""),"")</f>
        <v/>
      </c>
      <c r="S198" s="1229"/>
      <c r="T198" s="1337"/>
      <c r="U198" s="1337"/>
      <c r="V198" s="1229"/>
      <c r="W198" s="1229" t="str">
        <f>IFERROR(__xludf.DUMMYFUNCTION("""COMPUTED_VALUE"""),"")</f>
        <v/>
      </c>
      <c r="X198" s="1229" t="str">
        <f>IFERROR(__xludf.DUMMYFUNCTION("""COMPUTED_VALUE"""),"")</f>
        <v/>
      </c>
      <c r="Y198" s="1229"/>
      <c r="Z198" s="1337"/>
      <c r="AA198" s="1337"/>
      <c r="AB198" s="1229"/>
      <c r="AC198" s="1229" t="str">
        <f>IFERROR(__xludf.DUMMYFUNCTION("""COMPUTED_VALUE"""),"")</f>
        <v/>
      </c>
      <c r="AD198" s="1229" t="str">
        <f>IFERROR(__xludf.DUMMYFUNCTION("""COMPUTED_VALUE"""),"")</f>
        <v/>
      </c>
      <c r="AE198" s="1229"/>
      <c r="AF198" s="1337"/>
      <c r="AG198" s="1337"/>
      <c r="AH198" s="1229"/>
      <c r="AI198" s="1229" t="str">
        <f>IFERROR(__xludf.DUMMYFUNCTION("""COMPUTED_VALUE"""),"")</f>
        <v/>
      </c>
      <c r="AJ198" s="1229" t="str">
        <f>IFERROR(__xludf.DUMMYFUNCTION("""COMPUTED_VALUE"""),"")</f>
        <v/>
      </c>
      <c r="AK198" s="1229"/>
      <c r="AL198" s="1337"/>
      <c r="AM198" s="1337"/>
      <c r="AN198" s="1229"/>
      <c r="AO198" s="1229" t="str">
        <f>IFERROR(__xludf.DUMMYFUNCTION("""COMPUTED_VALUE"""),"")</f>
        <v/>
      </c>
      <c r="AP198" s="1229" t="str">
        <f>IFERROR(__xludf.DUMMYFUNCTION("""COMPUTED_VALUE"""),"")</f>
        <v/>
      </c>
      <c r="AQ198" s="1229"/>
      <c r="AR198" s="1337"/>
      <c r="AS198" s="1337"/>
      <c r="AT198" s="1229"/>
      <c r="AU198" s="1229" t="str">
        <f>IFERROR(__xludf.DUMMYFUNCTION("""COMPUTED_VALUE"""),"")</f>
        <v/>
      </c>
      <c r="AV198" s="1229" t="str">
        <f>IFERROR(__xludf.DUMMYFUNCTION("""COMPUTED_VALUE"""),"")</f>
        <v/>
      </c>
      <c r="AW198" s="1229"/>
      <c r="AX198" s="1337"/>
      <c r="AY198" s="1337"/>
      <c r="AZ198" s="1229"/>
      <c r="BA198" s="1229" t="str">
        <f>IFERROR(__xludf.DUMMYFUNCTION("""COMPUTED_VALUE"""),"")</f>
        <v/>
      </c>
      <c r="BB198" s="1229" t="str">
        <f>IFERROR(__xludf.DUMMYFUNCTION("""COMPUTED_VALUE"""),"")</f>
        <v/>
      </c>
      <c r="BC198" s="1229"/>
      <c r="BD198" s="1337"/>
      <c r="BE198" s="1337"/>
      <c r="BF198" s="1229"/>
      <c r="BG198" s="1229" t="str">
        <f>IFERROR(__xludf.DUMMYFUNCTION("""COMPUTED_VALUE"""),"")</f>
        <v/>
      </c>
      <c r="BH198" s="1229" t="str">
        <f>IFERROR(__xludf.DUMMYFUNCTION("""COMPUTED_VALUE"""),"")</f>
        <v/>
      </c>
      <c r="BI198" s="1222"/>
      <c r="BJ198" s="1338"/>
      <c r="BK198" s="1338"/>
      <c r="BL198" s="1222"/>
      <c r="BM198" s="1222" t="str">
        <f>IFERROR(__xludf.DUMMYFUNCTION("""COMPUTED_VALUE"""),"")</f>
        <v/>
      </c>
      <c r="BN198" s="1222"/>
      <c r="BO198" s="1222"/>
    </row>
    <row r="199">
      <c r="A199" s="1222"/>
      <c r="B199" s="1229"/>
      <c r="C199" s="1349"/>
      <c r="D199" s="1229"/>
      <c r="E199" s="1229"/>
      <c r="F199" s="1229"/>
      <c r="G199" s="1229"/>
      <c r="H199" s="1229"/>
      <c r="I199" s="1229"/>
      <c r="J199" s="1229"/>
      <c r="K199" s="1229"/>
      <c r="L199" s="1229"/>
      <c r="M199" s="1229"/>
      <c r="N199" s="1337"/>
      <c r="O199" s="1337"/>
      <c r="P199" s="1229"/>
      <c r="Q199" s="1229"/>
      <c r="R199" s="1229"/>
      <c r="S199" s="1229"/>
      <c r="T199" s="1337"/>
      <c r="U199" s="1337"/>
      <c r="V199" s="1229"/>
      <c r="W199" s="1229"/>
      <c r="X199" s="1229"/>
      <c r="Y199" s="1229"/>
      <c r="Z199" s="1337"/>
      <c r="AA199" s="1337"/>
      <c r="AB199" s="1229"/>
      <c r="AC199" s="1229"/>
      <c r="AD199" s="1229"/>
      <c r="AE199" s="1229"/>
      <c r="AF199" s="1337"/>
      <c r="AG199" s="1337"/>
      <c r="AH199" s="1229"/>
      <c r="AI199" s="1229"/>
      <c r="AJ199" s="1229"/>
      <c r="AK199" s="1229"/>
      <c r="AL199" s="1337"/>
      <c r="AM199" s="1337"/>
      <c r="AN199" s="1229"/>
      <c r="AO199" s="1229"/>
      <c r="AP199" s="1229"/>
      <c r="AQ199" s="1229"/>
      <c r="AR199" s="1337"/>
      <c r="AS199" s="1337"/>
      <c r="AT199" s="1229"/>
      <c r="AU199" s="1229"/>
      <c r="AV199" s="1229"/>
      <c r="AW199" s="1229"/>
      <c r="AX199" s="1337"/>
      <c r="AY199" s="1337"/>
      <c r="AZ199" s="1229"/>
      <c r="BA199" s="1229"/>
      <c r="BB199" s="1229"/>
      <c r="BC199" s="1229"/>
      <c r="BD199" s="1337"/>
      <c r="BE199" s="1337"/>
      <c r="BF199" s="1229"/>
      <c r="BG199" s="1229"/>
      <c r="BH199" s="1229"/>
      <c r="BI199" s="1222"/>
      <c r="BJ199" s="1338"/>
      <c r="BK199" s="1338"/>
      <c r="BL199" s="1222"/>
      <c r="BM199" s="1222"/>
      <c r="BN199" s="1222"/>
      <c r="BO199" s="1222"/>
    </row>
    <row r="200" ht="7.5" customHeight="1">
      <c r="A200" s="1222"/>
      <c r="B200" s="1229"/>
      <c r="C200" s="1349"/>
      <c r="D200" s="1229"/>
      <c r="E200" s="1229"/>
      <c r="F200" s="1229"/>
      <c r="G200" s="1229"/>
      <c r="H200" s="1229"/>
      <c r="I200" s="1229"/>
      <c r="J200" s="1229"/>
      <c r="K200" s="1229"/>
      <c r="L200" s="1229" t="str">
        <f>IFERROR(__xludf.DUMMYFUNCTION("""COMPUTED_VALUE"""),"")</f>
        <v/>
      </c>
      <c r="M200" s="1229"/>
      <c r="N200" s="1337"/>
      <c r="O200" s="1337"/>
      <c r="P200" s="1229"/>
      <c r="Q200" s="1229" t="str">
        <f>IFERROR(__xludf.DUMMYFUNCTION("""COMPUTED_VALUE"""),"")</f>
        <v/>
      </c>
      <c r="R200" s="1229" t="str">
        <f>IFERROR(__xludf.DUMMYFUNCTION("""COMPUTED_VALUE"""),"")</f>
        <v/>
      </c>
      <c r="S200" s="1229"/>
      <c r="T200" s="1337"/>
      <c r="U200" s="1337"/>
      <c r="V200" s="1229"/>
      <c r="W200" s="1229" t="str">
        <f>IFERROR(__xludf.DUMMYFUNCTION("""COMPUTED_VALUE"""),"")</f>
        <v/>
      </c>
      <c r="X200" s="1229" t="str">
        <f>IFERROR(__xludf.DUMMYFUNCTION("""COMPUTED_VALUE"""),"")</f>
        <v/>
      </c>
      <c r="Y200" s="1229"/>
      <c r="Z200" s="1337"/>
      <c r="AA200" s="1337"/>
      <c r="AB200" s="1229"/>
      <c r="AC200" s="1229" t="str">
        <f>IFERROR(__xludf.DUMMYFUNCTION("""COMPUTED_VALUE"""),"")</f>
        <v/>
      </c>
      <c r="AD200" s="1229" t="str">
        <f>IFERROR(__xludf.DUMMYFUNCTION("""COMPUTED_VALUE"""),"")</f>
        <v/>
      </c>
      <c r="AE200" s="1229"/>
      <c r="AF200" s="1337"/>
      <c r="AG200" s="1337"/>
      <c r="AH200" s="1229"/>
      <c r="AI200" s="1229" t="str">
        <f>IFERROR(__xludf.DUMMYFUNCTION("""COMPUTED_VALUE"""),"")</f>
        <v/>
      </c>
      <c r="AJ200" s="1229" t="str">
        <f>IFERROR(__xludf.DUMMYFUNCTION("""COMPUTED_VALUE"""),"")</f>
        <v/>
      </c>
      <c r="AK200" s="1229"/>
      <c r="AL200" s="1337"/>
      <c r="AM200" s="1337"/>
      <c r="AN200" s="1229"/>
      <c r="AO200" s="1229" t="str">
        <f>IFERROR(__xludf.DUMMYFUNCTION("""COMPUTED_VALUE"""),"")</f>
        <v/>
      </c>
      <c r="AP200" s="1229" t="str">
        <f>IFERROR(__xludf.DUMMYFUNCTION("""COMPUTED_VALUE"""),"")</f>
        <v/>
      </c>
      <c r="AQ200" s="1229"/>
      <c r="AR200" s="1337"/>
      <c r="AS200" s="1337"/>
      <c r="AT200" s="1229"/>
      <c r="AU200" s="1229" t="str">
        <f>IFERROR(__xludf.DUMMYFUNCTION("""COMPUTED_VALUE"""),"")</f>
        <v/>
      </c>
      <c r="AV200" s="1229" t="str">
        <f>IFERROR(__xludf.DUMMYFUNCTION("""COMPUTED_VALUE"""),"")</f>
        <v/>
      </c>
      <c r="AW200" s="1229"/>
      <c r="AX200" s="1337"/>
      <c r="AY200" s="1337"/>
      <c r="AZ200" s="1229"/>
      <c r="BA200" s="1229" t="str">
        <f>IFERROR(__xludf.DUMMYFUNCTION("""COMPUTED_VALUE"""),"")</f>
        <v/>
      </c>
      <c r="BB200" s="1229" t="str">
        <f>IFERROR(__xludf.DUMMYFUNCTION("""COMPUTED_VALUE"""),"")</f>
        <v/>
      </c>
      <c r="BC200" s="1229"/>
      <c r="BD200" s="1337"/>
      <c r="BE200" s="1337"/>
      <c r="BF200" s="1229"/>
      <c r="BG200" s="1229" t="str">
        <f>IFERROR(__xludf.DUMMYFUNCTION("""COMPUTED_VALUE"""),"")</f>
        <v/>
      </c>
      <c r="BH200" s="1229" t="str">
        <f>IFERROR(__xludf.DUMMYFUNCTION("""COMPUTED_VALUE"""),"")</f>
        <v/>
      </c>
      <c r="BI200" s="1222"/>
      <c r="BJ200" s="1338"/>
      <c r="BK200" s="1338"/>
      <c r="BL200" s="1222"/>
      <c r="BM200" s="1222" t="str">
        <f>IFERROR(__xludf.DUMMYFUNCTION("""COMPUTED_VALUE"""),"")</f>
        <v/>
      </c>
      <c r="BN200" s="1222"/>
      <c r="BO200" s="1222"/>
    </row>
    <row r="201">
      <c r="A201" s="1222"/>
      <c r="B201" s="1229"/>
      <c r="C201" s="1349"/>
      <c r="D201" s="1229"/>
      <c r="E201" s="1229"/>
      <c r="F201" s="1229"/>
      <c r="G201" s="1229"/>
      <c r="H201" s="1229"/>
      <c r="I201" s="1229"/>
      <c r="J201" s="1229"/>
      <c r="K201" s="1229"/>
      <c r="L201" s="1229"/>
      <c r="M201" s="1229"/>
      <c r="N201" s="1337"/>
      <c r="O201" s="1337"/>
      <c r="P201" s="1229"/>
      <c r="Q201" s="1229"/>
      <c r="R201" s="1229"/>
      <c r="S201" s="1229"/>
      <c r="T201" s="1337"/>
      <c r="U201" s="1337"/>
      <c r="V201" s="1229"/>
      <c r="W201" s="1229"/>
      <c r="X201" s="1229"/>
      <c r="Y201" s="1229"/>
      <c r="Z201" s="1337"/>
      <c r="AA201" s="1337"/>
      <c r="AB201" s="1229"/>
      <c r="AC201" s="1229"/>
      <c r="AD201" s="1229"/>
      <c r="AE201" s="1229"/>
      <c r="AF201" s="1337"/>
      <c r="AG201" s="1337"/>
      <c r="AH201" s="1229"/>
      <c r="AI201" s="1229"/>
      <c r="AJ201" s="1229"/>
      <c r="AK201" s="1229"/>
      <c r="AL201" s="1337"/>
      <c r="AM201" s="1337"/>
      <c r="AN201" s="1229"/>
      <c r="AO201" s="1229"/>
      <c r="AP201" s="1229"/>
      <c r="AQ201" s="1229"/>
      <c r="AR201" s="1337"/>
      <c r="AS201" s="1337"/>
      <c r="AT201" s="1229"/>
      <c r="AU201" s="1229"/>
      <c r="AV201" s="1229"/>
      <c r="AW201" s="1229"/>
      <c r="AX201" s="1337"/>
      <c r="AY201" s="1337"/>
      <c r="AZ201" s="1229"/>
      <c r="BA201" s="1229"/>
      <c r="BB201" s="1229"/>
      <c r="BC201" s="1229"/>
      <c r="BD201" s="1337"/>
      <c r="BE201" s="1337"/>
      <c r="BF201" s="1229"/>
      <c r="BG201" s="1229"/>
      <c r="BH201" s="1229"/>
      <c r="BI201" s="1222"/>
      <c r="BJ201" s="1338"/>
      <c r="BK201" s="1338"/>
      <c r="BL201" s="1222"/>
      <c r="BM201" s="1222"/>
      <c r="BN201" s="1222"/>
      <c r="BO201" s="1222"/>
    </row>
    <row r="202" ht="7.5" customHeight="1">
      <c r="A202" s="1222"/>
      <c r="B202" s="1229"/>
      <c r="C202" s="1349"/>
      <c r="D202" s="1229"/>
      <c r="E202" s="1229"/>
      <c r="F202" s="1229"/>
      <c r="G202" s="1229"/>
      <c r="H202" s="1229"/>
      <c r="I202" s="1229"/>
      <c r="J202" s="1229"/>
      <c r="K202" s="1229"/>
      <c r="L202" s="1229" t="str">
        <f>IFERROR(__xludf.DUMMYFUNCTION("""COMPUTED_VALUE"""),"")</f>
        <v/>
      </c>
      <c r="M202" s="1229"/>
      <c r="N202" s="1337"/>
      <c r="O202" s="1337"/>
      <c r="P202" s="1229"/>
      <c r="Q202" s="1229" t="str">
        <f>IFERROR(__xludf.DUMMYFUNCTION("""COMPUTED_VALUE"""),"")</f>
        <v/>
      </c>
      <c r="R202" s="1229" t="str">
        <f>IFERROR(__xludf.DUMMYFUNCTION("""COMPUTED_VALUE"""),"")</f>
        <v/>
      </c>
      <c r="S202" s="1229"/>
      <c r="T202" s="1337"/>
      <c r="U202" s="1337"/>
      <c r="V202" s="1229"/>
      <c r="W202" s="1229" t="str">
        <f>IFERROR(__xludf.DUMMYFUNCTION("""COMPUTED_VALUE"""),"")</f>
        <v/>
      </c>
      <c r="X202" s="1229" t="str">
        <f>IFERROR(__xludf.DUMMYFUNCTION("""COMPUTED_VALUE"""),"")</f>
        <v/>
      </c>
      <c r="Y202" s="1229"/>
      <c r="Z202" s="1337"/>
      <c r="AA202" s="1337"/>
      <c r="AB202" s="1229"/>
      <c r="AC202" s="1229" t="str">
        <f>IFERROR(__xludf.DUMMYFUNCTION("""COMPUTED_VALUE"""),"")</f>
        <v/>
      </c>
      <c r="AD202" s="1229" t="str">
        <f>IFERROR(__xludf.DUMMYFUNCTION("""COMPUTED_VALUE"""),"")</f>
        <v/>
      </c>
      <c r="AE202" s="1229"/>
      <c r="AF202" s="1337"/>
      <c r="AG202" s="1337"/>
      <c r="AH202" s="1229"/>
      <c r="AI202" s="1229" t="str">
        <f>IFERROR(__xludf.DUMMYFUNCTION("""COMPUTED_VALUE"""),"")</f>
        <v/>
      </c>
      <c r="AJ202" s="1229" t="str">
        <f>IFERROR(__xludf.DUMMYFUNCTION("""COMPUTED_VALUE"""),"")</f>
        <v/>
      </c>
      <c r="AK202" s="1229"/>
      <c r="AL202" s="1337"/>
      <c r="AM202" s="1337"/>
      <c r="AN202" s="1229"/>
      <c r="AO202" s="1229" t="str">
        <f>IFERROR(__xludf.DUMMYFUNCTION("""COMPUTED_VALUE"""),"")</f>
        <v/>
      </c>
      <c r="AP202" s="1229" t="str">
        <f>IFERROR(__xludf.DUMMYFUNCTION("""COMPUTED_VALUE"""),"")</f>
        <v/>
      </c>
      <c r="AQ202" s="1229"/>
      <c r="AR202" s="1337"/>
      <c r="AS202" s="1337"/>
      <c r="AT202" s="1229"/>
      <c r="AU202" s="1229" t="str">
        <f>IFERROR(__xludf.DUMMYFUNCTION("""COMPUTED_VALUE"""),"")</f>
        <v/>
      </c>
      <c r="AV202" s="1229" t="str">
        <f>IFERROR(__xludf.DUMMYFUNCTION("""COMPUTED_VALUE"""),"")</f>
        <v/>
      </c>
      <c r="AW202" s="1229"/>
      <c r="AX202" s="1337"/>
      <c r="AY202" s="1337"/>
      <c r="AZ202" s="1229"/>
      <c r="BA202" s="1229" t="str">
        <f>IFERROR(__xludf.DUMMYFUNCTION("""COMPUTED_VALUE"""),"")</f>
        <v/>
      </c>
      <c r="BB202" s="1229" t="str">
        <f>IFERROR(__xludf.DUMMYFUNCTION("""COMPUTED_VALUE"""),"")</f>
        <v/>
      </c>
      <c r="BC202" s="1229"/>
      <c r="BD202" s="1337"/>
      <c r="BE202" s="1337"/>
      <c r="BF202" s="1229"/>
      <c r="BG202" s="1229" t="str">
        <f>IFERROR(__xludf.DUMMYFUNCTION("""COMPUTED_VALUE"""),"")</f>
        <v/>
      </c>
      <c r="BH202" s="1229" t="str">
        <f>IFERROR(__xludf.DUMMYFUNCTION("""COMPUTED_VALUE"""),"")</f>
        <v/>
      </c>
      <c r="BI202" s="1222"/>
      <c r="BJ202" s="1338"/>
      <c r="BK202" s="1338"/>
      <c r="BL202" s="1222"/>
      <c r="BM202" s="1222" t="str">
        <f>IFERROR(__xludf.DUMMYFUNCTION("""COMPUTED_VALUE"""),"")</f>
        <v/>
      </c>
      <c r="BN202" s="1222"/>
      <c r="BO202" s="1222"/>
    </row>
    <row r="203">
      <c r="A203" s="1222"/>
      <c r="B203" s="1229"/>
      <c r="C203" s="1349"/>
      <c r="D203" s="1229"/>
      <c r="E203" s="1229"/>
      <c r="F203" s="1229"/>
      <c r="G203" s="1229"/>
      <c r="H203" s="1229"/>
      <c r="I203" s="1229"/>
      <c r="J203" s="1229"/>
      <c r="K203" s="1229"/>
      <c r="L203" s="1229"/>
      <c r="M203" s="1229"/>
      <c r="N203" s="1337"/>
      <c r="O203" s="1337"/>
      <c r="P203" s="1229"/>
      <c r="Q203" s="1229"/>
      <c r="R203" s="1229"/>
      <c r="S203" s="1229"/>
      <c r="T203" s="1337"/>
      <c r="U203" s="1337"/>
      <c r="V203" s="1229"/>
      <c r="W203" s="1229"/>
      <c r="X203" s="1229"/>
      <c r="Y203" s="1229"/>
      <c r="Z203" s="1337"/>
      <c r="AA203" s="1337"/>
      <c r="AB203" s="1229"/>
      <c r="AC203" s="1229"/>
      <c r="AD203" s="1229"/>
      <c r="AE203" s="1229"/>
      <c r="AF203" s="1337"/>
      <c r="AG203" s="1337"/>
      <c r="AH203" s="1229"/>
      <c r="AI203" s="1229"/>
      <c r="AJ203" s="1229"/>
      <c r="AK203" s="1229"/>
      <c r="AL203" s="1337"/>
      <c r="AM203" s="1337"/>
      <c r="AN203" s="1229"/>
      <c r="AO203" s="1229"/>
      <c r="AP203" s="1229"/>
      <c r="AQ203" s="1229"/>
      <c r="AR203" s="1337"/>
      <c r="AS203" s="1337"/>
      <c r="AT203" s="1229"/>
      <c r="AU203" s="1229"/>
      <c r="AV203" s="1229"/>
      <c r="AW203" s="1229"/>
      <c r="AX203" s="1337"/>
      <c r="AY203" s="1337"/>
      <c r="AZ203" s="1229"/>
      <c r="BA203" s="1229"/>
      <c r="BB203" s="1229"/>
      <c r="BC203" s="1229"/>
      <c r="BD203" s="1337"/>
      <c r="BE203" s="1337"/>
      <c r="BF203" s="1229"/>
      <c r="BG203" s="1229"/>
      <c r="BH203" s="1229"/>
      <c r="BI203" s="1222"/>
      <c r="BJ203" s="1338"/>
      <c r="BK203" s="1338"/>
      <c r="BL203" s="1222"/>
      <c r="BM203" s="1222"/>
      <c r="BN203" s="1222"/>
      <c r="BO203" s="1222"/>
    </row>
    <row r="204" ht="7.5" customHeight="1">
      <c r="A204" s="1222"/>
      <c r="B204" s="1229"/>
      <c r="C204" s="1349"/>
      <c r="D204" s="1229"/>
      <c r="E204" s="1229"/>
      <c r="F204" s="1229"/>
      <c r="G204" s="1229"/>
      <c r="H204" s="1229"/>
      <c r="I204" s="1229"/>
      <c r="J204" s="1229"/>
      <c r="K204" s="1229"/>
      <c r="L204" s="1229" t="str">
        <f>IFERROR(__xludf.DUMMYFUNCTION("""COMPUTED_VALUE"""),"")</f>
        <v/>
      </c>
      <c r="M204" s="1229"/>
      <c r="N204" s="1337"/>
      <c r="O204" s="1337"/>
      <c r="P204" s="1229"/>
      <c r="Q204" s="1229" t="str">
        <f>IFERROR(__xludf.DUMMYFUNCTION("""COMPUTED_VALUE"""),"")</f>
        <v/>
      </c>
      <c r="R204" s="1229" t="str">
        <f>IFERROR(__xludf.DUMMYFUNCTION("""COMPUTED_VALUE"""),"")</f>
        <v/>
      </c>
      <c r="S204" s="1229"/>
      <c r="T204" s="1337"/>
      <c r="U204" s="1337"/>
      <c r="V204" s="1229"/>
      <c r="W204" s="1229" t="str">
        <f>IFERROR(__xludf.DUMMYFUNCTION("""COMPUTED_VALUE"""),"")</f>
        <v/>
      </c>
      <c r="X204" s="1229" t="str">
        <f>IFERROR(__xludf.DUMMYFUNCTION("""COMPUTED_VALUE"""),"")</f>
        <v/>
      </c>
      <c r="Y204" s="1229"/>
      <c r="Z204" s="1337"/>
      <c r="AA204" s="1337"/>
      <c r="AB204" s="1229"/>
      <c r="AC204" s="1229" t="str">
        <f>IFERROR(__xludf.DUMMYFUNCTION("""COMPUTED_VALUE"""),"")</f>
        <v/>
      </c>
      <c r="AD204" s="1229" t="str">
        <f>IFERROR(__xludf.DUMMYFUNCTION("""COMPUTED_VALUE"""),"")</f>
        <v/>
      </c>
      <c r="AE204" s="1229"/>
      <c r="AF204" s="1337"/>
      <c r="AG204" s="1337"/>
      <c r="AH204" s="1229"/>
      <c r="AI204" s="1229" t="str">
        <f>IFERROR(__xludf.DUMMYFUNCTION("""COMPUTED_VALUE"""),"")</f>
        <v/>
      </c>
      <c r="AJ204" s="1229" t="str">
        <f>IFERROR(__xludf.DUMMYFUNCTION("""COMPUTED_VALUE"""),"")</f>
        <v/>
      </c>
      <c r="AK204" s="1229"/>
      <c r="AL204" s="1337"/>
      <c r="AM204" s="1337"/>
      <c r="AN204" s="1229"/>
      <c r="AO204" s="1229" t="str">
        <f>IFERROR(__xludf.DUMMYFUNCTION("""COMPUTED_VALUE"""),"")</f>
        <v/>
      </c>
      <c r="AP204" s="1229" t="str">
        <f>IFERROR(__xludf.DUMMYFUNCTION("""COMPUTED_VALUE"""),"")</f>
        <v/>
      </c>
      <c r="AQ204" s="1229"/>
      <c r="AR204" s="1337"/>
      <c r="AS204" s="1337"/>
      <c r="AT204" s="1229"/>
      <c r="AU204" s="1229" t="str">
        <f>IFERROR(__xludf.DUMMYFUNCTION("""COMPUTED_VALUE"""),"")</f>
        <v/>
      </c>
      <c r="AV204" s="1229" t="str">
        <f>IFERROR(__xludf.DUMMYFUNCTION("""COMPUTED_VALUE"""),"")</f>
        <v/>
      </c>
      <c r="AW204" s="1229"/>
      <c r="AX204" s="1337"/>
      <c r="AY204" s="1337"/>
      <c r="AZ204" s="1229"/>
      <c r="BA204" s="1229" t="str">
        <f>IFERROR(__xludf.DUMMYFUNCTION("""COMPUTED_VALUE"""),"")</f>
        <v/>
      </c>
      <c r="BB204" s="1229" t="str">
        <f>IFERROR(__xludf.DUMMYFUNCTION("""COMPUTED_VALUE"""),"")</f>
        <v/>
      </c>
      <c r="BC204" s="1229"/>
      <c r="BD204" s="1337"/>
      <c r="BE204" s="1337"/>
      <c r="BF204" s="1229"/>
      <c r="BG204" s="1229" t="str">
        <f>IFERROR(__xludf.DUMMYFUNCTION("""COMPUTED_VALUE"""),"")</f>
        <v/>
      </c>
      <c r="BH204" s="1229" t="str">
        <f>IFERROR(__xludf.DUMMYFUNCTION("""COMPUTED_VALUE"""),"")</f>
        <v/>
      </c>
      <c r="BI204" s="1222"/>
      <c r="BJ204" s="1338"/>
      <c r="BK204" s="1338"/>
      <c r="BL204" s="1222"/>
      <c r="BM204" s="1222" t="str">
        <f>IFERROR(__xludf.DUMMYFUNCTION("""COMPUTED_VALUE"""),"")</f>
        <v/>
      </c>
      <c r="BN204" s="1222"/>
      <c r="BO204" s="1222"/>
    </row>
    <row r="205">
      <c r="A205" s="1222"/>
      <c r="B205" s="1229"/>
      <c r="C205" s="1349"/>
      <c r="D205" s="1229"/>
      <c r="E205" s="1229"/>
      <c r="F205" s="1229"/>
      <c r="G205" s="1229"/>
      <c r="H205" s="1229"/>
      <c r="I205" s="1229"/>
      <c r="J205" s="1229"/>
      <c r="K205" s="1229"/>
      <c r="L205" s="1229"/>
      <c r="M205" s="1229"/>
      <c r="N205" s="1337"/>
      <c r="O205" s="1337"/>
      <c r="P205" s="1229"/>
      <c r="Q205" s="1229"/>
      <c r="R205" s="1229"/>
      <c r="S205" s="1229"/>
      <c r="T205" s="1337"/>
      <c r="U205" s="1337"/>
      <c r="V205" s="1229"/>
      <c r="W205" s="1229"/>
      <c r="X205" s="1229"/>
      <c r="Y205" s="1229"/>
      <c r="Z205" s="1337"/>
      <c r="AA205" s="1337"/>
      <c r="AB205" s="1229"/>
      <c r="AC205" s="1229"/>
      <c r="AD205" s="1229"/>
      <c r="AE205" s="1229"/>
      <c r="AF205" s="1337"/>
      <c r="AG205" s="1337"/>
      <c r="AH205" s="1229"/>
      <c r="AI205" s="1229"/>
      <c r="AJ205" s="1229"/>
      <c r="AK205" s="1229"/>
      <c r="AL205" s="1337"/>
      <c r="AM205" s="1337"/>
      <c r="AN205" s="1229"/>
      <c r="AO205" s="1229"/>
      <c r="AP205" s="1229"/>
      <c r="AQ205" s="1229"/>
      <c r="AR205" s="1337"/>
      <c r="AS205" s="1337"/>
      <c r="AT205" s="1229"/>
      <c r="AU205" s="1229"/>
      <c r="AV205" s="1229"/>
      <c r="AW205" s="1229"/>
      <c r="AX205" s="1337"/>
      <c r="AY205" s="1337"/>
      <c r="AZ205" s="1229"/>
      <c r="BA205" s="1229"/>
      <c r="BB205" s="1229"/>
      <c r="BC205" s="1229"/>
      <c r="BD205" s="1337"/>
      <c r="BE205" s="1337"/>
      <c r="BF205" s="1229"/>
      <c r="BG205" s="1229"/>
      <c r="BH205" s="1229"/>
      <c r="BI205" s="1222"/>
      <c r="BJ205" s="1338"/>
      <c r="BK205" s="1338"/>
      <c r="BL205" s="1222"/>
      <c r="BM205" s="1222"/>
      <c r="BN205" s="1222"/>
      <c r="BO205" s="1222"/>
    </row>
    <row r="206" ht="7.5" customHeight="1">
      <c r="A206" s="1222"/>
      <c r="B206" s="1229"/>
      <c r="C206" s="1349"/>
      <c r="D206" s="1229"/>
      <c r="E206" s="1229"/>
      <c r="F206" s="1229"/>
      <c r="G206" s="1229"/>
      <c r="H206" s="1229"/>
      <c r="I206" s="1229"/>
      <c r="J206" s="1229"/>
      <c r="K206" s="1229"/>
      <c r="L206" s="1229" t="str">
        <f>IFERROR(__xludf.DUMMYFUNCTION("""COMPUTED_VALUE"""),"")</f>
        <v/>
      </c>
      <c r="M206" s="1229"/>
      <c r="N206" s="1337"/>
      <c r="O206" s="1337"/>
      <c r="P206" s="1229"/>
      <c r="Q206" s="1229" t="str">
        <f>IFERROR(__xludf.DUMMYFUNCTION("""COMPUTED_VALUE"""),"")</f>
        <v/>
      </c>
      <c r="R206" s="1229" t="str">
        <f>IFERROR(__xludf.DUMMYFUNCTION("""COMPUTED_VALUE"""),"")</f>
        <v/>
      </c>
      <c r="S206" s="1229"/>
      <c r="T206" s="1337"/>
      <c r="U206" s="1337"/>
      <c r="V206" s="1229"/>
      <c r="W206" s="1229" t="str">
        <f>IFERROR(__xludf.DUMMYFUNCTION("""COMPUTED_VALUE"""),"")</f>
        <v/>
      </c>
      <c r="X206" s="1229" t="str">
        <f>IFERROR(__xludf.DUMMYFUNCTION("""COMPUTED_VALUE"""),"")</f>
        <v/>
      </c>
      <c r="Y206" s="1229"/>
      <c r="Z206" s="1337"/>
      <c r="AA206" s="1337"/>
      <c r="AB206" s="1229"/>
      <c r="AC206" s="1229" t="str">
        <f>IFERROR(__xludf.DUMMYFUNCTION("""COMPUTED_VALUE"""),"")</f>
        <v/>
      </c>
      <c r="AD206" s="1229" t="str">
        <f>IFERROR(__xludf.DUMMYFUNCTION("""COMPUTED_VALUE"""),"")</f>
        <v/>
      </c>
      <c r="AE206" s="1229"/>
      <c r="AF206" s="1337"/>
      <c r="AG206" s="1337"/>
      <c r="AH206" s="1229"/>
      <c r="AI206" s="1229" t="str">
        <f>IFERROR(__xludf.DUMMYFUNCTION("""COMPUTED_VALUE"""),"")</f>
        <v/>
      </c>
      <c r="AJ206" s="1229" t="str">
        <f>IFERROR(__xludf.DUMMYFUNCTION("""COMPUTED_VALUE"""),"")</f>
        <v/>
      </c>
      <c r="AK206" s="1229"/>
      <c r="AL206" s="1337"/>
      <c r="AM206" s="1337"/>
      <c r="AN206" s="1229"/>
      <c r="AO206" s="1229" t="str">
        <f>IFERROR(__xludf.DUMMYFUNCTION("""COMPUTED_VALUE"""),"")</f>
        <v/>
      </c>
      <c r="AP206" s="1229" t="str">
        <f>IFERROR(__xludf.DUMMYFUNCTION("""COMPUTED_VALUE"""),"")</f>
        <v/>
      </c>
      <c r="AQ206" s="1229"/>
      <c r="AR206" s="1337"/>
      <c r="AS206" s="1337"/>
      <c r="AT206" s="1229"/>
      <c r="AU206" s="1229" t="str">
        <f>IFERROR(__xludf.DUMMYFUNCTION("""COMPUTED_VALUE"""),"")</f>
        <v/>
      </c>
      <c r="AV206" s="1229" t="str">
        <f>IFERROR(__xludf.DUMMYFUNCTION("""COMPUTED_VALUE"""),"")</f>
        <v/>
      </c>
      <c r="AW206" s="1229"/>
      <c r="AX206" s="1337"/>
      <c r="AY206" s="1337"/>
      <c r="AZ206" s="1229"/>
      <c r="BA206" s="1229" t="str">
        <f>IFERROR(__xludf.DUMMYFUNCTION("""COMPUTED_VALUE"""),"")</f>
        <v/>
      </c>
      <c r="BB206" s="1229" t="str">
        <f>IFERROR(__xludf.DUMMYFUNCTION("""COMPUTED_VALUE"""),"")</f>
        <v/>
      </c>
      <c r="BC206" s="1229"/>
      <c r="BD206" s="1337"/>
      <c r="BE206" s="1337"/>
      <c r="BF206" s="1229"/>
      <c r="BG206" s="1229" t="str">
        <f>IFERROR(__xludf.DUMMYFUNCTION("""COMPUTED_VALUE"""),"")</f>
        <v/>
      </c>
      <c r="BH206" s="1229" t="str">
        <f>IFERROR(__xludf.DUMMYFUNCTION("""COMPUTED_VALUE"""),"")</f>
        <v/>
      </c>
      <c r="BI206" s="1222"/>
      <c r="BJ206" s="1338"/>
      <c r="BK206" s="1338"/>
      <c r="BL206" s="1222"/>
      <c r="BM206" s="1222" t="str">
        <f>IFERROR(__xludf.DUMMYFUNCTION("""COMPUTED_VALUE"""),"")</f>
        <v/>
      </c>
      <c r="BN206" s="1222"/>
      <c r="BO206" s="1222"/>
    </row>
    <row r="207">
      <c r="A207" s="1222"/>
      <c r="B207" s="1229"/>
      <c r="C207" s="1349"/>
      <c r="D207" s="1229"/>
      <c r="E207" s="1229"/>
      <c r="F207" s="1229"/>
      <c r="G207" s="1229"/>
      <c r="H207" s="1229"/>
      <c r="I207" s="1229"/>
      <c r="J207" s="1229"/>
      <c r="K207" s="1229"/>
      <c r="L207" s="1229"/>
      <c r="M207" s="1229"/>
      <c r="N207" s="1337"/>
      <c r="O207" s="1337"/>
      <c r="P207" s="1229"/>
      <c r="Q207" s="1229"/>
      <c r="R207" s="1229"/>
      <c r="S207" s="1229"/>
      <c r="T207" s="1337"/>
      <c r="U207" s="1337"/>
      <c r="V207" s="1229"/>
      <c r="W207" s="1229"/>
      <c r="X207" s="1229"/>
      <c r="Y207" s="1229"/>
      <c r="Z207" s="1337"/>
      <c r="AA207" s="1337"/>
      <c r="AB207" s="1229"/>
      <c r="AC207" s="1229"/>
      <c r="AD207" s="1229"/>
      <c r="AE207" s="1229"/>
      <c r="AF207" s="1337"/>
      <c r="AG207" s="1337"/>
      <c r="AH207" s="1229"/>
      <c r="AI207" s="1229"/>
      <c r="AJ207" s="1229"/>
      <c r="AK207" s="1229"/>
      <c r="AL207" s="1337"/>
      <c r="AM207" s="1337"/>
      <c r="AN207" s="1229"/>
      <c r="AO207" s="1229"/>
      <c r="AP207" s="1229"/>
      <c r="AQ207" s="1229"/>
      <c r="AR207" s="1337"/>
      <c r="AS207" s="1337"/>
      <c r="AT207" s="1229"/>
      <c r="AU207" s="1229"/>
      <c r="AV207" s="1229"/>
      <c r="AW207" s="1229"/>
      <c r="AX207" s="1337"/>
      <c r="AY207" s="1337"/>
      <c r="AZ207" s="1229"/>
      <c r="BA207" s="1229"/>
      <c r="BB207" s="1229"/>
      <c r="BC207" s="1229"/>
      <c r="BD207" s="1337"/>
      <c r="BE207" s="1337"/>
      <c r="BF207" s="1229"/>
      <c r="BG207" s="1229"/>
      <c r="BH207" s="1229"/>
      <c r="BI207" s="1222"/>
      <c r="BJ207" s="1338"/>
      <c r="BK207" s="1338"/>
      <c r="BL207" s="1222"/>
      <c r="BM207" s="1222"/>
      <c r="BN207" s="1222"/>
      <c r="BO207" s="1222"/>
    </row>
    <row r="208" ht="7.5" customHeight="1">
      <c r="A208" s="1222"/>
      <c r="B208" s="1229"/>
      <c r="C208" s="1349"/>
      <c r="D208" s="1229"/>
      <c r="E208" s="1229"/>
      <c r="F208" s="1229"/>
      <c r="G208" s="1229"/>
      <c r="H208" s="1229"/>
      <c r="I208" s="1229"/>
      <c r="J208" s="1229"/>
      <c r="K208" s="1229"/>
      <c r="L208" s="1229" t="str">
        <f>IFERROR(__xludf.DUMMYFUNCTION("""COMPUTED_VALUE"""),"")</f>
        <v/>
      </c>
      <c r="M208" s="1229"/>
      <c r="N208" s="1337"/>
      <c r="O208" s="1337"/>
      <c r="P208" s="1229"/>
      <c r="Q208" s="1229" t="str">
        <f>IFERROR(__xludf.DUMMYFUNCTION("""COMPUTED_VALUE"""),"")</f>
        <v/>
      </c>
      <c r="R208" s="1229" t="str">
        <f>IFERROR(__xludf.DUMMYFUNCTION("""COMPUTED_VALUE"""),"")</f>
        <v/>
      </c>
      <c r="S208" s="1229"/>
      <c r="T208" s="1337"/>
      <c r="U208" s="1337"/>
      <c r="V208" s="1229"/>
      <c r="W208" s="1229" t="str">
        <f>IFERROR(__xludf.DUMMYFUNCTION("""COMPUTED_VALUE"""),"")</f>
        <v/>
      </c>
      <c r="X208" s="1229" t="str">
        <f>IFERROR(__xludf.DUMMYFUNCTION("""COMPUTED_VALUE"""),"")</f>
        <v/>
      </c>
      <c r="Y208" s="1229"/>
      <c r="Z208" s="1337"/>
      <c r="AA208" s="1337"/>
      <c r="AB208" s="1229"/>
      <c r="AC208" s="1229" t="str">
        <f>IFERROR(__xludf.DUMMYFUNCTION("""COMPUTED_VALUE"""),"")</f>
        <v/>
      </c>
      <c r="AD208" s="1229" t="str">
        <f>IFERROR(__xludf.DUMMYFUNCTION("""COMPUTED_VALUE"""),"")</f>
        <v/>
      </c>
      <c r="AE208" s="1229"/>
      <c r="AF208" s="1337"/>
      <c r="AG208" s="1337"/>
      <c r="AH208" s="1229"/>
      <c r="AI208" s="1229" t="str">
        <f>IFERROR(__xludf.DUMMYFUNCTION("""COMPUTED_VALUE"""),"")</f>
        <v/>
      </c>
      <c r="AJ208" s="1229" t="str">
        <f>IFERROR(__xludf.DUMMYFUNCTION("""COMPUTED_VALUE"""),"")</f>
        <v/>
      </c>
      <c r="AK208" s="1229"/>
      <c r="AL208" s="1337"/>
      <c r="AM208" s="1337"/>
      <c r="AN208" s="1229"/>
      <c r="AO208" s="1229" t="str">
        <f>IFERROR(__xludf.DUMMYFUNCTION("""COMPUTED_VALUE"""),"")</f>
        <v/>
      </c>
      <c r="AP208" s="1229" t="str">
        <f>IFERROR(__xludf.DUMMYFUNCTION("""COMPUTED_VALUE"""),"")</f>
        <v/>
      </c>
      <c r="AQ208" s="1229"/>
      <c r="AR208" s="1337"/>
      <c r="AS208" s="1337"/>
      <c r="AT208" s="1229"/>
      <c r="AU208" s="1229" t="str">
        <f>IFERROR(__xludf.DUMMYFUNCTION("""COMPUTED_VALUE"""),"")</f>
        <v/>
      </c>
      <c r="AV208" s="1229" t="str">
        <f>IFERROR(__xludf.DUMMYFUNCTION("""COMPUTED_VALUE"""),"")</f>
        <v/>
      </c>
      <c r="AW208" s="1229"/>
      <c r="AX208" s="1337"/>
      <c r="AY208" s="1337"/>
      <c r="AZ208" s="1229"/>
      <c r="BA208" s="1229" t="str">
        <f>IFERROR(__xludf.DUMMYFUNCTION("""COMPUTED_VALUE"""),"")</f>
        <v/>
      </c>
      <c r="BB208" s="1229" t="str">
        <f>IFERROR(__xludf.DUMMYFUNCTION("""COMPUTED_VALUE"""),"")</f>
        <v/>
      </c>
      <c r="BC208" s="1229"/>
      <c r="BD208" s="1337"/>
      <c r="BE208" s="1337"/>
      <c r="BF208" s="1229"/>
      <c r="BG208" s="1229" t="str">
        <f>IFERROR(__xludf.DUMMYFUNCTION("""COMPUTED_VALUE"""),"")</f>
        <v/>
      </c>
      <c r="BH208" s="1229" t="str">
        <f>IFERROR(__xludf.DUMMYFUNCTION("""COMPUTED_VALUE"""),"")</f>
        <v/>
      </c>
      <c r="BI208" s="1222"/>
      <c r="BJ208" s="1338"/>
      <c r="BK208" s="1338"/>
      <c r="BL208" s="1222"/>
      <c r="BM208" s="1222" t="str">
        <f>IFERROR(__xludf.DUMMYFUNCTION("""COMPUTED_VALUE"""),"")</f>
        <v/>
      </c>
      <c r="BN208" s="1222"/>
      <c r="BO208" s="1222"/>
    </row>
    <row r="209">
      <c r="A209" s="1222"/>
      <c r="B209" s="1229"/>
      <c r="C209" s="1349"/>
      <c r="D209" s="1229"/>
      <c r="E209" s="1229"/>
      <c r="F209" s="1229"/>
      <c r="G209" s="1229"/>
      <c r="H209" s="1229"/>
      <c r="I209" s="1229"/>
      <c r="J209" s="1229"/>
      <c r="K209" s="1229"/>
      <c r="L209" s="1229"/>
      <c r="M209" s="1229"/>
      <c r="N209" s="1337"/>
      <c r="O209" s="1337"/>
      <c r="P209" s="1229"/>
      <c r="Q209" s="1229"/>
      <c r="R209" s="1229"/>
      <c r="S209" s="1229"/>
      <c r="T209" s="1337"/>
      <c r="U209" s="1337"/>
      <c r="V209" s="1229"/>
      <c r="W209" s="1229"/>
      <c r="X209" s="1229"/>
      <c r="Y209" s="1229"/>
      <c r="Z209" s="1337"/>
      <c r="AA209" s="1337"/>
      <c r="AB209" s="1229"/>
      <c r="AC209" s="1229"/>
      <c r="AD209" s="1229"/>
      <c r="AE209" s="1229"/>
      <c r="AF209" s="1337"/>
      <c r="AG209" s="1337"/>
      <c r="AH209" s="1229"/>
      <c r="AI209" s="1229"/>
      <c r="AJ209" s="1229"/>
      <c r="AK209" s="1229"/>
      <c r="AL209" s="1337"/>
      <c r="AM209" s="1337"/>
      <c r="AN209" s="1229"/>
      <c r="AO209" s="1229"/>
      <c r="AP209" s="1229"/>
      <c r="AQ209" s="1229"/>
      <c r="AR209" s="1337"/>
      <c r="AS209" s="1337"/>
      <c r="AT209" s="1229"/>
      <c r="AU209" s="1229"/>
      <c r="AV209" s="1229"/>
      <c r="AW209" s="1229"/>
      <c r="AX209" s="1337"/>
      <c r="AY209" s="1337"/>
      <c r="AZ209" s="1229"/>
      <c r="BA209" s="1229"/>
      <c r="BB209" s="1229"/>
      <c r="BC209" s="1229"/>
      <c r="BD209" s="1337"/>
      <c r="BE209" s="1337"/>
      <c r="BF209" s="1229"/>
      <c r="BG209" s="1229"/>
      <c r="BH209" s="1229"/>
      <c r="BI209" s="1222"/>
      <c r="BJ209" s="1338"/>
      <c r="BK209" s="1338"/>
      <c r="BL209" s="1222"/>
      <c r="BM209" s="1222"/>
      <c r="BN209" s="1222"/>
      <c r="BO209" s="1222"/>
    </row>
    <row r="210" ht="7.5" customHeight="1">
      <c r="A210" s="1222"/>
      <c r="B210" s="1229"/>
      <c r="C210" s="1349"/>
      <c r="D210" s="1229"/>
      <c r="E210" s="1229"/>
      <c r="F210" s="1229"/>
      <c r="G210" s="1229"/>
      <c r="H210" s="1229"/>
      <c r="I210" s="1229"/>
      <c r="J210" s="1229"/>
      <c r="K210" s="1229"/>
      <c r="L210" s="1229" t="str">
        <f>IFERROR(__xludf.DUMMYFUNCTION("""COMPUTED_VALUE"""),"")</f>
        <v/>
      </c>
      <c r="M210" s="1229"/>
      <c r="N210" s="1337"/>
      <c r="O210" s="1337"/>
      <c r="P210" s="1229"/>
      <c r="Q210" s="1229" t="str">
        <f>IFERROR(__xludf.DUMMYFUNCTION("""COMPUTED_VALUE"""),"")</f>
        <v/>
      </c>
      <c r="R210" s="1229" t="str">
        <f>IFERROR(__xludf.DUMMYFUNCTION("""COMPUTED_VALUE"""),"")</f>
        <v/>
      </c>
      <c r="S210" s="1229"/>
      <c r="T210" s="1337"/>
      <c r="U210" s="1337"/>
      <c r="V210" s="1229"/>
      <c r="W210" s="1229" t="str">
        <f>IFERROR(__xludf.DUMMYFUNCTION("""COMPUTED_VALUE"""),"")</f>
        <v/>
      </c>
      <c r="X210" s="1229" t="str">
        <f>IFERROR(__xludf.DUMMYFUNCTION("""COMPUTED_VALUE"""),"")</f>
        <v/>
      </c>
      <c r="Y210" s="1229"/>
      <c r="Z210" s="1337"/>
      <c r="AA210" s="1337"/>
      <c r="AB210" s="1229"/>
      <c r="AC210" s="1229" t="str">
        <f>IFERROR(__xludf.DUMMYFUNCTION("""COMPUTED_VALUE"""),"")</f>
        <v/>
      </c>
      <c r="AD210" s="1229" t="str">
        <f>IFERROR(__xludf.DUMMYFUNCTION("""COMPUTED_VALUE"""),"")</f>
        <v/>
      </c>
      <c r="AE210" s="1229"/>
      <c r="AF210" s="1337"/>
      <c r="AG210" s="1337"/>
      <c r="AH210" s="1229"/>
      <c r="AI210" s="1229" t="str">
        <f>IFERROR(__xludf.DUMMYFUNCTION("""COMPUTED_VALUE"""),"")</f>
        <v/>
      </c>
      <c r="AJ210" s="1229" t="str">
        <f>IFERROR(__xludf.DUMMYFUNCTION("""COMPUTED_VALUE"""),"")</f>
        <v/>
      </c>
      <c r="AK210" s="1229"/>
      <c r="AL210" s="1337"/>
      <c r="AM210" s="1337"/>
      <c r="AN210" s="1229"/>
      <c r="AO210" s="1229" t="str">
        <f>IFERROR(__xludf.DUMMYFUNCTION("""COMPUTED_VALUE"""),"")</f>
        <v/>
      </c>
      <c r="AP210" s="1229" t="str">
        <f>IFERROR(__xludf.DUMMYFUNCTION("""COMPUTED_VALUE"""),"")</f>
        <v/>
      </c>
      <c r="AQ210" s="1229"/>
      <c r="AR210" s="1337"/>
      <c r="AS210" s="1337"/>
      <c r="AT210" s="1229"/>
      <c r="AU210" s="1229" t="str">
        <f>IFERROR(__xludf.DUMMYFUNCTION("""COMPUTED_VALUE"""),"")</f>
        <v/>
      </c>
      <c r="AV210" s="1229" t="str">
        <f>IFERROR(__xludf.DUMMYFUNCTION("""COMPUTED_VALUE"""),"")</f>
        <v/>
      </c>
      <c r="AW210" s="1229"/>
      <c r="AX210" s="1337"/>
      <c r="AY210" s="1337"/>
      <c r="AZ210" s="1229"/>
      <c r="BA210" s="1229" t="str">
        <f>IFERROR(__xludf.DUMMYFUNCTION("""COMPUTED_VALUE"""),"")</f>
        <v/>
      </c>
      <c r="BB210" s="1229" t="str">
        <f>IFERROR(__xludf.DUMMYFUNCTION("""COMPUTED_VALUE"""),"")</f>
        <v/>
      </c>
      <c r="BC210" s="1229"/>
      <c r="BD210" s="1337"/>
      <c r="BE210" s="1337"/>
      <c r="BF210" s="1229"/>
      <c r="BG210" s="1229" t="str">
        <f>IFERROR(__xludf.DUMMYFUNCTION("""COMPUTED_VALUE"""),"")</f>
        <v/>
      </c>
      <c r="BH210" s="1229" t="str">
        <f>IFERROR(__xludf.DUMMYFUNCTION("""COMPUTED_VALUE"""),"")</f>
        <v/>
      </c>
      <c r="BI210" s="1222"/>
      <c r="BJ210" s="1338"/>
      <c r="BK210" s="1338"/>
      <c r="BL210" s="1222"/>
      <c r="BM210" s="1222" t="str">
        <f>IFERROR(__xludf.DUMMYFUNCTION("""COMPUTED_VALUE"""),"")</f>
        <v/>
      </c>
      <c r="BN210" s="1222"/>
      <c r="BO210" s="1222"/>
    </row>
    <row r="211">
      <c r="A211" s="1222"/>
      <c r="B211" s="1229"/>
      <c r="C211" s="1349"/>
      <c r="D211" s="1229"/>
      <c r="E211" s="1229"/>
      <c r="F211" s="1229"/>
      <c r="G211" s="1229"/>
      <c r="H211" s="1229"/>
      <c r="I211" s="1229"/>
      <c r="J211" s="1229"/>
      <c r="K211" s="1229"/>
      <c r="L211" s="1229"/>
      <c r="M211" s="1229"/>
      <c r="N211" s="1337"/>
      <c r="O211" s="1337"/>
      <c r="P211" s="1229"/>
      <c r="Q211" s="1229"/>
      <c r="R211" s="1229"/>
      <c r="S211" s="1229"/>
      <c r="T211" s="1337"/>
      <c r="U211" s="1337"/>
      <c r="V211" s="1229"/>
      <c r="W211" s="1229"/>
      <c r="X211" s="1229"/>
      <c r="Y211" s="1229"/>
      <c r="Z211" s="1337"/>
      <c r="AA211" s="1337"/>
      <c r="AB211" s="1229"/>
      <c r="AC211" s="1229"/>
      <c r="AD211" s="1229"/>
      <c r="AE211" s="1229"/>
      <c r="AF211" s="1337"/>
      <c r="AG211" s="1337"/>
      <c r="AH211" s="1229"/>
      <c r="AI211" s="1229"/>
      <c r="AJ211" s="1229"/>
      <c r="AK211" s="1229"/>
      <c r="AL211" s="1337"/>
      <c r="AM211" s="1337"/>
      <c r="AN211" s="1229"/>
      <c r="AO211" s="1229"/>
      <c r="AP211" s="1229"/>
      <c r="AQ211" s="1229"/>
      <c r="AR211" s="1337"/>
      <c r="AS211" s="1337"/>
      <c r="AT211" s="1229"/>
      <c r="AU211" s="1229"/>
      <c r="AV211" s="1229"/>
      <c r="AW211" s="1229"/>
      <c r="AX211" s="1337"/>
      <c r="AY211" s="1337"/>
      <c r="AZ211" s="1229"/>
      <c r="BA211" s="1229"/>
      <c r="BB211" s="1229"/>
      <c r="BC211" s="1229"/>
      <c r="BD211" s="1337"/>
      <c r="BE211" s="1337"/>
      <c r="BF211" s="1229"/>
      <c r="BG211" s="1229"/>
      <c r="BH211" s="1229"/>
      <c r="BI211" s="1222"/>
      <c r="BJ211" s="1338"/>
      <c r="BK211" s="1338"/>
      <c r="BL211" s="1222"/>
      <c r="BM211" s="1222"/>
      <c r="BN211" s="1222"/>
      <c r="BO211" s="1222"/>
    </row>
    <row r="212" ht="7.5" customHeight="1">
      <c r="A212" s="1222"/>
      <c r="B212" s="1229"/>
      <c r="C212" s="1349"/>
      <c r="D212" s="1229"/>
      <c r="E212" s="1229"/>
      <c r="F212" s="1229"/>
      <c r="G212" s="1229"/>
      <c r="H212" s="1229"/>
      <c r="I212" s="1229"/>
      <c r="J212" s="1229"/>
      <c r="K212" s="1229"/>
      <c r="L212" s="1229" t="str">
        <f>IFERROR(__xludf.DUMMYFUNCTION("""COMPUTED_VALUE"""),"")</f>
        <v/>
      </c>
      <c r="M212" s="1229"/>
      <c r="N212" s="1337"/>
      <c r="O212" s="1337"/>
      <c r="P212" s="1229"/>
      <c r="Q212" s="1229" t="str">
        <f>IFERROR(__xludf.DUMMYFUNCTION("""COMPUTED_VALUE"""),"")</f>
        <v/>
      </c>
      <c r="R212" s="1229" t="str">
        <f>IFERROR(__xludf.DUMMYFUNCTION("""COMPUTED_VALUE"""),"")</f>
        <v/>
      </c>
      <c r="S212" s="1229"/>
      <c r="T212" s="1337"/>
      <c r="U212" s="1337"/>
      <c r="V212" s="1229"/>
      <c r="W212" s="1229" t="str">
        <f>IFERROR(__xludf.DUMMYFUNCTION("""COMPUTED_VALUE"""),"")</f>
        <v/>
      </c>
      <c r="X212" s="1229" t="str">
        <f>IFERROR(__xludf.DUMMYFUNCTION("""COMPUTED_VALUE"""),"")</f>
        <v/>
      </c>
      <c r="Y212" s="1229"/>
      <c r="Z212" s="1337"/>
      <c r="AA212" s="1337"/>
      <c r="AB212" s="1229"/>
      <c r="AC212" s="1229" t="str">
        <f>IFERROR(__xludf.DUMMYFUNCTION("""COMPUTED_VALUE"""),"")</f>
        <v/>
      </c>
      <c r="AD212" s="1229" t="str">
        <f>IFERROR(__xludf.DUMMYFUNCTION("""COMPUTED_VALUE"""),"")</f>
        <v/>
      </c>
      <c r="AE212" s="1229"/>
      <c r="AF212" s="1337"/>
      <c r="AG212" s="1337"/>
      <c r="AH212" s="1229"/>
      <c r="AI212" s="1229" t="str">
        <f>IFERROR(__xludf.DUMMYFUNCTION("""COMPUTED_VALUE"""),"")</f>
        <v/>
      </c>
      <c r="AJ212" s="1229" t="str">
        <f>IFERROR(__xludf.DUMMYFUNCTION("""COMPUTED_VALUE"""),"")</f>
        <v/>
      </c>
      <c r="AK212" s="1229"/>
      <c r="AL212" s="1337"/>
      <c r="AM212" s="1337"/>
      <c r="AN212" s="1229"/>
      <c r="AO212" s="1229" t="str">
        <f>IFERROR(__xludf.DUMMYFUNCTION("""COMPUTED_VALUE"""),"")</f>
        <v/>
      </c>
      <c r="AP212" s="1229" t="str">
        <f>IFERROR(__xludf.DUMMYFUNCTION("""COMPUTED_VALUE"""),"")</f>
        <v/>
      </c>
      <c r="AQ212" s="1229"/>
      <c r="AR212" s="1337"/>
      <c r="AS212" s="1337"/>
      <c r="AT212" s="1229"/>
      <c r="AU212" s="1229" t="str">
        <f>IFERROR(__xludf.DUMMYFUNCTION("""COMPUTED_VALUE"""),"")</f>
        <v/>
      </c>
      <c r="AV212" s="1229" t="str">
        <f>IFERROR(__xludf.DUMMYFUNCTION("""COMPUTED_VALUE"""),"")</f>
        <v/>
      </c>
      <c r="AW212" s="1229"/>
      <c r="AX212" s="1337"/>
      <c r="AY212" s="1337"/>
      <c r="AZ212" s="1229"/>
      <c r="BA212" s="1229" t="str">
        <f>IFERROR(__xludf.DUMMYFUNCTION("""COMPUTED_VALUE"""),"")</f>
        <v/>
      </c>
      <c r="BB212" s="1229" t="str">
        <f>IFERROR(__xludf.DUMMYFUNCTION("""COMPUTED_VALUE"""),"")</f>
        <v/>
      </c>
      <c r="BC212" s="1229"/>
      <c r="BD212" s="1337"/>
      <c r="BE212" s="1337"/>
      <c r="BF212" s="1229"/>
      <c r="BG212" s="1229" t="str">
        <f>IFERROR(__xludf.DUMMYFUNCTION("""COMPUTED_VALUE"""),"")</f>
        <v/>
      </c>
      <c r="BH212" s="1229" t="str">
        <f>IFERROR(__xludf.DUMMYFUNCTION("""COMPUTED_VALUE"""),"")</f>
        <v/>
      </c>
      <c r="BI212" s="1222"/>
      <c r="BJ212" s="1338"/>
      <c r="BK212" s="1338"/>
      <c r="BL212" s="1222"/>
      <c r="BM212" s="1222" t="str">
        <f>IFERROR(__xludf.DUMMYFUNCTION("""COMPUTED_VALUE"""),"")</f>
        <v/>
      </c>
      <c r="BN212" s="1222"/>
      <c r="BO212" s="1222"/>
    </row>
    <row r="213">
      <c r="A213" s="1222"/>
      <c r="B213" s="1229"/>
      <c r="C213" s="1349"/>
      <c r="D213" s="1229"/>
      <c r="E213" s="1229"/>
      <c r="F213" s="1229"/>
      <c r="G213" s="1229"/>
      <c r="H213" s="1229"/>
      <c r="I213" s="1229"/>
      <c r="J213" s="1229"/>
      <c r="K213" s="1229"/>
      <c r="L213" s="1229"/>
      <c r="M213" s="1229"/>
      <c r="N213" s="1337"/>
      <c r="O213" s="1337"/>
      <c r="P213" s="1229"/>
      <c r="Q213" s="1229"/>
      <c r="R213" s="1229"/>
      <c r="S213" s="1229"/>
      <c r="T213" s="1337"/>
      <c r="U213" s="1337"/>
      <c r="V213" s="1229"/>
      <c r="W213" s="1229"/>
      <c r="X213" s="1229"/>
      <c r="Y213" s="1229"/>
      <c r="Z213" s="1337"/>
      <c r="AA213" s="1337"/>
      <c r="AB213" s="1229"/>
      <c r="AC213" s="1229"/>
      <c r="AD213" s="1229"/>
      <c r="AE213" s="1229"/>
      <c r="AF213" s="1337"/>
      <c r="AG213" s="1337"/>
      <c r="AH213" s="1229"/>
      <c r="AI213" s="1229"/>
      <c r="AJ213" s="1229"/>
      <c r="AK213" s="1229"/>
      <c r="AL213" s="1337"/>
      <c r="AM213" s="1337"/>
      <c r="AN213" s="1229"/>
      <c r="AO213" s="1229"/>
      <c r="AP213" s="1229"/>
      <c r="AQ213" s="1229"/>
      <c r="AR213" s="1337"/>
      <c r="AS213" s="1337"/>
      <c r="AT213" s="1229"/>
      <c r="AU213" s="1229"/>
      <c r="AV213" s="1229"/>
      <c r="AW213" s="1229"/>
      <c r="AX213" s="1337"/>
      <c r="AY213" s="1337"/>
      <c r="AZ213" s="1229"/>
      <c r="BA213" s="1229"/>
      <c r="BB213" s="1229"/>
      <c r="BC213" s="1229"/>
      <c r="BD213" s="1337"/>
      <c r="BE213" s="1337"/>
      <c r="BF213" s="1229"/>
      <c r="BG213" s="1229"/>
      <c r="BH213" s="1229"/>
      <c r="BI213" s="1222"/>
      <c r="BJ213" s="1338"/>
      <c r="BK213" s="1338"/>
      <c r="BL213" s="1222"/>
      <c r="BM213" s="1222"/>
      <c r="BN213" s="1222"/>
      <c r="BO213" s="1222"/>
    </row>
    <row r="214" ht="7.5" customHeight="1">
      <c r="A214" s="1222"/>
      <c r="B214" s="1229"/>
      <c r="C214" s="1349"/>
      <c r="D214" s="1229"/>
      <c r="E214" s="1229"/>
      <c r="F214" s="1229"/>
      <c r="G214" s="1229"/>
      <c r="H214" s="1229"/>
      <c r="I214" s="1229"/>
      <c r="J214" s="1229"/>
      <c r="K214" s="1229"/>
      <c r="L214" s="1229" t="str">
        <f>IFERROR(__xludf.DUMMYFUNCTION("""COMPUTED_VALUE"""),"")</f>
        <v/>
      </c>
      <c r="M214" s="1229"/>
      <c r="N214" s="1337"/>
      <c r="O214" s="1337"/>
      <c r="P214" s="1229"/>
      <c r="Q214" s="1229" t="str">
        <f>IFERROR(__xludf.DUMMYFUNCTION("""COMPUTED_VALUE"""),"")</f>
        <v/>
      </c>
      <c r="R214" s="1229" t="str">
        <f>IFERROR(__xludf.DUMMYFUNCTION("""COMPUTED_VALUE"""),"")</f>
        <v/>
      </c>
      <c r="S214" s="1229"/>
      <c r="T214" s="1337"/>
      <c r="U214" s="1337"/>
      <c r="V214" s="1229"/>
      <c r="W214" s="1229" t="str">
        <f>IFERROR(__xludf.DUMMYFUNCTION("""COMPUTED_VALUE"""),"")</f>
        <v/>
      </c>
      <c r="X214" s="1229" t="str">
        <f>IFERROR(__xludf.DUMMYFUNCTION("""COMPUTED_VALUE"""),"")</f>
        <v/>
      </c>
      <c r="Y214" s="1229"/>
      <c r="Z214" s="1337"/>
      <c r="AA214" s="1337"/>
      <c r="AB214" s="1229"/>
      <c r="AC214" s="1229" t="str">
        <f>IFERROR(__xludf.DUMMYFUNCTION("""COMPUTED_VALUE"""),"")</f>
        <v/>
      </c>
      <c r="AD214" s="1229" t="str">
        <f>IFERROR(__xludf.DUMMYFUNCTION("""COMPUTED_VALUE"""),"")</f>
        <v/>
      </c>
      <c r="AE214" s="1229"/>
      <c r="AF214" s="1337"/>
      <c r="AG214" s="1337"/>
      <c r="AH214" s="1229"/>
      <c r="AI214" s="1229" t="str">
        <f>IFERROR(__xludf.DUMMYFUNCTION("""COMPUTED_VALUE"""),"")</f>
        <v/>
      </c>
      <c r="AJ214" s="1229" t="str">
        <f>IFERROR(__xludf.DUMMYFUNCTION("""COMPUTED_VALUE"""),"")</f>
        <v/>
      </c>
      <c r="AK214" s="1229"/>
      <c r="AL214" s="1337"/>
      <c r="AM214" s="1337"/>
      <c r="AN214" s="1229"/>
      <c r="AO214" s="1229" t="str">
        <f>IFERROR(__xludf.DUMMYFUNCTION("""COMPUTED_VALUE"""),"")</f>
        <v/>
      </c>
      <c r="AP214" s="1229" t="str">
        <f>IFERROR(__xludf.DUMMYFUNCTION("""COMPUTED_VALUE"""),"")</f>
        <v/>
      </c>
      <c r="AQ214" s="1229"/>
      <c r="AR214" s="1337"/>
      <c r="AS214" s="1337"/>
      <c r="AT214" s="1229"/>
      <c r="AU214" s="1229" t="str">
        <f>IFERROR(__xludf.DUMMYFUNCTION("""COMPUTED_VALUE"""),"")</f>
        <v/>
      </c>
      <c r="AV214" s="1229" t="str">
        <f>IFERROR(__xludf.DUMMYFUNCTION("""COMPUTED_VALUE"""),"")</f>
        <v/>
      </c>
      <c r="AW214" s="1229"/>
      <c r="AX214" s="1337"/>
      <c r="AY214" s="1337"/>
      <c r="AZ214" s="1229"/>
      <c r="BA214" s="1229" t="str">
        <f>IFERROR(__xludf.DUMMYFUNCTION("""COMPUTED_VALUE"""),"")</f>
        <v/>
      </c>
      <c r="BB214" s="1229" t="str">
        <f>IFERROR(__xludf.DUMMYFUNCTION("""COMPUTED_VALUE"""),"")</f>
        <v/>
      </c>
      <c r="BC214" s="1229"/>
      <c r="BD214" s="1337"/>
      <c r="BE214" s="1337"/>
      <c r="BF214" s="1229"/>
      <c r="BG214" s="1229" t="str">
        <f>IFERROR(__xludf.DUMMYFUNCTION("""COMPUTED_VALUE"""),"")</f>
        <v/>
      </c>
      <c r="BH214" s="1229" t="str">
        <f>IFERROR(__xludf.DUMMYFUNCTION("""COMPUTED_VALUE"""),"")</f>
        <v/>
      </c>
      <c r="BI214" s="1222"/>
      <c r="BJ214" s="1338"/>
      <c r="BK214" s="1338"/>
      <c r="BL214" s="1222"/>
      <c r="BM214" s="1222" t="str">
        <f>IFERROR(__xludf.DUMMYFUNCTION("""COMPUTED_VALUE"""),"")</f>
        <v/>
      </c>
      <c r="BN214" s="1222"/>
      <c r="BO214" s="1222"/>
    </row>
    <row r="215">
      <c r="A215" s="1222"/>
      <c r="B215" s="1229"/>
      <c r="C215" s="1349"/>
      <c r="D215" s="1229"/>
      <c r="E215" s="1229"/>
      <c r="F215" s="1229"/>
      <c r="G215" s="1229"/>
      <c r="H215" s="1229"/>
      <c r="I215" s="1229"/>
      <c r="J215" s="1229"/>
      <c r="K215" s="1229"/>
      <c r="L215" s="1229"/>
      <c r="M215" s="1229"/>
      <c r="N215" s="1337"/>
      <c r="O215" s="1337"/>
      <c r="P215" s="1229"/>
      <c r="Q215" s="1229"/>
      <c r="R215" s="1229"/>
      <c r="S215" s="1229"/>
      <c r="T215" s="1337"/>
      <c r="U215" s="1337"/>
      <c r="V215" s="1229"/>
      <c r="W215" s="1229"/>
      <c r="X215" s="1229"/>
      <c r="Y215" s="1229"/>
      <c r="Z215" s="1337"/>
      <c r="AA215" s="1337"/>
      <c r="AB215" s="1229"/>
      <c r="AC215" s="1229"/>
      <c r="AD215" s="1229"/>
      <c r="AE215" s="1229"/>
      <c r="AF215" s="1337"/>
      <c r="AG215" s="1337"/>
      <c r="AH215" s="1229"/>
      <c r="AI215" s="1229"/>
      <c r="AJ215" s="1229"/>
      <c r="AK215" s="1229"/>
      <c r="AL215" s="1337"/>
      <c r="AM215" s="1337"/>
      <c r="AN215" s="1229"/>
      <c r="AO215" s="1229"/>
      <c r="AP215" s="1229"/>
      <c r="AQ215" s="1229"/>
      <c r="AR215" s="1337"/>
      <c r="AS215" s="1337"/>
      <c r="AT215" s="1229"/>
      <c r="AU215" s="1229"/>
      <c r="AV215" s="1229"/>
      <c r="AW215" s="1229"/>
      <c r="AX215" s="1337"/>
      <c r="AY215" s="1337"/>
      <c r="AZ215" s="1229"/>
      <c r="BA215" s="1229"/>
      <c r="BB215" s="1229"/>
      <c r="BC215" s="1229"/>
      <c r="BD215" s="1337"/>
      <c r="BE215" s="1337"/>
      <c r="BF215" s="1229"/>
      <c r="BG215" s="1229"/>
      <c r="BH215" s="1229"/>
      <c r="BI215" s="1222"/>
      <c r="BJ215" s="1338"/>
      <c r="BK215" s="1338"/>
      <c r="BL215" s="1222"/>
      <c r="BM215" s="1222"/>
      <c r="BN215" s="1222"/>
      <c r="BO215" s="1222"/>
    </row>
    <row r="216" ht="7.5" customHeight="1">
      <c r="A216" s="1222"/>
      <c r="B216" s="1229"/>
      <c r="C216" s="1349"/>
      <c r="D216" s="1229"/>
      <c r="E216" s="1229"/>
      <c r="F216" s="1229"/>
      <c r="G216" s="1229"/>
      <c r="H216" s="1229"/>
      <c r="I216" s="1229"/>
      <c r="J216" s="1229"/>
      <c r="K216" s="1229"/>
      <c r="L216" s="1229" t="str">
        <f>IFERROR(__xludf.DUMMYFUNCTION("""COMPUTED_VALUE"""),"")</f>
        <v/>
      </c>
      <c r="M216" s="1229"/>
      <c r="N216" s="1337"/>
      <c r="O216" s="1337"/>
      <c r="P216" s="1229"/>
      <c r="Q216" s="1229" t="str">
        <f>IFERROR(__xludf.DUMMYFUNCTION("""COMPUTED_VALUE"""),"")</f>
        <v/>
      </c>
      <c r="R216" s="1229" t="str">
        <f>IFERROR(__xludf.DUMMYFUNCTION("""COMPUTED_VALUE"""),"")</f>
        <v/>
      </c>
      <c r="S216" s="1229"/>
      <c r="T216" s="1337"/>
      <c r="U216" s="1337"/>
      <c r="V216" s="1229"/>
      <c r="W216" s="1229" t="str">
        <f>IFERROR(__xludf.DUMMYFUNCTION("""COMPUTED_VALUE"""),"")</f>
        <v/>
      </c>
      <c r="X216" s="1229" t="str">
        <f>IFERROR(__xludf.DUMMYFUNCTION("""COMPUTED_VALUE"""),"")</f>
        <v/>
      </c>
      <c r="Y216" s="1229"/>
      <c r="Z216" s="1337"/>
      <c r="AA216" s="1337"/>
      <c r="AB216" s="1229"/>
      <c r="AC216" s="1229" t="str">
        <f>IFERROR(__xludf.DUMMYFUNCTION("""COMPUTED_VALUE"""),"")</f>
        <v/>
      </c>
      <c r="AD216" s="1229" t="str">
        <f>IFERROR(__xludf.DUMMYFUNCTION("""COMPUTED_VALUE"""),"")</f>
        <v/>
      </c>
      <c r="AE216" s="1229"/>
      <c r="AF216" s="1337"/>
      <c r="AG216" s="1337"/>
      <c r="AH216" s="1229"/>
      <c r="AI216" s="1229" t="str">
        <f>IFERROR(__xludf.DUMMYFUNCTION("""COMPUTED_VALUE"""),"")</f>
        <v/>
      </c>
      <c r="AJ216" s="1229" t="str">
        <f>IFERROR(__xludf.DUMMYFUNCTION("""COMPUTED_VALUE"""),"")</f>
        <v/>
      </c>
      <c r="AK216" s="1229"/>
      <c r="AL216" s="1337"/>
      <c r="AM216" s="1337"/>
      <c r="AN216" s="1229"/>
      <c r="AO216" s="1229" t="str">
        <f>IFERROR(__xludf.DUMMYFUNCTION("""COMPUTED_VALUE"""),"")</f>
        <v/>
      </c>
      <c r="AP216" s="1229" t="str">
        <f>IFERROR(__xludf.DUMMYFUNCTION("""COMPUTED_VALUE"""),"")</f>
        <v/>
      </c>
      <c r="AQ216" s="1229"/>
      <c r="AR216" s="1337"/>
      <c r="AS216" s="1337"/>
      <c r="AT216" s="1229"/>
      <c r="AU216" s="1229" t="str">
        <f>IFERROR(__xludf.DUMMYFUNCTION("""COMPUTED_VALUE"""),"")</f>
        <v/>
      </c>
      <c r="AV216" s="1229" t="str">
        <f>IFERROR(__xludf.DUMMYFUNCTION("""COMPUTED_VALUE"""),"")</f>
        <v/>
      </c>
      <c r="AW216" s="1229"/>
      <c r="AX216" s="1337"/>
      <c r="AY216" s="1337"/>
      <c r="AZ216" s="1229"/>
      <c r="BA216" s="1229" t="str">
        <f>IFERROR(__xludf.DUMMYFUNCTION("""COMPUTED_VALUE"""),"")</f>
        <v/>
      </c>
      <c r="BB216" s="1229" t="str">
        <f>IFERROR(__xludf.DUMMYFUNCTION("""COMPUTED_VALUE"""),"")</f>
        <v/>
      </c>
      <c r="BC216" s="1229"/>
      <c r="BD216" s="1337"/>
      <c r="BE216" s="1337"/>
      <c r="BF216" s="1229"/>
      <c r="BG216" s="1229" t="str">
        <f>IFERROR(__xludf.DUMMYFUNCTION("""COMPUTED_VALUE"""),"")</f>
        <v/>
      </c>
      <c r="BH216" s="1229" t="str">
        <f>IFERROR(__xludf.DUMMYFUNCTION("""COMPUTED_VALUE"""),"")</f>
        <v/>
      </c>
      <c r="BI216" s="1222"/>
      <c r="BJ216" s="1338"/>
      <c r="BK216" s="1338"/>
      <c r="BL216" s="1222"/>
      <c r="BM216" s="1222" t="str">
        <f>IFERROR(__xludf.DUMMYFUNCTION("""COMPUTED_VALUE"""),"")</f>
        <v/>
      </c>
      <c r="BN216" s="1222"/>
      <c r="BO216" s="1222"/>
    </row>
    <row r="217">
      <c r="A217" s="1222"/>
      <c r="B217" s="1229"/>
      <c r="C217" s="1349"/>
      <c r="D217" s="1229"/>
      <c r="E217" s="1229"/>
      <c r="F217" s="1229"/>
      <c r="G217" s="1229"/>
      <c r="H217" s="1229"/>
      <c r="I217" s="1229"/>
      <c r="J217" s="1229"/>
      <c r="K217" s="1229"/>
      <c r="L217" s="1229"/>
      <c r="M217" s="1229"/>
      <c r="N217" s="1337"/>
      <c r="O217" s="1337"/>
      <c r="P217" s="1229"/>
      <c r="Q217" s="1229"/>
      <c r="R217" s="1229"/>
      <c r="S217" s="1229"/>
      <c r="T217" s="1337"/>
      <c r="U217" s="1337"/>
      <c r="V217" s="1229"/>
      <c r="W217" s="1229"/>
      <c r="X217" s="1229"/>
      <c r="Y217" s="1229"/>
      <c r="Z217" s="1337"/>
      <c r="AA217" s="1337"/>
      <c r="AB217" s="1229"/>
      <c r="AC217" s="1229"/>
      <c r="AD217" s="1229"/>
      <c r="AE217" s="1229"/>
      <c r="AF217" s="1337"/>
      <c r="AG217" s="1337"/>
      <c r="AH217" s="1229"/>
      <c r="AI217" s="1229"/>
      <c r="AJ217" s="1229"/>
      <c r="AK217" s="1229"/>
      <c r="AL217" s="1337"/>
      <c r="AM217" s="1337"/>
      <c r="AN217" s="1229"/>
      <c r="AO217" s="1229"/>
      <c r="AP217" s="1229"/>
      <c r="AQ217" s="1229"/>
      <c r="AR217" s="1337"/>
      <c r="AS217" s="1337"/>
      <c r="AT217" s="1229"/>
      <c r="AU217" s="1229"/>
      <c r="AV217" s="1229"/>
      <c r="AW217" s="1229"/>
      <c r="AX217" s="1337"/>
      <c r="AY217" s="1337"/>
      <c r="AZ217" s="1229"/>
      <c r="BA217" s="1229"/>
      <c r="BB217" s="1229"/>
      <c r="BC217" s="1229"/>
      <c r="BD217" s="1337"/>
      <c r="BE217" s="1337"/>
      <c r="BF217" s="1229"/>
      <c r="BG217" s="1229"/>
      <c r="BH217" s="1229"/>
      <c r="BI217" s="1222"/>
      <c r="BJ217" s="1338"/>
      <c r="BK217" s="1338"/>
      <c r="BL217" s="1222"/>
      <c r="BM217" s="1222"/>
      <c r="BN217" s="1222"/>
      <c r="BO217" s="1222"/>
    </row>
    <row r="218" ht="7.5" customHeight="1">
      <c r="A218" s="1222"/>
      <c r="B218" s="1229"/>
      <c r="C218" s="1349"/>
      <c r="D218" s="1229"/>
      <c r="E218" s="1229"/>
      <c r="F218" s="1229"/>
      <c r="G218" s="1229"/>
      <c r="H218" s="1229"/>
      <c r="I218" s="1229"/>
      <c r="J218" s="1229"/>
      <c r="K218" s="1229"/>
      <c r="L218" s="1229" t="str">
        <f>IFERROR(__xludf.DUMMYFUNCTION("""COMPUTED_VALUE"""),"")</f>
        <v/>
      </c>
      <c r="M218" s="1229"/>
      <c r="N218" s="1337"/>
      <c r="O218" s="1337"/>
      <c r="P218" s="1229"/>
      <c r="Q218" s="1229" t="str">
        <f>IFERROR(__xludf.DUMMYFUNCTION("""COMPUTED_VALUE"""),"")</f>
        <v/>
      </c>
      <c r="R218" s="1229" t="str">
        <f>IFERROR(__xludf.DUMMYFUNCTION("""COMPUTED_VALUE"""),"")</f>
        <v/>
      </c>
      <c r="S218" s="1229"/>
      <c r="T218" s="1337"/>
      <c r="U218" s="1337"/>
      <c r="V218" s="1229"/>
      <c r="W218" s="1229" t="str">
        <f>IFERROR(__xludf.DUMMYFUNCTION("""COMPUTED_VALUE"""),"")</f>
        <v/>
      </c>
      <c r="X218" s="1229" t="str">
        <f>IFERROR(__xludf.DUMMYFUNCTION("""COMPUTED_VALUE"""),"")</f>
        <v/>
      </c>
      <c r="Y218" s="1229"/>
      <c r="Z218" s="1337"/>
      <c r="AA218" s="1337"/>
      <c r="AB218" s="1229"/>
      <c r="AC218" s="1229" t="str">
        <f>IFERROR(__xludf.DUMMYFUNCTION("""COMPUTED_VALUE"""),"")</f>
        <v/>
      </c>
      <c r="AD218" s="1229" t="str">
        <f>IFERROR(__xludf.DUMMYFUNCTION("""COMPUTED_VALUE"""),"")</f>
        <v/>
      </c>
      <c r="AE218" s="1229"/>
      <c r="AF218" s="1337"/>
      <c r="AG218" s="1337"/>
      <c r="AH218" s="1229"/>
      <c r="AI218" s="1229" t="str">
        <f>IFERROR(__xludf.DUMMYFUNCTION("""COMPUTED_VALUE"""),"")</f>
        <v/>
      </c>
      <c r="AJ218" s="1229" t="str">
        <f>IFERROR(__xludf.DUMMYFUNCTION("""COMPUTED_VALUE"""),"")</f>
        <v/>
      </c>
      <c r="AK218" s="1229"/>
      <c r="AL218" s="1337"/>
      <c r="AM218" s="1337"/>
      <c r="AN218" s="1229"/>
      <c r="AO218" s="1229" t="str">
        <f>IFERROR(__xludf.DUMMYFUNCTION("""COMPUTED_VALUE"""),"")</f>
        <v/>
      </c>
      <c r="AP218" s="1229" t="str">
        <f>IFERROR(__xludf.DUMMYFUNCTION("""COMPUTED_VALUE"""),"")</f>
        <v/>
      </c>
      <c r="AQ218" s="1229"/>
      <c r="AR218" s="1337"/>
      <c r="AS218" s="1337"/>
      <c r="AT218" s="1229"/>
      <c r="AU218" s="1229" t="str">
        <f>IFERROR(__xludf.DUMMYFUNCTION("""COMPUTED_VALUE"""),"")</f>
        <v/>
      </c>
      <c r="AV218" s="1229" t="str">
        <f>IFERROR(__xludf.DUMMYFUNCTION("""COMPUTED_VALUE"""),"")</f>
        <v/>
      </c>
      <c r="AW218" s="1229"/>
      <c r="AX218" s="1337"/>
      <c r="AY218" s="1337"/>
      <c r="AZ218" s="1229"/>
      <c r="BA218" s="1229" t="str">
        <f>IFERROR(__xludf.DUMMYFUNCTION("""COMPUTED_VALUE"""),"")</f>
        <v/>
      </c>
      <c r="BB218" s="1229" t="str">
        <f>IFERROR(__xludf.DUMMYFUNCTION("""COMPUTED_VALUE"""),"")</f>
        <v/>
      </c>
      <c r="BC218" s="1229"/>
      <c r="BD218" s="1337"/>
      <c r="BE218" s="1337"/>
      <c r="BF218" s="1229"/>
      <c r="BG218" s="1229" t="str">
        <f>IFERROR(__xludf.DUMMYFUNCTION("""COMPUTED_VALUE"""),"")</f>
        <v/>
      </c>
      <c r="BH218" s="1229" t="str">
        <f>IFERROR(__xludf.DUMMYFUNCTION("""COMPUTED_VALUE"""),"")</f>
        <v/>
      </c>
      <c r="BI218" s="1222"/>
      <c r="BJ218" s="1338"/>
      <c r="BK218" s="1338"/>
      <c r="BL218" s="1222"/>
      <c r="BM218" s="1222" t="str">
        <f>IFERROR(__xludf.DUMMYFUNCTION("""COMPUTED_VALUE"""),"")</f>
        <v/>
      </c>
      <c r="BN218" s="1222"/>
      <c r="BO218" s="1222"/>
    </row>
    <row r="219">
      <c r="A219" s="1222"/>
      <c r="B219" s="1229"/>
      <c r="C219" s="1349"/>
      <c r="D219" s="1229"/>
      <c r="E219" s="1229"/>
      <c r="F219" s="1229"/>
      <c r="G219" s="1229"/>
      <c r="H219" s="1229"/>
      <c r="I219" s="1229"/>
      <c r="J219" s="1229"/>
      <c r="K219" s="1229"/>
      <c r="L219" s="1229"/>
      <c r="M219" s="1229"/>
      <c r="N219" s="1337"/>
      <c r="O219" s="1337"/>
      <c r="P219" s="1229"/>
      <c r="Q219" s="1229"/>
      <c r="R219" s="1229"/>
      <c r="S219" s="1229"/>
      <c r="T219" s="1337"/>
      <c r="U219" s="1337"/>
      <c r="V219" s="1229"/>
      <c r="W219" s="1229"/>
      <c r="X219" s="1229"/>
      <c r="Y219" s="1229"/>
      <c r="Z219" s="1337"/>
      <c r="AA219" s="1337"/>
      <c r="AB219" s="1229"/>
      <c r="AC219" s="1229"/>
      <c r="AD219" s="1229"/>
      <c r="AE219" s="1229"/>
      <c r="AF219" s="1337"/>
      <c r="AG219" s="1337"/>
      <c r="AH219" s="1229"/>
      <c r="AI219" s="1229"/>
      <c r="AJ219" s="1229"/>
      <c r="AK219" s="1229"/>
      <c r="AL219" s="1337"/>
      <c r="AM219" s="1337"/>
      <c r="AN219" s="1229"/>
      <c r="AO219" s="1229"/>
      <c r="AP219" s="1229"/>
      <c r="AQ219" s="1229"/>
      <c r="AR219" s="1337"/>
      <c r="AS219" s="1337"/>
      <c r="AT219" s="1229"/>
      <c r="AU219" s="1229"/>
      <c r="AV219" s="1229"/>
      <c r="AW219" s="1229"/>
      <c r="AX219" s="1337"/>
      <c r="AY219" s="1337"/>
      <c r="AZ219" s="1229"/>
      <c r="BA219" s="1229"/>
      <c r="BB219" s="1229"/>
      <c r="BC219" s="1229"/>
      <c r="BD219" s="1337"/>
      <c r="BE219" s="1337"/>
      <c r="BF219" s="1229"/>
      <c r="BG219" s="1229"/>
      <c r="BH219" s="1229"/>
      <c r="BI219" s="1222"/>
      <c r="BJ219" s="1338"/>
      <c r="BK219" s="1338"/>
      <c r="BL219" s="1222"/>
      <c r="BM219" s="1222"/>
      <c r="BN219" s="1222"/>
      <c r="BO219" s="1222"/>
    </row>
    <row r="220" ht="7.5" customHeight="1">
      <c r="A220" s="1222"/>
      <c r="B220" s="1229"/>
      <c r="C220" s="1349"/>
      <c r="D220" s="1229"/>
      <c r="E220" s="1229"/>
      <c r="F220" s="1229"/>
      <c r="G220" s="1229"/>
      <c r="H220" s="1229"/>
      <c r="I220" s="1229"/>
      <c r="J220" s="1229"/>
      <c r="K220" s="1229"/>
      <c r="L220" s="1229" t="str">
        <f>IFERROR(__xludf.DUMMYFUNCTION("""COMPUTED_VALUE"""),"")</f>
        <v/>
      </c>
      <c r="M220" s="1229"/>
      <c r="N220" s="1337"/>
      <c r="O220" s="1337"/>
      <c r="P220" s="1229"/>
      <c r="Q220" s="1229" t="str">
        <f>IFERROR(__xludf.DUMMYFUNCTION("""COMPUTED_VALUE"""),"")</f>
        <v/>
      </c>
      <c r="R220" s="1229" t="str">
        <f>IFERROR(__xludf.DUMMYFUNCTION("""COMPUTED_VALUE"""),"")</f>
        <v/>
      </c>
      <c r="S220" s="1229"/>
      <c r="T220" s="1337"/>
      <c r="U220" s="1337"/>
      <c r="V220" s="1229"/>
      <c r="W220" s="1229" t="str">
        <f>IFERROR(__xludf.DUMMYFUNCTION("""COMPUTED_VALUE"""),"")</f>
        <v/>
      </c>
      <c r="X220" s="1229" t="str">
        <f>IFERROR(__xludf.DUMMYFUNCTION("""COMPUTED_VALUE"""),"")</f>
        <v/>
      </c>
      <c r="Y220" s="1229"/>
      <c r="Z220" s="1337"/>
      <c r="AA220" s="1337"/>
      <c r="AB220" s="1229"/>
      <c r="AC220" s="1229" t="str">
        <f>IFERROR(__xludf.DUMMYFUNCTION("""COMPUTED_VALUE"""),"")</f>
        <v/>
      </c>
      <c r="AD220" s="1229" t="str">
        <f>IFERROR(__xludf.DUMMYFUNCTION("""COMPUTED_VALUE"""),"")</f>
        <v/>
      </c>
      <c r="AE220" s="1229"/>
      <c r="AF220" s="1337"/>
      <c r="AG220" s="1337"/>
      <c r="AH220" s="1229"/>
      <c r="AI220" s="1229" t="str">
        <f>IFERROR(__xludf.DUMMYFUNCTION("""COMPUTED_VALUE"""),"")</f>
        <v/>
      </c>
      <c r="AJ220" s="1229" t="str">
        <f>IFERROR(__xludf.DUMMYFUNCTION("""COMPUTED_VALUE"""),"")</f>
        <v/>
      </c>
      <c r="AK220" s="1229"/>
      <c r="AL220" s="1337"/>
      <c r="AM220" s="1337"/>
      <c r="AN220" s="1229"/>
      <c r="AO220" s="1229" t="str">
        <f>IFERROR(__xludf.DUMMYFUNCTION("""COMPUTED_VALUE"""),"")</f>
        <v/>
      </c>
      <c r="AP220" s="1229" t="str">
        <f>IFERROR(__xludf.DUMMYFUNCTION("""COMPUTED_VALUE"""),"")</f>
        <v/>
      </c>
      <c r="AQ220" s="1229"/>
      <c r="AR220" s="1337"/>
      <c r="AS220" s="1337"/>
      <c r="AT220" s="1229"/>
      <c r="AU220" s="1229" t="str">
        <f>IFERROR(__xludf.DUMMYFUNCTION("""COMPUTED_VALUE"""),"")</f>
        <v/>
      </c>
      <c r="AV220" s="1229" t="str">
        <f>IFERROR(__xludf.DUMMYFUNCTION("""COMPUTED_VALUE"""),"")</f>
        <v/>
      </c>
      <c r="AW220" s="1229"/>
      <c r="AX220" s="1337"/>
      <c r="AY220" s="1337"/>
      <c r="AZ220" s="1229"/>
      <c r="BA220" s="1229" t="str">
        <f>IFERROR(__xludf.DUMMYFUNCTION("""COMPUTED_VALUE"""),"")</f>
        <v/>
      </c>
      <c r="BB220" s="1229" t="str">
        <f>IFERROR(__xludf.DUMMYFUNCTION("""COMPUTED_VALUE"""),"")</f>
        <v/>
      </c>
      <c r="BC220" s="1229"/>
      <c r="BD220" s="1337"/>
      <c r="BE220" s="1337"/>
      <c r="BF220" s="1229"/>
      <c r="BG220" s="1229" t="str">
        <f>IFERROR(__xludf.DUMMYFUNCTION("""COMPUTED_VALUE"""),"")</f>
        <v/>
      </c>
      <c r="BH220" s="1229" t="str">
        <f>IFERROR(__xludf.DUMMYFUNCTION("""COMPUTED_VALUE"""),"")</f>
        <v/>
      </c>
      <c r="BI220" s="1222"/>
      <c r="BJ220" s="1338"/>
      <c r="BK220" s="1338"/>
      <c r="BL220" s="1222"/>
      <c r="BM220" s="1222" t="str">
        <f>IFERROR(__xludf.DUMMYFUNCTION("""COMPUTED_VALUE"""),"")</f>
        <v/>
      </c>
      <c r="BN220" s="1222"/>
      <c r="BO220" s="1222"/>
    </row>
    <row r="221">
      <c r="A221" s="1222"/>
      <c r="B221" s="1229"/>
      <c r="C221" s="1349"/>
      <c r="D221" s="1229"/>
      <c r="E221" s="1229"/>
      <c r="F221" s="1229"/>
      <c r="G221" s="1229"/>
      <c r="H221" s="1229"/>
      <c r="I221" s="1229"/>
      <c r="J221" s="1229"/>
      <c r="K221" s="1229"/>
      <c r="L221" s="1229"/>
      <c r="M221" s="1229"/>
      <c r="N221" s="1337"/>
      <c r="O221" s="1337"/>
      <c r="P221" s="1229"/>
      <c r="Q221" s="1229"/>
      <c r="R221" s="1229"/>
      <c r="S221" s="1229"/>
      <c r="T221" s="1337"/>
      <c r="U221" s="1337"/>
      <c r="V221" s="1229"/>
      <c r="W221" s="1229"/>
      <c r="X221" s="1229"/>
      <c r="Y221" s="1229"/>
      <c r="Z221" s="1337"/>
      <c r="AA221" s="1337"/>
      <c r="AB221" s="1229"/>
      <c r="AC221" s="1229"/>
      <c r="AD221" s="1229"/>
      <c r="AE221" s="1229"/>
      <c r="AF221" s="1337"/>
      <c r="AG221" s="1337"/>
      <c r="AH221" s="1229"/>
      <c r="AI221" s="1229"/>
      <c r="AJ221" s="1229"/>
      <c r="AK221" s="1229"/>
      <c r="AL221" s="1337"/>
      <c r="AM221" s="1337"/>
      <c r="AN221" s="1229"/>
      <c r="AO221" s="1229"/>
      <c r="AP221" s="1229"/>
      <c r="AQ221" s="1229"/>
      <c r="AR221" s="1337"/>
      <c r="AS221" s="1337"/>
      <c r="AT221" s="1229"/>
      <c r="AU221" s="1229"/>
      <c r="AV221" s="1229"/>
      <c r="AW221" s="1229"/>
      <c r="AX221" s="1337"/>
      <c r="AY221" s="1337"/>
      <c r="AZ221" s="1229"/>
      <c r="BA221" s="1229"/>
      <c r="BB221" s="1229"/>
      <c r="BC221" s="1229"/>
      <c r="BD221" s="1337"/>
      <c r="BE221" s="1337"/>
      <c r="BF221" s="1229"/>
      <c r="BG221" s="1229"/>
      <c r="BH221" s="1229"/>
      <c r="BI221" s="1222"/>
      <c r="BJ221" s="1338"/>
      <c r="BK221" s="1338"/>
      <c r="BL221" s="1222"/>
      <c r="BM221" s="1222"/>
      <c r="BN221" s="1222"/>
      <c r="BO221" s="1222"/>
    </row>
    <row r="222" ht="7.5" customHeight="1">
      <c r="A222" s="1222"/>
      <c r="B222" s="1229"/>
      <c r="C222" s="1349"/>
      <c r="D222" s="1229"/>
      <c r="E222" s="1229"/>
      <c r="F222" s="1229"/>
      <c r="G222" s="1229"/>
      <c r="H222" s="1229"/>
      <c r="I222" s="1229"/>
      <c r="J222" s="1229"/>
      <c r="K222" s="1229"/>
      <c r="L222" s="1229" t="str">
        <f>IFERROR(__xludf.DUMMYFUNCTION("""COMPUTED_VALUE"""),"")</f>
        <v/>
      </c>
      <c r="M222" s="1229"/>
      <c r="N222" s="1337"/>
      <c r="O222" s="1337"/>
      <c r="P222" s="1229"/>
      <c r="Q222" s="1229" t="str">
        <f>IFERROR(__xludf.DUMMYFUNCTION("""COMPUTED_VALUE"""),"")</f>
        <v/>
      </c>
      <c r="R222" s="1229" t="str">
        <f>IFERROR(__xludf.DUMMYFUNCTION("""COMPUTED_VALUE"""),"")</f>
        <v/>
      </c>
      <c r="S222" s="1229"/>
      <c r="T222" s="1337"/>
      <c r="U222" s="1337"/>
      <c r="V222" s="1229"/>
      <c r="W222" s="1229" t="str">
        <f>IFERROR(__xludf.DUMMYFUNCTION("""COMPUTED_VALUE"""),"")</f>
        <v/>
      </c>
      <c r="X222" s="1229" t="str">
        <f>IFERROR(__xludf.DUMMYFUNCTION("""COMPUTED_VALUE"""),"")</f>
        <v/>
      </c>
      <c r="Y222" s="1229"/>
      <c r="Z222" s="1337"/>
      <c r="AA222" s="1337"/>
      <c r="AB222" s="1229"/>
      <c r="AC222" s="1229" t="str">
        <f>IFERROR(__xludf.DUMMYFUNCTION("""COMPUTED_VALUE"""),"")</f>
        <v/>
      </c>
      <c r="AD222" s="1229" t="str">
        <f>IFERROR(__xludf.DUMMYFUNCTION("""COMPUTED_VALUE"""),"")</f>
        <v/>
      </c>
      <c r="AE222" s="1229"/>
      <c r="AF222" s="1337"/>
      <c r="AG222" s="1337"/>
      <c r="AH222" s="1229"/>
      <c r="AI222" s="1229" t="str">
        <f>IFERROR(__xludf.DUMMYFUNCTION("""COMPUTED_VALUE"""),"")</f>
        <v/>
      </c>
      <c r="AJ222" s="1229" t="str">
        <f>IFERROR(__xludf.DUMMYFUNCTION("""COMPUTED_VALUE"""),"")</f>
        <v/>
      </c>
      <c r="AK222" s="1229"/>
      <c r="AL222" s="1337"/>
      <c r="AM222" s="1337"/>
      <c r="AN222" s="1229"/>
      <c r="AO222" s="1229" t="str">
        <f>IFERROR(__xludf.DUMMYFUNCTION("""COMPUTED_VALUE"""),"")</f>
        <v/>
      </c>
      <c r="AP222" s="1229" t="str">
        <f>IFERROR(__xludf.DUMMYFUNCTION("""COMPUTED_VALUE"""),"")</f>
        <v/>
      </c>
      <c r="AQ222" s="1229"/>
      <c r="AR222" s="1337"/>
      <c r="AS222" s="1337"/>
      <c r="AT222" s="1229"/>
      <c r="AU222" s="1229" t="str">
        <f>IFERROR(__xludf.DUMMYFUNCTION("""COMPUTED_VALUE"""),"")</f>
        <v/>
      </c>
      <c r="AV222" s="1229" t="str">
        <f>IFERROR(__xludf.DUMMYFUNCTION("""COMPUTED_VALUE"""),"")</f>
        <v/>
      </c>
      <c r="AW222" s="1229"/>
      <c r="AX222" s="1337"/>
      <c r="AY222" s="1337"/>
      <c r="AZ222" s="1229"/>
      <c r="BA222" s="1229" t="str">
        <f>IFERROR(__xludf.DUMMYFUNCTION("""COMPUTED_VALUE"""),"")</f>
        <v/>
      </c>
      <c r="BB222" s="1229" t="str">
        <f>IFERROR(__xludf.DUMMYFUNCTION("""COMPUTED_VALUE"""),"")</f>
        <v/>
      </c>
      <c r="BC222" s="1229"/>
      <c r="BD222" s="1337"/>
      <c r="BE222" s="1337"/>
      <c r="BF222" s="1229"/>
      <c r="BG222" s="1229" t="str">
        <f>IFERROR(__xludf.DUMMYFUNCTION("""COMPUTED_VALUE"""),"")</f>
        <v/>
      </c>
      <c r="BH222" s="1229" t="str">
        <f>IFERROR(__xludf.DUMMYFUNCTION("""COMPUTED_VALUE"""),"")</f>
        <v/>
      </c>
      <c r="BI222" s="1222"/>
      <c r="BJ222" s="1338"/>
      <c r="BK222" s="1338"/>
      <c r="BL222" s="1222"/>
      <c r="BM222" s="1222" t="str">
        <f>IFERROR(__xludf.DUMMYFUNCTION("""COMPUTED_VALUE"""),"")</f>
        <v/>
      </c>
      <c r="BN222" s="1222"/>
      <c r="BO222" s="1222"/>
    </row>
    <row r="223">
      <c r="A223" s="1222"/>
      <c r="B223" s="1229"/>
      <c r="C223" s="1349"/>
      <c r="D223" s="1229"/>
      <c r="E223" s="1229"/>
      <c r="F223" s="1229"/>
      <c r="G223" s="1229"/>
      <c r="H223" s="1229"/>
      <c r="I223" s="1229"/>
      <c r="J223" s="1229"/>
      <c r="K223" s="1229"/>
      <c r="L223" s="1229"/>
      <c r="M223" s="1229"/>
      <c r="N223" s="1337"/>
      <c r="O223" s="1337"/>
      <c r="P223" s="1229"/>
      <c r="Q223" s="1229"/>
      <c r="R223" s="1229"/>
      <c r="S223" s="1229"/>
      <c r="T223" s="1337"/>
      <c r="U223" s="1337"/>
      <c r="V223" s="1229"/>
      <c r="W223" s="1229"/>
      <c r="X223" s="1229"/>
      <c r="Y223" s="1229"/>
      <c r="Z223" s="1337"/>
      <c r="AA223" s="1337"/>
      <c r="AB223" s="1229"/>
      <c r="AC223" s="1229"/>
      <c r="AD223" s="1229"/>
      <c r="AE223" s="1229"/>
      <c r="AF223" s="1337"/>
      <c r="AG223" s="1337"/>
      <c r="AH223" s="1229"/>
      <c r="AI223" s="1229"/>
      <c r="AJ223" s="1229"/>
      <c r="AK223" s="1229"/>
      <c r="AL223" s="1337"/>
      <c r="AM223" s="1337"/>
      <c r="AN223" s="1229"/>
      <c r="AO223" s="1229"/>
      <c r="AP223" s="1229"/>
      <c r="AQ223" s="1229"/>
      <c r="AR223" s="1337"/>
      <c r="AS223" s="1337"/>
      <c r="AT223" s="1229"/>
      <c r="AU223" s="1229"/>
      <c r="AV223" s="1229"/>
      <c r="AW223" s="1229"/>
      <c r="AX223" s="1337"/>
      <c r="AY223" s="1337"/>
      <c r="AZ223" s="1229"/>
      <c r="BA223" s="1229"/>
      <c r="BB223" s="1229"/>
      <c r="BC223" s="1229"/>
      <c r="BD223" s="1337"/>
      <c r="BE223" s="1337"/>
      <c r="BF223" s="1229"/>
      <c r="BG223" s="1229"/>
      <c r="BH223" s="1229"/>
      <c r="BI223" s="1222"/>
      <c r="BJ223" s="1338"/>
      <c r="BK223" s="1338"/>
      <c r="BL223" s="1222"/>
      <c r="BM223" s="1222"/>
      <c r="BN223" s="1222"/>
      <c r="BO223" s="1222"/>
    </row>
    <row r="224" ht="7.5" customHeight="1">
      <c r="A224" s="1222"/>
      <c r="B224" s="1229"/>
      <c r="C224" s="1349"/>
      <c r="D224" s="1229"/>
      <c r="E224" s="1229"/>
      <c r="F224" s="1229"/>
      <c r="G224" s="1229"/>
      <c r="H224" s="1229"/>
      <c r="I224" s="1229"/>
      <c r="J224" s="1229"/>
      <c r="K224" s="1229"/>
      <c r="L224" s="1229" t="str">
        <f>IFERROR(__xludf.DUMMYFUNCTION("""COMPUTED_VALUE"""),"")</f>
        <v/>
      </c>
      <c r="M224" s="1229"/>
      <c r="N224" s="1337"/>
      <c r="O224" s="1337"/>
      <c r="P224" s="1229"/>
      <c r="Q224" s="1229" t="str">
        <f>IFERROR(__xludf.DUMMYFUNCTION("""COMPUTED_VALUE"""),"")</f>
        <v/>
      </c>
      <c r="R224" s="1229" t="str">
        <f>IFERROR(__xludf.DUMMYFUNCTION("""COMPUTED_VALUE"""),"")</f>
        <v/>
      </c>
      <c r="S224" s="1229"/>
      <c r="T224" s="1337"/>
      <c r="U224" s="1337"/>
      <c r="V224" s="1229"/>
      <c r="W224" s="1229" t="str">
        <f>IFERROR(__xludf.DUMMYFUNCTION("""COMPUTED_VALUE"""),"")</f>
        <v/>
      </c>
      <c r="X224" s="1229" t="str">
        <f>IFERROR(__xludf.DUMMYFUNCTION("""COMPUTED_VALUE"""),"")</f>
        <v/>
      </c>
      <c r="Y224" s="1229"/>
      <c r="Z224" s="1337"/>
      <c r="AA224" s="1337"/>
      <c r="AB224" s="1229"/>
      <c r="AC224" s="1229" t="str">
        <f>IFERROR(__xludf.DUMMYFUNCTION("""COMPUTED_VALUE"""),"")</f>
        <v/>
      </c>
      <c r="AD224" s="1229" t="str">
        <f>IFERROR(__xludf.DUMMYFUNCTION("""COMPUTED_VALUE"""),"")</f>
        <v/>
      </c>
      <c r="AE224" s="1229"/>
      <c r="AF224" s="1337"/>
      <c r="AG224" s="1337"/>
      <c r="AH224" s="1229"/>
      <c r="AI224" s="1229" t="str">
        <f>IFERROR(__xludf.DUMMYFUNCTION("""COMPUTED_VALUE"""),"")</f>
        <v/>
      </c>
      <c r="AJ224" s="1229" t="str">
        <f>IFERROR(__xludf.DUMMYFUNCTION("""COMPUTED_VALUE"""),"")</f>
        <v/>
      </c>
      <c r="AK224" s="1229"/>
      <c r="AL224" s="1337"/>
      <c r="AM224" s="1337"/>
      <c r="AN224" s="1229"/>
      <c r="AO224" s="1229" t="str">
        <f>IFERROR(__xludf.DUMMYFUNCTION("""COMPUTED_VALUE"""),"")</f>
        <v/>
      </c>
      <c r="AP224" s="1229" t="str">
        <f>IFERROR(__xludf.DUMMYFUNCTION("""COMPUTED_VALUE"""),"")</f>
        <v/>
      </c>
      <c r="AQ224" s="1229"/>
      <c r="AR224" s="1337"/>
      <c r="AS224" s="1337"/>
      <c r="AT224" s="1229"/>
      <c r="AU224" s="1229" t="str">
        <f>IFERROR(__xludf.DUMMYFUNCTION("""COMPUTED_VALUE"""),"")</f>
        <v/>
      </c>
      <c r="AV224" s="1229" t="str">
        <f>IFERROR(__xludf.DUMMYFUNCTION("""COMPUTED_VALUE"""),"")</f>
        <v/>
      </c>
      <c r="AW224" s="1229"/>
      <c r="AX224" s="1337"/>
      <c r="AY224" s="1337"/>
      <c r="AZ224" s="1229"/>
      <c r="BA224" s="1229" t="str">
        <f>IFERROR(__xludf.DUMMYFUNCTION("""COMPUTED_VALUE"""),"")</f>
        <v/>
      </c>
      <c r="BB224" s="1229" t="str">
        <f>IFERROR(__xludf.DUMMYFUNCTION("""COMPUTED_VALUE"""),"")</f>
        <v/>
      </c>
      <c r="BC224" s="1229"/>
      <c r="BD224" s="1337"/>
      <c r="BE224" s="1337"/>
      <c r="BF224" s="1229"/>
      <c r="BG224" s="1229" t="str">
        <f>IFERROR(__xludf.DUMMYFUNCTION("""COMPUTED_VALUE"""),"")</f>
        <v/>
      </c>
      <c r="BH224" s="1229" t="str">
        <f>IFERROR(__xludf.DUMMYFUNCTION("""COMPUTED_VALUE"""),"")</f>
        <v/>
      </c>
      <c r="BI224" s="1222"/>
      <c r="BJ224" s="1338"/>
      <c r="BK224" s="1338"/>
      <c r="BL224" s="1222"/>
      <c r="BM224" s="1222" t="str">
        <f>IFERROR(__xludf.DUMMYFUNCTION("""COMPUTED_VALUE"""),"")</f>
        <v/>
      </c>
      <c r="BN224" s="1222"/>
      <c r="BO224" s="1222"/>
    </row>
    <row r="225">
      <c r="A225" s="1222"/>
      <c r="B225" s="1229"/>
      <c r="C225" s="1349"/>
      <c r="D225" s="1229"/>
      <c r="E225" s="1229"/>
      <c r="F225" s="1229"/>
      <c r="G225" s="1229"/>
      <c r="H225" s="1229"/>
      <c r="I225" s="1229"/>
      <c r="J225" s="1229"/>
      <c r="K225" s="1229"/>
      <c r="L225" s="1229"/>
      <c r="M225" s="1229"/>
      <c r="N225" s="1337"/>
      <c r="O225" s="1337"/>
      <c r="P225" s="1229"/>
      <c r="Q225" s="1229"/>
      <c r="R225" s="1229"/>
      <c r="S225" s="1229"/>
      <c r="T225" s="1337"/>
      <c r="U225" s="1337"/>
      <c r="V225" s="1229"/>
      <c r="W225" s="1229"/>
      <c r="X225" s="1229"/>
      <c r="Y225" s="1229"/>
      <c r="Z225" s="1337"/>
      <c r="AA225" s="1337"/>
      <c r="AB225" s="1229"/>
      <c r="AC225" s="1229"/>
      <c r="AD225" s="1229"/>
      <c r="AE225" s="1229"/>
      <c r="AF225" s="1337"/>
      <c r="AG225" s="1337"/>
      <c r="AH225" s="1229"/>
      <c r="AI225" s="1229"/>
      <c r="AJ225" s="1229"/>
      <c r="AK225" s="1229"/>
      <c r="AL225" s="1337"/>
      <c r="AM225" s="1337"/>
      <c r="AN225" s="1229"/>
      <c r="AO225" s="1229"/>
      <c r="AP225" s="1229"/>
      <c r="AQ225" s="1229"/>
      <c r="AR225" s="1337"/>
      <c r="AS225" s="1337"/>
      <c r="AT225" s="1229"/>
      <c r="AU225" s="1229"/>
      <c r="AV225" s="1229"/>
      <c r="AW225" s="1229"/>
      <c r="AX225" s="1337"/>
      <c r="AY225" s="1337"/>
      <c r="AZ225" s="1229"/>
      <c r="BA225" s="1229"/>
      <c r="BB225" s="1229"/>
      <c r="BC225" s="1229"/>
      <c r="BD225" s="1337"/>
      <c r="BE225" s="1337"/>
      <c r="BF225" s="1229"/>
      <c r="BG225" s="1229"/>
      <c r="BH225" s="1229"/>
      <c r="BI225" s="1222"/>
      <c r="BJ225" s="1338"/>
      <c r="BK225" s="1338"/>
      <c r="BL225" s="1222"/>
      <c r="BM225" s="1222"/>
      <c r="BN225" s="1222"/>
      <c r="BO225" s="1222"/>
    </row>
    <row r="226" ht="7.5" customHeight="1">
      <c r="A226" s="1222"/>
      <c r="B226" s="1229"/>
      <c r="C226" s="1349"/>
      <c r="D226" s="1229"/>
      <c r="E226" s="1229"/>
      <c r="F226" s="1229"/>
      <c r="G226" s="1229"/>
      <c r="H226" s="1229"/>
      <c r="I226" s="1229"/>
      <c r="J226" s="1229"/>
      <c r="K226" s="1229"/>
      <c r="L226" s="1229" t="str">
        <f>IFERROR(__xludf.DUMMYFUNCTION("""COMPUTED_VALUE"""),"")</f>
        <v/>
      </c>
      <c r="M226" s="1229"/>
      <c r="N226" s="1337"/>
      <c r="O226" s="1337"/>
      <c r="P226" s="1229"/>
      <c r="Q226" s="1229" t="str">
        <f>IFERROR(__xludf.DUMMYFUNCTION("""COMPUTED_VALUE"""),"")</f>
        <v/>
      </c>
      <c r="R226" s="1229" t="str">
        <f>IFERROR(__xludf.DUMMYFUNCTION("""COMPUTED_VALUE"""),"")</f>
        <v/>
      </c>
      <c r="S226" s="1229"/>
      <c r="T226" s="1337"/>
      <c r="U226" s="1337"/>
      <c r="V226" s="1229"/>
      <c r="W226" s="1229" t="str">
        <f>IFERROR(__xludf.DUMMYFUNCTION("""COMPUTED_VALUE"""),"")</f>
        <v/>
      </c>
      <c r="X226" s="1229" t="str">
        <f>IFERROR(__xludf.DUMMYFUNCTION("""COMPUTED_VALUE"""),"")</f>
        <v/>
      </c>
      <c r="Y226" s="1229"/>
      <c r="Z226" s="1337"/>
      <c r="AA226" s="1337"/>
      <c r="AB226" s="1229"/>
      <c r="AC226" s="1229" t="str">
        <f>IFERROR(__xludf.DUMMYFUNCTION("""COMPUTED_VALUE"""),"")</f>
        <v/>
      </c>
      <c r="AD226" s="1229" t="str">
        <f>IFERROR(__xludf.DUMMYFUNCTION("""COMPUTED_VALUE"""),"")</f>
        <v/>
      </c>
      <c r="AE226" s="1229"/>
      <c r="AF226" s="1337"/>
      <c r="AG226" s="1337"/>
      <c r="AH226" s="1229"/>
      <c r="AI226" s="1229" t="str">
        <f>IFERROR(__xludf.DUMMYFUNCTION("""COMPUTED_VALUE"""),"")</f>
        <v/>
      </c>
      <c r="AJ226" s="1229" t="str">
        <f>IFERROR(__xludf.DUMMYFUNCTION("""COMPUTED_VALUE"""),"")</f>
        <v/>
      </c>
      <c r="AK226" s="1229"/>
      <c r="AL226" s="1337"/>
      <c r="AM226" s="1337"/>
      <c r="AN226" s="1229"/>
      <c r="AO226" s="1229" t="str">
        <f>IFERROR(__xludf.DUMMYFUNCTION("""COMPUTED_VALUE"""),"")</f>
        <v/>
      </c>
      <c r="AP226" s="1229" t="str">
        <f>IFERROR(__xludf.DUMMYFUNCTION("""COMPUTED_VALUE"""),"")</f>
        <v/>
      </c>
      <c r="AQ226" s="1229"/>
      <c r="AR226" s="1337"/>
      <c r="AS226" s="1337"/>
      <c r="AT226" s="1229"/>
      <c r="AU226" s="1229" t="str">
        <f>IFERROR(__xludf.DUMMYFUNCTION("""COMPUTED_VALUE"""),"")</f>
        <v/>
      </c>
      <c r="AV226" s="1229" t="str">
        <f>IFERROR(__xludf.DUMMYFUNCTION("""COMPUTED_VALUE"""),"")</f>
        <v/>
      </c>
      <c r="AW226" s="1229"/>
      <c r="AX226" s="1337"/>
      <c r="AY226" s="1337"/>
      <c r="AZ226" s="1229"/>
      <c r="BA226" s="1229" t="str">
        <f>IFERROR(__xludf.DUMMYFUNCTION("""COMPUTED_VALUE"""),"")</f>
        <v/>
      </c>
      <c r="BB226" s="1229" t="str">
        <f>IFERROR(__xludf.DUMMYFUNCTION("""COMPUTED_VALUE"""),"")</f>
        <v/>
      </c>
      <c r="BC226" s="1229"/>
      <c r="BD226" s="1337"/>
      <c r="BE226" s="1337"/>
      <c r="BF226" s="1229"/>
      <c r="BG226" s="1229" t="str">
        <f>IFERROR(__xludf.DUMMYFUNCTION("""COMPUTED_VALUE"""),"")</f>
        <v/>
      </c>
      <c r="BH226" s="1229" t="str">
        <f>IFERROR(__xludf.DUMMYFUNCTION("""COMPUTED_VALUE"""),"")</f>
        <v/>
      </c>
      <c r="BI226" s="1222"/>
      <c r="BJ226" s="1338"/>
      <c r="BK226" s="1338"/>
      <c r="BL226" s="1222"/>
      <c r="BM226" s="1222" t="str">
        <f>IFERROR(__xludf.DUMMYFUNCTION("""COMPUTED_VALUE"""),"")</f>
        <v/>
      </c>
      <c r="BN226" s="1222"/>
      <c r="BO226" s="1222"/>
    </row>
    <row r="227">
      <c r="A227" s="1222"/>
      <c r="B227" s="1229"/>
      <c r="C227" s="1349"/>
      <c r="D227" s="1229"/>
      <c r="E227" s="1229"/>
      <c r="F227" s="1229"/>
      <c r="G227" s="1229"/>
      <c r="H227" s="1229"/>
      <c r="I227" s="1229"/>
      <c r="J227" s="1229"/>
      <c r="K227" s="1229"/>
      <c r="L227" s="1229"/>
      <c r="M227" s="1229"/>
      <c r="N227" s="1337"/>
      <c r="O227" s="1337"/>
      <c r="P227" s="1229"/>
      <c r="Q227" s="1229"/>
      <c r="R227" s="1229"/>
      <c r="S227" s="1229"/>
      <c r="T227" s="1337"/>
      <c r="U227" s="1337"/>
      <c r="V227" s="1229"/>
      <c r="W227" s="1229"/>
      <c r="X227" s="1229"/>
      <c r="Y227" s="1229"/>
      <c r="Z227" s="1337"/>
      <c r="AA227" s="1337"/>
      <c r="AB227" s="1229"/>
      <c r="AC227" s="1229"/>
      <c r="AD227" s="1229"/>
      <c r="AE227" s="1229"/>
      <c r="AF227" s="1337"/>
      <c r="AG227" s="1337"/>
      <c r="AH227" s="1229"/>
      <c r="AI227" s="1229"/>
      <c r="AJ227" s="1229"/>
      <c r="AK227" s="1229"/>
      <c r="AL227" s="1337"/>
      <c r="AM227" s="1337"/>
      <c r="AN227" s="1229"/>
      <c r="AO227" s="1229"/>
      <c r="AP227" s="1229"/>
      <c r="AQ227" s="1229"/>
      <c r="AR227" s="1337"/>
      <c r="AS227" s="1337"/>
      <c r="AT227" s="1229"/>
      <c r="AU227" s="1229"/>
      <c r="AV227" s="1229"/>
      <c r="AW227" s="1229"/>
      <c r="AX227" s="1337"/>
      <c r="AY227" s="1337"/>
      <c r="AZ227" s="1229"/>
      <c r="BA227" s="1229"/>
      <c r="BB227" s="1229"/>
      <c r="BC227" s="1229"/>
      <c r="BD227" s="1337"/>
      <c r="BE227" s="1337"/>
      <c r="BF227" s="1229"/>
      <c r="BG227" s="1229"/>
      <c r="BH227" s="1229"/>
      <c r="BI227" s="1222"/>
      <c r="BJ227" s="1338"/>
      <c r="BK227" s="1338"/>
      <c r="BL227" s="1222"/>
      <c r="BM227" s="1222"/>
      <c r="BN227" s="1222"/>
      <c r="BO227" s="1222"/>
    </row>
    <row r="228" ht="7.5" customHeight="1">
      <c r="A228" s="1222"/>
      <c r="B228" s="1229"/>
      <c r="C228" s="1349"/>
      <c r="D228" s="1229"/>
      <c r="E228" s="1229"/>
      <c r="F228" s="1229"/>
      <c r="G228" s="1229"/>
      <c r="H228" s="1229"/>
      <c r="I228" s="1229"/>
      <c r="J228" s="1229"/>
      <c r="K228" s="1229"/>
      <c r="L228" s="1229" t="str">
        <f>IFERROR(__xludf.DUMMYFUNCTION("""COMPUTED_VALUE"""),"")</f>
        <v/>
      </c>
      <c r="M228" s="1229"/>
      <c r="N228" s="1337"/>
      <c r="O228" s="1337"/>
      <c r="P228" s="1229"/>
      <c r="Q228" s="1229" t="str">
        <f>IFERROR(__xludf.DUMMYFUNCTION("""COMPUTED_VALUE"""),"")</f>
        <v/>
      </c>
      <c r="R228" s="1229" t="str">
        <f>IFERROR(__xludf.DUMMYFUNCTION("""COMPUTED_VALUE"""),"")</f>
        <v/>
      </c>
      <c r="S228" s="1229"/>
      <c r="T228" s="1337"/>
      <c r="U228" s="1337"/>
      <c r="V228" s="1229"/>
      <c r="W228" s="1229" t="str">
        <f>IFERROR(__xludf.DUMMYFUNCTION("""COMPUTED_VALUE"""),"")</f>
        <v/>
      </c>
      <c r="X228" s="1229" t="str">
        <f>IFERROR(__xludf.DUMMYFUNCTION("""COMPUTED_VALUE"""),"")</f>
        <v/>
      </c>
      <c r="Y228" s="1229"/>
      <c r="Z228" s="1337"/>
      <c r="AA228" s="1337"/>
      <c r="AB228" s="1229"/>
      <c r="AC228" s="1229" t="str">
        <f>IFERROR(__xludf.DUMMYFUNCTION("""COMPUTED_VALUE"""),"")</f>
        <v/>
      </c>
      <c r="AD228" s="1229" t="str">
        <f>IFERROR(__xludf.DUMMYFUNCTION("""COMPUTED_VALUE"""),"")</f>
        <v/>
      </c>
      <c r="AE228" s="1229"/>
      <c r="AF228" s="1337"/>
      <c r="AG228" s="1337"/>
      <c r="AH228" s="1229"/>
      <c r="AI228" s="1229" t="str">
        <f>IFERROR(__xludf.DUMMYFUNCTION("""COMPUTED_VALUE"""),"")</f>
        <v/>
      </c>
      <c r="AJ228" s="1229" t="str">
        <f>IFERROR(__xludf.DUMMYFUNCTION("""COMPUTED_VALUE"""),"")</f>
        <v/>
      </c>
      <c r="AK228" s="1229"/>
      <c r="AL228" s="1337"/>
      <c r="AM228" s="1337"/>
      <c r="AN228" s="1229"/>
      <c r="AO228" s="1229" t="str">
        <f>IFERROR(__xludf.DUMMYFUNCTION("""COMPUTED_VALUE"""),"")</f>
        <v/>
      </c>
      <c r="AP228" s="1229" t="str">
        <f>IFERROR(__xludf.DUMMYFUNCTION("""COMPUTED_VALUE"""),"")</f>
        <v/>
      </c>
      <c r="AQ228" s="1229"/>
      <c r="AR228" s="1337"/>
      <c r="AS228" s="1337"/>
      <c r="AT228" s="1229"/>
      <c r="AU228" s="1229" t="str">
        <f>IFERROR(__xludf.DUMMYFUNCTION("""COMPUTED_VALUE"""),"")</f>
        <v/>
      </c>
      <c r="AV228" s="1229" t="str">
        <f>IFERROR(__xludf.DUMMYFUNCTION("""COMPUTED_VALUE"""),"")</f>
        <v/>
      </c>
      <c r="AW228" s="1229"/>
      <c r="AX228" s="1337"/>
      <c r="AY228" s="1337"/>
      <c r="AZ228" s="1229"/>
      <c r="BA228" s="1229" t="str">
        <f>IFERROR(__xludf.DUMMYFUNCTION("""COMPUTED_VALUE"""),"")</f>
        <v/>
      </c>
      <c r="BB228" s="1229" t="str">
        <f>IFERROR(__xludf.DUMMYFUNCTION("""COMPUTED_VALUE"""),"")</f>
        <v/>
      </c>
      <c r="BC228" s="1229"/>
      <c r="BD228" s="1337"/>
      <c r="BE228" s="1337"/>
      <c r="BF228" s="1229"/>
      <c r="BG228" s="1229" t="str">
        <f>IFERROR(__xludf.DUMMYFUNCTION("""COMPUTED_VALUE"""),"")</f>
        <v/>
      </c>
      <c r="BH228" s="1229" t="str">
        <f>IFERROR(__xludf.DUMMYFUNCTION("""COMPUTED_VALUE"""),"")</f>
        <v/>
      </c>
      <c r="BI228" s="1222"/>
      <c r="BJ228" s="1338"/>
      <c r="BK228" s="1338"/>
      <c r="BL228" s="1222"/>
      <c r="BM228" s="1222" t="str">
        <f>IFERROR(__xludf.DUMMYFUNCTION("""COMPUTED_VALUE"""),"")</f>
        <v/>
      </c>
      <c r="BN228" s="1222"/>
      <c r="BO228" s="1222"/>
    </row>
    <row r="229">
      <c r="A229" s="1222"/>
      <c r="B229" s="1229"/>
      <c r="C229" s="1349"/>
      <c r="D229" s="1229"/>
      <c r="E229" s="1229"/>
      <c r="F229" s="1229"/>
      <c r="G229" s="1229"/>
      <c r="H229" s="1229"/>
      <c r="I229" s="1229"/>
      <c r="J229" s="1229"/>
      <c r="K229" s="1229"/>
      <c r="L229" s="1229"/>
      <c r="M229" s="1229"/>
      <c r="N229" s="1337"/>
      <c r="O229" s="1337"/>
      <c r="P229" s="1229"/>
      <c r="Q229" s="1229"/>
      <c r="R229" s="1229"/>
      <c r="S229" s="1229"/>
      <c r="T229" s="1337"/>
      <c r="U229" s="1337"/>
      <c r="V229" s="1229"/>
      <c r="W229" s="1229"/>
      <c r="X229" s="1229"/>
      <c r="Y229" s="1229"/>
      <c r="Z229" s="1337"/>
      <c r="AA229" s="1337"/>
      <c r="AB229" s="1229"/>
      <c r="AC229" s="1229"/>
      <c r="AD229" s="1229"/>
      <c r="AE229" s="1229"/>
      <c r="AF229" s="1337"/>
      <c r="AG229" s="1337"/>
      <c r="AH229" s="1229"/>
      <c r="AI229" s="1229"/>
      <c r="AJ229" s="1229"/>
      <c r="AK229" s="1229"/>
      <c r="AL229" s="1337"/>
      <c r="AM229" s="1337"/>
      <c r="AN229" s="1229"/>
      <c r="AO229" s="1229"/>
      <c r="AP229" s="1229"/>
      <c r="AQ229" s="1229"/>
      <c r="AR229" s="1337"/>
      <c r="AS229" s="1337"/>
      <c r="AT229" s="1229"/>
      <c r="AU229" s="1229"/>
      <c r="AV229" s="1229"/>
      <c r="AW229" s="1229"/>
      <c r="AX229" s="1337"/>
      <c r="AY229" s="1337"/>
      <c r="AZ229" s="1229"/>
      <c r="BA229" s="1229"/>
      <c r="BB229" s="1229"/>
      <c r="BC229" s="1229"/>
      <c r="BD229" s="1337"/>
      <c r="BE229" s="1337"/>
      <c r="BF229" s="1229"/>
      <c r="BG229" s="1229"/>
      <c r="BH229" s="1229"/>
      <c r="BI229" s="1222"/>
      <c r="BJ229" s="1338"/>
      <c r="BK229" s="1338"/>
      <c r="BL229" s="1222"/>
      <c r="BM229" s="1222"/>
      <c r="BN229" s="1222"/>
      <c r="BO229" s="1222"/>
    </row>
    <row r="230" ht="7.5" customHeight="1">
      <c r="A230" s="1222"/>
      <c r="B230" s="1229"/>
      <c r="C230" s="1349"/>
      <c r="D230" s="1229"/>
      <c r="E230" s="1229"/>
      <c r="F230" s="1229"/>
      <c r="G230" s="1229"/>
      <c r="H230" s="1229"/>
      <c r="I230" s="1229"/>
      <c r="J230" s="1229"/>
      <c r="K230" s="1229"/>
      <c r="L230" s="1229" t="str">
        <f>IFERROR(__xludf.DUMMYFUNCTION("""COMPUTED_VALUE"""),"")</f>
        <v/>
      </c>
      <c r="M230" s="1229"/>
      <c r="N230" s="1337"/>
      <c r="O230" s="1337"/>
      <c r="P230" s="1229"/>
      <c r="Q230" s="1229" t="str">
        <f>IFERROR(__xludf.DUMMYFUNCTION("""COMPUTED_VALUE"""),"")</f>
        <v/>
      </c>
      <c r="R230" s="1229" t="str">
        <f>IFERROR(__xludf.DUMMYFUNCTION("""COMPUTED_VALUE"""),"")</f>
        <v/>
      </c>
      <c r="S230" s="1229"/>
      <c r="T230" s="1337"/>
      <c r="U230" s="1337"/>
      <c r="V230" s="1229"/>
      <c r="W230" s="1229" t="str">
        <f>IFERROR(__xludf.DUMMYFUNCTION("""COMPUTED_VALUE"""),"")</f>
        <v/>
      </c>
      <c r="X230" s="1229" t="str">
        <f>IFERROR(__xludf.DUMMYFUNCTION("""COMPUTED_VALUE"""),"")</f>
        <v/>
      </c>
      <c r="Y230" s="1229"/>
      <c r="Z230" s="1337"/>
      <c r="AA230" s="1337"/>
      <c r="AB230" s="1229"/>
      <c r="AC230" s="1229" t="str">
        <f>IFERROR(__xludf.DUMMYFUNCTION("""COMPUTED_VALUE"""),"")</f>
        <v/>
      </c>
      <c r="AD230" s="1229" t="str">
        <f>IFERROR(__xludf.DUMMYFUNCTION("""COMPUTED_VALUE"""),"")</f>
        <v/>
      </c>
      <c r="AE230" s="1229"/>
      <c r="AF230" s="1337"/>
      <c r="AG230" s="1337"/>
      <c r="AH230" s="1229"/>
      <c r="AI230" s="1229" t="str">
        <f>IFERROR(__xludf.DUMMYFUNCTION("""COMPUTED_VALUE"""),"")</f>
        <v/>
      </c>
      <c r="AJ230" s="1229" t="str">
        <f>IFERROR(__xludf.DUMMYFUNCTION("""COMPUTED_VALUE"""),"")</f>
        <v/>
      </c>
      <c r="AK230" s="1229"/>
      <c r="AL230" s="1337"/>
      <c r="AM230" s="1337"/>
      <c r="AN230" s="1229"/>
      <c r="AO230" s="1229" t="str">
        <f>IFERROR(__xludf.DUMMYFUNCTION("""COMPUTED_VALUE"""),"")</f>
        <v/>
      </c>
      <c r="AP230" s="1229" t="str">
        <f>IFERROR(__xludf.DUMMYFUNCTION("""COMPUTED_VALUE"""),"")</f>
        <v/>
      </c>
      <c r="AQ230" s="1229"/>
      <c r="AR230" s="1337"/>
      <c r="AS230" s="1337"/>
      <c r="AT230" s="1229"/>
      <c r="AU230" s="1229" t="str">
        <f>IFERROR(__xludf.DUMMYFUNCTION("""COMPUTED_VALUE"""),"")</f>
        <v/>
      </c>
      <c r="AV230" s="1229" t="str">
        <f>IFERROR(__xludf.DUMMYFUNCTION("""COMPUTED_VALUE"""),"")</f>
        <v/>
      </c>
      <c r="AW230" s="1229"/>
      <c r="AX230" s="1337"/>
      <c r="AY230" s="1337"/>
      <c r="AZ230" s="1229"/>
      <c r="BA230" s="1229" t="str">
        <f>IFERROR(__xludf.DUMMYFUNCTION("""COMPUTED_VALUE"""),"")</f>
        <v/>
      </c>
      <c r="BB230" s="1229" t="str">
        <f>IFERROR(__xludf.DUMMYFUNCTION("""COMPUTED_VALUE"""),"")</f>
        <v/>
      </c>
      <c r="BC230" s="1229"/>
      <c r="BD230" s="1337"/>
      <c r="BE230" s="1337"/>
      <c r="BF230" s="1229"/>
      <c r="BG230" s="1229" t="str">
        <f>IFERROR(__xludf.DUMMYFUNCTION("""COMPUTED_VALUE"""),"")</f>
        <v/>
      </c>
      <c r="BH230" s="1229" t="str">
        <f>IFERROR(__xludf.DUMMYFUNCTION("""COMPUTED_VALUE"""),"")</f>
        <v/>
      </c>
      <c r="BI230" s="1222"/>
      <c r="BJ230" s="1338"/>
      <c r="BK230" s="1338"/>
      <c r="BL230" s="1222"/>
      <c r="BM230" s="1222" t="str">
        <f>IFERROR(__xludf.DUMMYFUNCTION("""COMPUTED_VALUE"""),"")</f>
        <v/>
      </c>
      <c r="BN230" s="1222"/>
      <c r="BO230" s="1222"/>
    </row>
    <row r="231">
      <c r="A231" s="1222"/>
      <c r="B231" s="1229"/>
      <c r="C231" s="1349"/>
      <c r="D231" s="1229"/>
      <c r="E231" s="1229"/>
      <c r="F231" s="1229"/>
      <c r="G231" s="1229"/>
      <c r="H231" s="1229"/>
      <c r="I231" s="1229"/>
      <c r="J231" s="1229"/>
      <c r="K231" s="1229"/>
      <c r="L231" s="1229"/>
      <c r="M231" s="1229"/>
      <c r="N231" s="1337"/>
      <c r="O231" s="1337"/>
      <c r="P231" s="1229"/>
      <c r="Q231" s="1229"/>
      <c r="R231" s="1229"/>
      <c r="S231" s="1229"/>
      <c r="T231" s="1337"/>
      <c r="U231" s="1337"/>
      <c r="V231" s="1229"/>
      <c r="W231" s="1229"/>
      <c r="X231" s="1229"/>
      <c r="Y231" s="1229"/>
      <c r="Z231" s="1337"/>
      <c r="AA231" s="1337"/>
      <c r="AB231" s="1229"/>
      <c r="AC231" s="1229"/>
      <c r="AD231" s="1229"/>
      <c r="AE231" s="1229"/>
      <c r="AF231" s="1337"/>
      <c r="AG231" s="1337"/>
      <c r="AH231" s="1229"/>
      <c r="AI231" s="1229"/>
      <c r="AJ231" s="1229"/>
      <c r="AK231" s="1229"/>
      <c r="AL231" s="1337"/>
      <c r="AM231" s="1337"/>
      <c r="AN231" s="1229"/>
      <c r="AO231" s="1229"/>
      <c r="AP231" s="1229"/>
      <c r="AQ231" s="1229"/>
      <c r="AR231" s="1337"/>
      <c r="AS231" s="1337"/>
      <c r="AT231" s="1229"/>
      <c r="AU231" s="1229"/>
      <c r="AV231" s="1229"/>
      <c r="AW231" s="1229"/>
      <c r="AX231" s="1337"/>
      <c r="AY231" s="1337"/>
      <c r="AZ231" s="1229"/>
      <c r="BA231" s="1229"/>
      <c r="BB231" s="1229"/>
      <c r="BC231" s="1229"/>
      <c r="BD231" s="1337"/>
      <c r="BE231" s="1337"/>
      <c r="BF231" s="1229"/>
      <c r="BG231" s="1229"/>
      <c r="BH231" s="1229"/>
      <c r="BI231" s="1222"/>
      <c r="BJ231" s="1338"/>
      <c r="BK231" s="1338"/>
      <c r="BL231" s="1222"/>
      <c r="BM231" s="1222"/>
      <c r="BN231" s="1222"/>
      <c r="BO231" s="1222"/>
    </row>
    <row r="232" ht="7.5" customHeight="1">
      <c r="A232" s="1222"/>
      <c r="B232" s="1229"/>
      <c r="C232" s="1349"/>
      <c r="D232" s="1229"/>
      <c r="E232" s="1229"/>
      <c r="F232" s="1229"/>
      <c r="G232" s="1229"/>
      <c r="H232" s="1229"/>
      <c r="I232" s="1229"/>
      <c r="J232" s="1229"/>
      <c r="K232" s="1229"/>
      <c r="L232" s="1229" t="str">
        <f>IFERROR(__xludf.DUMMYFUNCTION("""COMPUTED_VALUE"""),"")</f>
        <v/>
      </c>
      <c r="M232" s="1229"/>
      <c r="N232" s="1337"/>
      <c r="O232" s="1337"/>
      <c r="P232" s="1229"/>
      <c r="Q232" s="1229" t="str">
        <f>IFERROR(__xludf.DUMMYFUNCTION("""COMPUTED_VALUE"""),"")</f>
        <v/>
      </c>
      <c r="R232" s="1229" t="str">
        <f>IFERROR(__xludf.DUMMYFUNCTION("""COMPUTED_VALUE"""),"")</f>
        <v/>
      </c>
      <c r="S232" s="1229"/>
      <c r="T232" s="1337"/>
      <c r="U232" s="1337"/>
      <c r="V232" s="1229"/>
      <c r="W232" s="1229" t="str">
        <f>IFERROR(__xludf.DUMMYFUNCTION("""COMPUTED_VALUE"""),"")</f>
        <v/>
      </c>
      <c r="X232" s="1229" t="str">
        <f>IFERROR(__xludf.DUMMYFUNCTION("""COMPUTED_VALUE"""),"")</f>
        <v/>
      </c>
      <c r="Y232" s="1229"/>
      <c r="Z232" s="1337"/>
      <c r="AA232" s="1337"/>
      <c r="AB232" s="1229"/>
      <c r="AC232" s="1229" t="str">
        <f>IFERROR(__xludf.DUMMYFUNCTION("""COMPUTED_VALUE"""),"")</f>
        <v/>
      </c>
      <c r="AD232" s="1229" t="str">
        <f>IFERROR(__xludf.DUMMYFUNCTION("""COMPUTED_VALUE"""),"")</f>
        <v/>
      </c>
      <c r="AE232" s="1229"/>
      <c r="AF232" s="1337"/>
      <c r="AG232" s="1337"/>
      <c r="AH232" s="1229"/>
      <c r="AI232" s="1229" t="str">
        <f>IFERROR(__xludf.DUMMYFUNCTION("""COMPUTED_VALUE"""),"")</f>
        <v/>
      </c>
      <c r="AJ232" s="1229" t="str">
        <f>IFERROR(__xludf.DUMMYFUNCTION("""COMPUTED_VALUE"""),"")</f>
        <v/>
      </c>
      <c r="AK232" s="1229"/>
      <c r="AL232" s="1337"/>
      <c r="AM232" s="1337"/>
      <c r="AN232" s="1229"/>
      <c r="AO232" s="1229" t="str">
        <f>IFERROR(__xludf.DUMMYFUNCTION("""COMPUTED_VALUE"""),"")</f>
        <v/>
      </c>
      <c r="AP232" s="1229" t="str">
        <f>IFERROR(__xludf.DUMMYFUNCTION("""COMPUTED_VALUE"""),"")</f>
        <v/>
      </c>
      <c r="AQ232" s="1229"/>
      <c r="AR232" s="1337"/>
      <c r="AS232" s="1337"/>
      <c r="AT232" s="1229"/>
      <c r="AU232" s="1229" t="str">
        <f>IFERROR(__xludf.DUMMYFUNCTION("""COMPUTED_VALUE"""),"")</f>
        <v/>
      </c>
      <c r="AV232" s="1229" t="str">
        <f>IFERROR(__xludf.DUMMYFUNCTION("""COMPUTED_VALUE"""),"")</f>
        <v/>
      </c>
      <c r="AW232" s="1229"/>
      <c r="AX232" s="1337"/>
      <c r="AY232" s="1337"/>
      <c r="AZ232" s="1229"/>
      <c r="BA232" s="1229" t="str">
        <f>IFERROR(__xludf.DUMMYFUNCTION("""COMPUTED_VALUE"""),"")</f>
        <v/>
      </c>
      <c r="BB232" s="1229" t="str">
        <f>IFERROR(__xludf.DUMMYFUNCTION("""COMPUTED_VALUE"""),"")</f>
        <v/>
      </c>
      <c r="BC232" s="1229"/>
      <c r="BD232" s="1337"/>
      <c r="BE232" s="1337"/>
      <c r="BF232" s="1229"/>
      <c r="BG232" s="1229" t="str">
        <f>IFERROR(__xludf.DUMMYFUNCTION("""COMPUTED_VALUE"""),"")</f>
        <v/>
      </c>
      <c r="BH232" s="1229" t="str">
        <f>IFERROR(__xludf.DUMMYFUNCTION("""COMPUTED_VALUE"""),"")</f>
        <v/>
      </c>
      <c r="BI232" s="1222"/>
      <c r="BJ232" s="1338"/>
      <c r="BK232" s="1338"/>
      <c r="BL232" s="1222"/>
      <c r="BM232" s="1222" t="str">
        <f>IFERROR(__xludf.DUMMYFUNCTION("""COMPUTED_VALUE"""),"")</f>
        <v/>
      </c>
      <c r="BN232" s="1222"/>
      <c r="BO232" s="1222"/>
    </row>
    <row r="233">
      <c r="A233" s="1222"/>
      <c r="B233" s="1229"/>
      <c r="C233" s="1349"/>
      <c r="D233" s="1229"/>
      <c r="E233" s="1229"/>
      <c r="F233" s="1229"/>
      <c r="G233" s="1229"/>
      <c r="H233" s="1229"/>
      <c r="I233" s="1229"/>
      <c r="J233" s="1229"/>
      <c r="K233" s="1229"/>
      <c r="L233" s="1229"/>
      <c r="M233" s="1229"/>
      <c r="N233" s="1337"/>
      <c r="O233" s="1337"/>
      <c r="P233" s="1229"/>
      <c r="Q233" s="1229"/>
      <c r="R233" s="1229"/>
      <c r="S233" s="1229"/>
      <c r="T233" s="1337"/>
      <c r="U233" s="1337"/>
      <c r="V233" s="1229"/>
      <c r="W233" s="1229"/>
      <c r="X233" s="1229"/>
      <c r="Y233" s="1229"/>
      <c r="Z233" s="1337"/>
      <c r="AA233" s="1337"/>
      <c r="AB233" s="1229"/>
      <c r="AC233" s="1229"/>
      <c r="AD233" s="1229"/>
      <c r="AE233" s="1229"/>
      <c r="AF233" s="1337"/>
      <c r="AG233" s="1337"/>
      <c r="AH233" s="1229"/>
      <c r="AI233" s="1229"/>
      <c r="AJ233" s="1229"/>
      <c r="AK233" s="1229"/>
      <c r="AL233" s="1337"/>
      <c r="AM233" s="1337"/>
      <c r="AN233" s="1229"/>
      <c r="AO233" s="1229"/>
      <c r="AP233" s="1229"/>
      <c r="AQ233" s="1229"/>
      <c r="AR233" s="1337"/>
      <c r="AS233" s="1337"/>
      <c r="AT233" s="1229"/>
      <c r="AU233" s="1229"/>
      <c r="AV233" s="1229"/>
      <c r="AW233" s="1229"/>
      <c r="AX233" s="1337"/>
      <c r="AY233" s="1337"/>
      <c r="AZ233" s="1229"/>
      <c r="BA233" s="1229"/>
      <c r="BB233" s="1229"/>
      <c r="BC233" s="1229"/>
      <c r="BD233" s="1337"/>
      <c r="BE233" s="1337"/>
      <c r="BF233" s="1229"/>
      <c r="BG233" s="1229"/>
      <c r="BH233" s="1229"/>
      <c r="BI233" s="1222"/>
      <c r="BJ233" s="1338"/>
      <c r="BK233" s="1338"/>
      <c r="BL233" s="1222"/>
      <c r="BM233" s="1222"/>
      <c r="BN233" s="1222"/>
      <c r="BO233" s="1222"/>
    </row>
    <row r="234" ht="7.5" customHeight="1">
      <c r="A234" s="1222"/>
      <c r="B234" s="1229"/>
      <c r="C234" s="1349"/>
      <c r="D234" s="1229"/>
      <c r="E234" s="1229"/>
      <c r="F234" s="1229"/>
      <c r="G234" s="1229"/>
      <c r="H234" s="1229"/>
      <c r="I234" s="1229"/>
      <c r="J234" s="1229"/>
      <c r="K234" s="1229"/>
      <c r="L234" s="1229" t="str">
        <f>IFERROR(__xludf.DUMMYFUNCTION("""COMPUTED_VALUE"""),"")</f>
        <v/>
      </c>
      <c r="M234" s="1229"/>
      <c r="N234" s="1337"/>
      <c r="O234" s="1337"/>
      <c r="P234" s="1229"/>
      <c r="Q234" s="1229" t="str">
        <f>IFERROR(__xludf.DUMMYFUNCTION("""COMPUTED_VALUE"""),"")</f>
        <v/>
      </c>
      <c r="R234" s="1229" t="str">
        <f>IFERROR(__xludf.DUMMYFUNCTION("""COMPUTED_VALUE"""),"")</f>
        <v/>
      </c>
      <c r="S234" s="1229"/>
      <c r="T234" s="1337"/>
      <c r="U234" s="1337"/>
      <c r="V234" s="1229"/>
      <c r="W234" s="1229" t="str">
        <f>IFERROR(__xludf.DUMMYFUNCTION("""COMPUTED_VALUE"""),"")</f>
        <v/>
      </c>
      <c r="X234" s="1229" t="str">
        <f>IFERROR(__xludf.DUMMYFUNCTION("""COMPUTED_VALUE"""),"")</f>
        <v/>
      </c>
      <c r="Y234" s="1229"/>
      <c r="Z234" s="1337"/>
      <c r="AA234" s="1337"/>
      <c r="AB234" s="1229"/>
      <c r="AC234" s="1229" t="str">
        <f>IFERROR(__xludf.DUMMYFUNCTION("""COMPUTED_VALUE"""),"")</f>
        <v/>
      </c>
      <c r="AD234" s="1229" t="str">
        <f>IFERROR(__xludf.DUMMYFUNCTION("""COMPUTED_VALUE"""),"")</f>
        <v/>
      </c>
      <c r="AE234" s="1229"/>
      <c r="AF234" s="1337"/>
      <c r="AG234" s="1337"/>
      <c r="AH234" s="1229"/>
      <c r="AI234" s="1229" t="str">
        <f>IFERROR(__xludf.DUMMYFUNCTION("""COMPUTED_VALUE"""),"")</f>
        <v/>
      </c>
      <c r="AJ234" s="1229" t="str">
        <f>IFERROR(__xludf.DUMMYFUNCTION("""COMPUTED_VALUE"""),"")</f>
        <v/>
      </c>
      <c r="AK234" s="1229"/>
      <c r="AL234" s="1337"/>
      <c r="AM234" s="1337"/>
      <c r="AN234" s="1229"/>
      <c r="AO234" s="1229" t="str">
        <f>IFERROR(__xludf.DUMMYFUNCTION("""COMPUTED_VALUE"""),"")</f>
        <v/>
      </c>
      <c r="AP234" s="1229" t="str">
        <f>IFERROR(__xludf.DUMMYFUNCTION("""COMPUTED_VALUE"""),"")</f>
        <v/>
      </c>
      <c r="AQ234" s="1229"/>
      <c r="AR234" s="1337"/>
      <c r="AS234" s="1337"/>
      <c r="AT234" s="1229"/>
      <c r="AU234" s="1229" t="str">
        <f>IFERROR(__xludf.DUMMYFUNCTION("""COMPUTED_VALUE"""),"")</f>
        <v/>
      </c>
      <c r="AV234" s="1229" t="str">
        <f>IFERROR(__xludf.DUMMYFUNCTION("""COMPUTED_VALUE"""),"")</f>
        <v/>
      </c>
      <c r="AW234" s="1229"/>
      <c r="AX234" s="1337"/>
      <c r="AY234" s="1337"/>
      <c r="AZ234" s="1229"/>
      <c r="BA234" s="1229" t="str">
        <f>IFERROR(__xludf.DUMMYFUNCTION("""COMPUTED_VALUE"""),"")</f>
        <v/>
      </c>
      <c r="BB234" s="1229" t="str">
        <f>IFERROR(__xludf.DUMMYFUNCTION("""COMPUTED_VALUE"""),"")</f>
        <v/>
      </c>
      <c r="BC234" s="1229"/>
      <c r="BD234" s="1337"/>
      <c r="BE234" s="1337"/>
      <c r="BF234" s="1229"/>
      <c r="BG234" s="1229" t="str">
        <f>IFERROR(__xludf.DUMMYFUNCTION("""COMPUTED_VALUE"""),"")</f>
        <v/>
      </c>
      <c r="BH234" s="1229" t="str">
        <f>IFERROR(__xludf.DUMMYFUNCTION("""COMPUTED_VALUE"""),"")</f>
        <v/>
      </c>
      <c r="BI234" s="1222"/>
      <c r="BJ234" s="1338"/>
      <c r="BK234" s="1338"/>
      <c r="BL234" s="1222"/>
      <c r="BM234" s="1222" t="str">
        <f>IFERROR(__xludf.DUMMYFUNCTION("""COMPUTED_VALUE"""),"")</f>
        <v/>
      </c>
      <c r="BN234" s="1222"/>
      <c r="BO234" s="1222"/>
    </row>
    <row r="235">
      <c r="A235" s="1222"/>
      <c r="B235" s="1229"/>
      <c r="C235" s="1349"/>
      <c r="D235" s="1229"/>
      <c r="E235" s="1229"/>
      <c r="F235" s="1229"/>
      <c r="G235" s="1229"/>
      <c r="H235" s="1229"/>
      <c r="I235" s="1229"/>
      <c r="J235" s="1229"/>
      <c r="K235" s="1229"/>
      <c r="L235" s="1229"/>
      <c r="M235" s="1229"/>
      <c r="N235" s="1337"/>
      <c r="O235" s="1337"/>
      <c r="P235" s="1229"/>
      <c r="Q235" s="1229"/>
      <c r="R235" s="1229"/>
      <c r="S235" s="1229"/>
      <c r="T235" s="1337"/>
      <c r="U235" s="1337"/>
      <c r="V235" s="1229"/>
      <c r="W235" s="1229"/>
      <c r="X235" s="1229"/>
      <c r="Y235" s="1229"/>
      <c r="Z235" s="1337"/>
      <c r="AA235" s="1337"/>
      <c r="AB235" s="1229"/>
      <c r="AC235" s="1229"/>
      <c r="AD235" s="1229"/>
      <c r="AE235" s="1229"/>
      <c r="AF235" s="1337"/>
      <c r="AG235" s="1337"/>
      <c r="AH235" s="1229"/>
      <c r="AI235" s="1229"/>
      <c r="AJ235" s="1229"/>
      <c r="AK235" s="1229"/>
      <c r="AL235" s="1337"/>
      <c r="AM235" s="1337"/>
      <c r="AN235" s="1229"/>
      <c r="AO235" s="1229"/>
      <c r="AP235" s="1229"/>
      <c r="AQ235" s="1229"/>
      <c r="AR235" s="1337"/>
      <c r="AS235" s="1337"/>
      <c r="AT235" s="1229"/>
      <c r="AU235" s="1229"/>
      <c r="AV235" s="1229"/>
      <c r="AW235" s="1229"/>
      <c r="AX235" s="1337"/>
      <c r="AY235" s="1337"/>
      <c r="AZ235" s="1229"/>
      <c r="BA235" s="1229"/>
      <c r="BB235" s="1229"/>
      <c r="BC235" s="1229"/>
      <c r="BD235" s="1337"/>
      <c r="BE235" s="1337"/>
      <c r="BF235" s="1229"/>
      <c r="BG235" s="1229"/>
      <c r="BH235" s="1229"/>
      <c r="BI235" s="1222"/>
      <c r="BJ235" s="1338"/>
      <c r="BK235" s="1338"/>
      <c r="BL235" s="1222"/>
      <c r="BM235" s="1222"/>
      <c r="BN235" s="1222"/>
      <c r="BO235" s="1222"/>
    </row>
    <row r="236" ht="7.5" customHeight="1">
      <c r="A236" s="1222"/>
      <c r="B236" s="1229"/>
      <c r="C236" s="1349"/>
      <c r="D236" s="1229"/>
      <c r="E236" s="1229"/>
      <c r="F236" s="1229"/>
      <c r="G236" s="1229"/>
      <c r="H236" s="1229"/>
      <c r="I236" s="1229"/>
      <c r="J236" s="1229"/>
      <c r="K236" s="1229"/>
      <c r="L236" s="1229" t="str">
        <f>IFERROR(__xludf.DUMMYFUNCTION("""COMPUTED_VALUE"""),"")</f>
        <v/>
      </c>
      <c r="M236" s="1229"/>
      <c r="N236" s="1337"/>
      <c r="O236" s="1337"/>
      <c r="P236" s="1229"/>
      <c r="Q236" s="1229" t="str">
        <f>IFERROR(__xludf.DUMMYFUNCTION("""COMPUTED_VALUE"""),"")</f>
        <v/>
      </c>
      <c r="R236" s="1229" t="str">
        <f>IFERROR(__xludf.DUMMYFUNCTION("""COMPUTED_VALUE"""),"")</f>
        <v/>
      </c>
      <c r="S236" s="1229"/>
      <c r="T236" s="1337"/>
      <c r="U236" s="1337"/>
      <c r="V236" s="1229"/>
      <c r="W236" s="1229" t="str">
        <f>IFERROR(__xludf.DUMMYFUNCTION("""COMPUTED_VALUE"""),"")</f>
        <v/>
      </c>
      <c r="X236" s="1229" t="str">
        <f>IFERROR(__xludf.DUMMYFUNCTION("""COMPUTED_VALUE"""),"")</f>
        <v/>
      </c>
      <c r="Y236" s="1229"/>
      <c r="Z236" s="1337"/>
      <c r="AA236" s="1337"/>
      <c r="AB236" s="1229"/>
      <c r="AC236" s="1229" t="str">
        <f>IFERROR(__xludf.DUMMYFUNCTION("""COMPUTED_VALUE"""),"")</f>
        <v/>
      </c>
      <c r="AD236" s="1229" t="str">
        <f>IFERROR(__xludf.DUMMYFUNCTION("""COMPUTED_VALUE"""),"")</f>
        <v/>
      </c>
      <c r="AE236" s="1229"/>
      <c r="AF236" s="1337"/>
      <c r="AG236" s="1337"/>
      <c r="AH236" s="1229"/>
      <c r="AI236" s="1229" t="str">
        <f>IFERROR(__xludf.DUMMYFUNCTION("""COMPUTED_VALUE"""),"")</f>
        <v/>
      </c>
      <c r="AJ236" s="1229" t="str">
        <f>IFERROR(__xludf.DUMMYFUNCTION("""COMPUTED_VALUE"""),"")</f>
        <v/>
      </c>
      <c r="AK236" s="1229"/>
      <c r="AL236" s="1337"/>
      <c r="AM236" s="1337"/>
      <c r="AN236" s="1229"/>
      <c r="AO236" s="1229" t="str">
        <f>IFERROR(__xludf.DUMMYFUNCTION("""COMPUTED_VALUE"""),"")</f>
        <v/>
      </c>
      <c r="AP236" s="1229" t="str">
        <f>IFERROR(__xludf.DUMMYFUNCTION("""COMPUTED_VALUE"""),"")</f>
        <v/>
      </c>
      <c r="AQ236" s="1229"/>
      <c r="AR236" s="1337"/>
      <c r="AS236" s="1337"/>
      <c r="AT236" s="1229"/>
      <c r="AU236" s="1229" t="str">
        <f>IFERROR(__xludf.DUMMYFUNCTION("""COMPUTED_VALUE"""),"")</f>
        <v/>
      </c>
      <c r="AV236" s="1229" t="str">
        <f>IFERROR(__xludf.DUMMYFUNCTION("""COMPUTED_VALUE"""),"")</f>
        <v/>
      </c>
      <c r="AW236" s="1229"/>
      <c r="AX236" s="1337"/>
      <c r="AY236" s="1337"/>
      <c r="AZ236" s="1229"/>
      <c r="BA236" s="1229" t="str">
        <f>IFERROR(__xludf.DUMMYFUNCTION("""COMPUTED_VALUE"""),"")</f>
        <v/>
      </c>
      <c r="BB236" s="1229" t="str">
        <f>IFERROR(__xludf.DUMMYFUNCTION("""COMPUTED_VALUE"""),"")</f>
        <v/>
      </c>
      <c r="BC236" s="1229"/>
      <c r="BD236" s="1337"/>
      <c r="BE236" s="1337"/>
      <c r="BF236" s="1229"/>
      <c r="BG236" s="1229" t="str">
        <f>IFERROR(__xludf.DUMMYFUNCTION("""COMPUTED_VALUE"""),"")</f>
        <v/>
      </c>
      <c r="BH236" s="1229" t="str">
        <f>IFERROR(__xludf.DUMMYFUNCTION("""COMPUTED_VALUE"""),"")</f>
        <v/>
      </c>
      <c r="BI236" s="1222"/>
      <c r="BJ236" s="1338"/>
      <c r="BK236" s="1338"/>
      <c r="BL236" s="1222"/>
      <c r="BM236" s="1222" t="str">
        <f>IFERROR(__xludf.DUMMYFUNCTION("""COMPUTED_VALUE"""),"")</f>
        <v/>
      </c>
      <c r="BN236" s="1222"/>
      <c r="BO236" s="1222"/>
    </row>
    <row r="237">
      <c r="A237" s="1222"/>
      <c r="B237" s="1229"/>
      <c r="C237" s="1349"/>
      <c r="D237" s="1229"/>
      <c r="E237" s="1229"/>
      <c r="F237" s="1229"/>
      <c r="G237" s="1229"/>
      <c r="H237" s="1229"/>
      <c r="I237" s="1229"/>
      <c r="J237" s="1229"/>
      <c r="K237" s="1229"/>
      <c r="L237" s="1229"/>
      <c r="M237" s="1229"/>
      <c r="N237" s="1337"/>
      <c r="O237" s="1337"/>
      <c r="P237" s="1229"/>
      <c r="Q237" s="1229"/>
      <c r="R237" s="1229"/>
      <c r="S237" s="1229"/>
      <c r="T237" s="1337"/>
      <c r="U237" s="1337"/>
      <c r="V237" s="1229"/>
      <c r="W237" s="1229"/>
      <c r="X237" s="1229"/>
      <c r="Y237" s="1229"/>
      <c r="Z237" s="1337"/>
      <c r="AA237" s="1337"/>
      <c r="AB237" s="1229"/>
      <c r="AC237" s="1229"/>
      <c r="AD237" s="1229"/>
      <c r="AE237" s="1229"/>
      <c r="AF237" s="1337"/>
      <c r="AG237" s="1337"/>
      <c r="AH237" s="1229"/>
      <c r="AI237" s="1229"/>
      <c r="AJ237" s="1229"/>
      <c r="AK237" s="1229"/>
      <c r="AL237" s="1337"/>
      <c r="AM237" s="1337"/>
      <c r="AN237" s="1229"/>
      <c r="AO237" s="1229"/>
      <c r="AP237" s="1229"/>
      <c r="AQ237" s="1229"/>
      <c r="AR237" s="1337"/>
      <c r="AS237" s="1337"/>
      <c r="AT237" s="1229"/>
      <c r="AU237" s="1229"/>
      <c r="AV237" s="1229"/>
      <c r="AW237" s="1229"/>
      <c r="AX237" s="1337"/>
      <c r="AY237" s="1337"/>
      <c r="AZ237" s="1229"/>
      <c r="BA237" s="1229"/>
      <c r="BB237" s="1229"/>
      <c r="BC237" s="1229"/>
      <c r="BD237" s="1337"/>
      <c r="BE237" s="1337"/>
      <c r="BF237" s="1229"/>
      <c r="BG237" s="1229"/>
      <c r="BH237" s="1229"/>
      <c r="BI237" s="1222"/>
      <c r="BJ237" s="1338"/>
      <c r="BK237" s="1338"/>
      <c r="BL237" s="1222"/>
      <c r="BM237" s="1222"/>
      <c r="BN237" s="1222"/>
      <c r="BO237" s="1222"/>
    </row>
    <row r="238" ht="7.5" customHeight="1">
      <c r="A238" s="1222"/>
      <c r="B238" s="1229"/>
      <c r="C238" s="1349"/>
      <c r="D238" s="1229"/>
      <c r="E238" s="1229"/>
      <c r="F238" s="1229"/>
      <c r="G238" s="1229"/>
      <c r="H238" s="1229"/>
      <c r="I238" s="1229"/>
      <c r="J238" s="1229"/>
      <c r="K238" s="1229"/>
      <c r="L238" s="1229" t="str">
        <f>IFERROR(__xludf.DUMMYFUNCTION("""COMPUTED_VALUE"""),"")</f>
        <v/>
      </c>
      <c r="M238" s="1229"/>
      <c r="N238" s="1337"/>
      <c r="O238" s="1337"/>
      <c r="P238" s="1229"/>
      <c r="Q238" s="1229" t="str">
        <f>IFERROR(__xludf.DUMMYFUNCTION("""COMPUTED_VALUE"""),"")</f>
        <v/>
      </c>
      <c r="R238" s="1229" t="str">
        <f>IFERROR(__xludf.DUMMYFUNCTION("""COMPUTED_VALUE"""),"")</f>
        <v/>
      </c>
      <c r="S238" s="1229"/>
      <c r="T238" s="1337"/>
      <c r="U238" s="1337"/>
      <c r="V238" s="1229"/>
      <c r="W238" s="1229" t="str">
        <f>IFERROR(__xludf.DUMMYFUNCTION("""COMPUTED_VALUE"""),"")</f>
        <v/>
      </c>
      <c r="X238" s="1229" t="str">
        <f>IFERROR(__xludf.DUMMYFUNCTION("""COMPUTED_VALUE"""),"")</f>
        <v/>
      </c>
      <c r="Y238" s="1229"/>
      <c r="Z238" s="1337"/>
      <c r="AA238" s="1337"/>
      <c r="AB238" s="1229"/>
      <c r="AC238" s="1229" t="str">
        <f>IFERROR(__xludf.DUMMYFUNCTION("""COMPUTED_VALUE"""),"")</f>
        <v/>
      </c>
      <c r="AD238" s="1229" t="str">
        <f>IFERROR(__xludf.DUMMYFUNCTION("""COMPUTED_VALUE"""),"")</f>
        <v/>
      </c>
      <c r="AE238" s="1229"/>
      <c r="AF238" s="1337"/>
      <c r="AG238" s="1337"/>
      <c r="AH238" s="1229"/>
      <c r="AI238" s="1229" t="str">
        <f>IFERROR(__xludf.DUMMYFUNCTION("""COMPUTED_VALUE"""),"")</f>
        <v/>
      </c>
      <c r="AJ238" s="1229" t="str">
        <f>IFERROR(__xludf.DUMMYFUNCTION("""COMPUTED_VALUE"""),"")</f>
        <v/>
      </c>
      <c r="AK238" s="1229"/>
      <c r="AL238" s="1337"/>
      <c r="AM238" s="1337"/>
      <c r="AN238" s="1229"/>
      <c r="AO238" s="1229" t="str">
        <f>IFERROR(__xludf.DUMMYFUNCTION("""COMPUTED_VALUE"""),"")</f>
        <v/>
      </c>
      <c r="AP238" s="1229" t="str">
        <f>IFERROR(__xludf.DUMMYFUNCTION("""COMPUTED_VALUE"""),"")</f>
        <v/>
      </c>
      <c r="AQ238" s="1229"/>
      <c r="AR238" s="1337"/>
      <c r="AS238" s="1337"/>
      <c r="AT238" s="1229"/>
      <c r="AU238" s="1229" t="str">
        <f>IFERROR(__xludf.DUMMYFUNCTION("""COMPUTED_VALUE"""),"")</f>
        <v/>
      </c>
      <c r="AV238" s="1229" t="str">
        <f>IFERROR(__xludf.DUMMYFUNCTION("""COMPUTED_VALUE"""),"")</f>
        <v/>
      </c>
      <c r="AW238" s="1229"/>
      <c r="AX238" s="1337"/>
      <c r="AY238" s="1337"/>
      <c r="AZ238" s="1229"/>
      <c r="BA238" s="1229" t="str">
        <f>IFERROR(__xludf.DUMMYFUNCTION("""COMPUTED_VALUE"""),"")</f>
        <v/>
      </c>
      <c r="BB238" s="1229" t="str">
        <f>IFERROR(__xludf.DUMMYFUNCTION("""COMPUTED_VALUE"""),"")</f>
        <v/>
      </c>
      <c r="BC238" s="1229"/>
      <c r="BD238" s="1337"/>
      <c r="BE238" s="1337"/>
      <c r="BF238" s="1229"/>
      <c r="BG238" s="1229" t="str">
        <f>IFERROR(__xludf.DUMMYFUNCTION("""COMPUTED_VALUE"""),"")</f>
        <v/>
      </c>
      <c r="BH238" s="1229" t="str">
        <f>IFERROR(__xludf.DUMMYFUNCTION("""COMPUTED_VALUE"""),"")</f>
        <v/>
      </c>
      <c r="BI238" s="1222"/>
      <c r="BJ238" s="1338"/>
      <c r="BK238" s="1338"/>
      <c r="BL238" s="1222"/>
      <c r="BM238" s="1222" t="str">
        <f>IFERROR(__xludf.DUMMYFUNCTION("""COMPUTED_VALUE"""),"")</f>
        <v/>
      </c>
      <c r="BN238" s="1222"/>
      <c r="BO238" s="1222"/>
    </row>
    <row r="239">
      <c r="A239" s="1222"/>
      <c r="B239" s="1229"/>
      <c r="C239" s="1349"/>
      <c r="D239" s="1229"/>
      <c r="E239" s="1229"/>
      <c r="F239" s="1229"/>
      <c r="G239" s="1229"/>
      <c r="H239" s="1229"/>
      <c r="I239" s="1229"/>
      <c r="J239" s="1229"/>
      <c r="K239" s="1229"/>
      <c r="L239" s="1229"/>
      <c r="M239" s="1229"/>
      <c r="N239" s="1337"/>
      <c r="O239" s="1337"/>
      <c r="P239" s="1229"/>
      <c r="Q239" s="1229"/>
      <c r="R239" s="1229"/>
      <c r="S239" s="1229"/>
      <c r="T239" s="1337"/>
      <c r="U239" s="1337"/>
      <c r="V239" s="1229"/>
      <c r="W239" s="1229"/>
      <c r="X239" s="1229"/>
      <c r="Y239" s="1229"/>
      <c r="Z239" s="1337"/>
      <c r="AA239" s="1337"/>
      <c r="AB239" s="1229"/>
      <c r="AC239" s="1229"/>
      <c r="AD239" s="1229"/>
      <c r="AE239" s="1229"/>
      <c r="AF239" s="1337"/>
      <c r="AG239" s="1337"/>
      <c r="AH239" s="1229"/>
      <c r="AI239" s="1229"/>
      <c r="AJ239" s="1229"/>
      <c r="AK239" s="1229"/>
      <c r="AL239" s="1337"/>
      <c r="AM239" s="1337"/>
      <c r="AN239" s="1229"/>
      <c r="AO239" s="1229"/>
      <c r="AP239" s="1229"/>
      <c r="AQ239" s="1229"/>
      <c r="AR239" s="1337"/>
      <c r="AS239" s="1337"/>
      <c r="AT239" s="1229"/>
      <c r="AU239" s="1229"/>
      <c r="AV239" s="1229"/>
      <c r="AW239" s="1229"/>
      <c r="AX239" s="1337"/>
      <c r="AY239" s="1337"/>
      <c r="AZ239" s="1229"/>
      <c r="BA239" s="1229"/>
      <c r="BB239" s="1229"/>
      <c r="BC239" s="1229"/>
      <c r="BD239" s="1337"/>
      <c r="BE239" s="1337"/>
      <c r="BF239" s="1229"/>
      <c r="BG239" s="1229"/>
      <c r="BH239" s="1229"/>
      <c r="BI239" s="1222"/>
      <c r="BJ239" s="1338"/>
      <c r="BK239" s="1338"/>
      <c r="BL239" s="1222"/>
      <c r="BM239" s="1222"/>
      <c r="BN239" s="1222"/>
      <c r="BO239" s="1222"/>
    </row>
    <row r="240" ht="7.5" customHeight="1">
      <c r="A240" s="1222"/>
      <c r="B240" s="1229"/>
      <c r="C240" s="1349"/>
      <c r="D240" s="1229"/>
      <c r="E240" s="1229"/>
      <c r="F240" s="1229"/>
      <c r="G240" s="1229"/>
      <c r="H240" s="1229"/>
      <c r="I240" s="1229"/>
      <c r="J240" s="1229"/>
      <c r="K240" s="1229"/>
      <c r="L240" s="1229" t="str">
        <f>IFERROR(__xludf.DUMMYFUNCTION("""COMPUTED_VALUE"""),"")</f>
        <v/>
      </c>
      <c r="M240" s="1229"/>
      <c r="N240" s="1337"/>
      <c r="O240" s="1337"/>
      <c r="P240" s="1229"/>
      <c r="Q240" s="1229" t="str">
        <f>IFERROR(__xludf.DUMMYFUNCTION("""COMPUTED_VALUE"""),"")</f>
        <v/>
      </c>
      <c r="R240" s="1229" t="str">
        <f>IFERROR(__xludf.DUMMYFUNCTION("""COMPUTED_VALUE"""),"")</f>
        <v/>
      </c>
      <c r="S240" s="1229"/>
      <c r="T240" s="1337"/>
      <c r="U240" s="1337"/>
      <c r="V240" s="1229"/>
      <c r="W240" s="1229" t="str">
        <f>IFERROR(__xludf.DUMMYFUNCTION("""COMPUTED_VALUE"""),"")</f>
        <v/>
      </c>
      <c r="X240" s="1229" t="str">
        <f>IFERROR(__xludf.DUMMYFUNCTION("""COMPUTED_VALUE"""),"")</f>
        <v/>
      </c>
      <c r="Y240" s="1229"/>
      <c r="Z240" s="1337"/>
      <c r="AA240" s="1337"/>
      <c r="AB240" s="1229"/>
      <c r="AC240" s="1229" t="str">
        <f>IFERROR(__xludf.DUMMYFUNCTION("""COMPUTED_VALUE"""),"")</f>
        <v/>
      </c>
      <c r="AD240" s="1229" t="str">
        <f>IFERROR(__xludf.DUMMYFUNCTION("""COMPUTED_VALUE"""),"")</f>
        <v/>
      </c>
      <c r="AE240" s="1229"/>
      <c r="AF240" s="1337"/>
      <c r="AG240" s="1337"/>
      <c r="AH240" s="1229"/>
      <c r="AI240" s="1229" t="str">
        <f>IFERROR(__xludf.DUMMYFUNCTION("""COMPUTED_VALUE"""),"")</f>
        <v/>
      </c>
      <c r="AJ240" s="1229" t="str">
        <f>IFERROR(__xludf.DUMMYFUNCTION("""COMPUTED_VALUE"""),"")</f>
        <v/>
      </c>
      <c r="AK240" s="1229"/>
      <c r="AL240" s="1337"/>
      <c r="AM240" s="1337"/>
      <c r="AN240" s="1229"/>
      <c r="AO240" s="1229" t="str">
        <f>IFERROR(__xludf.DUMMYFUNCTION("""COMPUTED_VALUE"""),"")</f>
        <v/>
      </c>
      <c r="AP240" s="1229" t="str">
        <f>IFERROR(__xludf.DUMMYFUNCTION("""COMPUTED_VALUE"""),"")</f>
        <v/>
      </c>
      <c r="AQ240" s="1229"/>
      <c r="AR240" s="1337"/>
      <c r="AS240" s="1337"/>
      <c r="AT240" s="1229"/>
      <c r="AU240" s="1229" t="str">
        <f>IFERROR(__xludf.DUMMYFUNCTION("""COMPUTED_VALUE"""),"")</f>
        <v/>
      </c>
      <c r="AV240" s="1229" t="str">
        <f>IFERROR(__xludf.DUMMYFUNCTION("""COMPUTED_VALUE"""),"")</f>
        <v/>
      </c>
      <c r="AW240" s="1229"/>
      <c r="AX240" s="1337"/>
      <c r="AY240" s="1337"/>
      <c r="AZ240" s="1229"/>
      <c r="BA240" s="1229" t="str">
        <f>IFERROR(__xludf.DUMMYFUNCTION("""COMPUTED_VALUE"""),"")</f>
        <v/>
      </c>
      <c r="BB240" s="1229" t="str">
        <f>IFERROR(__xludf.DUMMYFUNCTION("""COMPUTED_VALUE"""),"")</f>
        <v/>
      </c>
      <c r="BC240" s="1229"/>
      <c r="BD240" s="1337"/>
      <c r="BE240" s="1337"/>
      <c r="BF240" s="1229"/>
      <c r="BG240" s="1229" t="str">
        <f>IFERROR(__xludf.DUMMYFUNCTION("""COMPUTED_VALUE"""),"")</f>
        <v/>
      </c>
      <c r="BH240" s="1229" t="str">
        <f>IFERROR(__xludf.DUMMYFUNCTION("""COMPUTED_VALUE"""),"")</f>
        <v/>
      </c>
      <c r="BI240" s="1222"/>
      <c r="BJ240" s="1338"/>
      <c r="BK240" s="1338"/>
      <c r="BL240" s="1222"/>
      <c r="BM240" s="1222" t="str">
        <f>IFERROR(__xludf.DUMMYFUNCTION("""COMPUTED_VALUE"""),"")</f>
        <v/>
      </c>
      <c r="BN240" s="1222"/>
      <c r="BO240" s="1222"/>
    </row>
    <row r="241">
      <c r="A241" s="1222"/>
      <c r="B241" s="1229"/>
      <c r="C241" s="1349"/>
      <c r="D241" s="1229"/>
      <c r="E241" s="1229"/>
      <c r="F241" s="1229"/>
      <c r="G241" s="1229"/>
      <c r="H241" s="1229"/>
      <c r="I241" s="1229"/>
      <c r="J241" s="1229"/>
      <c r="K241" s="1229"/>
      <c r="L241" s="1229"/>
      <c r="M241" s="1229"/>
      <c r="N241" s="1337"/>
      <c r="O241" s="1337"/>
      <c r="P241" s="1229"/>
      <c r="Q241" s="1229"/>
      <c r="R241" s="1229"/>
      <c r="S241" s="1229"/>
      <c r="T241" s="1337"/>
      <c r="U241" s="1337"/>
      <c r="V241" s="1229"/>
      <c r="W241" s="1229"/>
      <c r="X241" s="1229"/>
      <c r="Y241" s="1229"/>
      <c r="Z241" s="1337"/>
      <c r="AA241" s="1337"/>
      <c r="AB241" s="1229"/>
      <c r="AC241" s="1229"/>
      <c r="AD241" s="1229"/>
      <c r="AE241" s="1229"/>
      <c r="AF241" s="1337"/>
      <c r="AG241" s="1337"/>
      <c r="AH241" s="1229"/>
      <c r="AI241" s="1229"/>
      <c r="AJ241" s="1229"/>
      <c r="AK241" s="1229"/>
      <c r="AL241" s="1337"/>
      <c r="AM241" s="1337"/>
      <c r="AN241" s="1229"/>
      <c r="AO241" s="1229"/>
      <c r="AP241" s="1229"/>
      <c r="AQ241" s="1229"/>
      <c r="AR241" s="1337"/>
      <c r="AS241" s="1337"/>
      <c r="AT241" s="1229"/>
      <c r="AU241" s="1229"/>
      <c r="AV241" s="1229"/>
      <c r="AW241" s="1229"/>
      <c r="AX241" s="1337"/>
      <c r="AY241" s="1337"/>
      <c r="AZ241" s="1229"/>
      <c r="BA241" s="1229"/>
      <c r="BB241" s="1229"/>
      <c r="BC241" s="1229"/>
      <c r="BD241" s="1337"/>
      <c r="BE241" s="1337"/>
      <c r="BF241" s="1229"/>
      <c r="BG241" s="1229"/>
      <c r="BH241" s="1229"/>
      <c r="BI241" s="1222"/>
      <c r="BJ241" s="1338"/>
      <c r="BK241" s="1338"/>
      <c r="BL241" s="1222"/>
      <c r="BM241" s="1222"/>
      <c r="BN241" s="1222"/>
      <c r="BO241" s="1222"/>
    </row>
    <row r="242" ht="7.5" customHeight="1">
      <c r="A242" s="1222"/>
      <c r="B242" s="1229"/>
      <c r="C242" s="1349"/>
      <c r="D242" s="1229"/>
      <c r="E242" s="1229"/>
      <c r="F242" s="1229"/>
      <c r="G242" s="1229"/>
      <c r="H242" s="1229"/>
      <c r="I242" s="1229"/>
      <c r="J242" s="1229"/>
      <c r="K242" s="1229"/>
      <c r="L242" s="1229" t="str">
        <f>IFERROR(__xludf.DUMMYFUNCTION("""COMPUTED_VALUE"""),"")</f>
        <v/>
      </c>
      <c r="M242" s="1229"/>
      <c r="N242" s="1337"/>
      <c r="O242" s="1337"/>
      <c r="P242" s="1229"/>
      <c r="Q242" s="1229" t="str">
        <f>IFERROR(__xludf.DUMMYFUNCTION("""COMPUTED_VALUE"""),"")</f>
        <v/>
      </c>
      <c r="R242" s="1229" t="str">
        <f>IFERROR(__xludf.DUMMYFUNCTION("""COMPUTED_VALUE"""),"")</f>
        <v/>
      </c>
      <c r="S242" s="1229"/>
      <c r="T242" s="1337"/>
      <c r="U242" s="1337"/>
      <c r="V242" s="1229"/>
      <c r="W242" s="1229" t="str">
        <f>IFERROR(__xludf.DUMMYFUNCTION("""COMPUTED_VALUE"""),"")</f>
        <v/>
      </c>
      <c r="X242" s="1229" t="str">
        <f>IFERROR(__xludf.DUMMYFUNCTION("""COMPUTED_VALUE"""),"")</f>
        <v/>
      </c>
      <c r="Y242" s="1229"/>
      <c r="Z242" s="1337"/>
      <c r="AA242" s="1337"/>
      <c r="AB242" s="1229"/>
      <c r="AC242" s="1229" t="str">
        <f>IFERROR(__xludf.DUMMYFUNCTION("""COMPUTED_VALUE"""),"")</f>
        <v/>
      </c>
      <c r="AD242" s="1229" t="str">
        <f>IFERROR(__xludf.DUMMYFUNCTION("""COMPUTED_VALUE"""),"")</f>
        <v/>
      </c>
      <c r="AE242" s="1229"/>
      <c r="AF242" s="1337"/>
      <c r="AG242" s="1337"/>
      <c r="AH242" s="1229"/>
      <c r="AI242" s="1229" t="str">
        <f>IFERROR(__xludf.DUMMYFUNCTION("""COMPUTED_VALUE"""),"")</f>
        <v/>
      </c>
      <c r="AJ242" s="1229" t="str">
        <f>IFERROR(__xludf.DUMMYFUNCTION("""COMPUTED_VALUE"""),"")</f>
        <v/>
      </c>
      <c r="AK242" s="1229"/>
      <c r="AL242" s="1337"/>
      <c r="AM242" s="1337"/>
      <c r="AN242" s="1229"/>
      <c r="AO242" s="1229" t="str">
        <f>IFERROR(__xludf.DUMMYFUNCTION("""COMPUTED_VALUE"""),"")</f>
        <v/>
      </c>
      <c r="AP242" s="1229" t="str">
        <f>IFERROR(__xludf.DUMMYFUNCTION("""COMPUTED_VALUE"""),"")</f>
        <v/>
      </c>
      <c r="AQ242" s="1229"/>
      <c r="AR242" s="1337"/>
      <c r="AS242" s="1337"/>
      <c r="AT242" s="1229"/>
      <c r="AU242" s="1229" t="str">
        <f>IFERROR(__xludf.DUMMYFUNCTION("""COMPUTED_VALUE"""),"")</f>
        <v/>
      </c>
      <c r="AV242" s="1229" t="str">
        <f>IFERROR(__xludf.DUMMYFUNCTION("""COMPUTED_VALUE"""),"")</f>
        <v/>
      </c>
      <c r="AW242" s="1229"/>
      <c r="AX242" s="1337"/>
      <c r="AY242" s="1337"/>
      <c r="AZ242" s="1229"/>
      <c r="BA242" s="1229" t="str">
        <f>IFERROR(__xludf.DUMMYFUNCTION("""COMPUTED_VALUE"""),"")</f>
        <v/>
      </c>
      <c r="BB242" s="1229" t="str">
        <f>IFERROR(__xludf.DUMMYFUNCTION("""COMPUTED_VALUE"""),"")</f>
        <v/>
      </c>
      <c r="BC242" s="1229"/>
      <c r="BD242" s="1337"/>
      <c r="BE242" s="1337"/>
      <c r="BF242" s="1229"/>
      <c r="BG242" s="1229" t="str">
        <f>IFERROR(__xludf.DUMMYFUNCTION("""COMPUTED_VALUE"""),"")</f>
        <v/>
      </c>
      <c r="BH242" s="1229" t="str">
        <f>IFERROR(__xludf.DUMMYFUNCTION("""COMPUTED_VALUE"""),"")</f>
        <v/>
      </c>
      <c r="BI242" s="1222"/>
      <c r="BJ242" s="1338"/>
      <c r="BK242" s="1338"/>
      <c r="BL242" s="1222"/>
      <c r="BM242" s="1222" t="str">
        <f>IFERROR(__xludf.DUMMYFUNCTION("""COMPUTED_VALUE"""),"")</f>
        <v/>
      </c>
      <c r="BN242" s="1222"/>
      <c r="BO242" s="1222"/>
    </row>
    <row r="243">
      <c r="A243" s="1222"/>
      <c r="B243" s="1229"/>
      <c r="C243" s="1349"/>
      <c r="D243" s="1229"/>
      <c r="E243" s="1229"/>
      <c r="F243" s="1229"/>
      <c r="G243" s="1229"/>
      <c r="H243" s="1229"/>
      <c r="I243" s="1229"/>
      <c r="J243" s="1229"/>
      <c r="K243" s="1229"/>
      <c r="L243" s="1229"/>
      <c r="M243" s="1229"/>
      <c r="N243" s="1337"/>
      <c r="O243" s="1337"/>
      <c r="P243" s="1229"/>
      <c r="Q243" s="1229"/>
      <c r="R243" s="1229"/>
      <c r="S243" s="1229"/>
      <c r="T243" s="1337"/>
      <c r="U243" s="1337"/>
      <c r="V243" s="1229"/>
      <c r="W243" s="1229"/>
      <c r="X243" s="1229"/>
      <c r="Y243" s="1229"/>
      <c r="Z243" s="1337"/>
      <c r="AA243" s="1337"/>
      <c r="AB243" s="1229"/>
      <c r="AC243" s="1229"/>
      <c r="AD243" s="1229"/>
      <c r="AE243" s="1229"/>
      <c r="AF243" s="1337"/>
      <c r="AG243" s="1337"/>
      <c r="AH243" s="1229"/>
      <c r="AI243" s="1229"/>
      <c r="AJ243" s="1229"/>
      <c r="AK243" s="1229"/>
      <c r="AL243" s="1337"/>
      <c r="AM243" s="1337"/>
      <c r="AN243" s="1229"/>
      <c r="AO243" s="1229"/>
      <c r="AP243" s="1229"/>
      <c r="AQ243" s="1229"/>
      <c r="AR243" s="1337"/>
      <c r="AS243" s="1337"/>
      <c r="AT243" s="1229"/>
      <c r="AU243" s="1229"/>
      <c r="AV243" s="1229"/>
      <c r="AW243" s="1229"/>
      <c r="AX243" s="1337"/>
      <c r="AY243" s="1337"/>
      <c r="AZ243" s="1229"/>
      <c r="BA243" s="1229"/>
      <c r="BB243" s="1229"/>
      <c r="BC243" s="1229"/>
      <c r="BD243" s="1337"/>
      <c r="BE243" s="1337"/>
      <c r="BF243" s="1229"/>
      <c r="BG243" s="1229"/>
      <c r="BH243" s="1229"/>
      <c r="BI243" s="1222"/>
      <c r="BJ243" s="1338"/>
      <c r="BK243" s="1338"/>
      <c r="BL243" s="1222"/>
      <c r="BM243" s="1222"/>
      <c r="BN243" s="1222"/>
      <c r="BO243" s="1222"/>
    </row>
    <row r="244" ht="7.5" customHeight="1">
      <c r="A244" s="1222"/>
      <c r="B244" s="1229"/>
      <c r="C244" s="1349"/>
      <c r="D244" s="1229"/>
      <c r="E244" s="1229"/>
      <c r="F244" s="1229"/>
      <c r="G244" s="1229"/>
      <c r="H244" s="1229"/>
      <c r="I244" s="1229"/>
      <c r="J244" s="1229"/>
      <c r="K244" s="1229"/>
      <c r="L244" s="1229" t="str">
        <f>IFERROR(__xludf.DUMMYFUNCTION("""COMPUTED_VALUE"""),"")</f>
        <v/>
      </c>
      <c r="M244" s="1229"/>
      <c r="N244" s="1337"/>
      <c r="O244" s="1337"/>
      <c r="P244" s="1229"/>
      <c r="Q244" s="1229" t="str">
        <f>IFERROR(__xludf.DUMMYFUNCTION("""COMPUTED_VALUE"""),"")</f>
        <v/>
      </c>
      <c r="R244" s="1229" t="str">
        <f>IFERROR(__xludf.DUMMYFUNCTION("""COMPUTED_VALUE"""),"")</f>
        <v/>
      </c>
      <c r="S244" s="1229"/>
      <c r="T244" s="1337"/>
      <c r="U244" s="1337"/>
      <c r="V244" s="1229"/>
      <c r="W244" s="1229" t="str">
        <f>IFERROR(__xludf.DUMMYFUNCTION("""COMPUTED_VALUE"""),"")</f>
        <v/>
      </c>
      <c r="X244" s="1229" t="str">
        <f>IFERROR(__xludf.DUMMYFUNCTION("""COMPUTED_VALUE"""),"")</f>
        <v/>
      </c>
      <c r="Y244" s="1229"/>
      <c r="Z244" s="1337"/>
      <c r="AA244" s="1337"/>
      <c r="AB244" s="1229"/>
      <c r="AC244" s="1229" t="str">
        <f>IFERROR(__xludf.DUMMYFUNCTION("""COMPUTED_VALUE"""),"")</f>
        <v/>
      </c>
      <c r="AD244" s="1229" t="str">
        <f>IFERROR(__xludf.DUMMYFUNCTION("""COMPUTED_VALUE"""),"")</f>
        <v/>
      </c>
      <c r="AE244" s="1229"/>
      <c r="AF244" s="1337"/>
      <c r="AG244" s="1337"/>
      <c r="AH244" s="1229"/>
      <c r="AI244" s="1229" t="str">
        <f>IFERROR(__xludf.DUMMYFUNCTION("""COMPUTED_VALUE"""),"")</f>
        <v/>
      </c>
      <c r="AJ244" s="1229" t="str">
        <f>IFERROR(__xludf.DUMMYFUNCTION("""COMPUTED_VALUE"""),"")</f>
        <v/>
      </c>
      <c r="AK244" s="1229"/>
      <c r="AL244" s="1337"/>
      <c r="AM244" s="1337"/>
      <c r="AN244" s="1229"/>
      <c r="AO244" s="1229" t="str">
        <f>IFERROR(__xludf.DUMMYFUNCTION("""COMPUTED_VALUE"""),"")</f>
        <v/>
      </c>
      <c r="AP244" s="1229" t="str">
        <f>IFERROR(__xludf.DUMMYFUNCTION("""COMPUTED_VALUE"""),"")</f>
        <v/>
      </c>
      <c r="AQ244" s="1229"/>
      <c r="AR244" s="1337"/>
      <c r="AS244" s="1337"/>
      <c r="AT244" s="1229"/>
      <c r="AU244" s="1229" t="str">
        <f>IFERROR(__xludf.DUMMYFUNCTION("""COMPUTED_VALUE"""),"")</f>
        <v/>
      </c>
      <c r="AV244" s="1229" t="str">
        <f>IFERROR(__xludf.DUMMYFUNCTION("""COMPUTED_VALUE"""),"")</f>
        <v/>
      </c>
      <c r="AW244" s="1229"/>
      <c r="AX244" s="1337"/>
      <c r="AY244" s="1337"/>
      <c r="AZ244" s="1229"/>
      <c r="BA244" s="1229" t="str">
        <f>IFERROR(__xludf.DUMMYFUNCTION("""COMPUTED_VALUE"""),"")</f>
        <v/>
      </c>
      <c r="BB244" s="1229" t="str">
        <f>IFERROR(__xludf.DUMMYFUNCTION("""COMPUTED_VALUE"""),"")</f>
        <v/>
      </c>
      <c r="BC244" s="1229"/>
      <c r="BD244" s="1337"/>
      <c r="BE244" s="1337"/>
      <c r="BF244" s="1229"/>
      <c r="BG244" s="1229" t="str">
        <f>IFERROR(__xludf.DUMMYFUNCTION("""COMPUTED_VALUE"""),"")</f>
        <v/>
      </c>
      <c r="BH244" s="1229" t="str">
        <f>IFERROR(__xludf.DUMMYFUNCTION("""COMPUTED_VALUE"""),"")</f>
        <v/>
      </c>
      <c r="BI244" s="1222"/>
      <c r="BJ244" s="1338"/>
      <c r="BK244" s="1338"/>
      <c r="BL244" s="1222"/>
      <c r="BM244" s="1222" t="str">
        <f>IFERROR(__xludf.DUMMYFUNCTION("""COMPUTED_VALUE"""),"")</f>
        <v/>
      </c>
      <c r="BN244" s="1222"/>
      <c r="BO244" s="1222"/>
    </row>
    <row r="245">
      <c r="A245" s="1222"/>
      <c r="B245" s="1229"/>
      <c r="C245" s="1349"/>
      <c r="D245" s="1229"/>
      <c r="E245" s="1229"/>
      <c r="F245" s="1229"/>
      <c r="G245" s="1229"/>
      <c r="H245" s="1229"/>
      <c r="I245" s="1229"/>
      <c r="J245" s="1229"/>
      <c r="K245" s="1229"/>
      <c r="L245" s="1229"/>
      <c r="M245" s="1229"/>
      <c r="N245" s="1337"/>
      <c r="O245" s="1337"/>
      <c r="P245" s="1229"/>
      <c r="Q245" s="1229"/>
      <c r="R245" s="1229"/>
      <c r="S245" s="1229"/>
      <c r="T245" s="1337"/>
      <c r="U245" s="1337"/>
      <c r="V245" s="1229"/>
      <c r="W245" s="1229"/>
      <c r="X245" s="1229"/>
      <c r="Y245" s="1229"/>
      <c r="Z245" s="1337"/>
      <c r="AA245" s="1337"/>
      <c r="AB245" s="1229"/>
      <c r="AC245" s="1229"/>
      <c r="AD245" s="1229"/>
      <c r="AE245" s="1229"/>
      <c r="AF245" s="1337"/>
      <c r="AG245" s="1337"/>
      <c r="AH245" s="1229"/>
      <c r="AI245" s="1229"/>
      <c r="AJ245" s="1229"/>
      <c r="AK245" s="1229"/>
      <c r="AL245" s="1337"/>
      <c r="AM245" s="1337"/>
      <c r="AN245" s="1229"/>
      <c r="AO245" s="1229"/>
      <c r="AP245" s="1229"/>
      <c r="AQ245" s="1229"/>
      <c r="AR245" s="1337"/>
      <c r="AS245" s="1337"/>
      <c r="AT245" s="1229"/>
      <c r="AU245" s="1229"/>
      <c r="AV245" s="1229"/>
      <c r="AW245" s="1229"/>
      <c r="AX245" s="1337"/>
      <c r="AY245" s="1337"/>
      <c r="AZ245" s="1229"/>
      <c r="BA245" s="1229"/>
      <c r="BB245" s="1229"/>
      <c r="BC245" s="1229"/>
      <c r="BD245" s="1337"/>
      <c r="BE245" s="1337"/>
      <c r="BF245" s="1229"/>
      <c r="BG245" s="1229"/>
      <c r="BH245" s="1229"/>
      <c r="BI245" s="1222"/>
      <c r="BJ245" s="1338"/>
      <c r="BK245" s="1338"/>
      <c r="BL245" s="1222"/>
      <c r="BM245" s="1222"/>
      <c r="BN245" s="1222"/>
      <c r="BO245" s="1222"/>
    </row>
    <row r="246" ht="7.5" customHeight="1">
      <c r="A246" s="1222"/>
      <c r="B246" s="1229"/>
      <c r="C246" s="1349"/>
      <c r="D246" s="1229"/>
      <c r="E246" s="1229"/>
      <c r="F246" s="1229"/>
      <c r="G246" s="1229"/>
      <c r="H246" s="1229"/>
      <c r="I246" s="1229"/>
      <c r="J246" s="1229"/>
      <c r="K246" s="1229"/>
      <c r="L246" s="1229" t="str">
        <f>IFERROR(__xludf.DUMMYFUNCTION("""COMPUTED_VALUE"""),"")</f>
        <v/>
      </c>
      <c r="M246" s="1229"/>
      <c r="N246" s="1337"/>
      <c r="O246" s="1337"/>
      <c r="P246" s="1229"/>
      <c r="Q246" s="1229" t="str">
        <f>IFERROR(__xludf.DUMMYFUNCTION("""COMPUTED_VALUE"""),"")</f>
        <v/>
      </c>
      <c r="R246" s="1229" t="str">
        <f>IFERROR(__xludf.DUMMYFUNCTION("""COMPUTED_VALUE"""),"")</f>
        <v/>
      </c>
      <c r="S246" s="1229"/>
      <c r="T246" s="1337"/>
      <c r="U246" s="1337"/>
      <c r="V246" s="1229"/>
      <c r="W246" s="1229" t="str">
        <f>IFERROR(__xludf.DUMMYFUNCTION("""COMPUTED_VALUE"""),"")</f>
        <v/>
      </c>
      <c r="X246" s="1229" t="str">
        <f>IFERROR(__xludf.DUMMYFUNCTION("""COMPUTED_VALUE"""),"")</f>
        <v/>
      </c>
      <c r="Y246" s="1229"/>
      <c r="Z246" s="1337"/>
      <c r="AA246" s="1337"/>
      <c r="AB246" s="1229"/>
      <c r="AC246" s="1229" t="str">
        <f>IFERROR(__xludf.DUMMYFUNCTION("""COMPUTED_VALUE"""),"")</f>
        <v/>
      </c>
      <c r="AD246" s="1229" t="str">
        <f>IFERROR(__xludf.DUMMYFUNCTION("""COMPUTED_VALUE"""),"")</f>
        <v/>
      </c>
      <c r="AE246" s="1229"/>
      <c r="AF246" s="1337"/>
      <c r="AG246" s="1337"/>
      <c r="AH246" s="1229"/>
      <c r="AI246" s="1229" t="str">
        <f>IFERROR(__xludf.DUMMYFUNCTION("""COMPUTED_VALUE"""),"")</f>
        <v/>
      </c>
      <c r="AJ246" s="1229" t="str">
        <f>IFERROR(__xludf.DUMMYFUNCTION("""COMPUTED_VALUE"""),"")</f>
        <v/>
      </c>
      <c r="AK246" s="1229"/>
      <c r="AL246" s="1337"/>
      <c r="AM246" s="1337"/>
      <c r="AN246" s="1229"/>
      <c r="AO246" s="1229" t="str">
        <f>IFERROR(__xludf.DUMMYFUNCTION("""COMPUTED_VALUE"""),"")</f>
        <v/>
      </c>
      <c r="AP246" s="1229" t="str">
        <f>IFERROR(__xludf.DUMMYFUNCTION("""COMPUTED_VALUE"""),"")</f>
        <v/>
      </c>
      <c r="AQ246" s="1229"/>
      <c r="AR246" s="1337"/>
      <c r="AS246" s="1337"/>
      <c r="AT246" s="1229"/>
      <c r="AU246" s="1229" t="str">
        <f>IFERROR(__xludf.DUMMYFUNCTION("""COMPUTED_VALUE"""),"")</f>
        <v/>
      </c>
      <c r="AV246" s="1229" t="str">
        <f>IFERROR(__xludf.DUMMYFUNCTION("""COMPUTED_VALUE"""),"")</f>
        <v/>
      </c>
      <c r="AW246" s="1229"/>
      <c r="AX246" s="1337"/>
      <c r="AY246" s="1337"/>
      <c r="AZ246" s="1229"/>
      <c r="BA246" s="1229" t="str">
        <f>IFERROR(__xludf.DUMMYFUNCTION("""COMPUTED_VALUE"""),"")</f>
        <v/>
      </c>
      <c r="BB246" s="1229" t="str">
        <f>IFERROR(__xludf.DUMMYFUNCTION("""COMPUTED_VALUE"""),"")</f>
        <v/>
      </c>
      <c r="BC246" s="1229"/>
      <c r="BD246" s="1337"/>
      <c r="BE246" s="1337"/>
      <c r="BF246" s="1229"/>
      <c r="BG246" s="1229" t="str">
        <f>IFERROR(__xludf.DUMMYFUNCTION("""COMPUTED_VALUE"""),"")</f>
        <v/>
      </c>
      <c r="BH246" s="1229" t="str">
        <f>IFERROR(__xludf.DUMMYFUNCTION("""COMPUTED_VALUE"""),"")</f>
        <v/>
      </c>
      <c r="BI246" s="1222"/>
      <c r="BJ246" s="1338"/>
      <c r="BK246" s="1338"/>
      <c r="BL246" s="1222"/>
      <c r="BM246" s="1222" t="str">
        <f>IFERROR(__xludf.DUMMYFUNCTION("""COMPUTED_VALUE"""),"")</f>
        <v/>
      </c>
      <c r="BN246" s="1222"/>
      <c r="BO246" s="1222"/>
    </row>
    <row r="247">
      <c r="A247" s="1222"/>
      <c r="B247" s="1229"/>
      <c r="C247" s="1349"/>
      <c r="D247" s="1229"/>
      <c r="E247" s="1229"/>
      <c r="F247" s="1229"/>
      <c r="G247" s="1229"/>
      <c r="H247" s="1229"/>
      <c r="I247" s="1229"/>
      <c r="J247" s="1229"/>
      <c r="K247" s="1229"/>
      <c r="L247" s="1229"/>
      <c r="M247" s="1229"/>
      <c r="N247" s="1337"/>
      <c r="O247" s="1337"/>
      <c r="P247" s="1229"/>
      <c r="Q247" s="1229"/>
      <c r="R247" s="1229"/>
      <c r="S247" s="1229"/>
      <c r="T247" s="1337"/>
      <c r="U247" s="1337"/>
      <c r="V247" s="1229"/>
      <c r="W247" s="1229"/>
      <c r="X247" s="1229"/>
      <c r="Y247" s="1229"/>
      <c r="Z247" s="1337"/>
      <c r="AA247" s="1337"/>
      <c r="AB247" s="1229"/>
      <c r="AC247" s="1229"/>
      <c r="AD247" s="1229"/>
      <c r="AE247" s="1229"/>
      <c r="AF247" s="1337"/>
      <c r="AG247" s="1337"/>
      <c r="AH247" s="1229"/>
      <c r="AI247" s="1229"/>
      <c r="AJ247" s="1229"/>
      <c r="AK247" s="1229"/>
      <c r="AL247" s="1337"/>
      <c r="AM247" s="1337"/>
      <c r="AN247" s="1229"/>
      <c r="AO247" s="1229"/>
      <c r="AP247" s="1229"/>
      <c r="AQ247" s="1229"/>
      <c r="AR247" s="1337"/>
      <c r="AS247" s="1337"/>
      <c r="AT247" s="1229"/>
      <c r="AU247" s="1229"/>
      <c r="AV247" s="1229"/>
      <c r="AW247" s="1229"/>
      <c r="AX247" s="1337"/>
      <c r="AY247" s="1337"/>
      <c r="AZ247" s="1229"/>
      <c r="BA247" s="1229"/>
      <c r="BB247" s="1229"/>
      <c r="BC247" s="1229"/>
      <c r="BD247" s="1337"/>
      <c r="BE247" s="1337"/>
      <c r="BF247" s="1229"/>
      <c r="BG247" s="1229"/>
      <c r="BH247" s="1229"/>
      <c r="BI247" s="1222"/>
      <c r="BJ247" s="1338"/>
      <c r="BK247" s="1338"/>
      <c r="BL247" s="1222"/>
      <c r="BM247" s="1222"/>
      <c r="BN247" s="1222"/>
      <c r="BO247" s="1222"/>
    </row>
    <row r="248" ht="7.5" customHeight="1">
      <c r="A248" s="1222"/>
      <c r="B248" s="1229"/>
      <c r="C248" s="1349"/>
      <c r="D248" s="1229"/>
      <c r="E248" s="1229"/>
      <c r="F248" s="1229"/>
      <c r="G248" s="1229"/>
      <c r="H248" s="1229"/>
      <c r="I248" s="1229"/>
      <c r="J248" s="1229"/>
      <c r="K248" s="1229"/>
      <c r="L248" s="1229" t="str">
        <f>IFERROR(__xludf.DUMMYFUNCTION("""COMPUTED_VALUE"""),"")</f>
        <v/>
      </c>
      <c r="M248" s="1229"/>
      <c r="N248" s="1337"/>
      <c r="O248" s="1337"/>
      <c r="P248" s="1229"/>
      <c r="Q248" s="1229" t="str">
        <f>IFERROR(__xludf.DUMMYFUNCTION("""COMPUTED_VALUE"""),"")</f>
        <v/>
      </c>
      <c r="R248" s="1229" t="str">
        <f>IFERROR(__xludf.DUMMYFUNCTION("""COMPUTED_VALUE"""),"")</f>
        <v/>
      </c>
      <c r="S248" s="1229"/>
      <c r="T248" s="1337"/>
      <c r="U248" s="1337"/>
      <c r="V248" s="1229"/>
      <c r="W248" s="1229" t="str">
        <f>IFERROR(__xludf.DUMMYFUNCTION("""COMPUTED_VALUE"""),"")</f>
        <v/>
      </c>
      <c r="X248" s="1229" t="str">
        <f>IFERROR(__xludf.DUMMYFUNCTION("""COMPUTED_VALUE"""),"")</f>
        <v/>
      </c>
      <c r="Y248" s="1229"/>
      <c r="Z248" s="1337"/>
      <c r="AA248" s="1337"/>
      <c r="AB248" s="1229"/>
      <c r="AC248" s="1229" t="str">
        <f>IFERROR(__xludf.DUMMYFUNCTION("""COMPUTED_VALUE"""),"")</f>
        <v/>
      </c>
      <c r="AD248" s="1229" t="str">
        <f>IFERROR(__xludf.DUMMYFUNCTION("""COMPUTED_VALUE"""),"")</f>
        <v/>
      </c>
      <c r="AE248" s="1229"/>
      <c r="AF248" s="1337"/>
      <c r="AG248" s="1337"/>
      <c r="AH248" s="1229"/>
      <c r="AI248" s="1229" t="str">
        <f>IFERROR(__xludf.DUMMYFUNCTION("""COMPUTED_VALUE"""),"")</f>
        <v/>
      </c>
      <c r="AJ248" s="1229" t="str">
        <f>IFERROR(__xludf.DUMMYFUNCTION("""COMPUTED_VALUE"""),"")</f>
        <v/>
      </c>
      <c r="AK248" s="1229"/>
      <c r="AL248" s="1337"/>
      <c r="AM248" s="1337"/>
      <c r="AN248" s="1229"/>
      <c r="AO248" s="1229" t="str">
        <f>IFERROR(__xludf.DUMMYFUNCTION("""COMPUTED_VALUE"""),"")</f>
        <v/>
      </c>
      <c r="AP248" s="1229" t="str">
        <f>IFERROR(__xludf.DUMMYFUNCTION("""COMPUTED_VALUE"""),"")</f>
        <v/>
      </c>
      <c r="AQ248" s="1229"/>
      <c r="AR248" s="1337"/>
      <c r="AS248" s="1337"/>
      <c r="AT248" s="1229"/>
      <c r="AU248" s="1229" t="str">
        <f>IFERROR(__xludf.DUMMYFUNCTION("""COMPUTED_VALUE"""),"")</f>
        <v/>
      </c>
      <c r="AV248" s="1229" t="str">
        <f>IFERROR(__xludf.DUMMYFUNCTION("""COMPUTED_VALUE"""),"")</f>
        <v/>
      </c>
      <c r="AW248" s="1229"/>
      <c r="AX248" s="1337"/>
      <c r="AY248" s="1337"/>
      <c r="AZ248" s="1229"/>
      <c r="BA248" s="1229" t="str">
        <f>IFERROR(__xludf.DUMMYFUNCTION("""COMPUTED_VALUE"""),"")</f>
        <v/>
      </c>
      <c r="BB248" s="1229" t="str">
        <f>IFERROR(__xludf.DUMMYFUNCTION("""COMPUTED_VALUE"""),"")</f>
        <v/>
      </c>
      <c r="BC248" s="1229"/>
      <c r="BD248" s="1337"/>
      <c r="BE248" s="1337"/>
      <c r="BF248" s="1229"/>
      <c r="BG248" s="1229" t="str">
        <f>IFERROR(__xludf.DUMMYFUNCTION("""COMPUTED_VALUE"""),"")</f>
        <v/>
      </c>
      <c r="BH248" s="1229" t="str">
        <f>IFERROR(__xludf.DUMMYFUNCTION("""COMPUTED_VALUE"""),"")</f>
        <v/>
      </c>
      <c r="BI248" s="1222"/>
      <c r="BJ248" s="1338"/>
      <c r="BK248" s="1338"/>
      <c r="BL248" s="1222"/>
      <c r="BM248" s="1222" t="str">
        <f>IFERROR(__xludf.DUMMYFUNCTION("""COMPUTED_VALUE"""),"")</f>
        <v/>
      </c>
      <c r="BN248" s="1222"/>
      <c r="BO248" s="1222"/>
    </row>
    <row r="249">
      <c r="A249" s="1222"/>
      <c r="B249" s="1229"/>
      <c r="C249" s="1349"/>
      <c r="D249" s="1229"/>
      <c r="E249" s="1229"/>
      <c r="F249" s="1229"/>
      <c r="G249" s="1229"/>
      <c r="H249" s="1229"/>
      <c r="I249" s="1229"/>
      <c r="J249" s="1229"/>
      <c r="K249" s="1229"/>
      <c r="L249" s="1229"/>
      <c r="M249" s="1229"/>
      <c r="N249" s="1337"/>
      <c r="O249" s="1337"/>
      <c r="P249" s="1229"/>
      <c r="Q249" s="1229"/>
      <c r="R249" s="1229"/>
      <c r="S249" s="1229"/>
      <c r="T249" s="1337"/>
      <c r="U249" s="1337"/>
      <c r="V249" s="1229"/>
      <c r="W249" s="1229"/>
      <c r="X249" s="1229"/>
      <c r="Y249" s="1229"/>
      <c r="Z249" s="1337"/>
      <c r="AA249" s="1337"/>
      <c r="AB249" s="1229"/>
      <c r="AC249" s="1229"/>
      <c r="AD249" s="1229"/>
      <c r="AE249" s="1229"/>
      <c r="AF249" s="1337"/>
      <c r="AG249" s="1337"/>
      <c r="AH249" s="1229"/>
      <c r="AI249" s="1229"/>
      <c r="AJ249" s="1229"/>
      <c r="AK249" s="1229"/>
      <c r="AL249" s="1337"/>
      <c r="AM249" s="1337"/>
      <c r="AN249" s="1229"/>
      <c r="AO249" s="1229"/>
      <c r="AP249" s="1229"/>
      <c r="AQ249" s="1229"/>
      <c r="AR249" s="1337"/>
      <c r="AS249" s="1337"/>
      <c r="AT249" s="1229"/>
      <c r="AU249" s="1229"/>
      <c r="AV249" s="1229"/>
      <c r="AW249" s="1229"/>
      <c r="AX249" s="1337"/>
      <c r="AY249" s="1337"/>
      <c r="AZ249" s="1229"/>
      <c r="BA249" s="1229"/>
      <c r="BB249" s="1229"/>
      <c r="BC249" s="1229"/>
      <c r="BD249" s="1337"/>
      <c r="BE249" s="1337"/>
      <c r="BF249" s="1229"/>
      <c r="BG249" s="1229"/>
      <c r="BH249" s="1229"/>
      <c r="BI249" s="1222"/>
      <c r="BJ249" s="1338"/>
      <c r="BK249" s="1338"/>
      <c r="BL249" s="1222"/>
      <c r="BM249" s="1222"/>
      <c r="BN249" s="1222"/>
      <c r="BO249" s="1222"/>
    </row>
    <row r="250" ht="7.5" customHeight="1">
      <c r="A250" s="1222"/>
      <c r="B250" s="1229"/>
      <c r="C250" s="1349"/>
      <c r="D250" s="1229"/>
      <c r="E250" s="1229"/>
      <c r="F250" s="1229"/>
      <c r="G250" s="1229"/>
      <c r="H250" s="1229"/>
      <c r="I250" s="1229"/>
      <c r="J250" s="1229"/>
      <c r="K250" s="1229"/>
      <c r="L250" s="1229" t="str">
        <f>IFERROR(__xludf.DUMMYFUNCTION("""COMPUTED_VALUE"""),"")</f>
        <v/>
      </c>
      <c r="M250" s="1229"/>
      <c r="N250" s="1337"/>
      <c r="O250" s="1337"/>
      <c r="P250" s="1229"/>
      <c r="Q250" s="1229" t="str">
        <f>IFERROR(__xludf.DUMMYFUNCTION("""COMPUTED_VALUE"""),"")</f>
        <v/>
      </c>
      <c r="R250" s="1229" t="str">
        <f>IFERROR(__xludf.DUMMYFUNCTION("""COMPUTED_VALUE"""),"")</f>
        <v/>
      </c>
      <c r="S250" s="1229"/>
      <c r="T250" s="1337"/>
      <c r="U250" s="1337"/>
      <c r="V250" s="1229"/>
      <c r="W250" s="1229" t="str">
        <f>IFERROR(__xludf.DUMMYFUNCTION("""COMPUTED_VALUE"""),"")</f>
        <v/>
      </c>
      <c r="X250" s="1229" t="str">
        <f>IFERROR(__xludf.DUMMYFUNCTION("""COMPUTED_VALUE"""),"")</f>
        <v/>
      </c>
      <c r="Y250" s="1229"/>
      <c r="Z250" s="1337"/>
      <c r="AA250" s="1337"/>
      <c r="AB250" s="1229"/>
      <c r="AC250" s="1229" t="str">
        <f>IFERROR(__xludf.DUMMYFUNCTION("""COMPUTED_VALUE"""),"")</f>
        <v/>
      </c>
      <c r="AD250" s="1229" t="str">
        <f>IFERROR(__xludf.DUMMYFUNCTION("""COMPUTED_VALUE"""),"")</f>
        <v/>
      </c>
      <c r="AE250" s="1229"/>
      <c r="AF250" s="1337"/>
      <c r="AG250" s="1337"/>
      <c r="AH250" s="1229"/>
      <c r="AI250" s="1229" t="str">
        <f>IFERROR(__xludf.DUMMYFUNCTION("""COMPUTED_VALUE"""),"")</f>
        <v/>
      </c>
      <c r="AJ250" s="1229" t="str">
        <f>IFERROR(__xludf.DUMMYFUNCTION("""COMPUTED_VALUE"""),"")</f>
        <v/>
      </c>
      <c r="AK250" s="1229"/>
      <c r="AL250" s="1337"/>
      <c r="AM250" s="1337"/>
      <c r="AN250" s="1229"/>
      <c r="AO250" s="1229" t="str">
        <f>IFERROR(__xludf.DUMMYFUNCTION("""COMPUTED_VALUE"""),"")</f>
        <v/>
      </c>
      <c r="AP250" s="1229" t="str">
        <f>IFERROR(__xludf.DUMMYFUNCTION("""COMPUTED_VALUE"""),"")</f>
        <v/>
      </c>
      <c r="AQ250" s="1229"/>
      <c r="AR250" s="1337"/>
      <c r="AS250" s="1337"/>
      <c r="AT250" s="1229"/>
      <c r="AU250" s="1229" t="str">
        <f>IFERROR(__xludf.DUMMYFUNCTION("""COMPUTED_VALUE"""),"")</f>
        <v/>
      </c>
      <c r="AV250" s="1229" t="str">
        <f>IFERROR(__xludf.DUMMYFUNCTION("""COMPUTED_VALUE"""),"")</f>
        <v/>
      </c>
      <c r="AW250" s="1229"/>
      <c r="AX250" s="1337"/>
      <c r="AY250" s="1337"/>
      <c r="AZ250" s="1229"/>
      <c r="BA250" s="1229" t="str">
        <f>IFERROR(__xludf.DUMMYFUNCTION("""COMPUTED_VALUE"""),"")</f>
        <v/>
      </c>
      <c r="BB250" s="1229" t="str">
        <f>IFERROR(__xludf.DUMMYFUNCTION("""COMPUTED_VALUE"""),"")</f>
        <v/>
      </c>
      <c r="BC250" s="1229"/>
      <c r="BD250" s="1337"/>
      <c r="BE250" s="1337"/>
      <c r="BF250" s="1229"/>
      <c r="BG250" s="1229" t="str">
        <f>IFERROR(__xludf.DUMMYFUNCTION("""COMPUTED_VALUE"""),"")</f>
        <v/>
      </c>
      <c r="BH250" s="1229" t="str">
        <f>IFERROR(__xludf.DUMMYFUNCTION("""COMPUTED_VALUE"""),"")</f>
        <v/>
      </c>
      <c r="BI250" s="1222"/>
      <c r="BJ250" s="1338"/>
      <c r="BK250" s="1338"/>
      <c r="BL250" s="1222"/>
      <c r="BM250" s="1222" t="str">
        <f>IFERROR(__xludf.DUMMYFUNCTION("""COMPUTED_VALUE"""),"")</f>
        <v/>
      </c>
      <c r="BN250" s="1222"/>
      <c r="BO250" s="1222"/>
    </row>
    <row r="251">
      <c r="A251" s="1222"/>
      <c r="B251" s="1229"/>
      <c r="C251" s="1349"/>
      <c r="D251" s="1229"/>
      <c r="E251" s="1229"/>
      <c r="F251" s="1229"/>
      <c r="G251" s="1229"/>
      <c r="H251" s="1229"/>
      <c r="I251" s="1229"/>
      <c r="J251" s="1229"/>
      <c r="K251" s="1229"/>
      <c r="L251" s="1229"/>
      <c r="M251" s="1229"/>
      <c r="N251" s="1337"/>
      <c r="O251" s="1337"/>
      <c r="P251" s="1229"/>
      <c r="Q251" s="1229"/>
      <c r="R251" s="1229"/>
      <c r="S251" s="1229"/>
      <c r="T251" s="1337"/>
      <c r="U251" s="1337"/>
      <c r="V251" s="1229"/>
      <c r="W251" s="1229"/>
      <c r="X251" s="1229"/>
      <c r="Y251" s="1229"/>
      <c r="Z251" s="1337"/>
      <c r="AA251" s="1337"/>
      <c r="AB251" s="1229"/>
      <c r="AC251" s="1229"/>
      <c r="AD251" s="1229"/>
      <c r="AE251" s="1229"/>
      <c r="AF251" s="1337"/>
      <c r="AG251" s="1337"/>
      <c r="AH251" s="1229"/>
      <c r="AI251" s="1229"/>
      <c r="AJ251" s="1229"/>
      <c r="AK251" s="1229"/>
      <c r="AL251" s="1337"/>
      <c r="AM251" s="1337"/>
      <c r="AN251" s="1229"/>
      <c r="AO251" s="1229"/>
      <c r="AP251" s="1229"/>
      <c r="AQ251" s="1229"/>
      <c r="AR251" s="1337"/>
      <c r="AS251" s="1337"/>
      <c r="AT251" s="1229"/>
      <c r="AU251" s="1229"/>
      <c r="AV251" s="1229"/>
      <c r="AW251" s="1229"/>
      <c r="AX251" s="1337"/>
      <c r="AY251" s="1337"/>
      <c r="AZ251" s="1229"/>
      <c r="BA251" s="1229"/>
      <c r="BB251" s="1229"/>
      <c r="BC251" s="1229"/>
      <c r="BD251" s="1337"/>
      <c r="BE251" s="1337"/>
      <c r="BF251" s="1229"/>
      <c r="BG251" s="1229"/>
      <c r="BH251" s="1229"/>
      <c r="BI251" s="1222"/>
      <c r="BJ251" s="1338"/>
      <c r="BK251" s="1338"/>
      <c r="BL251" s="1222"/>
      <c r="BM251" s="1222"/>
      <c r="BN251" s="1222"/>
      <c r="BO251" s="1222"/>
    </row>
    <row r="252" ht="7.5" customHeight="1">
      <c r="A252" s="1222"/>
      <c r="B252" s="1229"/>
      <c r="C252" s="1349"/>
      <c r="D252" s="1229"/>
      <c r="E252" s="1229"/>
      <c r="F252" s="1229"/>
      <c r="G252" s="1229"/>
      <c r="H252" s="1229"/>
      <c r="I252" s="1229"/>
      <c r="J252" s="1229"/>
      <c r="K252" s="1229"/>
      <c r="L252" s="1229" t="str">
        <f>IFERROR(__xludf.DUMMYFUNCTION("""COMPUTED_VALUE"""),"")</f>
        <v/>
      </c>
      <c r="M252" s="1229"/>
      <c r="N252" s="1337"/>
      <c r="O252" s="1337"/>
      <c r="P252" s="1229"/>
      <c r="Q252" s="1229" t="str">
        <f>IFERROR(__xludf.DUMMYFUNCTION("""COMPUTED_VALUE"""),"")</f>
        <v/>
      </c>
      <c r="R252" s="1229" t="str">
        <f>IFERROR(__xludf.DUMMYFUNCTION("""COMPUTED_VALUE"""),"")</f>
        <v/>
      </c>
      <c r="S252" s="1229"/>
      <c r="T252" s="1337"/>
      <c r="U252" s="1337"/>
      <c r="V252" s="1229"/>
      <c r="W252" s="1229" t="str">
        <f>IFERROR(__xludf.DUMMYFUNCTION("""COMPUTED_VALUE"""),"")</f>
        <v/>
      </c>
      <c r="X252" s="1229" t="str">
        <f>IFERROR(__xludf.DUMMYFUNCTION("""COMPUTED_VALUE"""),"")</f>
        <v/>
      </c>
      <c r="Y252" s="1229"/>
      <c r="Z252" s="1337"/>
      <c r="AA252" s="1337"/>
      <c r="AB252" s="1229"/>
      <c r="AC252" s="1229" t="str">
        <f>IFERROR(__xludf.DUMMYFUNCTION("""COMPUTED_VALUE"""),"")</f>
        <v/>
      </c>
      <c r="AD252" s="1229" t="str">
        <f>IFERROR(__xludf.DUMMYFUNCTION("""COMPUTED_VALUE"""),"")</f>
        <v/>
      </c>
      <c r="AE252" s="1229"/>
      <c r="AF252" s="1337"/>
      <c r="AG252" s="1337"/>
      <c r="AH252" s="1229"/>
      <c r="AI252" s="1229" t="str">
        <f>IFERROR(__xludf.DUMMYFUNCTION("""COMPUTED_VALUE"""),"")</f>
        <v/>
      </c>
      <c r="AJ252" s="1229" t="str">
        <f>IFERROR(__xludf.DUMMYFUNCTION("""COMPUTED_VALUE"""),"")</f>
        <v/>
      </c>
      <c r="AK252" s="1229"/>
      <c r="AL252" s="1337"/>
      <c r="AM252" s="1337"/>
      <c r="AN252" s="1229"/>
      <c r="AO252" s="1229" t="str">
        <f>IFERROR(__xludf.DUMMYFUNCTION("""COMPUTED_VALUE"""),"")</f>
        <v/>
      </c>
      <c r="AP252" s="1229" t="str">
        <f>IFERROR(__xludf.DUMMYFUNCTION("""COMPUTED_VALUE"""),"")</f>
        <v/>
      </c>
      <c r="AQ252" s="1229"/>
      <c r="AR252" s="1337"/>
      <c r="AS252" s="1337"/>
      <c r="AT252" s="1229"/>
      <c r="AU252" s="1229" t="str">
        <f>IFERROR(__xludf.DUMMYFUNCTION("""COMPUTED_VALUE"""),"")</f>
        <v/>
      </c>
      <c r="AV252" s="1229" t="str">
        <f>IFERROR(__xludf.DUMMYFUNCTION("""COMPUTED_VALUE"""),"")</f>
        <v/>
      </c>
      <c r="AW252" s="1229"/>
      <c r="AX252" s="1337"/>
      <c r="AY252" s="1337"/>
      <c r="AZ252" s="1229"/>
      <c r="BA252" s="1229" t="str">
        <f>IFERROR(__xludf.DUMMYFUNCTION("""COMPUTED_VALUE"""),"")</f>
        <v/>
      </c>
      <c r="BB252" s="1229" t="str">
        <f>IFERROR(__xludf.DUMMYFUNCTION("""COMPUTED_VALUE"""),"")</f>
        <v/>
      </c>
      <c r="BC252" s="1229"/>
      <c r="BD252" s="1337"/>
      <c r="BE252" s="1337"/>
      <c r="BF252" s="1229"/>
      <c r="BG252" s="1229" t="str">
        <f>IFERROR(__xludf.DUMMYFUNCTION("""COMPUTED_VALUE"""),"")</f>
        <v/>
      </c>
      <c r="BH252" s="1229" t="str">
        <f>IFERROR(__xludf.DUMMYFUNCTION("""COMPUTED_VALUE"""),"")</f>
        <v/>
      </c>
      <c r="BI252" s="1222"/>
      <c r="BJ252" s="1338"/>
      <c r="BK252" s="1338"/>
      <c r="BL252" s="1222"/>
      <c r="BM252" s="1222" t="str">
        <f>IFERROR(__xludf.DUMMYFUNCTION("""COMPUTED_VALUE"""),"")</f>
        <v/>
      </c>
      <c r="BN252" s="1222"/>
      <c r="BO252" s="1222"/>
    </row>
    <row r="253">
      <c r="A253" s="1222"/>
      <c r="B253" s="1229"/>
      <c r="C253" s="1349"/>
      <c r="D253" s="1229"/>
      <c r="E253" s="1229"/>
      <c r="F253" s="1229"/>
      <c r="G253" s="1229"/>
      <c r="H253" s="1229"/>
      <c r="I253" s="1229"/>
      <c r="J253" s="1229"/>
      <c r="K253" s="1229"/>
      <c r="L253" s="1229"/>
      <c r="M253" s="1229"/>
      <c r="N253" s="1337"/>
      <c r="O253" s="1337"/>
      <c r="P253" s="1229"/>
      <c r="Q253" s="1229"/>
      <c r="R253" s="1229"/>
      <c r="S253" s="1229"/>
      <c r="T253" s="1337"/>
      <c r="U253" s="1337"/>
      <c r="V253" s="1229"/>
      <c r="W253" s="1229"/>
      <c r="X253" s="1229"/>
      <c r="Y253" s="1229"/>
      <c r="Z253" s="1337"/>
      <c r="AA253" s="1337"/>
      <c r="AB253" s="1229"/>
      <c r="AC253" s="1229"/>
      <c r="AD253" s="1229"/>
      <c r="AE253" s="1229"/>
      <c r="AF253" s="1337"/>
      <c r="AG253" s="1337"/>
      <c r="AH253" s="1229"/>
      <c r="AI253" s="1229"/>
      <c r="AJ253" s="1229"/>
      <c r="AK253" s="1229"/>
      <c r="AL253" s="1337"/>
      <c r="AM253" s="1337"/>
      <c r="AN253" s="1229"/>
      <c r="AO253" s="1229"/>
      <c r="AP253" s="1229"/>
      <c r="AQ253" s="1229"/>
      <c r="AR253" s="1337"/>
      <c r="AS253" s="1337"/>
      <c r="AT253" s="1229"/>
      <c r="AU253" s="1229"/>
      <c r="AV253" s="1229"/>
      <c r="AW253" s="1229"/>
      <c r="AX253" s="1337"/>
      <c r="AY253" s="1337"/>
      <c r="AZ253" s="1229"/>
      <c r="BA253" s="1229"/>
      <c r="BB253" s="1229"/>
      <c r="BC253" s="1229"/>
      <c r="BD253" s="1337"/>
      <c r="BE253" s="1337"/>
      <c r="BF253" s="1229"/>
      <c r="BG253" s="1229"/>
      <c r="BH253" s="1229"/>
      <c r="BI253" s="1222"/>
      <c r="BJ253" s="1338"/>
      <c r="BK253" s="1338"/>
      <c r="BL253" s="1222"/>
      <c r="BM253" s="1222"/>
      <c r="BN253" s="1222"/>
      <c r="BO253" s="1222"/>
    </row>
    <row r="254" ht="7.5" customHeight="1">
      <c r="A254" s="1222"/>
      <c r="B254" s="1229"/>
      <c r="C254" s="1349"/>
      <c r="D254" s="1229"/>
      <c r="E254" s="1229"/>
      <c r="F254" s="1229"/>
      <c r="G254" s="1229"/>
      <c r="H254" s="1229"/>
      <c r="I254" s="1229"/>
      <c r="J254" s="1229"/>
      <c r="K254" s="1229"/>
      <c r="L254" s="1229" t="str">
        <f>IFERROR(__xludf.DUMMYFUNCTION("""COMPUTED_VALUE"""),"")</f>
        <v/>
      </c>
      <c r="M254" s="1229"/>
      <c r="N254" s="1337"/>
      <c r="O254" s="1337"/>
      <c r="P254" s="1229"/>
      <c r="Q254" s="1229" t="str">
        <f>IFERROR(__xludf.DUMMYFUNCTION("""COMPUTED_VALUE"""),"")</f>
        <v/>
      </c>
      <c r="R254" s="1229" t="str">
        <f>IFERROR(__xludf.DUMMYFUNCTION("""COMPUTED_VALUE"""),"")</f>
        <v/>
      </c>
      <c r="S254" s="1229"/>
      <c r="T254" s="1337"/>
      <c r="U254" s="1337"/>
      <c r="V254" s="1229"/>
      <c r="W254" s="1229" t="str">
        <f>IFERROR(__xludf.DUMMYFUNCTION("""COMPUTED_VALUE"""),"")</f>
        <v/>
      </c>
      <c r="X254" s="1229" t="str">
        <f>IFERROR(__xludf.DUMMYFUNCTION("""COMPUTED_VALUE"""),"")</f>
        <v/>
      </c>
      <c r="Y254" s="1229"/>
      <c r="Z254" s="1337"/>
      <c r="AA254" s="1337"/>
      <c r="AB254" s="1229"/>
      <c r="AC254" s="1229" t="str">
        <f>IFERROR(__xludf.DUMMYFUNCTION("""COMPUTED_VALUE"""),"")</f>
        <v/>
      </c>
      <c r="AD254" s="1229" t="str">
        <f>IFERROR(__xludf.DUMMYFUNCTION("""COMPUTED_VALUE"""),"")</f>
        <v/>
      </c>
      <c r="AE254" s="1229"/>
      <c r="AF254" s="1337"/>
      <c r="AG254" s="1337"/>
      <c r="AH254" s="1229"/>
      <c r="AI254" s="1229" t="str">
        <f>IFERROR(__xludf.DUMMYFUNCTION("""COMPUTED_VALUE"""),"")</f>
        <v/>
      </c>
      <c r="AJ254" s="1229" t="str">
        <f>IFERROR(__xludf.DUMMYFUNCTION("""COMPUTED_VALUE"""),"")</f>
        <v/>
      </c>
      <c r="AK254" s="1229"/>
      <c r="AL254" s="1337"/>
      <c r="AM254" s="1337"/>
      <c r="AN254" s="1229"/>
      <c r="AO254" s="1229" t="str">
        <f>IFERROR(__xludf.DUMMYFUNCTION("""COMPUTED_VALUE"""),"")</f>
        <v/>
      </c>
      <c r="AP254" s="1229" t="str">
        <f>IFERROR(__xludf.DUMMYFUNCTION("""COMPUTED_VALUE"""),"")</f>
        <v/>
      </c>
      <c r="AQ254" s="1229"/>
      <c r="AR254" s="1337"/>
      <c r="AS254" s="1337"/>
      <c r="AT254" s="1229"/>
      <c r="AU254" s="1229" t="str">
        <f>IFERROR(__xludf.DUMMYFUNCTION("""COMPUTED_VALUE"""),"")</f>
        <v/>
      </c>
      <c r="AV254" s="1229" t="str">
        <f>IFERROR(__xludf.DUMMYFUNCTION("""COMPUTED_VALUE"""),"")</f>
        <v/>
      </c>
      <c r="AW254" s="1229"/>
      <c r="AX254" s="1337"/>
      <c r="AY254" s="1337"/>
      <c r="AZ254" s="1229"/>
      <c r="BA254" s="1229" t="str">
        <f>IFERROR(__xludf.DUMMYFUNCTION("""COMPUTED_VALUE"""),"")</f>
        <v/>
      </c>
      <c r="BB254" s="1229" t="str">
        <f>IFERROR(__xludf.DUMMYFUNCTION("""COMPUTED_VALUE"""),"")</f>
        <v/>
      </c>
      <c r="BC254" s="1229"/>
      <c r="BD254" s="1337"/>
      <c r="BE254" s="1337"/>
      <c r="BF254" s="1229"/>
      <c r="BG254" s="1229" t="str">
        <f>IFERROR(__xludf.DUMMYFUNCTION("""COMPUTED_VALUE"""),"")</f>
        <v/>
      </c>
      <c r="BH254" s="1229" t="str">
        <f>IFERROR(__xludf.DUMMYFUNCTION("""COMPUTED_VALUE"""),"")</f>
        <v/>
      </c>
      <c r="BI254" s="1222"/>
      <c r="BJ254" s="1338"/>
      <c r="BK254" s="1338"/>
      <c r="BL254" s="1222"/>
      <c r="BM254" s="1222" t="str">
        <f>IFERROR(__xludf.DUMMYFUNCTION("""COMPUTED_VALUE"""),"")</f>
        <v/>
      </c>
      <c r="BN254" s="1222"/>
      <c r="BO254" s="1222"/>
    </row>
    <row r="255">
      <c r="A255" s="1222"/>
      <c r="B255" s="1229"/>
      <c r="C255" s="1349"/>
      <c r="D255" s="1229"/>
      <c r="E255" s="1229"/>
      <c r="F255" s="1229"/>
      <c r="G255" s="1229"/>
      <c r="H255" s="1229"/>
      <c r="I255" s="1229"/>
      <c r="J255" s="1229"/>
      <c r="K255" s="1229"/>
      <c r="L255" s="1229"/>
      <c r="M255" s="1229"/>
      <c r="N255" s="1337"/>
      <c r="O255" s="1337"/>
      <c r="P255" s="1229"/>
      <c r="Q255" s="1229"/>
      <c r="R255" s="1229"/>
      <c r="S255" s="1229"/>
      <c r="T255" s="1337"/>
      <c r="U255" s="1337"/>
      <c r="V255" s="1229"/>
      <c r="W255" s="1229"/>
      <c r="X255" s="1229"/>
      <c r="Y255" s="1229"/>
      <c r="Z255" s="1337"/>
      <c r="AA255" s="1337"/>
      <c r="AB255" s="1229"/>
      <c r="AC255" s="1229"/>
      <c r="AD255" s="1229"/>
      <c r="AE255" s="1229"/>
      <c r="AF255" s="1337"/>
      <c r="AG255" s="1337"/>
      <c r="AH255" s="1229"/>
      <c r="AI255" s="1229"/>
      <c r="AJ255" s="1229"/>
      <c r="AK255" s="1229"/>
      <c r="AL255" s="1337"/>
      <c r="AM255" s="1337"/>
      <c r="AN255" s="1229"/>
      <c r="AO255" s="1229"/>
      <c r="AP255" s="1229"/>
      <c r="AQ255" s="1229"/>
      <c r="AR255" s="1337"/>
      <c r="AS255" s="1337"/>
      <c r="AT255" s="1229"/>
      <c r="AU255" s="1229"/>
      <c r="AV255" s="1229"/>
      <c r="AW255" s="1229"/>
      <c r="AX255" s="1337"/>
      <c r="AY255" s="1337"/>
      <c r="AZ255" s="1229"/>
      <c r="BA255" s="1229"/>
      <c r="BB255" s="1229"/>
      <c r="BC255" s="1229"/>
      <c r="BD255" s="1337"/>
      <c r="BE255" s="1337"/>
      <c r="BF255" s="1229"/>
      <c r="BG255" s="1229"/>
      <c r="BH255" s="1229"/>
      <c r="BI255" s="1222"/>
      <c r="BJ255" s="1338"/>
      <c r="BK255" s="1338"/>
      <c r="BL255" s="1222"/>
      <c r="BM255" s="1222"/>
      <c r="BN255" s="1222"/>
      <c r="BO255" s="1222"/>
    </row>
    <row r="256" ht="7.5" customHeight="1">
      <c r="A256" s="1222"/>
      <c r="B256" s="1229"/>
      <c r="C256" s="1349"/>
      <c r="D256" s="1229"/>
      <c r="E256" s="1229"/>
      <c r="F256" s="1229"/>
      <c r="G256" s="1229"/>
      <c r="H256" s="1229"/>
      <c r="I256" s="1229"/>
      <c r="J256" s="1229"/>
      <c r="K256" s="1229"/>
      <c r="L256" s="1229" t="str">
        <f>IFERROR(__xludf.DUMMYFUNCTION("""COMPUTED_VALUE"""),"")</f>
        <v/>
      </c>
      <c r="M256" s="1229"/>
      <c r="N256" s="1337"/>
      <c r="O256" s="1337"/>
      <c r="P256" s="1229"/>
      <c r="Q256" s="1229" t="str">
        <f>IFERROR(__xludf.DUMMYFUNCTION("""COMPUTED_VALUE"""),"")</f>
        <v/>
      </c>
      <c r="R256" s="1229" t="str">
        <f>IFERROR(__xludf.DUMMYFUNCTION("""COMPUTED_VALUE"""),"")</f>
        <v/>
      </c>
      <c r="S256" s="1229"/>
      <c r="T256" s="1337"/>
      <c r="U256" s="1337"/>
      <c r="V256" s="1229"/>
      <c r="W256" s="1229" t="str">
        <f>IFERROR(__xludf.DUMMYFUNCTION("""COMPUTED_VALUE"""),"")</f>
        <v/>
      </c>
      <c r="X256" s="1229" t="str">
        <f>IFERROR(__xludf.DUMMYFUNCTION("""COMPUTED_VALUE"""),"")</f>
        <v/>
      </c>
      <c r="Y256" s="1229"/>
      <c r="Z256" s="1337"/>
      <c r="AA256" s="1337"/>
      <c r="AB256" s="1229"/>
      <c r="AC256" s="1229" t="str">
        <f>IFERROR(__xludf.DUMMYFUNCTION("""COMPUTED_VALUE"""),"")</f>
        <v/>
      </c>
      <c r="AD256" s="1229" t="str">
        <f>IFERROR(__xludf.DUMMYFUNCTION("""COMPUTED_VALUE"""),"")</f>
        <v/>
      </c>
      <c r="AE256" s="1229"/>
      <c r="AF256" s="1337"/>
      <c r="AG256" s="1337"/>
      <c r="AH256" s="1229"/>
      <c r="AI256" s="1229" t="str">
        <f>IFERROR(__xludf.DUMMYFUNCTION("""COMPUTED_VALUE"""),"")</f>
        <v/>
      </c>
      <c r="AJ256" s="1229" t="str">
        <f>IFERROR(__xludf.DUMMYFUNCTION("""COMPUTED_VALUE"""),"")</f>
        <v/>
      </c>
      <c r="AK256" s="1229"/>
      <c r="AL256" s="1337"/>
      <c r="AM256" s="1337"/>
      <c r="AN256" s="1229"/>
      <c r="AO256" s="1229" t="str">
        <f>IFERROR(__xludf.DUMMYFUNCTION("""COMPUTED_VALUE"""),"")</f>
        <v/>
      </c>
      <c r="AP256" s="1229" t="str">
        <f>IFERROR(__xludf.DUMMYFUNCTION("""COMPUTED_VALUE"""),"")</f>
        <v/>
      </c>
      <c r="AQ256" s="1229"/>
      <c r="AR256" s="1337"/>
      <c r="AS256" s="1337"/>
      <c r="AT256" s="1229"/>
      <c r="AU256" s="1229" t="str">
        <f>IFERROR(__xludf.DUMMYFUNCTION("""COMPUTED_VALUE"""),"")</f>
        <v/>
      </c>
      <c r="AV256" s="1229" t="str">
        <f>IFERROR(__xludf.DUMMYFUNCTION("""COMPUTED_VALUE"""),"")</f>
        <v/>
      </c>
      <c r="AW256" s="1229"/>
      <c r="AX256" s="1337"/>
      <c r="AY256" s="1337"/>
      <c r="AZ256" s="1229"/>
      <c r="BA256" s="1229" t="str">
        <f>IFERROR(__xludf.DUMMYFUNCTION("""COMPUTED_VALUE"""),"")</f>
        <v/>
      </c>
      <c r="BB256" s="1229" t="str">
        <f>IFERROR(__xludf.DUMMYFUNCTION("""COMPUTED_VALUE"""),"")</f>
        <v/>
      </c>
      <c r="BC256" s="1229"/>
      <c r="BD256" s="1337"/>
      <c r="BE256" s="1337"/>
      <c r="BF256" s="1229"/>
      <c r="BG256" s="1229" t="str">
        <f>IFERROR(__xludf.DUMMYFUNCTION("""COMPUTED_VALUE"""),"")</f>
        <v/>
      </c>
      <c r="BH256" s="1229" t="str">
        <f>IFERROR(__xludf.DUMMYFUNCTION("""COMPUTED_VALUE"""),"")</f>
        <v/>
      </c>
      <c r="BI256" s="1222"/>
      <c r="BJ256" s="1338"/>
      <c r="BK256" s="1338"/>
      <c r="BL256" s="1222"/>
      <c r="BM256" s="1222" t="str">
        <f>IFERROR(__xludf.DUMMYFUNCTION("""COMPUTED_VALUE"""),"")</f>
        <v/>
      </c>
      <c r="BN256" s="1222"/>
      <c r="BO256" s="1222"/>
    </row>
    <row r="257">
      <c r="A257" s="1222"/>
      <c r="B257" s="1229"/>
      <c r="C257" s="1349"/>
      <c r="D257" s="1229"/>
      <c r="E257" s="1229"/>
      <c r="F257" s="1229"/>
      <c r="G257" s="1229"/>
      <c r="H257" s="1229"/>
      <c r="I257" s="1229"/>
      <c r="J257" s="1229"/>
      <c r="K257" s="1229"/>
      <c r="L257" s="1229"/>
      <c r="M257" s="1229"/>
      <c r="N257" s="1337"/>
      <c r="O257" s="1337"/>
      <c r="P257" s="1229"/>
      <c r="Q257" s="1229"/>
      <c r="R257" s="1229"/>
      <c r="S257" s="1229"/>
      <c r="T257" s="1337"/>
      <c r="U257" s="1337"/>
      <c r="V257" s="1229"/>
      <c r="W257" s="1229"/>
      <c r="X257" s="1229"/>
      <c r="Y257" s="1229"/>
      <c r="Z257" s="1337"/>
      <c r="AA257" s="1337"/>
      <c r="AB257" s="1229"/>
      <c r="AC257" s="1229"/>
      <c r="AD257" s="1229"/>
      <c r="AE257" s="1229"/>
      <c r="AF257" s="1337"/>
      <c r="AG257" s="1337"/>
      <c r="AH257" s="1229"/>
      <c r="AI257" s="1229"/>
      <c r="AJ257" s="1229"/>
      <c r="AK257" s="1229"/>
      <c r="AL257" s="1337"/>
      <c r="AM257" s="1337"/>
      <c r="AN257" s="1229"/>
      <c r="AO257" s="1229"/>
      <c r="AP257" s="1229"/>
      <c r="AQ257" s="1229"/>
      <c r="AR257" s="1337"/>
      <c r="AS257" s="1337"/>
      <c r="AT257" s="1229"/>
      <c r="AU257" s="1229"/>
      <c r="AV257" s="1229"/>
      <c r="AW257" s="1229"/>
      <c r="AX257" s="1337"/>
      <c r="AY257" s="1337"/>
      <c r="AZ257" s="1229"/>
      <c r="BA257" s="1229"/>
      <c r="BB257" s="1229"/>
      <c r="BC257" s="1229"/>
      <c r="BD257" s="1337"/>
      <c r="BE257" s="1337"/>
      <c r="BF257" s="1229"/>
      <c r="BG257" s="1229"/>
      <c r="BH257" s="1229"/>
      <c r="BI257" s="1222"/>
      <c r="BJ257" s="1338"/>
      <c r="BK257" s="1338"/>
      <c r="BL257" s="1222"/>
      <c r="BM257" s="1222"/>
      <c r="BN257" s="1222"/>
      <c r="BO257" s="1222"/>
    </row>
    <row r="258" ht="7.5" customHeight="1">
      <c r="A258" s="1222"/>
      <c r="B258" s="1229"/>
      <c r="C258" s="1349"/>
      <c r="D258" s="1229"/>
      <c r="E258" s="1229"/>
      <c r="F258" s="1229"/>
      <c r="G258" s="1229"/>
      <c r="H258" s="1229"/>
      <c r="I258" s="1229"/>
      <c r="J258" s="1229"/>
      <c r="K258" s="1229"/>
      <c r="L258" s="1229" t="str">
        <f>IFERROR(__xludf.DUMMYFUNCTION("""COMPUTED_VALUE"""),"")</f>
        <v/>
      </c>
      <c r="M258" s="1229"/>
      <c r="N258" s="1337"/>
      <c r="O258" s="1337"/>
      <c r="P258" s="1229"/>
      <c r="Q258" s="1229" t="str">
        <f>IFERROR(__xludf.DUMMYFUNCTION("""COMPUTED_VALUE"""),"")</f>
        <v/>
      </c>
      <c r="R258" s="1229" t="str">
        <f>IFERROR(__xludf.DUMMYFUNCTION("""COMPUTED_VALUE"""),"")</f>
        <v/>
      </c>
      <c r="S258" s="1229"/>
      <c r="T258" s="1337"/>
      <c r="U258" s="1337"/>
      <c r="V258" s="1229"/>
      <c r="W258" s="1229" t="str">
        <f>IFERROR(__xludf.DUMMYFUNCTION("""COMPUTED_VALUE"""),"")</f>
        <v/>
      </c>
      <c r="X258" s="1229" t="str">
        <f>IFERROR(__xludf.DUMMYFUNCTION("""COMPUTED_VALUE"""),"")</f>
        <v/>
      </c>
      <c r="Y258" s="1229"/>
      <c r="Z258" s="1337"/>
      <c r="AA258" s="1337"/>
      <c r="AB258" s="1229"/>
      <c r="AC258" s="1229" t="str">
        <f>IFERROR(__xludf.DUMMYFUNCTION("""COMPUTED_VALUE"""),"")</f>
        <v/>
      </c>
      <c r="AD258" s="1229" t="str">
        <f>IFERROR(__xludf.DUMMYFUNCTION("""COMPUTED_VALUE"""),"")</f>
        <v/>
      </c>
      <c r="AE258" s="1229"/>
      <c r="AF258" s="1337"/>
      <c r="AG258" s="1337"/>
      <c r="AH258" s="1229"/>
      <c r="AI258" s="1229" t="str">
        <f>IFERROR(__xludf.DUMMYFUNCTION("""COMPUTED_VALUE"""),"")</f>
        <v/>
      </c>
      <c r="AJ258" s="1229" t="str">
        <f>IFERROR(__xludf.DUMMYFUNCTION("""COMPUTED_VALUE"""),"")</f>
        <v/>
      </c>
      <c r="AK258" s="1229"/>
      <c r="AL258" s="1337"/>
      <c r="AM258" s="1337"/>
      <c r="AN258" s="1229"/>
      <c r="AO258" s="1229" t="str">
        <f>IFERROR(__xludf.DUMMYFUNCTION("""COMPUTED_VALUE"""),"")</f>
        <v/>
      </c>
      <c r="AP258" s="1229" t="str">
        <f>IFERROR(__xludf.DUMMYFUNCTION("""COMPUTED_VALUE"""),"")</f>
        <v/>
      </c>
      <c r="AQ258" s="1229"/>
      <c r="AR258" s="1337"/>
      <c r="AS258" s="1337"/>
      <c r="AT258" s="1229"/>
      <c r="AU258" s="1229" t="str">
        <f>IFERROR(__xludf.DUMMYFUNCTION("""COMPUTED_VALUE"""),"")</f>
        <v/>
      </c>
      <c r="AV258" s="1229" t="str">
        <f>IFERROR(__xludf.DUMMYFUNCTION("""COMPUTED_VALUE"""),"")</f>
        <v/>
      </c>
      <c r="AW258" s="1229"/>
      <c r="AX258" s="1337"/>
      <c r="AY258" s="1337"/>
      <c r="AZ258" s="1229"/>
      <c r="BA258" s="1229" t="str">
        <f>IFERROR(__xludf.DUMMYFUNCTION("""COMPUTED_VALUE"""),"")</f>
        <v/>
      </c>
      <c r="BB258" s="1229" t="str">
        <f>IFERROR(__xludf.DUMMYFUNCTION("""COMPUTED_VALUE"""),"")</f>
        <v/>
      </c>
      <c r="BC258" s="1229"/>
      <c r="BD258" s="1337"/>
      <c r="BE258" s="1337"/>
      <c r="BF258" s="1229"/>
      <c r="BG258" s="1229" t="str">
        <f>IFERROR(__xludf.DUMMYFUNCTION("""COMPUTED_VALUE"""),"")</f>
        <v/>
      </c>
      <c r="BH258" s="1229" t="str">
        <f>IFERROR(__xludf.DUMMYFUNCTION("""COMPUTED_VALUE"""),"")</f>
        <v/>
      </c>
      <c r="BI258" s="1222"/>
      <c r="BJ258" s="1338"/>
      <c r="BK258" s="1338"/>
      <c r="BL258" s="1222"/>
      <c r="BM258" s="1222" t="str">
        <f>IFERROR(__xludf.DUMMYFUNCTION("""COMPUTED_VALUE"""),"")</f>
        <v/>
      </c>
      <c r="BN258" s="1222"/>
      <c r="BO258" s="1222"/>
    </row>
    <row r="259">
      <c r="A259" s="1222"/>
      <c r="B259" s="1229"/>
      <c r="C259" s="1349"/>
      <c r="D259" s="1229"/>
      <c r="E259" s="1229"/>
      <c r="F259" s="1229"/>
      <c r="G259" s="1229"/>
      <c r="H259" s="1229"/>
      <c r="I259" s="1229"/>
      <c r="J259" s="1229"/>
      <c r="K259" s="1229"/>
      <c r="L259" s="1229"/>
      <c r="M259" s="1229"/>
      <c r="N259" s="1337"/>
      <c r="O259" s="1337"/>
      <c r="P259" s="1229"/>
      <c r="Q259" s="1229"/>
      <c r="R259" s="1229"/>
      <c r="S259" s="1229"/>
      <c r="T259" s="1337"/>
      <c r="U259" s="1337"/>
      <c r="V259" s="1229"/>
      <c r="W259" s="1229"/>
      <c r="X259" s="1229"/>
      <c r="Y259" s="1229"/>
      <c r="Z259" s="1337"/>
      <c r="AA259" s="1337"/>
      <c r="AB259" s="1229"/>
      <c r="AC259" s="1229"/>
      <c r="AD259" s="1229"/>
      <c r="AE259" s="1229"/>
      <c r="AF259" s="1337"/>
      <c r="AG259" s="1337"/>
      <c r="AH259" s="1229"/>
      <c r="AI259" s="1229"/>
      <c r="AJ259" s="1229"/>
      <c r="AK259" s="1229"/>
      <c r="AL259" s="1337"/>
      <c r="AM259" s="1337"/>
      <c r="AN259" s="1229"/>
      <c r="AO259" s="1229"/>
      <c r="AP259" s="1229"/>
      <c r="AQ259" s="1229"/>
      <c r="AR259" s="1337"/>
      <c r="AS259" s="1337"/>
      <c r="AT259" s="1229"/>
      <c r="AU259" s="1229"/>
      <c r="AV259" s="1229"/>
      <c r="AW259" s="1229"/>
      <c r="AX259" s="1337"/>
      <c r="AY259" s="1337"/>
      <c r="AZ259" s="1229"/>
      <c r="BA259" s="1229"/>
      <c r="BB259" s="1229"/>
      <c r="BC259" s="1229"/>
      <c r="BD259" s="1337"/>
      <c r="BE259" s="1337"/>
      <c r="BF259" s="1229"/>
      <c r="BG259" s="1229"/>
      <c r="BH259" s="1229"/>
      <c r="BI259" s="1222"/>
      <c r="BJ259" s="1338"/>
      <c r="BK259" s="1338"/>
      <c r="BL259" s="1222"/>
      <c r="BM259" s="1222"/>
      <c r="BN259" s="1222"/>
      <c r="BO259" s="1222"/>
    </row>
    <row r="260" ht="7.5" customHeight="1">
      <c r="A260" s="1222"/>
      <c r="B260" s="1229"/>
      <c r="C260" s="1349"/>
      <c r="D260" s="1229"/>
      <c r="E260" s="1229"/>
      <c r="F260" s="1229"/>
      <c r="G260" s="1229"/>
      <c r="H260" s="1229"/>
      <c r="I260" s="1229"/>
      <c r="J260" s="1229"/>
      <c r="K260" s="1229"/>
      <c r="L260" s="1229" t="str">
        <f>IFERROR(__xludf.DUMMYFUNCTION("""COMPUTED_VALUE"""),"")</f>
        <v/>
      </c>
      <c r="M260" s="1229"/>
      <c r="N260" s="1337"/>
      <c r="O260" s="1337"/>
      <c r="P260" s="1229"/>
      <c r="Q260" s="1229" t="str">
        <f>IFERROR(__xludf.DUMMYFUNCTION("""COMPUTED_VALUE"""),"")</f>
        <v/>
      </c>
      <c r="R260" s="1229" t="str">
        <f>IFERROR(__xludf.DUMMYFUNCTION("""COMPUTED_VALUE"""),"")</f>
        <v/>
      </c>
      <c r="S260" s="1229"/>
      <c r="T260" s="1337"/>
      <c r="U260" s="1337"/>
      <c r="V260" s="1229"/>
      <c r="W260" s="1229" t="str">
        <f>IFERROR(__xludf.DUMMYFUNCTION("""COMPUTED_VALUE"""),"")</f>
        <v/>
      </c>
      <c r="X260" s="1229" t="str">
        <f>IFERROR(__xludf.DUMMYFUNCTION("""COMPUTED_VALUE"""),"")</f>
        <v/>
      </c>
      <c r="Y260" s="1229"/>
      <c r="Z260" s="1337"/>
      <c r="AA260" s="1337"/>
      <c r="AB260" s="1229"/>
      <c r="AC260" s="1229" t="str">
        <f>IFERROR(__xludf.DUMMYFUNCTION("""COMPUTED_VALUE"""),"")</f>
        <v/>
      </c>
      <c r="AD260" s="1229" t="str">
        <f>IFERROR(__xludf.DUMMYFUNCTION("""COMPUTED_VALUE"""),"")</f>
        <v/>
      </c>
      <c r="AE260" s="1229"/>
      <c r="AF260" s="1337"/>
      <c r="AG260" s="1337"/>
      <c r="AH260" s="1229"/>
      <c r="AI260" s="1229" t="str">
        <f>IFERROR(__xludf.DUMMYFUNCTION("""COMPUTED_VALUE"""),"")</f>
        <v/>
      </c>
      <c r="AJ260" s="1229" t="str">
        <f>IFERROR(__xludf.DUMMYFUNCTION("""COMPUTED_VALUE"""),"")</f>
        <v/>
      </c>
      <c r="AK260" s="1229"/>
      <c r="AL260" s="1337"/>
      <c r="AM260" s="1337"/>
      <c r="AN260" s="1229"/>
      <c r="AO260" s="1229" t="str">
        <f>IFERROR(__xludf.DUMMYFUNCTION("""COMPUTED_VALUE"""),"")</f>
        <v/>
      </c>
      <c r="AP260" s="1229" t="str">
        <f>IFERROR(__xludf.DUMMYFUNCTION("""COMPUTED_VALUE"""),"")</f>
        <v/>
      </c>
      <c r="AQ260" s="1229"/>
      <c r="AR260" s="1337"/>
      <c r="AS260" s="1337"/>
      <c r="AT260" s="1229"/>
      <c r="AU260" s="1229" t="str">
        <f>IFERROR(__xludf.DUMMYFUNCTION("""COMPUTED_VALUE"""),"")</f>
        <v/>
      </c>
      <c r="AV260" s="1229" t="str">
        <f>IFERROR(__xludf.DUMMYFUNCTION("""COMPUTED_VALUE"""),"")</f>
        <v/>
      </c>
      <c r="AW260" s="1229"/>
      <c r="AX260" s="1337"/>
      <c r="AY260" s="1337"/>
      <c r="AZ260" s="1229"/>
      <c r="BA260" s="1229" t="str">
        <f>IFERROR(__xludf.DUMMYFUNCTION("""COMPUTED_VALUE"""),"")</f>
        <v/>
      </c>
      <c r="BB260" s="1229" t="str">
        <f>IFERROR(__xludf.DUMMYFUNCTION("""COMPUTED_VALUE"""),"")</f>
        <v/>
      </c>
      <c r="BC260" s="1229"/>
      <c r="BD260" s="1337"/>
      <c r="BE260" s="1337"/>
      <c r="BF260" s="1229"/>
      <c r="BG260" s="1229" t="str">
        <f>IFERROR(__xludf.DUMMYFUNCTION("""COMPUTED_VALUE"""),"")</f>
        <v/>
      </c>
      <c r="BH260" s="1229" t="str">
        <f>IFERROR(__xludf.DUMMYFUNCTION("""COMPUTED_VALUE"""),"")</f>
        <v/>
      </c>
      <c r="BI260" s="1222"/>
      <c r="BJ260" s="1338"/>
      <c r="BK260" s="1338"/>
      <c r="BL260" s="1222"/>
      <c r="BM260" s="1222" t="str">
        <f>IFERROR(__xludf.DUMMYFUNCTION("""COMPUTED_VALUE"""),"")</f>
        <v/>
      </c>
      <c r="BN260" s="1222"/>
      <c r="BO260" s="1222"/>
    </row>
    <row r="261">
      <c r="A261" s="1222"/>
      <c r="B261" s="1229"/>
      <c r="C261" s="1349"/>
      <c r="D261" s="1229"/>
      <c r="E261" s="1229"/>
      <c r="F261" s="1229"/>
      <c r="G261" s="1229"/>
      <c r="H261" s="1229"/>
      <c r="I261" s="1229"/>
      <c r="J261" s="1229"/>
      <c r="K261" s="1229"/>
      <c r="L261" s="1229"/>
      <c r="M261" s="1229"/>
      <c r="N261" s="1337"/>
      <c r="O261" s="1337"/>
      <c r="P261" s="1229"/>
      <c r="Q261" s="1229"/>
      <c r="R261" s="1229"/>
      <c r="S261" s="1229"/>
      <c r="T261" s="1337"/>
      <c r="U261" s="1337"/>
      <c r="V261" s="1229"/>
      <c r="W261" s="1229"/>
      <c r="X261" s="1229"/>
      <c r="Y261" s="1229"/>
      <c r="Z261" s="1337"/>
      <c r="AA261" s="1337"/>
      <c r="AB261" s="1229"/>
      <c r="AC261" s="1229"/>
      <c r="AD261" s="1229"/>
      <c r="AE261" s="1229"/>
      <c r="AF261" s="1337"/>
      <c r="AG261" s="1337"/>
      <c r="AH261" s="1229"/>
      <c r="AI261" s="1229"/>
      <c r="AJ261" s="1229"/>
      <c r="AK261" s="1229"/>
      <c r="AL261" s="1337"/>
      <c r="AM261" s="1337"/>
      <c r="AN261" s="1229"/>
      <c r="AO261" s="1229"/>
      <c r="AP261" s="1229"/>
      <c r="AQ261" s="1229"/>
      <c r="AR261" s="1337"/>
      <c r="AS261" s="1337"/>
      <c r="AT261" s="1229"/>
      <c r="AU261" s="1229"/>
      <c r="AV261" s="1229"/>
      <c r="AW261" s="1229"/>
      <c r="AX261" s="1337"/>
      <c r="AY261" s="1337"/>
      <c r="AZ261" s="1229"/>
      <c r="BA261" s="1229"/>
      <c r="BB261" s="1229"/>
      <c r="BC261" s="1229"/>
      <c r="BD261" s="1337"/>
      <c r="BE261" s="1337"/>
      <c r="BF261" s="1229"/>
      <c r="BG261" s="1229"/>
      <c r="BH261" s="1229"/>
      <c r="BI261" s="1222"/>
      <c r="BJ261" s="1338"/>
      <c r="BK261" s="1338"/>
      <c r="BL261" s="1222"/>
      <c r="BM261" s="1222"/>
      <c r="BN261" s="1222"/>
      <c r="BO261" s="1222"/>
    </row>
    <row r="262" ht="7.5" customHeight="1">
      <c r="A262" s="1222"/>
      <c r="B262" s="1229"/>
      <c r="C262" s="1349"/>
      <c r="D262" s="1229"/>
      <c r="E262" s="1229"/>
      <c r="F262" s="1229"/>
      <c r="G262" s="1229"/>
      <c r="H262" s="1229"/>
      <c r="I262" s="1229"/>
      <c r="J262" s="1229"/>
      <c r="K262" s="1229"/>
      <c r="L262" s="1229" t="str">
        <f>IFERROR(__xludf.DUMMYFUNCTION("""COMPUTED_VALUE"""),"")</f>
        <v/>
      </c>
      <c r="M262" s="1229"/>
      <c r="N262" s="1337"/>
      <c r="O262" s="1337"/>
      <c r="P262" s="1229"/>
      <c r="Q262" s="1229" t="str">
        <f>IFERROR(__xludf.DUMMYFUNCTION("""COMPUTED_VALUE"""),"")</f>
        <v/>
      </c>
      <c r="R262" s="1229" t="str">
        <f>IFERROR(__xludf.DUMMYFUNCTION("""COMPUTED_VALUE"""),"")</f>
        <v/>
      </c>
      <c r="S262" s="1229"/>
      <c r="T262" s="1337"/>
      <c r="U262" s="1337"/>
      <c r="V262" s="1229"/>
      <c r="W262" s="1229" t="str">
        <f>IFERROR(__xludf.DUMMYFUNCTION("""COMPUTED_VALUE"""),"")</f>
        <v/>
      </c>
      <c r="X262" s="1229" t="str">
        <f>IFERROR(__xludf.DUMMYFUNCTION("""COMPUTED_VALUE"""),"")</f>
        <v/>
      </c>
      <c r="Y262" s="1229"/>
      <c r="Z262" s="1337"/>
      <c r="AA262" s="1337"/>
      <c r="AB262" s="1229"/>
      <c r="AC262" s="1229" t="str">
        <f>IFERROR(__xludf.DUMMYFUNCTION("""COMPUTED_VALUE"""),"")</f>
        <v/>
      </c>
      <c r="AD262" s="1229" t="str">
        <f>IFERROR(__xludf.DUMMYFUNCTION("""COMPUTED_VALUE"""),"")</f>
        <v/>
      </c>
      <c r="AE262" s="1229"/>
      <c r="AF262" s="1337"/>
      <c r="AG262" s="1337"/>
      <c r="AH262" s="1229"/>
      <c r="AI262" s="1229" t="str">
        <f>IFERROR(__xludf.DUMMYFUNCTION("""COMPUTED_VALUE"""),"")</f>
        <v/>
      </c>
      <c r="AJ262" s="1229" t="str">
        <f>IFERROR(__xludf.DUMMYFUNCTION("""COMPUTED_VALUE"""),"")</f>
        <v/>
      </c>
      <c r="AK262" s="1229"/>
      <c r="AL262" s="1337"/>
      <c r="AM262" s="1337"/>
      <c r="AN262" s="1229"/>
      <c r="AO262" s="1229" t="str">
        <f>IFERROR(__xludf.DUMMYFUNCTION("""COMPUTED_VALUE"""),"")</f>
        <v/>
      </c>
      <c r="AP262" s="1229" t="str">
        <f>IFERROR(__xludf.DUMMYFUNCTION("""COMPUTED_VALUE"""),"")</f>
        <v/>
      </c>
      <c r="AQ262" s="1229"/>
      <c r="AR262" s="1337"/>
      <c r="AS262" s="1337"/>
      <c r="AT262" s="1229"/>
      <c r="AU262" s="1229" t="str">
        <f>IFERROR(__xludf.DUMMYFUNCTION("""COMPUTED_VALUE"""),"")</f>
        <v/>
      </c>
      <c r="AV262" s="1229" t="str">
        <f>IFERROR(__xludf.DUMMYFUNCTION("""COMPUTED_VALUE"""),"")</f>
        <v/>
      </c>
      <c r="AW262" s="1229"/>
      <c r="AX262" s="1337"/>
      <c r="AY262" s="1337"/>
      <c r="AZ262" s="1229"/>
      <c r="BA262" s="1229" t="str">
        <f>IFERROR(__xludf.DUMMYFUNCTION("""COMPUTED_VALUE"""),"")</f>
        <v/>
      </c>
      <c r="BB262" s="1229" t="str">
        <f>IFERROR(__xludf.DUMMYFUNCTION("""COMPUTED_VALUE"""),"")</f>
        <v/>
      </c>
      <c r="BC262" s="1229"/>
      <c r="BD262" s="1337"/>
      <c r="BE262" s="1337"/>
      <c r="BF262" s="1229"/>
      <c r="BG262" s="1229" t="str">
        <f>IFERROR(__xludf.DUMMYFUNCTION("""COMPUTED_VALUE"""),"")</f>
        <v/>
      </c>
      <c r="BH262" s="1229" t="str">
        <f>IFERROR(__xludf.DUMMYFUNCTION("""COMPUTED_VALUE"""),"")</f>
        <v/>
      </c>
      <c r="BI262" s="1222"/>
      <c r="BJ262" s="1338"/>
      <c r="BK262" s="1338"/>
      <c r="BL262" s="1222"/>
      <c r="BM262" s="1222" t="str">
        <f>IFERROR(__xludf.DUMMYFUNCTION("""COMPUTED_VALUE"""),"")</f>
        <v/>
      </c>
      <c r="BN262" s="1222"/>
      <c r="BO262" s="1222"/>
    </row>
    <row r="263">
      <c r="A263" s="1222"/>
      <c r="B263" s="1229"/>
      <c r="C263" s="1349"/>
      <c r="D263" s="1229"/>
      <c r="E263" s="1229"/>
      <c r="F263" s="1229"/>
      <c r="G263" s="1229"/>
      <c r="H263" s="1229"/>
      <c r="I263" s="1229"/>
      <c r="J263" s="1229"/>
      <c r="K263" s="1229"/>
      <c r="L263" s="1229"/>
      <c r="M263" s="1229"/>
      <c r="N263" s="1337"/>
      <c r="O263" s="1337"/>
      <c r="P263" s="1229"/>
      <c r="Q263" s="1229"/>
      <c r="R263" s="1229"/>
      <c r="S263" s="1229"/>
      <c r="T263" s="1337"/>
      <c r="U263" s="1337"/>
      <c r="V263" s="1229"/>
      <c r="W263" s="1229"/>
      <c r="X263" s="1229"/>
      <c r="Y263" s="1229"/>
      <c r="Z263" s="1337"/>
      <c r="AA263" s="1337"/>
      <c r="AB263" s="1229"/>
      <c r="AC263" s="1229"/>
      <c r="AD263" s="1229"/>
      <c r="AE263" s="1229"/>
      <c r="AF263" s="1337"/>
      <c r="AG263" s="1337"/>
      <c r="AH263" s="1229"/>
      <c r="AI263" s="1229"/>
      <c r="AJ263" s="1229"/>
      <c r="AK263" s="1229"/>
      <c r="AL263" s="1337"/>
      <c r="AM263" s="1337"/>
      <c r="AN263" s="1229"/>
      <c r="AO263" s="1229"/>
      <c r="AP263" s="1229"/>
      <c r="AQ263" s="1229"/>
      <c r="AR263" s="1337"/>
      <c r="AS263" s="1337"/>
      <c r="AT263" s="1229"/>
      <c r="AU263" s="1229"/>
      <c r="AV263" s="1229"/>
      <c r="AW263" s="1229"/>
      <c r="AX263" s="1337"/>
      <c r="AY263" s="1337"/>
      <c r="AZ263" s="1229"/>
      <c r="BA263" s="1229"/>
      <c r="BB263" s="1229"/>
      <c r="BC263" s="1229"/>
      <c r="BD263" s="1337"/>
      <c r="BE263" s="1337"/>
      <c r="BF263" s="1229"/>
      <c r="BG263" s="1229"/>
      <c r="BH263" s="1229"/>
      <c r="BI263" s="1222"/>
      <c r="BJ263" s="1338"/>
      <c r="BK263" s="1338"/>
      <c r="BL263" s="1222"/>
      <c r="BM263" s="1222"/>
      <c r="BN263" s="1222"/>
      <c r="BO263" s="1222"/>
    </row>
    <row r="264" ht="7.5" customHeight="1">
      <c r="A264" s="1222"/>
      <c r="B264" s="1229"/>
      <c r="C264" s="1349"/>
      <c r="D264" s="1229"/>
      <c r="E264" s="1229"/>
      <c r="F264" s="1229"/>
      <c r="G264" s="1229"/>
      <c r="H264" s="1229"/>
      <c r="I264" s="1229"/>
      <c r="J264" s="1229"/>
      <c r="K264" s="1229"/>
      <c r="L264" s="1229" t="str">
        <f>IFERROR(__xludf.DUMMYFUNCTION("""COMPUTED_VALUE"""),"")</f>
        <v/>
      </c>
      <c r="M264" s="1229"/>
      <c r="N264" s="1337"/>
      <c r="O264" s="1337"/>
      <c r="P264" s="1229"/>
      <c r="Q264" s="1229" t="str">
        <f>IFERROR(__xludf.DUMMYFUNCTION("""COMPUTED_VALUE"""),"")</f>
        <v/>
      </c>
      <c r="R264" s="1229" t="str">
        <f>IFERROR(__xludf.DUMMYFUNCTION("""COMPUTED_VALUE"""),"")</f>
        <v/>
      </c>
      <c r="S264" s="1229"/>
      <c r="T264" s="1337"/>
      <c r="U264" s="1337"/>
      <c r="V264" s="1229"/>
      <c r="W264" s="1229" t="str">
        <f>IFERROR(__xludf.DUMMYFUNCTION("""COMPUTED_VALUE"""),"")</f>
        <v/>
      </c>
      <c r="X264" s="1229" t="str">
        <f>IFERROR(__xludf.DUMMYFUNCTION("""COMPUTED_VALUE"""),"")</f>
        <v/>
      </c>
      <c r="Y264" s="1229"/>
      <c r="Z264" s="1337"/>
      <c r="AA264" s="1337"/>
      <c r="AB264" s="1229"/>
      <c r="AC264" s="1229" t="str">
        <f>IFERROR(__xludf.DUMMYFUNCTION("""COMPUTED_VALUE"""),"")</f>
        <v/>
      </c>
      <c r="AD264" s="1229" t="str">
        <f>IFERROR(__xludf.DUMMYFUNCTION("""COMPUTED_VALUE"""),"")</f>
        <v/>
      </c>
      <c r="AE264" s="1229"/>
      <c r="AF264" s="1337"/>
      <c r="AG264" s="1337"/>
      <c r="AH264" s="1229"/>
      <c r="AI264" s="1229" t="str">
        <f>IFERROR(__xludf.DUMMYFUNCTION("""COMPUTED_VALUE"""),"")</f>
        <v/>
      </c>
      <c r="AJ264" s="1229" t="str">
        <f>IFERROR(__xludf.DUMMYFUNCTION("""COMPUTED_VALUE"""),"")</f>
        <v/>
      </c>
      <c r="AK264" s="1229"/>
      <c r="AL264" s="1337"/>
      <c r="AM264" s="1337"/>
      <c r="AN264" s="1229"/>
      <c r="AO264" s="1229" t="str">
        <f>IFERROR(__xludf.DUMMYFUNCTION("""COMPUTED_VALUE"""),"")</f>
        <v/>
      </c>
      <c r="AP264" s="1229" t="str">
        <f>IFERROR(__xludf.DUMMYFUNCTION("""COMPUTED_VALUE"""),"")</f>
        <v/>
      </c>
      <c r="AQ264" s="1229"/>
      <c r="AR264" s="1337"/>
      <c r="AS264" s="1337"/>
      <c r="AT264" s="1229"/>
      <c r="AU264" s="1229" t="str">
        <f>IFERROR(__xludf.DUMMYFUNCTION("""COMPUTED_VALUE"""),"")</f>
        <v/>
      </c>
      <c r="AV264" s="1229" t="str">
        <f>IFERROR(__xludf.DUMMYFUNCTION("""COMPUTED_VALUE"""),"")</f>
        <v/>
      </c>
      <c r="AW264" s="1229"/>
      <c r="AX264" s="1337"/>
      <c r="AY264" s="1337"/>
      <c r="AZ264" s="1229"/>
      <c r="BA264" s="1229" t="str">
        <f>IFERROR(__xludf.DUMMYFUNCTION("""COMPUTED_VALUE"""),"")</f>
        <v/>
      </c>
      <c r="BB264" s="1229" t="str">
        <f>IFERROR(__xludf.DUMMYFUNCTION("""COMPUTED_VALUE"""),"")</f>
        <v/>
      </c>
      <c r="BC264" s="1229"/>
      <c r="BD264" s="1337"/>
      <c r="BE264" s="1337"/>
      <c r="BF264" s="1229"/>
      <c r="BG264" s="1229" t="str">
        <f>IFERROR(__xludf.DUMMYFUNCTION("""COMPUTED_VALUE"""),"")</f>
        <v/>
      </c>
      <c r="BH264" s="1229" t="str">
        <f>IFERROR(__xludf.DUMMYFUNCTION("""COMPUTED_VALUE"""),"")</f>
        <v/>
      </c>
      <c r="BI264" s="1222"/>
      <c r="BJ264" s="1338"/>
      <c r="BK264" s="1338"/>
      <c r="BL264" s="1222"/>
      <c r="BM264" s="1222" t="str">
        <f>IFERROR(__xludf.DUMMYFUNCTION("""COMPUTED_VALUE"""),"")</f>
        <v/>
      </c>
      <c r="BN264" s="1222"/>
      <c r="BO264" s="1222"/>
    </row>
    <row r="265">
      <c r="A265" s="1222"/>
      <c r="B265" s="1229"/>
      <c r="C265" s="1349"/>
      <c r="D265" s="1229"/>
      <c r="E265" s="1229"/>
      <c r="F265" s="1229"/>
      <c r="G265" s="1229"/>
      <c r="H265" s="1229"/>
      <c r="I265" s="1229"/>
      <c r="J265" s="1229"/>
      <c r="K265" s="1229"/>
      <c r="L265" s="1229"/>
      <c r="M265" s="1229"/>
      <c r="N265" s="1337"/>
      <c r="O265" s="1337"/>
      <c r="P265" s="1229"/>
      <c r="Q265" s="1229"/>
      <c r="R265" s="1229"/>
      <c r="S265" s="1229"/>
      <c r="T265" s="1337"/>
      <c r="U265" s="1337"/>
      <c r="V265" s="1229"/>
      <c r="W265" s="1229"/>
      <c r="X265" s="1229"/>
      <c r="Y265" s="1229"/>
      <c r="Z265" s="1337"/>
      <c r="AA265" s="1337"/>
      <c r="AB265" s="1229"/>
      <c r="AC265" s="1229"/>
      <c r="AD265" s="1229"/>
      <c r="AE265" s="1229"/>
      <c r="AF265" s="1337"/>
      <c r="AG265" s="1337"/>
      <c r="AH265" s="1229"/>
      <c r="AI265" s="1229"/>
      <c r="AJ265" s="1229"/>
      <c r="AK265" s="1229"/>
      <c r="AL265" s="1337"/>
      <c r="AM265" s="1337"/>
      <c r="AN265" s="1229"/>
      <c r="AO265" s="1229"/>
      <c r="AP265" s="1229"/>
      <c r="AQ265" s="1229"/>
      <c r="AR265" s="1337"/>
      <c r="AS265" s="1337"/>
      <c r="AT265" s="1229"/>
      <c r="AU265" s="1229"/>
      <c r="AV265" s="1229"/>
      <c r="AW265" s="1229"/>
      <c r="AX265" s="1337"/>
      <c r="AY265" s="1337"/>
      <c r="AZ265" s="1229"/>
      <c r="BA265" s="1229"/>
      <c r="BB265" s="1229"/>
      <c r="BC265" s="1229"/>
      <c r="BD265" s="1337"/>
      <c r="BE265" s="1337"/>
      <c r="BF265" s="1229"/>
      <c r="BG265" s="1229"/>
      <c r="BH265" s="1229"/>
      <c r="BI265" s="1222"/>
      <c r="BJ265" s="1338"/>
      <c r="BK265" s="1338"/>
      <c r="BL265" s="1222"/>
      <c r="BM265" s="1222"/>
      <c r="BN265" s="1222"/>
      <c r="BO265" s="1222"/>
    </row>
    <row r="266" ht="7.5" customHeight="1">
      <c r="A266" s="1222"/>
      <c r="B266" s="1229"/>
      <c r="C266" s="1349"/>
      <c r="D266" s="1229"/>
      <c r="E266" s="1229"/>
      <c r="F266" s="1229"/>
      <c r="G266" s="1229"/>
      <c r="H266" s="1229"/>
      <c r="I266" s="1229"/>
      <c r="J266" s="1229"/>
      <c r="K266" s="1229"/>
      <c r="L266" s="1229" t="str">
        <f>IFERROR(__xludf.DUMMYFUNCTION("""COMPUTED_VALUE"""),"")</f>
        <v/>
      </c>
      <c r="M266" s="1229"/>
      <c r="N266" s="1337"/>
      <c r="O266" s="1337"/>
      <c r="P266" s="1229"/>
      <c r="Q266" s="1229" t="str">
        <f>IFERROR(__xludf.DUMMYFUNCTION("""COMPUTED_VALUE"""),"")</f>
        <v/>
      </c>
      <c r="R266" s="1229" t="str">
        <f>IFERROR(__xludf.DUMMYFUNCTION("""COMPUTED_VALUE"""),"")</f>
        <v/>
      </c>
      <c r="S266" s="1229"/>
      <c r="T266" s="1337"/>
      <c r="U266" s="1337"/>
      <c r="V266" s="1229"/>
      <c r="W266" s="1229" t="str">
        <f>IFERROR(__xludf.DUMMYFUNCTION("""COMPUTED_VALUE"""),"")</f>
        <v/>
      </c>
      <c r="X266" s="1229" t="str">
        <f>IFERROR(__xludf.DUMMYFUNCTION("""COMPUTED_VALUE"""),"")</f>
        <v/>
      </c>
      <c r="Y266" s="1229"/>
      <c r="Z266" s="1337"/>
      <c r="AA266" s="1337"/>
      <c r="AB266" s="1229"/>
      <c r="AC266" s="1229" t="str">
        <f>IFERROR(__xludf.DUMMYFUNCTION("""COMPUTED_VALUE"""),"")</f>
        <v/>
      </c>
      <c r="AD266" s="1229" t="str">
        <f>IFERROR(__xludf.DUMMYFUNCTION("""COMPUTED_VALUE"""),"")</f>
        <v/>
      </c>
      <c r="AE266" s="1229"/>
      <c r="AF266" s="1337"/>
      <c r="AG266" s="1337"/>
      <c r="AH266" s="1229"/>
      <c r="AI266" s="1229" t="str">
        <f>IFERROR(__xludf.DUMMYFUNCTION("""COMPUTED_VALUE"""),"")</f>
        <v/>
      </c>
      <c r="AJ266" s="1229" t="str">
        <f>IFERROR(__xludf.DUMMYFUNCTION("""COMPUTED_VALUE"""),"")</f>
        <v/>
      </c>
      <c r="AK266" s="1229"/>
      <c r="AL266" s="1337"/>
      <c r="AM266" s="1337"/>
      <c r="AN266" s="1229"/>
      <c r="AO266" s="1229" t="str">
        <f>IFERROR(__xludf.DUMMYFUNCTION("""COMPUTED_VALUE"""),"")</f>
        <v/>
      </c>
      <c r="AP266" s="1229" t="str">
        <f>IFERROR(__xludf.DUMMYFUNCTION("""COMPUTED_VALUE"""),"")</f>
        <v/>
      </c>
      <c r="AQ266" s="1229"/>
      <c r="AR266" s="1337"/>
      <c r="AS266" s="1337"/>
      <c r="AT266" s="1229"/>
      <c r="AU266" s="1229" t="str">
        <f>IFERROR(__xludf.DUMMYFUNCTION("""COMPUTED_VALUE"""),"")</f>
        <v/>
      </c>
      <c r="AV266" s="1229" t="str">
        <f>IFERROR(__xludf.DUMMYFUNCTION("""COMPUTED_VALUE"""),"")</f>
        <v/>
      </c>
      <c r="AW266" s="1229"/>
      <c r="AX266" s="1337"/>
      <c r="AY266" s="1337"/>
      <c r="AZ266" s="1229"/>
      <c r="BA266" s="1229" t="str">
        <f>IFERROR(__xludf.DUMMYFUNCTION("""COMPUTED_VALUE"""),"")</f>
        <v/>
      </c>
      <c r="BB266" s="1229" t="str">
        <f>IFERROR(__xludf.DUMMYFUNCTION("""COMPUTED_VALUE"""),"")</f>
        <v/>
      </c>
      <c r="BC266" s="1229"/>
      <c r="BD266" s="1337"/>
      <c r="BE266" s="1337"/>
      <c r="BF266" s="1229"/>
      <c r="BG266" s="1229" t="str">
        <f>IFERROR(__xludf.DUMMYFUNCTION("""COMPUTED_VALUE"""),"")</f>
        <v/>
      </c>
      <c r="BH266" s="1229" t="str">
        <f>IFERROR(__xludf.DUMMYFUNCTION("""COMPUTED_VALUE"""),"")</f>
        <v/>
      </c>
      <c r="BI266" s="1222"/>
      <c r="BJ266" s="1338"/>
      <c r="BK266" s="1338"/>
      <c r="BL266" s="1222"/>
      <c r="BM266" s="1222" t="str">
        <f>IFERROR(__xludf.DUMMYFUNCTION("""COMPUTED_VALUE"""),"")</f>
        <v/>
      </c>
      <c r="BN266" s="1222"/>
      <c r="BO266" s="1222"/>
    </row>
    <row r="267">
      <c r="A267" s="1222"/>
      <c r="B267" s="1229"/>
      <c r="C267" s="1349"/>
      <c r="D267" s="1229"/>
      <c r="E267" s="1229"/>
      <c r="F267" s="1229"/>
      <c r="G267" s="1229"/>
      <c r="H267" s="1229"/>
      <c r="I267" s="1229"/>
      <c r="J267" s="1229"/>
      <c r="K267" s="1229"/>
      <c r="L267" s="1229"/>
      <c r="M267" s="1229"/>
      <c r="N267" s="1337"/>
      <c r="O267" s="1337"/>
      <c r="P267" s="1229"/>
      <c r="Q267" s="1229"/>
      <c r="R267" s="1229"/>
      <c r="S267" s="1229"/>
      <c r="T267" s="1337"/>
      <c r="U267" s="1337"/>
      <c r="V267" s="1229"/>
      <c r="W267" s="1229"/>
      <c r="X267" s="1229"/>
      <c r="Y267" s="1229"/>
      <c r="Z267" s="1337"/>
      <c r="AA267" s="1337"/>
      <c r="AB267" s="1229"/>
      <c r="AC267" s="1229"/>
      <c r="AD267" s="1229"/>
      <c r="AE267" s="1229"/>
      <c r="AF267" s="1337"/>
      <c r="AG267" s="1337"/>
      <c r="AH267" s="1229"/>
      <c r="AI267" s="1229"/>
      <c r="AJ267" s="1229"/>
      <c r="AK267" s="1229"/>
      <c r="AL267" s="1337"/>
      <c r="AM267" s="1337"/>
      <c r="AN267" s="1229"/>
      <c r="AO267" s="1229"/>
      <c r="AP267" s="1229"/>
      <c r="AQ267" s="1229"/>
      <c r="AR267" s="1337"/>
      <c r="AS267" s="1337"/>
      <c r="AT267" s="1229"/>
      <c r="AU267" s="1229"/>
      <c r="AV267" s="1229"/>
      <c r="AW267" s="1229"/>
      <c r="AX267" s="1337"/>
      <c r="AY267" s="1337"/>
      <c r="AZ267" s="1229"/>
      <c r="BA267" s="1229"/>
      <c r="BB267" s="1229"/>
      <c r="BC267" s="1229"/>
      <c r="BD267" s="1337"/>
      <c r="BE267" s="1337"/>
      <c r="BF267" s="1229"/>
      <c r="BG267" s="1229"/>
      <c r="BH267" s="1229"/>
      <c r="BI267" s="1222"/>
      <c r="BJ267" s="1338"/>
      <c r="BK267" s="1338"/>
      <c r="BL267" s="1222"/>
      <c r="BM267" s="1222"/>
      <c r="BN267" s="1222"/>
      <c r="BO267" s="1222"/>
    </row>
    <row r="268" ht="7.5" customHeight="1">
      <c r="A268" s="1222"/>
      <c r="B268" s="1229"/>
      <c r="C268" s="1349"/>
      <c r="D268" s="1229"/>
      <c r="E268" s="1229"/>
      <c r="F268" s="1229"/>
      <c r="G268" s="1229"/>
      <c r="H268" s="1229"/>
      <c r="I268" s="1229"/>
      <c r="J268" s="1229"/>
      <c r="K268" s="1229"/>
      <c r="L268" s="1229" t="str">
        <f>IFERROR(__xludf.DUMMYFUNCTION("""COMPUTED_VALUE"""),"")</f>
        <v/>
      </c>
      <c r="M268" s="1229"/>
      <c r="N268" s="1337"/>
      <c r="O268" s="1337"/>
      <c r="P268" s="1229"/>
      <c r="Q268" s="1229" t="str">
        <f>IFERROR(__xludf.DUMMYFUNCTION("""COMPUTED_VALUE"""),"")</f>
        <v/>
      </c>
      <c r="R268" s="1229" t="str">
        <f>IFERROR(__xludf.DUMMYFUNCTION("""COMPUTED_VALUE"""),"")</f>
        <v/>
      </c>
      <c r="S268" s="1229"/>
      <c r="T268" s="1337"/>
      <c r="U268" s="1337"/>
      <c r="V268" s="1229"/>
      <c r="W268" s="1229" t="str">
        <f>IFERROR(__xludf.DUMMYFUNCTION("""COMPUTED_VALUE"""),"")</f>
        <v/>
      </c>
      <c r="X268" s="1229" t="str">
        <f>IFERROR(__xludf.DUMMYFUNCTION("""COMPUTED_VALUE"""),"")</f>
        <v/>
      </c>
      <c r="Y268" s="1229"/>
      <c r="Z268" s="1337"/>
      <c r="AA268" s="1337"/>
      <c r="AB268" s="1229"/>
      <c r="AC268" s="1229" t="str">
        <f>IFERROR(__xludf.DUMMYFUNCTION("""COMPUTED_VALUE"""),"")</f>
        <v/>
      </c>
      <c r="AD268" s="1229" t="str">
        <f>IFERROR(__xludf.DUMMYFUNCTION("""COMPUTED_VALUE"""),"")</f>
        <v/>
      </c>
      <c r="AE268" s="1229"/>
      <c r="AF268" s="1337"/>
      <c r="AG268" s="1337"/>
      <c r="AH268" s="1229"/>
      <c r="AI268" s="1229" t="str">
        <f>IFERROR(__xludf.DUMMYFUNCTION("""COMPUTED_VALUE"""),"")</f>
        <v/>
      </c>
      <c r="AJ268" s="1229" t="str">
        <f>IFERROR(__xludf.DUMMYFUNCTION("""COMPUTED_VALUE"""),"")</f>
        <v/>
      </c>
      <c r="AK268" s="1229"/>
      <c r="AL268" s="1337"/>
      <c r="AM268" s="1337"/>
      <c r="AN268" s="1229"/>
      <c r="AO268" s="1229" t="str">
        <f>IFERROR(__xludf.DUMMYFUNCTION("""COMPUTED_VALUE"""),"")</f>
        <v/>
      </c>
      <c r="AP268" s="1229" t="str">
        <f>IFERROR(__xludf.DUMMYFUNCTION("""COMPUTED_VALUE"""),"")</f>
        <v/>
      </c>
      <c r="AQ268" s="1229"/>
      <c r="AR268" s="1337"/>
      <c r="AS268" s="1337"/>
      <c r="AT268" s="1229"/>
      <c r="AU268" s="1229" t="str">
        <f>IFERROR(__xludf.DUMMYFUNCTION("""COMPUTED_VALUE"""),"")</f>
        <v/>
      </c>
      <c r="AV268" s="1229" t="str">
        <f>IFERROR(__xludf.DUMMYFUNCTION("""COMPUTED_VALUE"""),"")</f>
        <v/>
      </c>
      <c r="AW268" s="1229"/>
      <c r="AX268" s="1337"/>
      <c r="AY268" s="1337"/>
      <c r="AZ268" s="1229"/>
      <c r="BA268" s="1229" t="str">
        <f>IFERROR(__xludf.DUMMYFUNCTION("""COMPUTED_VALUE"""),"")</f>
        <v/>
      </c>
      <c r="BB268" s="1229" t="str">
        <f>IFERROR(__xludf.DUMMYFUNCTION("""COMPUTED_VALUE"""),"")</f>
        <v/>
      </c>
      <c r="BC268" s="1229"/>
      <c r="BD268" s="1337"/>
      <c r="BE268" s="1337"/>
      <c r="BF268" s="1229"/>
      <c r="BG268" s="1229" t="str">
        <f>IFERROR(__xludf.DUMMYFUNCTION("""COMPUTED_VALUE"""),"")</f>
        <v/>
      </c>
      <c r="BH268" s="1229" t="str">
        <f>IFERROR(__xludf.DUMMYFUNCTION("""COMPUTED_VALUE"""),"")</f>
        <v/>
      </c>
      <c r="BI268" s="1222"/>
      <c r="BJ268" s="1338"/>
      <c r="BK268" s="1338"/>
      <c r="BL268" s="1222"/>
      <c r="BM268" s="1222" t="str">
        <f>IFERROR(__xludf.DUMMYFUNCTION("""COMPUTED_VALUE"""),"")</f>
        <v/>
      </c>
      <c r="BN268" s="1222"/>
      <c r="BO268" s="1222"/>
    </row>
    <row r="269">
      <c r="A269" s="1222"/>
      <c r="B269" s="1229"/>
      <c r="C269" s="1349"/>
      <c r="D269" s="1229"/>
      <c r="E269" s="1229"/>
      <c r="F269" s="1229"/>
      <c r="G269" s="1229"/>
      <c r="H269" s="1229"/>
      <c r="I269" s="1229"/>
      <c r="J269" s="1229"/>
      <c r="K269" s="1229"/>
      <c r="L269" s="1229"/>
      <c r="M269" s="1229"/>
      <c r="N269" s="1337"/>
      <c r="O269" s="1337"/>
      <c r="P269" s="1229"/>
      <c r="Q269" s="1229"/>
      <c r="R269" s="1229"/>
      <c r="S269" s="1229"/>
      <c r="T269" s="1337"/>
      <c r="U269" s="1337"/>
      <c r="V269" s="1229"/>
      <c r="W269" s="1229"/>
      <c r="X269" s="1229"/>
      <c r="Y269" s="1229"/>
      <c r="Z269" s="1337"/>
      <c r="AA269" s="1337"/>
      <c r="AB269" s="1229"/>
      <c r="AC269" s="1229"/>
      <c r="AD269" s="1229"/>
      <c r="AE269" s="1229"/>
      <c r="AF269" s="1337"/>
      <c r="AG269" s="1337"/>
      <c r="AH269" s="1229"/>
      <c r="AI269" s="1229"/>
      <c r="AJ269" s="1229"/>
      <c r="AK269" s="1229"/>
      <c r="AL269" s="1337"/>
      <c r="AM269" s="1337"/>
      <c r="AN269" s="1229"/>
      <c r="AO269" s="1229"/>
      <c r="AP269" s="1229"/>
      <c r="AQ269" s="1229"/>
      <c r="AR269" s="1337"/>
      <c r="AS269" s="1337"/>
      <c r="AT269" s="1229"/>
      <c r="AU269" s="1229"/>
      <c r="AV269" s="1229"/>
      <c r="AW269" s="1229"/>
      <c r="AX269" s="1337"/>
      <c r="AY269" s="1337"/>
      <c r="AZ269" s="1229"/>
      <c r="BA269" s="1229"/>
      <c r="BB269" s="1229"/>
      <c r="BC269" s="1229"/>
      <c r="BD269" s="1337"/>
      <c r="BE269" s="1337"/>
      <c r="BF269" s="1229"/>
      <c r="BG269" s="1229"/>
      <c r="BH269" s="1229"/>
      <c r="BI269" s="1222"/>
      <c r="BJ269" s="1338"/>
      <c r="BK269" s="1338"/>
      <c r="BL269" s="1222"/>
      <c r="BM269" s="1222"/>
      <c r="BN269" s="1222"/>
      <c r="BO269" s="1222"/>
    </row>
    <row r="270" ht="7.5" customHeight="1">
      <c r="A270" s="1222"/>
      <c r="B270" s="1229"/>
      <c r="C270" s="1349"/>
      <c r="D270" s="1229"/>
      <c r="E270" s="1229"/>
      <c r="F270" s="1229"/>
      <c r="G270" s="1229"/>
      <c r="H270" s="1229"/>
      <c r="I270" s="1229"/>
      <c r="J270" s="1229"/>
      <c r="K270" s="1229"/>
      <c r="L270" s="1229" t="str">
        <f>IFERROR(__xludf.DUMMYFUNCTION("""COMPUTED_VALUE"""),"")</f>
        <v/>
      </c>
      <c r="M270" s="1229"/>
      <c r="N270" s="1337"/>
      <c r="O270" s="1337"/>
      <c r="P270" s="1229"/>
      <c r="Q270" s="1229" t="str">
        <f>IFERROR(__xludf.DUMMYFUNCTION("""COMPUTED_VALUE"""),"")</f>
        <v/>
      </c>
      <c r="R270" s="1229" t="str">
        <f>IFERROR(__xludf.DUMMYFUNCTION("""COMPUTED_VALUE"""),"")</f>
        <v/>
      </c>
      <c r="S270" s="1229"/>
      <c r="T270" s="1337"/>
      <c r="U270" s="1337"/>
      <c r="V270" s="1229"/>
      <c r="W270" s="1229" t="str">
        <f>IFERROR(__xludf.DUMMYFUNCTION("""COMPUTED_VALUE"""),"")</f>
        <v/>
      </c>
      <c r="X270" s="1229" t="str">
        <f>IFERROR(__xludf.DUMMYFUNCTION("""COMPUTED_VALUE"""),"")</f>
        <v/>
      </c>
      <c r="Y270" s="1229"/>
      <c r="Z270" s="1337"/>
      <c r="AA270" s="1337"/>
      <c r="AB270" s="1229"/>
      <c r="AC270" s="1229" t="str">
        <f>IFERROR(__xludf.DUMMYFUNCTION("""COMPUTED_VALUE"""),"")</f>
        <v/>
      </c>
      <c r="AD270" s="1229" t="str">
        <f>IFERROR(__xludf.DUMMYFUNCTION("""COMPUTED_VALUE"""),"")</f>
        <v/>
      </c>
      <c r="AE270" s="1229"/>
      <c r="AF270" s="1337"/>
      <c r="AG270" s="1337"/>
      <c r="AH270" s="1229"/>
      <c r="AI270" s="1229" t="str">
        <f>IFERROR(__xludf.DUMMYFUNCTION("""COMPUTED_VALUE"""),"")</f>
        <v/>
      </c>
      <c r="AJ270" s="1229" t="str">
        <f>IFERROR(__xludf.DUMMYFUNCTION("""COMPUTED_VALUE"""),"")</f>
        <v/>
      </c>
      <c r="AK270" s="1229"/>
      <c r="AL270" s="1337"/>
      <c r="AM270" s="1337"/>
      <c r="AN270" s="1229"/>
      <c r="AO270" s="1229" t="str">
        <f>IFERROR(__xludf.DUMMYFUNCTION("""COMPUTED_VALUE"""),"")</f>
        <v/>
      </c>
      <c r="AP270" s="1229" t="str">
        <f>IFERROR(__xludf.DUMMYFUNCTION("""COMPUTED_VALUE"""),"")</f>
        <v/>
      </c>
      <c r="AQ270" s="1229"/>
      <c r="AR270" s="1337"/>
      <c r="AS270" s="1337"/>
      <c r="AT270" s="1229"/>
      <c r="AU270" s="1229" t="str">
        <f>IFERROR(__xludf.DUMMYFUNCTION("""COMPUTED_VALUE"""),"")</f>
        <v/>
      </c>
      <c r="AV270" s="1229" t="str">
        <f>IFERROR(__xludf.DUMMYFUNCTION("""COMPUTED_VALUE"""),"")</f>
        <v/>
      </c>
      <c r="AW270" s="1229"/>
      <c r="AX270" s="1337"/>
      <c r="AY270" s="1337"/>
      <c r="AZ270" s="1229"/>
      <c r="BA270" s="1229" t="str">
        <f>IFERROR(__xludf.DUMMYFUNCTION("""COMPUTED_VALUE"""),"")</f>
        <v/>
      </c>
      <c r="BB270" s="1229" t="str">
        <f>IFERROR(__xludf.DUMMYFUNCTION("""COMPUTED_VALUE"""),"")</f>
        <v/>
      </c>
      <c r="BC270" s="1229"/>
      <c r="BD270" s="1337"/>
      <c r="BE270" s="1337"/>
      <c r="BF270" s="1229"/>
      <c r="BG270" s="1229" t="str">
        <f>IFERROR(__xludf.DUMMYFUNCTION("""COMPUTED_VALUE"""),"")</f>
        <v/>
      </c>
      <c r="BH270" s="1229" t="str">
        <f>IFERROR(__xludf.DUMMYFUNCTION("""COMPUTED_VALUE"""),"")</f>
        <v/>
      </c>
      <c r="BI270" s="1222"/>
      <c r="BJ270" s="1338"/>
      <c r="BK270" s="1338"/>
      <c r="BL270" s="1222"/>
      <c r="BM270" s="1222" t="str">
        <f>IFERROR(__xludf.DUMMYFUNCTION("""COMPUTED_VALUE"""),"")</f>
        <v/>
      </c>
      <c r="BN270" s="1222"/>
      <c r="BO270" s="1222"/>
    </row>
    <row r="271">
      <c r="A271" s="1222"/>
      <c r="B271" s="1229"/>
      <c r="C271" s="1349"/>
      <c r="D271" s="1229"/>
      <c r="E271" s="1229"/>
      <c r="F271" s="1229"/>
      <c r="G271" s="1229"/>
      <c r="H271" s="1229"/>
      <c r="I271" s="1229"/>
      <c r="J271" s="1229"/>
      <c r="K271" s="1229"/>
      <c r="L271" s="1229"/>
      <c r="M271" s="1229"/>
      <c r="N271" s="1337"/>
      <c r="O271" s="1337"/>
      <c r="P271" s="1229"/>
      <c r="Q271" s="1229"/>
      <c r="R271" s="1229"/>
      <c r="S271" s="1229"/>
      <c r="T271" s="1337"/>
      <c r="U271" s="1337"/>
      <c r="V271" s="1229"/>
      <c r="W271" s="1229"/>
      <c r="X271" s="1229"/>
      <c r="Y271" s="1229"/>
      <c r="Z271" s="1337"/>
      <c r="AA271" s="1337"/>
      <c r="AB271" s="1229"/>
      <c r="AC271" s="1229"/>
      <c r="AD271" s="1229"/>
      <c r="AE271" s="1229"/>
      <c r="AF271" s="1337"/>
      <c r="AG271" s="1337"/>
      <c r="AH271" s="1229"/>
      <c r="AI271" s="1229"/>
      <c r="AJ271" s="1229"/>
      <c r="AK271" s="1229"/>
      <c r="AL271" s="1337"/>
      <c r="AM271" s="1337"/>
      <c r="AN271" s="1229"/>
      <c r="AO271" s="1229"/>
      <c r="AP271" s="1229"/>
      <c r="AQ271" s="1229"/>
      <c r="AR271" s="1337"/>
      <c r="AS271" s="1337"/>
      <c r="AT271" s="1229"/>
      <c r="AU271" s="1229"/>
      <c r="AV271" s="1229"/>
      <c r="AW271" s="1229"/>
      <c r="AX271" s="1337"/>
      <c r="AY271" s="1337"/>
      <c r="AZ271" s="1229"/>
      <c r="BA271" s="1229"/>
      <c r="BB271" s="1229"/>
      <c r="BC271" s="1229"/>
      <c r="BD271" s="1337"/>
      <c r="BE271" s="1337"/>
      <c r="BF271" s="1229"/>
      <c r="BG271" s="1229"/>
      <c r="BH271" s="1229"/>
      <c r="BI271" s="1222"/>
      <c r="BJ271" s="1338"/>
      <c r="BK271" s="1338"/>
      <c r="BL271" s="1222"/>
      <c r="BM271" s="1222"/>
      <c r="BN271" s="1222"/>
      <c r="BO271" s="1222"/>
    </row>
    <row r="272" ht="7.5" customHeight="1">
      <c r="A272" s="1222"/>
      <c r="B272" s="1229"/>
      <c r="C272" s="1349"/>
      <c r="D272" s="1229"/>
      <c r="E272" s="1229"/>
      <c r="F272" s="1229"/>
      <c r="G272" s="1229"/>
      <c r="H272" s="1229"/>
      <c r="I272" s="1229"/>
      <c r="J272" s="1229"/>
      <c r="K272" s="1229"/>
      <c r="L272" s="1229" t="str">
        <f>IFERROR(__xludf.DUMMYFUNCTION("""COMPUTED_VALUE"""),"")</f>
        <v/>
      </c>
      <c r="M272" s="1229"/>
      <c r="N272" s="1337"/>
      <c r="O272" s="1337"/>
      <c r="P272" s="1229"/>
      <c r="Q272" s="1229" t="str">
        <f>IFERROR(__xludf.DUMMYFUNCTION("""COMPUTED_VALUE"""),"")</f>
        <v/>
      </c>
      <c r="R272" s="1229" t="str">
        <f>IFERROR(__xludf.DUMMYFUNCTION("""COMPUTED_VALUE"""),"")</f>
        <v/>
      </c>
      <c r="S272" s="1229"/>
      <c r="T272" s="1337"/>
      <c r="U272" s="1337"/>
      <c r="V272" s="1229"/>
      <c r="W272" s="1229" t="str">
        <f>IFERROR(__xludf.DUMMYFUNCTION("""COMPUTED_VALUE"""),"")</f>
        <v/>
      </c>
      <c r="X272" s="1229" t="str">
        <f>IFERROR(__xludf.DUMMYFUNCTION("""COMPUTED_VALUE"""),"")</f>
        <v/>
      </c>
      <c r="Y272" s="1229"/>
      <c r="Z272" s="1337"/>
      <c r="AA272" s="1337"/>
      <c r="AB272" s="1229"/>
      <c r="AC272" s="1229" t="str">
        <f>IFERROR(__xludf.DUMMYFUNCTION("""COMPUTED_VALUE"""),"")</f>
        <v/>
      </c>
      <c r="AD272" s="1229" t="str">
        <f>IFERROR(__xludf.DUMMYFUNCTION("""COMPUTED_VALUE"""),"")</f>
        <v/>
      </c>
      <c r="AE272" s="1229"/>
      <c r="AF272" s="1337"/>
      <c r="AG272" s="1337"/>
      <c r="AH272" s="1229"/>
      <c r="AI272" s="1229" t="str">
        <f>IFERROR(__xludf.DUMMYFUNCTION("""COMPUTED_VALUE"""),"")</f>
        <v/>
      </c>
      <c r="AJ272" s="1229" t="str">
        <f>IFERROR(__xludf.DUMMYFUNCTION("""COMPUTED_VALUE"""),"")</f>
        <v/>
      </c>
      <c r="AK272" s="1229"/>
      <c r="AL272" s="1337"/>
      <c r="AM272" s="1337"/>
      <c r="AN272" s="1229"/>
      <c r="AO272" s="1229" t="str">
        <f>IFERROR(__xludf.DUMMYFUNCTION("""COMPUTED_VALUE"""),"")</f>
        <v/>
      </c>
      <c r="AP272" s="1229" t="str">
        <f>IFERROR(__xludf.DUMMYFUNCTION("""COMPUTED_VALUE"""),"")</f>
        <v/>
      </c>
      <c r="AQ272" s="1229"/>
      <c r="AR272" s="1337"/>
      <c r="AS272" s="1337"/>
      <c r="AT272" s="1229"/>
      <c r="AU272" s="1229" t="str">
        <f>IFERROR(__xludf.DUMMYFUNCTION("""COMPUTED_VALUE"""),"")</f>
        <v/>
      </c>
      <c r="AV272" s="1229" t="str">
        <f>IFERROR(__xludf.DUMMYFUNCTION("""COMPUTED_VALUE"""),"")</f>
        <v/>
      </c>
      <c r="AW272" s="1229"/>
      <c r="AX272" s="1337"/>
      <c r="AY272" s="1337"/>
      <c r="AZ272" s="1229"/>
      <c r="BA272" s="1229" t="str">
        <f>IFERROR(__xludf.DUMMYFUNCTION("""COMPUTED_VALUE"""),"")</f>
        <v/>
      </c>
      <c r="BB272" s="1229" t="str">
        <f>IFERROR(__xludf.DUMMYFUNCTION("""COMPUTED_VALUE"""),"")</f>
        <v/>
      </c>
      <c r="BC272" s="1229"/>
      <c r="BD272" s="1337"/>
      <c r="BE272" s="1337"/>
      <c r="BF272" s="1229"/>
      <c r="BG272" s="1229" t="str">
        <f>IFERROR(__xludf.DUMMYFUNCTION("""COMPUTED_VALUE"""),"")</f>
        <v/>
      </c>
      <c r="BH272" s="1229" t="str">
        <f>IFERROR(__xludf.DUMMYFUNCTION("""COMPUTED_VALUE"""),"")</f>
        <v/>
      </c>
      <c r="BI272" s="1222"/>
      <c r="BJ272" s="1338"/>
      <c r="BK272" s="1338"/>
      <c r="BL272" s="1222"/>
      <c r="BM272" s="1222" t="str">
        <f>IFERROR(__xludf.DUMMYFUNCTION("""COMPUTED_VALUE"""),"")</f>
        <v/>
      </c>
      <c r="BN272" s="1222"/>
      <c r="BO272" s="1222"/>
    </row>
    <row r="273">
      <c r="A273" s="1222"/>
      <c r="B273" s="1229"/>
      <c r="C273" s="1349"/>
      <c r="D273" s="1229"/>
      <c r="E273" s="1229"/>
      <c r="F273" s="1229"/>
      <c r="G273" s="1229"/>
      <c r="H273" s="1229"/>
      <c r="I273" s="1229"/>
      <c r="J273" s="1229"/>
      <c r="K273" s="1229"/>
      <c r="L273" s="1229"/>
      <c r="M273" s="1229"/>
      <c r="N273" s="1337"/>
      <c r="O273" s="1337"/>
      <c r="P273" s="1229"/>
      <c r="Q273" s="1229"/>
      <c r="R273" s="1229"/>
      <c r="S273" s="1229"/>
      <c r="T273" s="1337"/>
      <c r="U273" s="1337"/>
      <c r="V273" s="1229"/>
      <c r="W273" s="1229"/>
      <c r="X273" s="1229"/>
      <c r="Y273" s="1229"/>
      <c r="Z273" s="1337"/>
      <c r="AA273" s="1337"/>
      <c r="AB273" s="1229"/>
      <c r="AC273" s="1229"/>
      <c r="AD273" s="1229"/>
      <c r="AE273" s="1229"/>
      <c r="AF273" s="1337"/>
      <c r="AG273" s="1337"/>
      <c r="AH273" s="1229"/>
      <c r="AI273" s="1229"/>
      <c r="AJ273" s="1229"/>
      <c r="AK273" s="1229"/>
      <c r="AL273" s="1337"/>
      <c r="AM273" s="1337"/>
      <c r="AN273" s="1229"/>
      <c r="AO273" s="1229"/>
      <c r="AP273" s="1229"/>
      <c r="AQ273" s="1229"/>
      <c r="AR273" s="1337"/>
      <c r="AS273" s="1337"/>
      <c r="AT273" s="1229"/>
      <c r="AU273" s="1229"/>
      <c r="AV273" s="1229"/>
      <c r="AW273" s="1229"/>
      <c r="AX273" s="1337"/>
      <c r="AY273" s="1337"/>
      <c r="AZ273" s="1229"/>
      <c r="BA273" s="1229"/>
      <c r="BB273" s="1229"/>
      <c r="BC273" s="1229"/>
      <c r="BD273" s="1337"/>
      <c r="BE273" s="1337"/>
      <c r="BF273" s="1229"/>
      <c r="BG273" s="1229"/>
      <c r="BH273" s="1229"/>
      <c r="BI273" s="1222"/>
      <c r="BJ273" s="1338"/>
      <c r="BK273" s="1338"/>
      <c r="BL273" s="1222"/>
      <c r="BM273" s="1222"/>
      <c r="BN273" s="1222"/>
      <c r="BO273" s="1222"/>
    </row>
    <row r="274" ht="7.5" customHeight="1">
      <c r="A274" s="1222"/>
      <c r="B274" s="1229"/>
      <c r="C274" s="1349"/>
      <c r="D274" s="1229"/>
      <c r="E274" s="1229"/>
      <c r="F274" s="1229"/>
      <c r="G274" s="1229"/>
      <c r="H274" s="1229"/>
      <c r="I274" s="1229"/>
      <c r="J274" s="1229"/>
      <c r="K274" s="1229"/>
      <c r="L274" s="1229" t="str">
        <f>IFERROR(__xludf.DUMMYFUNCTION("""COMPUTED_VALUE"""),"")</f>
        <v/>
      </c>
      <c r="M274" s="1229"/>
      <c r="N274" s="1337"/>
      <c r="O274" s="1337"/>
      <c r="P274" s="1229"/>
      <c r="Q274" s="1229" t="str">
        <f>IFERROR(__xludf.DUMMYFUNCTION("""COMPUTED_VALUE"""),"")</f>
        <v/>
      </c>
      <c r="R274" s="1229" t="str">
        <f>IFERROR(__xludf.DUMMYFUNCTION("""COMPUTED_VALUE"""),"")</f>
        <v/>
      </c>
      <c r="S274" s="1229"/>
      <c r="T274" s="1337"/>
      <c r="U274" s="1337"/>
      <c r="V274" s="1229"/>
      <c r="W274" s="1229" t="str">
        <f>IFERROR(__xludf.DUMMYFUNCTION("""COMPUTED_VALUE"""),"")</f>
        <v/>
      </c>
      <c r="X274" s="1229" t="str">
        <f>IFERROR(__xludf.DUMMYFUNCTION("""COMPUTED_VALUE"""),"")</f>
        <v/>
      </c>
      <c r="Y274" s="1229"/>
      <c r="Z274" s="1337"/>
      <c r="AA274" s="1337"/>
      <c r="AB274" s="1229"/>
      <c r="AC274" s="1229" t="str">
        <f>IFERROR(__xludf.DUMMYFUNCTION("""COMPUTED_VALUE"""),"")</f>
        <v/>
      </c>
      <c r="AD274" s="1229" t="str">
        <f>IFERROR(__xludf.DUMMYFUNCTION("""COMPUTED_VALUE"""),"")</f>
        <v/>
      </c>
      <c r="AE274" s="1229"/>
      <c r="AF274" s="1337"/>
      <c r="AG274" s="1337"/>
      <c r="AH274" s="1229"/>
      <c r="AI274" s="1229" t="str">
        <f>IFERROR(__xludf.DUMMYFUNCTION("""COMPUTED_VALUE"""),"")</f>
        <v/>
      </c>
      <c r="AJ274" s="1229" t="str">
        <f>IFERROR(__xludf.DUMMYFUNCTION("""COMPUTED_VALUE"""),"")</f>
        <v/>
      </c>
      <c r="AK274" s="1229"/>
      <c r="AL274" s="1337"/>
      <c r="AM274" s="1337"/>
      <c r="AN274" s="1229"/>
      <c r="AO274" s="1229" t="str">
        <f>IFERROR(__xludf.DUMMYFUNCTION("""COMPUTED_VALUE"""),"")</f>
        <v/>
      </c>
      <c r="AP274" s="1229" t="str">
        <f>IFERROR(__xludf.DUMMYFUNCTION("""COMPUTED_VALUE"""),"")</f>
        <v/>
      </c>
      <c r="AQ274" s="1229"/>
      <c r="AR274" s="1337"/>
      <c r="AS274" s="1337"/>
      <c r="AT274" s="1229"/>
      <c r="AU274" s="1229" t="str">
        <f>IFERROR(__xludf.DUMMYFUNCTION("""COMPUTED_VALUE"""),"")</f>
        <v/>
      </c>
      <c r="AV274" s="1229" t="str">
        <f>IFERROR(__xludf.DUMMYFUNCTION("""COMPUTED_VALUE"""),"")</f>
        <v/>
      </c>
      <c r="AW274" s="1229"/>
      <c r="AX274" s="1337"/>
      <c r="AY274" s="1337"/>
      <c r="AZ274" s="1229"/>
      <c r="BA274" s="1229" t="str">
        <f>IFERROR(__xludf.DUMMYFUNCTION("""COMPUTED_VALUE"""),"")</f>
        <v/>
      </c>
      <c r="BB274" s="1229" t="str">
        <f>IFERROR(__xludf.DUMMYFUNCTION("""COMPUTED_VALUE"""),"")</f>
        <v/>
      </c>
      <c r="BC274" s="1229"/>
      <c r="BD274" s="1337"/>
      <c r="BE274" s="1337"/>
      <c r="BF274" s="1229"/>
      <c r="BG274" s="1229" t="str">
        <f>IFERROR(__xludf.DUMMYFUNCTION("""COMPUTED_VALUE"""),"")</f>
        <v/>
      </c>
      <c r="BH274" s="1229" t="str">
        <f>IFERROR(__xludf.DUMMYFUNCTION("""COMPUTED_VALUE"""),"")</f>
        <v/>
      </c>
      <c r="BI274" s="1222"/>
      <c r="BJ274" s="1338"/>
      <c r="BK274" s="1338"/>
      <c r="BL274" s="1222"/>
      <c r="BM274" s="1222" t="str">
        <f>IFERROR(__xludf.DUMMYFUNCTION("""COMPUTED_VALUE"""),"")</f>
        <v/>
      </c>
      <c r="BN274" s="1222"/>
      <c r="BO274" s="1222"/>
    </row>
    <row r="275">
      <c r="A275" s="1222"/>
      <c r="B275" s="1229"/>
      <c r="C275" s="1349"/>
      <c r="D275" s="1229"/>
      <c r="E275" s="1229"/>
      <c r="F275" s="1229"/>
      <c r="G275" s="1229"/>
      <c r="H275" s="1229"/>
      <c r="I275" s="1229"/>
      <c r="J275" s="1229"/>
      <c r="K275" s="1229"/>
      <c r="L275" s="1229"/>
      <c r="M275" s="1229"/>
      <c r="N275" s="1337"/>
      <c r="O275" s="1337"/>
      <c r="P275" s="1229"/>
      <c r="Q275" s="1229"/>
      <c r="R275" s="1229"/>
      <c r="S275" s="1229"/>
      <c r="T275" s="1337"/>
      <c r="U275" s="1337"/>
      <c r="V275" s="1229"/>
      <c r="W275" s="1229"/>
      <c r="X275" s="1229"/>
      <c r="Y275" s="1229"/>
      <c r="Z275" s="1337"/>
      <c r="AA275" s="1337"/>
      <c r="AB275" s="1229"/>
      <c r="AC275" s="1229"/>
      <c r="AD275" s="1229"/>
      <c r="AE275" s="1229"/>
      <c r="AF275" s="1337"/>
      <c r="AG275" s="1337"/>
      <c r="AH275" s="1229"/>
      <c r="AI275" s="1229"/>
      <c r="AJ275" s="1229"/>
      <c r="AK275" s="1229"/>
      <c r="AL275" s="1337"/>
      <c r="AM275" s="1337"/>
      <c r="AN275" s="1229"/>
      <c r="AO275" s="1229"/>
      <c r="AP275" s="1229"/>
      <c r="AQ275" s="1229"/>
      <c r="AR275" s="1337"/>
      <c r="AS275" s="1337"/>
      <c r="AT275" s="1229"/>
      <c r="AU275" s="1229"/>
      <c r="AV275" s="1229"/>
      <c r="AW275" s="1229"/>
      <c r="AX275" s="1337"/>
      <c r="AY275" s="1337"/>
      <c r="AZ275" s="1229"/>
      <c r="BA275" s="1229"/>
      <c r="BB275" s="1229"/>
      <c r="BC275" s="1229"/>
      <c r="BD275" s="1337"/>
      <c r="BE275" s="1337"/>
      <c r="BF275" s="1229"/>
      <c r="BG275" s="1229"/>
      <c r="BH275" s="1229"/>
      <c r="BI275" s="1222"/>
      <c r="BJ275" s="1338"/>
      <c r="BK275" s="1338"/>
      <c r="BL275" s="1222"/>
      <c r="BM275" s="1222"/>
      <c r="BN275" s="1222"/>
      <c r="BO275" s="1222"/>
    </row>
    <row r="276" ht="7.5" customHeight="1">
      <c r="A276" s="1222"/>
      <c r="B276" s="1229"/>
      <c r="C276" s="1349"/>
      <c r="D276" s="1229"/>
      <c r="E276" s="1229"/>
      <c r="F276" s="1229"/>
      <c r="G276" s="1229"/>
      <c r="H276" s="1229"/>
      <c r="I276" s="1229"/>
      <c r="J276" s="1229"/>
      <c r="K276" s="1229"/>
      <c r="L276" s="1229" t="str">
        <f>IFERROR(__xludf.DUMMYFUNCTION("""COMPUTED_VALUE"""),"")</f>
        <v/>
      </c>
      <c r="M276" s="1229"/>
      <c r="N276" s="1337"/>
      <c r="O276" s="1337"/>
      <c r="P276" s="1229"/>
      <c r="Q276" s="1229" t="str">
        <f>IFERROR(__xludf.DUMMYFUNCTION("""COMPUTED_VALUE"""),"")</f>
        <v/>
      </c>
      <c r="R276" s="1229" t="str">
        <f>IFERROR(__xludf.DUMMYFUNCTION("""COMPUTED_VALUE"""),"")</f>
        <v/>
      </c>
      <c r="S276" s="1229"/>
      <c r="T276" s="1337"/>
      <c r="U276" s="1337"/>
      <c r="V276" s="1229"/>
      <c r="W276" s="1229" t="str">
        <f>IFERROR(__xludf.DUMMYFUNCTION("""COMPUTED_VALUE"""),"")</f>
        <v/>
      </c>
      <c r="X276" s="1229" t="str">
        <f>IFERROR(__xludf.DUMMYFUNCTION("""COMPUTED_VALUE"""),"")</f>
        <v/>
      </c>
      <c r="Y276" s="1229"/>
      <c r="Z276" s="1337"/>
      <c r="AA276" s="1337"/>
      <c r="AB276" s="1229"/>
      <c r="AC276" s="1229" t="str">
        <f>IFERROR(__xludf.DUMMYFUNCTION("""COMPUTED_VALUE"""),"")</f>
        <v/>
      </c>
      <c r="AD276" s="1229" t="str">
        <f>IFERROR(__xludf.DUMMYFUNCTION("""COMPUTED_VALUE"""),"")</f>
        <v/>
      </c>
      <c r="AE276" s="1229"/>
      <c r="AF276" s="1337"/>
      <c r="AG276" s="1337"/>
      <c r="AH276" s="1229"/>
      <c r="AI276" s="1229" t="str">
        <f>IFERROR(__xludf.DUMMYFUNCTION("""COMPUTED_VALUE"""),"")</f>
        <v/>
      </c>
      <c r="AJ276" s="1229" t="str">
        <f>IFERROR(__xludf.DUMMYFUNCTION("""COMPUTED_VALUE"""),"")</f>
        <v/>
      </c>
      <c r="AK276" s="1229"/>
      <c r="AL276" s="1337"/>
      <c r="AM276" s="1337"/>
      <c r="AN276" s="1229"/>
      <c r="AO276" s="1229" t="str">
        <f>IFERROR(__xludf.DUMMYFUNCTION("""COMPUTED_VALUE"""),"")</f>
        <v/>
      </c>
      <c r="AP276" s="1229" t="str">
        <f>IFERROR(__xludf.DUMMYFUNCTION("""COMPUTED_VALUE"""),"")</f>
        <v/>
      </c>
      <c r="AQ276" s="1229"/>
      <c r="AR276" s="1337"/>
      <c r="AS276" s="1337"/>
      <c r="AT276" s="1229"/>
      <c r="AU276" s="1229" t="str">
        <f>IFERROR(__xludf.DUMMYFUNCTION("""COMPUTED_VALUE"""),"")</f>
        <v/>
      </c>
      <c r="AV276" s="1229" t="str">
        <f>IFERROR(__xludf.DUMMYFUNCTION("""COMPUTED_VALUE"""),"")</f>
        <v/>
      </c>
      <c r="AW276" s="1229"/>
      <c r="AX276" s="1337"/>
      <c r="AY276" s="1337"/>
      <c r="AZ276" s="1229"/>
      <c r="BA276" s="1229" t="str">
        <f>IFERROR(__xludf.DUMMYFUNCTION("""COMPUTED_VALUE"""),"")</f>
        <v/>
      </c>
      <c r="BB276" s="1229" t="str">
        <f>IFERROR(__xludf.DUMMYFUNCTION("""COMPUTED_VALUE"""),"")</f>
        <v/>
      </c>
      <c r="BC276" s="1229"/>
      <c r="BD276" s="1337"/>
      <c r="BE276" s="1337"/>
      <c r="BF276" s="1229"/>
      <c r="BG276" s="1229" t="str">
        <f>IFERROR(__xludf.DUMMYFUNCTION("""COMPUTED_VALUE"""),"")</f>
        <v/>
      </c>
      <c r="BH276" s="1229" t="str">
        <f>IFERROR(__xludf.DUMMYFUNCTION("""COMPUTED_VALUE"""),"")</f>
        <v/>
      </c>
      <c r="BI276" s="1222"/>
      <c r="BJ276" s="1338"/>
      <c r="BK276" s="1338"/>
      <c r="BL276" s="1222"/>
      <c r="BM276" s="1222" t="str">
        <f>IFERROR(__xludf.DUMMYFUNCTION("""COMPUTED_VALUE"""),"")</f>
        <v/>
      </c>
      <c r="BN276" s="1222"/>
      <c r="BO276" s="1222"/>
    </row>
    <row r="277">
      <c r="A277" s="1222"/>
      <c r="B277" s="1229"/>
      <c r="C277" s="1349"/>
      <c r="D277" s="1229"/>
      <c r="E277" s="1229"/>
      <c r="F277" s="1229"/>
      <c r="G277" s="1229"/>
      <c r="H277" s="1229"/>
      <c r="I277" s="1229"/>
      <c r="J277" s="1229"/>
      <c r="K277" s="1229"/>
      <c r="L277" s="1229"/>
      <c r="M277" s="1229"/>
      <c r="N277" s="1337"/>
      <c r="O277" s="1337"/>
      <c r="P277" s="1229"/>
      <c r="Q277" s="1229"/>
      <c r="R277" s="1229"/>
      <c r="S277" s="1229"/>
      <c r="T277" s="1337"/>
      <c r="U277" s="1337"/>
      <c r="V277" s="1229"/>
      <c r="W277" s="1229"/>
      <c r="X277" s="1229"/>
      <c r="Y277" s="1229"/>
      <c r="Z277" s="1337"/>
      <c r="AA277" s="1337"/>
      <c r="AB277" s="1229"/>
      <c r="AC277" s="1229"/>
      <c r="AD277" s="1229"/>
      <c r="AE277" s="1229"/>
      <c r="AF277" s="1337"/>
      <c r="AG277" s="1337"/>
      <c r="AH277" s="1229"/>
      <c r="AI277" s="1229"/>
      <c r="AJ277" s="1229"/>
      <c r="AK277" s="1229"/>
      <c r="AL277" s="1337"/>
      <c r="AM277" s="1337"/>
      <c r="AN277" s="1229"/>
      <c r="AO277" s="1229"/>
      <c r="AP277" s="1229"/>
      <c r="AQ277" s="1229"/>
      <c r="AR277" s="1337"/>
      <c r="AS277" s="1337"/>
      <c r="AT277" s="1229"/>
      <c r="AU277" s="1229"/>
      <c r="AV277" s="1229"/>
      <c r="AW277" s="1229"/>
      <c r="AX277" s="1337"/>
      <c r="AY277" s="1337"/>
      <c r="AZ277" s="1229"/>
      <c r="BA277" s="1229"/>
      <c r="BB277" s="1229"/>
      <c r="BC277" s="1229"/>
      <c r="BD277" s="1337"/>
      <c r="BE277" s="1337"/>
      <c r="BF277" s="1229"/>
      <c r="BG277" s="1229"/>
      <c r="BH277" s="1229"/>
      <c r="BI277" s="1222"/>
      <c r="BJ277" s="1338"/>
      <c r="BK277" s="1338"/>
      <c r="BL277" s="1222"/>
      <c r="BM277" s="1222"/>
      <c r="BN277" s="1222"/>
      <c r="BO277" s="1222"/>
    </row>
    <row r="278" ht="7.5" customHeight="1">
      <c r="A278" s="1222"/>
      <c r="B278" s="1229"/>
      <c r="C278" s="1349"/>
      <c r="D278" s="1229"/>
      <c r="E278" s="1229"/>
      <c r="F278" s="1229"/>
      <c r="G278" s="1229"/>
      <c r="H278" s="1229"/>
      <c r="I278" s="1229"/>
      <c r="J278" s="1229"/>
      <c r="K278" s="1229"/>
      <c r="L278" s="1229" t="str">
        <f>IFERROR(__xludf.DUMMYFUNCTION("""COMPUTED_VALUE"""),"")</f>
        <v/>
      </c>
      <c r="M278" s="1229"/>
      <c r="N278" s="1337"/>
      <c r="O278" s="1337"/>
      <c r="P278" s="1229"/>
      <c r="Q278" s="1229" t="str">
        <f>IFERROR(__xludf.DUMMYFUNCTION("""COMPUTED_VALUE"""),"")</f>
        <v/>
      </c>
      <c r="R278" s="1229" t="str">
        <f>IFERROR(__xludf.DUMMYFUNCTION("""COMPUTED_VALUE"""),"")</f>
        <v/>
      </c>
      <c r="S278" s="1229"/>
      <c r="T278" s="1337"/>
      <c r="U278" s="1337"/>
      <c r="V278" s="1229"/>
      <c r="W278" s="1229" t="str">
        <f>IFERROR(__xludf.DUMMYFUNCTION("""COMPUTED_VALUE"""),"")</f>
        <v/>
      </c>
      <c r="X278" s="1229" t="str">
        <f>IFERROR(__xludf.DUMMYFUNCTION("""COMPUTED_VALUE"""),"")</f>
        <v/>
      </c>
      <c r="Y278" s="1229"/>
      <c r="Z278" s="1337"/>
      <c r="AA278" s="1337"/>
      <c r="AB278" s="1229"/>
      <c r="AC278" s="1229" t="str">
        <f>IFERROR(__xludf.DUMMYFUNCTION("""COMPUTED_VALUE"""),"")</f>
        <v/>
      </c>
      <c r="AD278" s="1229" t="str">
        <f>IFERROR(__xludf.DUMMYFUNCTION("""COMPUTED_VALUE"""),"")</f>
        <v/>
      </c>
      <c r="AE278" s="1229"/>
      <c r="AF278" s="1337"/>
      <c r="AG278" s="1337"/>
      <c r="AH278" s="1229"/>
      <c r="AI278" s="1229" t="str">
        <f>IFERROR(__xludf.DUMMYFUNCTION("""COMPUTED_VALUE"""),"")</f>
        <v/>
      </c>
      <c r="AJ278" s="1229" t="str">
        <f>IFERROR(__xludf.DUMMYFUNCTION("""COMPUTED_VALUE"""),"")</f>
        <v/>
      </c>
      <c r="AK278" s="1229"/>
      <c r="AL278" s="1337"/>
      <c r="AM278" s="1337"/>
      <c r="AN278" s="1229"/>
      <c r="AO278" s="1229" t="str">
        <f>IFERROR(__xludf.DUMMYFUNCTION("""COMPUTED_VALUE"""),"")</f>
        <v/>
      </c>
      <c r="AP278" s="1229" t="str">
        <f>IFERROR(__xludf.DUMMYFUNCTION("""COMPUTED_VALUE"""),"")</f>
        <v/>
      </c>
      <c r="AQ278" s="1229"/>
      <c r="AR278" s="1337"/>
      <c r="AS278" s="1337"/>
      <c r="AT278" s="1229"/>
      <c r="AU278" s="1229" t="str">
        <f>IFERROR(__xludf.DUMMYFUNCTION("""COMPUTED_VALUE"""),"")</f>
        <v/>
      </c>
      <c r="AV278" s="1229" t="str">
        <f>IFERROR(__xludf.DUMMYFUNCTION("""COMPUTED_VALUE"""),"")</f>
        <v/>
      </c>
      <c r="AW278" s="1229"/>
      <c r="AX278" s="1337"/>
      <c r="AY278" s="1337"/>
      <c r="AZ278" s="1229"/>
      <c r="BA278" s="1229" t="str">
        <f>IFERROR(__xludf.DUMMYFUNCTION("""COMPUTED_VALUE"""),"")</f>
        <v/>
      </c>
      <c r="BB278" s="1229" t="str">
        <f>IFERROR(__xludf.DUMMYFUNCTION("""COMPUTED_VALUE"""),"")</f>
        <v/>
      </c>
      <c r="BC278" s="1229"/>
      <c r="BD278" s="1337"/>
      <c r="BE278" s="1337"/>
      <c r="BF278" s="1229"/>
      <c r="BG278" s="1229" t="str">
        <f>IFERROR(__xludf.DUMMYFUNCTION("""COMPUTED_VALUE"""),"")</f>
        <v/>
      </c>
      <c r="BH278" s="1229" t="str">
        <f>IFERROR(__xludf.DUMMYFUNCTION("""COMPUTED_VALUE"""),"")</f>
        <v/>
      </c>
      <c r="BI278" s="1222"/>
      <c r="BJ278" s="1338"/>
      <c r="BK278" s="1338"/>
      <c r="BL278" s="1222"/>
      <c r="BM278" s="1222" t="str">
        <f>IFERROR(__xludf.DUMMYFUNCTION("""COMPUTED_VALUE"""),"")</f>
        <v/>
      </c>
      <c r="BN278" s="1222"/>
      <c r="BO278" s="1222"/>
    </row>
    <row r="279">
      <c r="A279" s="1222"/>
      <c r="B279" s="1229"/>
      <c r="C279" s="1349"/>
      <c r="D279" s="1229"/>
      <c r="E279" s="1229"/>
      <c r="F279" s="1229"/>
      <c r="G279" s="1229"/>
      <c r="H279" s="1229"/>
      <c r="I279" s="1229"/>
      <c r="J279" s="1229"/>
      <c r="K279" s="1229"/>
      <c r="L279" s="1229"/>
      <c r="M279" s="1229"/>
      <c r="N279" s="1337"/>
      <c r="O279" s="1337"/>
      <c r="P279" s="1229"/>
      <c r="Q279" s="1229"/>
      <c r="R279" s="1229"/>
      <c r="S279" s="1229"/>
      <c r="T279" s="1337"/>
      <c r="U279" s="1337"/>
      <c r="V279" s="1229"/>
      <c r="W279" s="1229"/>
      <c r="X279" s="1229"/>
      <c r="Y279" s="1229"/>
      <c r="Z279" s="1337"/>
      <c r="AA279" s="1337"/>
      <c r="AB279" s="1229"/>
      <c r="AC279" s="1229"/>
      <c r="AD279" s="1229"/>
      <c r="AE279" s="1229"/>
      <c r="AF279" s="1337"/>
      <c r="AG279" s="1337"/>
      <c r="AH279" s="1229"/>
      <c r="AI279" s="1229"/>
      <c r="AJ279" s="1229"/>
      <c r="AK279" s="1229"/>
      <c r="AL279" s="1337"/>
      <c r="AM279" s="1337"/>
      <c r="AN279" s="1229"/>
      <c r="AO279" s="1229"/>
      <c r="AP279" s="1229"/>
      <c r="AQ279" s="1229"/>
      <c r="AR279" s="1337"/>
      <c r="AS279" s="1337"/>
      <c r="AT279" s="1229"/>
      <c r="AU279" s="1229"/>
      <c r="AV279" s="1229"/>
      <c r="AW279" s="1229"/>
      <c r="AX279" s="1337"/>
      <c r="AY279" s="1337"/>
      <c r="AZ279" s="1229"/>
      <c r="BA279" s="1229"/>
      <c r="BB279" s="1229"/>
      <c r="BC279" s="1229"/>
      <c r="BD279" s="1337"/>
      <c r="BE279" s="1337"/>
      <c r="BF279" s="1229"/>
      <c r="BG279" s="1229"/>
      <c r="BH279" s="1229"/>
      <c r="BI279" s="1222"/>
      <c r="BJ279" s="1338"/>
      <c r="BK279" s="1338"/>
      <c r="BL279" s="1222"/>
      <c r="BM279" s="1222"/>
      <c r="BN279" s="1222"/>
      <c r="BO279" s="1222"/>
    </row>
    <row r="280" ht="7.5" customHeight="1">
      <c r="A280" s="1222"/>
      <c r="B280" s="1229"/>
      <c r="C280" s="1349"/>
      <c r="D280" s="1229"/>
      <c r="E280" s="1229"/>
      <c r="F280" s="1229"/>
      <c r="G280" s="1229"/>
      <c r="H280" s="1229"/>
      <c r="I280" s="1229"/>
      <c r="J280" s="1229"/>
      <c r="K280" s="1229"/>
      <c r="L280" s="1229" t="str">
        <f>IFERROR(__xludf.DUMMYFUNCTION("""COMPUTED_VALUE"""),"")</f>
        <v/>
      </c>
      <c r="M280" s="1229"/>
      <c r="N280" s="1337"/>
      <c r="O280" s="1337"/>
      <c r="P280" s="1229"/>
      <c r="Q280" s="1229" t="str">
        <f>IFERROR(__xludf.DUMMYFUNCTION("""COMPUTED_VALUE"""),"")</f>
        <v/>
      </c>
      <c r="R280" s="1229" t="str">
        <f>IFERROR(__xludf.DUMMYFUNCTION("""COMPUTED_VALUE"""),"")</f>
        <v/>
      </c>
      <c r="S280" s="1229"/>
      <c r="T280" s="1337"/>
      <c r="U280" s="1337"/>
      <c r="V280" s="1229"/>
      <c r="W280" s="1229" t="str">
        <f>IFERROR(__xludf.DUMMYFUNCTION("""COMPUTED_VALUE"""),"")</f>
        <v/>
      </c>
      <c r="X280" s="1229" t="str">
        <f>IFERROR(__xludf.DUMMYFUNCTION("""COMPUTED_VALUE"""),"")</f>
        <v/>
      </c>
      <c r="Y280" s="1229"/>
      <c r="Z280" s="1337"/>
      <c r="AA280" s="1337"/>
      <c r="AB280" s="1229"/>
      <c r="AC280" s="1229" t="str">
        <f>IFERROR(__xludf.DUMMYFUNCTION("""COMPUTED_VALUE"""),"")</f>
        <v/>
      </c>
      <c r="AD280" s="1229" t="str">
        <f>IFERROR(__xludf.DUMMYFUNCTION("""COMPUTED_VALUE"""),"")</f>
        <v/>
      </c>
      <c r="AE280" s="1229"/>
      <c r="AF280" s="1337"/>
      <c r="AG280" s="1337"/>
      <c r="AH280" s="1229"/>
      <c r="AI280" s="1229" t="str">
        <f>IFERROR(__xludf.DUMMYFUNCTION("""COMPUTED_VALUE"""),"")</f>
        <v/>
      </c>
      <c r="AJ280" s="1229" t="str">
        <f>IFERROR(__xludf.DUMMYFUNCTION("""COMPUTED_VALUE"""),"")</f>
        <v/>
      </c>
      <c r="AK280" s="1229"/>
      <c r="AL280" s="1337"/>
      <c r="AM280" s="1337"/>
      <c r="AN280" s="1229"/>
      <c r="AO280" s="1229" t="str">
        <f>IFERROR(__xludf.DUMMYFUNCTION("""COMPUTED_VALUE"""),"")</f>
        <v/>
      </c>
      <c r="AP280" s="1229" t="str">
        <f>IFERROR(__xludf.DUMMYFUNCTION("""COMPUTED_VALUE"""),"")</f>
        <v/>
      </c>
      <c r="AQ280" s="1229"/>
      <c r="AR280" s="1337"/>
      <c r="AS280" s="1337"/>
      <c r="AT280" s="1229"/>
      <c r="AU280" s="1229" t="str">
        <f>IFERROR(__xludf.DUMMYFUNCTION("""COMPUTED_VALUE"""),"")</f>
        <v/>
      </c>
      <c r="AV280" s="1229" t="str">
        <f>IFERROR(__xludf.DUMMYFUNCTION("""COMPUTED_VALUE"""),"")</f>
        <v/>
      </c>
      <c r="AW280" s="1229"/>
      <c r="AX280" s="1337"/>
      <c r="AY280" s="1337"/>
      <c r="AZ280" s="1229"/>
      <c r="BA280" s="1229" t="str">
        <f>IFERROR(__xludf.DUMMYFUNCTION("""COMPUTED_VALUE"""),"")</f>
        <v/>
      </c>
      <c r="BB280" s="1229" t="str">
        <f>IFERROR(__xludf.DUMMYFUNCTION("""COMPUTED_VALUE"""),"")</f>
        <v/>
      </c>
      <c r="BC280" s="1229"/>
      <c r="BD280" s="1337"/>
      <c r="BE280" s="1337"/>
      <c r="BF280" s="1229"/>
      <c r="BG280" s="1229" t="str">
        <f>IFERROR(__xludf.DUMMYFUNCTION("""COMPUTED_VALUE"""),"")</f>
        <v/>
      </c>
      <c r="BH280" s="1229" t="str">
        <f>IFERROR(__xludf.DUMMYFUNCTION("""COMPUTED_VALUE"""),"")</f>
        <v/>
      </c>
      <c r="BI280" s="1222"/>
      <c r="BJ280" s="1338"/>
      <c r="BK280" s="1338"/>
      <c r="BL280" s="1222"/>
      <c r="BM280" s="1222" t="str">
        <f>IFERROR(__xludf.DUMMYFUNCTION("""COMPUTED_VALUE"""),"")</f>
        <v/>
      </c>
      <c r="BN280" s="1222"/>
      <c r="BO280" s="1222"/>
    </row>
    <row r="281">
      <c r="A281" s="1222"/>
      <c r="B281" s="1229"/>
      <c r="C281" s="1349"/>
      <c r="D281" s="1229"/>
      <c r="E281" s="1229"/>
      <c r="F281" s="1229"/>
      <c r="G281" s="1229"/>
      <c r="H281" s="1229"/>
      <c r="I281" s="1229"/>
      <c r="J281" s="1229"/>
      <c r="K281" s="1229"/>
      <c r="L281" s="1229"/>
      <c r="M281" s="1229"/>
      <c r="N281" s="1337"/>
      <c r="O281" s="1337"/>
      <c r="P281" s="1229"/>
      <c r="Q281" s="1229"/>
      <c r="R281" s="1229"/>
      <c r="S281" s="1229"/>
      <c r="T281" s="1337"/>
      <c r="U281" s="1337"/>
      <c r="V281" s="1229"/>
      <c r="W281" s="1229"/>
      <c r="X281" s="1229"/>
      <c r="Y281" s="1229"/>
      <c r="Z281" s="1337"/>
      <c r="AA281" s="1337"/>
      <c r="AB281" s="1229"/>
      <c r="AC281" s="1229"/>
      <c r="AD281" s="1229"/>
      <c r="AE281" s="1229"/>
      <c r="AF281" s="1337"/>
      <c r="AG281" s="1337"/>
      <c r="AH281" s="1229"/>
      <c r="AI281" s="1229"/>
      <c r="AJ281" s="1229"/>
      <c r="AK281" s="1229"/>
      <c r="AL281" s="1337"/>
      <c r="AM281" s="1337"/>
      <c r="AN281" s="1229"/>
      <c r="AO281" s="1229"/>
      <c r="AP281" s="1229"/>
      <c r="AQ281" s="1229"/>
      <c r="AR281" s="1337"/>
      <c r="AS281" s="1337"/>
      <c r="AT281" s="1229"/>
      <c r="AU281" s="1229"/>
      <c r="AV281" s="1229"/>
      <c r="AW281" s="1229"/>
      <c r="AX281" s="1337"/>
      <c r="AY281" s="1337"/>
      <c r="AZ281" s="1229"/>
      <c r="BA281" s="1229"/>
      <c r="BB281" s="1229"/>
      <c r="BC281" s="1229"/>
      <c r="BD281" s="1337"/>
      <c r="BE281" s="1337"/>
      <c r="BF281" s="1229"/>
      <c r="BG281" s="1229"/>
      <c r="BH281" s="1229"/>
      <c r="BI281" s="1222"/>
      <c r="BJ281" s="1338"/>
      <c r="BK281" s="1338"/>
      <c r="BL281" s="1222"/>
      <c r="BM281" s="1222"/>
      <c r="BN281" s="1222"/>
      <c r="BO281" s="1222"/>
    </row>
    <row r="282" ht="7.5" customHeight="1">
      <c r="A282" s="1222"/>
      <c r="B282" s="1229"/>
      <c r="C282" s="1349"/>
      <c r="D282" s="1229"/>
      <c r="E282" s="1229"/>
      <c r="F282" s="1229"/>
      <c r="G282" s="1229"/>
      <c r="H282" s="1229"/>
      <c r="I282" s="1229"/>
      <c r="J282" s="1229"/>
      <c r="K282" s="1229"/>
      <c r="L282" s="1229" t="str">
        <f>IFERROR(__xludf.DUMMYFUNCTION("""COMPUTED_VALUE"""),"")</f>
        <v/>
      </c>
      <c r="M282" s="1229"/>
      <c r="N282" s="1337"/>
      <c r="O282" s="1337"/>
      <c r="P282" s="1229"/>
      <c r="Q282" s="1229" t="str">
        <f>IFERROR(__xludf.DUMMYFUNCTION("""COMPUTED_VALUE"""),"")</f>
        <v/>
      </c>
      <c r="R282" s="1229" t="str">
        <f>IFERROR(__xludf.DUMMYFUNCTION("""COMPUTED_VALUE"""),"")</f>
        <v/>
      </c>
      <c r="S282" s="1229"/>
      <c r="T282" s="1337"/>
      <c r="U282" s="1337"/>
      <c r="V282" s="1229"/>
      <c r="W282" s="1229" t="str">
        <f>IFERROR(__xludf.DUMMYFUNCTION("""COMPUTED_VALUE"""),"")</f>
        <v/>
      </c>
      <c r="X282" s="1229" t="str">
        <f>IFERROR(__xludf.DUMMYFUNCTION("""COMPUTED_VALUE"""),"")</f>
        <v/>
      </c>
      <c r="Y282" s="1229"/>
      <c r="Z282" s="1337"/>
      <c r="AA282" s="1337"/>
      <c r="AB282" s="1229"/>
      <c r="AC282" s="1229" t="str">
        <f>IFERROR(__xludf.DUMMYFUNCTION("""COMPUTED_VALUE"""),"")</f>
        <v/>
      </c>
      <c r="AD282" s="1229" t="str">
        <f>IFERROR(__xludf.DUMMYFUNCTION("""COMPUTED_VALUE"""),"")</f>
        <v/>
      </c>
      <c r="AE282" s="1229"/>
      <c r="AF282" s="1337"/>
      <c r="AG282" s="1337"/>
      <c r="AH282" s="1229"/>
      <c r="AI282" s="1229" t="str">
        <f>IFERROR(__xludf.DUMMYFUNCTION("""COMPUTED_VALUE"""),"")</f>
        <v/>
      </c>
      <c r="AJ282" s="1229" t="str">
        <f>IFERROR(__xludf.DUMMYFUNCTION("""COMPUTED_VALUE"""),"")</f>
        <v/>
      </c>
      <c r="AK282" s="1229"/>
      <c r="AL282" s="1337"/>
      <c r="AM282" s="1337"/>
      <c r="AN282" s="1229"/>
      <c r="AO282" s="1229" t="str">
        <f>IFERROR(__xludf.DUMMYFUNCTION("""COMPUTED_VALUE"""),"")</f>
        <v/>
      </c>
      <c r="AP282" s="1229" t="str">
        <f>IFERROR(__xludf.DUMMYFUNCTION("""COMPUTED_VALUE"""),"")</f>
        <v/>
      </c>
      <c r="AQ282" s="1229"/>
      <c r="AR282" s="1337"/>
      <c r="AS282" s="1337"/>
      <c r="AT282" s="1229"/>
      <c r="AU282" s="1229" t="str">
        <f>IFERROR(__xludf.DUMMYFUNCTION("""COMPUTED_VALUE"""),"")</f>
        <v/>
      </c>
      <c r="AV282" s="1229" t="str">
        <f>IFERROR(__xludf.DUMMYFUNCTION("""COMPUTED_VALUE"""),"")</f>
        <v/>
      </c>
      <c r="AW282" s="1229"/>
      <c r="AX282" s="1337"/>
      <c r="AY282" s="1337"/>
      <c r="AZ282" s="1229"/>
      <c r="BA282" s="1229" t="str">
        <f>IFERROR(__xludf.DUMMYFUNCTION("""COMPUTED_VALUE"""),"")</f>
        <v/>
      </c>
      <c r="BB282" s="1229" t="str">
        <f>IFERROR(__xludf.DUMMYFUNCTION("""COMPUTED_VALUE"""),"")</f>
        <v/>
      </c>
      <c r="BC282" s="1229"/>
      <c r="BD282" s="1337"/>
      <c r="BE282" s="1337"/>
      <c r="BF282" s="1229"/>
      <c r="BG282" s="1229" t="str">
        <f>IFERROR(__xludf.DUMMYFUNCTION("""COMPUTED_VALUE"""),"")</f>
        <v/>
      </c>
      <c r="BH282" s="1229" t="str">
        <f>IFERROR(__xludf.DUMMYFUNCTION("""COMPUTED_VALUE"""),"")</f>
        <v/>
      </c>
      <c r="BI282" s="1222"/>
      <c r="BJ282" s="1338"/>
      <c r="BK282" s="1338"/>
      <c r="BL282" s="1222"/>
      <c r="BM282" s="1222" t="str">
        <f>IFERROR(__xludf.DUMMYFUNCTION("""COMPUTED_VALUE"""),"")</f>
        <v/>
      </c>
      <c r="BN282" s="1222"/>
      <c r="BO282" s="1222"/>
    </row>
    <row r="283">
      <c r="A283" s="1222"/>
      <c r="B283" s="1229"/>
      <c r="C283" s="1349"/>
      <c r="D283" s="1229"/>
      <c r="E283" s="1229"/>
      <c r="F283" s="1229"/>
      <c r="G283" s="1229"/>
      <c r="H283" s="1229"/>
      <c r="I283" s="1229"/>
      <c r="J283" s="1229"/>
      <c r="K283" s="1229"/>
      <c r="L283" s="1229"/>
      <c r="M283" s="1229"/>
      <c r="N283" s="1337"/>
      <c r="O283" s="1337"/>
      <c r="P283" s="1229"/>
      <c r="Q283" s="1229"/>
      <c r="R283" s="1229"/>
      <c r="S283" s="1229"/>
      <c r="T283" s="1337"/>
      <c r="U283" s="1337"/>
      <c r="V283" s="1229"/>
      <c r="W283" s="1229"/>
      <c r="X283" s="1229"/>
      <c r="Y283" s="1229"/>
      <c r="Z283" s="1337"/>
      <c r="AA283" s="1337"/>
      <c r="AB283" s="1229"/>
      <c r="AC283" s="1229"/>
      <c r="AD283" s="1229"/>
      <c r="AE283" s="1229"/>
      <c r="AF283" s="1337"/>
      <c r="AG283" s="1337"/>
      <c r="AH283" s="1229"/>
      <c r="AI283" s="1229"/>
      <c r="AJ283" s="1229"/>
      <c r="AK283" s="1229"/>
      <c r="AL283" s="1337"/>
      <c r="AM283" s="1337"/>
      <c r="AN283" s="1229"/>
      <c r="AO283" s="1229"/>
      <c r="AP283" s="1229"/>
      <c r="AQ283" s="1229"/>
      <c r="AR283" s="1337"/>
      <c r="AS283" s="1337"/>
      <c r="AT283" s="1229"/>
      <c r="AU283" s="1229"/>
      <c r="AV283" s="1229"/>
      <c r="AW283" s="1229"/>
      <c r="AX283" s="1337"/>
      <c r="AY283" s="1337"/>
      <c r="AZ283" s="1229"/>
      <c r="BA283" s="1229"/>
      <c r="BB283" s="1229"/>
      <c r="BC283" s="1229"/>
      <c r="BD283" s="1337"/>
      <c r="BE283" s="1337"/>
      <c r="BF283" s="1229"/>
      <c r="BG283" s="1229"/>
      <c r="BH283" s="1229"/>
      <c r="BI283" s="1222"/>
      <c r="BJ283" s="1338"/>
      <c r="BK283" s="1338"/>
      <c r="BL283" s="1222"/>
      <c r="BM283" s="1222"/>
      <c r="BN283" s="1222"/>
      <c r="BO283" s="1222"/>
    </row>
    <row r="284" ht="7.5" customHeight="1">
      <c r="A284" s="1222"/>
      <c r="B284" s="1229"/>
      <c r="C284" s="1349"/>
      <c r="D284" s="1229"/>
      <c r="E284" s="1229"/>
      <c r="F284" s="1229"/>
      <c r="G284" s="1229"/>
      <c r="H284" s="1229"/>
      <c r="I284" s="1229"/>
      <c r="J284" s="1229"/>
      <c r="K284" s="1229"/>
      <c r="L284" s="1229" t="str">
        <f>IFERROR(__xludf.DUMMYFUNCTION("""COMPUTED_VALUE"""),"")</f>
        <v/>
      </c>
      <c r="M284" s="1229"/>
      <c r="N284" s="1337"/>
      <c r="O284" s="1337"/>
      <c r="P284" s="1229"/>
      <c r="Q284" s="1229" t="str">
        <f>IFERROR(__xludf.DUMMYFUNCTION("""COMPUTED_VALUE"""),"")</f>
        <v/>
      </c>
      <c r="R284" s="1229" t="str">
        <f>IFERROR(__xludf.DUMMYFUNCTION("""COMPUTED_VALUE"""),"")</f>
        <v/>
      </c>
      <c r="S284" s="1229"/>
      <c r="T284" s="1337"/>
      <c r="U284" s="1337"/>
      <c r="V284" s="1229"/>
      <c r="W284" s="1229" t="str">
        <f>IFERROR(__xludf.DUMMYFUNCTION("""COMPUTED_VALUE"""),"")</f>
        <v/>
      </c>
      <c r="X284" s="1229" t="str">
        <f>IFERROR(__xludf.DUMMYFUNCTION("""COMPUTED_VALUE"""),"")</f>
        <v/>
      </c>
      <c r="Y284" s="1229"/>
      <c r="Z284" s="1337"/>
      <c r="AA284" s="1337"/>
      <c r="AB284" s="1229"/>
      <c r="AC284" s="1229" t="str">
        <f>IFERROR(__xludf.DUMMYFUNCTION("""COMPUTED_VALUE"""),"")</f>
        <v/>
      </c>
      <c r="AD284" s="1229" t="str">
        <f>IFERROR(__xludf.DUMMYFUNCTION("""COMPUTED_VALUE"""),"")</f>
        <v/>
      </c>
      <c r="AE284" s="1229"/>
      <c r="AF284" s="1337"/>
      <c r="AG284" s="1337"/>
      <c r="AH284" s="1229"/>
      <c r="AI284" s="1229" t="str">
        <f>IFERROR(__xludf.DUMMYFUNCTION("""COMPUTED_VALUE"""),"")</f>
        <v/>
      </c>
      <c r="AJ284" s="1229" t="str">
        <f>IFERROR(__xludf.DUMMYFUNCTION("""COMPUTED_VALUE"""),"")</f>
        <v/>
      </c>
      <c r="AK284" s="1229"/>
      <c r="AL284" s="1337"/>
      <c r="AM284" s="1337"/>
      <c r="AN284" s="1229"/>
      <c r="AO284" s="1229" t="str">
        <f>IFERROR(__xludf.DUMMYFUNCTION("""COMPUTED_VALUE"""),"")</f>
        <v/>
      </c>
      <c r="AP284" s="1229" t="str">
        <f>IFERROR(__xludf.DUMMYFUNCTION("""COMPUTED_VALUE"""),"")</f>
        <v/>
      </c>
      <c r="AQ284" s="1229"/>
      <c r="AR284" s="1337"/>
      <c r="AS284" s="1337"/>
      <c r="AT284" s="1229"/>
      <c r="AU284" s="1229" t="str">
        <f>IFERROR(__xludf.DUMMYFUNCTION("""COMPUTED_VALUE"""),"")</f>
        <v/>
      </c>
      <c r="AV284" s="1229" t="str">
        <f>IFERROR(__xludf.DUMMYFUNCTION("""COMPUTED_VALUE"""),"")</f>
        <v/>
      </c>
      <c r="AW284" s="1229"/>
      <c r="AX284" s="1337"/>
      <c r="AY284" s="1337"/>
      <c r="AZ284" s="1229"/>
      <c r="BA284" s="1229" t="str">
        <f>IFERROR(__xludf.DUMMYFUNCTION("""COMPUTED_VALUE"""),"")</f>
        <v/>
      </c>
      <c r="BB284" s="1229" t="str">
        <f>IFERROR(__xludf.DUMMYFUNCTION("""COMPUTED_VALUE"""),"")</f>
        <v/>
      </c>
      <c r="BC284" s="1229"/>
      <c r="BD284" s="1337"/>
      <c r="BE284" s="1337"/>
      <c r="BF284" s="1229"/>
      <c r="BG284" s="1229" t="str">
        <f>IFERROR(__xludf.DUMMYFUNCTION("""COMPUTED_VALUE"""),"")</f>
        <v/>
      </c>
      <c r="BH284" s="1229" t="str">
        <f>IFERROR(__xludf.DUMMYFUNCTION("""COMPUTED_VALUE"""),"")</f>
        <v/>
      </c>
      <c r="BI284" s="1222"/>
      <c r="BJ284" s="1338"/>
      <c r="BK284" s="1338"/>
      <c r="BL284" s="1222"/>
      <c r="BM284" s="1222" t="str">
        <f>IFERROR(__xludf.DUMMYFUNCTION("""COMPUTED_VALUE"""),"")</f>
        <v/>
      </c>
      <c r="BN284" s="1222"/>
      <c r="BO284" s="1222"/>
    </row>
    <row r="285">
      <c r="A285" s="1222"/>
      <c r="B285" s="1229"/>
      <c r="C285" s="1349"/>
      <c r="D285" s="1229"/>
      <c r="E285" s="1229"/>
      <c r="F285" s="1229"/>
      <c r="G285" s="1229"/>
      <c r="H285" s="1229"/>
      <c r="I285" s="1229"/>
      <c r="J285" s="1229"/>
      <c r="K285" s="1229"/>
      <c r="L285" s="1229"/>
      <c r="M285" s="1229"/>
      <c r="N285" s="1337"/>
      <c r="O285" s="1337"/>
      <c r="P285" s="1229"/>
      <c r="Q285" s="1229"/>
      <c r="R285" s="1229"/>
      <c r="S285" s="1229"/>
      <c r="T285" s="1337"/>
      <c r="U285" s="1337"/>
      <c r="V285" s="1229"/>
      <c r="W285" s="1229"/>
      <c r="X285" s="1229"/>
      <c r="Y285" s="1229"/>
      <c r="Z285" s="1337"/>
      <c r="AA285" s="1337"/>
      <c r="AB285" s="1229"/>
      <c r="AC285" s="1229"/>
      <c r="AD285" s="1229"/>
      <c r="AE285" s="1229"/>
      <c r="AF285" s="1337"/>
      <c r="AG285" s="1337"/>
      <c r="AH285" s="1229"/>
      <c r="AI285" s="1229"/>
      <c r="AJ285" s="1229"/>
      <c r="AK285" s="1229"/>
      <c r="AL285" s="1337"/>
      <c r="AM285" s="1337"/>
      <c r="AN285" s="1229"/>
      <c r="AO285" s="1229"/>
      <c r="AP285" s="1229"/>
      <c r="AQ285" s="1229"/>
      <c r="AR285" s="1337"/>
      <c r="AS285" s="1337"/>
      <c r="AT285" s="1229"/>
      <c r="AU285" s="1229"/>
      <c r="AV285" s="1229"/>
      <c r="AW285" s="1229"/>
      <c r="AX285" s="1337"/>
      <c r="AY285" s="1337"/>
      <c r="AZ285" s="1229"/>
      <c r="BA285" s="1229"/>
      <c r="BB285" s="1229"/>
      <c r="BC285" s="1229"/>
      <c r="BD285" s="1337"/>
      <c r="BE285" s="1337"/>
      <c r="BF285" s="1229"/>
      <c r="BG285" s="1229"/>
      <c r="BH285" s="1229"/>
      <c r="BI285" s="1222"/>
      <c r="BJ285" s="1338"/>
      <c r="BK285" s="1338"/>
      <c r="BL285" s="1222"/>
      <c r="BM285" s="1222"/>
      <c r="BN285" s="1222"/>
      <c r="BO285" s="1222"/>
    </row>
    <row r="286" ht="7.5" customHeight="1">
      <c r="A286" s="1222"/>
      <c r="B286" s="1229"/>
      <c r="C286" s="1349"/>
      <c r="D286" s="1229"/>
      <c r="E286" s="1229"/>
      <c r="F286" s="1229"/>
      <c r="G286" s="1229"/>
      <c r="H286" s="1229"/>
      <c r="I286" s="1229"/>
      <c r="J286" s="1229"/>
      <c r="K286" s="1229"/>
      <c r="L286" s="1229" t="str">
        <f>IFERROR(__xludf.DUMMYFUNCTION("""COMPUTED_VALUE"""),"")</f>
        <v/>
      </c>
      <c r="M286" s="1229"/>
      <c r="N286" s="1337"/>
      <c r="O286" s="1337"/>
      <c r="P286" s="1229"/>
      <c r="Q286" s="1229" t="str">
        <f>IFERROR(__xludf.DUMMYFUNCTION("""COMPUTED_VALUE"""),"")</f>
        <v/>
      </c>
      <c r="R286" s="1229" t="str">
        <f>IFERROR(__xludf.DUMMYFUNCTION("""COMPUTED_VALUE"""),"")</f>
        <v/>
      </c>
      <c r="S286" s="1229"/>
      <c r="T286" s="1337"/>
      <c r="U286" s="1337"/>
      <c r="V286" s="1229"/>
      <c r="W286" s="1229" t="str">
        <f>IFERROR(__xludf.DUMMYFUNCTION("""COMPUTED_VALUE"""),"")</f>
        <v/>
      </c>
      <c r="X286" s="1229" t="str">
        <f>IFERROR(__xludf.DUMMYFUNCTION("""COMPUTED_VALUE"""),"")</f>
        <v/>
      </c>
      <c r="Y286" s="1229"/>
      <c r="Z286" s="1337"/>
      <c r="AA286" s="1337"/>
      <c r="AB286" s="1229"/>
      <c r="AC286" s="1229" t="str">
        <f>IFERROR(__xludf.DUMMYFUNCTION("""COMPUTED_VALUE"""),"")</f>
        <v/>
      </c>
      <c r="AD286" s="1229" t="str">
        <f>IFERROR(__xludf.DUMMYFUNCTION("""COMPUTED_VALUE"""),"")</f>
        <v/>
      </c>
      <c r="AE286" s="1229"/>
      <c r="AF286" s="1337"/>
      <c r="AG286" s="1337"/>
      <c r="AH286" s="1229"/>
      <c r="AI286" s="1229" t="str">
        <f>IFERROR(__xludf.DUMMYFUNCTION("""COMPUTED_VALUE"""),"")</f>
        <v/>
      </c>
      <c r="AJ286" s="1229" t="str">
        <f>IFERROR(__xludf.DUMMYFUNCTION("""COMPUTED_VALUE"""),"")</f>
        <v/>
      </c>
      <c r="AK286" s="1229"/>
      <c r="AL286" s="1337"/>
      <c r="AM286" s="1337"/>
      <c r="AN286" s="1229"/>
      <c r="AO286" s="1229" t="str">
        <f>IFERROR(__xludf.DUMMYFUNCTION("""COMPUTED_VALUE"""),"")</f>
        <v/>
      </c>
      <c r="AP286" s="1229" t="str">
        <f>IFERROR(__xludf.DUMMYFUNCTION("""COMPUTED_VALUE"""),"")</f>
        <v/>
      </c>
      <c r="AQ286" s="1229"/>
      <c r="AR286" s="1337"/>
      <c r="AS286" s="1337"/>
      <c r="AT286" s="1229"/>
      <c r="AU286" s="1229" t="str">
        <f>IFERROR(__xludf.DUMMYFUNCTION("""COMPUTED_VALUE"""),"")</f>
        <v/>
      </c>
      <c r="AV286" s="1229" t="str">
        <f>IFERROR(__xludf.DUMMYFUNCTION("""COMPUTED_VALUE"""),"")</f>
        <v/>
      </c>
      <c r="AW286" s="1229"/>
      <c r="AX286" s="1337"/>
      <c r="AY286" s="1337"/>
      <c r="AZ286" s="1229"/>
      <c r="BA286" s="1229" t="str">
        <f>IFERROR(__xludf.DUMMYFUNCTION("""COMPUTED_VALUE"""),"")</f>
        <v/>
      </c>
      <c r="BB286" s="1229" t="str">
        <f>IFERROR(__xludf.DUMMYFUNCTION("""COMPUTED_VALUE"""),"")</f>
        <v/>
      </c>
      <c r="BC286" s="1229"/>
      <c r="BD286" s="1337"/>
      <c r="BE286" s="1337"/>
      <c r="BF286" s="1229"/>
      <c r="BG286" s="1229" t="str">
        <f>IFERROR(__xludf.DUMMYFUNCTION("""COMPUTED_VALUE"""),"")</f>
        <v/>
      </c>
      <c r="BH286" s="1229" t="str">
        <f>IFERROR(__xludf.DUMMYFUNCTION("""COMPUTED_VALUE"""),"")</f>
        <v/>
      </c>
      <c r="BI286" s="1222"/>
      <c r="BJ286" s="1338"/>
      <c r="BK286" s="1338"/>
      <c r="BL286" s="1222"/>
      <c r="BM286" s="1222" t="str">
        <f>IFERROR(__xludf.DUMMYFUNCTION("""COMPUTED_VALUE"""),"")</f>
        <v/>
      </c>
      <c r="BN286" s="1222"/>
      <c r="BO286" s="1222"/>
    </row>
    <row r="287">
      <c r="A287" s="1222"/>
      <c r="B287" s="1229"/>
      <c r="C287" s="1349"/>
      <c r="D287" s="1229"/>
      <c r="E287" s="1229"/>
      <c r="F287" s="1229"/>
      <c r="G287" s="1229"/>
      <c r="H287" s="1229"/>
      <c r="I287" s="1229"/>
      <c r="J287" s="1229"/>
      <c r="K287" s="1229"/>
      <c r="L287" s="1229"/>
      <c r="M287" s="1229"/>
      <c r="N287" s="1337"/>
      <c r="O287" s="1337"/>
      <c r="P287" s="1229"/>
      <c r="Q287" s="1229"/>
      <c r="R287" s="1229"/>
      <c r="S287" s="1229"/>
      <c r="T287" s="1337"/>
      <c r="U287" s="1337"/>
      <c r="V287" s="1229"/>
      <c r="W287" s="1229"/>
      <c r="X287" s="1229"/>
      <c r="Y287" s="1229"/>
      <c r="Z287" s="1337"/>
      <c r="AA287" s="1337"/>
      <c r="AB287" s="1229"/>
      <c r="AC287" s="1229"/>
      <c r="AD287" s="1229"/>
      <c r="AE287" s="1229"/>
      <c r="AF287" s="1337"/>
      <c r="AG287" s="1337"/>
      <c r="AH287" s="1229"/>
      <c r="AI287" s="1229"/>
      <c r="AJ287" s="1229"/>
      <c r="AK287" s="1229"/>
      <c r="AL287" s="1337"/>
      <c r="AM287" s="1337"/>
      <c r="AN287" s="1229"/>
      <c r="AO287" s="1229"/>
      <c r="AP287" s="1229"/>
      <c r="AQ287" s="1229"/>
      <c r="AR287" s="1337"/>
      <c r="AS287" s="1337"/>
      <c r="AT287" s="1229"/>
      <c r="AU287" s="1229"/>
      <c r="AV287" s="1229"/>
      <c r="AW287" s="1229"/>
      <c r="AX287" s="1337"/>
      <c r="AY287" s="1337"/>
      <c r="AZ287" s="1229"/>
      <c r="BA287" s="1229"/>
      <c r="BB287" s="1229"/>
      <c r="BC287" s="1229"/>
      <c r="BD287" s="1337"/>
      <c r="BE287" s="1337"/>
      <c r="BF287" s="1229"/>
      <c r="BG287" s="1229"/>
      <c r="BH287" s="1229"/>
      <c r="BI287" s="1222"/>
      <c r="BJ287" s="1338"/>
      <c r="BK287" s="1338"/>
      <c r="BL287" s="1222"/>
      <c r="BM287" s="1222"/>
      <c r="BN287" s="1222"/>
      <c r="BO287" s="1222"/>
    </row>
    <row r="288" ht="7.5" customHeight="1">
      <c r="A288" s="1222"/>
      <c r="B288" s="1229"/>
      <c r="C288" s="1349"/>
      <c r="D288" s="1229"/>
      <c r="E288" s="1229"/>
      <c r="F288" s="1229"/>
      <c r="G288" s="1229"/>
      <c r="H288" s="1229"/>
      <c r="I288" s="1229"/>
      <c r="J288" s="1229"/>
      <c r="K288" s="1229"/>
      <c r="L288" s="1229" t="str">
        <f>IFERROR(__xludf.DUMMYFUNCTION("""COMPUTED_VALUE"""),"")</f>
        <v/>
      </c>
      <c r="M288" s="1229"/>
      <c r="N288" s="1337"/>
      <c r="O288" s="1337"/>
      <c r="P288" s="1229"/>
      <c r="Q288" s="1229" t="str">
        <f>IFERROR(__xludf.DUMMYFUNCTION("""COMPUTED_VALUE"""),"")</f>
        <v/>
      </c>
      <c r="R288" s="1229" t="str">
        <f>IFERROR(__xludf.DUMMYFUNCTION("""COMPUTED_VALUE"""),"")</f>
        <v/>
      </c>
      <c r="S288" s="1229"/>
      <c r="T288" s="1337"/>
      <c r="U288" s="1337"/>
      <c r="V288" s="1229"/>
      <c r="W288" s="1229" t="str">
        <f>IFERROR(__xludf.DUMMYFUNCTION("""COMPUTED_VALUE"""),"")</f>
        <v/>
      </c>
      <c r="X288" s="1229" t="str">
        <f>IFERROR(__xludf.DUMMYFUNCTION("""COMPUTED_VALUE"""),"")</f>
        <v/>
      </c>
      <c r="Y288" s="1229"/>
      <c r="Z288" s="1337"/>
      <c r="AA288" s="1337"/>
      <c r="AB288" s="1229"/>
      <c r="AC288" s="1229" t="str">
        <f>IFERROR(__xludf.DUMMYFUNCTION("""COMPUTED_VALUE"""),"")</f>
        <v/>
      </c>
      <c r="AD288" s="1229" t="str">
        <f>IFERROR(__xludf.DUMMYFUNCTION("""COMPUTED_VALUE"""),"")</f>
        <v/>
      </c>
      <c r="AE288" s="1229"/>
      <c r="AF288" s="1337"/>
      <c r="AG288" s="1337"/>
      <c r="AH288" s="1229"/>
      <c r="AI288" s="1229" t="str">
        <f>IFERROR(__xludf.DUMMYFUNCTION("""COMPUTED_VALUE"""),"")</f>
        <v/>
      </c>
      <c r="AJ288" s="1229" t="str">
        <f>IFERROR(__xludf.DUMMYFUNCTION("""COMPUTED_VALUE"""),"")</f>
        <v/>
      </c>
      <c r="AK288" s="1229"/>
      <c r="AL288" s="1337"/>
      <c r="AM288" s="1337"/>
      <c r="AN288" s="1229"/>
      <c r="AO288" s="1229" t="str">
        <f>IFERROR(__xludf.DUMMYFUNCTION("""COMPUTED_VALUE"""),"")</f>
        <v/>
      </c>
      <c r="AP288" s="1229" t="str">
        <f>IFERROR(__xludf.DUMMYFUNCTION("""COMPUTED_VALUE"""),"")</f>
        <v/>
      </c>
      <c r="AQ288" s="1229"/>
      <c r="AR288" s="1337"/>
      <c r="AS288" s="1337"/>
      <c r="AT288" s="1229"/>
      <c r="AU288" s="1229" t="str">
        <f>IFERROR(__xludf.DUMMYFUNCTION("""COMPUTED_VALUE"""),"")</f>
        <v/>
      </c>
      <c r="AV288" s="1229" t="str">
        <f>IFERROR(__xludf.DUMMYFUNCTION("""COMPUTED_VALUE"""),"")</f>
        <v/>
      </c>
      <c r="AW288" s="1229"/>
      <c r="AX288" s="1337"/>
      <c r="AY288" s="1337"/>
      <c r="AZ288" s="1229"/>
      <c r="BA288" s="1229" t="str">
        <f>IFERROR(__xludf.DUMMYFUNCTION("""COMPUTED_VALUE"""),"")</f>
        <v/>
      </c>
      <c r="BB288" s="1229" t="str">
        <f>IFERROR(__xludf.DUMMYFUNCTION("""COMPUTED_VALUE"""),"")</f>
        <v/>
      </c>
      <c r="BC288" s="1229"/>
      <c r="BD288" s="1337"/>
      <c r="BE288" s="1337"/>
      <c r="BF288" s="1229"/>
      <c r="BG288" s="1229" t="str">
        <f>IFERROR(__xludf.DUMMYFUNCTION("""COMPUTED_VALUE"""),"")</f>
        <v/>
      </c>
      <c r="BH288" s="1229" t="str">
        <f>IFERROR(__xludf.DUMMYFUNCTION("""COMPUTED_VALUE"""),"")</f>
        <v/>
      </c>
      <c r="BI288" s="1222"/>
      <c r="BJ288" s="1338"/>
      <c r="BK288" s="1338"/>
      <c r="BL288" s="1222"/>
      <c r="BM288" s="1222" t="str">
        <f>IFERROR(__xludf.DUMMYFUNCTION("""COMPUTED_VALUE"""),"")</f>
        <v/>
      </c>
      <c r="BN288" s="1222"/>
      <c r="BO288" s="1222"/>
    </row>
    <row r="289">
      <c r="A289" s="1222"/>
      <c r="B289" s="1229"/>
      <c r="C289" s="1349"/>
      <c r="D289" s="1229"/>
      <c r="E289" s="1229"/>
      <c r="F289" s="1229"/>
      <c r="G289" s="1229"/>
      <c r="H289" s="1229"/>
      <c r="I289" s="1229"/>
      <c r="J289" s="1229"/>
      <c r="K289" s="1229"/>
      <c r="L289" s="1229"/>
      <c r="M289" s="1229"/>
      <c r="N289" s="1337"/>
      <c r="O289" s="1337"/>
      <c r="P289" s="1229"/>
      <c r="Q289" s="1229"/>
      <c r="R289" s="1229"/>
      <c r="S289" s="1229"/>
      <c r="T289" s="1337"/>
      <c r="U289" s="1337"/>
      <c r="V289" s="1229"/>
      <c r="W289" s="1229"/>
      <c r="X289" s="1229"/>
      <c r="Y289" s="1229"/>
      <c r="Z289" s="1337"/>
      <c r="AA289" s="1337"/>
      <c r="AB289" s="1229"/>
      <c r="AC289" s="1229"/>
      <c r="AD289" s="1229"/>
      <c r="AE289" s="1229"/>
      <c r="AF289" s="1337"/>
      <c r="AG289" s="1337"/>
      <c r="AH289" s="1229"/>
      <c r="AI289" s="1229"/>
      <c r="AJ289" s="1229"/>
      <c r="AK289" s="1229"/>
      <c r="AL289" s="1337"/>
      <c r="AM289" s="1337"/>
      <c r="AN289" s="1229"/>
      <c r="AO289" s="1229"/>
      <c r="AP289" s="1229"/>
      <c r="AQ289" s="1229"/>
      <c r="AR289" s="1337"/>
      <c r="AS289" s="1337"/>
      <c r="AT289" s="1229"/>
      <c r="AU289" s="1229"/>
      <c r="AV289" s="1229"/>
      <c r="AW289" s="1229"/>
      <c r="AX289" s="1337"/>
      <c r="AY289" s="1337"/>
      <c r="AZ289" s="1229"/>
      <c r="BA289" s="1229"/>
      <c r="BB289" s="1229"/>
      <c r="BC289" s="1229"/>
      <c r="BD289" s="1337"/>
      <c r="BE289" s="1337"/>
      <c r="BF289" s="1229"/>
      <c r="BG289" s="1229"/>
      <c r="BH289" s="1229"/>
      <c r="BI289" s="1222"/>
      <c r="BJ289" s="1338"/>
      <c r="BK289" s="1338"/>
      <c r="BL289" s="1222"/>
      <c r="BM289" s="1222"/>
      <c r="BN289" s="1222"/>
      <c r="BO289" s="1222"/>
    </row>
    <row r="290" ht="7.5" customHeight="1">
      <c r="A290" s="1222"/>
      <c r="B290" s="1229"/>
      <c r="C290" s="1349"/>
      <c r="D290" s="1229"/>
      <c r="E290" s="1229"/>
      <c r="F290" s="1229"/>
      <c r="G290" s="1229"/>
      <c r="H290" s="1229"/>
      <c r="I290" s="1229"/>
      <c r="J290" s="1229"/>
      <c r="K290" s="1229"/>
      <c r="L290" s="1229" t="str">
        <f>IFERROR(__xludf.DUMMYFUNCTION("""COMPUTED_VALUE"""),"")</f>
        <v/>
      </c>
      <c r="M290" s="1229"/>
      <c r="N290" s="1337"/>
      <c r="O290" s="1337"/>
      <c r="P290" s="1229"/>
      <c r="Q290" s="1229" t="str">
        <f>IFERROR(__xludf.DUMMYFUNCTION("""COMPUTED_VALUE"""),"")</f>
        <v/>
      </c>
      <c r="R290" s="1229" t="str">
        <f>IFERROR(__xludf.DUMMYFUNCTION("""COMPUTED_VALUE"""),"")</f>
        <v/>
      </c>
      <c r="S290" s="1229"/>
      <c r="T290" s="1337"/>
      <c r="U290" s="1337"/>
      <c r="V290" s="1229"/>
      <c r="W290" s="1229" t="str">
        <f>IFERROR(__xludf.DUMMYFUNCTION("""COMPUTED_VALUE"""),"")</f>
        <v/>
      </c>
      <c r="X290" s="1229" t="str">
        <f>IFERROR(__xludf.DUMMYFUNCTION("""COMPUTED_VALUE"""),"")</f>
        <v/>
      </c>
      <c r="Y290" s="1229"/>
      <c r="Z290" s="1337"/>
      <c r="AA290" s="1337"/>
      <c r="AB290" s="1229"/>
      <c r="AC290" s="1229" t="str">
        <f>IFERROR(__xludf.DUMMYFUNCTION("""COMPUTED_VALUE"""),"")</f>
        <v/>
      </c>
      <c r="AD290" s="1229" t="str">
        <f>IFERROR(__xludf.DUMMYFUNCTION("""COMPUTED_VALUE"""),"")</f>
        <v/>
      </c>
      <c r="AE290" s="1229"/>
      <c r="AF290" s="1337"/>
      <c r="AG290" s="1337"/>
      <c r="AH290" s="1229"/>
      <c r="AI290" s="1229" t="str">
        <f>IFERROR(__xludf.DUMMYFUNCTION("""COMPUTED_VALUE"""),"")</f>
        <v/>
      </c>
      <c r="AJ290" s="1229" t="str">
        <f>IFERROR(__xludf.DUMMYFUNCTION("""COMPUTED_VALUE"""),"")</f>
        <v/>
      </c>
      <c r="AK290" s="1229"/>
      <c r="AL290" s="1337"/>
      <c r="AM290" s="1337"/>
      <c r="AN290" s="1229"/>
      <c r="AO290" s="1229" t="str">
        <f>IFERROR(__xludf.DUMMYFUNCTION("""COMPUTED_VALUE"""),"")</f>
        <v/>
      </c>
      <c r="AP290" s="1229" t="str">
        <f>IFERROR(__xludf.DUMMYFUNCTION("""COMPUTED_VALUE"""),"")</f>
        <v/>
      </c>
      <c r="AQ290" s="1229"/>
      <c r="AR290" s="1337"/>
      <c r="AS290" s="1337"/>
      <c r="AT290" s="1229"/>
      <c r="AU290" s="1229" t="str">
        <f>IFERROR(__xludf.DUMMYFUNCTION("""COMPUTED_VALUE"""),"")</f>
        <v/>
      </c>
      <c r="AV290" s="1229" t="str">
        <f>IFERROR(__xludf.DUMMYFUNCTION("""COMPUTED_VALUE"""),"")</f>
        <v/>
      </c>
      <c r="AW290" s="1229"/>
      <c r="AX290" s="1337"/>
      <c r="AY290" s="1337"/>
      <c r="AZ290" s="1229"/>
      <c r="BA290" s="1229" t="str">
        <f>IFERROR(__xludf.DUMMYFUNCTION("""COMPUTED_VALUE"""),"")</f>
        <v/>
      </c>
      <c r="BB290" s="1229" t="str">
        <f>IFERROR(__xludf.DUMMYFUNCTION("""COMPUTED_VALUE"""),"")</f>
        <v/>
      </c>
      <c r="BC290" s="1229"/>
      <c r="BD290" s="1337"/>
      <c r="BE290" s="1337"/>
      <c r="BF290" s="1229"/>
      <c r="BG290" s="1229" t="str">
        <f>IFERROR(__xludf.DUMMYFUNCTION("""COMPUTED_VALUE"""),"")</f>
        <v/>
      </c>
      <c r="BH290" s="1229" t="str">
        <f>IFERROR(__xludf.DUMMYFUNCTION("""COMPUTED_VALUE"""),"")</f>
        <v/>
      </c>
      <c r="BI290" s="1222"/>
      <c r="BJ290" s="1338"/>
      <c r="BK290" s="1338"/>
      <c r="BL290" s="1222"/>
      <c r="BM290" s="1222" t="str">
        <f>IFERROR(__xludf.DUMMYFUNCTION("""COMPUTED_VALUE"""),"")</f>
        <v/>
      </c>
      <c r="BN290" s="1222"/>
      <c r="BO290" s="1222"/>
    </row>
    <row r="291">
      <c r="A291" s="1222"/>
      <c r="B291" s="1229"/>
      <c r="C291" s="1349"/>
      <c r="D291" s="1229"/>
      <c r="E291" s="1229"/>
      <c r="F291" s="1229"/>
      <c r="G291" s="1229"/>
      <c r="H291" s="1229"/>
      <c r="I291" s="1229"/>
      <c r="J291" s="1229"/>
      <c r="K291" s="1229"/>
      <c r="L291" s="1229"/>
      <c r="M291" s="1229"/>
      <c r="N291" s="1337"/>
      <c r="O291" s="1337"/>
      <c r="P291" s="1229"/>
      <c r="Q291" s="1229"/>
      <c r="R291" s="1229"/>
      <c r="S291" s="1229"/>
      <c r="T291" s="1337"/>
      <c r="U291" s="1337"/>
      <c r="V291" s="1229"/>
      <c r="W291" s="1229"/>
      <c r="X291" s="1229"/>
      <c r="Y291" s="1229"/>
      <c r="Z291" s="1337"/>
      <c r="AA291" s="1337"/>
      <c r="AB291" s="1229"/>
      <c r="AC291" s="1229"/>
      <c r="AD291" s="1229"/>
      <c r="AE291" s="1229"/>
      <c r="AF291" s="1337"/>
      <c r="AG291" s="1337"/>
      <c r="AH291" s="1229"/>
      <c r="AI291" s="1229"/>
      <c r="AJ291" s="1229"/>
      <c r="AK291" s="1229"/>
      <c r="AL291" s="1337"/>
      <c r="AM291" s="1337"/>
      <c r="AN291" s="1229"/>
      <c r="AO291" s="1229"/>
      <c r="AP291" s="1229"/>
      <c r="AQ291" s="1229"/>
      <c r="AR291" s="1337"/>
      <c r="AS291" s="1337"/>
      <c r="AT291" s="1229"/>
      <c r="AU291" s="1229"/>
      <c r="AV291" s="1229"/>
      <c r="AW291" s="1229"/>
      <c r="AX291" s="1337"/>
      <c r="AY291" s="1337"/>
      <c r="AZ291" s="1229"/>
      <c r="BA291" s="1229"/>
      <c r="BB291" s="1229"/>
      <c r="BC291" s="1229"/>
      <c r="BD291" s="1337"/>
      <c r="BE291" s="1337"/>
      <c r="BF291" s="1229"/>
      <c r="BG291" s="1229"/>
      <c r="BH291" s="1229"/>
      <c r="BI291" s="1222"/>
      <c r="BJ291" s="1338"/>
      <c r="BK291" s="1338"/>
      <c r="BL291" s="1222"/>
      <c r="BM291" s="1222"/>
      <c r="BN291" s="1222"/>
      <c r="BO291" s="1222"/>
    </row>
    <row r="292" ht="7.5" customHeight="1">
      <c r="A292" s="1222"/>
      <c r="B292" s="1229"/>
      <c r="C292" s="1349"/>
      <c r="D292" s="1229"/>
      <c r="E292" s="1229"/>
      <c r="F292" s="1229"/>
      <c r="G292" s="1229"/>
      <c r="H292" s="1229"/>
      <c r="I292" s="1229"/>
      <c r="J292" s="1229"/>
      <c r="K292" s="1229"/>
      <c r="L292" s="1229" t="str">
        <f>IFERROR(__xludf.DUMMYFUNCTION("""COMPUTED_VALUE"""),"")</f>
        <v/>
      </c>
      <c r="M292" s="1229"/>
      <c r="N292" s="1337"/>
      <c r="O292" s="1337"/>
      <c r="P292" s="1229"/>
      <c r="Q292" s="1229" t="str">
        <f>IFERROR(__xludf.DUMMYFUNCTION("""COMPUTED_VALUE"""),"")</f>
        <v/>
      </c>
      <c r="R292" s="1229" t="str">
        <f>IFERROR(__xludf.DUMMYFUNCTION("""COMPUTED_VALUE"""),"")</f>
        <v/>
      </c>
      <c r="S292" s="1229"/>
      <c r="T292" s="1337"/>
      <c r="U292" s="1337"/>
      <c r="V292" s="1229"/>
      <c r="W292" s="1229" t="str">
        <f>IFERROR(__xludf.DUMMYFUNCTION("""COMPUTED_VALUE"""),"")</f>
        <v/>
      </c>
      <c r="X292" s="1229" t="str">
        <f>IFERROR(__xludf.DUMMYFUNCTION("""COMPUTED_VALUE"""),"")</f>
        <v/>
      </c>
      <c r="Y292" s="1229"/>
      <c r="Z292" s="1337"/>
      <c r="AA292" s="1337"/>
      <c r="AB292" s="1229"/>
      <c r="AC292" s="1229" t="str">
        <f>IFERROR(__xludf.DUMMYFUNCTION("""COMPUTED_VALUE"""),"")</f>
        <v/>
      </c>
      <c r="AD292" s="1229" t="str">
        <f>IFERROR(__xludf.DUMMYFUNCTION("""COMPUTED_VALUE"""),"")</f>
        <v/>
      </c>
      <c r="AE292" s="1229"/>
      <c r="AF292" s="1337"/>
      <c r="AG292" s="1337"/>
      <c r="AH292" s="1229"/>
      <c r="AI292" s="1229" t="str">
        <f>IFERROR(__xludf.DUMMYFUNCTION("""COMPUTED_VALUE"""),"")</f>
        <v/>
      </c>
      <c r="AJ292" s="1229" t="str">
        <f>IFERROR(__xludf.DUMMYFUNCTION("""COMPUTED_VALUE"""),"")</f>
        <v/>
      </c>
      <c r="AK292" s="1229"/>
      <c r="AL292" s="1337"/>
      <c r="AM292" s="1337"/>
      <c r="AN292" s="1229"/>
      <c r="AO292" s="1229" t="str">
        <f>IFERROR(__xludf.DUMMYFUNCTION("""COMPUTED_VALUE"""),"")</f>
        <v/>
      </c>
      <c r="AP292" s="1229" t="str">
        <f>IFERROR(__xludf.DUMMYFUNCTION("""COMPUTED_VALUE"""),"")</f>
        <v/>
      </c>
      <c r="AQ292" s="1229"/>
      <c r="AR292" s="1337"/>
      <c r="AS292" s="1337"/>
      <c r="AT292" s="1229"/>
      <c r="AU292" s="1229" t="str">
        <f>IFERROR(__xludf.DUMMYFUNCTION("""COMPUTED_VALUE"""),"")</f>
        <v/>
      </c>
      <c r="AV292" s="1229" t="str">
        <f>IFERROR(__xludf.DUMMYFUNCTION("""COMPUTED_VALUE"""),"")</f>
        <v/>
      </c>
      <c r="AW292" s="1229"/>
      <c r="AX292" s="1337"/>
      <c r="AY292" s="1337"/>
      <c r="AZ292" s="1229"/>
      <c r="BA292" s="1229" t="str">
        <f>IFERROR(__xludf.DUMMYFUNCTION("""COMPUTED_VALUE"""),"")</f>
        <v/>
      </c>
      <c r="BB292" s="1229" t="str">
        <f>IFERROR(__xludf.DUMMYFUNCTION("""COMPUTED_VALUE"""),"")</f>
        <v/>
      </c>
      <c r="BC292" s="1229"/>
      <c r="BD292" s="1337"/>
      <c r="BE292" s="1337"/>
      <c r="BF292" s="1229"/>
      <c r="BG292" s="1229" t="str">
        <f>IFERROR(__xludf.DUMMYFUNCTION("""COMPUTED_VALUE"""),"")</f>
        <v/>
      </c>
      <c r="BH292" s="1229" t="str">
        <f>IFERROR(__xludf.DUMMYFUNCTION("""COMPUTED_VALUE"""),"")</f>
        <v/>
      </c>
      <c r="BI292" s="1222"/>
      <c r="BJ292" s="1338"/>
      <c r="BK292" s="1338"/>
      <c r="BL292" s="1222"/>
      <c r="BM292" s="1222" t="str">
        <f>IFERROR(__xludf.DUMMYFUNCTION("""COMPUTED_VALUE"""),"")</f>
        <v/>
      </c>
      <c r="BN292" s="1222"/>
      <c r="BO292" s="1222"/>
    </row>
    <row r="293">
      <c r="A293" s="1222"/>
      <c r="B293" s="1229"/>
      <c r="C293" s="1349"/>
      <c r="D293" s="1229"/>
      <c r="E293" s="1229"/>
      <c r="F293" s="1229"/>
      <c r="G293" s="1229"/>
      <c r="H293" s="1229"/>
      <c r="I293" s="1229"/>
      <c r="J293" s="1229"/>
      <c r="K293" s="1229"/>
      <c r="L293" s="1229"/>
      <c r="M293" s="1229"/>
      <c r="N293" s="1337"/>
      <c r="O293" s="1337"/>
      <c r="P293" s="1229"/>
      <c r="Q293" s="1229"/>
      <c r="R293" s="1229"/>
      <c r="S293" s="1229"/>
      <c r="T293" s="1337"/>
      <c r="U293" s="1337"/>
      <c r="V293" s="1229"/>
      <c r="W293" s="1229"/>
      <c r="X293" s="1229"/>
      <c r="Y293" s="1229"/>
      <c r="Z293" s="1337"/>
      <c r="AA293" s="1337"/>
      <c r="AB293" s="1229"/>
      <c r="AC293" s="1229"/>
      <c r="AD293" s="1229"/>
      <c r="AE293" s="1229"/>
      <c r="AF293" s="1337"/>
      <c r="AG293" s="1337"/>
      <c r="AH293" s="1229"/>
      <c r="AI293" s="1229"/>
      <c r="AJ293" s="1229"/>
      <c r="AK293" s="1229"/>
      <c r="AL293" s="1337"/>
      <c r="AM293" s="1337"/>
      <c r="AN293" s="1229"/>
      <c r="AO293" s="1229"/>
      <c r="AP293" s="1229"/>
      <c r="AQ293" s="1229"/>
      <c r="AR293" s="1337"/>
      <c r="AS293" s="1337"/>
      <c r="AT293" s="1229"/>
      <c r="AU293" s="1229"/>
      <c r="AV293" s="1229"/>
      <c r="AW293" s="1229"/>
      <c r="AX293" s="1337"/>
      <c r="AY293" s="1337"/>
      <c r="AZ293" s="1229"/>
      <c r="BA293" s="1229"/>
      <c r="BB293" s="1229"/>
      <c r="BC293" s="1229"/>
      <c r="BD293" s="1337"/>
      <c r="BE293" s="1337"/>
      <c r="BF293" s="1229"/>
      <c r="BG293" s="1229"/>
      <c r="BH293" s="1229"/>
      <c r="BI293" s="1222"/>
      <c r="BJ293" s="1338"/>
      <c r="BK293" s="1338"/>
      <c r="BL293" s="1222"/>
      <c r="BM293" s="1222"/>
      <c r="BN293" s="1222"/>
      <c r="BO293" s="1222"/>
    </row>
    <row r="294" ht="7.5" customHeight="1">
      <c r="A294" s="1222"/>
      <c r="B294" s="1229"/>
      <c r="C294" s="1349"/>
      <c r="D294" s="1229"/>
      <c r="E294" s="1229"/>
      <c r="F294" s="1229"/>
      <c r="G294" s="1229"/>
      <c r="H294" s="1229"/>
      <c r="I294" s="1229"/>
      <c r="J294" s="1229"/>
      <c r="K294" s="1229"/>
      <c r="L294" s="1229" t="str">
        <f>IFERROR(__xludf.DUMMYFUNCTION("""COMPUTED_VALUE"""),"")</f>
        <v/>
      </c>
      <c r="M294" s="1229"/>
      <c r="N294" s="1337"/>
      <c r="O294" s="1337"/>
      <c r="P294" s="1229"/>
      <c r="Q294" s="1229" t="str">
        <f>IFERROR(__xludf.DUMMYFUNCTION("""COMPUTED_VALUE"""),"")</f>
        <v/>
      </c>
      <c r="R294" s="1229" t="str">
        <f>IFERROR(__xludf.DUMMYFUNCTION("""COMPUTED_VALUE"""),"")</f>
        <v/>
      </c>
      <c r="S294" s="1229"/>
      <c r="T294" s="1337"/>
      <c r="U294" s="1337"/>
      <c r="V294" s="1229"/>
      <c r="W294" s="1229" t="str">
        <f>IFERROR(__xludf.DUMMYFUNCTION("""COMPUTED_VALUE"""),"")</f>
        <v/>
      </c>
      <c r="X294" s="1229" t="str">
        <f>IFERROR(__xludf.DUMMYFUNCTION("""COMPUTED_VALUE"""),"")</f>
        <v/>
      </c>
      <c r="Y294" s="1229"/>
      <c r="Z294" s="1337"/>
      <c r="AA294" s="1337"/>
      <c r="AB294" s="1229"/>
      <c r="AC294" s="1229" t="str">
        <f>IFERROR(__xludf.DUMMYFUNCTION("""COMPUTED_VALUE"""),"")</f>
        <v/>
      </c>
      <c r="AD294" s="1229" t="str">
        <f>IFERROR(__xludf.DUMMYFUNCTION("""COMPUTED_VALUE"""),"")</f>
        <v/>
      </c>
      <c r="AE294" s="1229"/>
      <c r="AF294" s="1337"/>
      <c r="AG294" s="1337"/>
      <c r="AH294" s="1229"/>
      <c r="AI294" s="1229" t="str">
        <f>IFERROR(__xludf.DUMMYFUNCTION("""COMPUTED_VALUE"""),"")</f>
        <v/>
      </c>
      <c r="AJ294" s="1229" t="str">
        <f>IFERROR(__xludf.DUMMYFUNCTION("""COMPUTED_VALUE"""),"")</f>
        <v/>
      </c>
      <c r="AK294" s="1229"/>
      <c r="AL294" s="1337"/>
      <c r="AM294" s="1337"/>
      <c r="AN294" s="1229"/>
      <c r="AO294" s="1229" t="str">
        <f>IFERROR(__xludf.DUMMYFUNCTION("""COMPUTED_VALUE"""),"")</f>
        <v/>
      </c>
      <c r="AP294" s="1229" t="str">
        <f>IFERROR(__xludf.DUMMYFUNCTION("""COMPUTED_VALUE"""),"")</f>
        <v/>
      </c>
      <c r="AQ294" s="1229"/>
      <c r="AR294" s="1337"/>
      <c r="AS294" s="1337"/>
      <c r="AT294" s="1229"/>
      <c r="AU294" s="1229" t="str">
        <f>IFERROR(__xludf.DUMMYFUNCTION("""COMPUTED_VALUE"""),"")</f>
        <v/>
      </c>
      <c r="AV294" s="1229" t="str">
        <f>IFERROR(__xludf.DUMMYFUNCTION("""COMPUTED_VALUE"""),"")</f>
        <v/>
      </c>
      <c r="AW294" s="1229"/>
      <c r="AX294" s="1337"/>
      <c r="AY294" s="1337"/>
      <c r="AZ294" s="1229"/>
      <c r="BA294" s="1229" t="str">
        <f>IFERROR(__xludf.DUMMYFUNCTION("""COMPUTED_VALUE"""),"")</f>
        <v/>
      </c>
      <c r="BB294" s="1229" t="str">
        <f>IFERROR(__xludf.DUMMYFUNCTION("""COMPUTED_VALUE"""),"")</f>
        <v/>
      </c>
      <c r="BC294" s="1229"/>
      <c r="BD294" s="1337"/>
      <c r="BE294" s="1337"/>
      <c r="BF294" s="1229"/>
      <c r="BG294" s="1229" t="str">
        <f>IFERROR(__xludf.DUMMYFUNCTION("""COMPUTED_VALUE"""),"")</f>
        <v/>
      </c>
      <c r="BH294" s="1229" t="str">
        <f>IFERROR(__xludf.DUMMYFUNCTION("""COMPUTED_VALUE"""),"")</f>
        <v/>
      </c>
      <c r="BI294" s="1222"/>
      <c r="BJ294" s="1338"/>
      <c r="BK294" s="1338"/>
      <c r="BL294" s="1222"/>
      <c r="BM294" s="1222" t="str">
        <f>IFERROR(__xludf.DUMMYFUNCTION("""COMPUTED_VALUE"""),"")</f>
        <v/>
      </c>
      <c r="BN294" s="1222"/>
      <c r="BO294" s="1222"/>
    </row>
    <row r="295">
      <c r="A295" s="1222"/>
      <c r="B295" s="1229"/>
      <c r="C295" s="1349"/>
      <c r="D295" s="1229"/>
      <c r="E295" s="1229"/>
      <c r="F295" s="1229"/>
      <c r="G295" s="1229"/>
      <c r="H295" s="1229"/>
      <c r="I295" s="1229"/>
      <c r="J295" s="1229"/>
      <c r="K295" s="1229"/>
      <c r="L295" s="1229"/>
      <c r="M295" s="1229"/>
      <c r="N295" s="1337"/>
      <c r="O295" s="1337"/>
      <c r="P295" s="1229"/>
      <c r="Q295" s="1229"/>
      <c r="R295" s="1229"/>
      <c r="S295" s="1229"/>
      <c r="T295" s="1337"/>
      <c r="U295" s="1337"/>
      <c r="V295" s="1229"/>
      <c r="W295" s="1229"/>
      <c r="X295" s="1229"/>
      <c r="Y295" s="1229"/>
      <c r="Z295" s="1337"/>
      <c r="AA295" s="1337"/>
      <c r="AB295" s="1229"/>
      <c r="AC295" s="1229"/>
      <c r="AD295" s="1229"/>
      <c r="AE295" s="1229"/>
      <c r="AF295" s="1337"/>
      <c r="AG295" s="1337"/>
      <c r="AH295" s="1229"/>
      <c r="AI295" s="1229"/>
      <c r="AJ295" s="1229"/>
      <c r="AK295" s="1229"/>
      <c r="AL295" s="1337"/>
      <c r="AM295" s="1337"/>
      <c r="AN295" s="1229"/>
      <c r="AO295" s="1229"/>
      <c r="AP295" s="1229"/>
      <c r="AQ295" s="1229"/>
      <c r="AR295" s="1337"/>
      <c r="AS295" s="1337"/>
      <c r="AT295" s="1229"/>
      <c r="AU295" s="1229"/>
      <c r="AV295" s="1229"/>
      <c r="AW295" s="1229"/>
      <c r="AX295" s="1337"/>
      <c r="AY295" s="1337"/>
      <c r="AZ295" s="1229"/>
      <c r="BA295" s="1229"/>
      <c r="BB295" s="1229"/>
      <c r="BC295" s="1229"/>
      <c r="BD295" s="1337"/>
      <c r="BE295" s="1337"/>
      <c r="BF295" s="1229"/>
      <c r="BG295" s="1229"/>
      <c r="BH295" s="1229"/>
      <c r="BI295" s="1222"/>
      <c r="BJ295" s="1338"/>
      <c r="BK295" s="1338"/>
      <c r="BL295" s="1222"/>
      <c r="BM295" s="1222"/>
      <c r="BN295" s="1222"/>
      <c r="BO295" s="1222"/>
    </row>
    <row r="296" ht="7.5" customHeight="1">
      <c r="A296" s="1222"/>
      <c r="B296" s="1229"/>
      <c r="C296" s="1349"/>
      <c r="D296" s="1229"/>
      <c r="E296" s="1229"/>
      <c r="F296" s="1229"/>
      <c r="G296" s="1229"/>
      <c r="H296" s="1229"/>
      <c r="I296" s="1229"/>
      <c r="J296" s="1229"/>
      <c r="K296" s="1229"/>
      <c r="L296" s="1229" t="str">
        <f>IFERROR(__xludf.DUMMYFUNCTION("""COMPUTED_VALUE"""),"")</f>
        <v/>
      </c>
      <c r="M296" s="1229"/>
      <c r="N296" s="1337"/>
      <c r="O296" s="1337"/>
      <c r="P296" s="1229"/>
      <c r="Q296" s="1229" t="str">
        <f>IFERROR(__xludf.DUMMYFUNCTION("""COMPUTED_VALUE"""),"")</f>
        <v/>
      </c>
      <c r="R296" s="1229" t="str">
        <f>IFERROR(__xludf.DUMMYFUNCTION("""COMPUTED_VALUE"""),"")</f>
        <v/>
      </c>
      <c r="S296" s="1229"/>
      <c r="T296" s="1337"/>
      <c r="U296" s="1337"/>
      <c r="V296" s="1229"/>
      <c r="W296" s="1229" t="str">
        <f>IFERROR(__xludf.DUMMYFUNCTION("""COMPUTED_VALUE"""),"")</f>
        <v/>
      </c>
      <c r="X296" s="1229" t="str">
        <f>IFERROR(__xludf.DUMMYFUNCTION("""COMPUTED_VALUE"""),"")</f>
        <v/>
      </c>
      <c r="Y296" s="1229"/>
      <c r="Z296" s="1337"/>
      <c r="AA296" s="1337"/>
      <c r="AB296" s="1229"/>
      <c r="AC296" s="1229" t="str">
        <f>IFERROR(__xludf.DUMMYFUNCTION("""COMPUTED_VALUE"""),"")</f>
        <v/>
      </c>
      <c r="AD296" s="1229" t="str">
        <f>IFERROR(__xludf.DUMMYFUNCTION("""COMPUTED_VALUE"""),"")</f>
        <v/>
      </c>
      <c r="AE296" s="1229"/>
      <c r="AF296" s="1337"/>
      <c r="AG296" s="1337"/>
      <c r="AH296" s="1229"/>
      <c r="AI296" s="1229" t="str">
        <f>IFERROR(__xludf.DUMMYFUNCTION("""COMPUTED_VALUE"""),"")</f>
        <v/>
      </c>
      <c r="AJ296" s="1229" t="str">
        <f>IFERROR(__xludf.DUMMYFUNCTION("""COMPUTED_VALUE"""),"")</f>
        <v/>
      </c>
      <c r="AK296" s="1229"/>
      <c r="AL296" s="1337"/>
      <c r="AM296" s="1337"/>
      <c r="AN296" s="1229"/>
      <c r="AO296" s="1229" t="str">
        <f>IFERROR(__xludf.DUMMYFUNCTION("""COMPUTED_VALUE"""),"")</f>
        <v/>
      </c>
      <c r="AP296" s="1229" t="str">
        <f>IFERROR(__xludf.DUMMYFUNCTION("""COMPUTED_VALUE"""),"")</f>
        <v/>
      </c>
      <c r="AQ296" s="1229"/>
      <c r="AR296" s="1337"/>
      <c r="AS296" s="1337"/>
      <c r="AT296" s="1229"/>
      <c r="AU296" s="1229" t="str">
        <f>IFERROR(__xludf.DUMMYFUNCTION("""COMPUTED_VALUE"""),"")</f>
        <v/>
      </c>
      <c r="AV296" s="1229" t="str">
        <f>IFERROR(__xludf.DUMMYFUNCTION("""COMPUTED_VALUE"""),"")</f>
        <v/>
      </c>
      <c r="AW296" s="1229"/>
      <c r="AX296" s="1337"/>
      <c r="AY296" s="1337"/>
      <c r="AZ296" s="1229"/>
      <c r="BA296" s="1229" t="str">
        <f>IFERROR(__xludf.DUMMYFUNCTION("""COMPUTED_VALUE"""),"")</f>
        <v/>
      </c>
      <c r="BB296" s="1229" t="str">
        <f>IFERROR(__xludf.DUMMYFUNCTION("""COMPUTED_VALUE"""),"")</f>
        <v/>
      </c>
      <c r="BC296" s="1229"/>
      <c r="BD296" s="1337"/>
      <c r="BE296" s="1337"/>
      <c r="BF296" s="1229"/>
      <c r="BG296" s="1229" t="str">
        <f>IFERROR(__xludf.DUMMYFUNCTION("""COMPUTED_VALUE"""),"")</f>
        <v/>
      </c>
      <c r="BH296" s="1229" t="str">
        <f>IFERROR(__xludf.DUMMYFUNCTION("""COMPUTED_VALUE"""),"")</f>
        <v/>
      </c>
      <c r="BI296" s="1222"/>
      <c r="BJ296" s="1338"/>
      <c r="BK296" s="1338"/>
      <c r="BL296" s="1222"/>
      <c r="BM296" s="1222" t="str">
        <f>IFERROR(__xludf.DUMMYFUNCTION("""COMPUTED_VALUE"""),"")</f>
        <v/>
      </c>
      <c r="BN296" s="1222"/>
      <c r="BO296" s="1222"/>
    </row>
    <row r="297">
      <c r="A297" s="1222"/>
      <c r="B297" s="1229"/>
      <c r="C297" s="1349"/>
      <c r="D297" s="1229"/>
      <c r="E297" s="1229"/>
      <c r="F297" s="1229"/>
      <c r="G297" s="1229"/>
      <c r="H297" s="1229"/>
      <c r="I297" s="1229"/>
      <c r="J297" s="1229"/>
      <c r="K297" s="1229"/>
      <c r="L297" s="1229"/>
      <c r="M297" s="1229"/>
      <c r="N297" s="1337"/>
      <c r="O297" s="1337"/>
      <c r="P297" s="1229"/>
      <c r="Q297" s="1229"/>
      <c r="R297" s="1229"/>
      <c r="S297" s="1229"/>
      <c r="T297" s="1337"/>
      <c r="U297" s="1337"/>
      <c r="V297" s="1229"/>
      <c r="W297" s="1229"/>
      <c r="X297" s="1229"/>
      <c r="Y297" s="1229"/>
      <c r="Z297" s="1337"/>
      <c r="AA297" s="1337"/>
      <c r="AB297" s="1229"/>
      <c r="AC297" s="1229"/>
      <c r="AD297" s="1229"/>
      <c r="AE297" s="1229"/>
      <c r="AF297" s="1337"/>
      <c r="AG297" s="1337"/>
      <c r="AH297" s="1229"/>
      <c r="AI297" s="1229"/>
      <c r="AJ297" s="1229"/>
      <c r="AK297" s="1229"/>
      <c r="AL297" s="1337"/>
      <c r="AM297" s="1337"/>
      <c r="AN297" s="1229"/>
      <c r="AO297" s="1229"/>
      <c r="AP297" s="1229"/>
      <c r="AQ297" s="1229"/>
      <c r="AR297" s="1337"/>
      <c r="AS297" s="1337"/>
      <c r="AT297" s="1229"/>
      <c r="AU297" s="1229"/>
      <c r="AV297" s="1229"/>
      <c r="AW297" s="1229"/>
      <c r="AX297" s="1337"/>
      <c r="AY297" s="1337"/>
      <c r="AZ297" s="1229"/>
      <c r="BA297" s="1229"/>
      <c r="BB297" s="1229"/>
      <c r="BC297" s="1229"/>
      <c r="BD297" s="1337"/>
      <c r="BE297" s="1337"/>
      <c r="BF297" s="1229"/>
      <c r="BG297" s="1229"/>
      <c r="BH297" s="1229"/>
      <c r="BI297" s="1222"/>
      <c r="BJ297" s="1338"/>
      <c r="BK297" s="1338"/>
      <c r="BL297" s="1222"/>
      <c r="BM297" s="1222"/>
      <c r="BN297" s="1222"/>
      <c r="BO297" s="1222"/>
    </row>
    <row r="298" ht="7.5" customHeight="1">
      <c r="A298" s="1222"/>
      <c r="B298" s="1229"/>
      <c r="C298" s="1349"/>
      <c r="D298" s="1229"/>
      <c r="E298" s="1229"/>
      <c r="F298" s="1229"/>
      <c r="G298" s="1229"/>
      <c r="H298" s="1229"/>
      <c r="I298" s="1229"/>
      <c r="J298" s="1229"/>
      <c r="K298" s="1229"/>
      <c r="L298" s="1229" t="str">
        <f>IFERROR(__xludf.DUMMYFUNCTION("""COMPUTED_VALUE"""),"")</f>
        <v/>
      </c>
      <c r="M298" s="1229"/>
      <c r="N298" s="1337"/>
      <c r="O298" s="1337"/>
      <c r="P298" s="1229"/>
      <c r="Q298" s="1229" t="str">
        <f>IFERROR(__xludf.DUMMYFUNCTION("""COMPUTED_VALUE"""),"")</f>
        <v/>
      </c>
      <c r="R298" s="1229" t="str">
        <f>IFERROR(__xludf.DUMMYFUNCTION("""COMPUTED_VALUE"""),"")</f>
        <v/>
      </c>
      <c r="S298" s="1229"/>
      <c r="T298" s="1337"/>
      <c r="U298" s="1337"/>
      <c r="V298" s="1229"/>
      <c r="W298" s="1229" t="str">
        <f>IFERROR(__xludf.DUMMYFUNCTION("""COMPUTED_VALUE"""),"")</f>
        <v/>
      </c>
      <c r="X298" s="1229" t="str">
        <f>IFERROR(__xludf.DUMMYFUNCTION("""COMPUTED_VALUE"""),"")</f>
        <v/>
      </c>
      <c r="Y298" s="1229"/>
      <c r="Z298" s="1337"/>
      <c r="AA298" s="1337"/>
      <c r="AB298" s="1229"/>
      <c r="AC298" s="1229" t="str">
        <f>IFERROR(__xludf.DUMMYFUNCTION("""COMPUTED_VALUE"""),"")</f>
        <v/>
      </c>
      <c r="AD298" s="1229" t="str">
        <f>IFERROR(__xludf.DUMMYFUNCTION("""COMPUTED_VALUE"""),"")</f>
        <v/>
      </c>
      <c r="AE298" s="1229"/>
      <c r="AF298" s="1337"/>
      <c r="AG298" s="1337"/>
      <c r="AH298" s="1229"/>
      <c r="AI298" s="1229" t="str">
        <f>IFERROR(__xludf.DUMMYFUNCTION("""COMPUTED_VALUE"""),"")</f>
        <v/>
      </c>
      <c r="AJ298" s="1229" t="str">
        <f>IFERROR(__xludf.DUMMYFUNCTION("""COMPUTED_VALUE"""),"")</f>
        <v/>
      </c>
      <c r="AK298" s="1229"/>
      <c r="AL298" s="1337"/>
      <c r="AM298" s="1337"/>
      <c r="AN298" s="1229"/>
      <c r="AO298" s="1229" t="str">
        <f>IFERROR(__xludf.DUMMYFUNCTION("""COMPUTED_VALUE"""),"")</f>
        <v/>
      </c>
      <c r="AP298" s="1229" t="str">
        <f>IFERROR(__xludf.DUMMYFUNCTION("""COMPUTED_VALUE"""),"")</f>
        <v/>
      </c>
      <c r="AQ298" s="1229"/>
      <c r="AR298" s="1337"/>
      <c r="AS298" s="1337"/>
      <c r="AT298" s="1229"/>
      <c r="AU298" s="1229" t="str">
        <f>IFERROR(__xludf.DUMMYFUNCTION("""COMPUTED_VALUE"""),"")</f>
        <v/>
      </c>
      <c r="AV298" s="1229" t="str">
        <f>IFERROR(__xludf.DUMMYFUNCTION("""COMPUTED_VALUE"""),"")</f>
        <v/>
      </c>
      <c r="AW298" s="1229"/>
      <c r="AX298" s="1337"/>
      <c r="AY298" s="1337"/>
      <c r="AZ298" s="1229"/>
      <c r="BA298" s="1229" t="str">
        <f>IFERROR(__xludf.DUMMYFUNCTION("""COMPUTED_VALUE"""),"")</f>
        <v/>
      </c>
      <c r="BB298" s="1229" t="str">
        <f>IFERROR(__xludf.DUMMYFUNCTION("""COMPUTED_VALUE"""),"")</f>
        <v/>
      </c>
      <c r="BC298" s="1229"/>
      <c r="BD298" s="1337"/>
      <c r="BE298" s="1337"/>
      <c r="BF298" s="1229"/>
      <c r="BG298" s="1229" t="str">
        <f>IFERROR(__xludf.DUMMYFUNCTION("""COMPUTED_VALUE"""),"")</f>
        <v/>
      </c>
      <c r="BH298" s="1229" t="str">
        <f>IFERROR(__xludf.DUMMYFUNCTION("""COMPUTED_VALUE"""),"")</f>
        <v/>
      </c>
      <c r="BI298" s="1222"/>
      <c r="BJ298" s="1338"/>
      <c r="BK298" s="1338"/>
      <c r="BL298" s="1222"/>
      <c r="BM298" s="1222" t="str">
        <f>IFERROR(__xludf.DUMMYFUNCTION("""COMPUTED_VALUE"""),"")</f>
        <v/>
      </c>
      <c r="BN298" s="1222"/>
      <c r="BO298" s="1222"/>
    </row>
    <row r="299">
      <c r="A299" s="1222"/>
      <c r="B299" s="1229"/>
      <c r="C299" s="1349"/>
      <c r="D299" s="1229"/>
      <c r="E299" s="1229"/>
      <c r="F299" s="1229"/>
      <c r="G299" s="1229"/>
      <c r="H299" s="1229"/>
      <c r="I299" s="1229"/>
      <c r="J299" s="1229"/>
      <c r="K299" s="1229"/>
      <c r="L299" s="1229"/>
      <c r="M299" s="1229"/>
      <c r="N299" s="1337"/>
      <c r="O299" s="1337"/>
      <c r="P299" s="1229"/>
      <c r="Q299" s="1229"/>
      <c r="R299" s="1229"/>
      <c r="S299" s="1229"/>
      <c r="T299" s="1337"/>
      <c r="U299" s="1337"/>
      <c r="V299" s="1229"/>
      <c r="W299" s="1229"/>
      <c r="X299" s="1229"/>
      <c r="Y299" s="1229"/>
      <c r="Z299" s="1337"/>
      <c r="AA299" s="1337"/>
      <c r="AB299" s="1229"/>
      <c r="AC299" s="1229"/>
      <c r="AD299" s="1229"/>
      <c r="AE299" s="1229"/>
      <c r="AF299" s="1337"/>
      <c r="AG299" s="1337"/>
      <c r="AH299" s="1229"/>
      <c r="AI299" s="1229"/>
      <c r="AJ299" s="1229"/>
      <c r="AK299" s="1229"/>
      <c r="AL299" s="1337"/>
      <c r="AM299" s="1337"/>
      <c r="AN299" s="1229"/>
      <c r="AO299" s="1229"/>
      <c r="AP299" s="1229"/>
      <c r="AQ299" s="1229"/>
      <c r="AR299" s="1337"/>
      <c r="AS299" s="1337"/>
      <c r="AT299" s="1229"/>
      <c r="AU299" s="1229"/>
      <c r="AV299" s="1229"/>
      <c r="AW299" s="1229"/>
      <c r="AX299" s="1337"/>
      <c r="AY299" s="1337"/>
      <c r="AZ299" s="1229"/>
      <c r="BA299" s="1229"/>
      <c r="BB299" s="1229"/>
      <c r="BC299" s="1229"/>
      <c r="BD299" s="1337"/>
      <c r="BE299" s="1337"/>
      <c r="BF299" s="1229"/>
      <c r="BG299" s="1229"/>
      <c r="BH299" s="1229"/>
      <c r="BI299" s="1222"/>
      <c r="BJ299" s="1338"/>
      <c r="BK299" s="1338"/>
      <c r="BL299" s="1222"/>
      <c r="BM299" s="1222"/>
      <c r="BN299" s="1222"/>
      <c r="BO299" s="1222"/>
    </row>
    <row r="300" ht="7.5" customHeight="1">
      <c r="A300" s="1222"/>
      <c r="B300" s="1229"/>
      <c r="C300" s="1349"/>
      <c r="D300" s="1229"/>
      <c r="E300" s="1229"/>
      <c r="F300" s="1229"/>
      <c r="G300" s="1229"/>
      <c r="H300" s="1229"/>
      <c r="I300" s="1229"/>
      <c r="J300" s="1229"/>
      <c r="K300" s="1229"/>
      <c r="L300" s="1229" t="str">
        <f>IFERROR(__xludf.DUMMYFUNCTION("""COMPUTED_VALUE"""),"")</f>
        <v/>
      </c>
      <c r="M300" s="1229"/>
      <c r="N300" s="1337"/>
      <c r="O300" s="1337"/>
      <c r="P300" s="1229"/>
      <c r="Q300" s="1229" t="str">
        <f>IFERROR(__xludf.DUMMYFUNCTION("""COMPUTED_VALUE"""),"")</f>
        <v/>
      </c>
      <c r="R300" s="1229" t="str">
        <f>IFERROR(__xludf.DUMMYFUNCTION("""COMPUTED_VALUE"""),"")</f>
        <v/>
      </c>
      <c r="S300" s="1229"/>
      <c r="T300" s="1337"/>
      <c r="U300" s="1337"/>
      <c r="V300" s="1229"/>
      <c r="W300" s="1229" t="str">
        <f>IFERROR(__xludf.DUMMYFUNCTION("""COMPUTED_VALUE"""),"")</f>
        <v/>
      </c>
      <c r="X300" s="1229" t="str">
        <f>IFERROR(__xludf.DUMMYFUNCTION("""COMPUTED_VALUE"""),"")</f>
        <v/>
      </c>
      <c r="Y300" s="1229"/>
      <c r="Z300" s="1337"/>
      <c r="AA300" s="1337"/>
      <c r="AB300" s="1229"/>
      <c r="AC300" s="1229" t="str">
        <f>IFERROR(__xludf.DUMMYFUNCTION("""COMPUTED_VALUE"""),"")</f>
        <v/>
      </c>
      <c r="AD300" s="1229" t="str">
        <f>IFERROR(__xludf.DUMMYFUNCTION("""COMPUTED_VALUE"""),"")</f>
        <v/>
      </c>
      <c r="AE300" s="1229"/>
      <c r="AF300" s="1337"/>
      <c r="AG300" s="1337"/>
      <c r="AH300" s="1229"/>
      <c r="AI300" s="1229" t="str">
        <f>IFERROR(__xludf.DUMMYFUNCTION("""COMPUTED_VALUE"""),"")</f>
        <v/>
      </c>
      <c r="AJ300" s="1229" t="str">
        <f>IFERROR(__xludf.DUMMYFUNCTION("""COMPUTED_VALUE"""),"")</f>
        <v/>
      </c>
      <c r="AK300" s="1229"/>
      <c r="AL300" s="1337"/>
      <c r="AM300" s="1337"/>
      <c r="AN300" s="1229"/>
      <c r="AO300" s="1229" t="str">
        <f>IFERROR(__xludf.DUMMYFUNCTION("""COMPUTED_VALUE"""),"")</f>
        <v/>
      </c>
      <c r="AP300" s="1229" t="str">
        <f>IFERROR(__xludf.DUMMYFUNCTION("""COMPUTED_VALUE"""),"")</f>
        <v/>
      </c>
      <c r="AQ300" s="1229"/>
      <c r="AR300" s="1337"/>
      <c r="AS300" s="1337"/>
      <c r="AT300" s="1229"/>
      <c r="AU300" s="1229" t="str">
        <f>IFERROR(__xludf.DUMMYFUNCTION("""COMPUTED_VALUE"""),"")</f>
        <v/>
      </c>
      <c r="AV300" s="1229" t="str">
        <f>IFERROR(__xludf.DUMMYFUNCTION("""COMPUTED_VALUE"""),"")</f>
        <v/>
      </c>
      <c r="AW300" s="1229"/>
      <c r="AX300" s="1337"/>
      <c r="AY300" s="1337"/>
      <c r="AZ300" s="1229"/>
      <c r="BA300" s="1229" t="str">
        <f>IFERROR(__xludf.DUMMYFUNCTION("""COMPUTED_VALUE"""),"")</f>
        <v/>
      </c>
      <c r="BB300" s="1229" t="str">
        <f>IFERROR(__xludf.DUMMYFUNCTION("""COMPUTED_VALUE"""),"")</f>
        <v/>
      </c>
      <c r="BC300" s="1229"/>
      <c r="BD300" s="1337"/>
      <c r="BE300" s="1337"/>
      <c r="BF300" s="1229"/>
      <c r="BG300" s="1229" t="str">
        <f>IFERROR(__xludf.DUMMYFUNCTION("""COMPUTED_VALUE"""),"")</f>
        <v/>
      </c>
      <c r="BH300" s="1229" t="str">
        <f>IFERROR(__xludf.DUMMYFUNCTION("""COMPUTED_VALUE"""),"")</f>
        <v/>
      </c>
      <c r="BI300" s="1222"/>
      <c r="BJ300" s="1338"/>
      <c r="BK300" s="1338"/>
      <c r="BL300" s="1222"/>
      <c r="BM300" s="1222" t="str">
        <f>IFERROR(__xludf.DUMMYFUNCTION("""COMPUTED_VALUE"""),"")</f>
        <v/>
      </c>
      <c r="BN300" s="1222"/>
      <c r="BO300" s="1222"/>
    </row>
    <row r="301">
      <c r="A301" s="1222"/>
      <c r="B301" s="1229"/>
      <c r="C301" s="1349"/>
      <c r="D301" s="1229"/>
      <c r="E301" s="1229"/>
      <c r="F301" s="1229"/>
      <c r="G301" s="1229"/>
      <c r="H301" s="1229"/>
      <c r="I301" s="1229"/>
      <c r="J301" s="1229"/>
      <c r="K301" s="1229"/>
      <c r="L301" s="1229"/>
      <c r="M301" s="1229"/>
      <c r="N301" s="1337"/>
      <c r="O301" s="1337"/>
      <c r="P301" s="1229"/>
      <c r="Q301" s="1229"/>
      <c r="R301" s="1229"/>
      <c r="S301" s="1229"/>
      <c r="T301" s="1337"/>
      <c r="U301" s="1337"/>
      <c r="V301" s="1229"/>
      <c r="W301" s="1229"/>
      <c r="X301" s="1229"/>
      <c r="Y301" s="1229"/>
      <c r="Z301" s="1337"/>
      <c r="AA301" s="1337"/>
      <c r="AB301" s="1229"/>
      <c r="AC301" s="1229"/>
      <c r="AD301" s="1229"/>
      <c r="AE301" s="1229"/>
      <c r="AF301" s="1337"/>
      <c r="AG301" s="1337"/>
      <c r="AH301" s="1229"/>
      <c r="AI301" s="1229"/>
      <c r="AJ301" s="1229"/>
      <c r="AK301" s="1229"/>
      <c r="AL301" s="1337"/>
      <c r="AM301" s="1337"/>
      <c r="AN301" s="1229"/>
      <c r="AO301" s="1229"/>
      <c r="AP301" s="1229"/>
      <c r="AQ301" s="1229"/>
      <c r="AR301" s="1337"/>
      <c r="AS301" s="1337"/>
      <c r="AT301" s="1229"/>
      <c r="AU301" s="1229"/>
      <c r="AV301" s="1229"/>
      <c r="AW301" s="1229"/>
      <c r="AX301" s="1337"/>
      <c r="AY301" s="1337"/>
      <c r="AZ301" s="1229"/>
      <c r="BA301" s="1229"/>
      <c r="BB301" s="1229"/>
      <c r="BC301" s="1229"/>
      <c r="BD301" s="1337"/>
      <c r="BE301" s="1337"/>
      <c r="BF301" s="1229"/>
      <c r="BG301" s="1229"/>
      <c r="BH301" s="1229"/>
      <c r="BI301" s="1222"/>
      <c r="BJ301" s="1338"/>
      <c r="BK301" s="1338"/>
      <c r="BL301" s="1222"/>
      <c r="BM301" s="1222"/>
      <c r="BN301" s="1222"/>
      <c r="BO301" s="1222"/>
    </row>
    <row r="302" ht="7.5" customHeight="1">
      <c r="A302" s="1222"/>
      <c r="B302" s="1229"/>
      <c r="C302" s="1349"/>
      <c r="D302" s="1229"/>
      <c r="E302" s="1229"/>
      <c r="F302" s="1229"/>
      <c r="G302" s="1229"/>
      <c r="H302" s="1229"/>
      <c r="I302" s="1229"/>
      <c r="J302" s="1229"/>
      <c r="K302" s="1229"/>
      <c r="L302" s="1229" t="str">
        <f>IFERROR(__xludf.DUMMYFUNCTION("""COMPUTED_VALUE"""),"")</f>
        <v/>
      </c>
      <c r="M302" s="1229"/>
      <c r="N302" s="1337"/>
      <c r="O302" s="1337"/>
      <c r="P302" s="1229"/>
      <c r="Q302" s="1229" t="str">
        <f>IFERROR(__xludf.DUMMYFUNCTION("""COMPUTED_VALUE"""),"")</f>
        <v/>
      </c>
      <c r="R302" s="1229" t="str">
        <f>IFERROR(__xludf.DUMMYFUNCTION("""COMPUTED_VALUE"""),"")</f>
        <v/>
      </c>
      <c r="S302" s="1229"/>
      <c r="T302" s="1337"/>
      <c r="U302" s="1337"/>
      <c r="V302" s="1229"/>
      <c r="W302" s="1229" t="str">
        <f>IFERROR(__xludf.DUMMYFUNCTION("""COMPUTED_VALUE"""),"")</f>
        <v/>
      </c>
      <c r="X302" s="1229" t="str">
        <f>IFERROR(__xludf.DUMMYFUNCTION("""COMPUTED_VALUE"""),"")</f>
        <v/>
      </c>
      <c r="Y302" s="1229"/>
      <c r="Z302" s="1337"/>
      <c r="AA302" s="1337"/>
      <c r="AB302" s="1229"/>
      <c r="AC302" s="1229" t="str">
        <f>IFERROR(__xludf.DUMMYFUNCTION("""COMPUTED_VALUE"""),"")</f>
        <v/>
      </c>
      <c r="AD302" s="1229" t="str">
        <f>IFERROR(__xludf.DUMMYFUNCTION("""COMPUTED_VALUE"""),"")</f>
        <v/>
      </c>
      <c r="AE302" s="1229"/>
      <c r="AF302" s="1337"/>
      <c r="AG302" s="1337"/>
      <c r="AH302" s="1229"/>
      <c r="AI302" s="1229" t="str">
        <f>IFERROR(__xludf.DUMMYFUNCTION("""COMPUTED_VALUE"""),"")</f>
        <v/>
      </c>
      <c r="AJ302" s="1229" t="str">
        <f>IFERROR(__xludf.DUMMYFUNCTION("""COMPUTED_VALUE"""),"")</f>
        <v/>
      </c>
      <c r="AK302" s="1229"/>
      <c r="AL302" s="1337"/>
      <c r="AM302" s="1337"/>
      <c r="AN302" s="1229"/>
      <c r="AO302" s="1229" t="str">
        <f>IFERROR(__xludf.DUMMYFUNCTION("""COMPUTED_VALUE"""),"")</f>
        <v/>
      </c>
      <c r="AP302" s="1229" t="str">
        <f>IFERROR(__xludf.DUMMYFUNCTION("""COMPUTED_VALUE"""),"")</f>
        <v/>
      </c>
      <c r="AQ302" s="1229"/>
      <c r="AR302" s="1337"/>
      <c r="AS302" s="1337"/>
      <c r="AT302" s="1229"/>
      <c r="AU302" s="1229" t="str">
        <f>IFERROR(__xludf.DUMMYFUNCTION("""COMPUTED_VALUE"""),"")</f>
        <v/>
      </c>
      <c r="AV302" s="1229" t="str">
        <f>IFERROR(__xludf.DUMMYFUNCTION("""COMPUTED_VALUE"""),"")</f>
        <v/>
      </c>
      <c r="AW302" s="1229"/>
      <c r="AX302" s="1337"/>
      <c r="AY302" s="1337"/>
      <c r="AZ302" s="1229"/>
      <c r="BA302" s="1229" t="str">
        <f>IFERROR(__xludf.DUMMYFUNCTION("""COMPUTED_VALUE"""),"")</f>
        <v/>
      </c>
      <c r="BB302" s="1229" t="str">
        <f>IFERROR(__xludf.DUMMYFUNCTION("""COMPUTED_VALUE"""),"")</f>
        <v/>
      </c>
      <c r="BC302" s="1229"/>
      <c r="BD302" s="1337"/>
      <c r="BE302" s="1337"/>
      <c r="BF302" s="1229"/>
      <c r="BG302" s="1229" t="str">
        <f>IFERROR(__xludf.DUMMYFUNCTION("""COMPUTED_VALUE"""),"")</f>
        <v/>
      </c>
      <c r="BH302" s="1229" t="str">
        <f>IFERROR(__xludf.DUMMYFUNCTION("""COMPUTED_VALUE"""),"")</f>
        <v/>
      </c>
      <c r="BI302" s="1222"/>
      <c r="BJ302" s="1338"/>
      <c r="BK302" s="1338"/>
      <c r="BL302" s="1222"/>
      <c r="BM302" s="1222" t="str">
        <f>IFERROR(__xludf.DUMMYFUNCTION("""COMPUTED_VALUE"""),"")</f>
        <v/>
      </c>
      <c r="BN302" s="1222"/>
      <c r="BO302" s="1222"/>
    </row>
    <row r="303">
      <c r="A303" s="1222"/>
      <c r="B303" s="1229"/>
      <c r="C303" s="1349"/>
      <c r="D303" s="1229"/>
      <c r="E303" s="1229"/>
      <c r="F303" s="1229"/>
      <c r="G303" s="1229"/>
      <c r="H303" s="1229"/>
      <c r="I303" s="1229"/>
      <c r="J303" s="1229"/>
      <c r="K303" s="1229"/>
      <c r="L303" s="1229"/>
      <c r="M303" s="1229"/>
      <c r="N303" s="1337"/>
      <c r="O303" s="1337"/>
      <c r="P303" s="1229"/>
      <c r="Q303" s="1229"/>
      <c r="R303" s="1229"/>
      <c r="S303" s="1229"/>
      <c r="T303" s="1337"/>
      <c r="U303" s="1337"/>
      <c r="V303" s="1229"/>
      <c r="W303" s="1229"/>
      <c r="X303" s="1229"/>
      <c r="Y303" s="1229"/>
      <c r="Z303" s="1337"/>
      <c r="AA303" s="1337"/>
      <c r="AB303" s="1229"/>
      <c r="AC303" s="1229"/>
      <c r="AD303" s="1229"/>
      <c r="AE303" s="1229"/>
      <c r="AF303" s="1337"/>
      <c r="AG303" s="1337"/>
      <c r="AH303" s="1229"/>
      <c r="AI303" s="1229"/>
      <c r="AJ303" s="1229"/>
      <c r="AK303" s="1229"/>
      <c r="AL303" s="1337"/>
      <c r="AM303" s="1337"/>
      <c r="AN303" s="1229"/>
      <c r="AO303" s="1229"/>
      <c r="AP303" s="1229"/>
      <c r="AQ303" s="1229"/>
      <c r="AR303" s="1337"/>
      <c r="AS303" s="1337"/>
      <c r="AT303" s="1229"/>
      <c r="AU303" s="1229"/>
      <c r="AV303" s="1229"/>
      <c r="AW303" s="1229"/>
      <c r="AX303" s="1337"/>
      <c r="AY303" s="1337"/>
      <c r="AZ303" s="1229"/>
      <c r="BA303" s="1229"/>
      <c r="BB303" s="1229"/>
      <c r="BC303" s="1229"/>
      <c r="BD303" s="1337"/>
      <c r="BE303" s="1337"/>
      <c r="BF303" s="1229"/>
      <c r="BG303" s="1229"/>
      <c r="BH303" s="1229"/>
      <c r="BI303" s="1222"/>
      <c r="BJ303" s="1338"/>
      <c r="BK303" s="1338"/>
      <c r="BL303" s="1222"/>
      <c r="BM303" s="1222"/>
      <c r="BN303" s="1222"/>
      <c r="BO303" s="1222"/>
    </row>
    <row r="304" ht="7.5" customHeight="1">
      <c r="A304" s="1222"/>
      <c r="B304" s="1229"/>
      <c r="C304" s="1349"/>
      <c r="D304" s="1229"/>
      <c r="E304" s="1229"/>
      <c r="F304" s="1229"/>
      <c r="G304" s="1229"/>
      <c r="H304" s="1229"/>
      <c r="I304" s="1229"/>
      <c r="J304" s="1229"/>
      <c r="K304" s="1229"/>
      <c r="L304" s="1229" t="str">
        <f>IFERROR(__xludf.DUMMYFUNCTION("""COMPUTED_VALUE"""),"")</f>
        <v/>
      </c>
      <c r="M304" s="1229"/>
      <c r="N304" s="1337"/>
      <c r="O304" s="1337"/>
      <c r="P304" s="1229"/>
      <c r="Q304" s="1229" t="str">
        <f>IFERROR(__xludf.DUMMYFUNCTION("""COMPUTED_VALUE"""),"")</f>
        <v/>
      </c>
      <c r="R304" s="1229" t="str">
        <f>IFERROR(__xludf.DUMMYFUNCTION("""COMPUTED_VALUE"""),"")</f>
        <v/>
      </c>
      <c r="S304" s="1229"/>
      <c r="T304" s="1337"/>
      <c r="U304" s="1337"/>
      <c r="V304" s="1229"/>
      <c r="W304" s="1229" t="str">
        <f>IFERROR(__xludf.DUMMYFUNCTION("""COMPUTED_VALUE"""),"")</f>
        <v/>
      </c>
      <c r="X304" s="1229" t="str">
        <f>IFERROR(__xludf.DUMMYFUNCTION("""COMPUTED_VALUE"""),"")</f>
        <v/>
      </c>
      <c r="Y304" s="1229"/>
      <c r="Z304" s="1337"/>
      <c r="AA304" s="1337"/>
      <c r="AB304" s="1229"/>
      <c r="AC304" s="1229" t="str">
        <f>IFERROR(__xludf.DUMMYFUNCTION("""COMPUTED_VALUE"""),"")</f>
        <v/>
      </c>
      <c r="AD304" s="1229" t="str">
        <f>IFERROR(__xludf.DUMMYFUNCTION("""COMPUTED_VALUE"""),"")</f>
        <v/>
      </c>
      <c r="AE304" s="1229"/>
      <c r="AF304" s="1337"/>
      <c r="AG304" s="1337"/>
      <c r="AH304" s="1229"/>
      <c r="AI304" s="1229" t="str">
        <f>IFERROR(__xludf.DUMMYFUNCTION("""COMPUTED_VALUE"""),"")</f>
        <v/>
      </c>
      <c r="AJ304" s="1229" t="str">
        <f>IFERROR(__xludf.DUMMYFUNCTION("""COMPUTED_VALUE"""),"")</f>
        <v/>
      </c>
      <c r="AK304" s="1229"/>
      <c r="AL304" s="1337"/>
      <c r="AM304" s="1337"/>
      <c r="AN304" s="1229"/>
      <c r="AO304" s="1229" t="str">
        <f>IFERROR(__xludf.DUMMYFUNCTION("""COMPUTED_VALUE"""),"")</f>
        <v/>
      </c>
      <c r="AP304" s="1229" t="str">
        <f>IFERROR(__xludf.DUMMYFUNCTION("""COMPUTED_VALUE"""),"")</f>
        <v/>
      </c>
      <c r="AQ304" s="1229"/>
      <c r="AR304" s="1337"/>
      <c r="AS304" s="1337"/>
      <c r="AT304" s="1229"/>
      <c r="AU304" s="1229" t="str">
        <f>IFERROR(__xludf.DUMMYFUNCTION("""COMPUTED_VALUE"""),"")</f>
        <v/>
      </c>
      <c r="AV304" s="1229" t="str">
        <f>IFERROR(__xludf.DUMMYFUNCTION("""COMPUTED_VALUE"""),"")</f>
        <v/>
      </c>
      <c r="AW304" s="1229"/>
      <c r="AX304" s="1337"/>
      <c r="AY304" s="1337"/>
      <c r="AZ304" s="1229"/>
      <c r="BA304" s="1229" t="str">
        <f>IFERROR(__xludf.DUMMYFUNCTION("""COMPUTED_VALUE"""),"")</f>
        <v/>
      </c>
      <c r="BB304" s="1229" t="str">
        <f>IFERROR(__xludf.DUMMYFUNCTION("""COMPUTED_VALUE"""),"")</f>
        <v/>
      </c>
      <c r="BC304" s="1229"/>
      <c r="BD304" s="1337"/>
      <c r="BE304" s="1337"/>
      <c r="BF304" s="1229"/>
      <c r="BG304" s="1229" t="str">
        <f>IFERROR(__xludf.DUMMYFUNCTION("""COMPUTED_VALUE"""),"")</f>
        <v/>
      </c>
      <c r="BH304" s="1229" t="str">
        <f>IFERROR(__xludf.DUMMYFUNCTION("""COMPUTED_VALUE"""),"")</f>
        <v/>
      </c>
      <c r="BI304" s="1222"/>
      <c r="BJ304" s="1338"/>
      <c r="BK304" s="1338"/>
      <c r="BL304" s="1222"/>
      <c r="BM304" s="1222" t="str">
        <f>IFERROR(__xludf.DUMMYFUNCTION("""COMPUTED_VALUE"""),"")</f>
        <v/>
      </c>
      <c r="BN304" s="1222"/>
      <c r="BO304" s="1222"/>
    </row>
    <row r="305">
      <c r="A305" s="1222"/>
      <c r="B305" s="1229"/>
      <c r="C305" s="1349"/>
      <c r="D305" s="1229"/>
      <c r="E305" s="1229"/>
      <c r="F305" s="1229"/>
      <c r="G305" s="1229"/>
      <c r="H305" s="1229"/>
      <c r="I305" s="1229"/>
      <c r="J305" s="1229"/>
      <c r="K305" s="1229"/>
      <c r="L305" s="1229"/>
      <c r="M305" s="1229"/>
      <c r="N305" s="1337"/>
      <c r="O305" s="1337"/>
      <c r="P305" s="1229"/>
      <c r="Q305" s="1229"/>
      <c r="R305" s="1229"/>
      <c r="S305" s="1229"/>
      <c r="T305" s="1337"/>
      <c r="U305" s="1337"/>
      <c r="V305" s="1229"/>
      <c r="W305" s="1229"/>
      <c r="X305" s="1229"/>
      <c r="Y305" s="1229"/>
      <c r="Z305" s="1337"/>
      <c r="AA305" s="1337"/>
      <c r="AB305" s="1229"/>
      <c r="AC305" s="1229"/>
      <c r="AD305" s="1229"/>
      <c r="AE305" s="1229"/>
      <c r="AF305" s="1337"/>
      <c r="AG305" s="1337"/>
      <c r="AH305" s="1229"/>
      <c r="AI305" s="1229"/>
      <c r="AJ305" s="1229"/>
      <c r="AK305" s="1229"/>
      <c r="AL305" s="1337"/>
      <c r="AM305" s="1337"/>
      <c r="AN305" s="1229"/>
      <c r="AO305" s="1229"/>
      <c r="AP305" s="1229"/>
      <c r="AQ305" s="1229"/>
      <c r="AR305" s="1337"/>
      <c r="AS305" s="1337"/>
      <c r="AT305" s="1229"/>
      <c r="AU305" s="1229"/>
      <c r="AV305" s="1229"/>
      <c r="AW305" s="1229"/>
      <c r="AX305" s="1337"/>
      <c r="AY305" s="1337"/>
      <c r="AZ305" s="1229"/>
      <c r="BA305" s="1229"/>
      <c r="BB305" s="1229"/>
      <c r="BC305" s="1229"/>
      <c r="BD305" s="1337"/>
      <c r="BE305" s="1337"/>
      <c r="BF305" s="1229"/>
      <c r="BG305" s="1229"/>
      <c r="BH305" s="1229"/>
      <c r="BI305" s="1222"/>
      <c r="BJ305" s="1338"/>
      <c r="BK305" s="1338"/>
      <c r="BL305" s="1222"/>
      <c r="BM305" s="1222"/>
      <c r="BN305" s="1222"/>
      <c r="BO305" s="1222"/>
    </row>
    <row r="306" ht="7.5" customHeight="1">
      <c r="A306" s="1222"/>
      <c r="B306" s="1229"/>
      <c r="C306" s="1349"/>
      <c r="D306" s="1229"/>
      <c r="E306" s="1229"/>
      <c r="F306" s="1229"/>
      <c r="G306" s="1229"/>
      <c r="H306" s="1229"/>
      <c r="I306" s="1229"/>
      <c r="J306" s="1229"/>
      <c r="K306" s="1229"/>
      <c r="L306" s="1229" t="str">
        <f>IFERROR(__xludf.DUMMYFUNCTION("""COMPUTED_VALUE"""),"")</f>
        <v/>
      </c>
      <c r="M306" s="1229"/>
      <c r="N306" s="1337"/>
      <c r="O306" s="1337"/>
      <c r="P306" s="1229"/>
      <c r="Q306" s="1229" t="str">
        <f>IFERROR(__xludf.DUMMYFUNCTION("""COMPUTED_VALUE"""),"")</f>
        <v/>
      </c>
      <c r="R306" s="1229" t="str">
        <f>IFERROR(__xludf.DUMMYFUNCTION("""COMPUTED_VALUE"""),"")</f>
        <v/>
      </c>
      <c r="S306" s="1229"/>
      <c r="T306" s="1337"/>
      <c r="U306" s="1337"/>
      <c r="V306" s="1229"/>
      <c r="W306" s="1229" t="str">
        <f>IFERROR(__xludf.DUMMYFUNCTION("""COMPUTED_VALUE"""),"")</f>
        <v/>
      </c>
      <c r="X306" s="1229" t="str">
        <f>IFERROR(__xludf.DUMMYFUNCTION("""COMPUTED_VALUE"""),"")</f>
        <v/>
      </c>
      <c r="Y306" s="1229"/>
      <c r="Z306" s="1337"/>
      <c r="AA306" s="1337"/>
      <c r="AB306" s="1229"/>
      <c r="AC306" s="1229" t="str">
        <f>IFERROR(__xludf.DUMMYFUNCTION("""COMPUTED_VALUE"""),"")</f>
        <v/>
      </c>
      <c r="AD306" s="1229" t="str">
        <f>IFERROR(__xludf.DUMMYFUNCTION("""COMPUTED_VALUE"""),"")</f>
        <v/>
      </c>
      <c r="AE306" s="1229"/>
      <c r="AF306" s="1337"/>
      <c r="AG306" s="1337"/>
      <c r="AH306" s="1229"/>
      <c r="AI306" s="1229" t="str">
        <f>IFERROR(__xludf.DUMMYFUNCTION("""COMPUTED_VALUE"""),"")</f>
        <v/>
      </c>
      <c r="AJ306" s="1229" t="str">
        <f>IFERROR(__xludf.DUMMYFUNCTION("""COMPUTED_VALUE"""),"")</f>
        <v/>
      </c>
      <c r="AK306" s="1229"/>
      <c r="AL306" s="1337"/>
      <c r="AM306" s="1337"/>
      <c r="AN306" s="1229"/>
      <c r="AO306" s="1229" t="str">
        <f>IFERROR(__xludf.DUMMYFUNCTION("""COMPUTED_VALUE"""),"")</f>
        <v/>
      </c>
      <c r="AP306" s="1229" t="str">
        <f>IFERROR(__xludf.DUMMYFUNCTION("""COMPUTED_VALUE"""),"")</f>
        <v/>
      </c>
      <c r="AQ306" s="1229"/>
      <c r="AR306" s="1337"/>
      <c r="AS306" s="1337"/>
      <c r="AT306" s="1229"/>
      <c r="AU306" s="1229" t="str">
        <f>IFERROR(__xludf.DUMMYFUNCTION("""COMPUTED_VALUE"""),"")</f>
        <v/>
      </c>
      <c r="AV306" s="1229" t="str">
        <f>IFERROR(__xludf.DUMMYFUNCTION("""COMPUTED_VALUE"""),"")</f>
        <v/>
      </c>
      <c r="AW306" s="1229"/>
      <c r="AX306" s="1337"/>
      <c r="AY306" s="1337"/>
      <c r="AZ306" s="1229"/>
      <c r="BA306" s="1229" t="str">
        <f>IFERROR(__xludf.DUMMYFUNCTION("""COMPUTED_VALUE"""),"")</f>
        <v/>
      </c>
      <c r="BB306" s="1229" t="str">
        <f>IFERROR(__xludf.DUMMYFUNCTION("""COMPUTED_VALUE"""),"")</f>
        <v/>
      </c>
      <c r="BC306" s="1229"/>
      <c r="BD306" s="1337"/>
      <c r="BE306" s="1337"/>
      <c r="BF306" s="1229"/>
      <c r="BG306" s="1229" t="str">
        <f>IFERROR(__xludf.DUMMYFUNCTION("""COMPUTED_VALUE"""),"")</f>
        <v/>
      </c>
      <c r="BH306" s="1229" t="str">
        <f>IFERROR(__xludf.DUMMYFUNCTION("""COMPUTED_VALUE"""),"")</f>
        <v/>
      </c>
      <c r="BI306" s="1222"/>
      <c r="BJ306" s="1338"/>
      <c r="BK306" s="1338"/>
      <c r="BL306" s="1222"/>
      <c r="BM306" s="1222" t="str">
        <f>IFERROR(__xludf.DUMMYFUNCTION("""COMPUTED_VALUE"""),"")</f>
        <v/>
      </c>
      <c r="BN306" s="1222"/>
      <c r="BO306" s="1222"/>
    </row>
    <row r="307">
      <c r="A307" s="1222"/>
      <c r="B307" s="1229"/>
      <c r="C307" s="1349"/>
      <c r="D307" s="1229"/>
      <c r="E307" s="1229"/>
      <c r="F307" s="1229"/>
      <c r="G307" s="1229"/>
      <c r="H307" s="1229"/>
      <c r="I307" s="1229"/>
      <c r="J307" s="1229"/>
      <c r="K307" s="1229"/>
      <c r="L307" s="1229"/>
      <c r="M307" s="1229"/>
      <c r="N307" s="1337"/>
      <c r="O307" s="1337"/>
      <c r="P307" s="1229"/>
      <c r="Q307" s="1229"/>
      <c r="R307" s="1229"/>
      <c r="S307" s="1229"/>
      <c r="T307" s="1337"/>
      <c r="U307" s="1337"/>
      <c r="V307" s="1229"/>
      <c r="W307" s="1229"/>
      <c r="X307" s="1229"/>
      <c r="Y307" s="1229"/>
      <c r="Z307" s="1337"/>
      <c r="AA307" s="1337"/>
      <c r="AB307" s="1229"/>
      <c r="AC307" s="1229"/>
      <c r="AD307" s="1229"/>
      <c r="AE307" s="1229"/>
      <c r="AF307" s="1337"/>
      <c r="AG307" s="1337"/>
      <c r="AH307" s="1229"/>
      <c r="AI307" s="1229"/>
      <c r="AJ307" s="1229"/>
      <c r="AK307" s="1229"/>
      <c r="AL307" s="1337"/>
      <c r="AM307" s="1337"/>
      <c r="AN307" s="1229"/>
      <c r="AO307" s="1229"/>
      <c r="AP307" s="1229"/>
      <c r="AQ307" s="1229"/>
      <c r="AR307" s="1337"/>
      <c r="AS307" s="1337"/>
      <c r="AT307" s="1229"/>
      <c r="AU307" s="1229"/>
      <c r="AV307" s="1229"/>
      <c r="AW307" s="1229"/>
      <c r="AX307" s="1337"/>
      <c r="AY307" s="1337"/>
      <c r="AZ307" s="1229"/>
      <c r="BA307" s="1229"/>
      <c r="BB307" s="1229"/>
      <c r="BC307" s="1229"/>
      <c r="BD307" s="1337"/>
      <c r="BE307" s="1337"/>
      <c r="BF307" s="1229"/>
      <c r="BG307" s="1229"/>
      <c r="BH307" s="1229"/>
      <c r="BI307" s="1222"/>
      <c r="BJ307" s="1338"/>
      <c r="BK307" s="1338"/>
      <c r="BL307" s="1222"/>
      <c r="BM307" s="1222"/>
      <c r="BN307" s="1222"/>
      <c r="BO307" s="1222"/>
    </row>
    <row r="308" ht="7.5" customHeight="1">
      <c r="A308" s="1222"/>
      <c r="B308" s="1229"/>
      <c r="C308" s="1349"/>
      <c r="D308" s="1229"/>
      <c r="E308" s="1229"/>
      <c r="F308" s="1229"/>
      <c r="G308" s="1229"/>
      <c r="H308" s="1229"/>
      <c r="I308" s="1229"/>
      <c r="J308" s="1229"/>
      <c r="K308" s="1229"/>
      <c r="L308" s="1229" t="str">
        <f>IFERROR(__xludf.DUMMYFUNCTION("""COMPUTED_VALUE"""),"")</f>
        <v/>
      </c>
      <c r="M308" s="1229"/>
      <c r="N308" s="1337"/>
      <c r="O308" s="1337"/>
      <c r="P308" s="1229"/>
      <c r="Q308" s="1229" t="str">
        <f>IFERROR(__xludf.DUMMYFUNCTION("""COMPUTED_VALUE"""),"")</f>
        <v/>
      </c>
      <c r="R308" s="1229" t="str">
        <f>IFERROR(__xludf.DUMMYFUNCTION("""COMPUTED_VALUE"""),"")</f>
        <v/>
      </c>
      <c r="S308" s="1229"/>
      <c r="T308" s="1337"/>
      <c r="U308" s="1337"/>
      <c r="V308" s="1229"/>
      <c r="W308" s="1229" t="str">
        <f>IFERROR(__xludf.DUMMYFUNCTION("""COMPUTED_VALUE"""),"")</f>
        <v/>
      </c>
      <c r="X308" s="1229" t="str">
        <f>IFERROR(__xludf.DUMMYFUNCTION("""COMPUTED_VALUE"""),"")</f>
        <v/>
      </c>
      <c r="Y308" s="1229"/>
      <c r="Z308" s="1337"/>
      <c r="AA308" s="1337"/>
      <c r="AB308" s="1229"/>
      <c r="AC308" s="1229" t="str">
        <f>IFERROR(__xludf.DUMMYFUNCTION("""COMPUTED_VALUE"""),"")</f>
        <v/>
      </c>
      <c r="AD308" s="1229" t="str">
        <f>IFERROR(__xludf.DUMMYFUNCTION("""COMPUTED_VALUE"""),"")</f>
        <v/>
      </c>
      <c r="AE308" s="1229"/>
      <c r="AF308" s="1337"/>
      <c r="AG308" s="1337"/>
      <c r="AH308" s="1229"/>
      <c r="AI308" s="1229" t="str">
        <f>IFERROR(__xludf.DUMMYFUNCTION("""COMPUTED_VALUE"""),"")</f>
        <v/>
      </c>
      <c r="AJ308" s="1229" t="str">
        <f>IFERROR(__xludf.DUMMYFUNCTION("""COMPUTED_VALUE"""),"")</f>
        <v/>
      </c>
      <c r="AK308" s="1229"/>
      <c r="AL308" s="1337"/>
      <c r="AM308" s="1337"/>
      <c r="AN308" s="1229"/>
      <c r="AO308" s="1229" t="str">
        <f>IFERROR(__xludf.DUMMYFUNCTION("""COMPUTED_VALUE"""),"")</f>
        <v/>
      </c>
      <c r="AP308" s="1229" t="str">
        <f>IFERROR(__xludf.DUMMYFUNCTION("""COMPUTED_VALUE"""),"")</f>
        <v/>
      </c>
      <c r="AQ308" s="1229"/>
      <c r="AR308" s="1337"/>
      <c r="AS308" s="1337"/>
      <c r="AT308" s="1229"/>
      <c r="AU308" s="1229" t="str">
        <f>IFERROR(__xludf.DUMMYFUNCTION("""COMPUTED_VALUE"""),"")</f>
        <v/>
      </c>
      <c r="AV308" s="1229" t="str">
        <f>IFERROR(__xludf.DUMMYFUNCTION("""COMPUTED_VALUE"""),"")</f>
        <v/>
      </c>
      <c r="AW308" s="1229"/>
      <c r="AX308" s="1337"/>
      <c r="AY308" s="1337"/>
      <c r="AZ308" s="1229"/>
      <c r="BA308" s="1229" t="str">
        <f>IFERROR(__xludf.DUMMYFUNCTION("""COMPUTED_VALUE"""),"")</f>
        <v/>
      </c>
      <c r="BB308" s="1229" t="str">
        <f>IFERROR(__xludf.DUMMYFUNCTION("""COMPUTED_VALUE"""),"")</f>
        <v/>
      </c>
      <c r="BC308" s="1229"/>
      <c r="BD308" s="1337"/>
      <c r="BE308" s="1337"/>
      <c r="BF308" s="1229"/>
      <c r="BG308" s="1229" t="str">
        <f>IFERROR(__xludf.DUMMYFUNCTION("""COMPUTED_VALUE"""),"")</f>
        <v/>
      </c>
      <c r="BH308" s="1229" t="str">
        <f>IFERROR(__xludf.DUMMYFUNCTION("""COMPUTED_VALUE"""),"")</f>
        <v/>
      </c>
      <c r="BI308" s="1222"/>
      <c r="BJ308" s="1338"/>
      <c r="BK308" s="1338"/>
      <c r="BL308" s="1222"/>
      <c r="BM308" s="1222" t="str">
        <f>IFERROR(__xludf.DUMMYFUNCTION("""COMPUTED_VALUE"""),"")</f>
        <v/>
      </c>
      <c r="BN308" s="1222"/>
      <c r="BO308" s="1222"/>
    </row>
    <row r="309">
      <c r="A309" s="1222"/>
      <c r="B309" s="1229"/>
      <c r="C309" s="1349"/>
      <c r="D309" s="1229"/>
      <c r="E309" s="1229"/>
      <c r="F309" s="1229"/>
      <c r="G309" s="1229"/>
      <c r="H309" s="1229"/>
      <c r="I309" s="1229"/>
      <c r="J309" s="1229"/>
      <c r="K309" s="1229"/>
      <c r="L309" s="1229"/>
      <c r="M309" s="1229"/>
      <c r="N309" s="1337"/>
      <c r="O309" s="1337"/>
      <c r="P309" s="1229"/>
      <c r="Q309" s="1229"/>
      <c r="R309" s="1229"/>
      <c r="S309" s="1229"/>
      <c r="T309" s="1337"/>
      <c r="U309" s="1337"/>
      <c r="V309" s="1229"/>
      <c r="W309" s="1229"/>
      <c r="X309" s="1229"/>
      <c r="Y309" s="1229"/>
      <c r="Z309" s="1337"/>
      <c r="AA309" s="1337"/>
      <c r="AB309" s="1229"/>
      <c r="AC309" s="1229"/>
      <c r="AD309" s="1229"/>
      <c r="AE309" s="1229"/>
      <c r="AF309" s="1337"/>
      <c r="AG309" s="1337"/>
      <c r="AH309" s="1229"/>
      <c r="AI309" s="1229"/>
      <c r="AJ309" s="1229"/>
      <c r="AK309" s="1229"/>
      <c r="AL309" s="1337"/>
      <c r="AM309" s="1337"/>
      <c r="AN309" s="1229"/>
      <c r="AO309" s="1229"/>
      <c r="AP309" s="1229"/>
      <c r="AQ309" s="1229"/>
      <c r="AR309" s="1337"/>
      <c r="AS309" s="1337"/>
      <c r="AT309" s="1229"/>
      <c r="AU309" s="1229"/>
      <c r="AV309" s="1229"/>
      <c r="AW309" s="1229"/>
      <c r="AX309" s="1337"/>
      <c r="AY309" s="1337"/>
      <c r="AZ309" s="1229"/>
      <c r="BA309" s="1229"/>
      <c r="BB309" s="1229"/>
      <c r="BC309" s="1229"/>
      <c r="BD309" s="1337"/>
      <c r="BE309" s="1337"/>
      <c r="BF309" s="1229"/>
      <c r="BG309" s="1229"/>
      <c r="BH309" s="1229"/>
      <c r="BI309" s="1222"/>
      <c r="BJ309" s="1338"/>
      <c r="BK309" s="1338"/>
      <c r="BL309" s="1222"/>
      <c r="BM309" s="1222"/>
      <c r="BN309" s="1222"/>
      <c r="BO309" s="1222"/>
    </row>
    <row r="310" ht="7.5" customHeight="1">
      <c r="A310" s="1222"/>
      <c r="B310" s="1229"/>
      <c r="C310" s="1349"/>
      <c r="D310" s="1229"/>
      <c r="E310" s="1229"/>
      <c r="F310" s="1229"/>
      <c r="G310" s="1229"/>
      <c r="H310" s="1229"/>
      <c r="I310" s="1229"/>
      <c r="J310" s="1229"/>
      <c r="K310" s="1229"/>
      <c r="L310" s="1229" t="str">
        <f>IFERROR(__xludf.DUMMYFUNCTION("""COMPUTED_VALUE"""),"")</f>
        <v/>
      </c>
      <c r="M310" s="1229"/>
      <c r="N310" s="1337"/>
      <c r="O310" s="1337"/>
      <c r="P310" s="1229"/>
      <c r="Q310" s="1229" t="str">
        <f>IFERROR(__xludf.DUMMYFUNCTION("""COMPUTED_VALUE"""),"")</f>
        <v/>
      </c>
      <c r="R310" s="1229" t="str">
        <f>IFERROR(__xludf.DUMMYFUNCTION("""COMPUTED_VALUE"""),"")</f>
        <v/>
      </c>
      <c r="S310" s="1229"/>
      <c r="T310" s="1337"/>
      <c r="U310" s="1337"/>
      <c r="V310" s="1229"/>
      <c r="W310" s="1229" t="str">
        <f>IFERROR(__xludf.DUMMYFUNCTION("""COMPUTED_VALUE"""),"")</f>
        <v/>
      </c>
      <c r="X310" s="1229" t="str">
        <f>IFERROR(__xludf.DUMMYFUNCTION("""COMPUTED_VALUE"""),"")</f>
        <v/>
      </c>
      <c r="Y310" s="1229"/>
      <c r="Z310" s="1337"/>
      <c r="AA310" s="1337"/>
      <c r="AB310" s="1229"/>
      <c r="AC310" s="1229" t="str">
        <f>IFERROR(__xludf.DUMMYFUNCTION("""COMPUTED_VALUE"""),"")</f>
        <v/>
      </c>
      <c r="AD310" s="1229" t="str">
        <f>IFERROR(__xludf.DUMMYFUNCTION("""COMPUTED_VALUE"""),"")</f>
        <v/>
      </c>
      <c r="AE310" s="1229"/>
      <c r="AF310" s="1337"/>
      <c r="AG310" s="1337"/>
      <c r="AH310" s="1229"/>
      <c r="AI310" s="1229" t="str">
        <f>IFERROR(__xludf.DUMMYFUNCTION("""COMPUTED_VALUE"""),"")</f>
        <v/>
      </c>
      <c r="AJ310" s="1229" t="str">
        <f>IFERROR(__xludf.DUMMYFUNCTION("""COMPUTED_VALUE"""),"")</f>
        <v/>
      </c>
      <c r="AK310" s="1229"/>
      <c r="AL310" s="1337"/>
      <c r="AM310" s="1337"/>
      <c r="AN310" s="1229"/>
      <c r="AO310" s="1229" t="str">
        <f>IFERROR(__xludf.DUMMYFUNCTION("""COMPUTED_VALUE"""),"")</f>
        <v/>
      </c>
      <c r="AP310" s="1229" t="str">
        <f>IFERROR(__xludf.DUMMYFUNCTION("""COMPUTED_VALUE"""),"")</f>
        <v/>
      </c>
      <c r="AQ310" s="1229"/>
      <c r="AR310" s="1337"/>
      <c r="AS310" s="1337"/>
      <c r="AT310" s="1229"/>
      <c r="AU310" s="1229" t="str">
        <f>IFERROR(__xludf.DUMMYFUNCTION("""COMPUTED_VALUE"""),"")</f>
        <v/>
      </c>
      <c r="AV310" s="1229" t="str">
        <f>IFERROR(__xludf.DUMMYFUNCTION("""COMPUTED_VALUE"""),"")</f>
        <v/>
      </c>
      <c r="AW310" s="1229"/>
      <c r="AX310" s="1337"/>
      <c r="AY310" s="1337"/>
      <c r="AZ310" s="1229"/>
      <c r="BA310" s="1229" t="str">
        <f>IFERROR(__xludf.DUMMYFUNCTION("""COMPUTED_VALUE"""),"")</f>
        <v/>
      </c>
      <c r="BB310" s="1229" t="str">
        <f>IFERROR(__xludf.DUMMYFUNCTION("""COMPUTED_VALUE"""),"")</f>
        <v/>
      </c>
      <c r="BC310" s="1229"/>
      <c r="BD310" s="1337"/>
      <c r="BE310" s="1337"/>
      <c r="BF310" s="1229"/>
      <c r="BG310" s="1229" t="str">
        <f>IFERROR(__xludf.DUMMYFUNCTION("""COMPUTED_VALUE"""),"")</f>
        <v/>
      </c>
      <c r="BH310" s="1229" t="str">
        <f>IFERROR(__xludf.DUMMYFUNCTION("""COMPUTED_VALUE"""),"")</f>
        <v/>
      </c>
      <c r="BI310" s="1222"/>
      <c r="BJ310" s="1338"/>
      <c r="BK310" s="1338"/>
      <c r="BL310" s="1222"/>
      <c r="BM310" s="1222" t="str">
        <f>IFERROR(__xludf.DUMMYFUNCTION("""COMPUTED_VALUE"""),"")</f>
        <v/>
      </c>
      <c r="BN310" s="1222"/>
      <c r="BO310" s="1222"/>
    </row>
    <row r="311">
      <c r="A311" s="1222"/>
      <c r="B311" s="1229"/>
      <c r="C311" s="1349"/>
      <c r="D311" s="1229"/>
      <c r="E311" s="1229"/>
      <c r="F311" s="1229"/>
      <c r="G311" s="1229"/>
      <c r="H311" s="1229"/>
      <c r="I311" s="1229"/>
      <c r="J311" s="1229"/>
      <c r="K311" s="1229"/>
      <c r="L311" s="1229"/>
      <c r="M311" s="1229"/>
      <c r="N311" s="1337"/>
      <c r="O311" s="1337"/>
      <c r="P311" s="1229"/>
      <c r="Q311" s="1229"/>
      <c r="R311" s="1229"/>
      <c r="S311" s="1229"/>
      <c r="T311" s="1337"/>
      <c r="U311" s="1337"/>
      <c r="V311" s="1229"/>
      <c r="W311" s="1229"/>
      <c r="X311" s="1229"/>
      <c r="Y311" s="1229"/>
      <c r="Z311" s="1337"/>
      <c r="AA311" s="1337"/>
      <c r="AB311" s="1229"/>
      <c r="AC311" s="1229"/>
      <c r="AD311" s="1229"/>
      <c r="AE311" s="1229"/>
      <c r="AF311" s="1337"/>
      <c r="AG311" s="1337"/>
      <c r="AH311" s="1229"/>
      <c r="AI311" s="1229"/>
      <c r="AJ311" s="1229"/>
      <c r="AK311" s="1229"/>
      <c r="AL311" s="1337"/>
      <c r="AM311" s="1337"/>
      <c r="AN311" s="1229"/>
      <c r="AO311" s="1229"/>
      <c r="AP311" s="1229"/>
      <c r="AQ311" s="1229"/>
      <c r="AR311" s="1337"/>
      <c r="AS311" s="1337"/>
      <c r="AT311" s="1229"/>
      <c r="AU311" s="1229"/>
      <c r="AV311" s="1229"/>
      <c r="AW311" s="1229"/>
      <c r="AX311" s="1337"/>
      <c r="AY311" s="1337"/>
      <c r="AZ311" s="1229"/>
      <c r="BA311" s="1229"/>
      <c r="BB311" s="1229"/>
      <c r="BC311" s="1229"/>
      <c r="BD311" s="1337"/>
      <c r="BE311" s="1337"/>
      <c r="BF311" s="1229"/>
      <c r="BG311" s="1229"/>
      <c r="BH311" s="1229"/>
      <c r="BI311" s="1222"/>
      <c r="BJ311" s="1338"/>
      <c r="BK311" s="1338"/>
      <c r="BL311" s="1222"/>
      <c r="BM311" s="1222"/>
      <c r="BN311" s="1222"/>
      <c r="BO311" s="1222"/>
    </row>
    <row r="312" ht="7.5" customHeight="1">
      <c r="A312" s="1222"/>
      <c r="B312" s="1229"/>
      <c r="C312" s="1349"/>
      <c r="D312" s="1229"/>
      <c r="E312" s="1229"/>
      <c r="F312" s="1229"/>
      <c r="G312" s="1229"/>
      <c r="H312" s="1229"/>
      <c r="I312" s="1229"/>
      <c r="J312" s="1229"/>
      <c r="K312" s="1229"/>
      <c r="L312" s="1229" t="str">
        <f>IFERROR(__xludf.DUMMYFUNCTION("""COMPUTED_VALUE"""),"")</f>
        <v/>
      </c>
      <c r="M312" s="1229"/>
      <c r="N312" s="1337"/>
      <c r="O312" s="1337"/>
      <c r="P312" s="1229"/>
      <c r="Q312" s="1229" t="str">
        <f>IFERROR(__xludf.DUMMYFUNCTION("""COMPUTED_VALUE"""),"")</f>
        <v/>
      </c>
      <c r="R312" s="1229" t="str">
        <f>IFERROR(__xludf.DUMMYFUNCTION("""COMPUTED_VALUE"""),"")</f>
        <v/>
      </c>
      <c r="S312" s="1229"/>
      <c r="T312" s="1337"/>
      <c r="U312" s="1337"/>
      <c r="V312" s="1229"/>
      <c r="W312" s="1229" t="str">
        <f>IFERROR(__xludf.DUMMYFUNCTION("""COMPUTED_VALUE"""),"")</f>
        <v/>
      </c>
      <c r="X312" s="1229" t="str">
        <f>IFERROR(__xludf.DUMMYFUNCTION("""COMPUTED_VALUE"""),"")</f>
        <v/>
      </c>
      <c r="Y312" s="1229"/>
      <c r="Z312" s="1337"/>
      <c r="AA312" s="1337"/>
      <c r="AB312" s="1229"/>
      <c r="AC312" s="1229" t="str">
        <f>IFERROR(__xludf.DUMMYFUNCTION("""COMPUTED_VALUE"""),"")</f>
        <v/>
      </c>
      <c r="AD312" s="1229" t="str">
        <f>IFERROR(__xludf.DUMMYFUNCTION("""COMPUTED_VALUE"""),"")</f>
        <v/>
      </c>
      <c r="AE312" s="1229"/>
      <c r="AF312" s="1337"/>
      <c r="AG312" s="1337"/>
      <c r="AH312" s="1229"/>
      <c r="AI312" s="1229" t="str">
        <f>IFERROR(__xludf.DUMMYFUNCTION("""COMPUTED_VALUE"""),"")</f>
        <v/>
      </c>
      <c r="AJ312" s="1229" t="str">
        <f>IFERROR(__xludf.DUMMYFUNCTION("""COMPUTED_VALUE"""),"")</f>
        <v/>
      </c>
      <c r="AK312" s="1229"/>
      <c r="AL312" s="1337"/>
      <c r="AM312" s="1337"/>
      <c r="AN312" s="1229"/>
      <c r="AO312" s="1229" t="str">
        <f>IFERROR(__xludf.DUMMYFUNCTION("""COMPUTED_VALUE"""),"")</f>
        <v/>
      </c>
      <c r="AP312" s="1229" t="str">
        <f>IFERROR(__xludf.DUMMYFUNCTION("""COMPUTED_VALUE"""),"")</f>
        <v/>
      </c>
      <c r="AQ312" s="1229"/>
      <c r="AR312" s="1337"/>
      <c r="AS312" s="1337"/>
      <c r="AT312" s="1229"/>
      <c r="AU312" s="1229" t="str">
        <f>IFERROR(__xludf.DUMMYFUNCTION("""COMPUTED_VALUE"""),"")</f>
        <v/>
      </c>
      <c r="AV312" s="1229" t="str">
        <f>IFERROR(__xludf.DUMMYFUNCTION("""COMPUTED_VALUE"""),"")</f>
        <v/>
      </c>
      <c r="AW312" s="1229"/>
      <c r="AX312" s="1337"/>
      <c r="AY312" s="1337"/>
      <c r="AZ312" s="1229"/>
      <c r="BA312" s="1229" t="str">
        <f>IFERROR(__xludf.DUMMYFUNCTION("""COMPUTED_VALUE"""),"")</f>
        <v/>
      </c>
      <c r="BB312" s="1229" t="str">
        <f>IFERROR(__xludf.DUMMYFUNCTION("""COMPUTED_VALUE"""),"")</f>
        <v/>
      </c>
      <c r="BC312" s="1229"/>
      <c r="BD312" s="1337"/>
      <c r="BE312" s="1337"/>
      <c r="BF312" s="1229"/>
      <c r="BG312" s="1229" t="str">
        <f>IFERROR(__xludf.DUMMYFUNCTION("""COMPUTED_VALUE"""),"")</f>
        <v/>
      </c>
      <c r="BH312" s="1229" t="str">
        <f>IFERROR(__xludf.DUMMYFUNCTION("""COMPUTED_VALUE"""),"")</f>
        <v/>
      </c>
      <c r="BI312" s="1222"/>
      <c r="BJ312" s="1338"/>
      <c r="BK312" s="1338"/>
      <c r="BL312" s="1222"/>
      <c r="BM312" s="1222" t="str">
        <f>IFERROR(__xludf.DUMMYFUNCTION("""COMPUTED_VALUE"""),"")</f>
        <v/>
      </c>
      <c r="BN312" s="1222"/>
      <c r="BO312" s="1222"/>
    </row>
    <row r="313">
      <c r="A313" s="1222"/>
      <c r="B313" s="1229"/>
      <c r="C313" s="1349"/>
      <c r="D313" s="1229"/>
      <c r="E313" s="1229"/>
      <c r="F313" s="1229"/>
      <c r="G313" s="1229"/>
      <c r="H313" s="1229"/>
      <c r="I313" s="1229"/>
      <c r="J313" s="1229"/>
      <c r="K313" s="1229"/>
      <c r="L313" s="1229"/>
      <c r="M313" s="1229"/>
      <c r="N313" s="1337"/>
      <c r="O313" s="1337"/>
      <c r="P313" s="1229"/>
      <c r="Q313" s="1229"/>
      <c r="R313" s="1229"/>
      <c r="S313" s="1229"/>
      <c r="T313" s="1337"/>
      <c r="U313" s="1337"/>
      <c r="V313" s="1229"/>
      <c r="W313" s="1229"/>
      <c r="X313" s="1229"/>
      <c r="Y313" s="1229"/>
      <c r="Z313" s="1337"/>
      <c r="AA313" s="1337"/>
      <c r="AB313" s="1229"/>
      <c r="AC313" s="1229"/>
      <c r="AD313" s="1229"/>
      <c r="AE313" s="1229"/>
      <c r="AF313" s="1337"/>
      <c r="AG313" s="1337"/>
      <c r="AH313" s="1229"/>
      <c r="AI313" s="1229"/>
      <c r="AJ313" s="1229"/>
      <c r="AK313" s="1229"/>
      <c r="AL313" s="1337"/>
      <c r="AM313" s="1337"/>
      <c r="AN313" s="1229"/>
      <c r="AO313" s="1229"/>
      <c r="AP313" s="1229"/>
      <c r="AQ313" s="1229"/>
      <c r="AR313" s="1337"/>
      <c r="AS313" s="1337"/>
      <c r="AT313" s="1229"/>
      <c r="AU313" s="1229"/>
      <c r="AV313" s="1229"/>
      <c r="AW313" s="1229"/>
      <c r="AX313" s="1337"/>
      <c r="AY313" s="1337"/>
      <c r="AZ313" s="1229"/>
      <c r="BA313" s="1229"/>
      <c r="BB313" s="1229"/>
      <c r="BC313" s="1229"/>
      <c r="BD313" s="1337"/>
      <c r="BE313" s="1337"/>
      <c r="BF313" s="1229"/>
      <c r="BG313" s="1229"/>
      <c r="BH313" s="1229"/>
      <c r="BI313" s="1222"/>
      <c r="BJ313" s="1338"/>
      <c r="BK313" s="1338"/>
      <c r="BL313" s="1222"/>
      <c r="BM313" s="1222"/>
      <c r="BN313" s="1222"/>
      <c r="BO313" s="1222"/>
    </row>
    <row r="314" ht="7.5" customHeight="1">
      <c r="A314" s="1222"/>
      <c r="B314" s="1229"/>
      <c r="C314" s="1349"/>
      <c r="D314" s="1229"/>
      <c r="E314" s="1229"/>
      <c r="F314" s="1229"/>
      <c r="G314" s="1229"/>
      <c r="H314" s="1229"/>
      <c r="I314" s="1229"/>
      <c r="J314" s="1229"/>
      <c r="K314" s="1229"/>
      <c r="L314" s="1229" t="str">
        <f>IFERROR(__xludf.DUMMYFUNCTION("""COMPUTED_VALUE"""),"")</f>
        <v/>
      </c>
      <c r="M314" s="1229"/>
      <c r="N314" s="1337"/>
      <c r="O314" s="1337"/>
      <c r="P314" s="1229"/>
      <c r="Q314" s="1229" t="str">
        <f>IFERROR(__xludf.DUMMYFUNCTION("""COMPUTED_VALUE"""),"")</f>
        <v/>
      </c>
      <c r="R314" s="1229" t="str">
        <f>IFERROR(__xludf.DUMMYFUNCTION("""COMPUTED_VALUE"""),"")</f>
        <v/>
      </c>
      <c r="S314" s="1229"/>
      <c r="T314" s="1337"/>
      <c r="U314" s="1337"/>
      <c r="V314" s="1229"/>
      <c r="W314" s="1229" t="str">
        <f>IFERROR(__xludf.DUMMYFUNCTION("""COMPUTED_VALUE"""),"")</f>
        <v/>
      </c>
      <c r="X314" s="1229" t="str">
        <f>IFERROR(__xludf.DUMMYFUNCTION("""COMPUTED_VALUE"""),"")</f>
        <v/>
      </c>
      <c r="Y314" s="1229"/>
      <c r="Z314" s="1337"/>
      <c r="AA314" s="1337"/>
      <c r="AB314" s="1229"/>
      <c r="AC314" s="1229" t="str">
        <f>IFERROR(__xludf.DUMMYFUNCTION("""COMPUTED_VALUE"""),"")</f>
        <v/>
      </c>
      <c r="AD314" s="1229" t="str">
        <f>IFERROR(__xludf.DUMMYFUNCTION("""COMPUTED_VALUE"""),"")</f>
        <v/>
      </c>
      <c r="AE314" s="1229"/>
      <c r="AF314" s="1337"/>
      <c r="AG314" s="1337"/>
      <c r="AH314" s="1229"/>
      <c r="AI314" s="1229" t="str">
        <f>IFERROR(__xludf.DUMMYFUNCTION("""COMPUTED_VALUE"""),"")</f>
        <v/>
      </c>
      <c r="AJ314" s="1229" t="str">
        <f>IFERROR(__xludf.DUMMYFUNCTION("""COMPUTED_VALUE"""),"")</f>
        <v/>
      </c>
      <c r="AK314" s="1229"/>
      <c r="AL314" s="1337"/>
      <c r="AM314" s="1337"/>
      <c r="AN314" s="1229"/>
      <c r="AO314" s="1229" t="str">
        <f>IFERROR(__xludf.DUMMYFUNCTION("""COMPUTED_VALUE"""),"")</f>
        <v/>
      </c>
      <c r="AP314" s="1229" t="str">
        <f>IFERROR(__xludf.DUMMYFUNCTION("""COMPUTED_VALUE"""),"")</f>
        <v/>
      </c>
      <c r="AQ314" s="1229"/>
      <c r="AR314" s="1337"/>
      <c r="AS314" s="1337"/>
      <c r="AT314" s="1229"/>
      <c r="AU314" s="1229" t="str">
        <f>IFERROR(__xludf.DUMMYFUNCTION("""COMPUTED_VALUE"""),"")</f>
        <v/>
      </c>
      <c r="AV314" s="1229" t="str">
        <f>IFERROR(__xludf.DUMMYFUNCTION("""COMPUTED_VALUE"""),"")</f>
        <v/>
      </c>
      <c r="AW314" s="1229"/>
      <c r="AX314" s="1337"/>
      <c r="AY314" s="1337"/>
      <c r="AZ314" s="1229"/>
      <c r="BA314" s="1229" t="str">
        <f>IFERROR(__xludf.DUMMYFUNCTION("""COMPUTED_VALUE"""),"")</f>
        <v/>
      </c>
      <c r="BB314" s="1229" t="str">
        <f>IFERROR(__xludf.DUMMYFUNCTION("""COMPUTED_VALUE"""),"")</f>
        <v/>
      </c>
      <c r="BC314" s="1229"/>
      <c r="BD314" s="1337"/>
      <c r="BE314" s="1337"/>
      <c r="BF314" s="1229"/>
      <c r="BG314" s="1229" t="str">
        <f>IFERROR(__xludf.DUMMYFUNCTION("""COMPUTED_VALUE"""),"")</f>
        <v/>
      </c>
      <c r="BH314" s="1229" t="str">
        <f>IFERROR(__xludf.DUMMYFUNCTION("""COMPUTED_VALUE"""),"")</f>
        <v/>
      </c>
      <c r="BI314" s="1222"/>
      <c r="BJ314" s="1338"/>
      <c r="BK314" s="1338"/>
      <c r="BL314" s="1222"/>
      <c r="BM314" s="1222" t="str">
        <f>IFERROR(__xludf.DUMMYFUNCTION("""COMPUTED_VALUE"""),"")</f>
        <v/>
      </c>
      <c r="BN314" s="1222"/>
      <c r="BO314" s="1222"/>
    </row>
    <row r="315">
      <c r="A315" s="1222"/>
      <c r="B315" s="1229"/>
      <c r="C315" s="1349"/>
      <c r="D315" s="1229"/>
      <c r="E315" s="1229"/>
      <c r="F315" s="1229"/>
      <c r="G315" s="1229"/>
      <c r="H315" s="1229"/>
      <c r="I315" s="1229"/>
      <c r="J315" s="1229"/>
      <c r="K315" s="1229"/>
      <c r="L315" s="1229"/>
      <c r="M315" s="1229"/>
      <c r="N315" s="1337"/>
      <c r="O315" s="1337"/>
      <c r="P315" s="1229"/>
      <c r="Q315" s="1229"/>
      <c r="R315" s="1229"/>
      <c r="S315" s="1229"/>
      <c r="T315" s="1337"/>
      <c r="U315" s="1337"/>
      <c r="V315" s="1229"/>
      <c r="W315" s="1229"/>
      <c r="X315" s="1229"/>
      <c r="Y315" s="1229"/>
      <c r="Z315" s="1337"/>
      <c r="AA315" s="1337"/>
      <c r="AB315" s="1229"/>
      <c r="AC315" s="1229"/>
      <c r="AD315" s="1229"/>
      <c r="AE315" s="1229"/>
      <c r="AF315" s="1337"/>
      <c r="AG315" s="1337"/>
      <c r="AH315" s="1229"/>
      <c r="AI315" s="1229"/>
      <c r="AJ315" s="1229"/>
      <c r="AK315" s="1229"/>
      <c r="AL315" s="1337"/>
      <c r="AM315" s="1337"/>
      <c r="AN315" s="1229"/>
      <c r="AO315" s="1229"/>
      <c r="AP315" s="1229"/>
      <c r="AQ315" s="1229"/>
      <c r="AR315" s="1337"/>
      <c r="AS315" s="1337"/>
      <c r="AT315" s="1229"/>
      <c r="AU315" s="1229"/>
      <c r="AV315" s="1229"/>
      <c r="AW315" s="1229"/>
      <c r="AX315" s="1337"/>
      <c r="AY315" s="1337"/>
      <c r="AZ315" s="1229"/>
      <c r="BA315" s="1229"/>
      <c r="BB315" s="1229"/>
      <c r="BC315" s="1229"/>
      <c r="BD315" s="1337"/>
      <c r="BE315" s="1337"/>
      <c r="BF315" s="1229"/>
      <c r="BG315" s="1229"/>
      <c r="BH315" s="1229"/>
      <c r="BI315" s="1222"/>
      <c r="BJ315" s="1338"/>
      <c r="BK315" s="1338"/>
      <c r="BL315" s="1222"/>
      <c r="BM315" s="1222"/>
      <c r="BN315" s="1222"/>
      <c r="BO315" s="1222"/>
    </row>
    <row r="316" ht="7.5" customHeight="1">
      <c r="A316" s="1222"/>
      <c r="B316" s="1229"/>
      <c r="C316" s="1349"/>
      <c r="D316" s="1229"/>
      <c r="E316" s="1229"/>
      <c r="F316" s="1229"/>
      <c r="G316" s="1229"/>
      <c r="H316" s="1229"/>
      <c r="I316" s="1229"/>
      <c r="J316" s="1229"/>
      <c r="K316" s="1229"/>
      <c r="L316" s="1229" t="str">
        <f>IFERROR(__xludf.DUMMYFUNCTION("""COMPUTED_VALUE"""),"")</f>
        <v/>
      </c>
      <c r="M316" s="1229"/>
      <c r="N316" s="1337"/>
      <c r="O316" s="1337"/>
      <c r="P316" s="1229"/>
      <c r="Q316" s="1229" t="str">
        <f>IFERROR(__xludf.DUMMYFUNCTION("""COMPUTED_VALUE"""),"")</f>
        <v/>
      </c>
      <c r="R316" s="1229" t="str">
        <f>IFERROR(__xludf.DUMMYFUNCTION("""COMPUTED_VALUE"""),"")</f>
        <v/>
      </c>
      <c r="S316" s="1229"/>
      <c r="T316" s="1337"/>
      <c r="U316" s="1337"/>
      <c r="V316" s="1229"/>
      <c r="W316" s="1229" t="str">
        <f>IFERROR(__xludf.DUMMYFUNCTION("""COMPUTED_VALUE"""),"")</f>
        <v/>
      </c>
      <c r="X316" s="1229" t="str">
        <f>IFERROR(__xludf.DUMMYFUNCTION("""COMPUTED_VALUE"""),"")</f>
        <v/>
      </c>
      <c r="Y316" s="1229"/>
      <c r="Z316" s="1337"/>
      <c r="AA316" s="1337"/>
      <c r="AB316" s="1229"/>
      <c r="AC316" s="1229" t="str">
        <f>IFERROR(__xludf.DUMMYFUNCTION("""COMPUTED_VALUE"""),"")</f>
        <v/>
      </c>
      <c r="AD316" s="1229" t="str">
        <f>IFERROR(__xludf.DUMMYFUNCTION("""COMPUTED_VALUE"""),"")</f>
        <v/>
      </c>
      <c r="AE316" s="1229"/>
      <c r="AF316" s="1337"/>
      <c r="AG316" s="1337"/>
      <c r="AH316" s="1229"/>
      <c r="AI316" s="1229" t="str">
        <f>IFERROR(__xludf.DUMMYFUNCTION("""COMPUTED_VALUE"""),"")</f>
        <v/>
      </c>
      <c r="AJ316" s="1229" t="str">
        <f>IFERROR(__xludf.DUMMYFUNCTION("""COMPUTED_VALUE"""),"")</f>
        <v/>
      </c>
      <c r="AK316" s="1229"/>
      <c r="AL316" s="1337"/>
      <c r="AM316" s="1337"/>
      <c r="AN316" s="1229"/>
      <c r="AO316" s="1229" t="str">
        <f>IFERROR(__xludf.DUMMYFUNCTION("""COMPUTED_VALUE"""),"")</f>
        <v/>
      </c>
      <c r="AP316" s="1229" t="str">
        <f>IFERROR(__xludf.DUMMYFUNCTION("""COMPUTED_VALUE"""),"")</f>
        <v/>
      </c>
      <c r="AQ316" s="1229"/>
      <c r="AR316" s="1337"/>
      <c r="AS316" s="1337"/>
      <c r="AT316" s="1229"/>
      <c r="AU316" s="1229" t="str">
        <f>IFERROR(__xludf.DUMMYFUNCTION("""COMPUTED_VALUE"""),"")</f>
        <v/>
      </c>
      <c r="AV316" s="1229" t="str">
        <f>IFERROR(__xludf.DUMMYFUNCTION("""COMPUTED_VALUE"""),"")</f>
        <v/>
      </c>
      <c r="AW316" s="1229"/>
      <c r="AX316" s="1337"/>
      <c r="AY316" s="1337"/>
      <c r="AZ316" s="1229"/>
      <c r="BA316" s="1229" t="str">
        <f>IFERROR(__xludf.DUMMYFUNCTION("""COMPUTED_VALUE"""),"")</f>
        <v/>
      </c>
      <c r="BB316" s="1229" t="str">
        <f>IFERROR(__xludf.DUMMYFUNCTION("""COMPUTED_VALUE"""),"")</f>
        <v/>
      </c>
      <c r="BC316" s="1229"/>
      <c r="BD316" s="1337"/>
      <c r="BE316" s="1337"/>
      <c r="BF316" s="1229"/>
      <c r="BG316" s="1229" t="str">
        <f>IFERROR(__xludf.DUMMYFUNCTION("""COMPUTED_VALUE"""),"")</f>
        <v/>
      </c>
      <c r="BH316" s="1229" t="str">
        <f>IFERROR(__xludf.DUMMYFUNCTION("""COMPUTED_VALUE"""),"")</f>
        <v/>
      </c>
      <c r="BI316" s="1222"/>
      <c r="BJ316" s="1338"/>
      <c r="BK316" s="1338"/>
      <c r="BL316" s="1222"/>
      <c r="BM316" s="1222" t="str">
        <f>IFERROR(__xludf.DUMMYFUNCTION("""COMPUTED_VALUE"""),"")</f>
        <v/>
      </c>
      <c r="BN316" s="1222"/>
      <c r="BO316" s="1222"/>
    </row>
    <row r="317">
      <c r="A317" s="1222"/>
      <c r="B317" s="1229"/>
      <c r="C317" s="1349"/>
      <c r="D317" s="1229"/>
      <c r="E317" s="1229"/>
      <c r="F317" s="1229"/>
      <c r="G317" s="1229"/>
      <c r="H317" s="1229"/>
      <c r="I317" s="1229"/>
      <c r="J317" s="1229"/>
      <c r="K317" s="1229"/>
      <c r="L317" s="1229"/>
      <c r="M317" s="1229"/>
      <c r="N317" s="1337"/>
      <c r="O317" s="1337"/>
      <c r="P317" s="1229"/>
      <c r="Q317" s="1229"/>
      <c r="R317" s="1229"/>
      <c r="S317" s="1229"/>
      <c r="T317" s="1337"/>
      <c r="U317" s="1337"/>
      <c r="V317" s="1229"/>
      <c r="W317" s="1229"/>
      <c r="X317" s="1229"/>
      <c r="Y317" s="1229"/>
      <c r="Z317" s="1337"/>
      <c r="AA317" s="1337"/>
      <c r="AB317" s="1229"/>
      <c r="AC317" s="1229"/>
      <c r="AD317" s="1229"/>
      <c r="AE317" s="1229"/>
      <c r="AF317" s="1337"/>
      <c r="AG317" s="1337"/>
      <c r="AH317" s="1229"/>
      <c r="AI317" s="1229"/>
      <c r="AJ317" s="1229"/>
      <c r="AK317" s="1229"/>
      <c r="AL317" s="1337"/>
      <c r="AM317" s="1337"/>
      <c r="AN317" s="1229"/>
      <c r="AO317" s="1229"/>
      <c r="AP317" s="1229"/>
      <c r="AQ317" s="1229"/>
      <c r="AR317" s="1337"/>
      <c r="AS317" s="1337"/>
      <c r="AT317" s="1229"/>
      <c r="AU317" s="1229"/>
      <c r="AV317" s="1229"/>
      <c r="AW317" s="1229"/>
      <c r="AX317" s="1337"/>
      <c r="AY317" s="1337"/>
      <c r="AZ317" s="1229"/>
      <c r="BA317" s="1229"/>
      <c r="BB317" s="1229"/>
      <c r="BC317" s="1229"/>
      <c r="BD317" s="1337"/>
      <c r="BE317" s="1337"/>
      <c r="BF317" s="1229"/>
      <c r="BG317" s="1229"/>
      <c r="BH317" s="1229"/>
      <c r="BI317" s="1222"/>
      <c r="BJ317" s="1338"/>
      <c r="BK317" s="1338"/>
      <c r="BL317" s="1222"/>
      <c r="BM317" s="1222"/>
      <c r="BN317" s="1222"/>
      <c r="BO317" s="1222"/>
    </row>
    <row r="318" ht="7.5" customHeight="1">
      <c r="A318" s="1222"/>
      <c r="B318" s="1229"/>
      <c r="C318" s="1349"/>
      <c r="D318" s="1229"/>
      <c r="E318" s="1229"/>
      <c r="F318" s="1229"/>
      <c r="G318" s="1229"/>
      <c r="H318" s="1229"/>
      <c r="I318" s="1229"/>
      <c r="J318" s="1229"/>
      <c r="K318" s="1229"/>
      <c r="L318" s="1229" t="str">
        <f>IFERROR(__xludf.DUMMYFUNCTION("""COMPUTED_VALUE"""),"")</f>
        <v/>
      </c>
      <c r="M318" s="1229"/>
      <c r="N318" s="1337"/>
      <c r="O318" s="1337"/>
      <c r="P318" s="1229"/>
      <c r="Q318" s="1229" t="str">
        <f>IFERROR(__xludf.DUMMYFUNCTION("""COMPUTED_VALUE"""),"")</f>
        <v/>
      </c>
      <c r="R318" s="1229" t="str">
        <f>IFERROR(__xludf.DUMMYFUNCTION("""COMPUTED_VALUE"""),"")</f>
        <v/>
      </c>
      <c r="S318" s="1229"/>
      <c r="T318" s="1337"/>
      <c r="U318" s="1337"/>
      <c r="V318" s="1229"/>
      <c r="W318" s="1229" t="str">
        <f>IFERROR(__xludf.DUMMYFUNCTION("""COMPUTED_VALUE"""),"")</f>
        <v/>
      </c>
      <c r="X318" s="1229" t="str">
        <f>IFERROR(__xludf.DUMMYFUNCTION("""COMPUTED_VALUE"""),"")</f>
        <v/>
      </c>
      <c r="Y318" s="1229"/>
      <c r="Z318" s="1337"/>
      <c r="AA318" s="1337"/>
      <c r="AB318" s="1229"/>
      <c r="AC318" s="1229" t="str">
        <f>IFERROR(__xludf.DUMMYFUNCTION("""COMPUTED_VALUE"""),"")</f>
        <v/>
      </c>
      <c r="AD318" s="1229" t="str">
        <f>IFERROR(__xludf.DUMMYFUNCTION("""COMPUTED_VALUE"""),"")</f>
        <v/>
      </c>
      <c r="AE318" s="1229"/>
      <c r="AF318" s="1337"/>
      <c r="AG318" s="1337"/>
      <c r="AH318" s="1229"/>
      <c r="AI318" s="1229" t="str">
        <f>IFERROR(__xludf.DUMMYFUNCTION("""COMPUTED_VALUE"""),"")</f>
        <v/>
      </c>
      <c r="AJ318" s="1229" t="str">
        <f>IFERROR(__xludf.DUMMYFUNCTION("""COMPUTED_VALUE"""),"")</f>
        <v/>
      </c>
      <c r="AK318" s="1229"/>
      <c r="AL318" s="1337"/>
      <c r="AM318" s="1337"/>
      <c r="AN318" s="1229"/>
      <c r="AO318" s="1229" t="str">
        <f>IFERROR(__xludf.DUMMYFUNCTION("""COMPUTED_VALUE"""),"")</f>
        <v/>
      </c>
      <c r="AP318" s="1229" t="str">
        <f>IFERROR(__xludf.DUMMYFUNCTION("""COMPUTED_VALUE"""),"")</f>
        <v/>
      </c>
      <c r="AQ318" s="1229"/>
      <c r="AR318" s="1337"/>
      <c r="AS318" s="1337"/>
      <c r="AT318" s="1229"/>
      <c r="AU318" s="1229" t="str">
        <f>IFERROR(__xludf.DUMMYFUNCTION("""COMPUTED_VALUE"""),"")</f>
        <v/>
      </c>
      <c r="AV318" s="1229" t="str">
        <f>IFERROR(__xludf.DUMMYFUNCTION("""COMPUTED_VALUE"""),"")</f>
        <v/>
      </c>
      <c r="AW318" s="1229"/>
      <c r="AX318" s="1337"/>
      <c r="AY318" s="1337"/>
      <c r="AZ318" s="1229"/>
      <c r="BA318" s="1229" t="str">
        <f>IFERROR(__xludf.DUMMYFUNCTION("""COMPUTED_VALUE"""),"")</f>
        <v/>
      </c>
      <c r="BB318" s="1229" t="str">
        <f>IFERROR(__xludf.DUMMYFUNCTION("""COMPUTED_VALUE"""),"")</f>
        <v/>
      </c>
      <c r="BC318" s="1229"/>
      <c r="BD318" s="1337"/>
      <c r="BE318" s="1337"/>
      <c r="BF318" s="1229"/>
      <c r="BG318" s="1229" t="str">
        <f>IFERROR(__xludf.DUMMYFUNCTION("""COMPUTED_VALUE"""),"")</f>
        <v/>
      </c>
      <c r="BH318" s="1229" t="str">
        <f>IFERROR(__xludf.DUMMYFUNCTION("""COMPUTED_VALUE"""),"")</f>
        <v/>
      </c>
      <c r="BI318" s="1222"/>
      <c r="BJ318" s="1338"/>
      <c r="BK318" s="1338"/>
      <c r="BL318" s="1222"/>
      <c r="BM318" s="1222" t="str">
        <f>IFERROR(__xludf.DUMMYFUNCTION("""COMPUTED_VALUE"""),"")</f>
        <v/>
      </c>
      <c r="BN318" s="1222"/>
      <c r="BO318" s="1222"/>
    </row>
    <row r="319">
      <c r="A319" s="1222"/>
      <c r="B319" s="1229"/>
      <c r="C319" s="1349"/>
      <c r="D319" s="1229"/>
      <c r="E319" s="1229"/>
      <c r="F319" s="1229"/>
      <c r="G319" s="1229"/>
      <c r="H319" s="1229"/>
      <c r="I319" s="1229"/>
      <c r="J319" s="1229"/>
      <c r="K319" s="1229"/>
      <c r="L319" s="1229"/>
      <c r="M319" s="1229"/>
      <c r="N319" s="1337"/>
      <c r="O319" s="1337"/>
      <c r="P319" s="1229"/>
      <c r="Q319" s="1229"/>
      <c r="R319" s="1229"/>
      <c r="S319" s="1229"/>
      <c r="T319" s="1337"/>
      <c r="U319" s="1337"/>
      <c r="V319" s="1229"/>
      <c r="W319" s="1229"/>
      <c r="X319" s="1229"/>
      <c r="Y319" s="1229"/>
      <c r="Z319" s="1337"/>
      <c r="AA319" s="1337"/>
      <c r="AB319" s="1229"/>
      <c r="AC319" s="1229"/>
      <c r="AD319" s="1229"/>
      <c r="AE319" s="1229"/>
      <c r="AF319" s="1337"/>
      <c r="AG319" s="1337"/>
      <c r="AH319" s="1229"/>
      <c r="AI319" s="1229"/>
      <c r="AJ319" s="1229"/>
      <c r="AK319" s="1229"/>
      <c r="AL319" s="1337"/>
      <c r="AM319" s="1337"/>
      <c r="AN319" s="1229"/>
      <c r="AO319" s="1229"/>
      <c r="AP319" s="1229"/>
      <c r="AQ319" s="1229"/>
      <c r="AR319" s="1337"/>
      <c r="AS319" s="1337"/>
      <c r="AT319" s="1229"/>
      <c r="AU319" s="1229"/>
      <c r="AV319" s="1229"/>
      <c r="AW319" s="1229"/>
      <c r="AX319" s="1337"/>
      <c r="AY319" s="1337"/>
      <c r="AZ319" s="1229"/>
      <c r="BA319" s="1229"/>
      <c r="BB319" s="1229"/>
      <c r="BC319" s="1229"/>
      <c r="BD319" s="1337"/>
      <c r="BE319" s="1337"/>
      <c r="BF319" s="1229"/>
      <c r="BG319" s="1229"/>
      <c r="BH319" s="1229"/>
      <c r="BI319" s="1222"/>
      <c r="BJ319" s="1338"/>
      <c r="BK319" s="1338"/>
      <c r="BL319" s="1222"/>
      <c r="BM319" s="1222"/>
      <c r="BN319" s="1222"/>
      <c r="BO319" s="1222"/>
    </row>
    <row r="320" ht="7.5" customHeight="1">
      <c r="A320" s="1222"/>
      <c r="B320" s="1229"/>
      <c r="C320" s="1349"/>
      <c r="D320" s="1229"/>
      <c r="E320" s="1229"/>
      <c r="F320" s="1229"/>
      <c r="G320" s="1229"/>
      <c r="H320" s="1229"/>
      <c r="I320" s="1229"/>
      <c r="J320" s="1229"/>
      <c r="K320" s="1229"/>
      <c r="L320" s="1229" t="str">
        <f>IFERROR(__xludf.DUMMYFUNCTION("""COMPUTED_VALUE"""),"")</f>
        <v/>
      </c>
      <c r="M320" s="1229"/>
      <c r="N320" s="1337"/>
      <c r="O320" s="1337"/>
      <c r="P320" s="1229"/>
      <c r="Q320" s="1229" t="str">
        <f>IFERROR(__xludf.DUMMYFUNCTION("""COMPUTED_VALUE"""),"")</f>
        <v/>
      </c>
      <c r="R320" s="1229" t="str">
        <f>IFERROR(__xludf.DUMMYFUNCTION("""COMPUTED_VALUE"""),"")</f>
        <v/>
      </c>
      <c r="S320" s="1229"/>
      <c r="T320" s="1337"/>
      <c r="U320" s="1337"/>
      <c r="V320" s="1229"/>
      <c r="W320" s="1229" t="str">
        <f>IFERROR(__xludf.DUMMYFUNCTION("""COMPUTED_VALUE"""),"")</f>
        <v/>
      </c>
      <c r="X320" s="1229" t="str">
        <f>IFERROR(__xludf.DUMMYFUNCTION("""COMPUTED_VALUE"""),"")</f>
        <v/>
      </c>
      <c r="Y320" s="1229"/>
      <c r="Z320" s="1337"/>
      <c r="AA320" s="1337"/>
      <c r="AB320" s="1229"/>
      <c r="AC320" s="1229" t="str">
        <f>IFERROR(__xludf.DUMMYFUNCTION("""COMPUTED_VALUE"""),"")</f>
        <v/>
      </c>
      <c r="AD320" s="1229" t="str">
        <f>IFERROR(__xludf.DUMMYFUNCTION("""COMPUTED_VALUE"""),"")</f>
        <v/>
      </c>
      <c r="AE320" s="1229"/>
      <c r="AF320" s="1337"/>
      <c r="AG320" s="1337"/>
      <c r="AH320" s="1229"/>
      <c r="AI320" s="1229" t="str">
        <f>IFERROR(__xludf.DUMMYFUNCTION("""COMPUTED_VALUE"""),"")</f>
        <v/>
      </c>
      <c r="AJ320" s="1229" t="str">
        <f>IFERROR(__xludf.DUMMYFUNCTION("""COMPUTED_VALUE"""),"")</f>
        <v/>
      </c>
      <c r="AK320" s="1229"/>
      <c r="AL320" s="1337"/>
      <c r="AM320" s="1337"/>
      <c r="AN320" s="1229"/>
      <c r="AO320" s="1229" t="str">
        <f>IFERROR(__xludf.DUMMYFUNCTION("""COMPUTED_VALUE"""),"")</f>
        <v/>
      </c>
      <c r="AP320" s="1229" t="str">
        <f>IFERROR(__xludf.DUMMYFUNCTION("""COMPUTED_VALUE"""),"")</f>
        <v/>
      </c>
      <c r="AQ320" s="1229"/>
      <c r="AR320" s="1337"/>
      <c r="AS320" s="1337"/>
      <c r="AT320" s="1229"/>
      <c r="AU320" s="1229" t="str">
        <f>IFERROR(__xludf.DUMMYFUNCTION("""COMPUTED_VALUE"""),"")</f>
        <v/>
      </c>
      <c r="AV320" s="1229" t="str">
        <f>IFERROR(__xludf.DUMMYFUNCTION("""COMPUTED_VALUE"""),"")</f>
        <v/>
      </c>
      <c r="AW320" s="1229"/>
      <c r="AX320" s="1337"/>
      <c r="AY320" s="1337"/>
      <c r="AZ320" s="1229"/>
      <c r="BA320" s="1229" t="str">
        <f>IFERROR(__xludf.DUMMYFUNCTION("""COMPUTED_VALUE"""),"")</f>
        <v/>
      </c>
      <c r="BB320" s="1229" t="str">
        <f>IFERROR(__xludf.DUMMYFUNCTION("""COMPUTED_VALUE"""),"")</f>
        <v/>
      </c>
      <c r="BC320" s="1229"/>
      <c r="BD320" s="1337"/>
      <c r="BE320" s="1337"/>
      <c r="BF320" s="1229"/>
      <c r="BG320" s="1229" t="str">
        <f>IFERROR(__xludf.DUMMYFUNCTION("""COMPUTED_VALUE"""),"")</f>
        <v/>
      </c>
      <c r="BH320" s="1229" t="str">
        <f>IFERROR(__xludf.DUMMYFUNCTION("""COMPUTED_VALUE"""),"")</f>
        <v/>
      </c>
      <c r="BI320" s="1222"/>
      <c r="BJ320" s="1338"/>
      <c r="BK320" s="1338"/>
      <c r="BL320" s="1222"/>
      <c r="BM320" s="1222" t="str">
        <f>IFERROR(__xludf.DUMMYFUNCTION("""COMPUTED_VALUE"""),"")</f>
        <v/>
      </c>
      <c r="BN320" s="1222"/>
      <c r="BO320" s="1222"/>
    </row>
    <row r="321">
      <c r="A321" s="1222"/>
      <c r="B321" s="1229"/>
      <c r="C321" s="1349"/>
      <c r="D321" s="1229"/>
      <c r="E321" s="1229"/>
      <c r="F321" s="1229"/>
      <c r="G321" s="1229"/>
      <c r="H321" s="1229"/>
      <c r="I321" s="1229"/>
      <c r="J321" s="1229"/>
      <c r="K321" s="1229"/>
      <c r="L321" s="1229"/>
      <c r="M321" s="1229"/>
      <c r="N321" s="1337"/>
      <c r="O321" s="1337"/>
      <c r="P321" s="1229"/>
      <c r="Q321" s="1229"/>
      <c r="R321" s="1229"/>
      <c r="S321" s="1229"/>
      <c r="T321" s="1337"/>
      <c r="U321" s="1337"/>
      <c r="V321" s="1229"/>
      <c r="W321" s="1229"/>
      <c r="X321" s="1229"/>
      <c r="Y321" s="1229"/>
      <c r="Z321" s="1337"/>
      <c r="AA321" s="1337"/>
      <c r="AB321" s="1229"/>
      <c r="AC321" s="1229"/>
      <c r="AD321" s="1229"/>
      <c r="AE321" s="1229"/>
      <c r="AF321" s="1337"/>
      <c r="AG321" s="1337"/>
      <c r="AH321" s="1229"/>
      <c r="AI321" s="1229"/>
      <c r="AJ321" s="1229"/>
      <c r="AK321" s="1229"/>
      <c r="AL321" s="1337"/>
      <c r="AM321" s="1337"/>
      <c r="AN321" s="1229"/>
      <c r="AO321" s="1229"/>
      <c r="AP321" s="1229"/>
      <c r="AQ321" s="1229"/>
      <c r="AR321" s="1337"/>
      <c r="AS321" s="1337"/>
      <c r="AT321" s="1229"/>
      <c r="AU321" s="1229"/>
      <c r="AV321" s="1229"/>
      <c r="AW321" s="1229"/>
      <c r="AX321" s="1337"/>
      <c r="AY321" s="1337"/>
      <c r="AZ321" s="1229"/>
      <c r="BA321" s="1229"/>
      <c r="BB321" s="1229"/>
      <c r="BC321" s="1229"/>
      <c r="BD321" s="1337"/>
      <c r="BE321" s="1337"/>
      <c r="BF321" s="1229"/>
      <c r="BG321" s="1229"/>
      <c r="BH321" s="1229"/>
      <c r="BI321" s="1222"/>
      <c r="BJ321" s="1338"/>
      <c r="BK321" s="1338"/>
      <c r="BL321" s="1222"/>
      <c r="BM321" s="1222"/>
      <c r="BN321" s="1222"/>
      <c r="BO321" s="1222"/>
    </row>
    <row r="322" ht="7.5" customHeight="1">
      <c r="A322" s="1222"/>
      <c r="B322" s="1229"/>
      <c r="C322" s="1349"/>
      <c r="D322" s="1229"/>
      <c r="E322" s="1229"/>
      <c r="F322" s="1229"/>
      <c r="G322" s="1229"/>
      <c r="H322" s="1229"/>
      <c r="I322" s="1229"/>
      <c r="J322" s="1229"/>
      <c r="K322" s="1229"/>
      <c r="L322" s="1229"/>
      <c r="M322" s="1229"/>
      <c r="N322" s="1337"/>
      <c r="O322" s="1337"/>
      <c r="P322" s="1229"/>
      <c r="Q322" s="1229"/>
      <c r="R322" s="1229"/>
      <c r="S322" s="1229"/>
      <c r="T322" s="1337"/>
      <c r="U322" s="1337"/>
      <c r="V322" s="1229"/>
      <c r="W322" s="1229"/>
      <c r="X322" s="1229"/>
      <c r="Y322" s="1229"/>
      <c r="Z322" s="1337"/>
      <c r="AA322" s="1337"/>
      <c r="AB322" s="1229"/>
      <c r="AC322" s="1229"/>
      <c r="AD322" s="1229"/>
      <c r="AE322" s="1229"/>
      <c r="AF322" s="1337"/>
      <c r="AG322" s="1337"/>
      <c r="AH322" s="1229"/>
      <c r="AI322" s="1229"/>
      <c r="AJ322" s="1229"/>
      <c r="AK322" s="1229"/>
      <c r="AL322" s="1337"/>
      <c r="AM322" s="1337"/>
      <c r="AN322" s="1229"/>
      <c r="AO322" s="1229"/>
      <c r="AP322" s="1229"/>
      <c r="AQ322" s="1229"/>
      <c r="AR322" s="1337"/>
      <c r="AS322" s="1337"/>
      <c r="AT322" s="1229"/>
      <c r="AU322" s="1229"/>
      <c r="AV322" s="1229"/>
      <c r="AW322" s="1229"/>
      <c r="AX322" s="1337"/>
      <c r="AY322" s="1337"/>
      <c r="AZ322" s="1229"/>
      <c r="BA322" s="1229"/>
      <c r="BB322" s="1229"/>
      <c r="BC322" s="1229"/>
      <c r="BD322" s="1337"/>
      <c r="BE322" s="1337"/>
      <c r="BF322" s="1229"/>
      <c r="BG322" s="1229"/>
      <c r="BH322" s="1229"/>
      <c r="BI322" s="1222"/>
      <c r="BJ322" s="1338"/>
      <c r="BK322" s="1338"/>
      <c r="BL322" s="1222"/>
      <c r="BM322" s="1222"/>
      <c r="BN322" s="1222"/>
      <c r="BO322" s="1222"/>
    </row>
    <row r="323">
      <c r="A323" s="1222"/>
      <c r="B323" s="1229"/>
      <c r="C323" s="1349"/>
      <c r="D323" s="1229"/>
      <c r="E323" s="1229"/>
      <c r="F323" s="1229"/>
      <c r="G323" s="1229"/>
      <c r="H323" s="1229"/>
      <c r="I323" s="1229"/>
      <c r="J323" s="1229"/>
      <c r="K323" s="1229"/>
      <c r="L323" s="1229"/>
      <c r="M323" s="1229"/>
      <c r="N323" s="1337"/>
      <c r="O323" s="1337"/>
      <c r="P323" s="1229"/>
      <c r="Q323" s="1229"/>
      <c r="R323" s="1229"/>
      <c r="S323" s="1229"/>
      <c r="T323" s="1337"/>
      <c r="U323" s="1337"/>
      <c r="V323" s="1229"/>
      <c r="W323" s="1229"/>
      <c r="X323" s="1229"/>
      <c r="Y323" s="1229"/>
      <c r="Z323" s="1337"/>
      <c r="AA323" s="1337"/>
      <c r="AB323" s="1229"/>
      <c r="AC323" s="1229"/>
      <c r="AD323" s="1229"/>
      <c r="AE323" s="1229"/>
      <c r="AF323" s="1337"/>
      <c r="AG323" s="1337"/>
      <c r="AH323" s="1229"/>
      <c r="AI323" s="1229"/>
      <c r="AJ323" s="1229"/>
      <c r="AK323" s="1229"/>
      <c r="AL323" s="1337"/>
      <c r="AM323" s="1337"/>
      <c r="AN323" s="1229"/>
      <c r="AO323" s="1229"/>
      <c r="AP323" s="1229"/>
      <c r="AQ323" s="1229"/>
      <c r="AR323" s="1337"/>
      <c r="AS323" s="1337"/>
      <c r="AT323" s="1229"/>
      <c r="AU323" s="1229"/>
      <c r="AV323" s="1229"/>
      <c r="AW323" s="1229"/>
      <c r="AX323" s="1337"/>
      <c r="AY323" s="1337"/>
      <c r="AZ323" s="1229"/>
      <c r="BA323" s="1229"/>
      <c r="BB323" s="1229"/>
      <c r="BC323" s="1229"/>
      <c r="BD323" s="1337"/>
      <c r="BE323" s="1337"/>
      <c r="BF323" s="1229"/>
      <c r="BG323" s="1229"/>
      <c r="BH323" s="1229"/>
      <c r="BI323" s="1222"/>
      <c r="BJ323" s="1338"/>
      <c r="BK323" s="1338"/>
      <c r="BL323" s="1222"/>
      <c r="BM323" s="1222"/>
      <c r="BN323" s="1222"/>
      <c r="BO323" s="1222"/>
    </row>
    <row r="324" ht="7.5" customHeight="1">
      <c r="A324" s="1222"/>
      <c r="B324" s="1229"/>
      <c r="C324" s="1349"/>
      <c r="D324" s="1229"/>
      <c r="E324" s="1229"/>
      <c r="F324" s="1229"/>
      <c r="G324" s="1229"/>
      <c r="H324" s="1229"/>
      <c r="I324" s="1229"/>
      <c r="J324" s="1229"/>
      <c r="K324" s="1229"/>
      <c r="L324" s="1229"/>
      <c r="M324" s="1229"/>
      <c r="N324" s="1337"/>
      <c r="O324" s="1337"/>
      <c r="P324" s="1229"/>
      <c r="Q324" s="1229"/>
      <c r="R324" s="1229"/>
      <c r="S324" s="1229"/>
      <c r="T324" s="1337"/>
      <c r="U324" s="1337"/>
      <c r="V324" s="1229"/>
      <c r="W324" s="1229"/>
      <c r="X324" s="1229"/>
      <c r="Y324" s="1229"/>
      <c r="Z324" s="1337"/>
      <c r="AA324" s="1337"/>
      <c r="AB324" s="1229"/>
      <c r="AC324" s="1229"/>
      <c r="AD324" s="1229"/>
      <c r="AE324" s="1229"/>
      <c r="AF324" s="1337"/>
      <c r="AG324" s="1337"/>
      <c r="AH324" s="1229"/>
      <c r="AI324" s="1229"/>
      <c r="AJ324" s="1229"/>
      <c r="AK324" s="1229"/>
      <c r="AL324" s="1337"/>
      <c r="AM324" s="1337"/>
      <c r="AN324" s="1229"/>
      <c r="AO324" s="1229"/>
      <c r="AP324" s="1229"/>
      <c r="AQ324" s="1229"/>
      <c r="AR324" s="1337"/>
      <c r="AS324" s="1337"/>
      <c r="AT324" s="1229"/>
      <c r="AU324" s="1229"/>
      <c r="AV324" s="1229"/>
      <c r="AW324" s="1229"/>
      <c r="AX324" s="1337"/>
      <c r="AY324" s="1337"/>
      <c r="AZ324" s="1229"/>
      <c r="BA324" s="1229"/>
      <c r="BB324" s="1229"/>
      <c r="BC324" s="1229"/>
      <c r="BD324" s="1337"/>
      <c r="BE324" s="1337"/>
      <c r="BF324" s="1229"/>
      <c r="BG324" s="1229"/>
      <c r="BH324" s="1229"/>
      <c r="BI324" s="1222"/>
      <c r="BJ324" s="1338"/>
      <c r="BK324" s="1338"/>
      <c r="BL324" s="1222"/>
      <c r="BM324" s="1222"/>
      <c r="BN324" s="1222"/>
      <c r="BO324" s="1222"/>
    </row>
    <row r="325">
      <c r="A325" s="1222"/>
      <c r="B325" s="1229"/>
      <c r="C325" s="1349"/>
      <c r="D325" s="1229"/>
      <c r="E325" s="1229"/>
      <c r="F325" s="1229"/>
      <c r="G325" s="1229"/>
      <c r="H325" s="1229"/>
      <c r="I325" s="1229"/>
      <c r="J325" s="1229"/>
      <c r="K325" s="1229"/>
      <c r="L325" s="1229"/>
      <c r="M325" s="1229"/>
      <c r="N325" s="1337"/>
      <c r="O325" s="1337"/>
      <c r="P325" s="1229"/>
      <c r="Q325" s="1229"/>
      <c r="R325" s="1229"/>
      <c r="S325" s="1229"/>
      <c r="T325" s="1337"/>
      <c r="U325" s="1337"/>
      <c r="V325" s="1229"/>
      <c r="W325" s="1229"/>
      <c r="X325" s="1229"/>
      <c r="Y325" s="1229"/>
      <c r="Z325" s="1337"/>
      <c r="AA325" s="1337"/>
      <c r="AB325" s="1229"/>
      <c r="AC325" s="1229"/>
      <c r="AD325" s="1229"/>
      <c r="AE325" s="1229"/>
      <c r="AF325" s="1337"/>
      <c r="AG325" s="1337"/>
      <c r="AH325" s="1229"/>
      <c r="AI325" s="1229"/>
      <c r="AJ325" s="1229"/>
      <c r="AK325" s="1229"/>
      <c r="AL325" s="1337"/>
      <c r="AM325" s="1337"/>
      <c r="AN325" s="1229"/>
      <c r="AO325" s="1229"/>
      <c r="AP325" s="1229"/>
      <c r="AQ325" s="1229"/>
      <c r="AR325" s="1337"/>
      <c r="AS325" s="1337"/>
      <c r="AT325" s="1229"/>
      <c r="AU325" s="1229"/>
      <c r="AV325" s="1229"/>
      <c r="AW325" s="1229"/>
      <c r="AX325" s="1337"/>
      <c r="AY325" s="1337"/>
      <c r="AZ325" s="1229"/>
      <c r="BA325" s="1229"/>
      <c r="BB325" s="1229"/>
      <c r="BC325" s="1229"/>
      <c r="BD325" s="1337"/>
      <c r="BE325" s="1337"/>
      <c r="BF325" s="1229"/>
      <c r="BG325" s="1229"/>
      <c r="BH325" s="1229"/>
      <c r="BI325" s="1222"/>
      <c r="BJ325" s="1338"/>
      <c r="BK325" s="1338"/>
      <c r="BL325" s="1222"/>
      <c r="BM325" s="1222"/>
      <c r="BN325" s="1222"/>
      <c r="BO325" s="1222"/>
    </row>
    <row r="326" ht="7.5" customHeight="1">
      <c r="A326" s="1222"/>
      <c r="B326" s="1229"/>
      <c r="C326" s="1349"/>
      <c r="D326" s="1229"/>
      <c r="E326" s="1229"/>
      <c r="F326" s="1229"/>
      <c r="G326" s="1229"/>
      <c r="H326" s="1229"/>
      <c r="I326" s="1229"/>
      <c r="J326" s="1229"/>
      <c r="K326" s="1229"/>
      <c r="L326" s="1229"/>
      <c r="M326" s="1229"/>
      <c r="N326" s="1337"/>
      <c r="O326" s="1337"/>
      <c r="P326" s="1229"/>
      <c r="Q326" s="1229"/>
      <c r="R326" s="1229"/>
      <c r="S326" s="1229"/>
      <c r="T326" s="1337"/>
      <c r="U326" s="1337"/>
      <c r="V326" s="1229"/>
      <c r="W326" s="1229"/>
      <c r="X326" s="1229"/>
      <c r="Y326" s="1229"/>
      <c r="Z326" s="1337"/>
      <c r="AA326" s="1337"/>
      <c r="AB326" s="1229"/>
      <c r="AC326" s="1229"/>
      <c r="AD326" s="1229"/>
      <c r="AE326" s="1229"/>
      <c r="AF326" s="1337"/>
      <c r="AG326" s="1337"/>
      <c r="AH326" s="1229"/>
      <c r="AI326" s="1229"/>
      <c r="AJ326" s="1229"/>
      <c r="AK326" s="1229"/>
      <c r="AL326" s="1337"/>
      <c r="AM326" s="1337"/>
      <c r="AN326" s="1229"/>
      <c r="AO326" s="1229"/>
      <c r="AP326" s="1229"/>
      <c r="AQ326" s="1229"/>
      <c r="AR326" s="1337"/>
      <c r="AS326" s="1337"/>
      <c r="AT326" s="1229"/>
      <c r="AU326" s="1229"/>
      <c r="AV326" s="1229"/>
      <c r="AW326" s="1229"/>
      <c r="AX326" s="1337"/>
      <c r="AY326" s="1337"/>
      <c r="AZ326" s="1229"/>
      <c r="BA326" s="1229"/>
      <c r="BB326" s="1229"/>
      <c r="BC326" s="1229"/>
      <c r="BD326" s="1337"/>
      <c r="BE326" s="1337"/>
      <c r="BF326" s="1229"/>
      <c r="BG326" s="1229"/>
      <c r="BH326" s="1229"/>
      <c r="BI326" s="1222"/>
      <c r="BJ326" s="1338"/>
      <c r="BK326" s="1338"/>
      <c r="BL326" s="1222"/>
      <c r="BM326" s="1222"/>
      <c r="BN326" s="1222"/>
      <c r="BO326" s="1222"/>
    </row>
    <row r="327">
      <c r="A327" s="1222"/>
      <c r="B327" s="1229"/>
      <c r="C327" s="1349"/>
      <c r="D327" s="1229"/>
      <c r="E327" s="1229"/>
      <c r="F327" s="1229"/>
      <c r="G327" s="1229"/>
      <c r="H327" s="1229"/>
      <c r="I327" s="1229"/>
      <c r="J327" s="1229"/>
      <c r="K327" s="1229"/>
      <c r="L327" s="1229"/>
      <c r="M327" s="1229"/>
      <c r="N327" s="1337"/>
      <c r="O327" s="1337"/>
      <c r="P327" s="1229"/>
      <c r="Q327" s="1229"/>
      <c r="R327" s="1229"/>
      <c r="S327" s="1229"/>
      <c r="T327" s="1337"/>
      <c r="U327" s="1337"/>
      <c r="V327" s="1229"/>
      <c r="W327" s="1229"/>
      <c r="X327" s="1229"/>
      <c r="Y327" s="1229"/>
      <c r="Z327" s="1337"/>
      <c r="AA327" s="1337"/>
      <c r="AB327" s="1229"/>
      <c r="AC327" s="1229"/>
      <c r="AD327" s="1229"/>
      <c r="AE327" s="1229"/>
      <c r="AF327" s="1337"/>
      <c r="AG327" s="1337"/>
      <c r="AH327" s="1229"/>
      <c r="AI327" s="1229"/>
      <c r="AJ327" s="1229"/>
      <c r="AK327" s="1229"/>
      <c r="AL327" s="1337"/>
      <c r="AM327" s="1337"/>
      <c r="AN327" s="1229"/>
      <c r="AO327" s="1229"/>
      <c r="AP327" s="1229"/>
      <c r="AQ327" s="1229"/>
      <c r="AR327" s="1337"/>
      <c r="AS327" s="1337"/>
      <c r="AT327" s="1229"/>
      <c r="AU327" s="1229"/>
      <c r="AV327" s="1229"/>
      <c r="AW327" s="1229"/>
      <c r="AX327" s="1337"/>
      <c r="AY327" s="1337"/>
      <c r="AZ327" s="1229"/>
      <c r="BA327" s="1229"/>
      <c r="BB327" s="1229"/>
      <c r="BC327" s="1229"/>
      <c r="BD327" s="1337"/>
      <c r="BE327" s="1337"/>
      <c r="BF327" s="1229"/>
      <c r="BG327" s="1229"/>
      <c r="BH327" s="1229"/>
      <c r="BI327" s="1222"/>
      <c r="BJ327" s="1338"/>
      <c r="BK327" s="1338"/>
      <c r="BL327" s="1222"/>
      <c r="BM327" s="1222"/>
      <c r="BN327" s="1222"/>
      <c r="BO327" s="1222"/>
    </row>
    <row r="328" ht="7.5" customHeight="1">
      <c r="A328" s="1222"/>
      <c r="B328" s="1229"/>
      <c r="C328" s="1349"/>
      <c r="D328" s="1229"/>
      <c r="E328" s="1229"/>
      <c r="F328" s="1229"/>
      <c r="G328" s="1229"/>
      <c r="H328" s="1229"/>
      <c r="I328" s="1229"/>
      <c r="J328" s="1229"/>
      <c r="K328" s="1229"/>
      <c r="L328" s="1229"/>
      <c r="M328" s="1229"/>
      <c r="N328" s="1337"/>
      <c r="O328" s="1337"/>
      <c r="P328" s="1229"/>
      <c r="Q328" s="1229"/>
      <c r="R328" s="1229"/>
      <c r="S328" s="1229"/>
      <c r="T328" s="1337"/>
      <c r="U328" s="1337"/>
      <c r="V328" s="1229"/>
      <c r="W328" s="1229"/>
      <c r="X328" s="1229"/>
      <c r="Y328" s="1229"/>
      <c r="Z328" s="1337"/>
      <c r="AA328" s="1337"/>
      <c r="AB328" s="1229"/>
      <c r="AC328" s="1229"/>
      <c r="AD328" s="1229"/>
      <c r="AE328" s="1229"/>
      <c r="AF328" s="1337"/>
      <c r="AG328" s="1337"/>
      <c r="AH328" s="1229"/>
      <c r="AI328" s="1229"/>
      <c r="AJ328" s="1229"/>
      <c r="AK328" s="1229"/>
      <c r="AL328" s="1337"/>
      <c r="AM328" s="1337"/>
      <c r="AN328" s="1229"/>
      <c r="AO328" s="1229"/>
      <c r="AP328" s="1229"/>
      <c r="AQ328" s="1229"/>
      <c r="AR328" s="1337"/>
      <c r="AS328" s="1337"/>
      <c r="AT328" s="1229"/>
      <c r="AU328" s="1229"/>
      <c r="AV328" s="1229"/>
      <c r="AW328" s="1229"/>
      <c r="AX328" s="1337"/>
      <c r="AY328" s="1337"/>
      <c r="AZ328" s="1229"/>
      <c r="BA328" s="1229"/>
      <c r="BB328" s="1229"/>
      <c r="BC328" s="1229"/>
      <c r="BD328" s="1337"/>
      <c r="BE328" s="1337"/>
      <c r="BF328" s="1229"/>
      <c r="BG328" s="1229"/>
      <c r="BH328" s="1229"/>
      <c r="BI328" s="1222"/>
      <c r="BJ328" s="1338"/>
      <c r="BK328" s="1338"/>
      <c r="BL328" s="1222"/>
      <c r="BM328" s="1222"/>
      <c r="BN328" s="1222"/>
      <c r="BO328" s="1222"/>
    </row>
    <row r="329">
      <c r="A329" s="1222"/>
      <c r="B329" s="1229"/>
      <c r="C329" s="1349"/>
      <c r="D329" s="1229"/>
      <c r="E329" s="1229"/>
      <c r="F329" s="1229"/>
      <c r="G329" s="1229"/>
      <c r="H329" s="1229"/>
      <c r="I329" s="1229"/>
      <c r="J329" s="1229"/>
      <c r="K329" s="1229"/>
      <c r="L329" s="1229"/>
      <c r="M329" s="1229"/>
      <c r="N329" s="1337"/>
      <c r="O329" s="1337"/>
      <c r="P329" s="1229"/>
      <c r="Q329" s="1229"/>
      <c r="R329" s="1229"/>
      <c r="S329" s="1229"/>
      <c r="T329" s="1337"/>
      <c r="U329" s="1337"/>
      <c r="V329" s="1229"/>
      <c r="W329" s="1229"/>
      <c r="X329" s="1229"/>
      <c r="Y329" s="1229"/>
      <c r="Z329" s="1337"/>
      <c r="AA329" s="1337"/>
      <c r="AB329" s="1229"/>
      <c r="AC329" s="1229"/>
      <c r="AD329" s="1229"/>
      <c r="AE329" s="1229"/>
      <c r="AF329" s="1337"/>
      <c r="AG329" s="1337"/>
      <c r="AH329" s="1229"/>
      <c r="AI329" s="1229"/>
      <c r="AJ329" s="1229"/>
      <c r="AK329" s="1229"/>
      <c r="AL329" s="1337"/>
      <c r="AM329" s="1337"/>
      <c r="AN329" s="1229"/>
      <c r="AO329" s="1229"/>
      <c r="AP329" s="1229"/>
      <c r="AQ329" s="1229"/>
      <c r="AR329" s="1337"/>
      <c r="AS329" s="1337"/>
      <c r="AT329" s="1229"/>
      <c r="AU329" s="1229"/>
      <c r="AV329" s="1229"/>
      <c r="AW329" s="1229"/>
      <c r="AX329" s="1337"/>
      <c r="AY329" s="1337"/>
      <c r="AZ329" s="1229"/>
      <c r="BA329" s="1229"/>
      <c r="BB329" s="1229"/>
      <c r="BC329" s="1229"/>
      <c r="BD329" s="1337"/>
      <c r="BE329" s="1337"/>
      <c r="BF329" s="1229"/>
      <c r="BG329" s="1229"/>
      <c r="BH329" s="1229"/>
      <c r="BI329" s="1222"/>
      <c r="BJ329" s="1338"/>
      <c r="BK329" s="1338"/>
      <c r="BL329" s="1222"/>
      <c r="BM329" s="1222"/>
      <c r="BN329" s="1222"/>
      <c r="BO329" s="1222"/>
    </row>
    <row r="330" ht="7.5" customHeight="1">
      <c r="A330" s="1222"/>
      <c r="B330" s="1229"/>
      <c r="C330" s="1349"/>
      <c r="D330" s="1229"/>
      <c r="E330" s="1229"/>
      <c r="F330" s="1229"/>
      <c r="G330" s="1229"/>
      <c r="H330" s="1229"/>
      <c r="I330" s="1229"/>
      <c r="J330" s="1229"/>
      <c r="K330" s="1229"/>
      <c r="L330" s="1229"/>
      <c r="M330" s="1229"/>
      <c r="N330" s="1337"/>
      <c r="O330" s="1337"/>
      <c r="P330" s="1229"/>
      <c r="Q330" s="1229"/>
      <c r="R330" s="1229"/>
      <c r="S330" s="1229"/>
      <c r="T330" s="1337"/>
      <c r="U330" s="1337"/>
      <c r="V330" s="1229"/>
      <c r="W330" s="1229"/>
      <c r="X330" s="1229"/>
      <c r="Y330" s="1229"/>
      <c r="Z330" s="1337"/>
      <c r="AA330" s="1337"/>
      <c r="AB330" s="1229"/>
      <c r="AC330" s="1229"/>
      <c r="AD330" s="1229"/>
      <c r="AE330" s="1229"/>
      <c r="AF330" s="1337"/>
      <c r="AG330" s="1337"/>
      <c r="AH330" s="1229"/>
      <c r="AI330" s="1229"/>
      <c r="AJ330" s="1229"/>
      <c r="AK330" s="1229"/>
      <c r="AL330" s="1337"/>
      <c r="AM330" s="1337"/>
      <c r="AN330" s="1229"/>
      <c r="AO330" s="1229"/>
      <c r="AP330" s="1229"/>
      <c r="AQ330" s="1229"/>
      <c r="AR330" s="1337"/>
      <c r="AS330" s="1337"/>
      <c r="AT330" s="1229"/>
      <c r="AU330" s="1229"/>
      <c r="AV330" s="1229"/>
      <c r="AW330" s="1229"/>
      <c r="AX330" s="1337"/>
      <c r="AY330" s="1337"/>
      <c r="AZ330" s="1229"/>
      <c r="BA330" s="1229"/>
      <c r="BB330" s="1229"/>
      <c r="BC330" s="1229"/>
      <c r="BD330" s="1337"/>
      <c r="BE330" s="1337"/>
      <c r="BF330" s="1229"/>
      <c r="BG330" s="1229"/>
      <c r="BH330" s="1229"/>
      <c r="BI330" s="1222"/>
      <c r="BJ330" s="1338"/>
      <c r="BK330" s="1338"/>
      <c r="BL330" s="1222"/>
      <c r="BM330" s="1222"/>
      <c r="BN330" s="1222"/>
      <c r="BO330" s="1222"/>
    </row>
    <row r="331">
      <c r="A331" s="1222"/>
      <c r="B331" s="1229"/>
      <c r="C331" s="1349"/>
      <c r="D331" s="1229"/>
      <c r="E331" s="1229"/>
      <c r="F331" s="1229"/>
      <c r="G331" s="1229"/>
      <c r="H331" s="1229"/>
      <c r="I331" s="1229"/>
      <c r="J331" s="1229"/>
      <c r="K331" s="1229"/>
      <c r="L331" s="1229"/>
      <c r="M331" s="1229"/>
      <c r="N331" s="1337"/>
      <c r="O331" s="1337"/>
      <c r="P331" s="1229"/>
      <c r="Q331" s="1229"/>
      <c r="R331" s="1229"/>
      <c r="S331" s="1229"/>
      <c r="T331" s="1337"/>
      <c r="U331" s="1337"/>
      <c r="V331" s="1229"/>
      <c r="W331" s="1229"/>
      <c r="X331" s="1229"/>
      <c r="Y331" s="1229"/>
      <c r="Z331" s="1337"/>
      <c r="AA331" s="1337"/>
      <c r="AB331" s="1229"/>
      <c r="AC331" s="1229"/>
      <c r="AD331" s="1229"/>
      <c r="AE331" s="1229"/>
      <c r="AF331" s="1337"/>
      <c r="AG331" s="1337"/>
      <c r="AH331" s="1229"/>
      <c r="AI331" s="1229"/>
      <c r="AJ331" s="1229"/>
      <c r="AK331" s="1229"/>
      <c r="AL331" s="1337"/>
      <c r="AM331" s="1337"/>
      <c r="AN331" s="1229"/>
      <c r="AO331" s="1229"/>
      <c r="AP331" s="1229"/>
      <c r="AQ331" s="1229"/>
      <c r="AR331" s="1337"/>
      <c r="AS331" s="1337"/>
      <c r="AT331" s="1229"/>
      <c r="AU331" s="1229"/>
      <c r="AV331" s="1229"/>
      <c r="AW331" s="1229"/>
      <c r="AX331" s="1337"/>
      <c r="AY331" s="1337"/>
      <c r="AZ331" s="1229"/>
      <c r="BA331" s="1229"/>
      <c r="BB331" s="1229"/>
      <c r="BC331" s="1229"/>
      <c r="BD331" s="1337"/>
      <c r="BE331" s="1337"/>
      <c r="BF331" s="1229"/>
      <c r="BG331" s="1229"/>
      <c r="BH331" s="1229"/>
      <c r="BI331" s="1222"/>
      <c r="BJ331" s="1338"/>
      <c r="BK331" s="1338"/>
      <c r="BL331" s="1222"/>
      <c r="BM331" s="1222"/>
      <c r="BN331" s="1222"/>
      <c r="BO331" s="1222"/>
    </row>
    <row r="332" ht="7.5" customHeight="1">
      <c r="A332" s="1222"/>
      <c r="B332" s="1229"/>
      <c r="C332" s="1349"/>
      <c r="D332" s="1229"/>
      <c r="E332" s="1229"/>
      <c r="F332" s="1229"/>
      <c r="G332" s="1229"/>
      <c r="H332" s="1229"/>
      <c r="I332" s="1229"/>
      <c r="J332" s="1229"/>
      <c r="K332" s="1229"/>
      <c r="L332" s="1229"/>
      <c r="M332" s="1229"/>
      <c r="N332" s="1337"/>
      <c r="O332" s="1337"/>
      <c r="P332" s="1229"/>
      <c r="Q332" s="1229"/>
      <c r="R332" s="1229"/>
      <c r="S332" s="1229"/>
      <c r="T332" s="1337"/>
      <c r="U332" s="1337"/>
      <c r="V332" s="1229"/>
      <c r="W332" s="1229"/>
      <c r="X332" s="1229"/>
      <c r="Y332" s="1229"/>
      <c r="Z332" s="1337"/>
      <c r="AA332" s="1337"/>
      <c r="AB332" s="1229"/>
      <c r="AC332" s="1229"/>
      <c r="AD332" s="1229"/>
      <c r="AE332" s="1229"/>
      <c r="AF332" s="1337"/>
      <c r="AG332" s="1337"/>
      <c r="AH332" s="1229"/>
      <c r="AI332" s="1229"/>
      <c r="AJ332" s="1229"/>
      <c r="AK332" s="1229"/>
      <c r="AL332" s="1337"/>
      <c r="AM332" s="1337"/>
      <c r="AN332" s="1229"/>
      <c r="AO332" s="1229"/>
      <c r="AP332" s="1229"/>
      <c r="AQ332" s="1229"/>
      <c r="AR332" s="1337"/>
      <c r="AS332" s="1337"/>
      <c r="AT332" s="1229"/>
      <c r="AU332" s="1229"/>
      <c r="AV332" s="1229"/>
      <c r="AW332" s="1229"/>
      <c r="AX332" s="1337"/>
      <c r="AY332" s="1337"/>
      <c r="AZ332" s="1229"/>
      <c r="BA332" s="1229"/>
      <c r="BB332" s="1229"/>
      <c r="BC332" s="1229"/>
      <c r="BD332" s="1337"/>
      <c r="BE332" s="1337"/>
      <c r="BF332" s="1229"/>
      <c r="BG332" s="1229"/>
      <c r="BH332" s="1229"/>
      <c r="BI332" s="1222"/>
      <c r="BJ332" s="1338"/>
      <c r="BK332" s="1338"/>
      <c r="BL332" s="1222"/>
      <c r="BM332" s="1222"/>
      <c r="BN332" s="1222"/>
      <c r="BO332" s="1222"/>
    </row>
    <row r="333">
      <c r="A333" s="1222"/>
      <c r="B333" s="1229"/>
      <c r="C333" s="1349"/>
      <c r="D333" s="1229"/>
      <c r="E333" s="1229"/>
      <c r="F333" s="1229"/>
      <c r="G333" s="1229"/>
      <c r="H333" s="1229"/>
      <c r="I333" s="1229"/>
      <c r="J333" s="1229"/>
      <c r="K333" s="1229"/>
      <c r="L333" s="1229"/>
      <c r="M333" s="1229"/>
      <c r="N333" s="1337"/>
      <c r="O333" s="1337"/>
      <c r="P333" s="1229"/>
      <c r="Q333" s="1229"/>
      <c r="R333" s="1229"/>
      <c r="S333" s="1229"/>
      <c r="T333" s="1337"/>
      <c r="U333" s="1337"/>
      <c r="V333" s="1229"/>
      <c r="W333" s="1229"/>
      <c r="X333" s="1229"/>
      <c r="Y333" s="1229"/>
      <c r="Z333" s="1337"/>
      <c r="AA333" s="1337"/>
      <c r="AB333" s="1229"/>
      <c r="AC333" s="1229"/>
      <c r="AD333" s="1229"/>
      <c r="AE333" s="1229"/>
      <c r="AF333" s="1337"/>
      <c r="AG333" s="1337"/>
      <c r="AH333" s="1229"/>
      <c r="AI333" s="1229"/>
      <c r="AJ333" s="1229"/>
      <c r="AK333" s="1229"/>
      <c r="AL333" s="1337"/>
      <c r="AM333" s="1337"/>
      <c r="AN333" s="1229"/>
      <c r="AO333" s="1229"/>
      <c r="AP333" s="1229"/>
      <c r="AQ333" s="1229"/>
      <c r="AR333" s="1337"/>
      <c r="AS333" s="1337"/>
      <c r="AT333" s="1229"/>
      <c r="AU333" s="1229"/>
      <c r="AV333" s="1229"/>
      <c r="AW333" s="1229"/>
      <c r="AX333" s="1337"/>
      <c r="AY333" s="1337"/>
      <c r="AZ333" s="1229"/>
      <c r="BA333" s="1229"/>
      <c r="BB333" s="1229"/>
      <c r="BC333" s="1229"/>
      <c r="BD333" s="1337"/>
      <c r="BE333" s="1337"/>
      <c r="BF333" s="1229"/>
      <c r="BG333" s="1229"/>
      <c r="BH333" s="1229"/>
      <c r="BI333" s="1222"/>
      <c r="BJ333" s="1338"/>
      <c r="BK333" s="1338"/>
      <c r="BL333" s="1222"/>
      <c r="BM333" s="1222"/>
      <c r="BN333" s="1222"/>
      <c r="BO333" s="1222"/>
    </row>
    <row r="334" ht="7.5" customHeight="1">
      <c r="A334" s="1222"/>
      <c r="B334" s="1229"/>
      <c r="C334" s="1349"/>
      <c r="D334" s="1229"/>
      <c r="E334" s="1229"/>
      <c r="F334" s="1229"/>
      <c r="G334" s="1229"/>
      <c r="H334" s="1229"/>
      <c r="I334" s="1229"/>
      <c r="J334" s="1229"/>
      <c r="K334" s="1229"/>
      <c r="L334" s="1229"/>
      <c r="M334" s="1229"/>
      <c r="N334" s="1337"/>
      <c r="O334" s="1337"/>
      <c r="P334" s="1229"/>
      <c r="Q334" s="1229"/>
      <c r="R334" s="1229"/>
      <c r="S334" s="1229"/>
      <c r="T334" s="1337"/>
      <c r="U334" s="1337"/>
      <c r="V334" s="1229"/>
      <c r="W334" s="1229"/>
      <c r="X334" s="1229"/>
      <c r="Y334" s="1229"/>
      <c r="Z334" s="1337"/>
      <c r="AA334" s="1337"/>
      <c r="AB334" s="1229"/>
      <c r="AC334" s="1229"/>
      <c r="AD334" s="1229"/>
      <c r="AE334" s="1229"/>
      <c r="AF334" s="1337"/>
      <c r="AG334" s="1337"/>
      <c r="AH334" s="1229"/>
      <c r="AI334" s="1229"/>
      <c r="AJ334" s="1229"/>
      <c r="AK334" s="1229"/>
      <c r="AL334" s="1337"/>
      <c r="AM334" s="1337"/>
      <c r="AN334" s="1229"/>
      <c r="AO334" s="1229"/>
      <c r="AP334" s="1229"/>
      <c r="AQ334" s="1229"/>
      <c r="AR334" s="1337"/>
      <c r="AS334" s="1337"/>
      <c r="AT334" s="1229"/>
      <c r="AU334" s="1229"/>
      <c r="AV334" s="1229"/>
      <c r="AW334" s="1229"/>
      <c r="AX334" s="1337"/>
      <c r="AY334" s="1337"/>
      <c r="AZ334" s="1229"/>
      <c r="BA334" s="1229"/>
      <c r="BB334" s="1229"/>
      <c r="BC334" s="1229"/>
      <c r="BD334" s="1337"/>
      <c r="BE334" s="1337"/>
      <c r="BF334" s="1229"/>
      <c r="BG334" s="1229"/>
      <c r="BH334" s="1229"/>
      <c r="BI334" s="1222"/>
      <c r="BJ334" s="1338"/>
      <c r="BK334" s="1338"/>
      <c r="BL334" s="1222"/>
      <c r="BM334" s="1222"/>
      <c r="BN334" s="1222"/>
      <c r="BO334" s="1222"/>
    </row>
    <row r="335">
      <c r="A335" s="1222"/>
      <c r="B335" s="1229"/>
      <c r="C335" s="1349"/>
      <c r="D335" s="1229"/>
      <c r="E335" s="1229"/>
      <c r="F335" s="1229"/>
      <c r="G335" s="1229"/>
      <c r="H335" s="1229"/>
      <c r="I335" s="1229"/>
      <c r="J335" s="1229"/>
      <c r="K335" s="1229"/>
      <c r="L335" s="1229"/>
      <c r="M335" s="1229"/>
      <c r="N335" s="1337"/>
      <c r="O335" s="1337"/>
      <c r="P335" s="1229"/>
      <c r="Q335" s="1229"/>
      <c r="R335" s="1229"/>
      <c r="S335" s="1229"/>
      <c r="T335" s="1337"/>
      <c r="U335" s="1337"/>
      <c r="V335" s="1229"/>
      <c r="W335" s="1229"/>
      <c r="X335" s="1229"/>
      <c r="Y335" s="1229"/>
      <c r="Z335" s="1337"/>
      <c r="AA335" s="1337"/>
      <c r="AB335" s="1229"/>
      <c r="AC335" s="1229"/>
      <c r="AD335" s="1229"/>
      <c r="AE335" s="1229"/>
      <c r="AF335" s="1337"/>
      <c r="AG335" s="1337"/>
      <c r="AH335" s="1229"/>
      <c r="AI335" s="1229"/>
      <c r="AJ335" s="1229"/>
      <c r="AK335" s="1229"/>
      <c r="AL335" s="1337"/>
      <c r="AM335" s="1337"/>
      <c r="AN335" s="1229"/>
      <c r="AO335" s="1229"/>
      <c r="AP335" s="1229"/>
      <c r="AQ335" s="1229"/>
      <c r="AR335" s="1337"/>
      <c r="AS335" s="1337"/>
      <c r="AT335" s="1229"/>
      <c r="AU335" s="1229"/>
      <c r="AV335" s="1229"/>
      <c r="AW335" s="1229"/>
      <c r="AX335" s="1337"/>
      <c r="AY335" s="1337"/>
      <c r="AZ335" s="1229"/>
      <c r="BA335" s="1229"/>
      <c r="BB335" s="1229"/>
      <c r="BC335" s="1229"/>
      <c r="BD335" s="1337"/>
      <c r="BE335" s="1337"/>
      <c r="BF335" s="1229"/>
      <c r="BG335" s="1229"/>
      <c r="BH335" s="1229"/>
      <c r="BI335" s="1222"/>
      <c r="BJ335" s="1338"/>
      <c r="BK335" s="1338"/>
      <c r="BL335" s="1222"/>
      <c r="BM335" s="1222"/>
      <c r="BN335" s="1222"/>
      <c r="BO335" s="1222"/>
    </row>
    <row r="336" ht="7.5" customHeight="1">
      <c r="A336" s="1222"/>
      <c r="B336" s="1229"/>
      <c r="C336" s="1349"/>
      <c r="D336" s="1229"/>
      <c r="E336" s="1229"/>
      <c r="F336" s="1229"/>
      <c r="G336" s="1229"/>
      <c r="H336" s="1229"/>
      <c r="I336" s="1229"/>
      <c r="J336" s="1229"/>
      <c r="K336" s="1229"/>
      <c r="L336" s="1229"/>
      <c r="M336" s="1229"/>
      <c r="N336" s="1337"/>
      <c r="O336" s="1337"/>
      <c r="P336" s="1229"/>
      <c r="Q336" s="1229"/>
      <c r="R336" s="1229"/>
      <c r="S336" s="1229"/>
      <c r="T336" s="1337"/>
      <c r="U336" s="1337"/>
      <c r="V336" s="1229"/>
      <c r="W336" s="1229"/>
      <c r="X336" s="1229"/>
      <c r="Y336" s="1229"/>
      <c r="Z336" s="1337"/>
      <c r="AA336" s="1337"/>
      <c r="AB336" s="1229"/>
      <c r="AC336" s="1229"/>
      <c r="AD336" s="1229"/>
      <c r="AE336" s="1229"/>
      <c r="AF336" s="1337"/>
      <c r="AG336" s="1337"/>
      <c r="AH336" s="1229"/>
      <c r="AI336" s="1229"/>
      <c r="AJ336" s="1229"/>
      <c r="AK336" s="1229"/>
      <c r="AL336" s="1337"/>
      <c r="AM336" s="1337"/>
      <c r="AN336" s="1229"/>
      <c r="AO336" s="1229"/>
      <c r="AP336" s="1229"/>
      <c r="AQ336" s="1229"/>
      <c r="AR336" s="1337"/>
      <c r="AS336" s="1337"/>
      <c r="AT336" s="1229"/>
      <c r="AU336" s="1229"/>
      <c r="AV336" s="1229"/>
      <c r="AW336" s="1229"/>
      <c r="AX336" s="1337"/>
      <c r="AY336" s="1337"/>
      <c r="AZ336" s="1229"/>
      <c r="BA336" s="1229"/>
      <c r="BB336" s="1229"/>
      <c r="BC336" s="1229"/>
      <c r="BD336" s="1337"/>
      <c r="BE336" s="1337"/>
      <c r="BF336" s="1229"/>
      <c r="BG336" s="1229"/>
      <c r="BH336" s="1229"/>
      <c r="BI336" s="1222"/>
      <c r="BJ336" s="1338"/>
      <c r="BK336" s="1338"/>
      <c r="BL336" s="1222"/>
      <c r="BM336" s="1222"/>
      <c r="BN336" s="1222"/>
      <c r="BO336" s="1222"/>
    </row>
    <row r="337">
      <c r="A337" s="1222"/>
      <c r="B337" s="1229"/>
      <c r="C337" s="1349"/>
      <c r="D337" s="1229"/>
      <c r="E337" s="1229"/>
      <c r="F337" s="1229"/>
      <c r="G337" s="1229"/>
      <c r="H337" s="1229"/>
      <c r="I337" s="1229"/>
      <c r="J337" s="1229"/>
      <c r="K337" s="1229"/>
      <c r="L337" s="1229"/>
      <c r="M337" s="1229"/>
      <c r="N337" s="1337"/>
      <c r="O337" s="1337"/>
      <c r="P337" s="1229"/>
      <c r="Q337" s="1229"/>
      <c r="R337" s="1229"/>
      <c r="S337" s="1229"/>
      <c r="T337" s="1337"/>
      <c r="U337" s="1337"/>
      <c r="V337" s="1229"/>
      <c r="W337" s="1229"/>
      <c r="X337" s="1229"/>
      <c r="Y337" s="1229"/>
      <c r="Z337" s="1337"/>
      <c r="AA337" s="1337"/>
      <c r="AB337" s="1229"/>
      <c r="AC337" s="1229"/>
      <c r="AD337" s="1229"/>
      <c r="AE337" s="1229"/>
      <c r="AF337" s="1337"/>
      <c r="AG337" s="1337"/>
      <c r="AH337" s="1229"/>
      <c r="AI337" s="1229"/>
      <c r="AJ337" s="1229"/>
      <c r="AK337" s="1229"/>
      <c r="AL337" s="1337"/>
      <c r="AM337" s="1337"/>
      <c r="AN337" s="1229"/>
      <c r="AO337" s="1229"/>
      <c r="AP337" s="1229"/>
      <c r="AQ337" s="1229"/>
      <c r="AR337" s="1337"/>
      <c r="AS337" s="1337"/>
      <c r="AT337" s="1229"/>
      <c r="AU337" s="1229"/>
      <c r="AV337" s="1229"/>
      <c r="AW337" s="1229"/>
      <c r="AX337" s="1337"/>
      <c r="AY337" s="1337"/>
      <c r="AZ337" s="1229"/>
      <c r="BA337" s="1229"/>
      <c r="BB337" s="1229"/>
      <c r="BC337" s="1229"/>
      <c r="BD337" s="1337"/>
      <c r="BE337" s="1337"/>
      <c r="BF337" s="1229"/>
      <c r="BG337" s="1229"/>
      <c r="BH337" s="1229"/>
      <c r="BI337" s="1222"/>
      <c r="BJ337" s="1338"/>
      <c r="BK337" s="1338"/>
      <c r="BL337" s="1222"/>
      <c r="BM337" s="1222"/>
      <c r="BN337" s="1222"/>
      <c r="BO337" s="1222"/>
    </row>
    <row r="338" ht="7.5" customHeight="1">
      <c r="A338" s="1222"/>
      <c r="B338" s="1229"/>
      <c r="C338" s="1349"/>
      <c r="D338" s="1229"/>
      <c r="E338" s="1229"/>
      <c r="F338" s="1229"/>
      <c r="G338" s="1229"/>
      <c r="H338" s="1229"/>
      <c r="I338" s="1229"/>
      <c r="J338" s="1229"/>
      <c r="K338" s="1229"/>
      <c r="L338" s="1229"/>
      <c r="M338" s="1229"/>
      <c r="N338" s="1337"/>
      <c r="O338" s="1337"/>
      <c r="P338" s="1229"/>
      <c r="Q338" s="1229"/>
      <c r="R338" s="1229"/>
      <c r="S338" s="1229"/>
      <c r="T338" s="1337"/>
      <c r="U338" s="1337"/>
      <c r="V338" s="1229"/>
      <c r="W338" s="1229"/>
      <c r="X338" s="1229"/>
      <c r="Y338" s="1229"/>
      <c r="Z338" s="1337"/>
      <c r="AA338" s="1337"/>
      <c r="AB338" s="1229"/>
      <c r="AC338" s="1229"/>
      <c r="AD338" s="1229"/>
      <c r="AE338" s="1229"/>
      <c r="AF338" s="1337"/>
      <c r="AG338" s="1337"/>
      <c r="AH338" s="1229"/>
      <c r="AI338" s="1229"/>
      <c r="AJ338" s="1229"/>
      <c r="AK338" s="1229"/>
      <c r="AL338" s="1337"/>
      <c r="AM338" s="1337"/>
      <c r="AN338" s="1229"/>
      <c r="AO338" s="1229"/>
      <c r="AP338" s="1229"/>
      <c r="AQ338" s="1229"/>
      <c r="AR338" s="1337"/>
      <c r="AS338" s="1337"/>
      <c r="AT338" s="1229"/>
      <c r="AU338" s="1229"/>
      <c r="AV338" s="1229"/>
      <c r="AW338" s="1229"/>
      <c r="AX338" s="1337"/>
      <c r="AY338" s="1337"/>
      <c r="AZ338" s="1229"/>
      <c r="BA338" s="1229"/>
      <c r="BB338" s="1229"/>
      <c r="BC338" s="1229"/>
      <c r="BD338" s="1337"/>
      <c r="BE338" s="1337"/>
      <c r="BF338" s="1229"/>
      <c r="BG338" s="1229"/>
      <c r="BH338" s="1229"/>
      <c r="BI338" s="1222"/>
      <c r="BJ338" s="1338"/>
      <c r="BK338" s="1338"/>
      <c r="BL338" s="1222"/>
      <c r="BM338" s="1222"/>
      <c r="BN338" s="1222"/>
      <c r="BO338" s="1222"/>
    </row>
    <row r="339">
      <c r="A339" s="1222"/>
      <c r="B339" s="1229"/>
      <c r="C339" s="1349"/>
      <c r="D339" s="1229"/>
      <c r="E339" s="1229"/>
      <c r="F339" s="1229"/>
      <c r="G339" s="1229"/>
      <c r="H339" s="1229"/>
      <c r="I339" s="1229"/>
      <c r="J339" s="1229"/>
      <c r="K339" s="1229"/>
      <c r="L339" s="1229"/>
      <c r="M339" s="1229"/>
      <c r="N339" s="1337"/>
      <c r="O339" s="1337"/>
      <c r="P339" s="1229"/>
      <c r="Q339" s="1229"/>
      <c r="R339" s="1229"/>
      <c r="S339" s="1229"/>
      <c r="T339" s="1337"/>
      <c r="U339" s="1337"/>
      <c r="V339" s="1229"/>
      <c r="W339" s="1229"/>
      <c r="X339" s="1229"/>
      <c r="Y339" s="1229"/>
      <c r="Z339" s="1337"/>
      <c r="AA339" s="1337"/>
      <c r="AB339" s="1229"/>
      <c r="AC339" s="1229"/>
      <c r="AD339" s="1229"/>
      <c r="AE339" s="1229"/>
      <c r="AF339" s="1337"/>
      <c r="AG339" s="1337"/>
      <c r="AH339" s="1229"/>
      <c r="AI339" s="1229"/>
      <c r="AJ339" s="1229"/>
      <c r="AK339" s="1229"/>
      <c r="AL339" s="1337"/>
      <c r="AM339" s="1337"/>
      <c r="AN339" s="1229"/>
      <c r="AO339" s="1229"/>
      <c r="AP339" s="1229"/>
      <c r="AQ339" s="1229"/>
      <c r="AR339" s="1337"/>
      <c r="AS339" s="1337"/>
      <c r="AT339" s="1229"/>
      <c r="AU339" s="1229"/>
      <c r="AV339" s="1229"/>
      <c r="AW339" s="1229"/>
      <c r="AX339" s="1337"/>
      <c r="AY339" s="1337"/>
      <c r="AZ339" s="1229"/>
      <c r="BA339" s="1229"/>
      <c r="BB339" s="1229"/>
      <c r="BC339" s="1229"/>
      <c r="BD339" s="1337"/>
      <c r="BE339" s="1337"/>
      <c r="BF339" s="1229"/>
      <c r="BG339" s="1229"/>
      <c r="BH339" s="1229"/>
      <c r="BI339" s="1222"/>
      <c r="BJ339" s="1338"/>
      <c r="BK339" s="1338"/>
      <c r="BL339" s="1222"/>
      <c r="BM339" s="1222"/>
      <c r="BN339" s="1222"/>
      <c r="BO339" s="1222"/>
    </row>
    <row r="340" ht="7.5" customHeight="1">
      <c r="A340" s="1222"/>
      <c r="B340" s="1229"/>
      <c r="C340" s="1349"/>
      <c r="D340" s="1229"/>
      <c r="E340" s="1229"/>
      <c r="F340" s="1229"/>
      <c r="G340" s="1229"/>
      <c r="H340" s="1229"/>
      <c r="I340" s="1229"/>
      <c r="J340" s="1229"/>
      <c r="K340" s="1229"/>
      <c r="L340" s="1229"/>
      <c r="M340" s="1229"/>
      <c r="N340" s="1337"/>
      <c r="O340" s="1337"/>
      <c r="P340" s="1229"/>
      <c r="Q340" s="1229"/>
      <c r="R340" s="1229"/>
      <c r="S340" s="1229"/>
      <c r="T340" s="1337"/>
      <c r="U340" s="1337"/>
      <c r="V340" s="1229"/>
      <c r="W340" s="1229"/>
      <c r="X340" s="1229"/>
      <c r="Y340" s="1229"/>
      <c r="Z340" s="1337"/>
      <c r="AA340" s="1337"/>
      <c r="AB340" s="1229"/>
      <c r="AC340" s="1229"/>
      <c r="AD340" s="1229"/>
      <c r="AE340" s="1229"/>
      <c r="AF340" s="1337"/>
      <c r="AG340" s="1337"/>
      <c r="AH340" s="1229"/>
      <c r="AI340" s="1229"/>
      <c r="AJ340" s="1229"/>
      <c r="AK340" s="1229"/>
      <c r="AL340" s="1337"/>
      <c r="AM340" s="1337"/>
      <c r="AN340" s="1229"/>
      <c r="AO340" s="1229"/>
      <c r="AP340" s="1229"/>
      <c r="AQ340" s="1229"/>
      <c r="AR340" s="1337"/>
      <c r="AS340" s="1337"/>
      <c r="AT340" s="1229"/>
      <c r="AU340" s="1229"/>
      <c r="AV340" s="1229"/>
      <c r="AW340" s="1229"/>
      <c r="AX340" s="1337"/>
      <c r="AY340" s="1337"/>
      <c r="AZ340" s="1229"/>
      <c r="BA340" s="1229"/>
      <c r="BB340" s="1229"/>
      <c r="BC340" s="1229"/>
      <c r="BD340" s="1337"/>
      <c r="BE340" s="1337"/>
      <c r="BF340" s="1229"/>
      <c r="BG340" s="1229"/>
      <c r="BH340" s="1229"/>
      <c r="BI340" s="1222"/>
      <c r="BJ340" s="1338"/>
      <c r="BK340" s="1338"/>
      <c r="BL340" s="1222"/>
      <c r="BM340" s="1222"/>
      <c r="BN340" s="1222"/>
      <c r="BO340" s="1222"/>
    </row>
    <row r="341">
      <c r="A341" s="1222"/>
      <c r="B341" s="1229"/>
      <c r="C341" s="1349"/>
      <c r="D341" s="1229"/>
      <c r="E341" s="1229"/>
      <c r="F341" s="1229"/>
      <c r="G341" s="1229"/>
      <c r="H341" s="1229"/>
      <c r="I341" s="1229"/>
      <c r="J341" s="1229"/>
      <c r="K341" s="1229"/>
      <c r="L341" s="1229"/>
      <c r="M341" s="1229"/>
      <c r="N341" s="1337"/>
      <c r="O341" s="1337"/>
      <c r="P341" s="1229"/>
      <c r="Q341" s="1229"/>
      <c r="R341" s="1229"/>
      <c r="S341" s="1229"/>
      <c r="T341" s="1337"/>
      <c r="U341" s="1337"/>
      <c r="V341" s="1229"/>
      <c r="W341" s="1229"/>
      <c r="X341" s="1229"/>
      <c r="Y341" s="1229"/>
      <c r="Z341" s="1337"/>
      <c r="AA341" s="1337"/>
      <c r="AB341" s="1229"/>
      <c r="AC341" s="1229"/>
      <c r="AD341" s="1229"/>
      <c r="AE341" s="1229"/>
      <c r="AF341" s="1337"/>
      <c r="AG341" s="1337"/>
      <c r="AH341" s="1229"/>
      <c r="AI341" s="1229"/>
      <c r="AJ341" s="1229"/>
      <c r="AK341" s="1229"/>
      <c r="AL341" s="1337"/>
      <c r="AM341" s="1337"/>
      <c r="AN341" s="1229"/>
      <c r="AO341" s="1229"/>
      <c r="AP341" s="1229"/>
      <c r="AQ341" s="1229"/>
      <c r="AR341" s="1337"/>
      <c r="AS341" s="1337"/>
      <c r="AT341" s="1229"/>
      <c r="AU341" s="1229"/>
      <c r="AV341" s="1229"/>
      <c r="AW341" s="1229"/>
      <c r="AX341" s="1337"/>
      <c r="AY341" s="1337"/>
      <c r="AZ341" s="1229"/>
      <c r="BA341" s="1229"/>
      <c r="BB341" s="1229"/>
      <c r="BC341" s="1229"/>
      <c r="BD341" s="1337"/>
      <c r="BE341" s="1337"/>
      <c r="BF341" s="1229"/>
      <c r="BG341" s="1229"/>
      <c r="BH341" s="1229"/>
      <c r="BI341" s="1222"/>
      <c r="BJ341" s="1338"/>
      <c r="BK341" s="1338"/>
      <c r="BL341" s="1222"/>
      <c r="BM341" s="1222"/>
      <c r="BN341" s="1222"/>
      <c r="BO341" s="1222"/>
    </row>
    <row r="342" ht="7.5" customHeight="1">
      <c r="A342" s="1222"/>
      <c r="B342" s="1229"/>
      <c r="C342" s="1349"/>
      <c r="D342" s="1229"/>
      <c r="E342" s="1229"/>
      <c r="F342" s="1229"/>
      <c r="G342" s="1229"/>
      <c r="H342" s="1229"/>
      <c r="I342" s="1229"/>
      <c r="J342" s="1229"/>
      <c r="K342" s="1229"/>
      <c r="L342" s="1229"/>
      <c r="M342" s="1229"/>
      <c r="N342" s="1337"/>
      <c r="O342" s="1337"/>
      <c r="P342" s="1229"/>
      <c r="Q342" s="1229"/>
      <c r="R342" s="1229"/>
      <c r="S342" s="1229"/>
      <c r="T342" s="1337"/>
      <c r="U342" s="1337"/>
      <c r="V342" s="1229"/>
      <c r="W342" s="1229"/>
      <c r="X342" s="1229"/>
      <c r="Y342" s="1229"/>
      <c r="Z342" s="1337"/>
      <c r="AA342" s="1337"/>
      <c r="AB342" s="1229"/>
      <c r="AC342" s="1229"/>
      <c r="AD342" s="1229"/>
      <c r="AE342" s="1229"/>
      <c r="AF342" s="1337"/>
      <c r="AG342" s="1337"/>
      <c r="AH342" s="1229"/>
      <c r="AI342" s="1229"/>
      <c r="AJ342" s="1229"/>
      <c r="AK342" s="1229"/>
      <c r="AL342" s="1337"/>
      <c r="AM342" s="1337"/>
      <c r="AN342" s="1229"/>
      <c r="AO342" s="1229"/>
      <c r="AP342" s="1229"/>
      <c r="AQ342" s="1229"/>
      <c r="AR342" s="1337"/>
      <c r="AS342" s="1337"/>
      <c r="AT342" s="1229"/>
      <c r="AU342" s="1229"/>
      <c r="AV342" s="1229"/>
      <c r="AW342" s="1229"/>
      <c r="AX342" s="1337"/>
      <c r="AY342" s="1337"/>
      <c r="AZ342" s="1229"/>
      <c r="BA342" s="1229"/>
      <c r="BB342" s="1229"/>
      <c r="BC342" s="1229"/>
      <c r="BD342" s="1337"/>
      <c r="BE342" s="1337"/>
      <c r="BF342" s="1229"/>
      <c r="BG342" s="1229"/>
      <c r="BH342" s="1229"/>
      <c r="BI342" s="1222"/>
      <c r="BJ342" s="1338"/>
      <c r="BK342" s="1338"/>
      <c r="BL342" s="1222"/>
      <c r="BM342" s="1222"/>
      <c r="BN342" s="1222"/>
      <c r="BO342" s="1222"/>
    </row>
    <row r="343">
      <c r="A343" s="1222"/>
      <c r="B343" s="1229"/>
      <c r="C343" s="1349"/>
      <c r="D343" s="1229"/>
      <c r="E343" s="1229"/>
      <c r="F343" s="1229"/>
      <c r="G343" s="1229"/>
      <c r="H343" s="1229"/>
      <c r="I343" s="1229"/>
      <c r="J343" s="1229"/>
      <c r="K343" s="1229"/>
      <c r="L343" s="1229"/>
      <c r="M343" s="1229"/>
      <c r="N343" s="1337"/>
      <c r="O343" s="1337"/>
      <c r="P343" s="1229"/>
      <c r="Q343" s="1229"/>
      <c r="R343" s="1229"/>
      <c r="S343" s="1229"/>
      <c r="T343" s="1337"/>
      <c r="U343" s="1337"/>
      <c r="V343" s="1229"/>
      <c r="W343" s="1229"/>
      <c r="X343" s="1229"/>
      <c r="Y343" s="1229"/>
      <c r="Z343" s="1337"/>
      <c r="AA343" s="1337"/>
      <c r="AB343" s="1229"/>
      <c r="AC343" s="1229"/>
      <c r="AD343" s="1229"/>
      <c r="AE343" s="1229"/>
      <c r="AF343" s="1337"/>
      <c r="AG343" s="1337"/>
      <c r="AH343" s="1229"/>
      <c r="AI343" s="1229"/>
      <c r="AJ343" s="1229"/>
      <c r="AK343" s="1229"/>
      <c r="AL343" s="1337"/>
      <c r="AM343" s="1337"/>
      <c r="AN343" s="1229"/>
      <c r="AO343" s="1229"/>
      <c r="AP343" s="1229"/>
      <c r="AQ343" s="1229"/>
      <c r="AR343" s="1337"/>
      <c r="AS343" s="1337"/>
      <c r="AT343" s="1229"/>
      <c r="AU343" s="1229"/>
      <c r="AV343" s="1229"/>
      <c r="AW343" s="1229"/>
      <c r="AX343" s="1337"/>
      <c r="AY343" s="1337"/>
      <c r="AZ343" s="1229"/>
      <c r="BA343" s="1229"/>
      <c r="BB343" s="1229"/>
      <c r="BC343" s="1229"/>
      <c r="BD343" s="1337"/>
      <c r="BE343" s="1337"/>
      <c r="BF343" s="1229"/>
      <c r="BG343" s="1229"/>
      <c r="BH343" s="1229"/>
      <c r="BI343" s="1222"/>
      <c r="BJ343" s="1338"/>
      <c r="BK343" s="1338"/>
      <c r="BL343" s="1222"/>
      <c r="BM343" s="1222"/>
      <c r="BN343" s="1222"/>
      <c r="BO343" s="1222"/>
    </row>
    <row r="344" ht="7.5" customHeight="1">
      <c r="A344" s="1222"/>
      <c r="B344" s="1229"/>
      <c r="C344" s="1349"/>
      <c r="D344" s="1229"/>
      <c r="E344" s="1229"/>
      <c r="F344" s="1229"/>
      <c r="G344" s="1229"/>
      <c r="H344" s="1229"/>
      <c r="I344" s="1229"/>
      <c r="J344" s="1229"/>
      <c r="K344" s="1229"/>
      <c r="L344" s="1229"/>
      <c r="M344" s="1229"/>
      <c r="N344" s="1337"/>
      <c r="O344" s="1337"/>
      <c r="P344" s="1229"/>
      <c r="Q344" s="1229"/>
      <c r="R344" s="1229"/>
      <c r="S344" s="1229"/>
      <c r="T344" s="1337"/>
      <c r="U344" s="1337"/>
      <c r="V344" s="1229"/>
      <c r="W344" s="1229"/>
      <c r="X344" s="1229"/>
      <c r="Y344" s="1229"/>
      <c r="Z344" s="1337"/>
      <c r="AA344" s="1337"/>
      <c r="AB344" s="1229"/>
      <c r="AC344" s="1229"/>
      <c r="AD344" s="1229"/>
      <c r="AE344" s="1229"/>
      <c r="AF344" s="1337"/>
      <c r="AG344" s="1337"/>
      <c r="AH344" s="1229"/>
      <c r="AI344" s="1229"/>
      <c r="AJ344" s="1229"/>
      <c r="AK344" s="1229"/>
      <c r="AL344" s="1337"/>
      <c r="AM344" s="1337"/>
      <c r="AN344" s="1229"/>
      <c r="AO344" s="1229"/>
      <c r="AP344" s="1229"/>
      <c r="AQ344" s="1229"/>
      <c r="AR344" s="1337"/>
      <c r="AS344" s="1337"/>
      <c r="AT344" s="1229"/>
      <c r="AU344" s="1229"/>
      <c r="AV344" s="1229"/>
      <c r="AW344" s="1229"/>
      <c r="AX344" s="1337"/>
      <c r="AY344" s="1337"/>
      <c r="AZ344" s="1229"/>
      <c r="BA344" s="1229"/>
      <c r="BB344" s="1229"/>
      <c r="BC344" s="1229"/>
      <c r="BD344" s="1337"/>
      <c r="BE344" s="1337"/>
      <c r="BF344" s="1229"/>
      <c r="BG344" s="1229"/>
      <c r="BH344" s="1229"/>
      <c r="BI344" s="1222"/>
      <c r="BJ344" s="1338"/>
      <c r="BK344" s="1338"/>
      <c r="BL344" s="1222"/>
      <c r="BM344" s="1222"/>
      <c r="BN344" s="1222"/>
      <c r="BO344" s="1222"/>
    </row>
    <row r="345">
      <c r="A345" s="1222"/>
      <c r="B345" s="1229"/>
      <c r="C345" s="1349"/>
      <c r="D345" s="1229"/>
      <c r="E345" s="1229"/>
      <c r="F345" s="1229"/>
      <c r="G345" s="1229"/>
      <c r="H345" s="1229"/>
      <c r="I345" s="1229"/>
      <c r="J345" s="1229"/>
      <c r="K345" s="1229"/>
      <c r="L345" s="1229"/>
      <c r="M345" s="1229"/>
      <c r="N345" s="1337"/>
      <c r="O345" s="1337"/>
      <c r="P345" s="1229"/>
      <c r="Q345" s="1229"/>
      <c r="R345" s="1229"/>
      <c r="S345" s="1229"/>
      <c r="T345" s="1337"/>
      <c r="U345" s="1337"/>
      <c r="V345" s="1229"/>
      <c r="W345" s="1229"/>
      <c r="X345" s="1229"/>
      <c r="Y345" s="1229"/>
      <c r="Z345" s="1337"/>
      <c r="AA345" s="1337"/>
      <c r="AB345" s="1229"/>
      <c r="AC345" s="1229"/>
      <c r="AD345" s="1229"/>
      <c r="AE345" s="1229"/>
      <c r="AF345" s="1337"/>
      <c r="AG345" s="1337"/>
      <c r="AH345" s="1229"/>
      <c r="AI345" s="1229"/>
      <c r="AJ345" s="1229"/>
      <c r="AK345" s="1229"/>
      <c r="AL345" s="1337"/>
      <c r="AM345" s="1337"/>
      <c r="AN345" s="1229"/>
      <c r="AO345" s="1229"/>
      <c r="AP345" s="1229"/>
      <c r="AQ345" s="1229"/>
      <c r="AR345" s="1337"/>
      <c r="AS345" s="1337"/>
      <c r="AT345" s="1229"/>
      <c r="AU345" s="1229"/>
      <c r="AV345" s="1229"/>
      <c r="AW345" s="1229"/>
      <c r="AX345" s="1337"/>
      <c r="AY345" s="1337"/>
      <c r="AZ345" s="1229"/>
      <c r="BA345" s="1229"/>
      <c r="BB345" s="1229"/>
      <c r="BC345" s="1229"/>
      <c r="BD345" s="1337"/>
      <c r="BE345" s="1337"/>
      <c r="BF345" s="1229"/>
      <c r="BG345" s="1229"/>
      <c r="BH345" s="1229"/>
      <c r="BI345" s="1222"/>
      <c r="BJ345" s="1338"/>
      <c r="BK345" s="1338"/>
      <c r="BL345" s="1222"/>
      <c r="BM345" s="1222"/>
      <c r="BN345" s="1222"/>
      <c r="BO345" s="1222"/>
    </row>
    <row r="346" ht="7.5" customHeight="1">
      <c r="A346" s="1222"/>
      <c r="B346" s="1229"/>
      <c r="C346" s="1349"/>
      <c r="D346" s="1229"/>
      <c r="E346" s="1229"/>
      <c r="F346" s="1229"/>
      <c r="G346" s="1229"/>
      <c r="H346" s="1229"/>
      <c r="I346" s="1229"/>
      <c r="J346" s="1229"/>
      <c r="K346" s="1229"/>
      <c r="L346" s="1229"/>
      <c r="M346" s="1229"/>
      <c r="N346" s="1337"/>
      <c r="O346" s="1337"/>
      <c r="P346" s="1229"/>
      <c r="Q346" s="1229"/>
      <c r="R346" s="1229"/>
      <c r="S346" s="1229"/>
      <c r="T346" s="1337"/>
      <c r="U346" s="1337"/>
      <c r="V346" s="1229"/>
      <c r="W346" s="1229"/>
      <c r="X346" s="1229"/>
      <c r="Y346" s="1229"/>
      <c r="Z346" s="1337"/>
      <c r="AA346" s="1337"/>
      <c r="AB346" s="1229"/>
      <c r="AC346" s="1229"/>
      <c r="AD346" s="1229"/>
      <c r="AE346" s="1229"/>
      <c r="AF346" s="1337"/>
      <c r="AG346" s="1337"/>
      <c r="AH346" s="1229"/>
      <c r="AI346" s="1229"/>
      <c r="AJ346" s="1229"/>
      <c r="AK346" s="1229"/>
      <c r="AL346" s="1337"/>
      <c r="AM346" s="1337"/>
      <c r="AN346" s="1229"/>
      <c r="AO346" s="1229"/>
      <c r="AP346" s="1229"/>
      <c r="AQ346" s="1229"/>
      <c r="AR346" s="1337"/>
      <c r="AS346" s="1337"/>
      <c r="AT346" s="1229"/>
      <c r="AU346" s="1229"/>
      <c r="AV346" s="1229"/>
      <c r="AW346" s="1229"/>
      <c r="AX346" s="1337"/>
      <c r="AY346" s="1337"/>
      <c r="AZ346" s="1229"/>
      <c r="BA346" s="1229"/>
      <c r="BB346" s="1229"/>
      <c r="BC346" s="1229"/>
      <c r="BD346" s="1337"/>
      <c r="BE346" s="1337"/>
      <c r="BF346" s="1229"/>
      <c r="BG346" s="1229"/>
      <c r="BH346" s="1229"/>
      <c r="BI346" s="1222"/>
      <c r="BJ346" s="1338"/>
      <c r="BK346" s="1338"/>
      <c r="BL346" s="1222"/>
      <c r="BM346" s="1222"/>
      <c r="BN346" s="1222"/>
      <c r="BO346" s="1222"/>
    </row>
    <row r="347">
      <c r="A347" s="1222"/>
      <c r="B347" s="1229"/>
      <c r="C347" s="1349"/>
      <c r="D347" s="1229"/>
      <c r="E347" s="1229"/>
      <c r="F347" s="1229"/>
      <c r="G347" s="1229"/>
      <c r="H347" s="1229"/>
      <c r="I347" s="1229"/>
      <c r="J347" s="1229"/>
      <c r="K347" s="1229"/>
      <c r="L347" s="1229"/>
      <c r="M347" s="1229"/>
      <c r="N347" s="1337"/>
      <c r="O347" s="1337"/>
      <c r="P347" s="1229"/>
      <c r="Q347" s="1229"/>
      <c r="R347" s="1229"/>
      <c r="S347" s="1229"/>
      <c r="T347" s="1337"/>
      <c r="U347" s="1337"/>
      <c r="V347" s="1229"/>
      <c r="W347" s="1229"/>
      <c r="X347" s="1229"/>
      <c r="Y347" s="1229"/>
      <c r="Z347" s="1337"/>
      <c r="AA347" s="1337"/>
      <c r="AB347" s="1229"/>
      <c r="AC347" s="1229"/>
      <c r="AD347" s="1229"/>
      <c r="AE347" s="1229"/>
      <c r="AF347" s="1337"/>
      <c r="AG347" s="1337"/>
      <c r="AH347" s="1229"/>
      <c r="AI347" s="1229"/>
      <c r="AJ347" s="1229"/>
      <c r="AK347" s="1229"/>
      <c r="AL347" s="1337"/>
      <c r="AM347" s="1337"/>
      <c r="AN347" s="1229"/>
      <c r="AO347" s="1229"/>
      <c r="AP347" s="1229"/>
      <c r="AQ347" s="1229"/>
      <c r="AR347" s="1337"/>
      <c r="AS347" s="1337"/>
      <c r="AT347" s="1229"/>
      <c r="AU347" s="1229"/>
      <c r="AV347" s="1229"/>
      <c r="AW347" s="1229"/>
      <c r="AX347" s="1337"/>
      <c r="AY347" s="1337"/>
      <c r="AZ347" s="1229"/>
      <c r="BA347" s="1229"/>
      <c r="BB347" s="1229"/>
      <c r="BC347" s="1229"/>
      <c r="BD347" s="1337"/>
      <c r="BE347" s="1337"/>
      <c r="BF347" s="1229"/>
      <c r="BG347" s="1229"/>
      <c r="BH347" s="1229"/>
      <c r="BI347" s="1222"/>
      <c r="BJ347" s="1338"/>
      <c r="BK347" s="1338"/>
      <c r="BL347" s="1222"/>
      <c r="BM347" s="1222"/>
      <c r="BN347" s="1222"/>
      <c r="BO347" s="1222"/>
    </row>
    <row r="348" ht="7.5" customHeight="1">
      <c r="A348" s="1222"/>
      <c r="B348" s="1229"/>
      <c r="C348" s="1349"/>
      <c r="D348" s="1229"/>
      <c r="E348" s="1229"/>
      <c r="F348" s="1229"/>
      <c r="G348" s="1229"/>
      <c r="H348" s="1229"/>
      <c r="I348" s="1229"/>
      <c r="J348" s="1229"/>
      <c r="K348" s="1229"/>
      <c r="L348" s="1229"/>
      <c r="M348" s="1229"/>
      <c r="N348" s="1337"/>
      <c r="O348" s="1337"/>
      <c r="P348" s="1229"/>
      <c r="Q348" s="1229"/>
      <c r="R348" s="1229"/>
      <c r="S348" s="1229"/>
      <c r="T348" s="1337"/>
      <c r="U348" s="1337"/>
      <c r="V348" s="1229"/>
      <c r="W348" s="1229"/>
      <c r="X348" s="1229"/>
      <c r="Y348" s="1229"/>
      <c r="Z348" s="1337"/>
      <c r="AA348" s="1337"/>
      <c r="AB348" s="1229"/>
      <c r="AC348" s="1229"/>
      <c r="AD348" s="1229"/>
      <c r="AE348" s="1229"/>
      <c r="AF348" s="1337"/>
      <c r="AG348" s="1337"/>
      <c r="AH348" s="1229"/>
      <c r="AI348" s="1229"/>
      <c r="AJ348" s="1229"/>
      <c r="AK348" s="1229"/>
      <c r="AL348" s="1337"/>
      <c r="AM348" s="1337"/>
      <c r="AN348" s="1229"/>
      <c r="AO348" s="1229"/>
      <c r="AP348" s="1229"/>
      <c r="AQ348" s="1229"/>
      <c r="AR348" s="1337"/>
      <c r="AS348" s="1337"/>
      <c r="AT348" s="1229"/>
      <c r="AU348" s="1229"/>
      <c r="AV348" s="1229"/>
      <c r="AW348" s="1229"/>
      <c r="AX348" s="1337"/>
      <c r="AY348" s="1337"/>
      <c r="AZ348" s="1229"/>
      <c r="BA348" s="1229"/>
      <c r="BB348" s="1229"/>
      <c r="BC348" s="1229"/>
      <c r="BD348" s="1337"/>
      <c r="BE348" s="1337"/>
      <c r="BF348" s="1229"/>
      <c r="BG348" s="1229"/>
      <c r="BH348" s="1229"/>
      <c r="BI348" s="1222"/>
      <c r="BJ348" s="1338"/>
      <c r="BK348" s="1338"/>
      <c r="BL348" s="1222"/>
      <c r="BM348" s="1222"/>
      <c r="BN348" s="1222"/>
      <c r="BO348" s="1222"/>
    </row>
    <row r="349">
      <c r="A349" s="1222"/>
      <c r="B349" s="1229"/>
      <c r="C349" s="1349"/>
      <c r="D349" s="1229"/>
      <c r="E349" s="1229"/>
      <c r="F349" s="1229"/>
      <c r="G349" s="1229"/>
      <c r="H349" s="1229"/>
      <c r="I349" s="1229"/>
      <c r="J349" s="1229"/>
      <c r="K349" s="1229"/>
      <c r="L349" s="1229"/>
      <c r="M349" s="1229"/>
      <c r="N349" s="1337"/>
      <c r="O349" s="1337"/>
      <c r="P349" s="1229"/>
      <c r="Q349" s="1229"/>
      <c r="R349" s="1229"/>
      <c r="S349" s="1229"/>
      <c r="T349" s="1337"/>
      <c r="U349" s="1337"/>
      <c r="V349" s="1229"/>
      <c r="W349" s="1229"/>
      <c r="X349" s="1229"/>
      <c r="Y349" s="1229"/>
      <c r="Z349" s="1337"/>
      <c r="AA349" s="1337"/>
      <c r="AB349" s="1229"/>
      <c r="AC349" s="1229"/>
      <c r="AD349" s="1229"/>
      <c r="AE349" s="1229"/>
      <c r="AF349" s="1337"/>
      <c r="AG349" s="1337"/>
      <c r="AH349" s="1229"/>
      <c r="AI349" s="1229"/>
      <c r="AJ349" s="1229"/>
      <c r="AK349" s="1229"/>
      <c r="AL349" s="1337"/>
      <c r="AM349" s="1337"/>
      <c r="AN349" s="1229"/>
      <c r="AO349" s="1229"/>
      <c r="AP349" s="1229"/>
      <c r="AQ349" s="1229"/>
      <c r="AR349" s="1337"/>
      <c r="AS349" s="1337"/>
      <c r="AT349" s="1229"/>
      <c r="AU349" s="1229"/>
      <c r="AV349" s="1229"/>
      <c r="AW349" s="1229"/>
      <c r="AX349" s="1337"/>
      <c r="AY349" s="1337"/>
      <c r="AZ349" s="1229"/>
      <c r="BA349" s="1229"/>
      <c r="BB349" s="1229"/>
      <c r="BC349" s="1229"/>
      <c r="BD349" s="1337"/>
      <c r="BE349" s="1337"/>
      <c r="BF349" s="1229"/>
      <c r="BG349" s="1229"/>
      <c r="BH349" s="1229"/>
      <c r="BI349" s="1222"/>
      <c r="BJ349" s="1338"/>
      <c r="BK349" s="1338"/>
      <c r="BL349" s="1222"/>
      <c r="BM349" s="1222"/>
      <c r="BN349" s="1222"/>
      <c r="BO349" s="1222"/>
    </row>
    <row r="350" ht="7.5" customHeight="1">
      <c r="A350" s="1222"/>
      <c r="B350" s="1229"/>
      <c r="C350" s="1349"/>
      <c r="D350" s="1229"/>
      <c r="E350" s="1229"/>
      <c r="F350" s="1229"/>
      <c r="G350" s="1229"/>
      <c r="H350" s="1229"/>
      <c r="I350" s="1229"/>
      <c r="J350" s="1229"/>
      <c r="K350" s="1229"/>
      <c r="L350" s="1229"/>
      <c r="M350" s="1229"/>
      <c r="N350" s="1337"/>
      <c r="O350" s="1337"/>
      <c r="P350" s="1229"/>
      <c r="Q350" s="1229"/>
      <c r="R350" s="1229"/>
      <c r="S350" s="1229"/>
      <c r="T350" s="1337"/>
      <c r="U350" s="1337"/>
      <c r="V350" s="1229"/>
      <c r="W350" s="1229"/>
      <c r="X350" s="1229"/>
      <c r="Y350" s="1229"/>
      <c r="Z350" s="1337"/>
      <c r="AA350" s="1337"/>
      <c r="AB350" s="1229"/>
      <c r="AC350" s="1229"/>
      <c r="AD350" s="1229"/>
      <c r="AE350" s="1229"/>
      <c r="AF350" s="1337"/>
      <c r="AG350" s="1337"/>
      <c r="AH350" s="1229"/>
      <c r="AI350" s="1229"/>
      <c r="AJ350" s="1229"/>
      <c r="AK350" s="1229"/>
      <c r="AL350" s="1337"/>
      <c r="AM350" s="1337"/>
      <c r="AN350" s="1229"/>
      <c r="AO350" s="1229"/>
      <c r="AP350" s="1229"/>
      <c r="AQ350" s="1229"/>
      <c r="AR350" s="1337"/>
      <c r="AS350" s="1337"/>
      <c r="AT350" s="1229"/>
      <c r="AU350" s="1229"/>
      <c r="AV350" s="1229"/>
      <c r="AW350" s="1229"/>
      <c r="AX350" s="1337"/>
      <c r="AY350" s="1337"/>
      <c r="AZ350" s="1229"/>
      <c r="BA350" s="1229"/>
      <c r="BB350" s="1229"/>
      <c r="BC350" s="1229"/>
      <c r="BD350" s="1337"/>
      <c r="BE350" s="1337"/>
      <c r="BF350" s="1229"/>
      <c r="BG350" s="1229"/>
      <c r="BH350" s="1229"/>
      <c r="BI350" s="1222"/>
      <c r="BJ350" s="1338"/>
      <c r="BK350" s="1338"/>
      <c r="BL350" s="1222"/>
      <c r="BM350" s="1222"/>
      <c r="BN350" s="1222"/>
      <c r="BO350" s="1222"/>
    </row>
    <row r="351">
      <c r="A351" s="1222"/>
      <c r="B351" s="1229"/>
      <c r="C351" s="1349"/>
      <c r="D351" s="1229"/>
      <c r="E351" s="1229"/>
      <c r="F351" s="1229"/>
      <c r="G351" s="1229"/>
      <c r="H351" s="1229"/>
      <c r="I351" s="1229"/>
      <c r="J351" s="1229"/>
      <c r="K351" s="1229"/>
      <c r="L351" s="1229"/>
      <c r="M351" s="1229"/>
      <c r="N351" s="1337"/>
      <c r="O351" s="1337"/>
      <c r="P351" s="1229"/>
      <c r="Q351" s="1229"/>
      <c r="R351" s="1229"/>
      <c r="S351" s="1229"/>
      <c r="T351" s="1337"/>
      <c r="U351" s="1337"/>
      <c r="V351" s="1229"/>
      <c r="W351" s="1229"/>
      <c r="X351" s="1229"/>
      <c r="Y351" s="1229"/>
      <c r="Z351" s="1337"/>
      <c r="AA351" s="1337"/>
      <c r="AB351" s="1229"/>
      <c r="AC351" s="1229"/>
      <c r="AD351" s="1229"/>
      <c r="AE351" s="1229"/>
      <c r="AF351" s="1337"/>
      <c r="AG351" s="1337"/>
      <c r="AH351" s="1229"/>
      <c r="AI351" s="1229"/>
      <c r="AJ351" s="1229"/>
      <c r="AK351" s="1229"/>
      <c r="AL351" s="1337"/>
      <c r="AM351" s="1337"/>
      <c r="AN351" s="1229"/>
      <c r="AO351" s="1229"/>
      <c r="AP351" s="1229"/>
      <c r="AQ351" s="1229"/>
      <c r="AR351" s="1337"/>
      <c r="AS351" s="1337"/>
      <c r="AT351" s="1229"/>
      <c r="AU351" s="1229"/>
      <c r="AV351" s="1229"/>
      <c r="AW351" s="1229"/>
      <c r="AX351" s="1337"/>
      <c r="AY351" s="1337"/>
      <c r="AZ351" s="1229"/>
      <c r="BA351" s="1229"/>
      <c r="BB351" s="1229"/>
      <c r="BC351" s="1229"/>
      <c r="BD351" s="1337"/>
      <c r="BE351" s="1337"/>
      <c r="BF351" s="1229"/>
      <c r="BG351" s="1229"/>
      <c r="BH351" s="1229"/>
      <c r="BI351" s="1222"/>
      <c r="BJ351" s="1338"/>
      <c r="BK351" s="1338"/>
      <c r="BL351" s="1222"/>
      <c r="BM351" s="1222"/>
      <c r="BN351" s="1222"/>
      <c r="BO351" s="1222"/>
    </row>
    <row r="352" ht="7.5" customHeight="1">
      <c r="A352" s="1222"/>
      <c r="B352" s="1229"/>
      <c r="C352" s="1349"/>
      <c r="D352" s="1229"/>
      <c r="E352" s="1229"/>
      <c r="F352" s="1229"/>
      <c r="G352" s="1229"/>
      <c r="H352" s="1229"/>
      <c r="I352" s="1229"/>
      <c r="J352" s="1229"/>
      <c r="K352" s="1229"/>
      <c r="L352" s="1229"/>
      <c r="M352" s="1229"/>
      <c r="N352" s="1337"/>
      <c r="O352" s="1337"/>
      <c r="P352" s="1229"/>
      <c r="Q352" s="1229"/>
      <c r="R352" s="1229"/>
      <c r="S352" s="1229"/>
      <c r="T352" s="1337"/>
      <c r="U352" s="1337"/>
      <c r="V352" s="1229"/>
      <c r="W352" s="1229"/>
      <c r="X352" s="1229"/>
      <c r="Y352" s="1229"/>
      <c r="Z352" s="1337"/>
      <c r="AA352" s="1337"/>
      <c r="AB352" s="1229"/>
      <c r="AC352" s="1229"/>
      <c r="AD352" s="1229"/>
      <c r="AE352" s="1229"/>
      <c r="AF352" s="1337"/>
      <c r="AG352" s="1337"/>
      <c r="AH352" s="1229"/>
      <c r="AI352" s="1229"/>
      <c r="AJ352" s="1229"/>
      <c r="AK352" s="1229"/>
      <c r="AL352" s="1337"/>
      <c r="AM352" s="1337"/>
      <c r="AN352" s="1229"/>
      <c r="AO352" s="1229"/>
      <c r="AP352" s="1229"/>
      <c r="AQ352" s="1229"/>
      <c r="AR352" s="1337"/>
      <c r="AS352" s="1337"/>
      <c r="AT352" s="1229"/>
      <c r="AU352" s="1229"/>
      <c r="AV352" s="1229"/>
      <c r="AW352" s="1229"/>
      <c r="AX352" s="1337"/>
      <c r="AY352" s="1337"/>
      <c r="AZ352" s="1229"/>
      <c r="BA352" s="1229"/>
      <c r="BB352" s="1229"/>
      <c r="BC352" s="1229"/>
      <c r="BD352" s="1337"/>
      <c r="BE352" s="1337"/>
      <c r="BF352" s="1229"/>
      <c r="BG352" s="1229"/>
      <c r="BH352" s="1229"/>
      <c r="BI352" s="1222"/>
      <c r="BJ352" s="1338"/>
      <c r="BK352" s="1338"/>
      <c r="BL352" s="1222"/>
      <c r="BM352" s="1222"/>
      <c r="BN352" s="1222"/>
      <c r="BO352" s="1222"/>
    </row>
    <row r="353">
      <c r="A353" s="1222"/>
      <c r="B353" s="1229"/>
      <c r="C353" s="1349"/>
      <c r="D353" s="1229"/>
      <c r="E353" s="1229"/>
      <c r="F353" s="1229"/>
      <c r="G353" s="1229"/>
      <c r="H353" s="1229"/>
      <c r="I353" s="1229"/>
      <c r="J353" s="1229"/>
      <c r="K353" s="1229"/>
      <c r="L353" s="1229"/>
      <c r="M353" s="1229"/>
      <c r="N353" s="1337"/>
      <c r="O353" s="1337"/>
      <c r="P353" s="1229"/>
      <c r="Q353" s="1229"/>
      <c r="R353" s="1229"/>
      <c r="S353" s="1229"/>
      <c r="T353" s="1337"/>
      <c r="U353" s="1337"/>
      <c r="V353" s="1229"/>
      <c r="W353" s="1229"/>
      <c r="X353" s="1229"/>
      <c r="Y353" s="1229"/>
      <c r="Z353" s="1337"/>
      <c r="AA353" s="1337"/>
      <c r="AB353" s="1229"/>
      <c r="AC353" s="1229"/>
      <c r="AD353" s="1229"/>
      <c r="AE353" s="1229"/>
      <c r="AF353" s="1337"/>
      <c r="AG353" s="1337"/>
      <c r="AH353" s="1229"/>
      <c r="AI353" s="1229"/>
      <c r="AJ353" s="1229"/>
      <c r="AK353" s="1229"/>
      <c r="AL353" s="1337"/>
      <c r="AM353" s="1337"/>
      <c r="AN353" s="1229"/>
      <c r="AO353" s="1229"/>
      <c r="AP353" s="1229"/>
      <c r="AQ353" s="1229"/>
      <c r="AR353" s="1337"/>
      <c r="AS353" s="1337"/>
      <c r="AT353" s="1229"/>
      <c r="AU353" s="1229"/>
      <c r="AV353" s="1229"/>
      <c r="AW353" s="1229"/>
      <c r="AX353" s="1337"/>
      <c r="AY353" s="1337"/>
      <c r="AZ353" s="1229"/>
      <c r="BA353" s="1229"/>
      <c r="BB353" s="1229"/>
      <c r="BC353" s="1229"/>
      <c r="BD353" s="1337"/>
      <c r="BE353" s="1337"/>
      <c r="BF353" s="1229"/>
      <c r="BG353" s="1229"/>
      <c r="BH353" s="1229"/>
      <c r="BI353" s="1222"/>
      <c r="BJ353" s="1338"/>
      <c r="BK353" s="1338"/>
      <c r="BL353" s="1222"/>
      <c r="BM353" s="1222"/>
      <c r="BN353" s="1222"/>
      <c r="BO353" s="1222"/>
    </row>
    <row r="354" ht="7.5" customHeight="1">
      <c r="A354" s="1222"/>
      <c r="B354" s="1229"/>
      <c r="C354" s="1349"/>
      <c r="D354" s="1229"/>
      <c r="E354" s="1229"/>
      <c r="F354" s="1229"/>
      <c r="G354" s="1229"/>
      <c r="H354" s="1229"/>
      <c r="I354" s="1229"/>
      <c r="J354" s="1229"/>
      <c r="K354" s="1229"/>
      <c r="L354" s="1229"/>
      <c r="M354" s="1229"/>
      <c r="N354" s="1337"/>
      <c r="O354" s="1337"/>
      <c r="P354" s="1229"/>
      <c r="Q354" s="1229"/>
      <c r="R354" s="1229"/>
      <c r="S354" s="1229"/>
      <c r="T354" s="1337"/>
      <c r="U354" s="1337"/>
      <c r="V354" s="1229"/>
      <c r="W354" s="1229"/>
      <c r="X354" s="1229"/>
      <c r="Y354" s="1229"/>
      <c r="Z354" s="1337"/>
      <c r="AA354" s="1337"/>
      <c r="AB354" s="1229"/>
      <c r="AC354" s="1229"/>
      <c r="AD354" s="1229"/>
      <c r="AE354" s="1229"/>
      <c r="AF354" s="1337"/>
      <c r="AG354" s="1337"/>
      <c r="AH354" s="1229"/>
      <c r="AI354" s="1229"/>
      <c r="AJ354" s="1229"/>
      <c r="AK354" s="1229"/>
      <c r="AL354" s="1337"/>
      <c r="AM354" s="1337"/>
      <c r="AN354" s="1229"/>
      <c r="AO354" s="1229"/>
      <c r="AP354" s="1229"/>
      <c r="AQ354" s="1229"/>
      <c r="AR354" s="1337"/>
      <c r="AS354" s="1337"/>
      <c r="AT354" s="1229"/>
      <c r="AU354" s="1229"/>
      <c r="AV354" s="1229"/>
      <c r="AW354" s="1229"/>
      <c r="AX354" s="1337"/>
      <c r="AY354" s="1337"/>
      <c r="AZ354" s="1229"/>
      <c r="BA354" s="1229"/>
      <c r="BB354" s="1229"/>
      <c r="BC354" s="1229"/>
      <c r="BD354" s="1337"/>
      <c r="BE354" s="1337"/>
      <c r="BF354" s="1229"/>
      <c r="BG354" s="1229"/>
      <c r="BH354" s="1229"/>
      <c r="BI354" s="1222"/>
      <c r="BJ354" s="1338"/>
      <c r="BK354" s="1338"/>
      <c r="BL354" s="1222"/>
      <c r="BM354" s="1222"/>
      <c r="BN354" s="1222"/>
      <c r="BO354" s="1222"/>
    </row>
    <row r="355">
      <c r="A355" s="1222"/>
      <c r="B355" s="1229"/>
      <c r="C355" s="1349"/>
      <c r="D355" s="1229"/>
      <c r="E355" s="1229"/>
      <c r="F355" s="1229"/>
      <c r="G355" s="1229"/>
      <c r="H355" s="1229"/>
      <c r="I355" s="1229"/>
      <c r="J355" s="1229"/>
      <c r="K355" s="1229"/>
      <c r="L355" s="1229"/>
      <c r="M355" s="1229"/>
      <c r="N355" s="1337"/>
      <c r="O355" s="1337"/>
      <c r="P355" s="1229"/>
      <c r="Q355" s="1229"/>
      <c r="R355" s="1229"/>
      <c r="S355" s="1229"/>
      <c r="T355" s="1337"/>
      <c r="U355" s="1337"/>
      <c r="V355" s="1229"/>
      <c r="W355" s="1229"/>
      <c r="X355" s="1229"/>
      <c r="Y355" s="1229"/>
      <c r="Z355" s="1337"/>
      <c r="AA355" s="1337"/>
      <c r="AB355" s="1229"/>
      <c r="AC355" s="1229"/>
      <c r="AD355" s="1229"/>
      <c r="AE355" s="1229"/>
      <c r="AF355" s="1337"/>
      <c r="AG355" s="1337"/>
      <c r="AH355" s="1229"/>
      <c r="AI355" s="1229"/>
      <c r="AJ355" s="1229"/>
      <c r="AK355" s="1229"/>
      <c r="AL355" s="1337"/>
      <c r="AM355" s="1337"/>
      <c r="AN355" s="1229"/>
      <c r="AO355" s="1229"/>
      <c r="AP355" s="1229"/>
      <c r="AQ355" s="1229"/>
      <c r="AR355" s="1337"/>
      <c r="AS355" s="1337"/>
      <c r="AT355" s="1229"/>
      <c r="AU355" s="1229"/>
      <c r="AV355" s="1229"/>
      <c r="AW355" s="1229"/>
      <c r="AX355" s="1337"/>
      <c r="AY355" s="1337"/>
      <c r="AZ355" s="1229"/>
      <c r="BA355" s="1229"/>
      <c r="BB355" s="1229"/>
      <c r="BC355" s="1229"/>
      <c r="BD355" s="1337"/>
      <c r="BE355" s="1337"/>
      <c r="BF355" s="1229"/>
      <c r="BG355" s="1229"/>
      <c r="BH355" s="1229"/>
      <c r="BI355" s="1222"/>
      <c r="BJ355" s="1338"/>
      <c r="BK355" s="1338"/>
      <c r="BL355" s="1222"/>
      <c r="BM355" s="1222"/>
      <c r="BN355" s="1222"/>
      <c r="BO355" s="1222"/>
    </row>
    <row r="356" ht="7.5" customHeight="1">
      <c r="A356" s="1222"/>
      <c r="B356" s="1229"/>
      <c r="C356" s="1349"/>
      <c r="D356" s="1229"/>
      <c r="E356" s="1229"/>
      <c r="F356" s="1229"/>
      <c r="G356" s="1229"/>
      <c r="H356" s="1229"/>
      <c r="I356" s="1229"/>
      <c r="J356" s="1229"/>
      <c r="K356" s="1229"/>
      <c r="L356" s="1229"/>
      <c r="M356" s="1229"/>
      <c r="N356" s="1337"/>
      <c r="O356" s="1337"/>
      <c r="P356" s="1229"/>
      <c r="Q356" s="1229"/>
      <c r="R356" s="1229"/>
      <c r="S356" s="1229"/>
      <c r="T356" s="1337"/>
      <c r="U356" s="1337"/>
      <c r="V356" s="1229"/>
      <c r="W356" s="1229"/>
      <c r="X356" s="1229"/>
      <c r="Y356" s="1229"/>
      <c r="Z356" s="1337"/>
      <c r="AA356" s="1337"/>
      <c r="AB356" s="1229"/>
      <c r="AC356" s="1229"/>
      <c r="AD356" s="1229"/>
      <c r="AE356" s="1229"/>
      <c r="AF356" s="1337"/>
      <c r="AG356" s="1337"/>
      <c r="AH356" s="1229"/>
      <c r="AI356" s="1229"/>
      <c r="AJ356" s="1229"/>
      <c r="AK356" s="1229"/>
      <c r="AL356" s="1337"/>
      <c r="AM356" s="1337"/>
      <c r="AN356" s="1229"/>
      <c r="AO356" s="1229"/>
      <c r="AP356" s="1229"/>
      <c r="AQ356" s="1229"/>
      <c r="AR356" s="1337"/>
      <c r="AS356" s="1337"/>
      <c r="AT356" s="1229"/>
      <c r="AU356" s="1229"/>
      <c r="AV356" s="1229"/>
      <c r="AW356" s="1229"/>
      <c r="AX356" s="1337"/>
      <c r="AY356" s="1337"/>
      <c r="AZ356" s="1229"/>
      <c r="BA356" s="1229"/>
      <c r="BB356" s="1229"/>
      <c r="BC356" s="1229"/>
      <c r="BD356" s="1337"/>
      <c r="BE356" s="1337"/>
      <c r="BF356" s="1229"/>
      <c r="BG356" s="1229"/>
      <c r="BH356" s="1229"/>
      <c r="BI356" s="1222"/>
      <c r="BJ356" s="1338"/>
      <c r="BK356" s="1338"/>
      <c r="BL356" s="1222"/>
      <c r="BM356" s="1222"/>
      <c r="BN356" s="1222"/>
      <c r="BO356" s="1222"/>
    </row>
    <row r="357">
      <c r="A357" s="1222"/>
      <c r="B357" s="1229"/>
      <c r="C357" s="1349"/>
      <c r="D357" s="1229"/>
      <c r="E357" s="1229"/>
      <c r="F357" s="1229"/>
      <c r="G357" s="1229"/>
      <c r="H357" s="1229"/>
      <c r="I357" s="1229"/>
      <c r="J357" s="1229"/>
      <c r="K357" s="1229"/>
      <c r="L357" s="1229"/>
      <c r="M357" s="1229"/>
      <c r="N357" s="1337"/>
      <c r="O357" s="1337"/>
      <c r="P357" s="1229"/>
      <c r="Q357" s="1229"/>
      <c r="R357" s="1229"/>
      <c r="S357" s="1229"/>
      <c r="T357" s="1337"/>
      <c r="U357" s="1337"/>
      <c r="V357" s="1229"/>
      <c r="W357" s="1229"/>
      <c r="X357" s="1229"/>
      <c r="Y357" s="1229"/>
      <c r="Z357" s="1337"/>
      <c r="AA357" s="1337"/>
      <c r="AB357" s="1229"/>
      <c r="AC357" s="1229"/>
      <c r="AD357" s="1229"/>
      <c r="AE357" s="1229"/>
      <c r="AF357" s="1337"/>
      <c r="AG357" s="1337"/>
      <c r="AH357" s="1229"/>
      <c r="AI357" s="1229"/>
      <c r="AJ357" s="1229"/>
      <c r="AK357" s="1229"/>
      <c r="AL357" s="1337"/>
      <c r="AM357" s="1337"/>
      <c r="AN357" s="1229"/>
      <c r="AO357" s="1229"/>
      <c r="AP357" s="1229"/>
      <c r="AQ357" s="1229"/>
      <c r="AR357" s="1337"/>
      <c r="AS357" s="1337"/>
      <c r="AT357" s="1229"/>
      <c r="AU357" s="1229"/>
      <c r="AV357" s="1229"/>
      <c r="AW357" s="1229"/>
      <c r="AX357" s="1337"/>
      <c r="AY357" s="1337"/>
      <c r="AZ357" s="1229"/>
      <c r="BA357" s="1229"/>
      <c r="BB357" s="1229"/>
      <c r="BC357" s="1229"/>
      <c r="BD357" s="1337"/>
      <c r="BE357" s="1337"/>
      <c r="BF357" s="1229"/>
      <c r="BG357" s="1229"/>
      <c r="BH357" s="1229"/>
      <c r="BI357" s="1222"/>
      <c r="BJ357" s="1338"/>
      <c r="BK357" s="1338"/>
      <c r="BL357" s="1222"/>
      <c r="BM357" s="1222"/>
      <c r="BN357" s="1222"/>
      <c r="BO357" s="1222"/>
    </row>
    <row r="358" ht="7.5" customHeight="1">
      <c r="A358" s="1222"/>
      <c r="B358" s="1229"/>
      <c r="C358" s="1349"/>
      <c r="D358" s="1229"/>
      <c r="E358" s="1229"/>
      <c r="F358" s="1229"/>
      <c r="G358" s="1229"/>
      <c r="H358" s="1229"/>
      <c r="I358" s="1229"/>
      <c r="J358" s="1229"/>
      <c r="K358" s="1229"/>
      <c r="L358" s="1229"/>
      <c r="M358" s="1229"/>
      <c r="N358" s="1337"/>
      <c r="O358" s="1337"/>
      <c r="P358" s="1229"/>
      <c r="Q358" s="1229"/>
      <c r="R358" s="1229"/>
      <c r="S358" s="1229"/>
      <c r="T358" s="1337"/>
      <c r="U358" s="1337"/>
      <c r="V358" s="1229"/>
      <c r="W358" s="1229"/>
      <c r="X358" s="1229"/>
      <c r="Y358" s="1229"/>
      <c r="Z358" s="1337"/>
      <c r="AA358" s="1337"/>
      <c r="AB358" s="1229"/>
      <c r="AC358" s="1229"/>
      <c r="AD358" s="1229"/>
      <c r="AE358" s="1229"/>
      <c r="AF358" s="1337"/>
      <c r="AG358" s="1337"/>
      <c r="AH358" s="1229"/>
      <c r="AI358" s="1229"/>
      <c r="AJ358" s="1229"/>
      <c r="AK358" s="1229"/>
      <c r="AL358" s="1337"/>
      <c r="AM358" s="1337"/>
      <c r="AN358" s="1229"/>
      <c r="AO358" s="1229"/>
      <c r="AP358" s="1229"/>
      <c r="AQ358" s="1229"/>
      <c r="AR358" s="1337"/>
      <c r="AS358" s="1337"/>
      <c r="AT358" s="1229"/>
      <c r="AU358" s="1229"/>
      <c r="AV358" s="1229"/>
      <c r="AW358" s="1229"/>
      <c r="AX358" s="1337"/>
      <c r="AY358" s="1337"/>
      <c r="AZ358" s="1229"/>
      <c r="BA358" s="1229"/>
      <c r="BB358" s="1229"/>
      <c r="BC358" s="1229"/>
      <c r="BD358" s="1337"/>
      <c r="BE358" s="1337"/>
      <c r="BF358" s="1229"/>
      <c r="BG358" s="1229"/>
      <c r="BH358" s="1229"/>
      <c r="BI358" s="1222"/>
      <c r="BJ358" s="1338"/>
      <c r="BK358" s="1338"/>
      <c r="BL358" s="1222"/>
      <c r="BM358" s="1222"/>
      <c r="BN358" s="1222"/>
      <c r="BO358" s="1222"/>
    </row>
    <row r="359">
      <c r="A359" s="1222"/>
      <c r="B359" s="1229"/>
      <c r="C359" s="1349"/>
      <c r="D359" s="1229"/>
      <c r="E359" s="1229"/>
      <c r="F359" s="1229"/>
      <c r="G359" s="1229"/>
      <c r="H359" s="1229"/>
      <c r="I359" s="1229"/>
      <c r="J359" s="1229"/>
      <c r="K359" s="1229"/>
      <c r="L359" s="1229"/>
      <c r="M359" s="1229"/>
      <c r="N359" s="1337"/>
      <c r="O359" s="1337"/>
      <c r="P359" s="1229"/>
      <c r="Q359" s="1229"/>
      <c r="R359" s="1229"/>
      <c r="S359" s="1229"/>
      <c r="T359" s="1337"/>
      <c r="U359" s="1337"/>
      <c r="V359" s="1229"/>
      <c r="W359" s="1229"/>
      <c r="X359" s="1229"/>
      <c r="Y359" s="1229"/>
      <c r="Z359" s="1337"/>
      <c r="AA359" s="1337"/>
      <c r="AB359" s="1229"/>
      <c r="AC359" s="1229"/>
      <c r="AD359" s="1229"/>
      <c r="AE359" s="1229"/>
      <c r="AF359" s="1337"/>
      <c r="AG359" s="1337"/>
      <c r="AH359" s="1229"/>
      <c r="AI359" s="1229"/>
      <c r="AJ359" s="1229"/>
      <c r="AK359" s="1229"/>
      <c r="AL359" s="1337"/>
      <c r="AM359" s="1337"/>
      <c r="AN359" s="1229"/>
      <c r="AO359" s="1229"/>
      <c r="AP359" s="1229"/>
      <c r="AQ359" s="1229"/>
      <c r="AR359" s="1337"/>
      <c r="AS359" s="1337"/>
      <c r="AT359" s="1229"/>
      <c r="AU359" s="1229"/>
      <c r="AV359" s="1229"/>
      <c r="AW359" s="1229"/>
      <c r="AX359" s="1337"/>
      <c r="AY359" s="1337"/>
      <c r="AZ359" s="1229"/>
      <c r="BA359" s="1229"/>
      <c r="BB359" s="1229"/>
      <c r="BC359" s="1229"/>
      <c r="BD359" s="1337"/>
      <c r="BE359" s="1337"/>
      <c r="BF359" s="1229"/>
      <c r="BG359" s="1229"/>
      <c r="BH359" s="1229"/>
      <c r="BI359" s="1222"/>
      <c r="BJ359" s="1338"/>
      <c r="BK359" s="1338"/>
      <c r="BL359" s="1222"/>
      <c r="BM359" s="1222"/>
      <c r="BN359" s="1222"/>
      <c r="BO359" s="1222"/>
    </row>
    <row r="360" ht="7.5" customHeight="1">
      <c r="A360" s="1222"/>
      <c r="B360" s="1229"/>
      <c r="C360" s="1349"/>
      <c r="D360" s="1229"/>
      <c r="E360" s="1229"/>
      <c r="F360" s="1229"/>
      <c r="G360" s="1229"/>
      <c r="H360" s="1229"/>
      <c r="I360" s="1229"/>
      <c r="J360" s="1229"/>
      <c r="K360" s="1229"/>
      <c r="L360" s="1229"/>
      <c r="M360" s="1229"/>
      <c r="N360" s="1337"/>
      <c r="O360" s="1337"/>
      <c r="P360" s="1229"/>
      <c r="Q360" s="1229"/>
      <c r="R360" s="1229"/>
      <c r="S360" s="1229"/>
      <c r="T360" s="1337"/>
      <c r="U360" s="1337"/>
      <c r="V360" s="1229"/>
      <c r="W360" s="1229"/>
      <c r="X360" s="1229"/>
      <c r="Y360" s="1229"/>
      <c r="Z360" s="1337"/>
      <c r="AA360" s="1337"/>
      <c r="AB360" s="1229"/>
      <c r="AC360" s="1229"/>
      <c r="AD360" s="1229"/>
      <c r="AE360" s="1229"/>
      <c r="AF360" s="1337"/>
      <c r="AG360" s="1337"/>
      <c r="AH360" s="1229"/>
      <c r="AI360" s="1229"/>
      <c r="AJ360" s="1229"/>
      <c r="AK360" s="1229"/>
      <c r="AL360" s="1337"/>
      <c r="AM360" s="1337"/>
      <c r="AN360" s="1229"/>
      <c r="AO360" s="1229"/>
      <c r="AP360" s="1229"/>
      <c r="AQ360" s="1229"/>
      <c r="AR360" s="1337"/>
      <c r="AS360" s="1337"/>
      <c r="AT360" s="1229"/>
      <c r="AU360" s="1229"/>
      <c r="AV360" s="1229"/>
      <c r="AW360" s="1229"/>
      <c r="AX360" s="1337"/>
      <c r="AY360" s="1337"/>
      <c r="AZ360" s="1229"/>
      <c r="BA360" s="1229"/>
      <c r="BB360" s="1229"/>
      <c r="BC360" s="1229"/>
      <c r="BD360" s="1337"/>
      <c r="BE360" s="1337"/>
      <c r="BF360" s="1229"/>
      <c r="BG360" s="1229"/>
      <c r="BH360" s="1229"/>
      <c r="BI360" s="1222"/>
      <c r="BJ360" s="1338"/>
      <c r="BK360" s="1338"/>
      <c r="BL360" s="1222"/>
      <c r="BM360" s="1222"/>
      <c r="BN360" s="1222"/>
      <c r="BO360" s="1222"/>
    </row>
    <row r="361">
      <c r="A361" s="1222"/>
      <c r="B361" s="1229"/>
      <c r="C361" s="1349"/>
      <c r="D361" s="1229"/>
      <c r="E361" s="1229"/>
      <c r="F361" s="1229"/>
      <c r="G361" s="1229"/>
      <c r="H361" s="1229"/>
      <c r="I361" s="1229"/>
      <c r="J361" s="1229"/>
      <c r="K361" s="1229"/>
      <c r="L361" s="1229"/>
      <c r="M361" s="1229"/>
      <c r="N361" s="1337"/>
      <c r="O361" s="1337"/>
      <c r="P361" s="1229"/>
      <c r="Q361" s="1229"/>
      <c r="R361" s="1229"/>
      <c r="S361" s="1229"/>
      <c r="T361" s="1337"/>
      <c r="U361" s="1337"/>
      <c r="V361" s="1229"/>
      <c r="W361" s="1229"/>
      <c r="X361" s="1229"/>
      <c r="Y361" s="1229"/>
      <c r="Z361" s="1337"/>
      <c r="AA361" s="1337"/>
      <c r="AB361" s="1229"/>
      <c r="AC361" s="1229"/>
      <c r="AD361" s="1229"/>
      <c r="AE361" s="1229"/>
      <c r="AF361" s="1337"/>
      <c r="AG361" s="1337"/>
      <c r="AH361" s="1229"/>
      <c r="AI361" s="1229"/>
      <c r="AJ361" s="1229"/>
      <c r="AK361" s="1229"/>
      <c r="AL361" s="1337"/>
      <c r="AM361" s="1337"/>
      <c r="AN361" s="1229"/>
      <c r="AO361" s="1229"/>
      <c r="AP361" s="1229"/>
      <c r="AQ361" s="1229"/>
      <c r="AR361" s="1337"/>
      <c r="AS361" s="1337"/>
      <c r="AT361" s="1229"/>
      <c r="AU361" s="1229"/>
      <c r="AV361" s="1229"/>
      <c r="AW361" s="1229"/>
      <c r="AX361" s="1337"/>
      <c r="AY361" s="1337"/>
      <c r="AZ361" s="1229"/>
      <c r="BA361" s="1229"/>
      <c r="BB361" s="1229"/>
      <c r="BC361" s="1229"/>
      <c r="BD361" s="1337"/>
      <c r="BE361" s="1337"/>
      <c r="BF361" s="1229"/>
      <c r="BG361" s="1229"/>
      <c r="BH361" s="1229"/>
      <c r="BI361" s="1222"/>
      <c r="BJ361" s="1338"/>
      <c r="BK361" s="1338"/>
      <c r="BL361" s="1222"/>
      <c r="BM361" s="1222"/>
      <c r="BN361" s="1222"/>
      <c r="BO361" s="1222"/>
    </row>
    <row r="362" ht="7.5" customHeight="1">
      <c r="A362" s="1222"/>
      <c r="B362" s="1229"/>
      <c r="C362" s="1349"/>
      <c r="D362" s="1229"/>
      <c r="E362" s="1229"/>
      <c r="F362" s="1229"/>
      <c r="G362" s="1229"/>
      <c r="H362" s="1229"/>
      <c r="I362" s="1229"/>
      <c r="J362" s="1229"/>
      <c r="K362" s="1229"/>
      <c r="L362" s="1229"/>
      <c r="M362" s="1229"/>
      <c r="N362" s="1337"/>
      <c r="O362" s="1337"/>
      <c r="P362" s="1229"/>
      <c r="Q362" s="1229"/>
      <c r="R362" s="1229"/>
      <c r="S362" s="1229"/>
      <c r="T362" s="1337"/>
      <c r="U362" s="1337"/>
      <c r="V362" s="1229"/>
      <c r="W362" s="1229"/>
      <c r="X362" s="1229"/>
      <c r="Y362" s="1229"/>
      <c r="Z362" s="1337"/>
      <c r="AA362" s="1337"/>
      <c r="AB362" s="1229"/>
      <c r="AC362" s="1229"/>
      <c r="AD362" s="1229"/>
      <c r="AE362" s="1229"/>
      <c r="AF362" s="1337"/>
      <c r="AG362" s="1337"/>
      <c r="AH362" s="1229"/>
      <c r="AI362" s="1229"/>
      <c r="AJ362" s="1229"/>
      <c r="AK362" s="1229"/>
      <c r="AL362" s="1337"/>
      <c r="AM362" s="1337"/>
      <c r="AN362" s="1229"/>
      <c r="AO362" s="1229"/>
      <c r="AP362" s="1229"/>
      <c r="AQ362" s="1229"/>
      <c r="AR362" s="1337"/>
      <c r="AS362" s="1337"/>
      <c r="AT362" s="1229"/>
      <c r="AU362" s="1229"/>
      <c r="AV362" s="1229"/>
      <c r="AW362" s="1229"/>
      <c r="AX362" s="1337"/>
      <c r="AY362" s="1337"/>
      <c r="AZ362" s="1229"/>
      <c r="BA362" s="1229"/>
      <c r="BB362" s="1229"/>
      <c r="BC362" s="1229"/>
      <c r="BD362" s="1337"/>
      <c r="BE362" s="1337"/>
      <c r="BF362" s="1229"/>
      <c r="BG362" s="1229"/>
      <c r="BH362" s="1229"/>
      <c r="BI362" s="1222"/>
      <c r="BJ362" s="1338"/>
      <c r="BK362" s="1338"/>
      <c r="BL362" s="1222"/>
      <c r="BM362" s="1222"/>
      <c r="BN362" s="1222"/>
      <c r="BO362" s="1222"/>
    </row>
    <row r="363">
      <c r="A363" s="1222"/>
      <c r="B363" s="1229"/>
      <c r="C363" s="1349"/>
      <c r="D363" s="1229"/>
      <c r="E363" s="1229"/>
      <c r="F363" s="1229"/>
      <c r="G363" s="1229"/>
      <c r="H363" s="1229"/>
      <c r="I363" s="1229"/>
      <c r="J363" s="1229"/>
      <c r="K363" s="1229"/>
      <c r="L363" s="1229"/>
      <c r="M363" s="1229"/>
      <c r="N363" s="1337"/>
      <c r="O363" s="1337"/>
      <c r="P363" s="1229"/>
      <c r="Q363" s="1229"/>
      <c r="R363" s="1229"/>
      <c r="S363" s="1229"/>
      <c r="T363" s="1337"/>
      <c r="U363" s="1337"/>
      <c r="V363" s="1229"/>
      <c r="W363" s="1229"/>
      <c r="X363" s="1229"/>
      <c r="Y363" s="1229"/>
      <c r="Z363" s="1337"/>
      <c r="AA363" s="1337"/>
      <c r="AB363" s="1229"/>
      <c r="AC363" s="1229"/>
      <c r="AD363" s="1229"/>
      <c r="AE363" s="1229"/>
      <c r="AF363" s="1337"/>
      <c r="AG363" s="1337"/>
      <c r="AH363" s="1229"/>
      <c r="AI363" s="1229"/>
      <c r="AJ363" s="1229"/>
      <c r="AK363" s="1229"/>
      <c r="AL363" s="1337"/>
      <c r="AM363" s="1337"/>
      <c r="AN363" s="1229"/>
      <c r="AO363" s="1229"/>
      <c r="AP363" s="1229"/>
      <c r="AQ363" s="1229"/>
      <c r="AR363" s="1337"/>
      <c r="AS363" s="1337"/>
      <c r="AT363" s="1229"/>
      <c r="AU363" s="1229"/>
      <c r="AV363" s="1229"/>
      <c r="AW363" s="1229"/>
      <c r="AX363" s="1337"/>
      <c r="AY363" s="1337"/>
      <c r="AZ363" s="1229"/>
      <c r="BA363" s="1229"/>
      <c r="BB363" s="1229"/>
      <c r="BC363" s="1229"/>
      <c r="BD363" s="1337"/>
      <c r="BE363" s="1337"/>
      <c r="BF363" s="1229"/>
      <c r="BG363" s="1229"/>
      <c r="BH363" s="1229"/>
      <c r="BI363" s="1222"/>
      <c r="BJ363" s="1338"/>
      <c r="BK363" s="1338"/>
      <c r="BL363" s="1222"/>
      <c r="BM363" s="1222"/>
      <c r="BN363" s="1222"/>
      <c r="BO363" s="1222"/>
    </row>
    <row r="364" ht="7.5" customHeight="1">
      <c r="A364" s="1222"/>
      <c r="B364" s="1229"/>
      <c r="C364" s="1349"/>
      <c r="D364" s="1229"/>
      <c r="E364" s="1229"/>
      <c r="F364" s="1229"/>
      <c r="G364" s="1229"/>
      <c r="H364" s="1229"/>
      <c r="I364" s="1229"/>
      <c r="J364" s="1229"/>
      <c r="K364" s="1229"/>
      <c r="L364" s="1229"/>
      <c r="M364" s="1229"/>
      <c r="N364" s="1337"/>
      <c r="O364" s="1337"/>
      <c r="P364" s="1229"/>
      <c r="Q364" s="1229"/>
      <c r="R364" s="1229"/>
      <c r="S364" s="1229"/>
      <c r="T364" s="1337"/>
      <c r="U364" s="1337"/>
      <c r="V364" s="1229"/>
      <c r="W364" s="1229"/>
      <c r="X364" s="1229"/>
      <c r="Y364" s="1229"/>
      <c r="Z364" s="1337"/>
      <c r="AA364" s="1337"/>
      <c r="AB364" s="1229"/>
      <c r="AC364" s="1229"/>
      <c r="AD364" s="1229"/>
      <c r="AE364" s="1229"/>
      <c r="AF364" s="1337"/>
      <c r="AG364" s="1337"/>
      <c r="AH364" s="1229"/>
      <c r="AI364" s="1229"/>
      <c r="AJ364" s="1229"/>
      <c r="AK364" s="1229"/>
      <c r="AL364" s="1337"/>
      <c r="AM364" s="1337"/>
      <c r="AN364" s="1229"/>
      <c r="AO364" s="1229"/>
      <c r="AP364" s="1229"/>
      <c r="AQ364" s="1229"/>
      <c r="AR364" s="1337"/>
      <c r="AS364" s="1337"/>
      <c r="AT364" s="1229"/>
      <c r="AU364" s="1229"/>
      <c r="AV364" s="1229"/>
      <c r="AW364" s="1229"/>
      <c r="AX364" s="1337"/>
      <c r="AY364" s="1337"/>
      <c r="AZ364" s="1229"/>
      <c r="BA364" s="1229"/>
      <c r="BB364" s="1229"/>
      <c r="BC364" s="1229"/>
      <c r="BD364" s="1337"/>
      <c r="BE364" s="1337"/>
      <c r="BF364" s="1229"/>
      <c r="BG364" s="1229"/>
      <c r="BH364" s="1229"/>
      <c r="BI364" s="1222"/>
      <c r="BJ364" s="1338"/>
      <c r="BK364" s="1338"/>
      <c r="BL364" s="1222"/>
      <c r="BM364" s="1222"/>
      <c r="BN364" s="1222"/>
      <c r="BO364" s="1222"/>
    </row>
    <row r="365">
      <c r="A365" s="1222"/>
      <c r="B365" s="1229"/>
      <c r="C365" s="1349"/>
      <c r="D365" s="1229"/>
      <c r="E365" s="1229"/>
      <c r="F365" s="1229"/>
      <c r="G365" s="1229"/>
      <c r="H365" s="1229"/>
      <c r="I365" s="1229"/>
      <c r="J365" s="1229"/>
      <c r="K365" s="1229"/>
      <c r="L365" s="1229"/>
      <c r="M365" s="1229"/>
      <c r="N365" s="1337"/>
      <c r="O365" s="1337"/>
      <c r="P365" s="1229"/>
      <c r="Q365" s="1229"/>
      <c r="R365" s="1229"/>
      <c r="S365" s="1229"/>
      <c r="T365" s="1337"/>
      <c r="U365" s="1337"/>
      <c r="V365" s="1229"/>
      <c r="W365" s="1229"/>
      <c r="X365" s="1229"/>
      <c r="Y365" s="1229"/>
      <c r="Z365" s="1337"/>
      <c r="AA365" s="1337"/>
      <c r="AB365" s="1229"/>
      <c r="AC365" s="1229"/>
      <c r="AD365" s="1229"/>
      <c r="AE365" s="1229"/>
      <c r="AF365" s="1337"/>
      <c r="AG365" s="1337"/>
      <c r="AH365" s="1229"/>
      <c r="AI365" s="1229"/>
      <c r="AJ365" s="1229"/>
      <c r="AK365" s="1229"/>
      <c r="AL365" s="1337"/>
      <c r="AM365" s="1337"/>
      <c r="AN365" s="1229"/>
      <c r="AO365" s="1229"/>
      <c r="AP365" s="1229"/>
      <c r="AQ365" s="1229"/>
      <c r="AR365" s="1337"/>
      <c r="AS365" s="1337"/>
      <c r="AT365" s="1229"/>
      <c r="AU365" s="1229"/>
      <c r="AV365" s="1229"/>
      <c r="AW365" s="1229"/>
      <c r="AX365" s="1337"/>
      <c r="AY365" s="1337"/>
      <c r="AZ365" s="1229"/>
      <c r="BA365" s="1229"/>
      <c r="BB365" s="1229"/>
      <c r="BC365" s="1229"/>
      <c r="BD365" s="1337"/>
      <c r="BE365" s="1337"/>
      <c r="BF365" s="1229"/>
      <c r="BG365" s="1229"/>
      <c r="BH365" s="1229"/>
      <c r="BI365" s="1222"/>
      <c r="BJ365" s="1338"/>
      <c r="BK365" s="1338"/>
      <c r="BL365" s="1222"/>
      <c r="BM365" s="1222"/>
      <c r="BN365" s="1222"/>
      <c r="BO365" s="1222"/>
    </row>
    <row r="366" ht="7.5" customHeight="1">
      <c r="A366" s="1222"/>
      <c r="B366" s="1229"/>
      <c r="C366" s="1349"/>
      <c r="D366" s="1229"/>
      <c r="E366" s="1229"/>
      <c r="F366" s="1229"/>
      <c r="G366" s="1229"/>
      <c r="H366" s="1229"/>
      <c r="I366" s="1229"/>
      <c r="J366" s="1229"/>
      <c r="K366" s="1229"/>
      <c r="L366" s="1229"/>
      <c r="M366" s="1229"/>
      <c r="N366" s="1337"/>
      <c r="O366" s="1337"/>
      <c r="P366" s="1229"/>
      <c r="Q366" s="1229"/>
      <c r="R366" s="1229"/>
      <c r="S366" s="1229"/>
      <c r="T366" s="1337"/>
      <c r="U366" s="1337"/>
      <c r="V366" s="1229"/>
      <c r="W366" s="1229"/>
      <c r="X366" s="1229"/>
      <c r="Y366" s="1229"/>
      <c r="Z366" s="1337"/>
      <c r="AA366" s="1337"/>
      <c r="AB366" s="1229"/>
      <c r="AC366" s="1229"/>
      <c r="AD366" s="1229"/>
      <c r="AE366" s="1229"/>
      <c r="AF366" s="1337"/>
      <c r="AG366" s="1337"/>
      <c r="AH366" s="1229"/>
      <c r="AI366" s="1229"/>
      <c r="AJ366" s="1229"/>
      <c r="AK366" s="1229"/>
      <c r="AL366" s="1337"/>
      <c r="AM366" s="1337"/>
      <c r="AN366" s="1229"/>
      <c r="AO366" s="1229"/>
      <c r="AP366" s="1229"/>
      <c r="AQ366" s="1229"/>
      <c r="AR366" s="1337"/>
      <c r="AS366" s="1337"/>
      <c r="AT366" s="1229"/>
      <c r="AU366" s="1229"/>
      <c r="AV366" s="1229"/>
      <c r="AW366" s="1229"/>
      <c r="AX366" s="1337"/>
      <c r="AY366" s="1337"/>
      <c r="AZ366" s="1229"/>
      <c r="BA366" s="1229"/>
      <c r="BB366" s="1229"/>
      <c r="BC366" s="1229"/>
      <c r="BD366" s="1337"/>
      <c r="BE366" s="1337"/>
      <c r="BF366" s="1229"/>
      <c r="BG366" s="1229"/>
      <c r="BH366" s="1229"/>
      <c r="BI366" s="1222"/>
      <c r="BJ366" s="1338"/>
      <c r="BK366" s="1338"/>
      <c r="BL366" s="1222"/>
      <c r="BM366" s="1222"/>
      <c r="BN366" s="1222"/>
      <c r="BO366" s="1222"/>
    </row>
    <row r="367">
      <c r="A367" s="1222"/>
      <c r="B367" s="1229"/>
      <c r="C367" s="1349"/>
      <c r="D367" s="1229"/>
      <c r="E367" s="1229"/>
      <c r="F367" s="1229"/>
      <c r="G367" s="1229"/>
      <c r="H367" s="1229"/>
      <c r="I367" s="1229"/>
      <c r="J367" s="1229"/>
      <c r="K367" s="1229"/>
      <c r="L367" s="1229"/>
      <c r="M367" s="1229"/>
      <c r="N367" s="1337"/>
      <c r="O367" s="1337"/>
      <c r="P367" s="1229"/>
      <c r="Q367" s="1229"/>
      <c r="R367" s="1229"/>
      <c r="S367" s="1229"/>
      <c r="T367" s="1337"/>
      <c r="U367" s="1337"/>
      <c r="V367" s="1229"/>
      <c r="W367" s="1229"/>
      <c r="X367" s="1229"/>
      <c r="Y367" s="1229"/>
      <c r="Z367" s="1337"/>
      <c r="AA367" s="1337"/>
      <c r="AB367" s="1229"/>
      <c r="AC367" s="1229"/>
      <c r="AD367" s="1229"/>
      <c r="AE367" s="1229"/>
      <c r="AF367" s="1337"/>
      <c r="AG367" s="1337"/>
      <c r="AH367" s="1229"/>
      <c r="AI367" s="1229"/>
      <c r="AJ367" s="1229"/>
      <c r="AK367" s="1229"/>
      <c r="AL367" s="1337"/>
      <c r="AM367" s="1337"/>
      <c r="AN367" s="1229"/>
      <c r="AO367" s="1229"/>
      <c r="AP367" s="1229"/>
      <c r="AQ367" s="1229"/>
      <c r="AR367" s="1337"/>
      <c r="AS367" s="1337"/>
      <c r="AT367" s="1229"/>
      <c r="AU367" s="1229"/>
      <c r="AV367" s="1229"/>
      <c r="AW367" s="1229"/>
      <c r="AX367" s="1337"/>
      <c r="AY367" s="1337"/>
      <c r="AZ367" s="1229"/>
      <c r="BA367" s="1229"/>
      <c r="BB367" s="1229"/>
      <c r="BC367" s="1229"/>
      <c r="BD367" s="1337"/>
      <c r="BE367" s="1337"/>
      <c r="BF367" s="1229"/>
      <c r="BG367" s="1229"/>
      <c r="BH367" s="1229"/>
      <c r="BI367" s="1222"/>
      <c r="BJ367" s="1338"/>
      <c r="BK367" s="1338"/>
      <c r="BL367" s="1222"/>
      <c r="BM367" s="1222"/>
      <c r="BN367" s="1222"/>
      <c r="BO367" s="1222"/>
    </row>
    <row r="368" ht="7.5" customHeight="1">
      <c r="A368" s="1222"/>
      <c r="B368" s="1229"/>
      <c r="C368" s="1349"/>
      <c r="D368" s="1229"/>
      <c r="E368" s="1229"/>
      <c r="F368" s="1229"/>
      <c r="G368" s="1229"/>
      <c r="H368" s="1229"/>
      <c r="I368" s="1229"/>
      <c r="J368" s="1229"/>
      <c r="K368" s="1229"/>
      <c r="L368" s="1229"/>
      <c r="M368" s="1229"/>
      <c r="N368" s="1337"/>
      <c r="O368" s="1337"/>
      <c r="P368" s="1229"/>
      <c r="Q368" s="1229"/>
      <c r="R368" s="1229"/>
      <c r="S368" s="1229"/>
      <c r="T368" s="1337"/>
      <c r="U368" s="1337"/>
      <c r="V368" s="1229"/>
      <c r="W368" s="1229"/>
      <c r="X368" s="1229"/>
      <c r="Y368" s="1229"/>
      <c r="Z368" s="1337"/>
      <c r="AA368" s="1337"/>
      <c r="AB368" s="1229"/>
      <c r="AC368" s="1229"/>
      <c r="AD368" s="1229"/>
      <c r="AE368" s="1229"/>
      <c r="AF368" s="1337"/>
      <c r="AG368" s="1337"/>
      <c r="AH368" s="1229"/>
      <c r="AI368" s="1229"/>
      <c r="AJ368" s="1229"/>
      <c r="AK368" s="1229"/>
      <c r="AL368" s="1337"/>
      <c r="AM368" s="1337"/>
      <c r="AN368" s="1229"/>
      <c r="AO368" s="1229"/>
      <c r="AP368" s="1229"/>
      <c r="AQ368" s="1229"/>
      <c r="AR368" s="1337"/>
      <c r="AS368" s="1337"/>
      <c r="AT368" s="1229"/>
      <c r="AU368" s="1229"/>
      <c r="AV368" s="1229"/>
      <c r="AW368" s="1229"/>
      <c r="AX368" s="1337"/>
      <c r="AY368" s="1337"/>
      <c r="AZ368" s="1229"/>
      <c r="BA368" s="1229"/>
      <c r="BB368" s="1229"/>
      <c r="BC368" s="1229"/>
      <c r="BD368" s="1337"/>
      <c r="BE368" s="1337"/>
      <c r="BF368" s="1229"/>
      <c r="BG368" s="1229"/>
      <c r="BH368" s="1229"/>
      <c r="BI368" s="1222"/>
      <c r="BJ368" s="1338"/>
      <c r="BK368" s="1338"/>
      <c r="BL368" s="1222"/>
      <c r="BM368" s="1222"/>
      <c r="BN368" s="1222"/>
      <c r="BO368" s="1222"/>
    </row>
    <row r="369">
      <c r="A369" s="1222"/>
      <c r="B369" s="1229"/>
      <c r="C369" s="1349"/>
      <c r="D369" s="1229"/>
      <c r="E369" s="1229"/>
      <c r="F369" s="1229"/>
      <c r="G369" s="1229"/>
      <c r="H369" s="1229"/>
      <c r="I369" s="1229"/>
      <c r="J369" s="1229"/>
      <c r="K369" s="1229"/>
      <c r="L369" s="1229"/>
      <c r="M369" s="1229"/>
      <c r="N369" s="1337"/>
      <c r="O369" s="1337"/>
      <c r="P369" s="1229"/>
      <c r="Q369" s="1229"/>
      <c r="R369" s="1229"/>
      <c r="S369" s="1229"/>
      <c r="T369" s="1337"/>
      <c r="U369" s="1337"/>
      <c r="V369" s="1229"/>
      <c r="W369" s="1229"/>
      <c r="X369" s="1229"/>
      <c r="Y369" s="1229"/>
      <c r="Z369" s="1337"/>
      <c r="AA369" s="1337"/>
      <c r="AB369" s="1229"/>
      <c r="AC369" s="1229"/>
      <c r="AD369" s="1229"/>
      <c r="AE369" s="1229"/>
      <c r="AF369" s="1337"/>
      <c r="AG369" s="1337"/>
      <c r="AH369" s="1229"/>
      <c r="AI369" s="1229"/>
      <c r="AJ369" s="1229"/>
      <c r="AK369" s="1229"/>
      <c r="AL369" s="1337"/>
      <c r="AM369" s="1337"/>
      <c r="AN369" s="1229"/>
      <c r="AO369" s="1229"/>
      <c r="AP369" s="1229"/>
      <c r="AQ369" s="1229"/>
      <c r="AR369" s="1337"/>
      <c r="AS369" s="1337"/>
      <c r="AT369" s="1229"/>
      <c r="AU369" s="1229"/>
      <c r="AV369" s="1229"/>
      <c r="AW369" s="1229"/>
      <c r="AX369" s="1337"/>
      <c r="AY369" s="1337"/>
      <c r="AZ369" s="1229"/>
      <c r="BA369" s="1229"/>
      <c r="BB369" s="1229"/>
      <c r="BC369" s="1229"/>
      <c r="BD369" s="1337"/>
      <c r="BE369" s="1337"/>
      <c r="BF369" s="1229"/>
      <c r="BG369" s="1229"/>
      <c r="BH369" s="1229"/>
      <c r="BI369" s="1222"/>
      <c r="BJ369" s="1338"/>
      <c r="BK369" s="1338"/>
      <c r="BL369" s="1222"/>
      <c r="BM369" s="1222"/>
      <c r="BN369" s="1222"/>
      <c r="BO369" s="1222"/>
    </row>
    <row r="370" ht="7.5" customHeight="1">
      <c r="A370" s="1222"/>
      <c r="B370" s="1229"/>
      <c r="C370" s="1349"/>
      <c r="D370" s="1229"/>
      <c r="E370" s="1229"/>
      <c r="F370" s="1229"/>
      <c r="G370" s="1229"/>
      <c r="H370" s="1229"/>
      <c r="I370" s="1229"/>
      <c r="J370" s="1229"/>
      <c r="K370" s="1229"/>
      <c r="L370" s="1229"/>
      <c r="M370" s="1229"/>
      <c r="N370" s="1337"/>
      <c r="O370" s="1337"/>
      <c r="P370" s="1229"/>
      <c r="Q370" s="1229"/>
      <c r="R370" s="1229"/>
      <c r="S370" s="1229"/>
      <c r="T370" s="1337"/>
      <c r="U370" s="1337"/>
      <c r="V370" s="1229"/>
      <c r="W370" s="1229"/>
      <c r="X370" s="1229"/>
      <c r="Y370" s="1229"/>
      <c r="Z370" s="1337"/>
      <c r="AA370" s="1337"/>
      <c r="AB370" s="1229"/>
      <c r="AC370" s="1229"/>
      <c r="AD370" s="1229"/>
      <c r="AE370" s="1229"/>
      <c r="AF370" s="1337"/>
      <c r="AG370" s="1337"/>
      <c r="AH370" s="1229"/>
      <c r="AI370" s="1229"/>
      <c r="AJ370" s="1229"/>
      <c r="AK370" s="1229"/>
      <c r="AL370" s="1337"/>
      <c r="AM370" s="1337"/>
      <c r="AN370" s="1229"/>
      <c r="AO370" s="1229"/>
      <c r="AP370" s="1229"/>
      <c r="AQ370" s="1229"/>
      <c r="AR370" s="1337"/>
      <c r="AS370" s="1337"/>
      <c r="AT370" s="1229"/>
      <c r="AU370" s="1229"/>
      <c r="AV370" s="1229"/>
      <c r="AW370" s="1229"/>
      <c r="AX370" s="1337"/>
      <c r="AY370" s="1337"/>
      <c r="AZ370" s="1229"/>
      <c r="BA370" s="1229"/>
      <c r="BB370" s="1229"/>
      <c r="BC370" s="1229"/>
      <c r="BD370" s="1337"/>
      <c r="BE370" s="1337"/>
      <c r="BF370" s="1229"/>
      <c r="BG370" s="1229"/>
      <c r="BH370" s="1229"/>
      <c r="BI370" s="1222"/>
      <c r="BJ370" s="1338"/>
      <c r="BK370" s="1338"/>
      <c r="BL370" s="1222"/>
      <c r="BM370" s="1222"/>
      <c r="BN370" s="1222"/>
      <c r="BO370" s="1222"/>
    </row>
    <row r="371">
      <c r="A371" s="1222"/>
      <c r="B371" s="1229"/>
      <c r="C371" s="1349"/>
      <c r="D371" s="1229"/>
      <c r="E371" s="1229"/>
      <c r="F371" s="1229"/>
      <c r="G371" s="1229"/>
      <c r="H371" s="1229"/>
      <c r="I371" s="1229"/>
      <c r="J371" s="1229"/>
      <c r="K371" s="1229"/>
      <c r="L371" s="1229"/>
      <c r="M371" s="1229"/>
      <c r="N371" s="1337"/>
      <c r="O371" s="1337"/>
      <c r="P371" s="1229"/>
      <c r="Q371" s="1229"/>
      <c r="R371" s="1229"/>
      <c r="S371" s="1229"/>
      <c r="T371" s="1337"/>
      <c r="U371" s="1337"/>
      <c r="V371" s="1229"/>
      <c r="W371" s="1229"/>
      <c r="X371" s="1229"/>
      <c r="Y371" s="1229"/>
      <c r="Z371" s="1337"/>
      <c r="AA371" s="1337"/>
      <c r="AB371" s="1229"/>
      <c r="AC371" s="1229"/>
      <c r="AD371" s="1229"/>
      <c r="AE371" s="1229"/>
      <c r="AF371" s="1337"/>
      <c r="AG371" s="1337"/>
      <c r="AH371" s="1229"/>
      <c r="AI371" s="1229"/>
      <c r="AJ371" s="1229"/>
      <c r="AK371" s="1229"/>
      <c r="AL371" s="1337"/>
      <c r="AM371" s="1337"/>
      <c r="AN371" s="1229"/>
      <c r="AO371" s="1229"/>
      <c r="AP371" s="1229"/>
      <c r="AQ371" s="1229"/>
      <c r="AR371" s="1337"/>
      <c r="AS371" s="1337"/>
      <c r="AT371" s="1229"/>
      <c r="AU371" s="1229"/>
      <c r="AV371" s="1229"/>
      <c r="AW371" s="1229"/>
      <c r="AX371" s="1337"/>
      <c r="AY371" s="1337"/>
      <c r="AZ371" s="1229"/>
      <c r="BA371" s="1229"/>
      <c r="BB371" s="1229"/>
      <c r="BC371" s="1229"/>
      <c r="BD371" s="1337"/>
      <c r="BE371" s="1337"/>
      <c r="BF371" s="1229"/>
      <c r="BG371" s="1229"/>
      <c r="BH371" s="1229"/>
      <c r="BI371" s="1222"/>
      <c r="BJ371" s="1338"/>
      <c r="BK371" s="1338"/>
      <c r="BL371" s="1222"/>
      <c r="BM371" s="1222"/>
      <c r="BN371" s="1222"/>
      <c r="BO371" s="1222"/>
    </row>
    <row r="372" ht="7.5" customHeight="1">
      <c r="A372" s="1222"/>
      <c r="B372" s="1229"/>
      <c r="C372" s="1349"/>
      <c r="D372" s="1229"/>
      <c r="E372" s="1229"/>
      <c r="F372" s="1229"/>
      <c r="G372" s="1229"/>
      <c r="H372" s="1229"/>
      <c r="I372" s="1229"/>
      <c r="J372" s="1229"/>
      <c r="K372" s="1229"/>
      <c r="L372" s="1229"/>
      <c r="M372" s="1229"/>
      <c r="N372" s="1337"/>
      <c r="O372" s="1337"/>
      <c r="P372" s="1229"/>
      <c r="Q372" s="1229"/>
      <c r="R372" s="1229"/>
      <c r="S372" s="1229"/>
      <c r="T372" s="1337"/>
      <c r="U372" s="1337"/>
      <c r="V372" s="1229"/>
      <c r="W372" s="1229"/>
      <c r="X372" s="1229"/>
      <c r="Y372" s="1229"/>
      <c r="Z372" s="1337"/>
      <c r="AA372" s="1337"/>
      <c r="AB372" s="1229"/>
      <c r="AC372" s="1229"/>
      <c r="AD372" s="1229"/>
      <c r="AE372" s="1229"/>
      <c r="AF372" s="1337"/>
      <c r="AG372" s="1337"/>
      <c r="AH372" s="1229"/>
      <c r="AI372" s="1229"/>
      <c r="AJ372" s="1229"/>
      <c r="AK372" s="1229"/>
      <c r="AL372" s="1337"/>
      <c r="AM372" s="1337"/>
      <c r="AN372" s="1229"/>
      <c r="AO372" s="1229"/>
      <c r="AP372" s="1229"/>
      <c r="AQ372" s="1229"/>
      <c r="AR372" s="1337"/>
      <c r="AS372" s="1337"/>
      <c r="AT372" s="1229"/>
      <c r="AU372" s="1229"/>
      <c r="AV372" s="1229"/>
      <c r="AW372" s="1229"/>
      <c r="AX372" s="1337"/>
      <c r="AY372" s="1337"/>
      <c r="AZ372" s="1229"/>
      <c r="BA372" s="1229"/>
      <c r="BB372" s="1229"/>
      <c r="BC372" s="1229"/>
      <c r="BD372" s="1337"/>
      <c r="BE372" s="1337"/>
      <c r="BF372" s="1229"/>
      <c r="BG372" s="1229"/>
      <c r="BH372" s="1229"/>
      <c r="BI372" s="1222"/>
      <c r="BJ372" s="1338"/>
      <c r="BK372" s="1338"/>
      <c r="BL372" s="1222"/>
      <c r="BM372" s="1222"/>
      <c r="BN372" s="1222"/>
      <c r="BO372" s="1222"/>
    </row>
    <row r="373">
      <c r="A373" s="1222"/>
      <c r="B373" s="1229"/>
      <c r="C373" s="1349"/>
      <c r="D373" s="1229"/>
      <c r="E373" s="1229"/>
      <c r="F373" s="1229"/>
      <c r="G373" s="1229"/>
      <c r="H373" s="1229"/>
      <c r="I373" s="1229"/>
      <c r="J373" s="1229"/>
      <c r="K373" s="1229"/>
      <c r="L373" s="1229"/>
      <c r="M373" s="1229"/>
      <c r="N373" s="1337"/>
      <c r="O373" s="1337"/>
      <c r="P373" s="1229"/>
      <c r="Q373" s="1229"/>
      <c r="R373" s="1229"/>
      <c r="S373" s="1229"/>
      <c r="T373" s="1337"/>
      <c r="U373" s="1337"/>
      <c r="V373" s="1229"/>
      <c r="W373" s="1229"/>
      <c r="X373" s="1229"/>
      <c r="Y373" s="1229"/>
      <c r="Z373" s="1337"/>
      <c r="AA373" s="1337"/>
      <c r="AB373" s="1229"/>
      <c r="AC373" s="1229"/>
      <c r="AD373" s="1229"/>
      <c r="AE373" s="1229"/>
      <c r="AF373" s="1337"/>
      <c r="AG373" s="1337"/>
      <c r="AH373" s="1229"/>
      <c r="AI373" s="1229"/>
      <c r="AJ373" s="1229"/>
      <c r="AK373" s="1229"/>
      <c r="AL373" s="1337"/>
      <c r="AM373" s="1337"/>
      <c r="AN373" s="1229"/>
      <c r="AO373" s="1229"/>
      <c r="AP373" s="1229"/>
      <c r="AQ373" s="1229"/>
      <c r="AR373" s="1337"/>
      <c r="AS373" s="1337"/>
      <c r="AT373" s="1229"/>
      <c r="AU373" s="1229"/>
      <c r="AV373" s="1229"/>
      <c r="AW373" s="1229"/>
      <c r="AX373" s="1337"/>
      <c r="AY373" s="1337"/>
      <c r="AZ373" s="1229"/>
      <c r="BA373" s="1229"/>
      <c r="BB373" s="1229"/>
      <c r="BC373" s="1229"/>
      <c r="BD373" s="1337"/>
      <c r="BE373" s="1337"/>
      <c r="BF373" s="1229"/>
      <c r="BG373" s="1229"/>
      <c r="BH373" s="1229"/>
      <c r="BI373" s="1222"/>
      <c r="BJ373" s="1338"/>
      <c r="BK373" s="1338"/>
      <c r="BL373" s="1222"/>
      <c r="BM373" s="1222"/>
      <c r="BN373" s="1222"/>
      <c r="BO373" s="1222"/>
    </row>
    <row r="374" ht="7.5" customHeight="1">
      <c r="A374" s="1222"/>
      <c r="B374" s="1229"/>
      <c r="C374" s="1349"/>
      <c r="D374" s="1229"/>
      <c r="E374" s="1229"/>
      <c r="F374" s="1229"/>
      <c r="G374" s="1229"/>
      <c r="H374" s="1229"/>
      <c r="I374" s="1229"/>
      <c r="J374" s="1229"/>
      <c r="K374" s="1229"/>
      <c r="L374" s="1229"/>
      <c r="M374" s="1229"/>
      <c r="N374" s="1337"/>
      <c r="O374" s="1337"/>
      <c r="P374" s="1229"/>
      <c r="Q374" s="1229"/>
      <c r="R374" s="1229"/>
      <c r="S374" s="1229"/>
      <c r="T374" s="1337"/>
      <c r="U374" s="1337"/>
      <c r="V374" s="1229"/>
      <c r="W374" s="1229"/>
      <c r="X374" s="1229"/>
      <c r="Y374" s="1229"/>
      <c r="Z374" s="1337"/>
      <c r="AA374" s="1337"/>
      <c r="AB374" s="1229"/>
      <c r="AC374" s="1229"/>
      <c r="AD374" s="1229"/>
      <c r="AE374" s="1229"/>
      <c r="AF374" s="1337"/>
      <c r="AG374" s="1337"/>
      <c r="AH374" s="1229"/>
      <c r="AI374" s="1229"/>
      <c r="AJ374" s="1229"/>
      <c r="AK374" s="1229"/>
      <c r="AL374" s="1337"/>
      <c r="AM374" s="1337"/>
      <c r="AN374" s="1229"/>
      <c r="AO374" s="1229"/>
      <c r="AP374" s="1229"/>
      <c r="AQ374" s="1229"/>
      <c r="AR374" s="1337"/>
      <c r="AS374" s="1337"/>
      <c r="AT374" s="1229"/>
      <c r="AU374" s="1229"/>
      <c r="AV374" s="1229"/>
      <c r="AW374" s="1229"/>
      <c r="AX374" s="1337"/>
      <c r="AY374" s="1337"/>
      <c r="AZ374" s="1229"/>
      <c r="BA374" s="1229"/>
      <c r="BB374" s="1229"/>
      <c r="BC374" s="1229"/>
      <c r="BD374" s="1337"/>
      <c r="BE374" s="1337"/>
      <c r="BF374" s="1229"/>
      <c r="BG374" s="1229"/>
      <c r="BH374" s="1229"/>
      <c r="BI374" s="1222"/>
      <c r="BJ374" s="1338"/>
      <c r="BK374" s="1338"/>
      <c r="BL374" s="1222"/>
      <c r="BM374" s="1222"/>
      <c r="BN374" s="1222"/>
      <c r="BO374" s="1222"/>
    </row>
    <row r="375">
      <c r="A375" s="1222"/>
      <c r="B375" s="1229"/>
      <c r="C375" s="1349"/>
      <c r="D375" s="1229"/>
      <c r="E375" s="1229"/>
      <c r="F375" s="1229"/>
      <c r="G375" s="1229"/>
      <c r="H375" s="1229"/>
      <c r="I375" s="1229"/>
      <c r="J375" s="1229"/>
      <c r="K375" s="1229"/>
      <c r="L375" s="1229"/>
      <c r="M375" s="1229"/>
      <c r="N375" s="1337"/>
      <c r="O375" s="1337"/>
      <c r="P375" s="1229"/>
      <c r="Q375" s="1229"/>
      <c r="R375" s="1229"/>
      <c r="S375" s="1229"/>
      <c r="T375" s="1337"/>
      <c r="U375" s="1337"/>
      <c r="V375" s="1229"/>
      <c r="W375" s="1229"/>
      <c r="X375" s="1229"/>
      <c r="Y375" s="1229"/>
      <c r="Z375" s="1337"/>
      <c r="AA375" s="1337"/>
      <c r="AB375" s="1229"/>
      <c r="AC375" s="1229"/>
      <c r="AD375" s="1229"/>
      <c r="AE375" s="1229"/>
      <c r="AF375" s="1337"/>
      <c r="AG375" s="1337"/>
      <c r="AH375" s="1229"/>
      <c r="AI375" s="1229"/>
      <c r="AJ375" s="1229"/>
      <c r="AK375" s="1229"/>
      <c r="AL375" s="1337"/>
      <c r="AM375" s="1337"/>
      <c r="AN375" s="1229"/>
      <c r="AO375" s="1229"/>
      <c r="AP375" s="1229"/>
      <c r="AQ375" s="1229"/>
      <c r="AR375" s="1337"/>
      <c r="AS375" s="1337"/>
      <c r="AT375" s="1229"/>
      <c r="AU375" s="1229"/>
      <c r="AV375" s="1229"/>
      <c r="AW375" s="1229"/>
      <c r="AX375" s="1337"/>
      <c r="AY375" s="1337"/>
      <c r="AZ375" s="1229"/>
      <c r="BA375" s="1229"/>
      <c r="BB375" s="1229"/>
      <c r="BC375" s="1229"/>
      <c r="BD375" s="1337"/>
      <c r="BE375" s="1337"/>
      <c r="BF375" s="1229"/>
      <c r="BG375" s="1229"/>
      <c r="BH375" s="1229"/>
      <c r="BI375" s="1222"/>
      <c r="BJ375" s="1338"/>
      <c r="BK375" s="1338"/>
      <c r="BL375" s="1222"/>
      <c r="BM375" s="1222"/>
      <c r="BN375" s="1222"/>
      <c r="BO375" s="1222"/>
    </row>
    <row r="376" ht="7.5" customHeight="1">
      <c r="A376" s="1222"/>
      <c r="B376" s="1229"/>
      <c r="C376" s="1349"/>
      <c r="D376" s="1229"/>
      <c r="E376" s="1229"/>
      <c r="F376" s="1229"/>
      <c r="G376" s="1229"/>
      <c r="H376" s="1229"/>
      <c r="I376" s="1229"/>
      <c r="J376" s="1229"/>
      <c r="K376" s="1229"/>
      <c r="L376" s="1229"/>
      <c r="M376" s="1229"/>
      <c r="N376" s="1337"/>
      <c r="O376" s="1337"/>
      <c r="P376" s="1229"/>
      <c r="Q376" s="1229"/>
      <c r="R376" s="1229"/>
      <c r="S376" s="1229"/>
      <c r="T376" s="1337"/>
      <c r="U376" s="1337"/>
      <c r="V376" s="1229"/>
      <c r="W376" s="1229"/>
      <c r="X376" s="1229"/>
      <c r="Y376" s="1229"/>
      <c r="Z376" s="1337"/>
      <c r="AA376" s="1337"/>
      <c r="AB376" s="1229"/>
      <c r="AC376" s="1229"/>
      <c r="AD376" s="1229"/>
      <c r="AE376" s="1229"/>
      <c r="AF376" s="1337"/>
      <c r="AG376" s="1337"/>
      <c r="AH376" s="1229"/>
      <c r="AI376" s="1229"/>
      <c r="AJ376" s="1229"/>
      <c r="AK376" s="1229"/>
      <c r="AL376" s="1337"/>
      <c r="AM376" s="1337"/>
      <c r="AN376" s="1229"/>
      <c r="AO376" s="1229"/>
      <c r="AP376" s="1229"/>
      <c r="AQ376" s="1229"/>
      <c r="AR376" s="1337"/>
      <c r="AS376" s="1337"/>
      <c r="AT376" s="1229"/>
      <c r="AU376" s="1229"/>
      <c r="AV376" s="1229"/>
      <c r="AW376" s="1229"/>
      <c r="AX376" s="1337"/>
      <c r="AY376" s="1337"/>
      <c r="AZ376" s="1229"/>
      <c r="BA376" s="1229"/>
      <c r="BB376" s="1229"/>
      <c r="BC376" s="1229"/>
      <c r="BD376" s="1337"/>
      <c r="BE376" s="1337"/>
      <c r="BF376" s="1229"/>
      <c r="BG376" s="1229"/>
      <c r="BH376" s="1229"/>
      <c r="BI376" s="1222"/>
      <c r="BJ376" s="1338"/>
      <c r="BK376" s="1338"/>
      <c r="BL376" s="1222"/>
      <c r="BM376" s="1222"/>
      <c r="BN376" s="1222"/>
      <c r="BO376" s="1222"/>
    </row>
    <row r="377">
      <c r="A377" s="1222"/>
      <c r="B377" s="1229"/>
      <c r="C377" s="1349"/>
      <c r="D377" s="1229"/>
      <c r="E377" s="1229"/>
      <c r="F377" s="1229"/>
      <c r="G377" s="1229"/>
      <c r="H377" s="1229"/>
      <c r="I377" s="1229"/>
      <c r="J377" s="1229"/>
      <c r="K377" s="1229"/>
      <c r="L377" s="1229"/>
      <c r="M377" s="1229"/>
      <c r="N377" s="1337"/>
      <c r="O377" s="1337"/>
      <c r="P377" s="1229"/>
      <c r="Q377" s="1229"/>
      <c r="R377" s="1229"/>
      <c r="S377" s="1229"/>
      <c r="T377" s="1337"/>
      <c r="U377" s="1337"/>
      <c r="V377" s="1229"/>
      <c r="W377" s="1229"/>
      <c r="X377" s="1229"/>
      <c r="Y377" s="1229"/>
      <c r="Z377" s="1337"/>
      <c r="AA377" s="1337"/>
      <c r="AB377" s="1229"/>
      <c r="AC377" s="1229"/>
      <c r="AD377" s="1229"/>
      <c r="AE377" s="1229"/>
      <c r="AF377" s="1337"/>
      <c r="AG377" s="1337"/>
      <c r="AH377" s="1229"/>
      <c r="AI377" s="1229"/>
      <c r="AJ377" s="1229"/>
      <c r="AK377" s="1229"/>
      <c r="AL377" s="1337"/>
      <c r="AM377" s="1337"/>
      <c r="AN377" s="1229"/>
      <c r="AO377" s="1229"/>
      <c r="AP377" s="1229"/>
      <c r="AQ377" s="1229"/>
      <c r="AR377" s="1337"/>
      <c r="AS377" s="1337"/>
      <c r="AT377" s="1229"/>
      <c r="AU377" s="1229"/>
      <c r="AV377" s="1229"/>
      <c r="AW377" s="1229"/>
      <c r="AX377" s="1337"/>
      <c r="AY377" s="1337"/>
      <c r="AZ377" s="1229"/>
      <c r="BA377" s="1229"/>
      <c r="BB377" s="1229"/>
      <c r="BC377" s="1229"/>
      <c r="BD377" s="1337"/>
      <c r="BE377" s="1337"/>
      <c r="BF377" s="1229"/>
      <c r="BG377" s="1229"/>
      <c r="BH377" s="1229"/>
      <c r="BI377" s="1222"/>
      <c r="BJ377" s="1338"/>
      <c r="BK377" s="1338"/>
      <c r="BL377" s="1222"/>
      <c r="BM377" s="1222"/>
      <c r="BN377" s="1222"/>
      <c r="BO377" s="1222"/>
    </row>
    <row r="378" ht="7.5" customHeight="1">
      <c r="A378" s="1222"/>
      <c r="B378" s="1229"/>
      <c r="C378" s="1349"/>
      <c r="D378" s="1229"/>
      <c r="E378" s="1229"/>
      <c r="F378" s="1229"/>
      <c r="G378" s="1229"/>
      <c r="H378" s="1229"/>
      <c r="I378" s="1229"/>
      <c r="J378" s="1229"/>
      <c r="K378" s="1229"/>
      <c r="L378" s="1229"/>
      <c r="M378" s="1229"/>
      <c r="N378" s="1337"/>
      <c r="O378" s="1337"/>
      <c r="P378" s="1229"/>
      <c r="Q378" s="1229"/>
      <c r="R378" s="1229"/>
      <c r="S378" s="1229"/>
      <c r="T378" s="1337"/>
      <c r="U378" s="1337"/>
      <c r="V378" s="1229"/>
      <c r="W378" s="1229"/>
      <c r="X378" s="1229"/>
      <c r="Y378" s="1229"/>
      <c r="Z378" s="1337"/>
      <c r="AA378" s="1337"/>
      <c r="AB378" s="1229"/>
      <c r="AC378" s="1229"/>
      <c r="AD378" s="1229"/>
      <c r="AE378" s="1229"/>
      <c r="AF378" s="1337"/>
      <c r="AG378" s="1337"/>
      <c r="AH378" s="1229"/>
      <c r="AI378" s="1229"/>
      <c r="AJ378" s="1229"/>
      <c r="AK378" s="1229"/>
      <c r="AL378" s="1337"/>
      <c r="AM378" s="1337"/>
      <c r="AN378" s="1229"/>
      <c r="AO378" s="1229"/>
      <c r="AP378" s="1229"/>
      <c r="AQ378" s="1229"/>
      <c r="AR378" s="1337"/>
      <c r="AS378" s="1337"/>
      <c r="AT378" s="1229"/>
      <c r="AU378" s="1229"/>
      <c r="AV378" s="1229"/>
      <c r="AW378" s="1229"/>
      <c r="AX378" s="1337"/>
      <c r="AY378" s="1337"/>
      <c r="AZ378" s="1229"/>
      <c r="BA378" s="1229"/>
      <c r="BB378" s="1229"/>
      <c r="BC378" s="1229"/>
      <c r="BD378" s="1337"/>
      <c r="BE378" s="1337"/>
      <c r="BF378" s="1229"/>
      <c r="BG378" s="1229"/>
      <c r="BH378" s="1229"/>
      <c r="BI378" s="1222"/>
      <c r="BJ378" s="1338"/>
      <c r="BK378" s="1338"/>
      <c r="BL378" s="1222"/>
      <c r="BM378" s="1222"/>
      <c r="BN378" s="1222"/>
      <c r="BO378" s="1222"/>
    </row>
    <row r="379">
      <c r="A379" s="1222"/>
      <c r="B379" s="1229"/>
      <c r="C379" s="1349"/>
      <c r="D379" s="1229"/>
      <c r="E379" s="1229"/>
      <c r="F379" s="1229"/>
      <c r="G379" s="1229"/>
      <c r="H379" s="1229"/>
      <c r="I379" s="1229"/>
      <c r="J379" s="1229"/>
      <c r="K379" s="1229"/>
      <c r="L379" s="1229"/>
      <c r="M379" s="1229"/>
      <c r="N379" s="1337"/>
      <c r="O379" s="1337"/>
      <c r="P379" s="1229"/>
      <c r="Q379" s="1229"/>
      <c r="R379" s="1229"/>
      <c r="S379" s="1229"/>
      <c r="T379" s="1337"/>
      <c r="U379" s="1337"/>
      <c r="V379" s="1229"/>
      <c r="W379" s="1229"/>
      <c r="X379" s="1229"/>
      <c r="Y379" s="1229"/>
      <c r="Z379" s="1337"/>
      <c r="AA379" s="1337"/>
      <c r="AB379" s="1229"/>
      <c r="AC379" s="1229"/>
      <c r="AD379" s="1229"/>
      <c r="AE379" s="1229"/>
      <c r="AF379" s="1337"/>
      <c r="AG379" s="1337"/>
      <c r="AH379" s="1229"/>
      <c r="AI379" s="1229"/>
      <c r="AJ379" s="1229"/>
      <c r="AK379" s="1229"/>
      <c r="AL379" s="1337"/>
      <c r="AM379" s="1337"/>
      <c r="AN379" s="1229"/>
      <c r="AO379" s="1229"/>
      <c r="AP379" s="1229"/>
      <c r="AQ379" s="1229"/>
      <c r="AR379" s="1337"/>
      <c r="AS379" s="1337"/>
      <c r="AT379" s="1229"/>
      <c r="AU379" s="1229"/>
      <c r="AV379" s="1229"/>
      <c r="AW379" s="1229"/>
      <c r="AX379" s="1337"/>
      <c r="AY379" s="1337"/>
      <c r="AZ379" s="1229"/>
      <c r="BA379" s="1229"/>
      <c r="BB379" s="1229"/>
      <c r="BC379" s="1229"/>
      <c r="BD379" s="1337"/>
      <c r="BE379" s="1337"/>
      <c r="BF379" s="1229"/>
      <c r="BG379" s="1229"/>
      <c r="BH379" s="1229"/>
      <c r="BI379" s="1222"/>
      <c r="BJ379" s="1338"/>
      <c r="BK379" s="1338"/>
      <c r="BL379" s="1222"/>
      <c r="BM379" s="1222"/>
      <c r="BN379" s="1222"/>
      <c r="BO379" s="1222"/>
    </row>
    <row r="380" ht="7.5" customHeight="1">
      <c r="A380" s="1222"/>
      <c r="B380" s="1229"/>
      <c r="C380" s="1349"/>
      <c r="D380" s="1229"/>
      <c r="E380" s="1229"/>
      <c r="F380" s="1229"/>
      <c r="G380" s="1229"/>
      <c r="H380" s="1229"/>
      <c r="I380" s="1229"/>
      <c r="J380" s="1229"/>
      <c r="K380" s="1229"/>
      <c r="L380" s="1229"/>
      <c r="M380" s="1229"/>
      <c r="N380" s="1337"/>
      <c r="O380" s="1337"/>
      <c r="P380" s="1229"/>
      <c r="Q380" s="1229"/>
      <c r="R380" s="1229"/>
      <c r="S380" s="1229"/>
      <c r="T380" s="1337"/>
      <c r="U380" s="1337"/>
      <c r="V380" s="1229"/>
      <c r="W380" s="1229"/>
      <c r="X380" s="1229"/>
      <c r="Y380" s="1229"/>
      <c r="Z380" s="1337"/>
      <c r="AA380" s="1337"/>
      <c r="AB380" s="1229"/>
      <c r="AC380" s="1229"/>
      <c r="AD380" s="1229"/>
      <c r="AE380" s="1229"/>
      <c r="AF380" s="1337"/>
      <c r="AG380" s="1337"/>
      <c r="AH380" s="1229"/>
      <c r="AI380" s="1229"/>
      <c r="AJ380" s="1229"/>
      <c r="AK380" s="1229"/>
      <c r="AL380" s="1337"/>
      <c r="AM380" s="1337"/>
      <c r="AN380" s="1229"/>
      <c r="AO380" s="1229"/>
      <c r="AP380" s="1229"/>
      <c r="AQ380" s="1229"/>
      <c r="AR380" s="1337"/>
      <c r="AS380" s="1337"/>
      <c r="AT380" s="1229"/>
      <c r="AU380" s="1229"/>
      <c r="AV380" s="1229"/>
      <c r="AW380" s="1229"/>
      <c r="AX380" s="1337"/>
      <c r="AY380" s="1337"/>
      <c r="AZ380" s="1229"/>
      <c r="BA380" s="1229"/>
      <c r="BB380" s="1229"/>
      <c r="BC380" s="1229"/>
      <c r="BD380" s="1337"/>
      <c r="BE380" s="1337"/>
      <c r="BF380" s="1229"/>
      <c r="BG380" s="1229"/>
      <c r="BH380" s="1229"/>
      <c r="BI380" s="1222"/>
      <c r="BJ380" s="1338"/>
      <c r="BK380" s="1338"/>
      <c r="BL380" s="1222"/>
      <c r="BM380" s="1222"/>
      <c r="BN380" s="1222"/>
      <c r="BO380" s="1222"/>
    </row>
    <row r="381">
      <c r="A381" s="1222"/>
      <c r="B381" s="1229"/>
      <c r="C381" s="1349"/>
      <c r="D381" s="1229"/>
      <c r="E381" s="1229"/>
      <c r="F381" s="1229"/>
      <c r="G381" s="1229"/>
      <c r="H381" s="1229"/>
      <c r="I381" s="1229"/>
      <c r="J381" s="1229"/>
      <c r="K381" s="1229"/>
      <c r="L381" s="1229"/>
      <c r="M381" s="1229"/>
      <c r="N381" s="1337"/>
      <c r="O381" s="1337"/>
      <c r="P381" s="1229"/>
      <c r="Q381" s="1229"/>
      <c r="R381" s="1229"/>
      <c r="S381" s="1229"/>
      <c r="T381" s="1337"/>
      <c r="U381" s="1337"/>
      <c r="V381" s="1229"/>
      <c r="W381" s="1229"/>
      <c r="X381" s="1229"/>
      <c r="Y381" s="1229"/>
      <c r="Z381" s="1337"/>
      <c r="AA381" s="1337"/>
      <c r="AB381" s="1229"/>
      <c r="AC381" s="1229"/>
      <c r="AD381" s="1229"/>
      <c r="AE381" s="1229"/>
      <c r="AF381" s="1337"/>
      <c r="AG381" s="1337"/>
      <c r="AH381" s="1229"/>
      <c r="AI381" s="1229"/>
      <c r="AJ381" s="1229"/>
      <c r="AK381" s="1229"/>
      <c r="AL381" s="1337"/>
      <c r="AM381" s="1337"/>
      <c r="AN381" s="1229"/>
      <c r="AO381" s="1229"/>
      <c r="AP381" s="1229"/>
      <c r="AQ381" s="1229"/>
      <c r="AR381" s="1337"/>
      <c r="AS381" s="1337"/>
      <c r="AT381" s="1229"/>
      <c r="AU381" s="1229"/>
      <c r="AV381" s="1229"/>
      <c r="AW381" s="1229"/>
      <c r="AX381" s="1337"/>
      <c r="AY381" s="1337"/>
      <c r="AZ381" s="1229"/>
      <c r="BA381" s="1229"/>
      <c r="BB381" s="1229"/>
      <c r="BC381" s="1229"/>
      <c r="BD381" s="1337"/>
      <c r="BE381" s="1337"/>
      <c r="BF381" s="1229"/>
      <c r="BG381" s="1229"/>
      <c r="BH381" s="1229"/>
      <c r="BI381" s="1222"/>
      <c r="BJ381" s="1338"/>
      <c r="BK381" s="1338"/>
      <c r="BL381" s="1222"/>
      <c r="BM381" s="1222"/>
      <c r="BN381" s="1222"/>
      <c r="BO381" s="1222"/>
    </row>
    <row r="382" ht="7.5" customHeight="1">
      <c r="A382" s="1222"/>
      <c r="B382" s="1229"/>
      <c r="C382" s="1349"/>
      <c r="D382" s="1229"/>
      <c r="E382" s="1229"/>
      <c r="F382" s="1229"/>
      <c r="G382" s="1229"/>
      <c r="H382" s="1229"/>
      <c r="I382" s="1229"/>
      <c r="J382" s="1229"/>
      <c r="K382" s="1229"/>
      <c r="L382" s="1229"/>
      <c r="M382" s="1229"/>
      <c r="N382" s="1337"/>
      <c r="O382" s="1337"/>
      <c r="P382" s="1229"/>
      <c r="Q382" s="1229"/>
      <c r="R382" s="1229"/>
      <c r="S382" s="1229"/>
      <c r="T382" s="1337"/>
      <c r="U382" s="1337"/>
      <c r="V382" s="1229"/>
      <c r="W382" s="1229"/>
      <c r="X382" s="1229"/>
      <c r="Y382" s="1229"/>
      <c r="Z382" s="1337"/>
      <c r="AA382" s="1337"/>
      <c r="AB382" s="1229"/>
      <c r="AC382" s="1229"/>
      <c r="AD382" s="1229"/>
      <c r="AE382" s="1229"/>
      <c r="AF382" s="1337"/>
      <c r="AG382" s="1337"/>
      <c r="AH382" s="1229"/>
      <c r="AI382" s="1229"/>
      <c r="AJ382" s="1229"/>
      <c r="AK382" s="1229"/>
      <c r="AL382" s="1337"/>
      <c r="AM382" s="1337"/>
      <c r="AN382" s="1229"/>
      <c r="AO382" s="1229"/>
      <c r="AP382" s="1229"/>
      <c r="AQ382" s="1229"/>
      <c r="AR382" s="1337"/>
      <c r="AS382" s="1337"/>
      <c r="AT382" s="1229"/>
      <c r="AU382" s="1229"/>
      <c r="AV382" s="1229"/>
      <c r="AW382" s="1229"/>
      <c r="AX382" s="1337"/>
      <c r="AY382" s="1337"/>
      <c r="AZ382" s="1229"/>
      <c r="BA382" s="1229"/>
      <c r="BB382" s="1229"/>
      <c r="BC382" s="1229"/>
      <c r="BD382" s="1337"/>
      <c r="BE382" s="1337"/>
      <c r="BF382" s="1229"/>
      <c r="BG382" s="1229"/>
      <c r="BH382" s="1229"/>
      <c r="BI382" s="1222"/>
      <c r="BJ382" s="1338"/>
      <c r="BK382" s="1338"/>
      <c r="BL382" s="1222"/>
      <c r="BM382" s="1222"/>
      <c r="BN382" s="1222"/>
      <c r="BO382" s="1222"/>
    </row>
    <row r="383">
      <c r="A383" s="1222"/>
      <c r="B383" s="1229"/>
      <c r="C383" s="1349"/>
      <c r="D383" s="1229"/>
      <c r="E383" s="1229"/>
      <c r="F383" s="1229"/>
      <c r="G383" s="1229"/>
      <c r="H383" s="1229"/>
      <c r="I383" s="1229"/>
      <c r="J383" s="1229"/>
      <c r="K383" s="1229"/>
      <c r="L383" s="1229"/>
      <c r="M383" s="1229"/>
      <c r="N383" s="1337"/>
      <c r="O383" s="1337"/>
      <c r="P383" s="1229"/>
      <c r="Q383" s="1229"/>
      <c r="R383" s="1229"/>
      <c r="S383" s="1229"/>
      <c r="T383" s="1337"/>
      <c r="U383" s="1337"/>
      <c r="V383" s="1229"/>
      <c r="W383" s="1229"/>
      <c r="X383" s="1229"/>
      <c r="Y383" s="1229"/>
      <c r="Z383" s="1337"/>
      <c r="AA383" s="1337"/>
      <c r="AB383" s="1229"/>
      <c r="AC383" s="1229"/>
      <c r="AD383" s="1229"/>
      <c r="AE383" s="1229"/>
      <c r="AF383" s="1337"/>
      <c r="AG383" s="1337"/>
      <c r="AH383" s="1229"/>
      <c r="AI383" s="1229"/>
      <c r="AJ383" s="1229"/>
      <c r="AK383" s="1229"/>
      <c r="AL383" s="1337"/>
      <c r="AM383" s="1337"/>
      <c r="AN383" s="1229"/>
      <c r="AO383" s="1229"/>
      <c r="AP383" s="1229"/>
      <c r="AQ383" s="1229"/>
      <c r="AR383" s="1337"/>
      <c r="AS383" s="1337"/>
      <c r="AT383" s="1229"/>
      <c r="AU383" s="1229"/>
      <c r="AV383" s="1229"/>
      <c r="AW383" s="1229"/>
      <c r="AX383" s="1337"/>
      <c r="AY383" s="1337"/>
      <c r="AZ383" s="1229"/>
      <c r="BA383" s="1229"/>
      <c r="BB383" s="1229"/>
      <c r="BC383" s="1229"/>
      <c r="BD383" s="1337"/>
      <c r="BE383" s="1337"/>
      <c r="BF383" s="1229"/>
      <c r="BG383" s="1229"/>
      <c r="BH383" s="1229"/>
      <c r="BI383" s="1222"/>
      <c r="BJ383" s="1338"/>
      <c r="BK383" s="1338"/>
      <c r="BL383" s="1222"/>
      <c r="BM383" s="1222"/>
      <c r="BN383" s="1222"/>
      <c r="BO383" s="1222"/>
    </row>
    <row r="384" ht="7.5" customHeight="1">
      <c r="A384" s="1222"/>
      <c r="B384" s="1229"/>
      <c r="C384" s="1349"/>
      <c r="D384" s="1229"/>
      <c r="E384" s="1229"/>
      <c r="F384" s="1229"/>
      <c r="G384" s="1229"/>
      <c r="H384" s="1229"/>
      <c r="I384" s="1229"/>
      <c r="J384" s="1229"/>
      <c r="K384" s="1229"/>
      <c r="L384" s="1229"/>
      <c r="M384" s="1229"/>
      <c r="N384" s="1337"/>
      <c r="O384" s="1337"/>
      <c r="P384" s="1229"/>
      <c r="Q384" s="1229"/>
      <c r="R384" s="1229"/>
      <c r="S384" s="1229"/>
      <c r="T384" s="1337"/>
      <c r="U384" s="1337"/>
      <c r="V384" s="1229"/>
      <c r="W384" s="1229"/>
      <c r="X384" s="1229"/>
      <c r="Y384" s="1229"/>
      <c r="Z384" s="1337"/>
      <c r="AA384" s="1337"/>
      <c r="AB384" s="1229"/>
      <c r="AC384" s="1229"/>
      <c r="AD384" s="1229"/>
      <c r="AE384" s="1229"/>
      <c r="AF384" s="1337"/>
      <c r="AG384" s="1337"/>
      <c r="AH384" s="1229"/>
      <c r="AI384" s="1229"/>
      <c r="AJ384" s="1229"/>
      <c r="AK384" s="1229"/>
      <c r="AL384" s="1337"/>
      <c r="AM384" s="1337"/>
      <c r="AN384" s="1229"/>
      <c r="AO384" s="1229"/>
      <c r="AP384" s="1229"/>
      <c r="AQ384" s="1229"/>
      <c r="AR384" s="1337"/>
      <c r="AS384" s="1337"/>
      <c r="AT384" s="1229"/>
      <c r="AU384" s="1229"/>
      <c r="AV384" s="1229"/>
      <c r="AW384" s="1229"/>
      <c r="AX384" s="1337"/>
      <c r="AY384" s="1337"/>
      <c r="AZ384" s="1229"/>
      <c r="BA384" s="1229"/>
      <c r="BB384" s="1229"/>
      <c r="BC384" s="1229"/>
      <c r="BD384" s="1337"/>
      <c r="BE384" s="1337"/>
      <c r="BF384" s="1229"/>
      <c r="BG384" s="1229"/>
      <c r="BH384" s="1229"/>
      <c r="BI384" s="1222"/>
      <c r="BJ384" s="1338"/>
      <c r="BK384" s="1338"/>
      <c r="BL384" s="1222"/>
      <c r="BM384" s="1222"/>
      <c r="BN384" s="1222"/>
      <c r="BO384" s="1222"/>
    </row>
    <row r="385">
      <c r="A385" s="1222"/>
      <c r="B385" s="1229"/>
      <c r="C385" s="1349"/>
      <c r="D385" s="1229"/>
      <c r="E385" s="1229"/>
      <c r="F385" s="1229"/>
      <c r="G385" s="1229"/>
      <c r="H385" s="1229"/>
      <c r="I385" s="1229"/>
      <c r="J385" s="1229"/>
      <c r="K385" s="1229"/>
      <c r="L385" s="1229"/>
      <c r="M385" s="1229"/>
      <c r="N385" s="1337"/>
      <c r="O385" s="1337"/>
      <c r="P385" s="1229"/>
      <c r="Q385" s="1229"/>
      <c r="R385" s="1229"/>
      <c r="S385" s="1229"/>
      <c r="T385" s="1337"/>
      <c r="U385" s="1337"/>
      <c r="V385" s="1229"/>
      <c r="W385" s="1229"/>
      <c r="X385" s="1229"/>
      <c r="Y385" s="1229"/>
      <c r="Z385" s="1337"/>
      <c r="AA385" s="1337"/>
      <c r="AB385" s="1229"/>
      <c r="AC385" s="1229"/>
      <c r="AD385" s="1229"/>
      <c r="AE385" s="1229"/>
      <c r="AF385" s="1337"/>
      <c r="AG385" s="1337"/>
      <c r="AH385" s="1229"/>
      <c r="AI385" s="1229"/>
      <c r="AJ385" s="1229"/>
      <c r="AK385" s="1229"/>
      <c r="AL385" s="1337"/>
      <c r="AM385" s="1337"/>
      <c r="AN385" s="1229"/>
      <c r="AO385" s="1229"/>
      <c r="AP385" s="1229"/>
      <c r="AQ385" s="1229"/>
      <c r="AR385" s="1337"/>
      <c r="AS385" s="1337"/>
      <c r="AT385" s="1229"/>
      <c r="AU385" s="1229"/>
      <c r="AV385" s="1229"/>
      <c r="AW385" s="1229"/>
      <c r="AX385" s="1337"/>
      <c r="AY385" s="1337"/>
      <c r="AZ385" s="1229"/>
      <c r="BA385" s="1229"/>
      <c r="BB385" s="1229"/>
      <c r="BC385" s="1229"/>
      <c r="BD385" s="1337"/>
      <c r="BE385" s="1337"/>
      <c r="BF385" s="1229"/>
      <c r="BG385" s="1229"/>
      <c r="BH385" s="1229"/>
      <c r="BI385" s="1222"/>
      <c r="BJ385" s="1338"/>
      <c r="BK385" s="1338"/>
      <c r="BL385" s="1222"/>
      <c r="BM385" s="1222"/>
      <c r="BN385" s="1222"/>
      <c r="BO385" s="1222"/>
    </row>
    <row r="386" ht="7.5" customHeight="1">
      <c r="A386" s="1222"/>
      <c r="B386" s="1229"/>
      <c r="C386" s="1349"/>
      <c r="D386" s="1229"/>
      <c r="E386" s="1229"/>
      <c r="F386" s="1229"/>
      <c r="G386" s="1229"/>
      <c r="H386" s="1229"/>
      <c r="I386" s="1229"/>
      <c r="J386" s="1229"/>
      <c r="K386" s="1229"/>
      <c r="L386" s="1229"/>
      <c r="M386" s="1229"/>
      <c r="N386" s="1337"/>
      <c r="O386" s="1337"/>
      <c r="P386" s="1229"/>
      <c r="Q386" s="1229"/>
      <c r="R386" s="1229"/>
      <c r="S386" s="1229"/>
      <c r="T386" s="1337"/>
      <c r="U386" s="1337"/>
      <c r="V386" s="1229"/>
      <c r="W386" s="1229"/>
      <c r="X386" s="1229"/>
      <c r="Y386" s="1229"/>
      <c r="Z386" s="1337"/>
      <c r="AA386" s="1337"/>
      <c r="AB386" s="1229"/>
      <c r="AC386" s="1229"/>
      <c r="AD386" s="1229"/>
      <c r="AE386" s="1229"/>
      <c r="AF386" s="1337"/>
      <c r="AG386" s="1337"/>
      <c r="AH386" s="1229"/>
      <c r="AI386" s="1229"/>
      <c r="AJ386" s="1229"/>
      <c r="AK386" s="1229"/>
      <c r="AL386" s="1337"/>
      <c r="AM386" s="1337"/>
      <c r="AN386" s="1229"/>
      <c r="AO386" s="1229"/>
      <c r="AP386" s="1229"/>
      <c r="AQ386" s="1229"/>
      <c r="AR386" s="1337"/>
      <c r="AS386" s="1337"/>
      <c r="AT386" s="1229"/>
      <c r="AU386" s="1229"/>
      <c r="AV386" s="1229"/>
      <c r="AW386" s="1229"/>
      <c r="AX386" s="1337"/>
      <c r="AY386" s="1337"/>
      <c r="AZ386" s="1229"/>
      <c r="BA386" s="1229"/>
      <c r="BB386" s="1229"/>
      <c r="BC386" s="1229"/>
      <c r="BD386" s="1337"/>
      <c r="BE386" s="1337"/>
      <c r="BF386" s="1229"/>
      <c r="BG386" s="1229"/>
      <c r="BH386" s="1229"/>
      <c r="BI386" s="1222"/>
      <c r="BJ386" s="1338"/>
      <c r="BK386" s="1338"/>
      <c r="BL386" s="1222"/>
      <c r="BM386" s="1222"/>
      <c r="BN386" s="1222"/>
      <c r="BO386" s="1222"/>
    </row>
    <row r="387">
      <c r="A387" s="1222"/>
      <c r="B387" s="1229"/>
      <c r="C387" s="1349"/>
      <c r="D387" s="1229"/>
      <c r="E387" s="1229"/>
      <c r="F387" s="1229"/>
      <c r="G387" s="1229"/>
      <c r="H387" s="1229"/>
      <c r="I387" s="1229"/>
      <c r="J387" s="1229"/>
      <c r="K387" s="1229"/>
      <c r="L387" s="1229"/>
      <c r="M387" s="1229"/>
      <c r="N387" s="1337"/>
      <c r="O387" s="1337"/>
      <c r="P387" s="1229"/>
      <c r="Q387" s="1229"/>
      <c r="R387" s="1229"/>
      <c r="S387" s="1229"/>
      <c r="T387" s="1337"/>
      <c r="U387" s="1337"/>
      <c r="V387" s="1229"/>
      <c r="W387" s="1229"/>
      <c r="X387" s="1229"/>
      <c r="Y387" s="1229"/>
      <c r="Z387" s="1337"/>
      <c r="AA387" s="1337"/>
      <c r="AB387" s="1229"/>
      <c r="AC387" s="1229"/>
      <c r="AD387" s="1229"/>
      <c r="AE387" s="1229"/>
      <c r="AF387" s="1337"/>
      <c r="AG387" s="1337"/>
      <c r="AH387" s="1229"/>
      <c r="AI387" s="1229"/>
      <c r="AJ387" s="1229"/>
      <c r="AK387" s="1229"/>
      <c r="AL387" s="1337"/>
      <c r="AM387" s="1337"/>
      <c r="AN387" s="1229"/>
      <c r="AO387" s="1229"/>
      <c r="AP387" s="1229"/>
      <c r="AQ387" s="1229"/>
      <c r="AR387" s="1337"/>
      <c r="AS387" s="1337"/>
      <c r="AT387" s="1229"/>
      <c r="AU387" s="1229"/>
      <c r="AV387" s="1229"/>
      <c r="AW387" s="1229"/>
      <c r="AX387" s="1337"/>
      <c r="AY387" s="1337"/>
      <c r="AZ387" s="1229"/>
      <c r="BA387" s="1229"/>
      <c r="BB387" s="1229"/>
      <c r="BC387" s="1229"/>
      <c r="BD387" s="1337"/>
      <c r="BE387" s="1337"/>
      <c r="BF387" s="1229"/>
      <c r="BG387" s="1229"/>
      <c r="BH387" s="1229"/>
      <c r="BI387" s="1222"/>
      <c r="BJ387" s="1338"/>
      <c r="BK387" s="1338"/>
      <c r="BL387" s="1222"/>
      <c r="BM387" s="1222"/>
      <c r="BN387" s="1222"/>
      <c r="BO387" s="1222"/>
    </row>
    <row r="388" ht="7.5" customHeight="1">
      <c r="A388" s="1222"/>
      <c r="B388" s="1229"/>
      <c r="C388" s="1349"/>
      <c r="D388" s="1229"/>
      <c r="E388" s="1229"/>
      <c r="F388" s="1229"/>
      <c r="G388" s="1229"/>
      <c r="H388" s="1229"/>
      <c r="I388" s="1229"/>
      <c r="J388" s="1229"/>
      <c r="K388" s="1229"/>
      <c r="L388" s="1229"/>
      <c r="M388" s="1229"/>
      <c r="N388" s="1337"/>
      <c r="O388" s="1337"/>
      <c r="P388" s="1229"/>
      <c r="Q388" s="1229"/>
      <c r="R388" s="1229"/>
      <c r="S388" s="1229"/>
      <c r="T388" s="1337"/>
      <c r="U388" s="1337"/>
      <c r="V388" s="1229"/>
      <c r="W388" s="1229"/>
      <c r="X388" s="1229"/>
      <c r="Y388" s="1229"/>
      <c r="Z388" s="1337"/>
      <c r="AA388" s="1337"/>
      <c r="AB388" s="1229"/>
      <c r="AC388" s="1229"/>
      <c r="AD388" s="1229"/>
      <c r="AE388" s="1229"/>
      <c r="AF388" s="1337"/>
      <c r="AG388" s="1337"/>
      <c r="AH388" s="1229"/>
      <c r="AI388" s="1229"/>
      <c r="AJ388" s="1229"/>
      <c r="AK388" s="1229"/>
      <c r="AL388" s="1337"/>
      <c r="AM388" s="1337"/>
      <c r="AN388" s="1229"/>
      <c r="AO388" s="1229"/>
      <c r="AP388" s="1229"/>
      <c r="AQ388" s="1229"/>
      <c r="AR388" s="1337"/>
      <c r="AS388" s="1337"/>
      <c r="AT388" s="1229"/>
      <c r="AU388" s="1229"/>
      <c r="AV388" s="1229"/>
      <c r="AW388" s="1229"/>
      <c r="AX388" s="1337"/>
      <c r="AY388" s="1337"/>
      <c r="AZ388" s="1229"/>
      <c r="BA388" s="1229"/>
      <c r="BB388" s="1229"/>
      <c r="BC388" s="1229"/>
      <c r="BD388" s="1337"/>
      <c r="BE388" s="1337"/>
      <c r="BF388" s="1229"/>
      <c r="BG388" s="1229"/>
      <c r="BH388" s="1229"/>
      <c r="BI388" s="1222"/>
      <c r="BJ388" s="1338"/>
      <c r="BK388" s="1338"/>
      <c r="BL388" s="1222"/>
      <c r="BM388" s="1222"/>
      <c r="BN388" s="1222"/>
      <c r="BO388" s="1222"/>
    </row>
    <row r="389">
      <c r="A389" s="1222"/>
      <c r="B389" s="1229"/>
      <c r="C389" s="1349"/>
      <c r="D389" s="1229"/>
      <c r="E389" s="1229"/>
      <c r="F389" s="1229"/>
      <c r="G389" s="1229"/>
      <c r="H389" s="1229"/>
      <c r="I389" s="1229"/>
      <c r="J389" s="1229"/>
      <c r="K389" s="1229"/>
      <c r="L389" s="1229"/>
      <c r="M389" s="1229"/>
      <c r="N389" s="1337"/>
      <c r="O389" s="1337"/>
      <c r="P389" s="1229"/>
      <c r="Q389" s="1229"/>
      <c r="R389" s="1229"/>
      <c r="S389" s="1229"/>
      <c r="T389" s="1337"/>
      <c r="U389" s="1337"/>
      <c r="V389" s="1229"/>
      <c r="W389" s="1229"/>
      <c r="X389" s="1229"/>
      <c r="Y389" s="1229"/>
      <c r="Z389" s="1337"/>
      <c r="AA389" s="1337"/>
      <c r="AB389" s="1229"/>
      <c r="AC389" s="1229"/>
      <c r="AD389" s="1229"/>
      <c r="AE389" s="1229"/>
      <c r="AF389" s="1337"/>
      <c r="AG389" s="1337"/>
      <c r="AH389" s="1229"/>
      <c r="AI389" s="1229"/>
      <c r="AJ389" s="1229"/>
      <c r="AK389" s="1229"/>
      <c r="AL389" s="1337"/>
      <c r="AM389" s="1337"/>
      <c r="AN389" s="1229"/>
      <c r="AO389" s="1229"/>
      <c r="AP389" s="1229"/>
      <c r="AQ389" s="1229"/>
      <c r="AR389" s="1337"/>
      <c r="AS389" s="1337"/>
      <c r="AT389" s="1229"/>
      <c r="AU389" s="1229"/>
      <c r="AV389" s="1229"/>
      <c r="AW389" s="1229"/>
      <c r="AX389" s="1337"/>
      <c r="AY389" s="1337"/>
      <c r="AZ389" s="1229"/>
      <c r="BA389" s="1229"/>
      <c r="BB389" s="1229"/>
      <c r="BC389" s="1229"/>
      <c r="BD389" s="1337"/>
      <c r="BE389" s="1337"/>
      <c r="BF389" s="1229"/>
      <c r="BG389" s="1229"/>
      <c r="BH389" s="1229"/>
      <c r="BI389" s="1222"/>
      <c r="BJ389" s="1338"/>
      <c r="BK389" s="1338"/>
      <c r="BL389" s="1222"/>
      <c r="BM389" s="1222"/>
      <c r="BN389" s="1222"/>
      <c r="BO389" s="1222"/>
    </row>
    <row r="390" ht="7.5" customHeight="1">
      <c r="A390" s="1222"/>
      <c r="B390" s="1229"/>
      <c r="C390" s="1349"/>
      <c r="D390" s="1229"/>
      <c r="E390" s="1229"/>
      <c r="F390" s="1229"/>
      <c r="G390" s="1229"/>
      <c r="H390" s="1229"/>
      <c r="I390" s="1229"/>
      <c r="J390" s="1229"/>
      <c r="K390" s="1229"/>
      <c r="L390" s="1229"/>
      <c r="M390" s="1229"/>
      <c r="N390" s="1337"/>
      <c r="O390" s="1337"/>
      <c r="P390" s="1229"/>
      <c r="Q390" s="1229"/>
      <c r="R390" s="1229"/>
      <c r="S390" s="1229"/>
      <c r="T390" s="1337"/>
      <c r="U390" s="1337"/>
      <c r="V390" s="1229"/>
      <c r="W390" s="1229"/>
      <c r="X390" s="1229"/>
      <c r="Y390" s="1229"/>
      <c r="Z390" s="1337"/>
      <c r="AA390" s="1337"/>
      <c r="AB390" s="1229"/>
      <c r="AC390" s="1229"/>
      <c r="AD390" s="1229"/>
      <c r="AE390" s="1229"/>
      <c r="AF390" s="1337"/>
      <c r="AG390" s="1337"/>
      <c r="AH390" s="1229"/>
      <c r="AI390" s="1229"/>
      <c r="AJ390" s="1229"/>
      <c r="AK390" s="1229"/>
      <c r="AL390" s="1337"/>
      <c r="AM390" s="1337"/>
      <c r="AN390" s="1229"/>
      <c r="AO390" s="1229"/>
      <c r="AP390" s="1229"/>
      <c r="AQ390" s="1229"/>
      <c r="AR390" s="1337"/>
      <c r="AS390" s="1337"/>
      <c r="AT390" s="1229"/>
      <c r="AU390" s="1229"/>
      <c r="AV390" s="1229"/>
      <c r="AW390" s="1229"/>
      <c r="AX390" s="1337"/>
      <c r="AY390" s="1337"/>
      <c r="AZ390" s="1229"/>
      <c r="BA390" s="1229"/>
      <c r="BB390" s="1229"/>
      <c r="BC390" s="1229"/>
      <c r="BD390" s="1337"/>
      <c r="BE390" s="1337"/>
      <c r="BF390" s="1229"/>
      <c r="BG390" s="1229"/>
      <c r="BH390" s="1229"/>
      <c r="BI390" s="1222"/>
      <c r="BJ390" s="1338"/>
      <c r="BK390" s="1338"/>
      <c r="BL390" s="1222"/>
      <c r="BM390" s="1222"/>
      <c r="BN390" s="1222"/>
      <c r="BO390" s="1222"/>
    </row>
    <row r="391">
      <c r="A391" s="1222"/>
      <c r="B391" s="1229"/>
      <c r="C391" s="1349"/>
      <c r="D391" s="1229"/>
      <c r="E391" s="1229"/>
      <c r="F391" s="1229"/>
      <c r="G391" s="1229"/>
      <c r="H391" s="1229"/>
      <c r="I391" s="1229"/>
      <c r="J391" s="1229"/>
      <c r="K391" s="1229"/>
      <c r="L391" s="1229"/>
      <c r="M391" s="1229"/>
      <c r="N391" s="1337"/>
      <c r="O391" s="1337"/>
      <c r="P391" s="1229"/>
      <c r="Q391" s="1229"/>
      <c r="R391" s="1229"/>
      <c r="S391" s="1229"/>
      <c r="T391" s="1337"/>
      <c r="U391" s="1337"/>
      <c r="V391" s="1229"/>
      <c r="W391" s="1229"/>
      <c r="X391" s="1229"/>
      <c r="Y391" s="1229"/>
      <c r="Z391" s="1337"/>
      <c r="AA391" s="1337"/>
      <c r="AB391" s="1229"/>
      <c r="AC391" s="1229"/>
      <c r="AD391" s="1229"/>
      <c r="AE391" s="1229"/>
      <c r="AF391" s="1337"/>
      <c r="AG391" s="1337"/>
      <c r="AH391" s="1229"/>
      <c r="AI391" s="1229"/>
      <c r="AJ391" s="1229"/>
      <c r="AK391" s="1229"/>
      <c r="AL391" s="1337"/>
      <c r="AM391" s="1337"/>
      <c r="AN391" s="1229"/>
      <c r="AO391" s="1229"/>
      <c r="AP391" s="1229"/>
      <c r="AQ391" s="1229"/>
      <c r="AR391" s="1337"/>
      <c r="AS391" s="1337"/>
      <c r="AT391" s="1229"/>
      <c r="AU391" s="1229"/>
      <c r="AV391" s="1229"/>
      <c r="AW391" s="1229"/>
      <c r="AX391" s="1337"/>
      <c r="AY391" s="1337"/>
      <c r="AZ391" s="1229"/>
      <c r="BA391" s="1229"/>
      <c r="BB391" s="1229"/>
      <c r="BC391" s="1229"/>
      <c r="BD391" s="1337"/>
      <c r="BE391" s="1337"/>
      <c r="BF391" s="1229"/>
      <c r="BG391" s="1229"/>
      <c r="BH391" s="1229"/>
      <c r="BI391" s="1222"/>
      <c r="BJ391" s="1338"/>
      <c r="BK391" s="1338"/>
      <c r="BL391" s="1222"/>
      <c r="BM391" s="1222"/>
      <c r="BN391" s="1222"/>
      <c r="BO391" s="1222"/>
    </row>
    <row r="392" ht="7.5" customHeight="1">
      <c r="A392" s="1222"/>
      <c r="B392" s="1229"/>
      <c r="C392" s="1349"/>
      <c r="D392" s="1229"/>
      <c r="E392" s="1229"/>
      <c r="F392" s="1229"/>
      <c r="G392" s="1229"/>
      <c r="H392" s="1229"/>
      <c r="I392" s="1229"/>
      <c r="J392" s="1229"/>
      <c r="K392" s="1229"/>
      <c r="L392" s="1229"/>
      <c r="M392" s="1229"/>
      <c r="N392" s="1337"/>
      <c r="O392" s="1337"/>
      <c r="P392" s="1229"/>
      <c r="Q392" s="1229"/>
      <c r="R392" s="1229"/>
      <c r="S392" s="1229"/>
      <c r="T392" s="1337"/>
      <c r="U392" s="1337"/>
      <c r="V392" s="1229"/>
      <c r="W392" s="1229"/>
      <c r="X392" s="1229"/>
      <c r="Y392" s="1229"/>
      <c r="Z392" s="1337"/>
      <c r="AA392" s="1337"/>
      <c r="AB392" s="1229"/>
      <c r="AC392" s="1229"/>
      <c r="AD392" s="1229"/>
      <c r="AE392" s="1229"/>
      <c r="AF392" s="1337"/>
      <c r="AG392" s="1337"/>
      <c r="AH392" s="1229"/>
      <c r="AI392" s="1229"/>
      <c r="AJ392" s="1229"/>
      <c r="AK392" s="1229"/>
      <c r="AL392" s="1337"/>
      <c r="AM392" s="1337"/>
      <c r="AN392" s="1229"/>
      <c r="AO392" s="1229"/>
      <c r="AP392" s="1229"/>
      <c r="AQ392" s="1229"/>
      <c r="AR392" s="1337"/>
      <c r="AS392" s="1337"/>
      <c r="AT392" s="1229"/>
      <c r="AU392" s="1229"/>
      <c r="AV392" s="1229"/>
      <c r="AW392" s="1229"/>
      <c r="AX392" s="1337"/>
      <c r="AY392" s="1337"/>
      <c r="AZ392" s="1229"/>
      <c r="BA392" s="1229"/>
      <c r="BB392" s="1229"/>
      <c r="BC392" s="1229"/>
      <c r="BD392" s="1337"/>
      <c r="BE392" s="1337"/>
      <c r="BF392" s="1229"/>
      <c r="BG392" s="1229"/>
      <c r="BH392" s="1229"/>
      <c r="BI392" s="1222"/>
      <c r="BJ392" s="1338"/>
      <c r="BK392" s="1338"/>
      <c r="BL392" s="1222"/>
      <c r="BM392" s="1222"/>
      <c r="BN392" s="1222"/>
      <c r="BO392" s="1222"/>
    </row>
    <row r="393">
      <c r="A393" s="1222"/>
      <c r="B393" s="1229"/>
      <c r="C393" s="1349"/>
      <c r="D393" s="1229"/>
      <c r="E393" s="1229"/>
      <c r="F393" s="1229"/>
      <c r="G393" s="1229"/>
      <c r="H393" s="1229"/>
      <c r="I393" s="1229"/>
      <c r="J393" s="1229"/>
      <c r="K393" s="1229"/>
      <c r="L393" s="1229"/>
      <c r="M393" s="1229"/>
      <c r="N393" s="1337"/>
      <c r="O393" s="1337"/>
      <c r="P393" s="1229"/>
      <c r="Q393" s="1229"/>
      <c r="R393" s="1229"/>
      <c r="S393" s="1229"/>
      <c r="T393" s="1337"/>
      <c r="U393" s="1337"/>
      <c r="V393" s="1229"/>
      <c r="W393" s="1229"/>
      <c r="X393" s="1229"/>
      <c r="Y393" s="1229"/>
      <c r="Z393" s="1337"/>
      <c r="AA393" s="1337"/>
      <c r="AB393" s="1229"/>
      <c r="AC393" s="1229"/>
      <c r="AD393" s="1229"/>
      <c r="AE393" s="1229"/>
      <c r="AF393" s="1337"/>
      <c r="AG393" s="1337"/>
      <c r="AH393" s="1229"/>
      <c r="AI393" s="1229"/>
      <c r="AJ393" s="1229"/>
      <c r="AK393" s="1229"/>
      <c r="AL393" s="1337"/>
      <c r="AM393" s="1337"/>
      <c r="AN393" s="1229"/>
      <c r="AO393" s="1229"/>
      <c r="AP393" s="1229"/>
      <c r="AQ393" s="1229"/>
      <c r="AR393" s="1337"/>
      <c r="AS393" s="1337"/>
      <c r="AT393" s="1229"/>
      <c r="AU393" s="1229"/>
      <c r="AV393" s="1229"/>
      <c r="AW393" s="1229"/>
      <c r="AX393" s="1337"/>
      <c r="AY393" s="1337"/>
      <c r="AZ393" s="1229"/>
      <c r="BA393" s="1229"/>
      <c r="BB393" s="1229"/>
      <c r="BC393" s="1229"/>
      <c r="BD393" s="1337"/>
      <c r="BE393" s="1337"/>
      <c r="BF393" s="1229"/>
      <c r="BG393" s="1229"/>
      <c r="BH393" s="1229"/>
      <c r="BI393" s="1222"/>
      <c r="BJ393" s="1338"/>
      <c r="BK393" s="1338"/>
      <c r="BL393" s="1222"/>
      <c r="BM393" s="1222"/>
      <c r="BN393" s="1222"/>
      <c r="BO393" s="1222"/>
    </row>
    <row r="394" ht="7.5" customHeight="1">
      <c r="A394" s="1222"/>
      <c r="B394" s="1229"/>
      <c r="C394" s="1349"/>
      <c r="D394" s="1229"/>
      <c r="E394" s="1229"/>
      <c r="F394" s="1229"/>
      <c r="G394" s="1229"/>
      <c r="H394" s="1229"/>
      <c r="I394" s="1229"/>
      <c r="J394" s="1229"/>
      <c r="K394" s="1229"/>
      <c r="L394" s="1229"/>
      <c r="M394" s="1229"/>
      <c r="N394" s="1337"/>
      <c r="O394" s="1337"/>
      <c r="P394" s="1229"/>
      <c r="Q394" s="1229"/>
      <c r="R394" s="1229"/>
      <c r="S394" s="1229"/>
      <c r="T394" s="1337"/>
      <c r="U394" s="1337"/>
      <c r="V394" s="1229"/>
      <c r="W394" s="1229"/>
      <c r="X394" s="1229"/>
      <c r="Y394" s="1229"/>
      <c r="Z394" s="1337"/>
      <c r="AA394" s="1337"/>
      <c r="AB394" s="1229"/>
      <c r="AC394" s="1229"/>
      <c r="AD394" s="1229"/>
      <c r="AE394" s="1229"/>
      <c r="AF394" s="1337"/>
      <c r="AG394" s="1337"/>
      <c r="AH394" s="1229"/>
      <c r="AI394" s="1229"/>
      <c r="AJ394" s="1229"/>
      <c r="AK394" s="1229"/>
      <c r="AL394" s="1337"/>
      <c r="AM394" s="1337"/>
      <c r="AN394" s="1229"/>
      <c r="AO394" s="1229"/>
      <c r="AP394" s="1229"/>
      <c r="AQ394" s="1229"/>
      <c r="AR394" s="1337"/>
      <c r="AS394" s="1337"/>
      <c r="AT394" s="1229"/>
      <c r="AU394" s="1229"/>
      <c r="AV394" s="1229"/>
      <c r="AW394" s="1229"/>
      <c r="AX394" s="1337"/>
      <c r="AY394" s="1337"/>
      <c r="AZ394" s="1229"/>
      <c r="BA394" s="1229"/>
      <c r="BB394" s="1229"/>
      <c r="BC394" s="1229"/>
      <c r="BD394" s="1337"/>
      <c r="BE394" s="1337"/>
      <c r="BF394" s="1229"/>
      <c r="BG394" s="1229"/>
      <c r="BH394" s="1229"/>
      <c r="BI394" s="1222"/>
      <c r="BJ394" s="1338"/>
      <c r="BK394" s="1338"/>
      <c r="BL394" s="1222"/>
      <c r="BM394" s="1222"/>
      <c r="BN394" s="1222"/>
      <c r="BO394" s="1222"/>
    </row>
    <row r="395">
      <c r="A395" s="1222"/>
      <c r="B395" s="1229"/>
      <c r="C395" s="1349"/>
      <c r="D395" s="1229"/>
      <c r="E395" s="1229"/>
      <c r="F395" s="1229"/>
      <c r="G395" s="1229"/>
      <c r="H395" s="1229"/>
      <c r="I395" s="1229"/>
      <c r="J395" s="1229"/>
      <c r="K395" s="1229"/>
      <c r="L395" s="1229"/>
      <c r="M395" s="1229"/>
      <c r="N395" s="1337"/>
      <c r="O395" s="1337"/>
      <c r="P395" s="1229"/>
      <c r="Q395" s="1229"/>
      <c r="R395" s="1229"/>
      <c r="S395" s="1229"/>
      <c r="T395" s="1337"/>
      <c r="U395" s="1337"/>
      <c r="V395" s="1229"/>
      <c r="W395" s="1229"/>
      <c r="X395" s="1229"/>
      <c r="Y395" s="1229"/>
      <c r="Z395" s="1337"/>
      <c r="AA395" s="1337"/>
      <c r="AB395" s="1229"/>
      <c r="AC395" s="1229"/>
      <c r="AD395" s="1229"/>
      <c r="AE395" s="1229"/>
      <c r="AF395" s="1337"/>
      <c r="AG395" s="1337"/>
      <c r="AH395" s="1229"/>
      <c r="AI395" s="1229"/>
      <c r="AJ395" s="1229"/>
      <c r="AK395" s="1229"/>
      <c r="AL395" s="1337"/>
      <c r="AM395" s="1337"/>
      <c r="AN395" s="1229"/>
      <c r="AO395" s="1229"/>
      <c r="AP395" s="1229"/>
      <c r="AQ395" s="1229"/>
      <c r="AR395" s="1337"/>
      <c r="AS395" s="1337"/>
      <c r="AT395" s="1229"/>
      <c r="AU395" s="1229"/>
      <c r="AV395" s="1229"/>
      <c r="AW395" s="1229"/>
      <c r="AX395" s="1337"/>
      <c r="AY395" s="1337"/>
      <c r="AZ395" s="1229"/>
      <c r="BA395" s="1229"/>
      <c r="BB395" s="1229"/>
      <c r="BC395" s="1229"/>
      <c r="BD395" s="1337"/>
      <c r="BE395" s="1337"/>
      <c r="BF395" s="1229"/>
      <c r="BG395" s="1229"/>
      <c r="BH395" s="1229"/>
      <c r="BI395" s="1222"/>
      <c r="BJ395" s="1338"/>
      <c r="BK395" s="1338"/>
      <c r="BL395" s="1222"/>
      <c r="BM395" s="1222"/>
      <c r="BN395" s="1222"/>
      <c r="BO395" s="1222"/>
    </row>
    <row r="396" ht="7.5" customHeight="1">
      <c r="A396" s="1222"/>
      <c r="B396" s="1229"/>
      <c r="C396" s="1349"/>
      <c r="D396" s="1229"/>
      <c r="E396" s="1229"/>
      <c r="F396" s="1229"/>
      <c r="G396" s="1229"/>
      <c r="H396" s="1229"/>
      <c r="I396" s="1229"/>
      <c r="J396" s="1229"/>
      <c r="K396" s="1229"/>
      <c r="L396" s="1229"/>
      <c r="M396" s="1229"/>
      <c r="N396" s="1337"/>
      <c r="O396" s="1337"/>
      <c r="P396" s="1229"/>
      <c r="Q396" s="1229"/>
      <c r="R396" s="1229"/>
      <c r="S396" s="1229"/>
      <c r="T396" s="1337"/>
      <c r="U396" s="1337"/>
      <c r="V396" s="1229"/>
      <c r="W396" s="1229"/>
      <c r="X396" s="1229"/>
      <c r="Y396" s="1229"/>
      <c r="Z396" s="1337"/>
      <c r="AA396" s="1337"/>
      <c r="AB396" s="1229"/>
      <c r="AC396" s="1229"/>
      <c r="AD396" s="1229"/>
      <c r="AE396" s="1229"/>
      <c r="AF396" s="1337"/>
      <c r="AG396" s="1337"/>
      <c r="AH396" s="1229"/>
      <c r="AI396" s="1229"/>
      <c r="AJ396" s="1229"/>
      <c r="AK396" s="1229"/>
      <c r="AL396" s="1337"/>
      <c r="AM396" s="1337"/>
      <c r="AN396" s="1229"/>
      <c r="AO396" s="1229"/>
      <c r="AP396" s="1229"/>
      <c r="AQ396" s="1229"/>
      <c r="AR396" s="1337"/>
      <c r="AS396" s="1337"/>
      <c r="AT396" s="1229"/>
      <c r="AU396" s="1229"/>
      <c r="AV396" s="1229"/>
      <c r="AW396" s="1229"/>
      <c r="AX396" s="1337"/>
      <c r="AY396" s="1337"/>
      <c r="AZ396" s="1229"/>
      <c r="BA396" s="1229"/>
      <c r="BB396" s="1229"/>
      <c r="BC396" s="1229"/>
      <c r="BD396" s="1337"/>
      <c r="BE396" s="1337"/>
      <c r="BF396" s="1229"/>
      <c r="BG396" s="1229"/>
      <c r="BH396" s="1229"/>
      <c r="BI396" s="1222"/>
      <c r="BJ396" s="1338"/>
      <c r="BK396" s="1338"/>
      <c r="BL396" s="1222"/>
      <c r="BM396" s="1222"/>
      <c r="BN396" s="1222"/>
      <c r="BO396" s="1222"/>
    </row>
    <row r="397">
      <c r="A397" s="1222"/>
      <c r="B397" s="1229"/>
      <c r="C397" s="1349"/>
      <c r="D397" s="1229"/>
      <c r="E397" s="1229"/>
      <c r="F397" s="1229"/>
      <c r="G397" s="1229"/>
      <c r="H397" s="1229"/>
      <c r="I397" s="1229"/>
      <c r="J397" s="1229"/>
      <c r="K397" s="1229"/>
      <c r="L397" s="1229"/>
      <c r="M397" s="1229"/>
      <c r="N397" s="1337"/>
      <c r="O397" s="1337"/>
      <c r="P397" s="1229"/>
      <c r="Q397" s="1229"/>
      <c r="R397" s="1229"/>
      <c r="S397" s="1229"/>
      <c r="T397" s="1337"/>
      <c r="U397" s="1337"/>
      <c r="V397" s="1229"/>
      <c r="W397" s="1229"/>
      <c r="X397" s="1229"/>
      <c r="Y397" s="1229"/>
      <c r="Z397" s="1337"/>
      <c r="AA397" s="1337"/>
      <c r="AB397" s="1229"/>
      <c r="AC397" s="1229"/>
      <c r="AD397" s="1229"/>
      <c r="AE397" s="1229"/>
      <c r="AF397" s="1337"/>
      <c r="AG397" s="1337"/>
      <c r="AH397" s="1229"/>
      <c r="AI397" s="1229"/>
      <c r="AJ397" s="1229"/>
      <c r="AK397" s="1229"/>
      <c r="AL397" s="1337"/>
      <c r="AM397" s="1337"/>
      <c r="AN397" s="1229"/>
      <c r="AO397" s="1229"/>
      <c r="AP397" s="1229"/>
      <c r="AQ397" s="1229"/>
      <c r="AR397" s="1337"/>
      <c r="AS397" s="1337"/>
      <c r="AT397" s="1229"/>
      <c r="AU397" s="1229"/>
      <c r="AV397" s="1229"/>
      <c r="AW397" s="1229"/>
      <c r="AX397" s="1337"/>
      <c r="AY397" s="1337"/>
      <c r="AZ397" s="1229"/>
      <c r="BA397" s="1229"/>
      <c r="BB397" s="1229"/>
      <c r="BC397" s="1229"/>
      <c r="BD397" s="1337"/>
      <c r="BE397" s="1337"/>
      <c r="BF397" s="1229"/>
      <c r="BG397" s="1229"/>
      <c r="BH397" s="1229"/>
      <c r="BI397" s="1222"/>
      <c r="BJ397" s="1338"/>
      <c r="BK397" s="1338"/>
      <c r="BL397" s="1222"/>
      <c r="BM397" s="1222"/>
      <c r="BN397" s="1222"/>
      <c r="BO397" s="1222"/>
    </row>
    <row r="398" ht="7.5" customHeight="1">
      <c r="A398" s="1222"/>
      <c r="B398" s="1229"/>
      <c r="C398" s="1349"/>
      <c r="D398" s="1229"/>
      <c r="E398" s="1229"/>
      <c r="F398" s="1229"/>
      <c r="G398" s="1229"/>
      <c r="H398" s="1229"/>
      <c r="I398" s="1229"/>
      <c r="J398" s="1229"/>
      <c r="K398" s="1229"/>
      <c r="L398" s="1229"/>
      <c r="M398" s="1229"/>
      <c r="N398" s="1337"/>
      <c r="O398" s="1337"/>
      <c r="P398" s="1229"/>
      <c r="Q398" s="1229"/>
      <c r="R398" s="1229"/>
      <c r="S398" s="1229"/>
      <c r="T398" s="1337"/>
      <c r="U398" s="1337"/>
      <c r="V398" s="1229"/>
      <c r="W398" s="1229"/>
      <c r="X398" s="1229"/>
      <c r="Y398" s="1229"/>
      <c r="Z398" s="1337"/>
      <c r="AA398" s="1337"/>
      <c r="AB398" s="1229"/>
      <c r="AC398" s="1229"/>
      <c r="AD398" s="1229"/>
      <c r="AE398" s="1229"/>
      <c r="AF398" s="1337"/>
      <c r="AG398" s="1337"/>
      <c r="AH398" s="1229"/>
      <c r="AI398" s="1229"/>
      <c r="AJ398" s="1229"/>
      <c r="AK398" s="1229"/>
      <c r="AL398" s="1337"/>
      <c r="AM398" s="1337"/>
      <c r="AN398" s="1229"/>
      <c r="AO398" s="1229"/>
      <c r="AP398" s="1229"/>
      <c r="AQ398" s="1229"/>
      <c r="AR398" s="1337"/>
      <c r="AS398" s="1337"/>
      <c r="AT398" s="1229"/>
      <c r="AU398" s="1229"/>
      <c r="AV398" s="1229"/>
      <c r="AW398" s="1229"/>
      <c r="AX398" s="1337"/>
      <c r="AY398" s="1337"/>
      <c r="AZ398" s="1229"/>
      <c r="BA398" s="1229"/>
      <c r="BB398" s="1229"/>
      <c r="BC398" s="1229"/>
      <c r="BD398" s="1337"/>
      <c r="BE398" s="1337"/>
      <c r="BF398" s="1229"/>
      <c r="BG398" s="1229"/>
      <c r="BH398" s="1229"/>
      <c r="BI398" s="1222"/>
      <c r="BJ398" s="1338"/>
      <c r="BK398" s="1338"/>
      <c r="BL398" s="1222"/>
      <c r="BM398" s="1222"/>
      <c r="BN398" s="1222"/>
      <c r="BO398" s="1222"/>
    </row>
    <row r="399">
      <c r="A399" s="1222"/>
      <c r="B399" s="1229"/>
      <c r="C399" s="1349"/>
      <c r="D399" s="1229"/>
      <c r="E399" s="1229"/>
      <c r="F399" s="1229"/>
      <c r="G399" s="1229"/>
      <c r="H399" s="1229"/>
      <c r="I399" s="1229"/>
      <c r="J399" s="1229"/>
      <c r="K399" s="1229"/>
      <c r="L399" s="1229"/>
      <c r="M399" s="1229"/>
      <c r="N399" s="1337"/>
      <c r="O399" s="1337"/>
      <c r="P399" s="1229"/>
      <c r="Q399" s="1229"/>
      <c r="R399" s="1229"/>
      <c r="S399" s="1229"/>
      <c r="T399" s="1337"/>
      <c r="U399" s="1337"/>
      <c r="V399" s="1229"/>
      <c r="W399" s="1229"/>
      <c r="X399" s="1229"/>
      <c r="Y399" s="1229"/>
      <c r="Z399" s="1337"/>
      <c r="AA399" s="1337"/>
      <c r="AB399" s="1229"/>
      <c r="AC399" s="1229"/>
      <c r="AD399" s="1229"/>
      <c r="AE399" s="1229"/>
      <c r="AF399" s="1337"/>
      <c r="AG399" s="1337"/>
      <c r="AH399" s="1229"/>
      <c r="AI399" s="1229"/>
      <c r="AJ399" s="1229"/>
      <c r="AK399" s="1229"/>
      <c r="AL399" s="1337"/>
      <c r="AM399" s="1337"/>
      <c r="AN399" s="1229"/>
      <c r="AO399" s="1229"/>
      <c r="AP399" s="1229"/>
      <c r="AQ399" s="1229"/>
      <c r="AR399" s="1337"/>
      <c r="AS399" s="1337"/>
      <c r="AT399" s="1229"/>
      <c r="AU399" s="1229"/>
      <c r="AV399" s="1229"/>
      <c r="AW399" s="1229"/>
      <c r="AX399" s="1337"/>
      <c r="AY399" s="1337"/>
      <c r="AZ399" s="1229"/>
      <c r="BA399" s="1229"/>
      <c r="BB399" s="1229"/>
      <c r="BC399" s="1229"/>
      <c r="BD399" s="1337"/>
      <c r="BE399" s="1337"/>
      <c r="BF399" s="1229"/>
      <c r="BG399" s="1229"/>
      <c r="BH399" s="1229"/>
      <c r="BI399" s="1222"/>
      <c r="BJ399" s="1338"/>
      <c r="BK399" s="1338"/>
      <c r="BL399" s="1222"/>
      <c r="BM399" s="1222"/>
      <c r="BN399" s="1222"/>
      <c r="BO399" s="1222"/>
    </row>
    <row r="400">
      <c r="A400" s="1222"/>
      <c r="B400" s="1229"/>
      <c r="C400" s="1349"/>
      <c r="D400" s="1229"/>
      <c r="E400" s="1229"/>
      <c r="F400" s="1229"/>
      <c r="G400" s="1229"/>
      <c r="H400" s="1229"/>
      <c r="I400" s="1229"/>
      <c r="J400" s="1229"/>
      <c r="K400" s="1229"/>
      <c r="L400" s="1229"/>
      <c r="M400" s="1229"/>
      <c r="N400" s="1337"/>
      <c r="O400" s="1337"/>
      <c r="P400" s="1229"/>
      <c r="Q400" s="1229"/>
      <c r="R400" s="1229"/>
      <c r="S400" s="1229"/>
      <c r="T400" s="1337"/>
      <c r="U400" s="1337"/>
      <c r="V400" s="1229"/>
      <c r="W400" s="1229"/>
      <c r="X400" s="1229"/>
      <c r="Y400" s="1229"/>
      <c r="Z400" s="1337"/>
      <c r="AA400" s="1337"/>
      <c r="AB400" s="1229"/>
      <c r="AC400" s="1229"/>
      <c r="AD400" s="1229"/>
      <c r="AE400" s="1229"/>
      <c r="AF400" s="1337"/>
      <c r="AG400" s="1337"/>
      <c r="AH400" s="1229"/>
      <c r="AI400" s="1229"/>
      <c r="AJ400" s="1229"/>
      <c r="AK400" s="1229"/>
      <c r="AL400" s="1337"/>
      <c r="AM400" s="1337"/>
      <c r="AN400" s="1229"/>
      <c r="AO400" s="1229"/>
      <c r="AP400" s="1229"/>
      <c r="AQ400" s="1229"/>
      <c r="AR400" s="1337"/>
      <c r="AS400" s="1337"/>
      <c r="AT400" s="1229"/>
      <c r="AU400" s="1229"/>
      <c r="AV400" s="1229"/>
      <c r="AW400" s="1229"/>
      <c r="AX400" s="1337"/>
      <c r="AY400" s="1337"/>
      <c r="AZ400" s="1229"/>
      <c r="BA400" s="1229"/>
      <c r="BB400" s="1229"/>
      <c r="BC400" s="1229"/>
      <c r="BD400" s="1337"/>
      <c r="BE400" s="1337"/>
      <c r="BF400" s="1229"/>
      <c r="BG400" s="1229"/>
      <c r="BH400" s="1229"/>
      <c r="BI400" s="1222"/>
      <c r="BJ400" s="1338"/>
      <c r="BK400" s="1338"/>
      <c r="BL400" s="1222"/>
      <c r="BM400" s="1222"/>
      <c r="BN400" s="1222"/>
      <c r="BO400" s="1222"/>
    </row>
    <row r="401">
      <c r="A401" s="1222"/>
      <c r="B401" s="1229"/>
      <c r="C401" s="1349"/>
      <c r="D401" s="1229"/>
      <c r="E401" s="1229"/>
      <c r="F401" s="1229"/>
      <c r="G401" s="1229"/>
      <c r="H401" s="1229"/>
      <c r="I401" s="1229"/>
      <c r="J401" s="1229"/>
      <c r="K401" s="1229"/>
      <c r="L401" s="1229"/>
      <c r="M401" s="1229"/>
      <c r="N401" s="1337"/>
      <c r="O401" s="1337"/>
      <c r="P401" s="1229"/>
      <c r="Q401" s="1229"/>
      <c r="R401" s="1229"/>
      <c r="S401" s="1229"/>
      <c r="T401" s="1337"/>
      <c r="U401" s="1337"/>
      <c r="V401" s="1229"/>
      <c r="W401" s="1229"/>
      <c r="X401" s="1229"/>
      <c r="Y401" s="1229"/>
      <c r="Z401" s="1337"/>
      <c r="AA401" s="1337"/>
      <c r="AB401" s="1229"/>
      <c r="AC401" s="1229"/>
      <c r="AD401" s="1229"/>
      <c r="AE401" s="1229"/>
      <c r="AF401" s="1337"/>
      <c r="AG401" s="1337"/>
      <c r="AH401" s="1229"/>
      <c r="AI401" s="1229"/>
      <c r="AJ401" s="1229"/>
      <c r="AK401" s="1229"/>
      <c r="AL401" s="1337"/>
      <c r="AM401" s="1337"/>
      <c r="AN401" s="1229"/>
      <c r="AO401" s="1229"/>
      <c r="AP401" s="1229"/>
      <c r="AQ401" s="1229"/>
      <c r="AR401" s="1337"/>
      <c r="AS401" s="1337"/>
      <c r="AT401" s="1229"/>
      <c r="AU401" s="1229"/>
      <c r="AV401" s="1229"/>
      <c r="AW401" s="1229"/>
      <c r="AX401" s="1337"/>
      <c r="AY401" s="1337"/>
      <c r="AZ401" s="1229"/>
      <c r="BA401" s="1229"/>
      <c r="BB401" s="1229"/>
      <c r="BC401" s="1229"/>
      <c r="BD401" s="1337"/>
      <c r="BE401" s="1337"/>
      <c r="BF401" s="1229"/>
      <c r="BG401" s="1229"/>
      <c r="BH401" s="1229"/>
      <c r="BI401" s="1222"/>
      <c r="BJ401" s="1338"/>
      <c r="BK401" s="1338"/>
      <c r="BL401" s="1222"/>
      <c r="BM401" s="1222"/>
      <c r="BN401" s="1222"/>
      <c r="BO401" s="1222"/>
    </row>
    <row r="402">
      <c r="A402" s="1222"/>
      <c r="B402" s="1229"/>
      <c r="C402" s="1349"/>
      <c r="D402" s="1229"/>
      <c r="E402" s="1229"/>
      <c r="F402" s="1229"/>
      <c r="G402" s="1229"/>
      <c r="H402" s="1229"/>
      <c r="I402" s="1229"/>
      <c r="J402" s="1229"/>
      <c r="K402" s="1229"/>
      <c r="L402" s="1229"/>
      <c r="M402" s="1229"/>
      <c r="N402" s="1337"/>
      <c r="O402" s="1337"/>
      <c r="P402" s="1229"/>
      <c r="Q402" s="1229"/>
      <c r="R402" s="1229"/>
      <c r="S402" s="1229"/>
      <c r="T402" s="1337"/>
      <c r="U402" s="1337"/>
      <c r="V402" s="1229"/>
      <c r="W402" s="1229"/>
      <c r="X402" s="1229"/>
      <c r="Y402" s="1229"/>
      <c r="Z402" s="1337"/>
      <c r="AA402" s="1337"/>
      <c r="AB402" s="1229"/>
      <c r="AC402" s="1229"/>
      <c r="AD402" s="1229"/>
      <c r="AE402" s="1229"/>
      <c r="AF402" s="1337"/>
      <c r="AG402" s="1337"/>
      <c r="AH402" s="1229"/>
      <c r="AI402" s="1229"/>
      <c r="AJ402" s="1229"/>
      <c r="AK402" s="1229"/>
      <c r="AL402" s="1337"/>
      <c r="AM402" s="1337"/>
      <c r="AN402" s="1229"/>
      <c r="AO402" s="1229"/>
      <c r="AP402" s="1229"/>
      <c r="AQ402" s="1229"/>
      <c r="AR402" s="1337"/>
      <c r="AS402" s="1337"/>
      <c r="AT402" s="1229"/>
      <c r="AU402" s="1229"/>
      <c r="AV402" s="1229"/>
      <c r="AW402" s="1229"/>
      <c r="AX402" s="1337"/>
      <c r="AY402" s="1337"/>
      <c r="AZ402" s="1229"/>
      <c r="BA402" s="1229"/>
      <c r="BB402" s="1229"/>
      <c r="BC402" s="1229"/>
      <c r="BD402" s="1337"/>
      <c r="BE402" s="1337"/>
      <c r="BF402" s="1229"/>
      <c r="BG402" s="1229"/>
      <c r="BH402" s="1229"/>
      <c r="BI402" s="1222"/>
      <c r="BJ402" s="1338"/>
      <c r="BK402" s="1338"/>
      <c r="BL402" s="1222"/>
      <c r="BM402" s="1222"/>
      <c r="BN402" s="1222"/>
      <c r="BO402" s="1222"/>
    </row>
    <row r="403">
      <c r="A403" s="1222"/>
      <c r="B403" s="1229"/>
      <c r="C403" s="1349"/>
      <c r="D403" s="1229"/>
      <c r="E403" s="1229"/>
      <c r="F403" s="1229"/>
      <c r="G403" s="1229"/>
      <c r="H403" s="1229"/>
      <c r="I403" s="1229"/>
      <c r="J403" s="1229"/>
      <c r="K403" s="1229"/>
      <c r="L403" s="1229"/>
      <c r="M403" s="1229"/>
      <c r="N403" s="1337"/>
      <c r="O403" s="1337"/>
      <c r="P403" s="1229"/>
      <c r="Q403" s="1229"/>
      <c r="R403" s="1229"/>
      <c r="S403" s="1229"/>
      <c r="T403" s="1337"/>
      <c r="U403" s="1337"/>
      <c r="V403" s="1229"/>
      <c r="W403" s="1229"/>
      <c r="X403" s="1229"/>
      <c r="Y403" s="1229"/>
      <c r="Z403" s="1337"/>
      <c r="AA403" s="1337"/>
      <c r="AB403" s="1229"/>
      <c r="AC403" s="1229"/>
      <c r="AD403" s="1229"/>
      <c r="AE403" s="1229"/>
      <c r="AF403" s="1337"/>
      <c r="AG403" s="1337"/>
      <c r="AH403" s="1229"/>
      <c r="AI403" s="1229"/>
      <c r="AJ403" s="1229"/>
      <c r="AK403" s="1229"/>
      <c r="AL403" s="1337"/>
      <c r="AM403" s="1337"/>
      <c r="AN403" s="1229"/>
      <c r="AO403" s="1229"/>
      <c r="AP403" s="1229"/>
      <c r="AQ403" s="1229"/>
      <c r="AR403" s="1337"/>
      <c r="AS403" s="1337"/>
      <c r="AT403" s="1229"/>
      <c r="AU403" s="1229"/>
      <c r="AV403" s="1229"/>
      <c r="AW403" s="1229"/>
      <c r="AX403" s="1337"/>
      <c r="AY403" s="1337"/>
      <c r="AZ403" s="1229"/>
      <c r="BA403" s="1229"/>
      <c r="BB403" s="1229"/>
      <c r="BC403" s="1229"/>
      <c r="BD403" s="1337"/>
      <c r="BE403" s="1337"/>
      <c r="BF403" s="1229"/>
      <c r="BG403" s="1229"/>
      <c r="BH403" s="1229"/>
      <c r="BI403" s="1222"/>
      <c r="BJ403" s="1338"/>
      <c r="BK403" s="1338"/>
      <c r="BL403" s="1222"/>
      <c r="BM403" s="1222"/>
      <c r="BN403" s="1222"/>
      <c r="BO403" s="1222"/>
    </row>
    <row r="404">
      <c r="A404" s="1222"/>
      <c r="B404" s="1229"/>
      <c r="C404" s="1349"/>
      <c r="D404" s="1229"/>
      <c r="E404" s="1229"/>
      <c r="F404" s="1229"/>
      <c r="G404" s="1229"/>
      <c r="H404" s="1229"/>
      <c r="I404" s="1229"/>
      <c r="J404" s="1229"/>
      <c r="K404" s="1229"/>
      <c r="L404" s="1229"/>
      <c r="M404" s="1229"/>
      <c r="N404" s="1337"/>
      <c r="O404" s="1337"/>
      <c r="P404" s="1229"/>
      <c r="Q404" s="1229"/>
      <c r="R404" s="1229"/>
      <c r="S404" s="1229"/>
      <c r="T404" s="1337"/>
      <c r="U404" s="1337"/>
      <c r="V404" s="1229"/>
      <c r="W404" s="1229"/>
      <c r="X404" s="1229"/>
      <c r="Y404" s="1229"/>
      <c r="Z404" s="1337"/>
      <c r="AA404" s="1337"/>
      <c r="AB404" s="1229"/>
      <c r="AC404" s="1229"/>
      <c r="AD404" s="1229"/>
      <c r="AE404" s="1229"/>
      <c r="AF404" s="1337"/>
      <c r="AG404" s="1337"/>
      <c r="AH404" s="1229"/>
      <c r="AI404" s="1229"/>
      <c r="AJ404" s="1229"/>
      <c r="AK404" s="1229"/>
      <c r="AL404" s="1337"/>
      <c r="AM404" s="1337"/>
      <c r="AN404" s="1229"/>
      <c r="AO404" s="1229"/>
      <c r="AP404" s="1229"/>
      <c r="AQ404" s="1229"/>
      <c r="AR404" s="1337"/>
      <c r="AS404" s="1337"/>
      <c r="AT404" s="1229"/>
      <c r="AU404" s="1229"/>
      <c r="AV404" s="1229"/>
      <c r="AW404" s="1229"/>
      <c r="AX404" s="1337"/>
      <c r="AY404" s="1337"/>
      <c r="AZ404" s="1229"/>
      <c r="BA404" s="1229"/>
      <c r="BB404" s="1229"/>
      <c r="BC404" s="1229"/>
      <c r="BD404" s="1337"/>
      <c r="BE404" s="1337"/>
      <c r="BF404" s="1229"/>
      <c r="BG404" s="1229"/>
      <c r="BH404" s="1229"/>
      <c r="BI404" s="1222"/>
      <c r="BJ404" s="1338"/>
      <c r="BK404" s="1338"/>
      <c r="BL404" s="1222"/>
      <c r="BM404" s="1222"/>
      <c r="BN404" s="1222"/>
      <c r="BO404" s="1222"/>
    </row>
    <row r="405">
      <c r="A405" s="1222"/>
      <c r="B405" s="1229"/>
      <c r="C405" s="1349"/>
      <c r="D405" s="1229"/>
      <c r="E405" s="1229"/>
      <c r="F405" s="1229"/>
      <c r="G405" s="1229"/>
      <c r="H405" s="1229"/>
      <c r="I405" s="1229"/>
      <c r="J405" s="1229"/>
      <c r="K405" s="1229"/>
      <c r="L405" s="1229"/>
      <c r="M405" s="1229"/>
      <c r="N405" s="1337"/>
      <c r="O405" s="1337"/>
      <c r="P405" s="1229"/>
      <c r="Q405" s="1229"/>
      <c r="R405" s="1229"/>
      <c r="S405" s="1229"/>
      <c r="T405" s="1337"/>
      <c r="U405" s="1337"/>
      <c r="V405" s="1229"/>
      <c r="W405" s="1229"/>
      <c r="X405" s="1229"/>
      <c r="Y405" s="1229"/>
      <c r="Z405" s="1337"/>
      <c r="AA405" s="1337"/>
      <c r="AB405" s="1229"/>
      <c r="AC405" s="1229"/>
      <c r="AD405" s="1229"/>
      <c r="AE405" s="1229"/>
      <c r="AF405" s="1337"/>
      <c r="AG405" s="1337"/>
      <c r="AH405" s="1229"/>
      <c r="AI405" s="1229"/>
      <c r="AJ405" s="1229"/>
      <c r="AK405" s="1229"/>
      <c r="AL405" s="1337"/>
      <c r="AM405" s="1337"/>
      <c r="AN405" s="1229"/>
      <c r="AO405" s="1229"/>
      <c r="AP405" s="1229"/>
      <c r="AQ405" s="1229"/>
      <c r="AR405" s="1337"/>
      <c r="AS405" s="1337"/>
      <c r="AT405" s="1229"/>
      <c r="AU405" s="1229"/>
      <c r="AV405" s="1229"/>
      <c r="AW405" s="1229"/>
      <c r="AX405" s="1337"/>
      <c r="AY405" s="1337"/>
      <c r="AZ405" s="1229"/>
      <c r="BA405" s="1229"/>
      <c r="BB405" s="1229"/>
      <c r="BC405" s="1229"/>
      <c r="BD405" s="1337"/>
      <c r="BE405" s="1337"/>
      <c r="BF405" s="1229"/>
      <c r="BG405" s="1229"/>
      <c r="BH405" s="1229"/>
      <c r="BI405" s="1222"/>
      <c r="BJ405" s="1338"/>
      <c r="BK405" s="1338"/>
      <c r="BL405" s="1222"/>
      <c r="BM405" s="1222"/>
      <c r="BN405" s="1222"/>
      <c r="BO405" s="1222"/>
    </row>
    <row r="406">
      <c r="A406" s="1222"/>
      <c r="B406" s="1229"/>
      <c r="C406" s="1349"/>
      <c r="D406" s="1229"/>
      <c r="E406" s="1229"/>
      <c r="F406" s="1229"/>
      <c r="G406" s="1229"/>
      <c r="H406" s="1229"/>
      <c r="I406" s="1229"/>
      <c r="J406" s="1229"/>
      <c r="K406" s="1229"/>
      <c r="L406" s="1229"/>
      <c r="M406" s="1229"/>
      <c r="N406" s="1337"/>
      <c r="O406" s="1337"/>
      <c r="P406" s="1229"/>
      <c r="Q406" s="1229"/>
      <c r="R406" s="1229"/>
      <c r="S406" s="1229"/>
      <c r="T406" s="1337"/>
      <c r="U406" s="1337"/>
      <c r="V406" s="1229"/>
      <c r="W406" s="1229"/>
      <c r="X406" s="1229"/>
      <c r="Y406" s="1229"/>
      <c r="Z406" s="1337"/>
      <c r="AA406" s="1337"/>
      <c r="AB406" s="1229"/>
      <c r="AC406" s="1229"/>
      <c r="AD406" s="1229"/>
      <c r="AE406" s="1229"/>
      <c r="AF406" s="1337"/>
      <c r="AG406" s="1337"/>
      <c r="AH406" s="1229"/>
      <c r="AI406" s="1229"/>
      <c r="AJ406" s="1229"/>
      <c r="AK406" s="1229"/>
      <c r="AL406" s="1337"/>
      <c r="AM406" s="1337"/>
      <c r="AN406" s="1229"/>
      <c r="AO406" s="1229"/>
      <c r="AP406" s="1229"/>
      <c r="AQ406" s="1229"/>
      <c r="AR406" s="1337"/>
      <c r="AS406" s="1337"/>
      <c r="AT406" s="1229"/>
      <c r="AU406" s="1229"/>
      <c r="AV406" s="1229"/>
      <c r="AW406" s="1229"/>
      <c r="AX406" s="1337"/>
      <c r="AY406" s="1337"/>
      <c r="AZ406" s="1229"/>
      <c r="BA406" s="1229"/>
      <c r="BB406" s="1229"/>
      <c r="BC406" s="1229"/>
      <c r="BD406" s="1337"/>
      <c r="BE406" s="1337"/>
      <c r="BF406" s="1229"/>
      <c r="BG406" s="1229"/>
      <c r="BH406" s="1229"/>
      <c r="BI406" s="1222"/>
      <c r="BJ406" s="1338"/>
      <c r="BK406" s="1338"/>
      <c r="BL406" s="1222"/>
      <c r="BM406" s="1222"/>
      <c r="BN406" s="1222"/>
      <c r="BO406" s="1222"/>
    </row>
    <row r="407">
      <c r="A407" s="1222"/>
      <c r="B407" s="1229"/>
      <c r="C407" s="1349"/>
      <c r="D407" s="1229"/>
      <c r="E407" s="1229"/>
      <c r="F407" s="1229"/>
      <c r="G407" s="1229"/>
      <c r="H407" s="1229"/>
      <c r="I407" s="1229"/>
      <c r="J407" s="1229"/>
      <c r="K407" s="1229"/>
      <c r="L407" s="1229"/>
      <c r="M407" s="1229"/>
      <c r="N407" s="1337"/>
      <c r="O407" s="1337"/>
      <c r="P407" s="1229"/>
      <c r="Q407" s="1229"/>
      <c r="R407" s="1229"/>
      <c r="S407" s="1229"/>
      <c r="T407" s="1337"/>
      <c r="U407" s="1337"/>
      <c r="V407" s="1229"/>
      <c r="W407" s="1229"/>
      <c r="X407" s="1229"/>
      <c r="Y407" s="1229"/>
      <c r="Z407" s="1337"/>
      <c r="AA407" s="1337"/>
      <c r="AB407" s="1229"/>
      <c r="AC407" s="1229"/>
      <c r="AD407" s="1229"/>
      <c r="AE407" s="1229"/>
      <c r="AF407" s="1337"/>
      <c r="AG407" s="1337"/>
      <c r="AH407" s="1229"/>
      <c r="AI407" s="1229"/>
      <c r="AJ407" s="1229"/>
      <c r="AK407" s="1229"/>
      <c r="AL407" s="1337"/>
      <c r="AM407" s="1337"/>
      <c r="AN407" s="1229"/>
      <c r="AO407" s="1229"/>
      <c r="AP407" s="1229"/>
      <c r="AQ407" s="1229"/>
      <c r="AR407" s="1337"/>
      <c r="AS407" s="1337"/>
      <c r="AT407" s="1229"/>
      <c r="AU407" s="1229"/>
      <c r="AV407" s="1229"/>
      <c r="AW407" s="1229"/>
      <c r="AX407" s="1337"/>
      <c r="AY407" s="1337"/>
      <c r="AZ407" s="1229"/>
      <c r="BA407" s="1229"/>
      <c r="BB407" s="1229"/>
      <c r="BC407" s="1229"/>
      <c r="BD407" s="1337"/>
      <c r="BE407" s="1337"/>
      <c r="BF407" s="1229"/>
      <c r="BG407" s="1229"/>
      <c r="BH407" s="1229"/>
      <c r="BI407" s="1222"/>
      <c r="BJ407" s="1338"/>
      <c r="BK407" s="1338"/>
      <c r="BL407" s="1222"/>
      <c r="BM407" s="1222"/>
      <c r="BN407" s="1222"/>
      <c r="BO407" s="1222"/>
    </row>
    <row r="408">
      <c r="A408" s="1222"/>
      <c r="B408" s="1229"/>
      <c r="C408" s="1349"/>
      <c r="D408" s="1229"/>
      <c r="E408" s="1229"/>
      <c r="F408" s="1229"/>
      <c r="G408" s="1229"/>
      <c r="H408" s="1229"/>
      <c r="I408" s="1229"/>
      <c r="J408" s="1229"/>
      <c r="K408" s="1229"/>
      <c r="L408" s="1229"/>
      <c r="M408" s="1229"/>
      <c r="N408" s="1337"/>
      <c r="O408" s="1337"/>
      <c r="P408" s="1229"/>
      <c r="Q408" s="1229"/>
      <c r="R408" s="1229"/>
      <c r="S408" s="1229"/>
      <c r="T408" s="1337"/>
      <c r="U408" s="1337"/>
      <c r="V408" s="1229"/>
      <c r="W408" s="1229"/>
      <c r="X408" s="1229"/>
      <c r="Y408" s="1229"/>
      <c r="Z408" s="1337"/>
      <c r="AA408" s="1337"/>
      <c r="AB408" s="1229"/>
      <c r="AC408" s="1229"/>
      <c r="AD408" s="1229"/>
      <c r="AE408" s="1229"/>
      <c r="AF408" s="1337"/>
      <c r="AG408" s="1337"/>
      <c r="AH408" s="1229"/>
      <c r="AI408" s="1229"/>
      <c r="AJ408" s="1229"/>
      <c r="AK408" s="1229"/>
      <c r="AL408" s="1337"/>
      <c r="AM408" s="1337"/>
      <c r="AN408" s="1229"/>
      <c r="AO408" s="1229"/>
      <c r="AP408" s="1229"/>
      <c r="AQ408" s="1229"/>
      <c r="AR408" s="1337"/>
      <c r="AS408" s="1337"/>
      <c r="AT408" s="1229"/>
      <c r="AU408" s="1229"/>
      <c r="AV408" s="1229"/>
      <c r="AW408" s="1229"/>
      <c r="AX408" s="1337"/>
      <c r="AY408" s="1337"/>
      <c r="AZ408" s="1229"/>
      <c r="BA408" s="1229"/>
      <c r="BB408" s="1229"/>
      <c r="BC408" s="1229"/>
      <c r="BD408" s="1337"/>
      <c r="BE408" s="1337"/>
      <c r="BF408" s="1229"/>
      <c r="BG408" s="1229"/>
      <c r="BH408" s="1229"/>
      <c r="BI408" s="1222"/>
      <c r="BJ408" s="1338"/>
      <c r="BK408" s="1338"/>
      <c r="BL408" s="1222"/>
      <c r="BM408" s="1222"/>
      <c r="BN408" s="1222"/>
      <c r="BO408" s="1222"/>
    </row>
    <row r="409">
      <c r="A409" s="1222"/>
      <c r="B409" s="1229"/>
      <c r="C409" s="1349"/>
      <c r="D409" s="1229"/>
      <c r="E409" s="1229"/>
      <c r="F409" s="1229"/>
      <c r="G409" s="1229"/>
      <c r="H409" s="1229"/>
      <c r="I409" s="1229"/>
      <c r="J409" s="1229"/>
      <c r="K409" s="1229"/>
      <c r="L409" s="1229"/>
      <c r="M409" s="1229"/>
      <c r="N409" s="1337"/>
      <c r="O409" s="1337"/>
      <c r="P409" s="1229"/>
      <c r="Q409" s="1229"/>
      <c r="R409" s="1229"/>
      <c r="S409" s="1229"/>
      <c r="T409" s="1337"/>
      <c r="U409" s="1337"/>
      <c r="V409" s="1229"/>
      <c r="W409" s="1229"/>
      <c r="X409" s="1229"/>
      <c r="Y409" s="1229"/>
      <c r="Z409" s="1337"/>
      <c r="AA409" s="1337"/>
      <c r="AB409" s="1229"/>
      <c r="AC409" s="1229"/>
      <c r="AD409" s="1229"/>
      <c r="AE409" s="1229"/>
      <c r="AF409" s="1337"/>
      <c r="AG409" s="1337"/>
      <c r="AH409" s="1229"/>
      <c r="AI409" s="1229"/>
      <c r="AJ409" s="1229"/>
      <c r="AK409" s="1229"/>
      <c r="AL409" s="1337"/>
      <c r="AM409" s="1337"/>
      <c r="AN409" s="1229"/>
      <c r="AO409" s="1229"/>
      <c r="AP409" s="1229"/>
      <c r="AQ409" s="1229"/>
      <c r="AR409" s="1337"/>
      <c r="AS409" s="1337"/>
      <c r="AT409" s="1229"/>
      <c r="AU409" s="1229"/>
      <c r="AV409" s="1229"/>
      <c r="AW409" s="1229"/>
      <c r="AX409" s="1337"/>
      <c r="AY409" s="1337"/>
      <c r="AZ409" s="1229"/>
      <c r="BA409" s="1229"/>
      <c r="BB409" s="1229"/>
      <c r="BC409" s="1229"/>
      <c r="BD409" s="1337"/>
      <c r="BE409" s="1337"/>
      <c r="BF409" s="1229"/>
      <c r="BG409" s="1229"/>
      <c r="BH409" s="1229"/>
      <c r="BI409" s="1222"/>
      <c r="BJ409" s="1338"/>
      <c r="BK409" s="1338"/>
      <c r="BL409" s="1222"/>
      <c r="BM409" s="1222"/>
      <c r="BN409" s="1222"/>
      <c r="BO409" s="1222"/>
    </row>
    <row r="410">
      <c r="A410" s="1222"/>
      <c r="B410" s="1229"/>
      <c r="C410" s="1349"/>
      <c r="D410" s="1229"/>
      <c r="E410" s="1229"/>
      <c r="F410" s="1229"/>
      <c r="G410" s="1229"/>
      <c r="H410" s="1229"/>
      <c r="I410" s="1229"/>
      <c r="J410" s="1229"/>
      <c r="K410" s="1229"/>
      <c r="L410" s="1229"/>
      <c r="M410" s="1229"/>
      <c r="N410" s="1337"/>
      <c r="O410" s="1337"/>
      <c r="P410" s="1229"/>
      <c r="Q410" s="1229"/>
      <c r="R410" s="1229"/>
      <c r="S410" s="1229"/>
      <c r="T410" s="1337"/>
      <c r="U410" s="1337"/>
      <c r="V410" s="1229"/>
      <c r="W410" s="1229"/>
      <c r="X410" s="1229"/>
      <c r="Y410" s="1229"/>
      <c r="Z410" s="1337"/>
      <c r="AA410" s="1337"/>
      <c r="AB410" s="1229"/>
      <c r="AC410" s="1229"/>
      <c r="AD410" s="1229"/>
      <c r="AE410" s="1229"/>
      <c r="AF410" s="1337"/>
      <c r="AG410" s="1337"/>
      <c r="AH410" s="1229"/>
      <c r="AI410" s="1229"/>
      <c r="AJ410" s="1229"/>
      <c r="AK410" s="1229"/>
      <c r="AL410" s="1337"/>
      <c r="AM410" s="1337"/>
      <c r="AN410" s="1229"/>
      <c r="AO410" s="1229"/>
      <c r="AP410" s="1229"/>
      <c r="AQ410" s="1229"/>
      <c r="AR410" s="1337"/>
      <c r="AS410" s="1337"/>
      <c r="AT410" s="1229"/>
      <c r="AU410" s="1229"/>
      <c r="AV410" s="1229"/>
      <c r="AW410" s="1229"/>
      <c r="AX410" s="1337"/>
      <c r="AY410" s="1337"/>
      <c r="AZ410" s="1229"/>
      <c r="BA410" s="1229"/>
      <c r="BB410" s="1229"/>
      <c r="BC410" s="1229"/>
      <c r="BD410" s="1337"/>
      <c r="BE410" s="1337"/>
      <c r="BF410" s="1229"/>
      <c r="BG410" s="1229"/>
      <c r="BH410" s="1229"/>
      <c r="BI410" s="1222"/>
      <c r="BJ410" s="1338"/>
      <c r="BK410" s="1338"/>
      <c r="BL410" s="1222"/>
      <c r="BM410" s="1222"/>
      <c r="BN410" s="1222"/>
      <c r="BO410" s="1222"/>
    </row>
    <row r="411">
      <c r="A411" s="1222"/>
      <c r="B411" s="1229"/>
      <c r="C411" s="1349"/>
      <c r="D411" s="1229"/>
      <c r="E411" s="1229"/>
      <c r="F411" s="1229"/>
      <c r="G411" s="1229"/>
      <c r="H411" s="1229"/>
      <c r="I411" s="1229"/>
      <c r="J411" s="1229"/>
      <c r="K411" s="1229"/>
      <c r="L411" s="1229"/>
      <c r="M411" s="1229"/>
      <c r="N411" s="1337"/>
      <c r="O411" s="1337"/>
      <c r="P411" s="1229"/>
      <c r="Q411" s="1229"/>
      <c r="R411" s="1229"/>
      <c r="S411" s="1229"/>
      <c r="T411" s="1337"/>
      <c r="U411" s="1337"/>
      <c r="V411" s="1229"/>
      <c r="W411" s="1229"/>
      <c r="X411" s="1229"/>
      <c r="Y411" s="1229"/>
      <c r="Z411" s="1337"/>
      <c r="AA411" s="1337"/>
      <c r="AB411" s="1229"/>
      <c r="AC411" s="1229"/>
      <c r="AD411" s="1229"/>
      <c r="AE411" s="1229"/>
      <c r="AF411" s="1337"/>
      <c r="AG411" s="1337"/>
      <c r="AH411" s="1229"/>
      <c r="AI411" s="1229"/>
      <c r="AJ411" s="1229"/>
      <c r="AK411" s="1229"/>
      <c r="AL411" s="1337"/>
      <c r="AM411" s="1337"/>
      <c r="AN411" s="1229"/>
      <c r="AO411" s="1229"/>
      <c r="AP411" s="1229"/>
      <c r="AQ411" s="1229"/>
      <c r="AR411" s="1337"/>
      <c r="AS411" s="1337"/>
      <c r="AT411" s="1229"/>
      <c r="AU411" s="1229"/>
      <c r="AV411" s="1229"/>
      <c r="AW411" s="1229"/>
      <c r="AX411" s="1337"/>
      <c r="AY411" s="1337"/>
      <c r="AZ411" s="1229"/>
      <c r="BA411" s="1229"/>
      <c r="BB411" s="1229"/>
      <c r="BC411" s="1229"/>
      <c r="BD411" s="1337"/>
      <c r="BE411" s="1337"/>
      <c r="BF411" s="1229"/>
      <c r="BG411" s="1229"/>
      <c r="BH411" s="1229"/>
      <c r="BI411" s="1222"/>
      <c r="BJ411" s="1338"/>
      <c r="BK411" s="1338"/>
      <c r="BL411" s="1222"/>
      <c r="BM411" s="1222"/>
      <c r="BN411" s="1222"/>
      <c r="BO411" s="1222"/>
    </row>
    <row r="412">
      <c r="A412" s="1222"/>
      <c r="B412" s="1229"/>
      <c r="C412" s="1349"/>
      <c r="D412" s="1229"/>
      <c r="E412" s="1229"/>
      <c r="F412" s="1229"/>
      <c r="G412" s="1229"/>
      <c r="H412" s="1229"/>
      <c r="I412" s="1229"/>
      <c r="J412" s="1229"/>
      <c r="K412" s="1229"/>
      <c r="L412" s="1229"/>
      <c r="M412" s="1229"/>
      <c r="N412" s="1337"/>
      <c r="O412" s="1337"/>
      <c r="P412" s="1229"/>
      <c r="Q412" s="1229"/>
      <c r="R412" s="1229"/>
      <c r="S412" s="1229"/>
      <c r="T412" s="1337"/>
      <c r="U412" s="1337"/>
      <c r="V412" s="1229"/>
      <c r="W412" s="1229"/>
      <c r="X412" s="1229"/>
      <c r="Y412" s="1229"/>
      <c r="Z412" s="1337"/>
      <c r="AA412" s="1337"/>
      <c r="AB412" s="1229"/>
      <c r="AC412" s="1229"/>
      <c r="AD412" s="1229"/>
      <c r="AE412" s="1229"/>
      <c r="AF412" s="1337"/>
      <c r="AG412" s="1337"/>
      <c r="AH412" s="1229"/>
      <c r="AI412" s="1229"/>
      <c r="AJ412" s="1229"/>
      <c r="AK412" s="1229"/>
      <c r="AL412" s="1337"/>
      <c r="AM412" s="1337"/>
      <c r="AN412" s="1229"/>
      <c r="AO412" s="1229"/>
      <c r="AP412" s="1229"/>
      <c r="AQ412" s="1229"/>
      <c r="AR412" s="1337"/>
      <c r="AS412" s="1337"/>
      <c r="AT412" s="1229"/>
      <c r="AU412" s="1229"/>
      <c r="AV412" s="1229"/>
      <c r="AW412" s="1229"/>
      <c r="AX412" s="1337"/>
      <c r="AY412" s="1337"/>
      <c r="AZ412" s="1229"/>
      <c r="BA412" s="1229"/>
      <c r="BB412" s="1229"/>
      <c r="BC412" s="1229"/>
      <c r="BD412" s="1337"/>
      <c r="BE412" s="1337"/>
      <c r="BF412" s="1229"/>
      <c r="BG412" s="1229"/>
      <c r="BH412" s="1229"/>
      <c r="BI412" s="1222"/>
      <c r="BJ412" s="1338"/>
      <c r="BK412" s="1338"/>
      <c r="BL412" s="1222"/>
      <c r="BM412" s="1222"/>
      <c r="BN412" s="1222"/>
      <c r="BO412" s="1222"/>
    </row>
    <row r="413">
      <c r="A413" s="1222"/>
      <c r="B413" s="1229"/>
      <c r="C413" s="1349"/>
      <c r="D413" s="1229"/>
      <c r="E413" s="1229"/>
      <c r="F413" s="1229"/>
      <c r="G413" s="1229"/>
      <c r="H413" s="1229"/>
      <c r="I413" s="1229"/>
      <c r="J413" s="1229"/>
      <c r="K413" s="1229"/>
      <c r="L413" s="1229"/>
      <c r="M413" s="1229"/>
      <c r="N413" s="1337"/>
      <c r="O413" s="1337"/>
      <c r="P413" s="1229"/>
      <c r="Q413" s="1229"/>
      <c r="R413" s="1229"/>
      <c r="S413" s="1229"/>
      <c r="T413" s="1337"/>
      <c r="U413" s="1337"/>
      <c r="V413" s="1229"/>
      <c r="W413" s="1229"/>
      <c r="X413" s="1229"/>
      <c r="Y413" s="1229"/>
      <c r="Z413" s="1337"/>
      <c r="AA413" s="1337"/>
      <c r="AB413" s="1229"/>
      <c r="AC413" s="1229"/>
      <c r="AD413" s="1229"/>
      <c r="AE413" s="1229"/>
      <c r="AF413" s="1337"/>
      <c r="AG413" s="1337"/>
      <c r="AH413" s="1229"/>
      <c r="AI413" s="1229"/>
      <c r="AJ413" s="1229"/>
      <c r="AK413" s="1229"/>
      <c r="AL413" s="1337"/>
      <c r="AM413" s="1337"/>
      <c r="AN413" s="1229"/>
      <c r="AO413" s="1229"/>
      <c r="AP413" s="1229"/>
      <c r="AQ413" s="1229"/>
      <c r="AR413" s="1337"/>
      <c r="AS413" s="1337"/>
      <c r="AT413" s="1229"/>
      <c r="AU413" s="1229"/>
      <c r="AV413" s="1229"/>
      <c r="AW413" s="1229"/>
      <c r="AX413" s="1337"/>
      <c r="AY413" s="1337"/>
      <c r="AZ413" s="1229"/>
      <c r="BA413" s="1229"/>
      <c r="BB413" s="1229"/>
      <c r="BC413" s="1229"/>
      <c r="BD413" s="1337"/>
      <c r="BE413" s="1337"/>
      <c r="BF413" s="1229"/>
      <c r="BG413" s="1229"/>
      <c r="BH413" s="1229"/>
      <c r="BI413" s="1222"/>
      <c r="BJ413" s="1338"/>
      <c r="BK413" s="1338"/>
      <c r="BL413" s="1222"/>
      <c r="BM413" s="1222"/>
      <c r="BN413" s="1222"/>
      <c r="BO413" s="1222"/>
    </row>
    <row r="414">
      <c r="A414" s="1222"/>
      <c r="B414" s="1229"/>
      <c r="C414" s="1349"/>
      <c r="D414" s="1229"/>
      <c r="E414" s="1229"/>
      <c r="F414" s="1229"/>
      <c r="G414" s="1229"/>
      <c r="H414" s="1229"/>
      <c r="I414" s="1229"/>
      <c r="J414" s="1229"/>
      <c r="K414" s="1229"/>
      <c r="L414" s="1229"/>
      <c r="M414" s="1229"/>
      <c r="N414" s="1337"/>
      <c r="O414" s="1337"/>
      <c r="P414" s="1229"/>
      <c r="Q414" s="1229"/>
      <c r="R414" s="1229"/>
      <c r="S414" s="1229"/>
      <c r="T414" s="1337"/>
      <c r="U414" s="1337"/>
      <c r="V414" s="1229"/>
      <c r="W414" s="1229"/>
      <c r="X414" s="1229"/>
      <c r="Y414" s="1229"/>
      <c r="Z414" s="1337"/>
      <c r="AA414" s="1337"/>
      <c r="AB414" s="1229"/>
      <c r="AC414" s="1229"/>
      <c r="AD414" s="1229"/>
      <c r="AE414" s="1229"/>
      <c r="AF414" s="1337"/>
      <c r="AG414" s="1337"/>
      <c r="AH414" s="1229"/>
      <c r="AI414" s="1229"/>
      <c r="AJ414" s="1229"/>
      <c r="AK414" s="1229"/>
      <c r="AL414" s="1337"/>
      <c r="AM414" s="1337"/>
      <c r="AN414" s="1229"/>
      <c r="AO414" s="1229"/>
      <c r="AP414" s="1229"/>
      <c r="AQ414" s="1229"/>
      <c r="AR414" s="1337"/>
      <c r="AS414" s="1337"/>
      <c r="AT414" s="1229"/>
      <c r="AU414" s="1229"/>
      <c r="AV414" s="1229"/>
      <c r="AW414" s="1229"/>
      <c r="AX414" s="1337"/>
      <c r="AY414" s="1337"/>
      <c r="AZ414" s="1229"/>
      <c r="BA414" s="1229"/>
      <c r="BB414" s="1229"/>
      <c r="BC414" s="1229"/>
      <c r="BD414" s="1337"/>
      <c r="BE414" s="1337"/>
      <c r="BF414" s="1229"/>
      <c r="BG414" s="1229"/>
      <c r="BH414" s="1229"/>
      <c r="BI414" s="1222"/>
      <c r="BJ414" s="1338"/>
      <c r="BK414" s="1338"/>
      <c r="BL414" s="1222"/>
      <c r="BM414" s="1222"/>
      <c r="BN414" s="1222"/>
      <c r="BO414" s="1222"/>
    </row>
    <row r="415">
      <c r="A415" s="1222"/>
      <c r="B415" s="1229"/>
      <c r="C415" s="1349"/>
      <c r="D415" s="1229"/>
      <c r="E415" s="1229"/>
      <c r="F415" s="1229"/>
      <c r="G415" s="1229"/>
      <c r="H415" s="1229"/>
      <c r="I415" s="1229"/>
      <c r="J415" s="1229"/>
      <c r="K415" s="1229"/>
      <c r="L415" s="1229"/>
      <c r="M415" s="1229"/>
      <c r="N415" s="1337"/>
      <c r="O415" s="1337"/>
      <c r="P415" s="1229"/>
      <c r="Q415" s="1229"/>
      <c r="R415" s="1229"/>
      <c r="S415" s="1229"/>
      <c r="T415" s="1337"/>
      <c r="U415" s="1337"/>
      <c r="V415" s="1229"/>
      <c r="W415" s="1229"/>
      <c r="X415" s="1229"/>
      <c r="Y415" s="1229"/>
      <c r="Z415" s="1337"/>
      <c r="AA415" s="1337"/>
      <c r="AB415" s="1229"/>
      <c r="AC415" s="1229"/>
      <c r="AD415" s="1229"/>
      <c r="AE415" s="1229"/>
      <c r="AF415" s="1337"/>
      <c r="AG415" s="1337"/>
      <c r="AH415" s="1229"/>
      <c r="AI415" s="1229"/>
      <c r="AJ415" s="1229"/>
      <c r="AK415" s="1229"/>
      <c r="AL415" s="1337"/>
      <c r="AM415" s="1337"/>
      <c r="AN415" s="1229"/>
      <c r="AO415" s="1229"/>
      <c r="AP415" s="1229"/>
      <c r="AQ415" s="1229"/>
      <c r="AR415" s="1337"/>
      <c r="AS415" s="1337"/>
      <c r="AT415" s="1229"/>
      <c r="AU415" s="1229"/>
      <c r="AV415" s="1229"/>
      <c r="AW415" s="1229"/>
      <c r="AX415" s="1337"/>
      <c r="AY415" s="1337"/>
      <c r="AZ415" s="1229"/>
      <c r="BA415" s="1229"/>
      <c r="BB415" s="1229"/>
      <c r="BC415" s="1229"/>
      <c r="BD415" s="1337"/>
      <c r="BE415" s="1337"/>
      <c r="BF415" s="1229"/>
      <c r="BG415" s="1229"/>
      <c r="BH415" s="1229"/>
      <c r="BI415" s="1222"/>
      <c r="BJ415" s="1338"/>
      <c r="BK415" s="1338"/>
      <c r="BL415" s="1222"/>
      <c r="BM415" s="1222"/>
      <c r="BN415" s="1222"/>
      <c r="BO415" s="1222"/>
    </row>
    <row r="416">
      <c r="A416" s="1222"/>
      <c r="B416" s="1229"/>
      <c r="C416" s="1349"/>
      <c r="D416" s="1229"/>
      <c r="E416" s="1229"/>
      <c r="F416" s="1229"/>
      <c r="G416" s="1229"/>
      <c r="H416" s="1229"/>
      <c r="I416" s="1229"/>
      <c r="J416" s="1229"/>
      <c r="K416" s="1229"/>
      <c r="L416" s="1229"/>
      <c r="M416" s="1229"/>
      <c r="N416" s="1337"/>
      <c r="O416" s="1337"/>
      <c r="P416" s="1229"/>
      <c r="Q416" s="1229"/>
      <c r="R416" s="1229"/>
      <c r="S416" s="1229"/>
      <c r="T416" s="1337"/>
      <c r="U416" s="1337"/>
      <c r="V416" s="1229"/>
      <c r="W416" s="1229"/>
      <c r="X416" s="1229"/>
      <c r="Y416" s="1229"/>
      <c r="Z416" s="1337"/>
      <c r="AA416" s="1337"/>
      <c r="AB416" s="1229"/>
      <c r="AC416" s="1229"/>
      <c r="AD416" s="1229"/>
      <c r="AE416" s="1229"/>
      <c r="AF416" s="1337"/>
      <c r="AG416" s="1337"/>
      <c r="AH416" s="1229"/>
      <c r="AI416" s="1229"/>
      <c r="AJ416" s="1229"/>
      <c r="AK416" s="1229"/>
      <c r="AL416" s="1337"/>
      <c r="AM416" s="1337"/>
      <c r="AN416" s="1229"/>
      <c r="AO416" s="1229"/>
      <c r="AP416" s="1229"/>
      <c r="AQ416" s="1229"/>
      <c r="AR416" s="1337"/>
      <c r="AS416" s="1337"/>
      <c r="AT416" s="1229"/>
      <c r="AU416" s="1229"/>
      <c r="AV416" s="1229"/>
      <c r="AW416" s="1229"/>
      <c r="AX416" s="1337"/>
      <c r="AY416" s="1337"/>
      <c r="AZ416" s="1229"/>
      <c r="BA416" s="1229"/>
      <c r="BB416" s="1229"/>
      <c r="BC416" s="1229"/>
      <c r="BD416" s="1337"/>
      <c r="BE416" s="1337"/>
      <c r="BF416" s="1229"/>
      <c r="BG416" s="1229"/>
      <c r="BH416" s="1229"/>
      <c r="BI416" s="1222"/>
      <c r="BJ416" s="1338"/>
      <c r="BK416" s="1338"/>
      <c r="BL416" s="1222"/>
      <c r="BM416" s="1222"/>
      <c r="BN416" s="1222"/>
      <c r="BO416" s="1222"/>
    </row>
    <row r="417">
      <c r="A417" s="1222"/>
      <c r="B417" s="1229"/>
      <c r="C417" s="1349"/>
      <c r="D417" s="1229"/>
      <c r="E417" s="1229"/>
      <c r="F417" s="1229"/>
      <c r="G417" s="1229"/>
      <c r="H417" s="1229"/>
      <c r="I417" s="1229"/>
      <c r="J417" s="1229"/>
      <c r="K417" s="1229"/>
      <c r="L417" s="1229"/>
      <c r="M417" s="1229"/>
      <c r="N417" s="1337"/>
      <c r="O417" s="1337"/>
      <c r="P417" s="1229"/>
      <c r="Q417" s="1229"/>
      <c r="R417" s="1229"/>
      <c r="S417" s="1229"/>
      <c r="T417" s="1337"/>
      <c r="U417" s="1337"/>
      <c r="V417" s="1229"/>
      <c r="W417" s="1229"/>
      <c r="X417" s="1229"/>
      <c r="Y417" s="1229"/>
      <c r="Z417" s="1337"/>
      <c r="AA417" s="1337"/>
      <c r="AB417" s="1229"/>
      <c r="AC417" s="1229"/>
      <c r="AD417" s="1229"/>
      <c r="AE417" s="1229"/>
      <c r="AF417" s="1337"/>
      <c r="AG417" s="1337"/>
      <c r="AH417" s="1229"/>
      <c r="AI417" s="1229"/>
      <c r="AJ417" s="1229"/>
      <c r="AK417" s="1229"/>
      <c r="AL417" s="1337"/>
      <c r="AM417" s="1337"/>
      <c r="AN417" s="1229"/>
      <c r="AO417" s="1229"/>
      <c r="AP417" s="1229"/>
      <c r="AQ417" s="1229"/>
      <c r="AR417" s="1337"/>
      <c r="AS417" s="1337"/>
      <c r="AT417" s="1229"/>
      <c r="AU417" s="1229"/>
      <c r="AV417" s="1229"/>
      <c r="AW417" s="1229"/>
      <c r="AX417" s="1337"/>
      <c r="AY417" s="1337"/>
      <c r="AZ417" s="1229"/>
      <c r="BA417" s="1229"/>
      <c r="BB417" s="1229"/>
      <c r="BC417" s="1229"/>
      <c r="BD417" s="1337"/>
      <c r="BE417" s="1337"/>
      <c r="BF417" s="1229"/>
      <c r="BG417" s="1229"/>
      <c r="BH417" s="1229"/>
      <c r="BI417" s="1222"/>
      <c r="BJ417" s="1338"/>
      <c r="BK417" s="1338"/>
      <c r="BL417" s="1222"/>
      <c r="BM417" s="1222"/>
      <c r="BN417" s="1222"/>
      <c r="BO417" s="1222"/>
    </row>
    <row r="418">
      <c r="A418" s="1222"/>
      <c r="B418" s="1229"/>
      <c r="C418" s="1349"/>
      <c r="D418" s="1229"/>
      <c r="E418" s="1229"/>
      <c r="F418" s="1229"/>
      <c r="G418" s="1229"/>
      <c r="H418" s="1229"/>
      <c r="I418" s="1229"/>
      <c r="J418" s="1229"/>
      <c r="K418" s="1229"/>
      <c r="L418" s="1229"/>
      <c r="M418" s="1229"/>
      <c r="N418" s="1337"/>
      <c r="O418" s="1337"/>
      <c r="P418" s="1229"/>
      <c r="Q418" s="1229"/>
      <c r="R418" s="1229"/>
      <c r="S418" s="1229"/>
      <c r="T418" s="1337"/>
      <c r="U418" s="1337"/>
      <c r="V418" s="1229"/>
      <c r="W418" s="1229"/>
      <c r="X418" s="1229"/>
      <c r="Y418" s="1229"/>
      <c r="Z418" s="1337"/>
      <c r="AA418" s="1337"/>
      <c r="AB418" s="1229"/>
      <c r="AC418" s="1229"/>
      <c r="AD418" s="1229"/>
      <c r="AE418" s="1229"/>
      <c r="AF418" s="1337"/>
      <c r="AG418" s="1337"/>
      <c r="AH418" s="1229"/>
      <c r="AI418" s="1229"/>
      <c r="AJ418" s="1229"/>
      <c r="AK418" s="1229"/>
      <c r="AL418" s="1337"/>
      <c r="AM418" s="1337"/>
      <c r="AN418" s="1229"/>
      <c r="AO418" s="1229"/>
      <c r="AP418" s="1229"/>
      <c r="AQ418" s="1229"/>
      <c r="AR418" s="1337"/>
      <c r="AS418" s="1337"/>
      <c r="AT418" s="1229"/>
      <c r="AU418" s="1229"/>
      <c r="AV418" s="1229"/>
      <c r="AW418" s="1229"/>
      <c r="AX418" s="1337"/>
      <c r="AY418" s="1337"/>
      <c r="AZ418" s="1229"/>
      <c r="BA418" s="1229"/>
      <c r="BB418" s="1229"/>
      <c r="BC418" s="1229"/>
      <c r="BD418" s="1337"/>
      <c r="BE418" s="1337"/>
      <c r="BF418" s="1229"/>
      <c r="BG418" s="1229"/>
      <c r="BH418" s="1229"/>
      <c r="BI418" s="1222"/>
      <c r="BJ418" s="1338"/>
      <c r="BK418" s="1338"/>
      <c r="BL418" s="1222"/>
      <c r="BM418" s="1222"/>
      <c r="BN418" s="1222"/>
      <c r="BO418" s="1222"/>
    </row>
    <row r="419">
      <c r="A419" s="1222"/>
      <c r="B419" s="1229"/>
      <c r="C419" s="1349"/>
      <c r="D419" s="1229"/>
      <c r="E419" s="1229"/>
      <c r="F419" s="1229"/>
      <c r="G419" s="1229"/>
      <c r="H419" s="1229"/>
      <c r="I419" s="1229"/>
      <c r="J419" s="1229"/>
      <c r="K419" s="1229"/>
      <c r="L419" s="1229"/>
      <c r="M419" s="1229"/>
      <c r="N419" s="1337"/>
      <c r="O419" s="1337"/>
      <c r="P419" s="1229"/>
      <c r="Q419" s="1229"/>
      <c r="R419" s="1229"/>
      <c r="S419" s="1229"/>
      <c r="T419" s="1337"/>
      <c r="U419" s="1337"/>
      <c r="V419" s="1229"/>
      <c r="W419" s="1229"/>
      <c r="X419" s="1229"/>
      <c r="Y419" s="1229"/>
      <c r="Z419" s="1337"/>
      <c r="AA419" s="1337"/>
      <c r="AB419" s="1229"/>
      <c r="AC419" s="1229"/>
      <c r="AD419" s="1229"/>
      <c r="AE419" s="1229"/>
      <c r="AF419" s="1337"/>
      <c r="AG419" s="1337"/>
      <c r="AH419" s="1229"/>
      <c r="AI419" s="1229"/>
      <c r="AJ419" s="1229"/>
      <c r="AK419" s="1229"/>
      <c r="AL419" s="1337"/>
      <c r="AM419" s="1337"/>
      <c r="AN419" s="1229"/>
      <c r="AO419" s="1229"/>
      <c r="AP419" s="1229"/>
      <c r="AQ419" s="1229"/>
      <c r="AR419" s="1337"/>
      <c r="AS419" s="1337"/>
      <c r="AT419" s="1229"/>
      <c r="AU419" s="1229"/>
      <c r="AV419" s="1229"/>
      <c r="AW419" s="1229"/>
      <c r="AX419" s="1337"/>
      <c r="AY419" s="1337"/>
      <c r="AZ419" s="1229"/>
      <c r="BA419" s="1229"/>
      <c r="BB419" s="1229"/>
      <c r="BC419" s="1229"/>
      <c r="BD419" s="1337"/>
      <c r="BE419" s="1337"/>
      <c r="BF419" s="1229"/>
      <c r="BG419" s="1229"/>
      <c r="BH419" s="1229"/>
      <c r="BI419" s="1222"/>
      <c r="BJ419" s="1338"/>
      <c r="BK419" s="1338"/>
      <c r="BL419" s="1222"/>
      <c r="BM419" s="1222"/>
      <c r="BN419" s="1222"/>
      <c r="BO419" s="1222"/>
    </row>
    <row r="420">
      <c r="A420" s="1222"/>
      <c r="B420" s="1229"/>
      <c r="C420" s="1349"/>
      <c r="D420" s="1229"/>
      <c r="E420" s="1229"/>
      <c r="F420" s="1229"/>
      <c r="G420" s="1229"/>
      <c r="H420" s="1229"/>
      <c r="I420" s="1229"/>
      <c r="J420" s="1229"/>
      <c r="K420" s="1229"/>
      <c r="L420" s="1229"/>
      <c r="M420" s="1229"/>
      <c r="N420" s="1337"/>
      <c r="O420" s="1337"/>
      <c r="P420" s="1229"/>
      <c r="Q420" s="1229"/>
      <c r="R420" s="1229"/>
      <c r="S420" s="1229"/>
      <c r="T420" s="1337"/>
      <c r="U420" s="1337"/>
      <c r="V420" s="1229"/>
      <c r="W420" s="1229"/>
      <c r="X420" s="1229"/>
      <c r="Y420" s="1229"/>
      <c r="Z420" s="1337"/>
      <c r="AA420" s="1337"/>
      <c r="AB420" s="1229"/>
      <c r="AC420" s="1229"/>
      <c r="AD420" s="1229"/>
      <c r="AE420" s="1229"/>
      <c r="AF420" s="1337"/>
      <c r="AG420" s="1337"/>
      <c r="AH420" s="1229"/>
      <c r="AI420" s="1229"/>
      <c r="AJ420" s="1229"/>
      <c r="AK420" s="1229"/>
      <c r="AL420" s="1337"/>
      <c r="AM420" s="1337"/>
      <c r="AN420" s="1229"/>
      <c r="AO420" s="1229"/>
      <c r="AP420" s="1229"/>
      <c r="AQ420" s="1229"/>
      <c r="AR420" s="1337"/>
      <c r="AS420" s="1337"/>
      <c r="AT420" s="1229"/>
      <c r="AU420" s="1229"/>
      <c r="AV420" s="1229"/>
      <c r="AW420" s="1229"/>
      <c r="AX420" s="1337"/>
      <c r="AY420" s="1337"/>
      <c r="AZ420" s="1229"/>
      <c r="BA420" s="1229"/>
      <c r="BB420" s="1229"/>
      <c r="BC420" s="1229"/>
      <c r="BD420" s="1337"/>
      <c r="BE420" s="1337"/>
      <c r="BF420" s="1229"/>
      <c r="BG420" s="1229"/>
      <c r="BH420" s="1229"/>
      <c r="BI420" s="1222"/>
      <c r="BJ420" s="1338"/>
      <c r="BK420" s="1338"/>
      <c r="BL420" s="1222"/>
      <c r="BM420" s="1222"/>
      <c r="BN420" s="1222"/>
      <c r="BO420" s="1222"/>
    </row>
    <row r="421">
      <c r="A421" s="1222"/>
      <c r="B421" s="1229"/>
      <c r="C421" s="1349"/>
      <c r="D421" s="1229"/>
      <c r="E421" s="1229"/>
      <c r="F421" s="1229"/>
      <c r="G421" s="1229"/>
      <c r="H421" s="1229"/>
      <c r="I421" s="1229"/>
      <c r="J421" s="1229"/>
      <c r="K421" s="1229"/>
      <c r="L421" s="1229"/>
      <c r="M421" s="1229"/>
      <c r="N421" s="1337"/>
      <c r="O421" s="1337"/>
      <c r="P421" s="1229"/>
      <c r="Q421" s="1229"/>
      <c r="R421" s="1229"/>
      <c r="S421" s="1229"/>
      <c r="T421" s="1337"/>
      <c r="U421" s="1337"/>
      <c r="V421" s="1229"/>
      <c r="W421" s="1229"/>
      <c r="X421" s="1229"/>
      <c r="Y421" s="1229"/>
      <c r="Z421" s="1337"/>
      <c r="AA421" s="1337"/>
      <c r="AB421" s="1229"/>
      <c r="AC421" s="1229"/>
      <c r="AD421" s="1229"/>
      <c r="AE421" s="1229"/>
      <c r="AF421" s="1337"/>
      <c r="AG421" s="1337"/>
      <c r="AH421" s="1229"/>
      <c r="AI421" s="1229"/>
      <c r="AJ421" s="1229"/>
      <c r="AK421" s="1229"/>
      <c r="AL421" s="1337"/>
      <c r="AM421" s="1337"/>
      <c r="AN421" s="1229"/>
      <c r="AO421" s="1229"/>
      <c r="AP421" s="1229"/>
      <c r="AQ421" s="1229"/>
      <c r="AR421" s="1337"/>
      <c r="AS421" s="1337"/>
      <c r="AT421" s="1229"/>
      <c r="AU421" s="1229"/>
      <c r="AV421" s="1229"/>
      <c r="AW421" s="1229"/>
      <c r="AX421" s="1337"/>
      <c r="AY421" s="1337"/>
      <c r="AZ421" s="1229"/>
      <c r="BA421" s="1229"/>
      <c r="BB421" s="1229"/>
      <c r="BC421" s="1229"/>
      <c r="BD421" s="1337"/>
      <c r="BE421" s="1337"/>
      <c r="BF421" s="1229"/>
      <c r="BG421" s="1229"/>
      <c r="BH421" s="1229"/>
      <c r="BI421" s="1222"/>
      <c r="BJ421" s="1338"/>
      <c r="BK421" s="1338"/>
      <c r="BL421" s="1222"/>
      <c r="BM421" s="1222"/>
      <c r="BN421" s="1222"/>
      <c r="BO421" s="1222"/>
    </row>
    <row r="422">
      <c r="A422" s="1222"/>
      <c r="B422" s="1229"/>
      <c r="C422" s="1349"/>
      <c r="D422" s="1229"/>
      <c r="E422" s="1229"/>
      <c r="F422" s="1229"/>
      <c r="G422" s="1229"/>
      <c r="H422" s="1229"/>
      <c r="I422" s="1229"/>
      <c r="J422" s="1229"/>
      <c r="K422" s="1229"/>
      <c r="L422" s="1229"/>
      <c r="M422" s="1229"/>
      <c r="N422" s="1337"/>
      <c r="O422" s="1337"/>
      <c r="P422" s="1229"/>
      <c r="Q422" s="1229"/>
      <c r="R422" s="1229"/>
      <c r="S422" s="1229"/>
      <c r="T422" s="1337"/>
      <c r="U422" s="1337"/>
      <c r="V422" s="1229"/>
      <c r="W422" s="1229"/>
      <c r="X422" s="1229"/>
      <c r="Y422" s="1229"/>
      <c r="Z422" s="1337"/>
      <c r="AA422" s="1337"/>
      <c r="AB422" s="1229"/>
      <c r="AC422" s="1229"/>
      <c r="AD422" s="1229"/>
      <c r="AE422" s="1229"/>
      <c r="AF422" s="1337"/>
      <c r="AG422" s="1337"/>
      <c r="AH422" s="1229"/>
      <c r="AI422" s="1229"/>
      <c r="AJ422" s="1229"/>
      <c r="AK422" s="1229"/>
      <c r="AL422" s="1337"/>
      <c r="AM422" s="1337"/>
      <c r="AN422" s="1229"/>
      <c r="AO422" s="1229"/>
      <c r="AP422" s="1229"/>
      <c r="AQ422" s="1229"/>
      <c r="AR422" s="1337"/>
      <c r="AS422" s="1337"/>
      <c r="AT422" s="1229"/>
      <c r="AU422" s="1229"/>
      <c r="AV422" s="1229"/>
      <c r="AW422" s="1229"/>
      <c r="AX422" s="1337"/>
      <c r="AY422" s="1337"/>
      <c r="AZ422" s="1229"/>
      <c r="BA422" s="1229"/>
      <c r="BB422" s="1229"/>
      <c r="BC422" s="1229"/>
      <c r="BD422" s="1337"/>
      <c r="BE422" s="1337"/>
      <c r="BF422" s="1229"/>
      <c r="BG422" s="1229"/>
      <c r="BH422" s="1229"/>
      <c r="BI422" s="1222"/>
      <c r="BJ422" s="1338"/>
      <c r="BK422" s="1338"/>
      <c r="BL422" s="1222"/>
      <c r="BM422" s="1222"/>
      <c r="BN422" s="1222"/>
      <c r="BO422" s="1222"/>
    </row>
    <row r="423">
      <c r="A423" s="1222"/>
      <c r="B423" s="1229"/>
      <c r="C423" s="1349"/>
      <c r="D423" s="1229"/>
      <c r="E423" s="1229"/>
      <c r="F423" s="1229"/>
      <c r="G423" s="1229"/>
      <c r="H423" s="1229"/>
      <c r="I423" s="1229"/>
      <c r="J423" s="1229"/>
      <c r="K423" s="1229"/>
      <c r="L423" s="1229"/>
      <c r="M423" s="1229"/>
      <c r="N423" s="1337"/>
      <c r="O423" s="1337"/>
      <c r="P423" s="1229"/>
      <c r="Q423" s="1229"/>
      <c r="R423" s="1229"/>
      <c r="S423" s="1229"/>
      <c r="T423" s="1337"/>
      <c r="U423" s="1337"/>
      <c r="V423" s="1229"/>
      <c r="W423" s="1229"/>
      <c r="X423" s="1229"/>
      <c r="Y423" s="1229"/>
      <c r="Z423" s="1337"/>
      <c r="AA423" s="1337"/>
      <c r="AB423" s="1229"/>
      <c r="AC423" s="1229"/>
      <c r="AD423" s="1229"/>
      <c r="AE423" s="1229"/>
      <c r="AF423" s="1337"/>
      <c r="AG423" s="1337"/>
      <c r="AH423" s="1229"/>
      <c r="AI423" s="1229"/>
      <c r="AJ423" s="1229"/>
      <c r="AK423" s="1229"/>
      <c r="AL423" s="1337"/>
      <c r="AM423" s="1337"/>
      <c r="AN423" s="1229"/>
      <c r="AO423" s="1229"/>
      <c r="AP423" s="1229"/>
      <c r="AQ423" s="1229"/>
      <c r="AR423" s="1337"/>
      <c r="AS423" s="1337"/>
      <c r="AT423" s="1229"/>
      <c r="AU423" s="1229"/>
      <c r="AV423" s="1229"/>
      <c r="AW423" s="1229"/>
      <c r="AX423" s="1337"/>
      <c r="AY423" s="1337"/>
      <c r="AZ423" s="1229"/>
      <c r="BA423" s="1229"/>
      <c r="BB423" s="1229"/>
      <c r="BC423" s="1229"/>
      <c r="BD423" s="1337"/>
      <c r="BE423" s="1337"/>
      <c r="BF423" s="1229"/>
      <c r="BG423" s="1229"/>
      <c r="BH423" s="1229"/>
      <c r="BI423" s="1222"/>
      <c r="BJ423" s="1338"/>
      <c r="BK423" s="1338"/>
      <c r="BL423" s="1222"/>
      <c r="BM423" s="1222"/>
      <c r="BN423" s="1222"/>
      <c r="BO423" s="1222"/>
    </row>
    <row r="424">
      <c r="A424" s="1222"/>
      <c r="B424" s="1229"/>
      <c r="C424" s="1349"/>
      <c r="D424" s="1229"/>
      <c r="E424" s="1229"/>
      <c r="F424" s="1229"/>
      <c r="G424" s="1229"/>
      <c r="H424" s="1229"/>
      <c r="I424" s="1229"/>
      <c r="J424" s="1229"/>
      <c r="K424" s="1229"/>
      <c r="L424" s="1229"/>
      <c r="M424" s="1229"/>
      <c r="N424" s="1337"/>
      <c r="O424" s="1337"/>
      <c r="P424" s="1229"/>
      <c r="Q424" s="1229"/>
      <c r="R424" s="1229"/>
      <c r="S424" s="1229"/>
      <c r="T424" s="1337"/>
      <c r="U424" s="1337"/>
      <c r="V424" s="1229"/>
      <c r="W424" s="1229"/>
      <c r="X424" s="1229"/>
      <c r="Y424" s="1229"/>
      <c r="Z424" s="1337"/>
      <c r="AA424" s="1337"/>
      <c r="AB424" s="1229"/>
      <c r="AC424" s="1229"/>
      <c r="AD424" s="1229"/>
      <c r="AE424" s="1229"/>
      <c r="AF424" s="1337"/>
      <c r="AG424" s="1337"/>
      <c r="AH424" s="1229"/>
      <c r="AI424" s="1229"/>
      <c r="AJ424" s="1229"/>
      <c r="AK424" s="1229"/>
      <c r="AL424" s="1337"/>
      <c r="AM424" s="1337"/>
      <c r="AN424" s="1229"/>
      <c r="AO424" s="1229"/>
      <c r="AP424" s="1229"/>
      <c r="AQ424" s="1229"/>
      <c r="AR424" s="1337"/>
      <c r="AS424" s="1337"/>
      <c r="AT424" s="1229"/>
      <c r="AU424" s="1229"/>
      <c r="AV424" s="1229"/>
      <c r="AW424" s="1229"/>
      <c r="AX424" s="1337"/>
      <c r="AY424" s="1337"/>
      <c r="AZ424" s="1229"/>
      <c r="BA424" s="1229"/>
      <c r="BB424" s="1229"/>
      <c r="BC424" s="1229"/>
      <c r="BD424" s="1337"/>
      <c r="BE424" s="1337"/>
      <c r="BF424" s="1229"/>
      <c r="BG424" s="1229"/>
      <c r="BH424" s="1229"/>
      <c r="BI424" s="1222"/>
      <c r="BJ424" s="1338"/>
      <c r="BK424" s="1338"/>
      <c r="BL424" s="1222"/>
      <c r="BM424" s="1222"/>
      <c r="BN424" s="1222"/>
      <c r="BO424" s="1222"/>
    </row>
    <row r="425">
      <c r="A425" s="1222"/>
      <c r="B425" s="1229"/>
      <c r="C425" s="1349"/>
      <c r="D425" s="1229"/>
      <c r="E425" s="1229"/>
      <c r="F425" s="1229"/>
      <c r="G425" s="1229"/>
      <c r="H425" s="1229"/>
      <c r="I425" s="1229"/>
      <c r="J425" s="1229"/>
      <c r="K425" s="1229"/>
      <c r="L425" s="1229"/>
      <c r="M425" s="1229"/>
      <c r="N425" s="1337"/>
      <c r="O425" s="1337"/>
      <c r="P425" s="1229"/>
      <c r="Q425" s="1229"/>
      <c r="R425" s="1229"/>
      <c r="S425" s="1229"/>
      <c r="T425" s="1337"/>
      <c r="U425" s="1337"/>
      <c r="V425" s="1229"/>
      <c r="W425" s="1229"/>
      <c r="X425" s="1229"/>
      <c r="Y425" s="1229"/>
      <c r="Z425" s="1337"/>
      <c r="AA425" s="1337"/>
      <c r="AB425" s="1229"/>
      <c r="AC425" s="1229"/>
      <c r="AD425" s="1229"/>
      <c r="AE425" s="1229"/>
      <c r="AF425" s="1337"/>
      <c r="AG425" s="1337"/>
      <c r="AH425" s="1229"/>
      <c r="AI425" s="1229"/>
      <c r="AJ425" s="1229"/>
      <c r="AK425" s="1229"/>
      <c r="AL425" s="1337"/>
      <c r="AM425" s="1337"/>
      <c r="AN425" s="1229"/>
      <c r="AO425" s="1229"/>
      <c r="AP425" s="1229"/>
      <c r="AQ425" s="1229"/>
      <c r="AR425" s="1337"/>
      <c r="AS425" s="1337"/>
      <c r="AT425" s="1229"/>
      <c r="AU425" s="1229"/>
      <c r="AV425" s="1229"/>
      <c r="AW425" s="1229"/>
      <c r="AX425" s="1337"/>
      <c r="AY425" s="1337"/>
      <c r="AZ425" s="1229"/>
      <c r="BA425" s="1229"/>
      <c r="BB425" s="1229"/>
      <c r="BC425" s="1229"/>
      <c r="BD425" s="1337"/>
      <c r="BE425" s="1337"/>
      <c r="BF425" s="1229"/>
      <c r="BG425" s="1229"/>
      <c r="BH425" s="1229"/>
      <c r="BI425" s="1222"/>
      <c r="BJ425" s="1338"/>
      <c r="BK425" s="1338"/>
      <c r="BL425" s="1222"/>
      <c r="BM425" s="1222"/>
      <c r="BN425" s="1222"/>
      <c r="BO425" s="1222"/>
    </row>
    <row r="426">
      <c r="A426" s="1222"/>
      <c r="B426" s="1229"/>
      <c r="C426" s="1349"/>
      <c r="D426" s="1229"/>
      <c r="E426" s="1229"/>
      <c r="F426" s="1229"/>
      <c r="G426" s="1229"/>
      <c r="H426" s="1229"/>
      <c r="I426" s="1229"/>
      <c r="J426" s="1229"/>
      <c r="K426" s="1229"/>
      <c r="L426" s="1229"/>
      <c r="M426" s="1229"/>
      <c r="N426" s="1337"/>
      <c r="O426" s="1337"/>
      <c r="P426" s="1229"/>
      <c r="Q426" s="1229"/>
      <c r="R426" s="1229"/>
      <c r="S426" s="1229"/>
      <c r="T426" s="1337"/>
      <c r="U426" s="1337"/>
      <c r="V426" s="1229"/>
      <c r="W426" s="1229"/>
      <c r="X426" s="1229"/>
      <c r="Y426" s="1229"/>
      <c r="Z426" s="1337"/>
      <c r="AA426" s="1337"/>
      <c r="AB426" s="1229"/>
      <c r="AC426" s="1229"/>
      <c r="AD426" s="1229"/>
      <c r="AE426" s="1229"/>
      <c r="AF426" s="1337"/>
      <c r="AG426" s="1337"/>
      <c r="AH426" s="1229"/>
      <c r="AI426" s="1229"/>
      <c r="AJ426" s="1229"/>
      <c r="AK426" s="1229"/>
      <c r="AL426" s="1337"/>
      <c r="AM426" s="1337"/>
      <c r="AN426" s="1229"/>
      <c r="AO426" s="1229"/>
      <c r="AP426" s="1229"/>
      <c r="AQ426" s="1229"/>
      <c r="AR426" s="1337"/>
      <c r="AS426" s="1337"/>
      <c r="AT426" s="1229"/>
      <c r="AU426" s="1229"/>
      <c r="AV426" s="1229"/>
      <c r="AW426" s="1229"/>
      <c r="AX426" s="1337"/>
      <c r="AY426" s="1337"/>
      <c r="AZ426" s="1229"/>
      <c r="BA426" s="1229"/>
      <c r="BB426" s="1229"/>
      <c r="BC426" s="1229"/>
      <c r="BD426" s="1337"/>
      <c r="BE426" s="1337"/>
      <c r="BF426" s="1229"/>
      <c r="BG426" s="1229"/>
      <c r="BH426" s="1229"/>
      <c r="BI426" s="1222"/>
      <c r="BJ426" s="1338"/>
      <c r="BK426" s="1338"/>
      <c r="BL426" s="1222"/>
      <c r="BM426" s="1222"/>
      <c r="BN426" s="1222"/>
      <c r="BO426" s="1222"/>
    </row>
    <row r="427">
      <c r="A427" s="1222"/>
      <c r="B427" s="1229"/>
      <c r="C427" s="1349"/>
      <c r="D427" s="1229"/>
      <c r="E427" s="1229"/>
      <c r="F427" s="1229"/>
      <c r="G427" s="1229"/>
      <c r="H427" s="1229"/>
      <c r="I427" s="1229"/>
      <c r="J427" s="1229"/>
      <c r="K427" s="1229"/>
      <c r="L427" s="1229"/>
      <c r="M427" s="1229"/>
      <c r="N427" s="1337"/>
      <c r="O427" s="1337"/>
      <c r="P427" s="1229"/>
      <c r="Q427" s="1229"/>
      <c r="R427" s="1229"/>
      <c r="S427" s="1229"/>
      <c r="T427" s="1337"/>
      <c r="U427" s="1337"/>
      <c r="V427" s="1229"/>
      <c r="W427" s="1229"/>
      <c r="X427" s="1229"/>
      <c r="Y427" s="1229"/>
      <c r="Z427" s="1337"/>
      <c r="AA427" s="1337"/>
      <c r="AB427" s="1229"/>
      <c r="AC427" s="1229"/>
      <c r="AD427" s="1229"/>
      <c r="AE427" s="1229"/>
      <c r="AF427" s="1337"/>
      <c r="AG427" s="1337"/>
      <c r="AH427" s="1229"/>
      <c r="AI427" s="1229"/>
      <c r="AJ427" s="1229"/>
      <c r="AK427" s="1229"/>
      <c r="AL427" s="1337"/>
      <c r="AM427" s="1337"/>
      <c r="AN427" s="1229"/>
      <c r="AO427" s="1229"/>
      <c r="AP427" s="1229"/>
      <c r="AQ427" s="1229"/>
      <c r="AR427" s="1337"/>
      <c r="AS427" s="1337"/>
      <c r="AT427" s="1229"/>
      <c r="AU427" s="1229"/>
      <c r="AV427" s="1229"/>
      <c r="AW427" s="1229"/>
      <c r="AX427" s="1337"/>
      <c r="AY427" s="1337"/>
      <c r="AZ427" s="1229"/>
      <c r="BA427" s="1229"/>
      <c r="BB427" s="1229"/>
      <c r="BC427" s="1229"/>
      <c r="BD427" s="1337"/>
      <c r="BE427" s="1337"/>
      <c r="BF427" s="1229"/>
      <c r="BG427" s="1229"/>
      <c r="BH427" s="1229"/>
      <c r="BI427" s="1222"/>
      <c r="BJ427" s="1338"/>
      <c r="BK427" s="1338"/>
      <c r="BL427" s="1222"/>
      <c r="BM427" s="1222"/>
      <c r="BN427" s="1222"/>
      <c r="BO427" s="1222"/>
    </row>
    <row r="428">
      <c r="A428" s="1222"/>
      <c r="B428" s="1229"/>
      <c r="C428" s="1349"/>
      <c r="D428" s="1229"/>
      <c r="E428" s="1229"/>
      <c r="F428" s="1229"/>
      <c r="G428" s="1229"/>
      <c r="H428" s="1229"/>
      <c r="I428" s="1229"/>
      <c r="J428" s="1229"/>
      <c r="K428" s="1229"/>
      <c r="L428" s="1229"/>
      <c r="M428" s="1229"/>
      <c r="N428" s="1337"/>
      <c r="O428" s="1337"/>
      <c r="P428" s="1229"/>
      <c r="Q428" s="1229"/>
      <c r="R428" s="1229"/>
      <c r="S428" s="1229"/>
      <c r="T428" s="1337"/>
      <c r="U428" s="1337"/>
      <c r="V428" s="1229"/>
      <c r="W428" s="1229"/>
      <c r="X428" s="1229"/>
      <c r="Y428" s="1229"/>
      <c r="Z428" s="1337"/>
      <c r="AA428" s="1337"/>
      <c r="AB428" s="1229"/>
      <c r="AC428" s="1229"/>
      <c r="AD428" s="1229"/>
      <c r="AE428" s="1229"/>
      <c r="AF428" s="1337"/>
      <c r="AG428" s="1337"/>
      <c r="AH428" s="1229"/>
      <c r="AI428" s="1229"/>
      <c r="AJ428" s="1229"/>
      <c r="AK428" s="1229"/>
      <c r="AL428" s="1337"/>
      <c r="AM428" s="1337"/>
      <c r="AN428" s="1229"/>
      <c r="AO428" s="1229"/>
      <c r="AP428" s="1229"/>
      <c r="AQ428" s="1229"/>
      <c r="AR428" s="1337"/>
      <c r="AS428" s="1337"/>
      <c r="AT428" s="1229"/>
      <c r="AU428" s="1229"/>
      <c r="AV428" s="1229"/>
      <c r="AW428" s="1229"/>
      <c r="AX428" s="1337"/>
      <c r="AY428" s="1337"/>
      <c r="AZ428" s="1229"/>
      <c r="BA428" s="1229"/>
      <c r="BB428" s="1229"/>
      <c r="BC428" s="1229"/>
      <c r="BD428" s="1337"/>
      <c r="BE428" s="1337"/>
      <c r="BF428" s="1229"/>
      <c r="BG428" s="1229"/>
      <c r="BH428" s="1229"/>
      <c r="BI428" s="1222"/>
      <c r="BJ428" s="1338"/>
      <c r="BK428" s="1338"/>
      <c r="BL428" s="1222"/>
      <c r="BM428" s="1222"/>
      <c r="BN428" s="1222"/>
      <c r="BO428" s="1222"/>
    </row>
    <row r="429">
      <c r="A429" s="1222"/>
      <c r="B429" s="1229"/>
      <c r="C429" s="1349"/>
      <c r="D429" s="1229"/>
      <c r="E429" s="1229"/>
      <c r="F429" s="1229"/>
      <c r="G429" s="1229"/>
      <c r="H429" s="1229"/>
      <c r="I429" s="1229"/>
      <c r="J429" s="1229"/>
      <c r="K429" s="1229"/>
      <c r="L429" s="1229"/>
      <c r="M429" s="1229"/>
      <c r="N429" s="1337"/>
      <c r="O429" s="1337"/>
      <c r="P429" s="1229"/>
      <c r="Q429" s="1229"/>
      <c r="R429" s="1229"/>
      <c r="S429" s="1229"/>
      <c r="T429" s="1337"/>
      <c r="U429" s="1337"/>
      <c r="V429" s="1229"/>
      <c r="W429" s="1229"/>
      <c r="X429" s="1229"/>
      <c r="Y429" s="1229"/>
      <c r="Z429" s="1337"/>
      <c r="AA429" s="1337"/>
      <c r="AB429" s="1229"/>
      <c r="AC429" s="1229"/>
      <c r="AD429" s="1229"/>
      <c r="AE429" s="1229"/>
      <c r="AF429" s="1337"/>
      <c r="AG429" s="1337"/>
      <c r="AH429" s="1229"/>
      <c r="AI429" s="1229"/>
      <c r="AJ429" s="1229"/>
      <c r="AK429" s="1229"/>
      <c r="AL429" s="1337"/>
      <c r="AM429" s="1337"/>
      <c r="AN429" s="1229"/>
      <c r="AO429" s="1229"/>
      <c r="AP429" s="1229"/>
      <c r="AQ429" s="1229"/>
      <c r="AR429" s="1337"/>
      <c r="AS429" s="1337"/>
      <c r="AT429" s="1229"/>
      <c r="AU429" s="1229"/>
      <c r="AV429" s="1229"/>
      <c r="AW429" s="1229"/>
      <c r="AX429" s="1337"/>
      <c r="AY429" s="1337"/>
      <c r="AZ429" s="1229"/>
      <c r="BA429" s="1229"/>
      <c r="BB429" s="1229"/>
      <c r="BC429" s="1229"/>
      <c r="BD429" s="1337"/>
      <c r="BE429" s="1337"/>
      <c r="BF429" s="1229"/>
      <c r="BG429" s="1229"/>
      <c r="BH429" s="1229"/>
      <c r="BI429" s="1222"/>
      <c r="BJ429" s="1338"/>
      <c r="BK429" s="1338"/>
      <c r="BL429" s="1222"/>
      <c r="BM429" s="1222"/>
      <c r="BN429" s="1222"/>
      <c r="BO429" s="1222"/>
    </row>
    <row r="430">
      <c r="A430" s="1222"/>
      <c r="B430" s="1229"/>
      <c r="C430" s="1349"/>
      <c r="D430" s="1229"/>
      <c r="E430" s="1229"/>
      <c r="F430" s="1229"/>
      <c r="G430" s="1229"/>
      <c r="H430" s="1229"/>
      <c r="I430" s="1229"/>
      <c r="J430" s="1229"/>
      <c r="K430" s="1229"/>
      <c r="L430" s="1229"/>
      <c r="M430" s="1229"/>
      <c r="N430" s="1337"/>
      <c r="O430" s="1337"/>
      <c r="P430" s="1229"/>
      <c r="Q430" s="1229"/>
      <c r="R430" s="1229"/>
      <c r="S430" s="1229"/>
      <c r="T430" s="1337"/>
      <c r="U430" s="1337"/>
      <c r="V430" s="1229"/>
      <c r="W430" s="1229"/>
      <c r="X430" s="1229"/>
      <c r="Y430" s="1229"/>
      <c r="Z430" s="1337"/>
      <c r="AA430" s="1337"/>
      <c r="AB430" s="1229"/>
      <c r="AC430" s="1229"/>
      <c r="AD430" s="1229"/>
      <c r="AE430" s="1229"/>
      <c r="AF430" s="1337"/>
      <c r="AG430" s="1337"/>
      <c r="AH430" s="1229"/>
      <c r="AI430" s="1229"/>
      <c r="AJ430" s="1229"/>
      <c r="AK430" s="1229"/>
      <c r="AL430" s="1337"/>
      <c r="AM430" s="1337"/>
      <c r="AN430" s="1229"/>
      <c r="AO430" s="1229"/>
      <c r="AP430" s="1229"/>
      <c r="AQ430" s="1229"/>
      <c r="AR430" s="1337"/>
      <c r="AS430" s="1337"/>
      <c r="AT430" s="1229"/>
      <c r="AU430" s="1229"/>
      <c r="AV430" s="1229"/>
      <c r="AW430" s="1229"/>
      <c r="AX430" s="1337"/>
      <c r="AY430" s="1337"/>
      <c r="AZ430" s="1229"/>
      <c r="BA430" s="1229"/>
      <c r="BB430" s="1229"/>
      <c r="BC430" s="1229"/>
      <c r="BD430" s="1337"/>
      <c r="BE430" s="1337"/>
      <c r="BF430" s="1229"/>
      <c r="BG430" s="1229"/>
      <c r="BH430" s="1229"/>
      <c r="BI430" s="1222"/>
      <c r="BJ430" s="1338"/>
      <c r="BK430" s="1338"/>
      <c r="BL430" s="1222"/>
      <c r="BM430" s="1222"/>
      <c r="BN430" s="1222"/>
      <c r="BO430" s="1222"/>
    </row>
    <row r="431">
      <c r="A431" s="1222"/>
      <c r="B431" s="1229"/>
      <c r="C431" s="1349"/>
      <c r="D431" s="1229"/>
      <c r="E431" s="1229"/>
      <c r="F431" s="1229"/>
      <c r="G431" s="1229"/>
      <c r="H431" s="1229"/>
      <c r="I431" s="1229"/>
      <c r="J431" s="1229"/>
      <c r="K431" s="1229"/>
      <c r="L431" s="1229"/>
      <c r="M431" s="1229"/>
      <c r="N431" s="1337"/>
      <c r="O431" s="1337"/>
      <c r="P431" s="1229"/>
      <c r="Q431" s="1229"/>
      <c r="R431" s="1229"/>
      <c r="S431" s="1229"/>
      <c r="T431" s="1337"/>
      <c r="U431" s="1337"/>
      <c r="V431" s="1229"/>
      <c r="W431" s="1229"/>
      <c r="X431" s="1229"/>
      <c r="Y431" s="1229"/>
      <c r="Z431" s="1337"/>
      <c r="AA431" s="1337"/>
      <c r="AB431" s="1229"/>
      <c r="AC431" s="1229"/>
      <c r="AD431" s="1229"/>
      <c r="AE431" s="1229"/>
      <c r="AF431" s="1337"/>
      <c r="AG431" s="1337"/>
      <c r="AH431" s="1229"/>
      <c r="AI431" s="1229"/>
      <c r="AJ431" s="1229"/>
      <c r="AK431" s="1229"/>
      <c r="AL431" s="1337"/>
      <c r="AM431" s="1337"/>
      <c r="AN431" s="1229"/>
      <c r="AO431" s="1229"/>
      <c r="AP431" s="1229"/>
      <c r="AQ431" s="1229"/>
      <c r="AR431" s="1337"/>
      <c r="AS431" s="1337"/>
      <c r="AT431" s="1229"/>
      <c r="AU431" s="1229"/>
      <c r="AV431" s="1229"/>
      <c r="AW431" s="1229"/>
      <c r="AX431" s="1337"/>
      <c r="AY431" s="1337"/>
      <c r="AZ431" s="1229"/>
      <c r="BA431" s="1229"/>
      <c r="BB431" s="1229"/>
      <c r="BC431" s="1229"/>
      <c r="BD431" s="1337"/>
      <c r="BE431" s="1337"/>
      <c r="BF431" s="1229"/>
      <c r="BG431" s="1229"/>
      <c r="BH431" s="1229"/>
      <c r="BI431" s="1222"/>
      <c r="BJ431" s="1338"/>
      <c r="BK431" s="1338"/>
      <c r="BL431" s="1222"/>
      <c r="BM431" s="1222"/>
      <c r="BN431" s="1222"/>
      <c r="BO431" s="1222"/>
    </row>
    <row r="432">
      <c r="A432" s="1222"/>
      <c r="B432" s="1229"/>
      <c r="C432" s="1349"/>
      <c r="D432" s="1229"/>
      <c r="E432" s="1229"/>
      <c r="F432" s="1229"/>
      <c r="G432" s="1229"/>
      <c r="H432" s="1229"/>
      <c r="I432" s="1229"/>
      <c r="J432" s="1229"/>
      <c r="K432" s="1229"/>
      <c r="L432" s="1229"/>
      <c r="M432" s="1229"/>
      <c r="N432" s="1337"/>
      <c r="O432" s="1337"/>
      <c r="P432" s="1229"/>
      <c r="Q432" s="1229"/>
      <c r="R432" s="1229"/>
      <c r="S432" s="1229"/>
      <c r="T432" s="1337"/>
      <c r="U432" s="1337"/>
      <c r="V432" s="1229"/>
      <c r="W432" s="1229"/>
      <c r="X432" s="1229"/>
      <c r="Y432" s="1229"/>
      <c r="Z432" s="1337"/>
      <c r="AA432" s="1337"/>
      <c r="AB432" s="1229"/>
      <c r="AC432" s="1229"/>
      <c r="AD432" s="1229"/>
      <c r="AE432" s="1229"/>
      <c r="AF432" s="1337"/>
      <c r="AG432" s="1337"/>
      <c r="AH432" s="1229"/>
      <c r="AI432" s="1229"/>
      <c r="AJ432" s="1229"/>
      <c r="AK432" s="1229"/>
      <c r="AL432" s="1337"/>
      <c r="AM432" s="1337"/>
      <c r="AN432" s="1229"/>
      <c r="AO432" s="1229"/>
      <c r="AP432" s="1229"/>
      <c r="AQ432" s="1229"/>
      <c r="AR432" s="1337"/>
      <c r="AS432" s="1337"/>
      <c r="AT432" s="1229"/>
      <c r="AU432" s="1229"/>
      <c r="AV432" s="1229"/>
      <c r="AW432" s="1229"/>
      <c r="AX432" s="1337"/>
      <c r="AY432" s="1337"/>
      <c r="AZ432" s="1229"/>
      <c r="BA432" s="1229"/>
      <c r="BB432" s="1229"/>
      <c r="BC432" s="1229"/>
      <c r="BD432" s="1337"/>
      <c r="BE432" s="1337"/>
      <c r="BF432" s="1229"/>
      <c r="BG432" s="1229"/>
      <c r="BH432" s="1229"/>
      <c r="BI432" s="1222"/>
      <c r="BJ432" s="1338"/>
      <c r="BK432" s="1338"/>
      <c r="BL432" s="1222"/>
      <c r="BM432" s="1222"/>
      <c r="BN432" s="1222"/>
      <c r="BO432" s="1222"/>
    </row>
    <row r="433">
      <c r="A433" s="1222"/>
      <c r="B433" s="1229"/>
      <c r="C433" s="1349"/>
      <c r="D433" s="1229"/>
      <c r="E433" s="1229"/>
      <c r="F433" s="1229"/>
      <c r="G433" s="1229"/>
      <c r="H433" s="1229"/>
      <c r="I433" s="1229"/>
      <c r="J433" s="1229"/>
      <c r="K433" s="1229"/>
      <c r="L433" s="1229"/>
      <c r="M433" s="1229"/>
      <c r="N433" s="1337"/>
      <c r="O433" s="1337"/>
      <c r="P433" s="1229"/>
      <c r="Q433" s="1229"/>
      <c r="R433" s="1229"/>
      <c r="S433" s="1229"/>
      <c r="T433" s="1337"/>
      <c r="U433" s="1337"/>
      <c r="V433" s="1229"/>
      <c r="W433" s="1229"/>
      <c r="X433" s="1229"/>
      <c r="Y433" s="1229"/>
      <c r="Z433" s="1337"/>
      <c r="AA433" s="1337"/>
      <c r="AB433" s="1229"/>
      <c r="AC433" s="1229"/>
      <c r="AD433" s="1229"/>
      <c r="AE433" s="1229"/>
      <c r="AF433" s="1337"/>
      <c r="AG433" s="1337"/>
      <c r="AH433" s="1229"/>
      <c r="AI433" s="1229"/>
      <c r="AJ433" s="1229"/>
      <c r="AK433" s="1229"/>
      <c r="AL433" s="1337"/>
      <c r="AM433" s="1337"/>
      <c r="AN433" s="1229"/>
      <c r="AO433" s="1229"/>
      <c r="AP433" s="1229"/>
      <c r="AQ433" s="1229"/>
      <c r="AR433" s="1337"/>
      <c r="AS433" s="1337"/>
      <c r="AT433" s="1229"/>
      <c r="AU433" s="1229"/>
      <c r="AV433" s="1229"/>
      <c r="AW433" s="1229"/>
      <c r="AX433" s="1337"/>
      <c r="AY433" s="1337"/>
      <c r="AZ433" s="1229"/>
      <c r="BA433" s="1229"/>
      <c r="BB433" s="1229"/>
      <c r="BC433" s="1229"/>
      <c r="BD433" s="1337"/>
      <c r="BE433" s="1337"/>
      <c r="BF433" s="1229"/>
      <c r="BG433" s="1229"/>
      <c r="BH433" s="1229"/>
      <c r="BI433" s="1222"/>
      <c r="BJ433" s="1338"/>
      <c r="BK433" s="1338"/>
      <c r="BL433" s="1222"/>
      <c r="BM433" s="1222"/>
      <c r="BN433" s="1222"/>
      <c r="BO433" s="1222"/>
    </row>
    <row r="434">
      <c r="A434" s="1222"/>
      <c r="B434" s="1229"/>
      <c r="C434" s="1349"/>
      <c r="D434" s="1229"/>
      <c r="E434" s="1229"/>
      <c r="F434" s="1229"/>
      <c r="G434" s="1229"/>
      <c r="H434" s="1229"/>
      <c r="I434" s="1229"/>
      <c r="J434" s="1229"/>
      <c r="K434" s="1229"/>
      <c r="L434" s="1229"/>
      <c r="M434" s="1229"/>
      <c r="N434" s="1337"/>
      <c r="O434" s="1337"/>
      <c r="P434" s="1229"/>
      <c r="Q434" s="1229"/>
      <c r="R434" s="1229"/>
      <c r="S434" s="1229"/>
      <c r="T434" s="1337"/>
      <c r="U434" s="1337"/>
      <c r="V434" s="1229"/>
      <c r="W434" s="1229"/>
      <c r="X434" s="1229"/>
      <c r="Y434" s="1229"/>
      <c r="Z434" s="1337"/>
      <c r="AA434" s="1337"/>
      <c r="AB434" s="1229"/>
      <c r="AC434" s="1229"/>
      <c r="AD434" s="1229"/>
      <c r="AE434" s="1229"/>
      <c r="AF434" s="1337"/>
      <c r="AG434" s="1337"/>
      <c r="AH434" s="1229"/>
      <c r="AI434" s="1229"/>
      <c r="AJ434" s="1229"/>
      <c r="AK434" s="1229"/>
      <c r="AL434" s="1337"/>
      <c r="AM434" s="1337"/>
      <c r="AN434" s="1229"/>
      <c r="AO434" s="1229"/>
      <c r="AP434" s="1229"/>
      <c r="AQ434" s="1229"/>
      <c r="AR434" s="1337"/>
      <c r="AS434" s="1337"/>
      <c r="AT434" s="1229"/>
      <c r="AU434" s="1229"/>
      <c r="AV434" s="1229"/>
      <c r="AW434" s="1229"/>
      <c r="AX434" s="1337"/>
      <c r="AY434" s="1337"/>
      <c r="AZ434" s="1229"/>
      <c r="BA434" s="1229"/>
      <c r="BB434" s="1229"/>
      <c r="BC434" s="1229"/>
      <c r="BD434" s="1337"/>
      <c r="BE434" s="1337"/>
      <c r="BF434" s="1229"/>
      <c r="BG434" s="1229"/>
      <c r="BH434" s="1229"/>
      <c r="BI434" s="1222"/>
      <c r="BJ434" s="1338"/>
      <c r="BK434" s="1338"/>
      <c r="BL434" s="1222"/>
      <c r="BM434" s="1222"/>
      <c r="BN434" s="1222"/>
      <c r="BO434" s="1222"/>
    </row>
    <row r="435">
      <c r="A435" s="1222"/>
      <c r="B435" s="1229"/>
      <c r="C435" s="1349"/>
      <c r="D435" s="1229"/>
      <c r="E435" s="1229"/>
      <c r="F435" s="1229"/>
      <c r="G435" s="1229"/>
      <c r="H435" s="1229"/>
      <c r="I435" s="1229"/>
      <c r="J435" s="1229"/>
      <c r="K435" s="1229"/>
      <c r="L435" s="1229"/>
      <c r="M435" s="1229"/>
      <c r="N435" s="1337"/>
      <c r="O435" s="1337"/>
      <c r="P435" s="1229"/>
      <c r="Q435" s="1229"/>
      <c r="R435" s="1229"/>
      <c r="S435" s="1229"/>
      <c r="T435" s="1337"/>
      <c r="U435" s="1337"/>
      <c r="V435" s="1229"/>
      <c r="W435" s="1229"/>
      <c r="X435" s="1229"/>
      <c r="Y435" s="1229"/>
      <c r="Z435" s="1337"/>
      <c r="AA435" s="1337"/>
      <c r="AB435" s="1229"/>
      <c r="AC435" s="1229"/>
      <c r="AD435" s="1229"/>
      <c r="AE435" s="1229"/>
      <c r="AF435" s="1337"/>
      <c r="AG435" s="1337"/>
      <c r="AH435" s="1229"/>
      <c r="AI435" s="1229"/>
      <c r="AJ435" s="1229"/>
      <c r="AK435" s="1229"/>
      <c r="AL435" s="1337"/>
      <c r="AM435" s="1337"/>
      <c r="AN435" s="1229"/>
      <c r="AO435" s="1229"/>
      <c r="AP435" s="1229"/>
      <c r="AQ435" s="1229"/>
      <c r="AR435" s="1337"/>
      <c r="AS435" s="1337"/>
      <c r="AT435" s="1229"/>
      <c r="AU435" s="1229"/>
      <c r="AV435" s="1229"/>
      <c r="AW435" s="1229"/>
      <c r="AX435" s="1337"/>
      <c r="AY435" s="1337"/>
      <c r="AZ435" s="1229"/>
      <c r="BA435" s="1229"/>
      <c r="BB435" s="1229"/>
      <c r="BC435" s="1229"/>
      <c r="BD435" s="1337"/>
      <c r="BE435" s="1337"/>
      <c r="BF435" s="1229"/>
      <c r="BG435" s="1229"/>
      <c r="BH435" s="1229"/>
      <c r="BI435" s="1222"/>
      <c r="BJ435" s="1338"/>
      <c r="BK435" s="1338"/>
      <c r="BL435" s="1222"/>
      <c r="BM435" s="1222"/>
      <c r="BN435" s="1222"/>
      <c r="BO435" s="1222"/>
    </row>
    <row r="436">
      <c r="A436" s="1222"/>
      <c r="B436" s="1229"/>
      <c r="C436" s="1349"/>
      <c r="D436" s="1229"/>
      <c r="E436" s="1229"/>
      <c r="F436" s="1229"/>
      <c r="G436" s="1229"/>
      <c r="H436" s="1229"/>
      <c r="I436" s="1229"/>
      <c r="J436" s="1229"/>
      <c r="K436" s="1229"/>
      <c r="L436" s="1229"/>
      <c r="M436" s="1229"/>
      <c r="N436" s="1337"/>
      <c r="O436" s="1337"/>
      <c r="P436" s="1229"/>
      <c r="Q436" s="1229"/>
      <c r="R436" s="1229"/>
      <c r="S436" s="1229"/>
      <c r="T436" s="1337"/>
      <c r="U436" s="1337"/>
      <c r="V436" s="1229"/>
      <c r="W436" s="1229"/>
      <c r="X436" s="1229"/>
      <c r="Y436" s="1229"/>
      <c r="Z436" s="1337"/>
      <c r="AA436" s="1337"/>
      <c r="AB436" s="1229"/>
      <c r="AC436" s="1229"/>
      <c r="AD436" s="1229"/>
      <c r="AE436" s="1229"/>
      <c r="AF436" s="1337"/>
      <c r="AG436" s="1337"/>
      <c r="AH436" s="1229"/>
      <c r="AI436" s="1229"/>
      <c r="AJ436" s="1229"/>
      <c r="AK436" s="1229"/>
      <c r="AL436" s="1337"/>
      <c r="AM436" s="1337"/>
      <c r="AN436" s="1229"/>
      <c r="AO436" s="1229"/>
      <c r="AP436" s="1229"/>
      <c r="AQ436" s="1229"/>
      <c r="AR436" s="1337"/>
      <c r="AS436" s="1337"/>
      <c r="AT436" s="1229"/>
      <c r="AU436" s="1229"/>
      <c r="AV436" s="1229"/>
      <c r="AW436" s="1229"/>
      <c r="AX436" s="1337"/>
      <c r="AY436" s="1337"/>
      <c r="AZ436" s="1229"/>
      <c r="BA436" s="1229"/>
      <c r="BB436" s="1229"/>
      <c r="BC436" s="1229"/>
      <c r="BD436" s="1337"/>
      <c r="BE436" s="1337"/>
      <c r="BF436" s="1229"/>
      <c r="BG436" s="1229"/>
      <c r="BH436" s="1229"/>
      <c r="BI436" s="1222"/>
      <c r="BJ436" s="1338"/>
      <c r="BK436" s="1338"/>
      <c r="BL436" s="1222"/>
      <c r="BM436" s="1222"/>
      <c r="BN436" s="1222"/>
      <c r="BO436" s="1222"/>
    </row>
    <row r="437">
      <c r="A437" s="1222"/>
      <c r="B437" s="1229"/>
      <c r="C437" s="1349"/>
      <c r="D437" s="1229"/>
      <c r="E437" s="1229"/>
      <c r="F437" s="1229"/>
      <c r="G437" s="1229"/>
      <c r="H437" s="1229"/>
      <c r="I437" s="1229"/>
      <c r="J437" s="1229"/>
      <c r="K437" s="1229"/>
      <c r="L437" s="1229"/>
      <c r="M437" s="1229"/>
      <c r="N437" s="1337"/>
      <c r="O437" s="1337"/>
      <c r="P437" s="1229"/>
      <c r="Q437" s="1229"/>
      <c r="R437" s="1229"/>
      <c r="S437" s="1229"/>
      <c r="T437" s="1337"/>
      <c r="U437" s="1337"/>
      <c r="V437" s="1229"/>
      <c r="W437" s="1229"/>
      <c r="X437" s="1229"/>
      <c r="Y437" s="1229"/>
      <c r="Z437" s="1337"/>
      <c r="AA437" s="1337"/>
      <c r="AB437" s="1229"/>
      <c r="AC437" s="1229"/>
      <c r="AD437" s="1229"/>
      <c r="AE437" s="1229"/>
      <c r="AF437" s="1337"/>
      <c r="AG437" s="1337"/>
      <c r="AH437" s="1229"/>
      <c r="AI437" s="1229"/>
      <c r="AJ437" s="1229"/>
      <c r="AK437" s="1229"/>
      <c r="AL437" s="1337"/>
      <c r="AM437" s="1337"/>
      <c r="AN437" s="1229"/>
      <c r="AO437" s="1229"/>
      <c r="AP437" s="1229"/>
      <c r="AQ437" s="1229"/>
      <c r="AR437" s="1337"/>
      <c r="AS437" s="1337"/>
      <c r="AT437" s="1229"/>
      <c r="AU437" s="1229"/>
      <c r="AV437" s="1229"/>
      <c r="AW437" s="1229"/>
      <c r="AX437" s="1337"/>
      <c r="AY437" s="1337"/>
      <c r="AZ437" s="1229"/>
      <c r="BA437" s="1229"/>
      <c r="BB437" s="1229"/>
      <c r="BC437" s="1229"/>
      <c r="BD437" s="1337"/>
      <c r="BE437" s="1337"/>
      <c r="BF437" s="1229"/>
      <c r="BG437" s="1229"/>
      <c r="BH437" s="1229"/>
      <c r="BI437" s="1222"/>
      <c r="BJ437" s="1338"/>
      <c r="BK437" s="1338"/>
      <c r="BL437" s="1222"/>
      <c r="BM437" s="1222"/>
      <c r="BN437" s="1222"/>
      <c r="BO437" s="1222"/>
    </row>
    <row r="438">
      <c r="A438" s="1222"/>
      <c r="B438" s="1229"/>
      <c r="C438" s="1349"/>
      <c r="D438" s="1229"/>
      <c r="E438" s="1229"/>
      <c r="F438" s="1229"/>
      <c r="G438" s="1229"/>
      <c r="H438" s="1229"/>
      <c r="I438" s="1229"/>
      <c r="J438" s="1229"/>
      <c r="K438" s="1229"/>
      <c r="L438" s="1229"/>
      <c r="M438" s="1229"/>
      <c r="N438" s="1337"/>
      <c r="O438" s="1337"/>
      <c r="P438" s="1229"/>
      <c r="Q438" s="1229"/>
      <c r="R438" s="1229"/>
      <c r="S438" s="1229"/>
      <c r="T438" s="1337"/>
      <c r="U438" s="1337"/>
      <c r="V438" s="1229"/>
      <c r="W438" s="1229"/>
      <c r="X438" s="1229"/>
      <c r="Y438" s="1229"/>
      <c r="Z438" s="1337"/>
      <c r="AA438" s="1337"/>
      <c r="AB438" s="1229"/>
      <c r="AC438" s="1229"/>
      <c r="AD438" s="1229"/>
      <c r="AE438" s="1229"/>
      <c r="AF438" s="1337"/>
      <c r="AG438" s="1337"/>
      <c r="AH438" s="1229"/>
      <c r="AI438" s="1229"/>
      <c r="AJ438" s="1229"/>
      <c r="AK438" s="1229"/>
      <c r="AL438" s="1337"/>
      <c r="AM438" s="1337"/>
      <c r="AN438" s="1229"/>
      <c r="AO438" s="1229"/>
      <c r="AP438" s="1229"/>
      <c r="AQ438" s="1229"/>
      <c r="AR438" s="1337"/>
      <c r="AS438" s="1337"/>
      <c r="AT438" s="1229"/>
      <c r="AU438" s="1229"/>
      <c r="AV438" s="1229"/>
      <c r="AW438" s="1229"/>
      <c r="AX438" s="1337"/>
      <c r="AY438" s="1337"/>
      <c r="AZ438" s="1229"/>
      <c r="BA438" s="1229"/>
      <c r="BB438" s="1229"/>
      <c r="BC438" s="1229"/>
      <c r="BD438" s="1337"/>
      <c r="BE438" s="1337"/>
      <c r="BF438" s="1229"/>
      <c r="BG438" s="1229"/>
      <c r="BH438" s="1229"/>
      <c r="BI438" s="1222"/>
      <c r="BJ438" s="1338"/>
      <c r="BK438" s="1338"/>
      <c r="BL438" s="1222"/>
      <c r="BM438" s="1222"/>
      <c r="BN438" s="1222"/>
      <c r="BO438" s="1222"/>
    </row>
    <row r="439">
      <c r="A439" s="1222"/>
      <c r="B439" s="1229"/>
      <c r="C439" s="1349"/>
      <c r="D439" s="1229"/>
      <c r="E439" s="1229"/>
      <c r="F439" s="1229"/>
      <c r="G439" s="1229"/>
      <c r="H439" s="1229"/>
      <c r="I439" s="1229"/>
      <c r="J439" s="1229"/>
      <c r="K439" s="1229"/>
      <c r="L439" s="1229"/>
      <c r="M439" s="1229"/>
      <c r="N439" s="1337"/>
      <c r="O439" s="1337"/>
      <c r="P439" s="1229"/>
      <c r="Q439" s="1229"/>
      <c r="R439" s="1229"/>
      <c r="S439" s="1229"/>
      <c r="T439" s="1337"/>
      <c r="U439" s="1337"/>
      <c r="V439" s="1229"/>
      <c r="W439" s="1229"/>
      <c r="X439" s="1229"/>
      <c r="Y439" s="1229"/>
      <c r="Z439" s="1337"/>
      <c r="AA439" s="1337"/>
      <c r="AB439" s="1229"/>
      <c r="AC439" s="1229"/>
      <c r="AD439" s="1229"/>
      <c r="AE439" s="1229"/>
      <c r="AF439" s="1337"/>
      <c r="AG439" s="1337"/>
      <c r="AH439" s="1229"/>
      <c r="AI439" s="1229"/>
      <c r="AJ439" s="1229"/>
      <c r="AK439" s="1229"/>
      <c r="AL439" s="1337"/>
      <c r="AM439" s="1337"/>
      <c r="AN439" s="1229"/>
      <c r="AO439" s="1229"/>
      <c r="AP439" s="1229"/>
      <c r="AQ439" s="1229"/>
      <c r="AR439" s="1337"/>
      <c r="AS439" s="1337"/>
      <c r="AT439" s="1229"/>
      <c r="AU439" s="1229"/>
      <c r="AV439" s="1229"/>
      <c r="AW439" s="1229"/>
      <c r="AX439" s="1337"/>
      <c r="AY439" s="1337"/>
      <c r="AZ439" s="1229"/>
      <c r="BA439" s="1229"/>
      <c r="BB439" s="1229"/>
      <c r="BC439" s="1229"/>
      <c r="BD439" s="1337"/>
      <c r="BE439" s="1337"/>
      <c r="BF439" s="1229"/>
      <c r="BG439" s="1229"/>
      <c r="BH439" s="1229"/>
      <c r="BI439" s="1222"/>
      <c r="BJ439" s="1338"/>
      <c r="BK439" s="1338"/>
      <c r="BL439" s="1222"/>
      <c r="BM439" s="1222"/>
      <c r="BN439" s="1222"/>
      <c r="BO439" s="1222"/>
    </row>
    <row r="440">
      <c r="A440" s="1222"/>
      <c r="B440" s="1229"/>
      <c r="C440" s="1349"/>
      <c r="D440" s="1229"/>
      <c r="E440" s="1229"/>
      <c r="F440" s="1229"/>
      <c r="G440" s="1229"/>
      <c r="H440" s="1229"/>
      <c r="I440" s="1229"/>
      <c r="J440" s="1229"/>
      <c r="K440" s="1229"/>
      <c r="L440" s="1229"/>
      <c r="M440" s="1229"/>
      <c r="N440" s="1337"/>
      <c r="O440" s="1337"/>
      <c r="P440" s="1229"/>
      <c r="Q440" s="1229"/>
      <c r="R440" s="1229"/>
      <c r="S440" s="1229"/>
      <c r="T440" s="1337"/>
      <c r="U440" s="1337"/>
      <c r="V440" s="1229"/>
      <c r="W440" s="1229"/>
      <c r="X440" s="1229"/>
      <c r="Y440" s="1229"/>
      <c r="Z440" s="1337"/>
      <c r="AA440" s="1337"/>
      <c r="AB440" s="1229"/>
      <c r="AC440" s="1229"/>
      <c r="AD440" s="1229"/>
      <c r="AE440" s="1229"/>
      <c r="AF440" s="1337"/>
      <c r="AG440" s="1337"/>
      <c r="AH440" s="1229"/>
      <c r="AI440" s="1229"/>
      <c r="AJ440" s="1229"/>
      <c r="AK440" s="1229"/>
      <c r="AL440" s="1337"/>
      <c r="AM440" s="1337"/>
      <c r="AN440" s="1229"/>
      <c r="AO440" s="1229"/>
      <c r="AP440" s="1229"/>
      <c r="AQ440" s="1229"/>
      <c r="AR440" s="1337"/>
      <c r="AS440" s="1337"/>
      <c r="AT440" s="1229"/>
      <c r="AU440" s="1229"/>
      <c r="AV440" s="1229"/>
      <c r="AW440" s="1229"/>
      <c r="AX440" s="1337"/>
      <c r="AY440" s="1337"/>
      <c r="AZ440" s="1229"/>
      <c r="BA440" s="1229"/>
      <c r="BB440" s="1229"/>
      <c r="BC440" s="1229"/>
      <c r="BD440" s="1337"/>
      <c r="BE440" s="1337"/>
      <c r="BF440" s="1229"/>
      <c r="BG440" s="1229"/>
      <c r="BH440" s="1229"/>
      <c r="BI440" s="1222"/>
      <c r="BJ440" s="1338"/>
      <c r="BK440" s="1338"/>
      <c r="BL440" s="1222"/>
      <c r="BM440" s="1222"/>
      <c r="BN440" s="1222"/>
      <c r="BO440" s="1222"/>
    </row>
    <row r="441">
      <c r="A441" s="1222"/>
      <c r="B441" s="1229"/>
      <c r="C441" s="1349"/>
      <c r="D441" s="1229"/>
      <c r="E441" s="1229"/>
      <c r="F441" s="1229"/>
      <c r="G441" s="1229"/>
      <c r="H441" s="1229"/>
      <c r="I441" s="1229"/>
      <c r="J441" s="1229"/>
      <c r="K441" s="1229"/>
      <c r="L441" s="1229"/>
      <c r="M441" s="1229"/>
      <c r="N441" s="1337"/>
      <c r="O441" s="1337"/>
      <c r="P441" s="1229"/>
      <c r="Q441" s="1229"/>
      <c r="R441" s="1229"/>
      <c r="S441" s="1229"/>
      <c r="T441" s="1337"/>
      <c r="U441" s="1337"/>
      <c r="V441" s="1229"/>
      <c r="W441" s="1229"/>
      <c r="X441" s="1229"/>
      <c r="Y441" s="1229"/>
      <c r="Z441" s="1337"/>
      <c r="AA441" s="1337"/>
      <c r="AB441" s="1229"/>
      <c r="AC441" s="1229"/>
      <c r="AD441" s="1229"/>
      <c r="AE441" s="1229"/>
      <c r="AF441" s="1337"/>
      <c r="AG441" s="1337"/>
      <c r="AH441" s="1229"/>
      <c r="AI441" s="1229"/>
      <c r="AJ441" s="1229"/>
      <c r="AK441" s="1229"/>
      <c r="AL441" s="1337"/>
      <c r="AM441" s="1337"/>
      <c r="AN441" s="1229"/>
      <c r="AO441" s="1229"/>
      <c r="AP441" s="1229"/>
      <c r="AQ441" s="1229"/>
      <c r="AR441" s="1337"/>
      <c r="AS441" s="1337"/>
      <c r="AT441" s="1229"/>
      <c r="AU441" s="1229"/>
      <c r="AV441" s="1229"/>
      <c r="AW441" s="1229"/>
      <c r="AX441" s="1337"/>
      <c r="AY441" s="1337"/>
      <c r="AZ441" s="1229"/>
      <c r="BA441" s="1229"/>
      <c r="BB441" s="1229"/>
      <c r="BC441" s="1229"/>
      <c r="BD441" s="1337"/>
      <c r="BE441" s="1337"/>
      <c r="BF441" s="1229"/>
      <c r="BG441" s="1229"/>
      <c r="BH441" s="1229"/>
      <c r="BI441" s="1222"/>
      <c r="BJ441" s="1338"/>
      <c r="BK441" s="1338"/>
      <c r="BL441" s="1222"/>
      <c r="BM441" s="1222"/>
      <c r="BN441" s="1222"/>
      <c r="BO441" s="1222"/>
    </row>
    <row r="442">
      <c r="A442" s="1222"/>
      <c r="B442" s="1229"/>
      <c r="C442" s="1349"/>
      <c r="D442" s="1229"/>
      <c r="E442" s="1229"/>
      <c r="F442" s="1229"/>
      <c r="G442" s="1229"/>
      <c r="H442" s="1229"/>
      <c r="I442" s="1229"/>
      <c r="J442" s="1229"/>
      <c r="K442" s="1229"/>
      <c r="L442" s="1229"/>
      <c r="M442" s="1229"/>
      <c r="N442" s="1337"/>
      <c r="O442" s="1337"/>
      <c r="P442" s="1229"/>
      <c r="Q442" s="1229"/>
      <c r="R442" s="1229"/>
      <c r="S442" s="1229"/>
      <c r="T442" s="1337"/>
      <c r="U442" s="1337"/>
      <c r="V442" s="1229"/>
      <c r="W442" s="1229"/>
      <c r="X442" s="1229"/>
      <c r="Y442" s="1229"/>
      <c r="Z442" s="1337"/>
      <c r="AA442" s="1337"/>
      <c r="AB442" s="1229"/>
      <c r="AC442" s="1229"/>
      <c r="AD442" s="1229"/>
      <c r="AE442" s="1229"/>
      <c r="AF442" s="1337"/>
      <c r="AG442" s="1337"/>
      <c r="AH442" s="1229"/>
      <c r="AI442" s="1229"/>
      <c r="AJ442" s="1229"/>
      <c r="AK442" s="1229"/>
      <c r="AL442" s="1337"/>
      <c r="AM442" s="1337"/>
      <c r="AN442" s="1229"/>
      <c r="AO442" s="1229"/>
      <c r="AP442" s="1229"/>
      <c r="AQ442" s="1229"/>
      <c r="AR442" s="1337"/>
      <c r="AS442" s="1337"/>
      <c r="AT442" s="1229"/>
      <c r="AU442" s="1229"/>
      <c r="AV442" s="1229"/>
      <c r="AW442" s="1229"/>
      <c r="AX442" s="1337"/>
      <c r="AY442" s="1337"/>
      <c r="AZ442" s="1229"/>
      <c r="BA442" s="1229"/>
      <c r="BB442" s="1229"/>
      <c r="BC442" s="1229"/>
      <c r="BD442" s="1337"/>
      <c r="BE442" s="1337"/>
      <c r="BF442" s="1229"/>
      <c r="BG442" s="1229"/>
      <c r="BH442" s="1229"/>
      <c r="BI442" s="1222"/>
      <c r="BJ442" s="1338"/>
      <c r="BK442" s="1338"/>
      <c r="BL442" s="1222"/>
      <c r="BM442" s="1222"/>
      <c r="BN442" s="1222"/>
      <c r="BO442" s="1222"/>
    </row>
    <row r="443">
      <c r="A443" s="1222"/>
      <c r="B443" s="1229"/>
      <c r="C443" s="1349"/>
      <c r="D443" s="1229"/>
      <c r="E443" s="1229"/>
      <c r="F443" s="1229"/>
      <c r="G443" s="1229"/>
      <c r="H443" s="1229"/>
      <c r="I443" s="1229"/>
      <c r="J443" s="1229"/>
      <c r="K443" s="1229"/>
      <c r="L443" s="1229"/>
      <c r="M443" s="1229"/>
      <c r="N443" s="1337"/>
      <c r="O443" s="1337"/>
      <c r="P443" s="1229"/>
      <c r="Q443" s="1229"/>
      <c r="R443" s="1229"/>
      <c r="S443" s="1229"/>
      <c r="T443" s="1337"/>
      <c r="U443" s="1337"/>
      <c r="V443" s="1229"/>
      <c r="W443" s="1229"/>
      <c r="X443" s="1229"/>
      <c r="Y443" s="1229"/>
      <c r="Z443" s="1337"/>
      <c r="AA443" s="1337"/>
      <c r="AB443" s="1229"/>
      <c r="AC443" s="1229"/>
      <c r="AD443" s="1229"/>
      <c r="AE443" s="1229"/>
      <c r="AF443" s="1337"/>
      <c r="AG443" s="1337"/>
      <c r="AH443" s="1229"/>
      <c r="AI443" s="1229"/>
      <c r="AJ443" s="1229"/>
      <c r="AK443" s="1229"/>
      <c r="AL443" s="1337"/>
      <c r="AM443" s="1337"/>
      <c r="AN443" s="1229"/>
      <c r="AO443" s="1229"/>
      <c r="AP443" s="1229"/>
      <c r="AQ443" s="1229"/>
      <c r="AR443" s="1337"/>
      <c r="AS443" s="1337"/>
      <c r="AT443" s="1229"/>
      <c r="AU443" s="1229"/>
      <c r="AV443" s="1229"/>
      <c r="AW443" s="1229"/>
      <c r="AX443" s="1337"/>
      <c r="AY443" s="1337"/>
      <c r="AZ443" s="1229"/>
      <c r="BA443" s="1229"/>
      <c r="BB443" s="1229"/>
      <c r="BC443" s="1229"/>
      <c r="BD443" s="1337"/>
      <c r="BE443" s="1337"/>
      <c r="BF443" s="1229"/>
      <c r="BG443" s="1229"/>
      <c r="BH443" s="1229"/>
      <c r="BI443" s="1222"/>
      <c r="BJ443" s="1338"/>
      <c r="BK443" s="1338"/>
      <c r="BL443" s="1222"/>
      <c r="BM443" s="1222"/>
      <c r="BN443" s="1222"/>
      <c r="BO443" s="1222"/>
    </row>
    <row r="444">
      <c r="A444" s="1222"/>
      <c r="B444" s="1229"/>
      <c r="C444" s="1349"/>
      <c r="D444" s="1229"/>
      <c r="E444" s="1229"/>
      <c r="F444" s="1229"/>
      <c r="G444" s="1229"/>
      <c r="H444" s="1229"/>
      <c r="I444" s="1229"/>
      <c r="J444" s="1229"/>
      <c r="K444" s="1229"/>
      <c r="L444" s="1229"/>
      <c r="M444" s="1229"/>
      <c r="N444" s="1337"/>
      <c r="O444" s="1337"/>
      <c r="P444" s="1229"/>
      <c r="Q444" s="1229"/>
      <c r="R444" s="1229"/>
      <c r="S444" s="1229"/>
      <c r="T444" s="1337"/>
      <c r="U444" s="1337"/>
      <c r="V444" s="1229"/>
      <c r="W444" s="1229"/>
      <c r="X444" s="1229"/>
      <c r="Y444" s="1229"/>
      <c r="Z444" s="1337"/>
      <c r="AA444" s="1337"/>
      <c r="AB444" s="1229"/>
      <c r="AC444" s="1229"/>
      <c r="AD444" s="1229"/>
      <c r="AE444" s="1229"/>
      <c r="AF444" s="1337"/>
      <c r="AG444" s="1337"/>
      <c r="AH444" s="1229"/>
      <c r="AI444" s="1229"/>
      <c r="AJ444" s="1229"/>
      <c r="AK444" s="1229"/>
      <c r="AL444" s="1337"/>
      <c r="AM444" s="1337"/>
      <c r="AN444" s="1229"/>
      <c r="AO444" s="1229"/>
      <c r="AP444" s="1229"/>
      <c r="AQ444" s="1229"/>
      <c r="AR444" s="1337"/>
      <c r="AS444" s="1337"/>
      <c r="AT444" s="1229"/>
      <c r="AU444" s="1229"/>
      <c r="AV444" s="1229"/>
      <c r="AW444" s="1229"/>
      <c r="AX444" s="1337"/>
      <c r="AY444" s="1337"/>
      <c r="AZ444" s="1229"/>
      <c r="BA444" s="1229"/>
      <c r="BB444" s="1229"/>
      <c r="BC444" s="1229"/>
      <c r="BD444" s="1337"/>
      <c r="BE444" s="1337"/>
      <c r="BF444" s="1229"/>
      <c r="BG444" s="1229"/>
      <c r="BH444" s="1229"/>
      <c r="BI444" s="1222"/>
      <c r="BJ444" s="1338"/>
      <c r="BK444" s="1338"/>
      <c r="BL444" s="1222"/>
      <c r="BM444" s="1222"/>
      <c r="BN444" s="1222"/>
      <c r="BO444" s="1222"/>
    </row>
    <row r="445">
      <c r="A445" s="1222"/>
      <c r="B445" s="1229"/>
      <c r="C445" s="1349"/>
      <c r="D445" s="1229"/>
      <c r="E445" s="1229"/>
      <c r="F445" s="1229"/>
      <c r="G445" s="1229"/>
      <c r="H445" s="1229"/>
      <c r="I445" s="1229"/>
      <c r="J445" s="1229"/>
      <c r="K445" s="1229"/>
      <c r="L445" s="1229"/>
      <c r="M445" s="1229"/>
      <c r="N445" s="1337"/>
      <c r="O445" s="1337"/>
      <c r="P445" s="1229"/>
      <c r="Q445" s="1229"/>
      <c r="R445" s="1229"/>
      <c r="S445" s="1229"/>
      <c r="T445" s="1337"/>
      <c r="U445" s="1337"/>
      <c r="V445" s="1229"/>
      <c r="W445" s="1229"/>
      <c r="X445" s="1229"/>
      <c r="Y445" s="1229"/>
      <c r="Z445" s="1337"/>
      <c r="AA445" s="1337"/>
      <c r="AB445" s="1229"/>
      <c r="AC445" s="1229"/>
      <c r="AD445" s="1229"/>
      <c r="AE445" s="1229"/>
      <c r="AF445" s="1337"/>
      <c r="AG445" s="1337"/>
      <c r="AH445" s="1229"/>
      <c r="AI445" s="1229"/>
      <c r="AJ445" s="1229"/>
      <c r="AK445" s="1229"/>
      <c r="AL445" s="1337"/>
      <c r="AM445" s="1337"/>
      <c r="AN445" s="1229"/>
      <c r="AO445" s="1229"/>
      <c r="AP445" s="1229"/>
      <c r="AQ445" s="1229"/>
      <c r="AR445" s="1337"/>
      <c r="AS445" s="1337"/>
      <c r="AT445" s="1229"/>
      <c r="AU445" s="1229"/>
      <c r="AV445" s="1229"/>
      <c r="AW445" s="1229"/>
      <c r="AX445" s="1337"/>
      <c r="AY445" s="1337"/>
      <c r="AZ445" s="1229"/>
      <c r="BA445" s="1229"/>
      <c r="BB445" s="1229"/>
      <c r="BC445" s="1229"/>
      <c r="BD445" s="1337"/>
      <c r="BE445" s="1337"/>
      <c r="BF445" s="1229"/>
      <c r="BG445" s="1229"/>
      <c r="BH445" s="1229"/>
      <c r="BI445" s="1222"/>
      <c r="BJ445" s="1338"/>
      <c r="BK445" s="1338"/>
      <c r="BL445" s="1222"/>
      <c r="BM445" s="1222"/>
      <c r="BN445" s="1222"/>
      <c r="BO445" s="1222"/>
    </row>
    <row r="446">
      <c r="A446" s="1222"/>
      <c r="B446" s="1229"/>
      <c r="C446" s="1349"/>
      <c r="D446" s="1229"/>
      <c r="E446" s="1229"/>
      <c r="F446" s="1229"/>
      <c r="G446" s="1229"/>
      <c r="H446" s="1229"/>
      <c r="I446" s="1229"/>
      <c r="J446" s="1229"/>
      <c r="K446" s="1229"/>
      <c r="L446" s="1229"/>
      <c r="M446" s="1229"/>
      <c r="N446" s="1337"/>
      <c r="O446" s="1337"/>
      <c r="P446" s="1229"/>
      <c r="Q446" s="1229"/>
      <c r="R446" s="1229"/>
      <c r="S446" s="1229"/>
      <c r="T446" s="1337"/>
      <c r="U446" s="1337"/>
      <c r="V446" s="1229"/>
      <c r="W446" s="1229"/>
      <c r="X446" s="1229"/>
      <c r="Y446" s="1229"/>
      <c r="Z446" s="1337"/>
      <c r="AA446" s="1337"/>
      <c r="AB446" s="1229"/>
      <c r="AC446" s="1229"/>
      <c r="AD446" s="1229"/>
      <c r="AE446" s="1229"/>
      <c r="AF446" s="1337"/>
      <c r="AG446" s="1337"/>
      <c r="AH446" s="1229"/>
      <c r="AI446" s="1229"/>
      <c r="AJ446" s="1229"/>
      <c r="AK446" s="1229"/>
      <c r="AL446" s="1337"/>
      <c r="AM446" s="1337"/>
      <c r="AN446" s="1229"/>
      <c r="AO446" s="1229"/>
      <c r="AP446" s="1229"/>
      <c r="AQ446" s="1229"/>
      <c r="AR446" s="1337"/>
      <c r="AS446" s="1337"/>
      <c r="AT446" s="1229"/>
      <c r="AU446" s="1229"/>
      <c r="AV446" s="1229"/>
      <c r="AW446" s="1229"/>
      <c r="AX446" s="1337"/>
      <c r="AY446" s="1337"/>
      <c r="AZ446" s="1229"/>
      <c r="BA446" s="1229"/>
      <c r="BB446" s="1229"/>
      <c r="BC446" s="1229"/>
      <c r="BD446" s="1337"/>
      <c r="BE446" s="1337"/>
      <c r="BF446" s="1229"/>
      <c r="BG446" s="1229"/>
      <c r="BH446" s="1229"/>
      <c r="BI446" s="1222"/>
      <c r="BJ446" s="1338"/>
      <c r="BK446" s="1338"/>
      <c r="BL446" s="1222"/>
      <c r="BM446" s="1222"/>
      <c r="BN446" s="1222"/>
      <c r="BO446" s="1222"/>
    </row>
    <row r="447">
      <c r="A447" s="1222"/>
      <c r="B447" s="1229"/>
      <c r="C447" s="1349"/>
      <c r="D447" s="1229"/>
      <c r="E447" s="1229"/>
      <c r="F447" s="1229"/>
      <c r="G447" s="1229"/>
      <c r="H447" s="1229"/>
      <c r="I447" s="1229"/>
      <c r="J447" s="1229"/>
      <c r="K447" s="1229"/>
      <c r="L447" s="1229"/>
      <c r="M447" s="1229"/>
      <c r="N447" s="1337"/>
      <c r="O447" s="1337"/>
      <c r="P447" s="1229"/>
      <c r="Q447" s="1229"/>
      <c r="R447" s="1229"/>
      <c r="S447" s="1229"/>
      <c r="T447" s="1337"/>
      <c r="U447" s="1337"/>
      <c r="V447" s="1229"/>
      <c r="W447" s="1229"/>
      <c r="X447" s="1229"/>
      <c r="Y447" s="1229"/>
      <c r="Z447" s="1337"/>
      <c r="AA447" s="1337"/>
      <c r="AB447" s="1229"/>
      <c r="AC447" s="1229"/>
      <c r="AD447" s="1229"/>
      <c r="AE447" s="1229"/>
      <c r="AF447" s="1337"/>
      <c r="AG447" s="1337"/>
      <c r="AH447" s="1229"/>
      <c r="AI447" s="1229"/>
      <c r="AJ447" s="1229"/>
      <c r="AK447" s="1229"/>
      <c r="AL447" s="1337"/>
      <c r="AM447" s="1337"/>
      <c r="AN447" s="1229"/>
      <c r="AO447" s="1229"/>
      <c r="AP447" s="1229"/>
      <c r="AQ447" s="1229"/>
      <c r="AR447" s="1337"/>
      <c r="AS447" s="1337"/>
      <c r="AT447" s="1229"/>
      <c r="AU447" s="1229"/>
      <c r="AV447" s="1229"/>
      <c r="AW447" s="1229"/>
      <c r="AX447" s="1337"/>
      <c r="AY447" s="1337"/>
      <c r="AZ447" s="1229"/>
      <c r="BA447" s="1229"/>
      <c r="BB447" s="1229"/>
      <c r="BC447" s="1229"/>
      <c r="BD447" s="1337"/>
      <c r="BE447" s="1337"/>
      <c r="BF447" s="1229"/>
      <c r="BG447" s="1229"/>
      <c r="BH447" s="1229"/>
      <c r="BI447" s="1222"/>
      <c r="BJ447" s="1338"/>
      <c r="BK447" s="1338"/>
      <c r="BL447" s="1222"/>
      <c r="BM447" s="1222"/>
      <c r="BN447" s="1222"/>
      <c r="BO447" s="1222"/>
    </row>
    <row r="448">
      <c r="A448" s="1222"/>
      <c r="B448" s="1229"/>
      <c r="C448" s="1349"/>
      <c r="D448" s="1229"/>
      <c r="E448" s="1229"/>
      <c r="F448" s="1229"/>
      <c r="G448" s="1229"/>
      <c r="H448" s="1229"/>
      <c r="I448" s="1229"/>
      <c r="J448" s="1229"/>
      <c r="K448" s="1229"/>
      <c r="L448" s="1229"/>
      <c r="M448" s="1229"/>
      <c r="N448" s="1337"/>
      <c r="O448" s="1337"/>
      <c r="P448" s="1229"/>
      <c r="Q448" s="1229"/>
      <c r="R448" s="1229"/>
      <c r="S448" s="1229"/>
      <c r="T448" s="1337"/>
      <c r="U448" s="1337"/>
      <c r="V448" s="1229"/>
      <c r="W448" s="1229"/>
      <c r="X448" s="1229"/>
      <c r="Y448" s="1229"/>
      <c r="Z448" s="1337"/>
      <c r="AA448" s="1337"/>
      <c r="AB448" s="1229"/>
      <c r="AC448" s="1229"/>
      <c r="AD448" s="1229"/>
      <c r="AE448" s="1229"/>
      <c r="AF448" s="1337"/>
      <c r="AG448" s="1337"/>
      <c r="AH448" s="1229"/>
      <c r="AI448" s="1229"/>
      <c r="AJ448" s="1229"/>
      <c r="AK448" s="1229"/>
      <c r="AL448" s="1337"/>
      <c r="AM448" s="1337"/>
      <c r="AN448" s="1229"/>
      <c r="AO448" s="1229"/>
      <c r="AP448" s="1229"/>
      <c r="AQ448" s="1229"/>
      <c r="AR448" s="1337"/>
      <c r="AS448" s="1337"/>
      <c r="AT448" s="1229"/>
      <c r="AU448" s="1229"/>
      <c r="AV448" s="1229"/>
      <c r="AW448" s="1229"/>
      <c r="AX448" s="1337"/>
      <c r="AY448" s="1337"/>
      <c r="AZ448" s="1229"/>
      <c r="BA448" s="1229"/>
      <c r="BB448" s="1229"/>
      <c r="BC448" s="1229"/>
      <c r="BD448" s="1337"/>
      <c r="BE448" s="1337"/>
      <c r="BF448" s="1229"/>
      <c r="BG448" s="1229"/>
      <c r="BH448" s="1229"/>
      <c r="BI448" s="1222"/>
      <c r="BJ448" s="1338"/>
      <c r="BK448" s="1338"/>
      <c r="BL448" s="1222"/>
      <c r="BM448" s="1222"/>
      <c r="BN448" s="1222"/>
      <c r="BO448" s="1222"/>
    </row>
    <row r="449">
      <c r="A449" s="1222"/>
      <c r="B449" s="1229"/>
      <c r="C449" s="1349"/>
      <c r="D449" s="1229"/>
      <c r="E449" s="1229"/>
      <c r="F449" s="1229"/>
      <c r="G449" s="1229"/>
      <c r="H449" s="1229"/>
      <c r="I449" s="1229"/>
      <c r="J449" s="1229"/>
      <c r="K449" s="1229"/>
      <c r="L449" s="1229"/>
      <c r="M449" s="1229"/>
      <c r="N449" s="1337"/>
      <c r="O449" s="1337"/>
      <c r="P449" s="1229"/>
      <c r="Q449" s="1229"/>
      <c r="R449" s="1229"/>
      <c r="S449" s="1229"/>
      <c r="T449" s="1337"/>
      <c r="U449" s="1337"/>
      <c r="V449" s="1229"/>
      <c r="W449" s="1229"/>
      <c r="X449" s="1229"/>
      <c r="Y449" s="1229"/>
      <c r="Z449" s="1337"/>
      <c r="AA449" s="1337"/>
      <c r="AB449" s="1229"/>
      <c r="AC449" s="1229"/>
      <c r="AD449" s="1229"/>
      <c r="AE449" s="1229"/>
      <c r="AF449" s="1337"/>
      <c r="AG449" s="1337"/>
      <c r="AH449" s="1229"/>
      <c r="AI449" s="1229"/>
      <c r="AJ449" s="1229"/>
      <c r="AK449" s="1229"/>
      <c r="AL449" s="1337"/>
      <c r="AM449" s="1337"/>
      <c r="AN449" s="1229"/>
      <c r="AO449" s="1229"/>
      <c r="AP449" s="1229"/>
      <c r="AQ449" s="1229"/>
      <c r="AR449" s="1337"/>
      <c r="AS449" s="1337"/>
      <c r="AT449" s="1229"/>
      <c r="AU449" s="1229"/>
      <c r="AV449" s="1229"/>
      <c r="AW449" s="1229"/>
      <c r="AX449" s="1337"/>
      <c r="AY449" s="1337"/>
      <c r="AZ449" s="1229"/>
      <c r="BA449" s="1229"/>
      <c r="BB449" s="1229"/>
      <c r="BC449" s="1229"/>
      <c r="BD449" s="1337"/>
      <c r="BE449" s="1337"/>
      <c r="BF449" s="1229"/>
      <c r="BG449" s="1229"/>
      <c r="BH449" s="1229"/>
      <c r="BI449" s="1222"/>
      <c r="BJ449" s="1338"/>
      <c r="BK449" s="1338"/>
      <c r="BL449" s="1222"/>
      <c r="BM449" s="1222"/>
      <c r="BN449" s="1222"/>
      <c r="BO449" s="1222"/>
    </row>
    <row r="450">
      <c r="A450" s="1222"/>
      <c r="B450" s="1229"/>
      <c r="C450" s="1349"/>
      <c r="D450" s="1229"/>
      <c r="E450" s="1229"/>
      <c r="F450" s="1229"/>
      <c r="G450" s="1229"/>
      <c r="H450" s="1229"/>
      <c r="I450" s="1229"/>
      <c r="J450" s="1229"/>
      <c r="K450" s="1229"/>
      <c r="L450" s="1229"/>
      <c r="M450" s="1229"/>
      <c r="N450" s="1337"/>
      <c r="O450" s="1337"/>
      <c r="P450" s="1229"/>
      <c r="Q450" s="1229"/>
      <c r="R450" s="1229"/>
      <c r="S450" s="1229"/>
      <c r="T450" s="1337"/>
      <c r="U450" s="1337"/>
      <c r="V450" s="1229"/>
      <c r="W450" s="1229"/>
      <c r="X450" s="1229"/>
      <c r="Y450" s="1229"/>
      <c r="Z450" s="1337"/>
      <c r="AA450" s="1337"/>
      <c r="AB450" s="1229"/>
      <c r="AC450" s="1229"/>
      <c r="AD450" s="1229"/>
      <c r="AE450" s="1229"/>
      <c r="AF450" s="1337"/>
      <c r="AG450" s="1337"/>
      <c r="AH450" s="1229"/>
      <c r="AI450" s="1229"/>
      <c r="AJ450" s="1229"/>
      <c r="AK450" s="1229"/>
      <c r="AL450" s="1337"/>
      <c r="AM450" s="1337"/>
      <c r="AN450" s="1229"/>
      <c r="AO450" s="1229"/>
      <c r="AP450" s="1229"/>
      <c r="AQ450" s="1229"/>
      <c r="AR450" s="1337"/>
      <c r="AS450" s="1337"/>
      <c r="AT450" s="1229"/>
      <c r="AU450" s="1229"/>
      <c r="AV450" s="1229"/>
      <c r="AW450" s="1229"/>
      <c r="AX450" s="1337"/>
      <c r="AY450" s="1337"/>
      <c r="AZ450" s="1229"/>
      <c r="BA450" s="1229"/>
      <c r="BB450" s="1229"/>
      <c r="BC450" s="1229"/>
      <c r="BD450" s="1337"/>
      <c r="BE450" s="1337"/>
      <c r="BF450" s="1229"/>
      <c r="BG450" s="1229"/>
      <c r="BH450" s="1229"/>
      <c r="BI450" s="1222"/>
      <c r="BJ450" s="1338"/>
      <c r="BK450" s="1338"/>
      <c r="BL450" s="1222"/>
      <c r="BM450" s="1222"/>
      <c r="BN450" s="1222"/>
      <c r="BO450" s="1222"/>
    </row>
    <row r="451">
      <c r="A451" s="1222"/>
      <c r="B451" s="1229"/>
      <c r="C451" s="1349"/>
      <c r="D451" s="1229"/>
      <c r="E451" s="1229"/>
      <c r="F451" s="1229"/>
      <c r="G451" s="1229"/>
      <c r="H451" s="1229"/>
      <c r="I451" s="1229"/>
      <c r="J451" s="1229"/>
      <c r="K451" s="1229"/>
      <c r="L451" s="1229"/>
      <c r="M451" s="1229"/>
      <c r="N451" s="1337"/>
      <c r="O451" s="1337"/>
      <c r="P451" s="1229"/>
      <c r="Q451" s="1229"/>
      <c r="R451" s="1229"/>
      <c r="S451" s="1229"/>
      <c r="T451" s="1337"/>
      <c r="U451" s="1337"/>
      <c r="V451" s="1229"/>
      <c r="W451" s="1229"/>
      <c r="X451" s="1229"/>
      <c r="Y451" s="1229"/>
      <c r="Z451" s="1337"/>
      <c r="AA451" s="1337"/>
      <c r="AB451" s="1229"/>
      <c r="AC451" s="1229"/>
      <c r="AD451" s="1229"/>
      <c r="AE451" s="1229"/>
      <c r="AF451" s="1337"/>
      <c r="AG451" s="1337"/>
      <c r="AH451" s="1229"/>
      <c r="AI451" s="1229"/>
      <c r="AJ451" s="1229"/>
      <c r="AK451" s="1229"/>
      <c r="AL451" s="1337"/>
      <c r="AM451" s="1337"/>
      <c r="AN451" s="1229"/>
      <c r="AO451" s="1229"/>
      <c r="AP451" s="1229"/>
      <c r="AQ451" s="1229"/>
      <c r="AR451" s="1337"/>
      <c r="AS451" s="1337"/>
      <c r="AT451" s="1229"/>
      <c r="AU451" s="1229"/>
      <c r="AV451" s="1229"/>
      <c r="AW451" s="1229"/>
      <c r="AX451" s="1337"/>
      <c r="AY451" s="1337"/>
      <c r="AZ451" s="1229"/>
      <c r="BA451" s="1229"/>
      <c r="BB451" s="1229"/>
      <c r="BC451" s="1229"/>
      <c r="BD451" s="1337"/>
      <c r="BE451" s="1337"/>
      <c r="BF451" s="1229"/>
      <c r="BG451" s="1229"/>
      <c r="BH451" s="1229"/>
      <c r="BI451" s="1222"/>
      <c r="BJ451" s="1338"/>
      <c r="BK451" s="1338"/>
      <c r="BL451" s="1222"/>
      <c r="BM451" s="1222"/>
      <c r="BN451" s="1222"/>
      <c r="BO451" s="1222"/>
    </row>
    <row r="452">
      <c r="A452" s="1222"/>
      <c r="B452" s="1229"/>
      <c r="C452" s="1349"/>
      <c r="D452" s="1229"/>
      <c r="E452" s="1229"/>
      <c r="F452" s="1229"/>
      <c r="G452" s="1229"/>
      <c r="H452" s="1229"/>
      <c r="I452" s="1229"/>
      <c r="J452" s="1229"/>
      <c r="K452" s="1229"/>
      <c r="L452" s="1229"/>
      <c r="M452" s="1229"/>
      <c r="N452" s="1337"/>
      <c r="O452" s="1337"/>
      <c r="P452" s="1229"/>
      <c r="Q452" s="1229"/>
      <c r="R452" s="1229"/>
      <c r="S452" s="1229"/>
      <c r="T452" s="1337"/>
      <c r="U452" s="1337"/>
      <c r="V452" s="1229"/>
      <c r="W452" s="1229"/>
      <c r="X452" s="1229"/>
      <c r="Y452" s="1229"/>
      <c r="Z452" s="1337"/>
      <c r="AA452" s="1337"/>
      <c r="AB452" s="1229"/>
      <c r="AC452" s="1229"/>
      <c r="AD452" s="1229"/>
      <c r="AE452" s="1229"/>
      <c r="AF452" s="1337"/>
      <c r="AG452" s="1337"/>
      <c r="AH452" s="1229"/>
      <c r="AI452" s="1229"/>
      <c r="AJ452" s="1229"/>
      <c r="AK452" s="1229"/>
      <c r="AL452" s="1337"/>
      <c r="AM452" s="1337"/>
      <c r="AN452" s="1229"/>
      <c r="AO452" s="1229"/>
      <c r="AP452" s="1229"/>
      <c r="AQ452" s="1229"/>
      <c r="AR452" s="1337"/>
      <c r="AS452" s="1337"/>
      <c r="AT452" s="1229"/>
      <c r="AU452" s="1229"/>
      <c r="AV452" s="1229"/>
      <c r="AW452" s="1229"/>
      <c r="AX452" s="1337"/>
      <c r="AY452" s="1337"/>
      <c r="AZ452" s="1229"/>
      <c r="BA452" s="1229"/>
      <c r="BB452" s="1229"/>
      <c r="BC452" s="1229"/>
      <c r="BD452" s="1337"/>
      <c r="BE452" s="1337"/>
      <c r="BF452" s="1229"/>
      <c r="BG452" s="1229"/>
      <c r="BH452" s="1229"/>
      <c r="BI452" s="1222"/>
      <c r="BJ452" s="1338"/>
      <c r="BK452" s="1338"/>
      <c r="BL452" s="1222"/>
      <c r="BM452" s="1222"/>
      <c r="BN452" s="1222"/>
      <c r="BO452" s="1222"/>
    </row>
    <row r="453">
      <c r="A453" s="1222"/>
      <c r="B453" s="1229"/>
      <c r="C453" s="1349"/>
      <c r="D453" s="1229"/>
      <c r="E453" s="1229"/>
      <c r="F453" s="1229"/>
      <c r="G453" s="1229"/>
      <c r="H453" s="1229"/>
      <c r="I453" s="1229"/>
      <c r="J453" s="1229"/>
      <c r="K453" s="1229"/>
      <c r="L453" s="1229"/>
      <c r="M453" s="1229"/>
      <c r="N453" s="1337"/>
      <c r="O453" s="1337"/>
      <c r="P453" s="1229"/>
      <c r="Q453" s="1229"/>
      <c r="R453" s="1229"/>
      <c r="S453" s="1229"/>
      <c r="T453" s="1337"/>
      <c r="U453" s="1337"/>
      <c r="V453" s="1229"/>
      <c r="W453" s="1229"/>
      <c r="X453" s="1229"/>
      <c r="Y453" s="1229"/>
      <c r="Z453" s="1337"/>
      <c r="AA453" s="1337"/>
      <c r="AB453" s="1229"/>
      <c r="AC453" s="1229"/>
      <c r="AD453" s="1229"/>
      <c r="AE453" s="1229"/>
      <c r="AF453" s="1337"/>
      <c r="AG453" s="1337"/>
      <c r="AH453" s="1229"/>
      <c r="AI453" s="1229"/>
      <c r="AJ453" s="1229"/>
      <c r="AK453" s="1229"/>
      <c r="AL453" s="1337"/>
      <c r="AM453" s="1337"/>
      <c r="AN453" s="1229"/>
      <c r="AO453" s="1229"/>
      <c r="AP453" s="1229"/>
      <c r="AQ453" s="1229"/>
      <c r="AR453" s="1337"/>
      <c r="AS453" s="1337"/>
      <c r="AT453" s="1229"/>
      <c r="AU453" s="1229"/>
      <c r="AV453" s="1229"/>
      <c r="AW453" s="1229"/>
      <c r="AX453" s="1337"/>
      <c r="AY453" s="1337"/>
      <c r="AZ453" s="1229"/>
      <c r="BA453" s="1229"/>
      <c r="BB453" s="1229"/>
      <c r="BC453" s="1229"/>
      <c r="BD453" s="1337"/>
      <c r="BE453" s="1337"/>
      <c r="BF453" s="1229"/>
      <c r="BG453" s="1229"/>
      <c r="BH453" s="1229"/>
      <c r="BI453" s="1222"/>
      <c r="BJ453" s="1338"/>
      <c r="BK453" s="1338"/>
      <c r="BL453" s="1222"/>
      <c r="BM453" s="1222"/>
      <c r="BN453" s="1222"/>
      <c r="BO453" s="1222"/>
    </row>
    <row r="454">
      <c r="A454" s="1222"/>
      <c r="B454" s="1229"/>
      <c r="C454" s="1349"/>
      <c r="D454" s="1229"/>
      <c r="E454" s="1229"/>
      <c r="F454" s="1229"/>
      <c r="G454" s="1229"/>
      <c r="H454" s="1229"/>
      <c r="I454" s="1229"/>
      <c r="J454" s="1229"/>
      <c r="K454" s="1229"/>
      <c r="L454" s="1229"/>
      <c r="M454" s="1229"/>
      <c r="N454" s="1337"/>
      <c r="O454" s="1337"/>
      <c r="P454" s="1229"/>
      <c r="Q454" s="1229"/>
      <c r="R454" s="1229"/>
      <c r="S454" s="1229"/>
      <c r="T454" s="1337"/>
      <c r="U454" s="1337"/>
      <c r="V454" s="1229"/>
      <c r="W454" s="1229"/>
      <c r="X454" s="1229"/>
      <c r="Y454" s="1229"/>
      <c r="Z454" s="1337"/>
      <c r="AA454" s="1337"/>
      <c r="AB454" s="1229"/>
      <c r="AC454" s="1229"/>
      <c r="AD454" s="1229"/>
      <c r="AE454" s="1229"/>
      <c r="AF454" s="1337"/>
      <c r="AG454" s="1337"/>
      <c r="AH454" s="1229"/>
      <c r="AI454" s="1229"/>
      <c r="AJ454" s="1229"/>
      <c r="AK454" s="1229"/>
      <c r="AL454" s="1337"/>
      <c r="AM454" s="1337"/>
      <c r="AN454" s="1229"/>
      <c r="AO454" s="1229"/>
      <c r="AP454" s="1229"/>
      <c r="AQ454" s="1229"/>
      <c r="AR454" s="1337"/>
      <c r="AS454" s="1337"/>
      <c r="AT454" s="1229"/>
      <c r="AU454" s="1229"/>
      <c r="AV454" s="1229"/>
      <c r="AW454" s="1229"/>
      <c r="AX454" s="1337"/>
      <c r="AY454" s="1337"/>
      <c r="AZ454" s="1229"/>
      <c r="BA454" s="1229"/>
      <c r="BB454" s="1229"/>
      <c r="BC454" s="1229"/>
      <c r="BD454" s="1337"/>
      <c r="BE454" s="1337"/>
      <c r="BF454" s="1229"/>
      <c r="BG454" s="1229"/>
      <c r="BH454" s="1229"/>
      <c r="BI454" s="1222"/>
      <c r="BJ454" s="1338"/>
      <c r="BK454" s="1338"/>
      <c r="BL454" s="1222"/>
      <c r="BM454" s="1222"/>
      <c r="BN454" s="1222"/>
      <c r="BO454" s="1222"/>
    </row>
    <row r="455">
      <c r="A455" s="1222"/>
      <c r="B455" s="1229"/>
      <c r="C455" s="1349"/>
      <c r="D455" s="1229"/>
      <c r="E455" s="1229"/>
      <c r="F455" s="1229"/>
      <c r="G455" s="1229"/>
      <c r="H455" s="1229"/>
      <c r="I455" s="1229"/>
      <c r="J455" s="1229"/>
      <c r="K455" s="1229"/>
      <c r="L455" s="1229"/>
      <c r="M455" s="1229"/>
      <c r="N455" s="1337"/>
      <c r="O455" s="1337"/>
      <c r="P455" s="1229"/>
      <c r="Q455" s="1229"/>
      <c r="R455" s="1229"/>
      <c r="S455" s="1229"/>
      <c r="T455" s="1337"/>
      <c r="U455" s="1337"/>
      <c r="V455" s="1229"/>
      <c r="W455" s="1229"/>
      <c r="X455" s="1229"/>
      <c r="Y455" s="1229"/>
      <c r="Z455" s="1337"/>
      <c r="AA455" s="1337"/>
      <c r="AB455" s="1229"/>
      <c r="AC455" s="1229"/>
      <c r="AD455" s="1229"/>
      <c r="AE455" s="1229"/>
      <c r="AF455" s="1337"/>
      <c r="AG455" s="1337"/>
      <c r="AH455" s="1229"/>
      <c r="AI455" s="1229"/>
      <c r="AJ455" s="1229"/>
      <c r="AK455" s="1229"/>
      <c r="AL455" s="1337"/>
      <c r="AM455" s="1337"/>
      <c r="AN455" s="1229"/>
      <c r="AO455" s="1229"/>
      <c r="AP455" s="1229"/>
      <c r="AQ455" s="1229"/>
      <c r="AR455" s="1337"/>
      <c r="AS455" s="1337"/>
      <c r="AT455" s="1229"/>
      <c r="AU455" s="1229"/>
      <c r="AV455" s="1229"/>
      <c r="AW455" s="1229"/>
      <c r="AX455" s="1337"/>
      <c r="AY455" s="1337"/>
      <c r="AZ455" s="1229"/>
      <c r="BA455" s="1229"/>
      <c r="BB455" s="1229"/>
      <c r="BC455" s="1229"/>
      <c r="BD455" s="1337"/>
      <c r="BE455" s="1337"/>
      <c r="BF455" s="1229"/>
      <c r="BG455" s="1229"/>
      <c r="BH455" s="1229"/>
      <c r="BI455" s="1222"/>
      <c r="BJ455" s="1338"/>
      <c r="BK455" s="1338"/>
      <c r="BL455" s="1222"/>
      <c r="BM455" s="1222"/>
      <c r="BN455" s="1222"/>
      <c r="BO455" s="1222"/>
    </row>
    <row r="456">
      <c r="A456" s="1222"/>
      <c r="B456" s="1229"/>
      <c r="C456" s="1349"/>
      <c r="D456" s="1229"/>
      <c r="E456" s="1229"/>
      <c r="F456" s="1229"/>
      <c r="G456" s="1229"/>
      <c r="H456" s="1229"/>
      <c r="I456" s="1229"/>
      <c r="J456" s="1229"/>
      <c r="K456" s="1229"/>
      <c r="L456" s="1229"/>
      <c r="M456" s="1229"/>
      <c r="N456" s="1337"/>
      <c r="O456" s="1337"/>
      <c r="P456" s="1229"/>
      <c r="Q456" s="1229"/>
      <c r="R456" s="1229"/>
      <c r="S456" s="1229"/>
      <c r="T456" s="1337"/>
      <c r="U456" s="1337"/>
      <c r="V456" s="1229"/>
      <c r="W456" s="1229"/>
      <c r="X456" s="1229"/>
      <c r="Y456" s="1229"/>
      <c r="Z456" s="1337"/>
      <c r="AA456" s="1337"/>
      <c r="AB456" s="1229"/>
      <c r="AC456" s="1229"/>
      <c r="AD456" s="1229"/>
      <c r="AE456" s="1229"/>
      <c r="AF456" s="1337"/>
      <c r="AG456" s="1337"/>
      <c r="AH456" s="1229"/>
      <c r="AI456" s="1229"/>
      <c r="AJ456" s="1229"/>
      <c r="AK456" s="1229"/>
      <c r="AL456" s="1337"/>
      <c r="AM456" s="1337"/>
      <c r="AN456" s="1229"/>
      <c r="AO456" s="1229"/>
      <c r="AP456" s="1229"/>
      <c r="AQ456" s="1229"/>
      <c r="AR456" s="1337"/>
      <c r="AS456" s="1337"/>
      <c r="AT456" s="1229"/>
      <c r="AU456" s="1229"/>
      <c r="AV456" s="1229"/>
      <c r="AW456" s="1229"/>
      <c r="AX456" s="1337"/>
      <c r="AY456" s="1337"/>
      <c r="AZ456" s="1229"/>
      <c r="BA456" s="1229"/>
      <c r="BB456" s="1229"/>
      <c r="BC456" s="1229"/>
      <c r="BD456" s="1337"/>
      <c r="BE456" s="1337"/>
      <c r="BF456" s="1229"/>
      <c r="BG456" s="1229"/>
      <c r="BH456" s="1229"/>
      <c r="BI456" s="1222"/>
      <c r="BJ456" s="1338"/>
      <c r="BK456" s="1338"/>
      <c r="BL456" s="1222"/>
      <c r="BM456" s="1222"/>
      <c r="BN456" s="1222"/>
      <c r="BO456" s="1222"/>
    </row>
    <row r="457">
      <c r="A457" s="1222"/>
      <c r="B457" s="1229"/>
      <c r="C457" s="1349"/>
      <c r="D457" s="1229"/>
      <c r="E457" s="1229"/>
      <c r="F457" s="1229"/>
      <c r="G457" s="1229"/>
      <c r="H457" s="1229"/>
      <c r="I457" s="1229"/>
      <c r="J457" s="1229"/>
      <c r="K457" s="1229"/>
      <c r="L457" s="1229"/>
      <c r="M457" s="1229"/>
      <c r="N457" s="1337"/>
      <c r="O457" s="1337"/>
      <c r="P457" s="1229"/>
      <c r="Q457" s="1229"/>
      <c r="R457" s="1229"/>
      <c r="S457" s="1229"/>
      <c r="T457" s="1337"/>
      <c r="U457" s="1337"/>
      <c r="V457" s="1229"/>
      <c r="W457" s="1229"/>
      <c r="X457" s="1229"/>
      <c r="Y457" s="1229"/>
      <c r="Z457" s="1337"/>
      <c r="AA457" s="1337"/>
      <c r="AB457" s="1229"/>
      <c r="AC457" s="1229"/>
      <c r="AD457" s="1229"/>
      <c r="AE457" s="1229"/>
      <c r="AF457" s="1337"/>
      <c r="AG457" s="1337"/>
      <c r="AH457" s="1229"/>
      <c r="AI457" s="1229"/>
      <c r="AJ457" s="1229"/>
      <c r="AK457" s="1229"/>
      <c r="AL457" s="1337"/>
      <c r="AM457" s="1337"/>
      <c r="AN457" s="1229"/>
      <c r="AO457" s="1229"/>
      <c r="AP457" s="1229"/>
      <c r="AQ457" s="1229"/>
      <c r="AR457" s="1337"/>
      <c r="AS457" s="1337"/>
      <c r="AT457" s="1229"/>
      <c r="AU457" s="1229"/>
      <c r="AV457" s="1229"/>
      <c r="AW457" s="1229"/>
      <c r="AX457" s="1337"/>
      <c r="AY457" s="1337"/>
      <c r="AZ457" s="1229"/>
      <c r="BA457" s="1229"/>
      <c r="BB457" s="1229"/>
      <c r="BC457" s="1229"/>
      <c r="BD457" s="1337"/>
      <c r="BE457" s="1337"/>
      <c r="BF457" s="1229"/>
      <c r="BG457" s="1229"/>
      <c r="BH457" s="1229"/>
      <c r="BI457" s="1222"/>
      <c r="BJ457" s="1338"/>
      <c r="BK457" s="1338"/>
      <c r="BL457" s="1222"/>
      <c r="BM457" s="1222"/>
      <c r="BN457" s="1222"/>
      <c r="BO457" s="1222"/>
    </row>
    <row r="458">
      <c r="A458" s="1222"/>
      <c r="B458" s="1229"/>
      <c r="C458" s="1349"/>
      <c r="D458" s="1229"/>
      <c r="E458" s="1229"/>
      <c r="F458" s="1229"/>
      <c r="G458" s="1229"/>
      <c r="H458" s="1229"/>
      <c r="I458" s="1229"/>
      <c r="J458" s="1229"/>
      <c r="K458" s="1229"/>
      <c r="L458" s="1229"/>
      <c r="M458" s="1229"/>
      <c r="N458" s="1337"/>
      <c r="O458" s="1337"/>
      <c r="P458" s="1229"/>
      <c r="Q458" s="1229"/>
      <c r="R458" s="1229"/>
      <c r="S458" s="1229"/>
      <c r="T458" s="1337"/>
      <c r="U458" s="1337"/>
      <c r="V458" s="1229"/>
      <c r="W458" s="1229"/>
      <c r="X458" s="1229"/>
      <c r="Y458" s="1229"/>
      <c r="Z458" s="1337"/>
      <c r="AA458" s="1337"/>
      <c r="AB458" s="1229"/>
      <c r="AC458" s="1229"/>
      <c r="AD458" s="1229"/>
      <c r="AE458" s="1229"/>
      <c r="AF458" s="1337"/>
      <c r="AG458" s="1337"/>
      <c r="AH458" s="1229"/>
      <c r="AI458" s="1229"/>
      <c r="AJ458" s="1229"/>
      <c r="AK458" s="1229"/>
      <c r="AL458" s="1337"/>
      <c r="AM458" s="1337"/>
      <c r="AN458" s="1229"/>
      <c r="AO458" s="1229"/>
      <c r="AP458" s="1229"/>
      <c r="AQ458" s="1229"/>
      <c r="AR458" s="1337"/>
      <c r="AS458" s="1337"/>
      <c r="AT458" s="1229"/>
      <c r="AU458" s="1229"/>
      <c r="AV458" s="1229"/>
      <c r="AW458" s="1229"/>
      <c r="AX458" s="1337"/>
      <c r="AY458" s="1337"/>
      <c r="AZ458" s="1229"/>
      <c r="BA458" s="1229"/>
      <c r="BB458" s="1229"/>
      <c r="BC458" s="1229"/>
      <c r="BD458" s="1337"/>
      <c r="BE458" s="1337"/>
      <c r="BF458" s="1229"/>
      <c r="BG458" s="1229"/>
      <c r="BH458" s="1229"/>
      <c r="BI458" s="1222"/>
      <c r="BJ458" s="1338"/>
      <c r="BK458" s="1338"/>
      <c r="BL458" s="1222"/>
      <c r="BM458" s="1222"/>
      <c r="BN458" s="1222"/>
      <c r="BO458" s="1222"/>
    </row>
    <row r="459">
      <c r="A459" s="1222"/>
      <c r="B459" s="1229"/>
      <c r="C459" s="1349"/>
      <c r="D459" s="1229"/>
      <c r="E459" s="1229"/>
      <c r="F459" s="1229"/>
      <c r="G459" s="1229"/>
      <c r="H459" s="1229"/>
      <c r="I459" s="1229"/>
      <c r="J459" s="1229"/>
      <c r="K459" s="1229"/>
      <c r="L459" s="1229"/>
      <c r="M459" s="1229"/>
      <c r="N459" s="1337"/>
      <c r="O459" s="1337"/>
      <c r="P459" s="1229"/>
      <c r="Q459" s="1229"/>
      <c r="R459" s="1229"/>
      <c r="S459" s="1229"/>
      <c r="T459" s="1337"/>
      <c r="U459" s="1337"/>
      <c r="V459" s="1229"/>
      <c r="W459" s="1229"/>
      <c r="X459" s="1229"/>
      <c r="Y459" s="1229"/>
      <c r="Z459" s="1337"/>
      <c r="AA459" s="1337"/>
      <c r="AB459" s="1229"/>
      <c r="AC459" s="1229"/>
      <c r="AD459" s="1229"/>
      <c r="AE459" s="1229"/>
      <c r="AF459" s="1337"/>
      <c r="AG459" s="1337"/>
      <c r="AH459" s="1229"/>
      <c r="AI459" s="1229"/>
      <c r="AJ459" s="1229"/>
      <c r="AK459" s="1229"/>
      <c r="AL459" s="1337"/>
      <c r="AM459" s="1337"/>
      <c r="AN459" s="1229"/>
      <c r="AO459" s="1229"/>
      <c r="AP459" s="1229"/>
      <c r="AQ459" s="1229"/>
      <c r="AR459" s="1337"/>
      <c r="AS459" s="1337"/>
      <c r="AT459" s="1229"/>
      <c r="AU459" s="1229"/>
      <c r="AV459" s="1229"/>
      <c r="AW459" s="1229"/>
      <c r="AX459" s="1337"/>
      <c r="AY459" s="1337"/>
      <c r="AZ459" s="1229"/>
      <c r="BA459" s="1229"/>
      <c r="BB459" s="1229"/>
      <c r="BC459" s="1229"/>
      <c r="BD459" s="1337"/>
      <c r="BE459" s="1337"/>
      <c r="BF459" s="1229"/>
      <c r="BG459" s="1229"/>
      <c r="BH459" s="1229"/>
      <c r="BI459" s="1222"/>
      <c r="BJ459" s="1338"/>
      <c r="BK459" s="1338"/>
      <c r="BL459" s="1222"/>
      <c r="BM459" s="1222"/>
      <c r="BN459" s="1222"/>
      <c r="BO459" s="1222"/>
    </row>
    <row r="460">
      <c r="A460" s="1222"/>
      <c r="B460" s="1229"/>
      <c r="C460" s="1349"/>
      <c r="D460" s="1229"/>
      <c r="E460" s="1229"/>
      <c r="F460" s="1229"/>
      <c r="G460" s="1229"/>
      <c r="H460" s="1229"/>
      <c r="I460" s="1229"/>
      <c r="J460" s="1229"/>
      <c r="K460" s="1229"/>
      <c r="L460" s="1229"/>
      <c r="M460" s="1229"/>
      <c r="N460" s="1337"/>
      <c r="O460" s="1337"/>
      <c r="P460" s="1229"/>
      <c r="Q460" s="1229"/>
      <c r="R460" s="1229"/>
      <c r="S460" s="1229"/>
      <c r="T460" s="1337"/>
      <c r="U460" s="1337"/>
      <c r="V460" s="1229"/>
      <c r="W460" s="1229"/>
      <c r="X460" s="1229"/>
      <c r="Y460" s="1229"/>
      <c r="Z460" s="1337"/>
      <c r="AA460" s="1337"/>
      <c r="AB460" s="1229"/>
      <c r="AC460" s="1229"/>
      <c r="AD460" s="1229"/>
      <c r="AE460" s="1229"/>
      <c r="AF460" s="1337"/>
      <c r="AG460" s="1337"/>
      <c r="AH460" s="1229"/>
      <c r="AI460" s="1229"/>
      <c r="AJ460" s="1229"/>
      <c r="AK460" s="1229"/>
      <c r="AL460" s="1337"/>
      <c r="AM460" s="1337"/>
      <c r="AN460" s="1229"/>
      <c r="AO460" s="1229"/>
      <c r="AP460" s="1229"/>
      <c r="AQ460" s="1229"/>
      <c r="AR460" s="1337"/>
      <c r="AS460" s="1337"/>
      <c r="AT460" s="1229"/>
      <c r="AU460" s="1229"/>
      <c r="AV460" s="1229"/>
      <c r="AW460" s="1229"/>
      <c r="AX460" s="1337"/>
      <c r="AY460" s="1337"/>
      <c r="AZ460" s="1229"/>
      <c r="BA460" s="1229"/>
      <c r="BB460" s="1229"/>
      <c r="BC460" s="1229"/>
      <c r="BD460" s="1337"/>
      <c r="BE460" s="1337"/>
      <c r="BF460" s="1229"/>
      <c r="BG460" s="1229"/>
      <c r="BH460" s="1229"/>
      <c r="BI460" s="1222"/>
      <c r="BJ460" s="1338"/>
      <c r="BK460" s="1338"/>
      <c r="BL460" s="1222"/>
      <c r="BM460" s="1222"/>
      <c r="BN460" s="1222"/>
      <c r="BO460" s="1222"/>
    </row>
    <row r="461">
      <c r="A461" s="1222"/>
      <c r="B461" s="1229"/>
      <c r="C461" s="1349"/>
      <c r="D461" s="1229"/>
      <c r="E461" s="1229"/>
      <c r="F461" s="1229"/>
      <c r="G461" s="1229"/>
      <c r="H461" s="1229"/>
      <c r="I461" s="1229"/>
      <c r="J461" s="1229"/>
      <c r="K461" s="1229"/>
      <c r="L461" s="1229"/>
      <c r="M461" s="1229"/>
      <c r="N461" s="1337"/>
      <c r="O461" s="1337"/>
      <c r="P461" s="1229"/>
      <c r="Q461" s="1229"/>
      <c r="R461" s="1229"/>
      <c r="S461" s="1229"/>
      <c r="T461" s="1337"/>
      <c r="U461" s="1337"/>
      <c r="V461" s="1229"/>
      <c r="W461" s="1229"/>
      <c r="X461" s="1229"/>
      <c r="Y461" s="1229"/>
      <c r="Z461" s="1337"/>
      <c r="AA461" s="1337"/>
      <c r="AB461" s="1229"/>
      <c r="AC461" s="1229"/>
      <c r="AD461" s="1229"/>
      <c r="AE461" s="1229"/>
      <c r="AF461" s="1337"/>
      <c r="AG461" s="1337"/>
      <c r="AH461" s="1229"/>
      <c r="AI461" s="1229"/>
      <c r="AJ461" s="1229"/>
      <c r="AK461" s="1229"/>
      <c r="AL461" s="1337"/>
      <c r="AM461" s="1337"/>
      <c r="AN461" s="1229"/>
      <c r="AO461" s="1229"/>
      <c r="AP461" s="1229"/>
      <c r="AQ461" s="1229"/>
      <c r="AR461" s="1337"/>
      <c r="AS461" s="1337"/>
      <c r="AT461" s="1229"/>
      <c r="AU461" s="1229"/>
      <c r="AV461" s="1229"/>
      <c r="AW461" s="1229"/>
      <c r="AX461" s="1337"/>
      <c r="AY461" s="1337"/>
      <c r="AZ461" s="1229"/>
      <c r="BA461" s="1229"/>
      <c r="BB461" s="1229"/>
      <c r="BC461" s="1229"/>
      <c r="BD461" s="1337"/>
      <c r="BE461" s="1337"/>
      <c r="BF461" s="1229"/>
      <c r="BG461" s="1229"/>
      <c r="BH461" s="1229"/>
      <c r="BI461" s="1222"/>
      <c r="BJ461" s="1338"/>
      <c r="BK461" s="1338"/>
      <c r="BL461" s="1222"/>
      <c r="BM461" s="1222"/>
      <c r="BN461" s="1222"/>
      <c r="BO461" s="1222"/>
    </row>
    <row r="462">
      <c r="A462" s="1222"/>
      <c r="B462" s="1229"/>
      <c r="C462" s="1349"/>
      <c r="D462" s="1229"/>
      <c r="E462" s="1229"/>
      <c r="F462" s="1229"/>
      <c r="G462" s="1229"/>
      <c r="H462" s="1229"/>
      <c r="I462" s="1229"/>
      <c r="J462" s="1229"/>
      <c r="K462" s="1229"/>
      <c r="L462" s="1229"/>
      <c r="M462" s="1229"/>
      <c r="N462" s="1337"/>
      <c r="O462" s="1337"/>
      <c r="P462" s="1229"/>
      <c r="Q462" s="1229"/>
      <c r="R462" s="1229"/>
      <c r="S462" s="1229"/>
      <c r="T462" s="1337"/>
      <c r="U462" s="1337"/>
      <c r="V462" s="1229"/>
      <c r="W462" s="1229"/>
      <c r="X462" s="1229"/>
      <c r="Y462" s="1229"/>
      <c r="Z462" s="1337"/>
      <c r="AA462" s="1337"/>
      <c r="AB462" s="1229"/>
      <c r="AC462" s="1229"/>
      <c r="AD462" s="1229"/>
      <c r="AE462" s="1229"/>
      <c r="AF462" s="1337"/>
      <c r="AG462" s="1337"/>
      <c r="AH462" s="1229"/>
      <c r="AI462" s="1229"/>
      <c r="AJ462" s="1229"/>
      <c r="AK462" s="1229"/>
      <c r="AL462" s="1337"/>
      <c r="AM462" s="1337"/>
      <c r="AN462" s="1229"/>
      <c r="AO462" s="1229"/>
      <c r="AP462" s="1229"/>
      <c r="AQ462" s="1229"/>
      <c r="AR462" s="1337"/>
      <c r="AS462" s="1337"/>
      <c r="AT462" s="1229"/>
      <c r="AU462" s="1229"/>
      <c r="AV462" s="1229"/>
      <c r="AW462" s="1229"/>
      <c r="AX462" s="1337"/>
      <c r="AY462" s="1337"/>
      <c r="AZ462" s="1229"/>
      <c r="BA462" s="1229"/>
      <c r="BB462" s="1229"/>
      <c r="BC462" s="1229"/>
      <c r="BD462" s="1337"/>
      <c r="BE462" s="1337"/>
      <c r="BF462" s="1229"/>
      <c r="BG462" s="1229"/>
      <c r="BH462" s="1229"/>
      <c r="BI462" s="1222"/>
      <c r="BJ462" s="1338"/>
      <c r="BK462" s="1338"/>
      <c r="BL462" s="1222"/>
      <c r="BM462" s="1222"/>
      <c r="BN462" s="1222"/>
      <c r="BO462" s="1222"/>
    </row>
    <row r="463">
      <c r="A463" s="1222"/>
      <c r="B463" s="1229"/>
      <c r="C463" s="1349"/>
      <c r="D463" s="1229"/>
      <c r="E463" s="1229"/>
      <c r="F463" s="1229"/>
      <c r="G463" s="1229"/>
      <c r="H463" s="1229"/>
      <c r="I463" s="1229"/>
      <c r="J463" s="1229"/>
      <c r="K463" s="1229"/>
      <c r="L463" s="1229"/>
      <c r="M463" s="1229"/>
      <c r="N463" s="1337"/>
      <c r="O463" s="1337"/>
      <c r="P463" s="1229"/>
      <c r="Q463" s="1229"/>
      <c r="R463" s="1229"/>
      <c r="S463" s="1229"/>
      <c r="T463" s="1337"/>
      <c r="U463" s="1337"/>
      <c r="V463" s="1229"/>
      <c r="W463" s="1229"/>
      <c r="X463" s="1229"/>
      <c r="Y463" s="1229"/>
      <c r="Z463" s="1337"/>
      <c r="AA463" s="1337"/>
      <c r="AB463" s="1229"/>
      <c r="AC463" s="1229"/>
      <c r="AD463" s="1229"/>
      <c r="AE463" s="1229"/>
      <c r="AF463" s="1337"/>
      <c r="AG463" s="1337"/>
      <c r="AH463" s="1229"/>
      <c r="AI463" s="1229"/>
      <c r="AJ463" s="1229"/>
      <c r="AK463" s="1229"/>
      <c r="AL463" s="1337"/>
      <c r="AM463" s="1337"/>
      <c r="AN463" s="1229"/>
      <c r="AO463" s="1229"/>
      <c r="AP463" s="1229"/>
      <c r="AQ463" s="1229"/>
      <c r="AR463" s="1337"/>
      <c r="AS463" s="1337"/>
      <c r="AT463" s="1229"/>
      <c r="AU463" s="1229"/>
      <c r="AV463" s="1229"/>
      <c r="AW463" s="1229"/>
      <c r="AX463" s="1337"/>
      <c r="AY463" s="1337"/>
      <c r="AZ463" s="1229"/>
      <c r="BA463" s="1229"/>
      <c r="BB463" s="1229"/>
      <c r="BC463" s="1229"/>
      <c r="BD463" s="1337"/>
      <c r="BE463" s="1337"/>
      <c r="BF463" s="1229"/>
      <c r="BG463" s="1229"/>
      <c r="BH463" s="1229"/>
      <c r="BI463" s="1222"/>
      <c r="BJ463" s="1338"/>
      <c r="BK463" s="1338"/>
      <c r="BL463" s="1222"/>
      <c r="BM463" s="1222"/>
      <c r="BN463" s="1222"/>
      <c r="BO463" s="1222"/>
    </row>
    <row r="464">
      <c r="A464" s="1222"/>
      <c r="B464" s="1229"/>
      <c r="C464" s="1349"/>
      <c r="D464" s="1229"/>
      <c r="E464" s="1229"/>
      <c r="F464" s="1229"/>
      <c r="G464" s="1229"/>
      <c r="H464" s="1229"/>
      <c r="I464" s="1229"/>
      <c r="J464" s="1229"/>
      <c r="K464" s="1229"/>
      <c r="L464" s="1229"/>
      <c r="M464" s="1229"/>
      <c r="N464" s="1337"/>
      <c r="O464" s="1337"/>
      <c r="P464" s="1229"/>
      <c r="Q464" s="1229"/>
      <c r="R464" s="1229"/>
      <c r="S464" s="1229"/>
      <c r="T464" s="1337"/>
      <c r="U464" s="1337"/>
      <c r="V464" s="1229"/>
      <c r="W464" s="1229"/>
      <c r="X464" s="1229"/>
      <c r="Y464" s="1229"/>
      <c r="Z464" s="1337"/>
      <c r="AA464" s="1337"/>
      <c r="AB464" s="1229"/>
      <c r="AC464" s="1229"/>
      <c r="AD464" s="1229"/>
      <c r="AE464" s="1229"/>
      <c r="AF464" s="1337"/>
      <c r="AG464" s="1337"/>
      <c r="AH464" s="1229"/>
      <c r="AI464" s="1229"/>
      <c r="AJ464" s="1229"/>
      <c r="AK464" s="1229"/>
      <c r="AL464" s="1337"/>
      <c r="AM464" s="1337"/>
      <c r="AN464" s="1229"/>
      <c r="AO464" s="1229"/>
      <c r="AP464" s="1229"/>
      <c r="AQ464" s="1229"/>
      <c r="AR464" s="1337"/>
      <c r="AS464" s="1337"/>
      <c r="AT464" s="1229"/>
      <c r="AU464" s="1229"/>
      <c r="AV464" s="1229"/>
      <c r="AW464" s="1229"/>
      <c r="AX464" s="1337"/>
      <c r="AY464" s="1337"/>
      <c r="AZ464" s="1229"/>
      <c r="BA464" s="1229"/>
      <c r="BB464" s="1229"/>
      <c r="BC464" s="1229"/>
      <c r="BD464" s="1337"/>
      <c r="BE464" s="1337"/>
      <c r="BF464" s="1229"/>
      <c r="BG464" s="1229"/>
      <c r="BH464" s="1229"/>
      <c r="BI464" s="1222"/>
      <c r="BJ464" s="1338"/>
      <c r="BK464" s="1338"/>
      <c r="BL464" s="1222"/>
      <c r="BM464" s="1222"/>
      <c r="BN464" s="1222"/>
      <c r="BO464" s="1222"/>
    </row>
    <row r="465">
      <c r="A465" s="1222"/>
      <c r="B465" s="1229"/>
      <c r="C465" s="1349"/>
      <c r="D465" s="1229"/>
      <c r="E465" s="1229"/>
      <c r="F465" s="1229"/>
      <c r="G465" s="1229"/>
      <c r="H465" s="1229"/>
      <c r="I465" s="1229"/>
      <c r="J465" s="1229"/>
      <c r="K465" s="1229"/>
      <c r="L465" s="1229"/>
      <c r="M465" s="1229"/>
      <c r="N465" s="1337"/>
      <c r="O465" s="1337"/>
      <c r="P465" s="1229"/>
      <c r="Q465" s="1229"/>
      <c r="R465" s="1229"/>
      <c r="S465" s="1229"/>
      <c r="T465" s="1337"/>
      <c r="U465" s="1337"/>
      <c r="V465" s="1229"/>
      <c r="W465" s="1229"/>
      <c r="X465" s="1229"/>
      <c r="Y465" s="1229"/>
      <c r="Z465" s="1337"/>
      <c r="AA465" s="1337"/>
      <c r="AB465" s="1229"/>
      <c r="AC465" s="1229"/>
      <c r="AD465" s="1229"/>
      <c r="AE465" s="1229"/>
      <c r="AF465" s="1337"/>
      <c r="AG465" s="1337"/>
      <c r="AH465" s="1229"/>
      <c r="AI465" s="1229"/>
      <c r="AJ465" s="1229"/>
      <c r="AK465" s="1229"/>
      <c r="AL465" s="1337"/>
      <c r="AM465" s="1337"/>
      <c r="AN465" s="1229"/>
      <c r="AO465" s="1229"/>
      <c r="AP465" s="1229"/>
      <c r="AQ465" s="1229"/>
      <c r="AR465" s="1337"/>
      <c r="AS465" s="1337"/>
      <c r="AT465" s="1229"/>
      <c r="AU465" s="1229"/>
      <c r="AV465" s="1229"/>
      <c r="AW465" s="1229"/>
      <c r="AX465" s="1337"/>
      <c r="AY465" s="1337"/>
      <c r="AZ465" s="1229"/>
      <c r="BA465" s="1229"/>
      <c r="BB465" s="1229"/>
      <c r="BC465" s="1229"/>
      <c r="BD465" s="1337"/>
      <c r="BE465" s="1337"/>
      <c r="BF465" s="1229"/>
      <c r="BG465" s="1229"/>
      <c r="BH465" s="1229"/>
      <c r="BI465" s="1222"/>
      <c r="BJ465" s="1338"/>
      <c r="BK465" s="1338"/>
      <c r="BL465" s="1222"/>
      <c r="BM465" s="1222"/>
      <c r="BN465" s="1222"/>
      <c r="BO465" s="1222"/>
    </row>
    <row r="466">
      <c r="A466" s="1222"/>
      <c r="B466" s="1229"/>
      <c r="C466" s="1349"/>
      <c r="D466" s="1229"/>
      <c r="E466" s="1229"/>
      <c r="F466" s="1229"/>
      <c r="G466" s="1229"/>
      <c r="H466" s="1229"/>
      <c r="I466" s="1229"/>
      <c r="J466" s="1229"/>
      <c r="K466" s="1229"/>
      <c r="L466" s="1229"/>
      <c r="M466" s="1229"/>
      <c r="N466" s="1337"/>
      <c r="O466" s="1337"/>
      <c r="P466" s="1229"/>
      <c r="Q466" s="1229"/>
      <c r="R466" s="1229"/>
      <c r="S466" s="1229"/>
      <c r="T466" s="1337"/>
      <c r="U466" s="1337"/>
      <c r="V466" s="1229"/>
      <c r="W466" s="1229"/>
      <c r="X466" s="1229"/>
      <c r="Y466" s="1229"/>
      <c r="Z466" s="1337"/>
      <c r="AA466" s="1337"/>
      <c r="AB466" s="1229"/>
      <c r="AC466" s="1229"/>
      <c r="AD466" s="1229"/>
      <c r="AE466" s="1229"/>
      <c r="AF466" s="1337"/>
      <c r="AG466" s="1337"/>
      <c r="AH466" s="1229"/>
      <c r="AI466" s="1229"/>
      <c r="AJ466" s="1229"/>
      <c r="AK466" s="1229"/>
      <c r="AL466" s="1337"/>
      <c r="AM466" s="1337"/>
      <c r="AN466" s="1229"/>
      <c r="AO466" s="1229"/>
      <c r="AP466" s="1229"/>
      <c r="AQ466" s="1229"/>
      <c r="AR466" s="1337"/>
      <c r="AS466" s="1337"/>
      <c r="AT466" s="1229"/>
      <c r="AU466" s="1229"/>
      <c r="AV466" s="1229"/>
      <c r="AW466" s="1229"/>
      <c r="AX466" s="1337"/>
      <c r="AY466" s="1337"/>
      <c r="AZ466" s="1229"/>
      <c r="BA466" s="1229"/>
      <c r="BB466" s="1229"/>
      <c r="BC466" s="1229"/>
      <c r="BD466" s="1337"/>
      <c r="BE466" s="1337"/>
      <c r="BF466" s="1229"/>
      <c r="BG466" s="1229"/>
      <c r="BH466" s="1229"/>
      <c r="BI466" s="1222"/>
      <c r="BJ466" s="1338"/>
      <c r="BK466" s="1338"/>
      <c r="BL466" s="1222"/>
      <c r="BM466" s="1222"/>
      <c r="BN466" s="1222"/>
      <c r="BO466" s="1222"/>
    </row>
    <row r="467">
      <c r="A467" s="1222"/>
      <c r="B467" s="1229"/>
      <c r="C467" s="1349"/>
      <c r="D467" s="1229"/>
      <c r="E467" s="1229"/>
      <c r="F467" s="1229"/>
      <c r="G467" s="1229"/>
      <c r="H467" s="1229"/>
      <c r="I467" s="1229"/>
      <c r="J467" s="1229"/>
      <c r="K467" s="1229"/>
      <c r="L467" s="1229"/>
      <c r="M467" s="1229"/>
      <c r="N467" s="1337"/>
      <c r="O467" s="1337"/>
      <c r="P467" s="1229"/>
      <c r="Q467" s="1229"/>
      <c r="R467" s="1229"/>
      <c r="S467" s="1229"/>
      <c r="T467" s="1337"/>
      <c r="U467" s="1337"/>
      <c r="V467" s="1229"/>
      <c r="W467" s="1229"/>
      <c r="X467" s="1229"/>
      <c r="Y467" s="1229"/>
      <c r="Z467" s="1337"/>
      <c r="AA467" s="1337"/>
      <c r="AB467" s="1229"/>
      <c r="AC467" s="1229"/>
      <c r="AD467" s="1229"/>
      <c r="AE467" s="1229"/>
      <c r="AF467" s="1337"/>
      <c r="AG467" s="1337"/>
      <c r="AH467" s="1229"/>
      <c r="AI467" s="1229"/>
      <c r="AJ467" s="1229"/>
      <c r="AK467" s="1229"/>
      <c r="AL467" s="1337"/>
      <c r="AM467" s="1337"/>
      <c r="AN467" s="1229"/>
      <c r="AO467" s="1229"/>
      <c r="AP467" s="1229"/>
      <c r="AQ467" s="1229"/>
      <c r="AR467" s="1337"/>
      <c r="AS467" s="1337"/>
      <c r="AT467" s="1229"/>
      <c r="AU467" s="1229"/>
      <c r="AV467" s="1229"/>
      <c r="AW467" s="1229"/>
      <c r="AX467" s="1337"/>
      <c r="AY467" s="1337"/>
      <c r="AZ467" s="1229"/>
      <c r="BA467" s="1229"/>
      <c r="BB467" s="1229"/>
      <c r="BC467" s="1229"/>
      <c r="BD467" s="1337"/>
      <c r="BE467" s="1337"/>
      <c r="BF467" s="1229"/>
      <c r="BG467" s="1229"/>
      <c r="BH467" s="1229"/>
      <c r="BI467" s="1222"/>
      <c r="BJ467" s="1338"/>
      <c r="BK467" s="1338"/>
      <c r="BL467" s="1222"/>
      <c r="BM467" s="1222"/>
      <c r="BN467" s="1222"/>
      <c r="BO467" s="1222"/>
    </row>
    <row r="468">
      <c r="A468" s="1222"/>
      <c r="B468" s="1229"/>
      <c r="C468" s="1349"/>
      <c r="D468" s="1229"/>
      <c r="E468" s="1229"/>
      <c r="F468" s="1229"/>
      <c r="G468" s="1229"/>
      <c r="H468" s="1229"/>
      <c r="I468" s="1229"/>
      <c r="J468" s="1229"/>
      <c r="K468" s="1229"/>
      <c r="L468" s="1229"/>
      <c r="M468" s="1229"/>
      <c r="N468" s="1337"/>
      <c r="O468" s="1337"/>
      <c r="P468" s="1229"/>
      <c r="Q468" s="1229"/>
      <c r="R468" s="1229"/>
      <c r="S468" s="1229"/>
      <c r="T468" s="1337"/>
      <c r="U468" s="1337"/>
      <c r="V468" s="1229"/>
      <c r="W468" s="1229"/>
      <c r="X468" s="1229"/>
      <c r="Y468" s="1229"/>
      <c r="Z468" s="1337"/>
      <c r="AA468" s="1337"/>
      <c r="AB468" s="1229"/>
      <c r="AC468" s="1229"/>
      <c r="AD468" s="1229"/>
      <c r="AE468" s="1229"/>
      <c r="AF468" s="1337"/>
      <c r="AG468" s="1337"/>
      <c r="AH468" s="1229"/>
      <c r="AI468" s="1229"/>
      <c r="AJ468" s="1229"/>
      <c r="AK468" s="1229"/>
      <c r="AL468" s="1337"/>
      <c r="AM468" s="1337"/>
      <c r="AN468" s="1229"/>
      <c r="AO468" s="1229"/>
      <c r="AP468" s="1229"/>
      <c r="AQ468" s="1229"/>
      <c r="AR468" s="1337"/>
      <c r="AS468" s="1337"/>
      <c r="AT468" s="1229"/>
      <c r="AU468" s="1229"/>
      <c r="AV468" s="1229"/>
      <c r="AW468" s="1229"/>
      <c r="AX468" s="1337"/>
      <c r="AY468" s="1337"/>
      <c r="AZ468" s="1229"/>
      <c r="BA468" s="1229"/>
      <c r="BB468" s="1229"/>
      <c r="BC468" s="1229"/>
      <c r="BD468" s="1337"/>
      <c r="BE468" s="1337"/>
      <c r="BF468" s="1229"/>
      <c r="BG468" s="1229"/>
      <c r="BH468" s="1229"/>
      <c r="BI468" s="1222"/>
      <c r="BJ468" s="1338"/>
      <c r="BK468" s="1338"/>
      <c r="BL468" s="1222"/>
      <c r="BM468" s="1222"/>
      <c r="BN468" s="1222"/>
      <c r="BO468" s="1222"/>
    </row>
    <row r="469">
      <c r="A469" s="1222"/>
      <c r="B469" s="1229"/>
      <c r="C469" s="1349"/>
      <c r="D469" s="1229"/>
      <c r="E469" s="1229"/>
      <c r="F469" s="1229"/>
      <c r="G469" s="1229"/>
      <c r="H469" s="1229"/>
      <c r="I469" s="1229"/>
      <c r="J469" s="1229"/>
      <c r="K469" s="1229"/>
      <c r="L469" s="1229"/>
      <c r="M469" s="1229"/>
      <c r="N469" s="1337"/>
      <c r="O469" s="1337"/>
      <c r="P469" s="1229"/>
      <c r="Q469" s="1229"/>
      <c r="R469" s="1229"/>
      <c r="S469" s="1229"/>
      <c r="T469" s="1337"/>
      <c r="U469" s="1337"/>
      <c r="V469" s="1229"/>
      <c r="W469" s="1229"/>
      <c r="X469" s="1229"/>
      <c r="Y469" s="1229"/>
      <c r="Z469" s="1337"/>
      <c r="AA469" s="1337"/>
      <c r="AB469" s="1229"/>
      <c r="AC469" s="1229"/>
      <c r="AD469" s="1229"/>
      <c r="AE469" s="1229"/>
      <c r="AF469" s="1337"/>
      <c r="AG469" s="1337"/>
      <c r="AH469" s="1229"/>
      <c r="AI469" s="1229"/>
      <c r="AJ469" s="1229"/>
      <c r="AK469" s="1229"/>
      <c r="AL469" s="1337"/>
      <c r="AM469" s="1337"/>
      <c r="AN469" s="1229"/>
      <c r="AO469" s="1229"/>
      <c r="AP469" s="1229"/>
      <c r="AQ469" s="1229"/>
      <c r="AR469" s="1337"/>
      <c r="AS469" s="1337"/>
      <c r="AT469" s="1229"/>
      <c r="AU469" s="1229"/>
      <c r="AV469" s="1229"/>
      <c r="AW469" s="1229"/>
      <c r="AX469" s="1337"/>
      <c r="AY469" s="1337"/>
      <c r="AZ469" s="1229"/>
      <c r="BA469" s="1229"/>
      <c r="BB469" s="1229"/>
      <c r="BC469" s="1229"/>
      <c r="BD469" s="1337"/>
      <c r="BE469" s="1337"/>
      <c r="BF469" s="1229"/>
      <c r="BG469" s="1229"/>
      <c r="BH469" s="1229"/>
      <c r="BI469" s="1222"/>
      <c r="BJ469" s="1338"/>
      <c r="BK469" s="1338"/>
      <c r="BL469" s="1222"/>
      <c r="BM469" s="1222"/>
      <c r="BN469" s="1222"/>
      <c r="BO469" s="1222"/>
    </row>
    <row r="470">
      <c r="A470" s="1222"/>
      <c r="B470" s="1229"/>
      <c r="C470" s="1349"/>
      <c r="D470" s="1229"/>
      <c r="E470" s="1229"/>
      <c r="F470" s="1229"/>
      <c r="G470" s="1229"/>
      <c r="H470" s="1229"/>
      <c r="I470" s="1229"/>
      <c r="J470" s="1229"/>
      <c r="K470" s="1229"/>
      <c r="L470" s="1229"/>
      <c r="M470" s="1229"/>
      <c r="N470" s="1337"/>
      <c r="O470" s="1337"/>
      <c r="P470" s="1229"/>
      <c r="Q470" s="1229"/>
      <c r="R470" s="1229"/>
      <c r="S470" s="1229"/>
      <c r="T470" s="1337"/>
      <c r="U470" s="1337"/>
      <c r="V470" s="1229"/>
      <c r="W470" s="1229"/>
      <c r="X470" s="1229"/>
      <c r="Y470" s="1229"/>
      <c r="Z470" s="1337"/>
      <c r="AA470" s="1337"/>
      <c r="AB470" s="1229"/>
      <c r="AC470" s="1229"/>
      <c r="AD470" s="1229"/>
      <c r="AE470" s="1229"/>
      <c r="AF470" s="1337"/>
      <c r="AG470" s="1337"/>
      <c r="AH470" s="1229"/>
      <c r="AI470" s="1229"/>
      <c r="AJ470" s="1229"/>
      <c r="AK470" s="1229"/>
      <c r="AL470" s="1337"/>
      <c r="AM470" s="1337"/>
      <c r="AN470" s="1229"/>
      <c r="AO470" s="1229"/>
      <c r="AP470" s="1229"/>
      <c r="AQ470" s="1229"/>
      <c r="AR470" s="1337"/>
      <c r="AS470" s="1337"/>
      <c r="AT470" s="1229"/>
      <c r="AU470" s="1229"/>
      <c r="AV470" s="1229"/>
      <c r="AW470" s="1229"/>
      <c r="AX470" s="1337"/>
      <c r="AY470" s="1337"/>
      <c r="AZ470" s="1229"/>
      <c r="BA470" s="1229"/>
      <c r="BB470" s="1229"/>
      <c r="BC470" s="1229"/>
      <c r="BD470" s="1337"/>
      <c r="BE470" s="1337"/>
      <c r="BF470" s="1229"/>
      <c r="BG470" s="1229"/>
      <c r="BH470" s="1229"/>
      <c r="BI470" s="1222"/>
      <c r="BJ470" s="1338"/>
      <c r="BK470" s="1338"/>
      <c r="BL470" s="1222"/>
      <c r="BM470" s="1222"/>
      <c r="BN470" s="1222"/>
      <c r="BO470" s="1222"/>
    </row>
    <row r="471">
      <c r="A471" s="1222"/>
      <c r="B471" s="1229"/>
      <c r="C471" s="1349"/>
      <c r="D471" s="1229"/>
      <c r="E471" s="1229"/>
      <c r="F471" s="1229"/>
      <c r="G471" s="1229"/>
      <c r="H471" s="1229"/>
      <c r="I471" s="1229"/>
      <c r="J471" s="1229"/>
      <c r="K471" s="1229"/>
      <c r="L471" s="1229"/>
      <c r="M471" s="1229"/>
      <c r="N471" s="1337"/>
      <c r="O471" s="1337"/>
      <c r="P471" s="1229"/>
      <c r="Q471" s="1229"/>
      <c r="R471" s="1229"/>
      <c r="S471" s="1229"/>
      <c r="T471" s="1337"/>
      <c r="U471" s="1337"/>
      <c r="V471" s="1229"/>
      <c r="W471" s="1229"/>
      <c r="X471" s="1229"/>
      <c r="Y471" s="1229"/>
      <c r="Z471" s="1337"/>
      <c r="AA471" s="1337"/>
      <c r="AB471" s="1229"/>
      <c r="AC471" s="1229"/>
      <c r="AD471" s="1229"/>
      <c r="AE471" s="1229"/>
      <c r="AF471" s="1337"/>
      <c r="AG471" s="1337"/>
      <c r="AH471" s="1229"/>
      <c r="AI471" s="1229"/>
      <c r="AJ471" s="1229"/>
      <c r="AK471" s="1229"/>
      <c r="AL471" s="1337"/>
      <c r="AM471" s="1337"/>
      <c r="AN471" s="1229"/>
      <c r="AO471" s="1229"/>
      <c r="AP471" s="1229"/>
      <c r="AQ471" s="1229"/>
      <c r="AR471" s="1337"/>
      <c r="AS471" s="1337"/>
      <c r="AT471" s="1229"/>
      <c r="AU471" s="1229"/>
      <c r="AV471" s="1229"/>
      <c r="AW471" s="1229"/>
      <c r="AX471" s="1337"/>
      <c r="AY471" s="1337"/>
      <c r="AZ471" s="1229"/>
      <c r="BA471" s="1229"/>
      <c r="BB471" s="1229"/>
      <c r="BC471" s="1229"/>
      <c r="BD471" s="1337"/>
      <c r="BE471" s="1337"/>
      <c r="BF471" s="1229"/>
      <c r="BG471" s="1229"/>
      <c r="BH471" s="1229"/>
      <c r="BI471" s="1222"/>
      <c r="BJ471" s="1338"/>
      <c r="BK471" s="1338"/>
      <c r="BL471" s="1222"/>
      <c r="BM471" s="1222"/>
      <c r="BN471" s="1222"/>
      <c r="BO471" s="1222"/>
    </row>
    <row r="472">
      <c r="A472" s="1222"/>
      <c r="B472" s="1229"/>
      <c r="C472" s="1349"/>
      <c r="D472" s="1229"/>
      <c r="E472" s="1229"/>
      <c r="F472" s="1229"/>
      <c r="G472" s="1229"/>
      <c r="H472" s="1229"/>
      <c r="I472" s="1229"/>
      <c r="J472" s="1229"/>
      <c r="K472" s="1229"/>
      <c r="L472" s="1229"/>
      <c r="M472" s="1229"/>
      <c r="N472" s="1337"/>
      <c r="O472" s="1337"/>
      <c r="P472" s="1229"/>
      <c r="Q472" s="1229"/>
      <c r="R472" s="1229"/>
      <c r="S472" s="1229"/>
      <c r="T472" s="1337"/>
      <c r="U472" s="1337"/>
      <c r="V472" s="1229"/>
      <c r="W472" s="1229"/>
      <c r="X472" s="1229"/>
      <c r="Y472" s="1229"/>
      <c r="Z472" s="1337"/>
      <c r="AA472" s="1337"/>
      <c r="AB472" s="1229"/>
      <c r="AC472" s="1229"/>
      <c r="AD472" s="1229"/>
      <c r="AE472" s="1229"/>
      <c r="AF472" s="1337"/>
      <c r="AG472" s="1337"/>
      <c r="AH472" s="1229"/>
      <c r="AI472" s="1229"/>
      <c r="AJ472" s="1229"/>
      <c r="AK472" s="1229"/>
      <c r="AL472" s="1337"/>
      <c r="AM472" s="1337"/>
      <c r="AN472" s="1229"/>
      <c r="AO472" s="1229"/>
      <c r="AP472" s="1229"/>
      <c r="AQ472" s="1229"/>
      <c r="AR472" s="1337"/>
      <c r="AS472" s="1337"/>
      <c r="AT472" s="1229"/>
      <c r="AU472" s="1229"/>
      <c r="AV472" s="1229"/>
      <c r="AW472" s="1229"/>
      <c r="AX472" s="1337"/>
      <c r="AY472" s="1337"/>
      <c r="AZ472" s="1229"/>
      <c r="BA472" s="1229"/>
      <c r="BB472" s="1229"/>
      <c r="BC472" s="1229"/>
      <c r="BD472" s="1337"/>
      <c r="BE472" s="1337"/>
      <c r="BF472" s="1229"/>
      <c r="BG472" s="1229"/>
      <c r="BH472" s="1229"/>
      <c r="BI472" s="1222"/>
      <c r="BJ472" s="1338"/>
      <c r="BK472" s="1338"/>
      <c r="BL472" s="1222"/>
      <c r="BM472" s="1222"/>
      <c r="BN472" s="1222"/>
      <c r="BO472" s="1222"/>
    </row>
    <row r="473">
      <c r="A473" s="1222"/>
      <c r="B473" s="1229"/>
      <c r="C473" s="1349"/>
      <c r="D473" s="1229"/>
      <c r="E473" s="1229"/>
      <c r="F473" s="1229"/>
      <c r="G473" s="1229"/>
      <c r="H473" s="1229"/>
      <c r="I473" s="1229"/>
      <c r="J473" s="1229"/>
      <c r="K473" s="1229"/>
      <c r="L473" s="1229"/>
      <c r="M473" s="1229"/>
      <c r="N473" s="1337"/>
      <c r="O473" s="1337"/>
      <c r="P473" s="1229"/>
      <c r="Q473" s="1229"/>
      <c r="R473" s="1229"/>
      <c r="S473" s="1229"/>
      <c r="T473" s="1337"/>
      <c r="U473" s="1337"/>
      <c r="V473" s="1229"/>
      <c r="W473" s="1229"/>
      <c r="X473" s="1229"/>
      <c r="Y473" s="1229"/>
      <c r="Z473" s="1337"/>
      <c r="AA473" s="1337"/>
      <c r="AB473" s="1229"/>
      <c r="AC473" s="1229"/>
      <c r="AD473" s="1229"/>
      <c r="AE473" s="1229"/>
      <c r="AF473" s="1337"/>
      <c r="AG473" s="1337"/>
      <c r="AH473" s="1229"/>
      <c r="AI473" s="1229"/>
      <c r="AJ473" s="1229"/>
      <c r="AK473" s="1229"/>
      <c r="AL473" s="1337"/>
      <c r="AM473" s="1337"/>
      <c r="AN473" s="1229"/>
      <c r="AO473" s="1229"/>
      <c r="AP473" s="1229"/>
      <c r="AQ473" s="1229"/>
      <c r="AR473" s="1337"/>
      <c r="AS473" s="1337"/>
      <c r="AT473" s="1229"/>
      <c r="AU473" s="1229"/>
      <c r="AV473" s="1229"/>
      <c r="AW473" s="1229"/>
      <c r="AX473" s="1337"/>
      <c r="AY473" s="1337"/>
      <c r="AZ473" s="1229"/>
      <c r="BA473" s="1229"/>
      <c r="BB473" s="1229"/>
      <c r="BC473" s="1229"/>
      <c r="BD473" s="1337"/>
      <c r="BE473" s="1337"/>
      <c r="BF473" s="1229"/>
      <c r="BG473" s="1229"/>
      <c r="BH473" s="1229"/>
      <c r="BI473" s="1222"/>
      <c r="BJ473" s="1338"/>
      <c r="BK473" s="1338"/>
      <c r="BL473" s="1222"/>
      <c r="BM473" s="1222"/>
      <c r="BN473" s="1222"/>
      <c r="BO473" s="1222"/>
    </row>
    <row r="474">
      <c r="A474" s="1222"/>
      <c r="B474" s="1229"/>
      <c r="C474" s="1349"/>
      <c r="D474" s="1229"/>
      <c r="E474" s="1229"/>
      <c r="F474" s="1229"/>
      <c r="G474" s="1229"/>
      <c r="H474" s="1229"/>
      <c r="I474" s="1229"/>
      <c r="J474" s="1229"/>
      <c r="K474" s="1229"/>
      <c r="L474" s="1229"/>
      <c r="M474" s="1229"/>
      <c r="N474" s="1337"/>
      <c r="O474" s="1337"/>
      <c r="P474" s="1229"/>
      <c r="Q474" s="1229"/>
      <c r="R474" s="1229"/>
      <c r="S474" s="1229"/>
      <c r="T474" s="1337"/>
      <c r="U474" s="1337"/>
      <c r="V474" s="1229"/>
      <c r="W474" s="1229"/>
      <c r="X474" s="1229"/>
      <c r="Y474" s="1229"/>
      <c r="Z474" s="1337"/>
      <c r="AA474" s="1337"/>
      <c r="AB474" s="1229"/>
      <c r="AC474" s="1229"/>
      <c r="AD474" s="1229"/>
      <c r="AE474" s="1229"/>
      <c r="AF474" s="1337"/>
      <c r="AG474" s="1337"/>
      <c r="AH474" s="1229"/>
      <c r="AI474" s="1229"/>
      <c r="AJ474" s="1229"/>
      <c r="AK474" s="1229"/>
      <c r="AL474" s="1337"/>
      <c r="AM474" s="1337"/>
      <c r="AN474" s="1229"/>
      <c r="AO474" s="1229"/>
      <c r="AP474" s="1229"/>
      <c r="AQ474" s="1229"/>
      <c r="AR474" s="1337"/>
      <c r="AS474" s="1337"/>
      <c r="AT474" s="1229"/>
      <c r="AU474" s="1229"/>
      <c r="AV474" s="1229"/>
      <c r="AW474" s="1229"/>
      <c r="AX474" s="1337"/>
      <c r="AY474" s="1337"/>
      <c r="AZ474" s="1229"/>
      <c r="BA474" s="1229"/>
      <c r="BB474" s="1229"/>
      <c r="BC474" s="1229"/>
      <c r="BD474" s="1337"/>
      <c r="BE474" s="1337"/>
      <c r="BF474" s="1229"/>
      <c r="BG474" s="1229"/>
      <c r="BH474" s="1229"/>
      <c r="BI474" s="1222"/>
      <c r="BJ474" s="1338"/>
      <c r="BK474" s="1338"/>
      <c r="BL474" s="1222"/>
      <c r="BM474" s="1222"/>
      <c r="BN474" s="1222"/>
      <c r="BO474" s="1222"/>
    </row>
    <row r="475">
      <c r="A475" s="1222"/>
      <c r="B475" s="1229"/>
      <c r="C475" s="1349"/>
      <c r="D475" s="1229"/>
      <c r="E475" s="1229"/>
      <c r="F475" s="1229"/>
      <c r="G475" s="1229"/>
      <c r="H475" s="1229"/>
      <c r="I475" s="1229"/>
      <c r="J475" s="1229"/>
      <c r="K475" s="1229"/>
      <c r="L475" s="1229"/>
      <c r="M475" s="1229"/>
      <c r="N475" s="1337"/>
      <c r="O475" s="1337"/>
      <c r="P475" s="1229"/>
      <c r="Q475" s="1229"/>
      <c r="R475" s="1229"/>
      <c r="S475" s="1229"/>
      <c r="T475" s="1337"/>
      <c r="U475" s="1337"/>
      <c r="V475" s="1229"/>
      <c r="W475" s="1229"/>
      <c r="X475" s="1229"/>
      <c r="Y475" s="1229"/>
      <c r="Z475" s="1337"/>
      <c r="AA475" s="1337"/>
      <c r="AB475" s="1229"/>
      <c r="AC475" s="1229"/>
      <c r="AD475" s="1229"/>
      <c r="AE475" s="1229"/>
      <c r="AF475" s="1337"/>
      <c r="AG475" s="1337"/>
      <c r="AH475" s="1229"/>
      <c r="AI475" s="1229"/>
      <c r="AJ475" s="1229"/>
      <c r="AK475" s="1229"/>
      <c r="AL475" s="1337"/>
      <c r="AM475" s="1337"/>
      <c r="AN475" s="1229"/>
      <c r="AO475" s="1229"/>
      <c r="AP475" s="1229"/>
      <c r="AQ475" s="1229"/>
      <c r="AR475" s="1337"/>
      <c r="AS475" s="1337"/>
      <c r="AT475" s="1229"/>
      <c r="AU475" s="1229"/>
      <c r="AV475" s="1229"/>
      <c r="AW475" s="1229"/>
      <c r="AX475" s="1337"/>
      <c r="AY475" s="1337"/>
      <c r="AZ475" s="1229"/>
      <c r="BA475" s="1229"/>
      <c r="BB475" s="1229"/>
      <c r="BC475" s="1229"/>
      <c r="BD475" s="1337"/>
      <c r="BE475" s="1337"/>
      <c r="BF475" s="1229"/>
      <c r="BG475" s="1229"/>
      <c r="BH475" s="1229"/>
      <c r="BI475" s="1222"/>
      <c r="BJ475" s="1338"/>
      <c r="BK475" s="1338"/>
      <c r="BL475" s="1222"/>
      <c r="BM475" s="1222"/>
      <c r="BN475" s="1222"/>
      <c r="BO475" s="1222"/>
    </row>
    <row r="476">
      <c r="A476" s="1222"/>
      <c r="B476" s="1229"/>
      <c r="C476" s="1349"/>
      <c r="D476" s="1229"/>
      <c r="E476" s="1229"/>
      <c r="F476" s="1229"/>
      <c r="G476" s="1229"/>
      <c r="H476" s="1229"/>
      <c r="I476" s="1229"/>
      <c r="J476" s="1229"/>
      <c r="K476" s="1229"/>
      <c r="L476" s="1229"/>
      <c r="M476" s="1229"/>
      <c r="N476" s="1337"/>
      <c r="O476" s="1337"/>
      <c r="P476" s="1229"/>
      <c r="Q476" s="1229"/>
      <c r="R476" s="1229"/>
      <c r="S476" s="1229"/>
      <c r="T476" s="1337"/>
      <c r="U476" s="1337"/>
      <c r="V476" s="1229"/>
      <c r="W476" s="1229"/>
      <c r="X476" s="1229"/>
      <c r="Y476" s="1229"/>
      <c r="Z476" s="1337"/>
      <c r="AA476" s="1337"/>
      <c r="AB476" s="1229"/>
      <c r="AC476" s="1229"/>
      <c r="AD476" s="1229"/>
      <c r="AE476" s="1229"/>
      <c r="AF476" s="1337"/>
      <c r="AG476" s="1337"/>
      <c r="AH476" s="1229"/>
      <c r="AI476" s="1229"/>
      <c r="AJ476" s="1229"/>
      <c r="AK476" s="1229"/>
      <c r="AL476" s="1337"/>
      <c r="AM476" s="1337"/>
      <c r="AN476" s="1229"/>
      <c r="AO476" s="1229"/>
      <c r="AP476" s="1229"/>
      <c r="AQ476" s="1229"/>
      <c r="AR476" s="1337"/>
      <c r="AS476" s="1337"/>
      <c r="AT476" s="1229"/>
      <c r="AU476" s="1229"/>
      <c r="AV476" s="1229"/>
      <c r="AW476" s="1229"/>
      <c r="AX476" s="1337"/>
      <c r="AY476" s="1337"/>
      <c r="AZ476" s="1229"/>
      <c r="BA476" s="1229"/>
      <c r="BB476" s="1229"/>
      <c r="BC476" s="1229"/>
      <c r="BD476" s="1337"/>
      <c r="BE476" s="1337"/>
      <c r="BF476" s="1229"/>
      <c r="BG476" s="1229"/>
      <c r="BH476" s="1229"/>
      <c r="BI476" s="1222"/>
      <c r="BJ476" s="1338"/>
      <c r="BK476" s="1338"/>
      <c r="BL476" s="1222"/>
      <c r="BM476" s="1222"/>
      <c r="BN476" s="1222"/>
      <c r="BO476" s="1222"/>
    </row>
    <row r="477">
      <c r="A477" s="1222"/>
      <c r="B477" s="1229"/>
      <c r="C477" s="1349"/>
      <c r="D477" s="1229"/>
      <c r="E477" s="1229"/>
      <c r="F477" s="1229"/>
      <c r="G477" s="1229"/>
      <c r="H477" s="1229"/>
      <c r="I477" s="1229"/>
      <c r="J477" s="1229"/>
      <c r="K477" s="1229"/>
      <c r="L477" s="1229"/>
      <c r="M477" s="1229"/>
      <c r="N477" s="1337"/>
      <c r="O477" s="1337"/>
      <c r="P477" s="1229"/>
      <c r="Q477" s="1229"/>
      <c r="R477" s="1229"/>
      <c r="S477" s="1229"/>
      <c r="T477" s="1337"/>
      <c r="U477" s="1337"/>
      <c r="V477" s="1229"/>
      <c r="W477" s="1229"/>
      <c r="X477" s="1229"/>
      <c r="Y477" s="1229"/>
      <c r="Z477" s="1337"/>
      <c r="AA477" s="1337"/>
      <c r="AB477" s="1229"/>
      <c r="AC477" s="1229"/>
      <c r="AD477" s="1229"/>
      <c r="AE477" s="1229"/>
      <c r="AF477" s="1337"/>
      <c r="AG477" s="1337"/>
      <c r="AH477" s="1229"/>
      <c r="AI477" s="1229"/>
      <c r="AJ477" s="1229"/>
      <c r="AK477" s="1229"/>
      <c r="AL477" s="1337"/>
      <c r="AM477" s="1337"/>
      <c r="AN477" s="1229"/>
      <c r="AO477" s="1229"/>
      <c r="AP477" s="1229"/>
      <c r="AQ477" s="1229"/>
      <c r="AR477" s="1337"/>
      <c r="AS477" s="1337"/>
      <c r="AT477" s="1229"/>
      <c r="AU477" s="1229"/>
      <c r="AV477" s="1229"/>
      <c r="AW477" s="1229"/>
      <c r="AX477" s="1337"/>
      <c r="AY477" s="1337"/>
      <c r="AZ477" s="1229"/>
      <c r="BA477" s="1229"/>
      <c r="BB477" s="1229"/>
      <c r="BC477" s="1229"/>
      <c r="BD477" s="1337"/>
      <c r="BE477" s="1337"/>
      <c r="BF477" s="1229"/>
      <c r="BG477" s="1229"/>
      <c r="BH477" s="1229"/>
      <c r="BI477" s="1222"/>
      <c r="BJ477" s="1338"/>
      <c r="BK477" s="1338"/>
      <c r="BL477" s="1222"/>
      <c r="BM477" s="1222"/>
      <c r="BN477" s="1222"/>
      <c r="BO477" s="1222"/>
    </row>
    <row r="478">
      <c r="A478" s="1222"/>
      <c r="B478" s="1229"/>
      <c r="C478" s="1349"/>
      <c r="D478" s="1229"/>
      <c r="E478" s="1229"/>
      <c r="F478" s="1229"/>
      <c r="G478" s="1229"/>
      <c r="H478" s="1229"/>
      <c r="I478" s="1229"/>
      <c r="J478" s="1229"/>
      <c r="K478" s="1229"/>
      <c r="L478" s="1229"/>
      <c r="M478" s="1229"/>
      <c r="N478" s="1337"/>
      <c r="O478" s="1337"/>
      <c r="P478" s="1229"/>
      <c r="Q478" s="1229"/>
      <c r="R478" s="1229"/>
      <c r="S478" s="1229"/>
      <c r="T478" s="1337"/>
      <c r="U478" s="1337"/>
      <c r="V478" s="1229"/>
      <c r="W478" s="1229"/>
      <c r="X478" s="1229"/>
      <c r="Y478" s="1229"/>
      <c r="Z478" s="1337"/>
      <c r="AA478" s="1337"/>
      <c r="AB478" s="1229"/>
      <c r="AC478" s="1229"/>
      <c r="AD478" s="1229"/>
      <c r="AE478" s="1229"/>
      <c r="AF478" s="1337"/>
      <c r="AG478" s="1337"/>
      <c r="AH478" s="1229"/>
      <c r="AI478" s="1229"/>
      <c r="AJ478" s="1229"/>
      <c r="AK478" s="1229"/>
      <c r="AL478" s="1337"/>
      <c r="AM478" s="1337"/>
      <c r="AN478" s="1229"/>
      <c r="AO478" s="1229"/>
      <c r="AP478" s="1229"/>
      <c r="AQ478" s="1229"/>
      <c r="AR478" s="1337"/>
      <c r="AS478" s="1337"/>
      <c r="AT478" s="1229"/>
      <c r="AU478" s="1229"/>
      <c r="AV478" s="1229"/>
      <c r="AW478" s="1229"/>
      <c r="AX478" s="1337"/>
      <c r="AY478" s="1337"/>
      <c r="AZ478" s="1229"/>
      <c r="BA478" s="1229"/>
      <c r="BB478" s="1229"/>
      <c r="BC478" s="1229"/>
      <c r="BD478" s="1337"/>
      <c r="BE478" s="1337"/>
      <c r="BF478" s="1229"/>
      <c r="BG478" s="1229"/>
      <c r="BH478" s="1229"/>
      <c r="BI478" s="1222"/>
      <c r="BJ478" s="1338"/>
      <c r="BK478" s="1338"/>
      <c r="BL478" s="1222"/>
      <c r="BM478" s="1222"/>
      <c r="BN478" s="1222"/>
      <c r="BO478" s="1222"/>
    </row>
    <row r="479">
      <c r="A479" s="1222"/>
      <c r="B479" s="1229"/>
      <c r="C479" s="1349"/>
      <c r="D479" s="1229"/>
      <c r="E479" s="1229"/>
      <c r="F479" s="1229"/>
      <c r="G479" s="1229"/>
      <c r="H479" s="1229"/>
      <c r="I479" s="1229"/>
      <c r="J479" s="1229"/>
      <c r="K479" s="1229"/>
      <c r="L479" s="1229"/>
      <c r="M479" s="1229"/>
      <c r="N479" s="1337"/>
      <c r="O479" s="1337"/>
      <c r="P479" s="1229"/>
      <c r="Q479" s="1229"/>
      <c r="R479" s="1229"/>
      <c r="S479" s="1229"/>
      <c r="T479" s="1337"/>
      <c r="U479" s="1337"/>
      <c r="V479" s="1229"/>
      <c r="W479" s="1229"/>
      <c r="X479" s="1229"/>
      <c r="Y479" s="1229"/>
      <c r="Z479" s="1337"/>
      <c r="AA479" s="1337"/>
      <c r="AB479" s="1229"/>
      <c r="AC479" s="1229"/>
      <c r="AD479" s="1229"/>
      <c r="AE479" s="1229"/>
      <c r="AF479" s="1337"/>
      <c r="AG479" s="1337"/>
      <c r="AH479" s="1229"/>
      <c r="AI479" s="1229"/>
      <c r="AJ479" s="1229"/>
      <c r="AK479" s="1229"/>
      <c r="AL479" s="1337"/>
      <c r="AM479" s="1337"/>
      <c r="AN479" s="1229"/>
      <c r="AO479" s="1229"/>
      <c r="AP479" s="1229"/>
      <c r="AQ479" s="1229"/>
      <c r="AR479" s="1337"/>
      <c r="AS479" s="1337"/>
      <c r="AT479" s="1229"/>
      <c r="AU479" s="1229"/>
      <c r="AV479" s="1229"/>
      <c r="AW479" s="1229"/>
      <c r="AX479" s="1337"/>
      <c r="AY479" s="1337"/>
      <c r="AZ479" s="1229"/>
      <c r="BA479" s="1229"/>
      <c r="BB479" s="1229"/>
      <c r="BC479" s="1229"/>
      <c r="BD479" s="1337"/>
      <c r="BE479" s="1337"/>
      <c r="BF479" s="1229"/>
      <c r="BG479" s="1229"/>
      <c r="BH479" s="1229"/>
      <c r="BI479" s="1222"/>
      <c r="BJ479" s="1338"/>
      <c r="BK479" s="1338"/>
      <c r="BL479" s="1222"/>
      <c r="BM479" s="1222"/>
      <c r="BN479" s="1222"/>
      <c r="BO479" s="1222"/>
    </row>
    <row r="480">
      <c r="A480" s="1222"/>
      <c r="B480" s="1229"/>
      <c r="C480" s="1349"/>
      <c r="D480" s="1229"/>
      <c r="E480" s="1229"/>
      <c r="F480" s="1229"/>
      <c r="G480" s="1229"/>
      <c r="H480" s="1229"/>
      <c r="I480" s="1229"/>
      <c r="J480" s="1229"/>
      <c r="K480" s="1229"/>
      <c r="L480" s="1229"/>
      <c r="M480" s="1229"/>
      <c r="N480" s="1337"/>
      <c r="O480" s="1337"/>
      <c r="P480" s="1229"/>
      <c r="Q480" s="1229"/>
      <c r="R480" s="1229"/>
      <c r="S480" s="1229"/>
      <c r="T480" s="1337"/>
      <c r="U480" s="1337"/>
      <c r="V480" s="1229"/>
      <c r="W480" s="1229"/>
      <c r="X480" s="1229"/>
      <c r="Y480" s="1229"/>
      <c r="Z480" s="1337"/>
      <c r="AA480" s="1337"/>
      <c r="AB480" s="1229"/>
      <c r="AC480" s="1229"/>
      <c r="AD480" s="1229"/>
      <c r="AE480" s="1229"/>
      <c r="AF480" s="1337"/>
      <c r="AG480" s="1337"/>
      <c r="AH480" s="1229"/>
      <c r="AI480" s="1229"/>
      <c r="AJ480" s="1229"/>
      <c r="AK480" s="1229"/>
      <c r="AL480" s="1337"/>
      <c r="AM480" s="1337"/>
      <c r="AN480" s="1229"/>
      <c r="AO480" s="1229"/>
      <c r="AP480" s="1229"/>
      <c r="AQ480" s="1229"/>
      <c r="AR480" s="1337"/>
      <c r="AS480" s="1337"/>
      <c r="AT480" s="1229"/>
      <c r="AU480" s="1229"/>
      <c r="AV480" s="1229"/>
      <c r="AW480" s="1229"/>
      <c r="AX480" s="1337"/>
      <c r="AY480" s="1337"/>
      <c r="AZ480" s="1229"/>
      <c r="BA480" s="1229"/>
      <c r="BB480" s="1229"/>
      <c r="BC480" s="1229"/>
      <c r="BD480" s="1337"/>
      <c r="BE480" s="1337"/>
      <c r="BF480" s="1229"/>
      <c r="BG480" s="1229"/>
      <c r="BH480" s="1229"/>
      <c r="BI480" s="1222"/>
      <c r="BJ480" s="1338"/>
      <c r="BK480" s="1338"/>
      <c r="BL480" s="1222"/>
      <c r="BM480" s="1222"/>
      <c r="BN480" s="1222"/>
      <c r="BO480" s="1222"/>
    </row>
    <row r="481">
      <c r="A481" s="1222"/>
      <c r="B481" s="1229"/>
      <c r="C481" s="1349"/>
      <c r="D481" s="1229"/>
      <c r="E481" s="1229"/>
      <c r="F481" s="1229"/>
      <c r="G481" s="1229"/>
      <c r="H481" s="1229"/>
      <c r="I481" s="1229"/>
      <c r="J481" s="1229"/>
      <c r="K481" s="1229"/>
      <c r="L481" s="1229"/>
      <c r="M481" s="1229"/>
      <c r="N481" s="1337"/>
      <c r="O481" s="1337"/>
      <c r="P481" s="1229"/>
      <c r="Q481" s="1229"/>
      <c r="R481" s="1229"/>
      <c r="S481" s="1229"/>
      <c r="T481" s="1337"/>
      <c r="U481" s="1337"/>
      <c r="V481" s="1229"/>
      <c r="W481" s="1229"/>
      <c r="X481" s="1229"/>
      <c r="Y481" s="1229"/>
      <c r="Z481" s="1337"/>
      <c r="AA481" s="1337"/>
      <c r="AB481" s="1229"/>
      <c r="AC481" s="1229"/>
      <c r="AD481" s="1229"/>
      <c r="AE481" s="1229"/>
      <c r="AF481" s="1337"/>
      <c r="AG481" s="1337"/>
      <c r="AH481" s="1229"/>
      <c r="AI481" s="1229"/>
      <c r="AJ481" s="1229"/>
      <c r="AK481" s="1229"/>
      <c r="AL481" s="1337"/>
      <c r="AM481" s="1337"/>
      <c r="AN481" s="1229"/>
      <c r="AO481" s="1229"/>
      <c r="AP481" s="1229"/>
      <c r="AQ481" s="1229"/>
      <c r="AR481" s="1337"/>
      <c r="AS481" s="1337"/>
      <c r="AT481" s="1229"/>
      <c r="AU481" s="1229"/>
      <c r="AV481" s="1229"/>
      <c r="AW481" s="1229"/>
      <c r="AX481" s="1337"/>
      <c r="AY481" s="1337"/>
      <c r="AZ481" s="1229"/>
      <c r="BA481" s="1229"/>
      <c r="BB481" s="1229"/>
      <c r="BC481" s="1229"/>
      <c r="BD481" s="1337"/>
      <c r="BE481" s="1337"/>
      <c r="BF481" s="1229"/>
      <c r="BG481" s="1229"/>
      <c r="BH481" s="1229"/>
      <c r="BI481" s="1222"/>
      <c r="BJ481" s="1338"/>
      <c r="BK481" s="1338"/>
      <c r="BL481" s="1222"/>
      <c r="BM481" s="1222"/>
      <c r="BN481" s="1222"/>
      <c r="BO481" s="1222"/>
    </row>
    <row r="482">
      <c r="A482" s="1222"/>
      <c r="B482" s="1229"/>
      <c r="C482" s="1349"/>
      <c r="D482" s="1229"/>
      <c r="E482" s="1229"/>
      <c r="F482" s="1229"/>
      <c r="G482" s="1229"/>
      <c r="H482" s="1229"/>
      <c r="I482" s="1229"/>
      <c r="J482" s="1229"/>
      <c r="K482" s="1229"/>
      <c r="L482" s="1229"/>
      <c r="M482" s="1229"/>
      <c r="N482" s="1337"/>
      <c r="O482" s="1337"/>
      <c r="P482" s="1229"/>
      <c r="Q482" s="1229"/>
      <c r="R482" s="1229"/>
      <c r="S482" s="1229"/>
      <c r="T482" s="1337"/>
      <c r="U482" s="1337"/>
      <c r="V482" s="1229"/>
      <c r="W482" s="1229"/>
      <c r="X482" s="1229"/>
      <c r="Y482" s="1229"/>
      <c r="Z482" s="1337"/>
      <c r="AA482" s="1337"/>
      <c r="AB482" s="1229"/>
      <c r="AC482" s="1229"/>
      <c r="AD482" s="1229"/>
      <c r="AE482" s="1229"/>
      <c r="AF482" s="1337"/>
      <c r="AG482" s="1337"/>
      <c r="AH482" s="1229"/>
      <c r="AI482" s="1229"/>
      <c r="AJ482" s="1229"/>
      <c r="AK482" s="1229"/>
      <c r="AL482" s="1337"/>
      <c r="AM482" s="1337"/>
      <c r="AN482" s="1229"/>
      <c r="AO482" s="1229"/>
      <c r="AP482" s="1229"/>
      <c r="AQ482" s="1229"/>
      <c r="AR482" s="1337"/>
      <c r="AS482" s="1337"/>
      <c r="AT482" s="1229"/>
      <c r="AU482" s="1229"/>
      <c r="AV482" s="1229"/>
      <c r="AW482" s="1229"/>
      <c r="AX482" s="1337"/>
      <c r="AY482" s="1337"/>
      <c r="AZ482" s="1229"/>
      <c r="BA482" s="1229"/>
      <c r="BB482" s="1229"/>
      <c r="BC482" s="1229"/>
      <c r="BD482" s="1337"/>
      <c r="BE482" s="1337"/>
      <c r="BF482" s="1229"/>
      <c r="BG482" s="1229"/>
      <c r="BH482" s="1229"/>
      <c r="BI482" s="1222"/>
      <c r="BJ482" s="1338"/>
      <c r="BK482" s="1338"/>
      <c r="BL482" s="1222"/>
      <c r="BM482" s="1222"/>
      <c r="BN482" s="1222"/>
      <c r="BO482" s="1222"/>
    </row>
    <row r="483">
      <c r="A483" s="1222"/>
      <c r="B483" s="1229"/>
      <c r="C483" s="1349"/>
      <c r="D483" s="1229"/>
      <c r="E483" s="1229"/>
      <c r="F483" s="1229"/>
      <c r="G483" s="1229"/>
      <c r="H483" s="1229"/>
      <c r="I483" s="1229"/>
      <c r="J483" s="1229"/>
      <c r="K483" s="1229"/>
      <c r="L483" s="1229"/>
      <c r="M483" s="1229"/>
      <c r="N483" s="1337"/>
      <c r="O483" s="1337"/>
      <c r="P483" s="1229"/>
      <c r="Q483" s="1229"/>
      <c r="R483" s="1229"/>
      <c r="S483" s="1229"/>
      <c r="T483" s="1337"/>
      <c r="U483" s="1337"/>
      <c r="V483" s="1229"/>
      <c r="W483" s="1229"/>
      <c r="X483" s="1229"/>
      <c r="Y483" s="1229"/>
      <c r="Z483" s="1337"/>
      <c r="AA483" s="1337"/>
      <c r="AB483" s="1229"/>
      <c r="AC483" s="1229"/>
      <c r="AD483" s="1229"/>
      <c r="AE483" s="1229"/>
      <c r="AF483" s="1337"/>
      <c r="AG483" s="1337"/>
      <c r="AH483" s="1229"/>
      <c r="AI483" s="1229"/>
      <c r="AJ483" s="1229"/>
      <c r="AK483" s="1229"/>
      <c r="AL483" s="1337"/>
      <c r="AM483" s="1337"/>
      <c r="AN483" s="1229"/>
      <c r="AO483" s="1229"/>
      <c r="AP483" s="1229"/>
      <c r="AQ483" s="1229"/>
      <c r="AR483" s="1337"/>
      <c r="AS483" s="1337"/>
      <c r="AT483" s="1229"/>
      <c r="AU483" s="1229"/>
      <c r="AV483" s="1229"/>
      <c r="AW483" s="1229"/>
      <c r="AX483" s="1337"/>
      <c r="AY483" s="1337"/>
      <c r="AZ483" s="1229"/>
      <c r="BA483" s="1229"/>
      <c r="BB483" s="1229"/>
      <c r="BC483" s="1229"/>
      <c r="BD483" s="1337"/>
      <c r="BE483" s="1337"/>
      <c r="BF483" s="1229"/>
      <c r="BG483" s="1229"/>
      <c r="BH483" s="1229"/>
      <c r="BI483" s="1222"/>
      <c r="BJ483" s="1338"/>
      <c r="BK483" s="1338"/>
      <c r="BL483" s="1222"/>
      <c r="BM483" s="1222"/>
      <c r="BN483" s="1222"/>
      <c r="BO483" s="1222"/>
    </row>
    <row r="484">
      <c r="A484" s="1222"/>
      <c r="B484" s="1229"/>
      <c r="C484" s="1349"/>
      <c r="D484" s="1229"/>
      <c r="E484" s="1229"/>
      <c r="F484" s="1229"/>
      <c r="G484" s="1229"/>
      <c r="H484" s="1229"/>
      <c r="I484" s="1229"/>
      <c r="J484" s="1229"/>
      <c r="K484" s="1229"/>
      <c r="L484" s="1229"/>
      <c r="M484" s="1229"/>
      <c r="N484" s="1337"/>
      <c r="O484" s="1337"/>
      <c r="P484" s="1229"/>
      <c r="Q484" s="1229"/>
      <c r="R484" s="1229"/>
      <c r="S484" s="1229"/>
      <c r="T484" s="1337"/>
      <c r="U484" s="1337"/>
      <c r="V484" s="1229"/>
      <c r="W484" s="1229"/>
      <c r="X484" s="1229"/>
      <c r="Y484" s="1229"/>
      <c r="Z484" s="1337"/>
      <c r="AA484" s="1337"/>
      <c r="AB484" s="1229"/>
      <c r="AC484" s="1229"/>
      <c r="AD484" s="1229"/>
      <c r="AE484" s="1229"/>
      <c r="AF484" s="1337"/>
      <c r="AG484" s="1337"/>
      <c r="AH484" s="1229"/>
      <c r="AI484" s="1229"/>
      <c r="AJ484" s="1229"/>
      <c r="AK484" s="1229"/>
      <c r="AL484" s="1337"/>
      <c r="AM484" s="1337"/>
      <c r="AN484" s="1229"/>
      <c r="AO484" s="1229"/>
      <c r="AP484" s="1229"/>
      <c r="AQ484" s="1229"/>
      <c r="AR484" s="1337"/>
      <c r="AS484" s="1337"/>
      <c r="AT484" s="1229"/>
      <c r="AU484" s="1229"/>
      <c r="AV484" s="1229"/>
      <c r="AW484" s="1229"/>
      <c r="AX484" s="1337"/>
      <c r="AY484" s="1337"/>
      <c r="AZ484" s="1229"/>
      <c r="BA484" s="1229"/>
      <c r="BB484" s="1229"/>
      <c r="BC484" s="1229"/>
      <c r="BD484" s="1337"/>
      <c r="BE484" s="1337"/>
      <c r="BF484" s="1229"/>
      <c r="BG484" s="1229"/>
      <c r="BH484" s="1229"/>
      <c r="BI484" s="1222"/>
      <c r="BJ484" s="1338"/>
      <c r="BK484" s="1338"/>
      <c r="BL484" s="1222"/>
      <c r="BM484" s="1222"/>
      <c r="BN484" s="1222"/>
      <c r="BO484" s="1222"/>
    </row>
    <row r="485">
      <c r="A485" s="1222"/>
      <c r="B485" s="1229"/>
      <c r="C485" s="1349"/>
      <c r="D485" s="1229"/>
      <c r="E485" s="1229"/>
      <c r="F485" s="1229"/>
      <c r="G485" s="1229"/>
      <c r="H485" s="1229"/>
      <c r="I485" s="1229"/>
      <c r="J485" s="1229"/>
      <c r="K485" s="1229"/>
      <c r="L485" s="1229"/>
      <c r="M485" s="1229"/>
      <c r="N485" s="1337"/>
      <c r="O485" s="1337"/>
      <c r="P485" s="1229"/>
      <c r="Q485" s="1229"/>
      <c r="R485" s="1229"/>
      <c r="S485" s="1229"/>
      <c r="T485" s="1337"/>
      <c r="U485" s="1337"/>
      <c r="V485" s="1229"/>
      <c r="W485" s="1229"/>
      <c r="X485" s="1229"/>
      <c r="Y485" s="1229"/>
      <c r="Z485" s="1337"/>
      <c r="AA485" s="1337"/>
      <c r="AB485" s="1229"/>
      <c r="AC485" s="1229"/>
      <c r="AD485" s="1229"/>
      <c r="AE485" s="1229"/>
      <c r="AF485" s="1337"/>
      <c r="AG485" s="1337"/>
      <c r="AH485" s="1229"/>
      <c r="AI485" s="1229"/>
      <c r="AJ485" s="1229"/>
      <c r="AK485" s="1229"/>
      <c r="AL485" s="1337"/>
      <c r="AM485" s="1337"/>
      <c r="AN485" s="1229"/>
      <c r="AO485" s="1229"/>
      <c r="AP485" s="1229"/>
      <c r="AQ485" s="1229"/>
      <c r="AR485" s="1337"/>
      <c r="AS485" s="1337"/>
      <c r="AT485" s="1229"/>
      <c r="AU485" s="1229"/>
      <c r="AV485" s="1229"/>
      <c r="AW485" s="1229"/>
      <c r="AX485" s="1337"/>
      <c r="AY485" s="1337"/>
      <c r="AZ485" s="1229"/>
      <c r="BA485" s="1229"/>
      <c r="BB485" s="1229"/>
      <c r="BC485" s="1229"/>
      <c r="BD485" s="1337"/>
      <c r="BE485" s="1337"/>
      <c r="BF485" s="1229"/>
      <c r="BG485" s="1229"/>
      <c r="BH485" s="1229"/>
      <c r="BI485" s="1222"/>
      <c r="BJ485" s="1338"/>
      <c r="BK485" s="1338"/>
      <c r="BL485" s="1222"/>
      <c r="BM485" s="1222"/>
      <c r="BN485" s="1222"/>
      <c r="BO485" s="1222"/>
    </row>
    <row r="486">
      <c r="A486" s="1222"/>
      <c r="B486" s="1229"/>
      <c r="C486" s="1349"/>
      <c r="D486" s="1229"/>
      <c r="E486" s="1229"/>
      <c r="F486" s="1229"/>
      <c r="G486" s="1229"/>
      <c r="H486" s="1229"/>
      <c r="I486" s="1229"/>
      <c r="J486" s="1229"/>
      <c r="K486" s="1229"/>
      <c r="L486" s="1229"/>
      <c r="M486" s="1229"/>
      <c r="N486" s="1337"/>
      <c r="O486" s="1337"/>
      <c r="P486" s="1229"/>
      <c r="Q486" s="1229"/>
      <c r="R486" s="1229"/>
      <c r="S486" s="1229"/>
      <c r="T486" s="1337"/>
      <c r="U486" s="1337"/>
      <c r="V486" s="1229"/>
      <c r="W486" s="1229"/>
      <c r="X486" s="1229"/>
      <c r="Y486" s="1229"/>
      <c r="Z486" s="1337"/>
      <c r="AA486" s="1337"/>
      <c r="AB486" s="1229"/>
      <c r="AC486" s="1229"/>
      <c r="AD486" s="1229"/>
      <c r="AE486" s="1229"/>
      <c r="AF486" s="1337"/>
      <c r="AG486" s="1337"/>
      <c r="AH486" s="1229"/>
      <c r="AI486" s="1229"/>
      <c r="AJ486" s="1229"/>
      <c r="AK486" s="1229"/>
      <c r="AL486" s="1337"/>
      <c r="AM486" s="1337"/>
      <c r="AN486" s="1229"/>
      <c r="AO486" s="1229"/>
      <c r="AP486" s="1229"/>
      <c r="AQ486" s="1229"/>
      <c r="AR486" s="1337"/>
      <c r="AS486" s="1337"/>
      <c r="AT486" s="1229"/>
      <c r="AU486" s="1229"/>
      <c r="AV486" s="1229"/>
      <c r="AW486" s="1229"/>
      <c r="AX486" s="1337"/>
      <c r="AY486" s="1337"/>
      <c r="AZ486" s="1229"/>
      <c r="BA486" s="1229"/>
      <c r="BB486" s="1229"/>
      <c r="BC486" s="1229"/>
      <c r="BD486" s="1337"/>
      <c r="BE486" s="1337"/>
      <c r="BF486" s="1229"/>
      <c r="BG486" s="1229"/>
      <c r="BH486" s="1229"/>
      <c r="BI486" s="1222"/>
      <c r="BJ486" s="1338"/>
      <c r="BK486" s="1338"/>
      <c r="BL486" s="1222"/>
      <c r="BM486" s="1222"/>
      <c r="BN486" s="1222"/>
      <c r="BO486" s="1222"/>
    </row>
    <row r="487">
      <c r="A487" s="1222"/>
      <c r="B487" s="1229"/>
      <c r="C487" s="1349"/>
      <c r="D487" s="1229"/>
      <c r="E487" s="1229"/>
      <c r="F487" s="1229"/>
      <c r="G487" s="1229"/>
      <c r="H487" s="1229"/>
      <c r="I487" s="1229"/>
      <c r="J487" s="1229"/>
      <c r="K487" s="1229"/>
      <c r="L487" s="1229"/>
      <c r="M487" s="1229"/>
      <c r="N487" s="1337"/>
      <c r="O487" s="1337"/>
      <c r="P487" s="1229"/>
      <c r="Q487" s="1229"/>
      <c r="R487" s="1229"/>
      <c r="S487" s="1229"/>
      <c r="T487" s="1337"/>
      <c r="U487" s="1337"/>
      <c r="V487" s="1229"/>
      <c r="W487" s="1229"/>
      <c r="X487" s="1229"/>
      <c r="Y487" s="1229"/>
      <c r="Z487" s="1337"/>
      <c r="AA487" s="1337"/>
      <c r="AB487" s="1229"/>
      <c r="AC487" s="1229"/>
      <c r="AD487" s="1229"/>
      <c r="AE487" s="1229"/>
      <c r="AF487" s="1337"/>
      <c r="AG487" s="1337"/>
      <c r="AH487" s="1229"/>
      <c r="AI487" s="1229"/>
      <c r="AJ487" s="1229"/>
      <c r="AK487" s="1229"/>
      <c r="AL487" s="1337"/>
      <c r="AM487" s="1337"/>
      <c r="AN487" s="1229"/>
      <c r="AO487" s="1229"/>
      <c r="AP487" s="1229"/>
      <c r="AQ487" s="1229"/>
      <c r="AR487" s="1337"/>
      <c r="AS487" s="1337"/>
      <c r="AT487" s="1229"/>
      <c r="AU487" s="1229"/>
      <c r="AV487" s="1229"/>
      <c r="AW487" s="1229"/>
      <c r="AX487" s="1337"/>
      <c r="AY487" s="1337"/>
      <c r="AZ487" s="1229"/>
      <c r="BA487" s="1229"/>
      <c r="BB487" s="1229"/>
      <c r="BC487" s="1229"/>
      <c r="BD487" s="1337"/>
      <c r="BE487" s="1337"/>
      <c r="BF487" s="1229"/>
      <c r="BG487" s="1229"/>
      <c r="BH487" s="1229"/>
      <c r="BI487" s="1222"/>
      <c r="BJ487" s="1338"/>
      <c r="BK487" s="1338"/>
      <c r="BL487" s="1222"/>
      <c r="BM487" s="1222"/>
      <c r="BN487" s="1222"/>
      <c r="BO487" s="1222"/>
    </row>
    <row r="488">
      <c r="A488" s="1222"/>
      <c r="B488" s="1229"/>
      <c r="C488" s="1349"/>
      <c r="D488" s="1229"/>
      <c r="E488" s="1229"/>
      <c r="F488" s="1229"/>
      <c r="G488" s="1229"/>
      <c r="H488" s="1229"/>
      <c r="I488" s="1229"/>
      <c r="J488" s="1229"/>
      <c r="K488" s="1229"/>
      <c r="L488" s="1229"/>
      <c r="M488" s="1229"/>
      <c r="N488" s="1337"/>
      <c r="O488" s="1337"/>
      <c r="P488" s="1229"/>
      <c r="Q488" s="1229"/>
      <c r="R488" s="1229"/>
      <c r="S488" s="1229"/>
      <c r="T488" s="1337"/>
      <c r="U488" s="1337"/>
      <c r="V488" s="1229"/>
      <c r="W488" s="1229"/>
      <c r="X488" s="1229"/>
      <c r="Y488" s="1229"/>
      <c r="Z488" s="1337"/>
      <c r="AA488" s="1337"/>
      <c r="AB488" s="1229"/>
      <c r="AC488" s="1229"/>
      <c r="AD488" s="1229"/>
      <c r="AE488" s="1229"/>
      <c r="AF488" s="1337"/>
      <c r="AG488" s="1337"/>
      <c r="AH488" s="1229"/>
      <c r="AI488" s="1229"/>
      <c r="AJ488" s="1229"/>
      <c r="AK488" s="1229"/>
      <c r="AL488" s="1337"/>
      <c r="AM488" s="1337"/>
      <c r="AN488" s="1229"/>
      <c r="AO488" s="1229"/>
      <c r="AP488" s="1229"/>
      <c r="AQ488" s="1229"/>
      <c r="AR488" s="1337"/>
      <c r="AS488" s="1337"/>
      <c r="AT488" s="1229"/>
      <c r="AU488" s="1229"/>
      <c r="AV488" s="1229"/>
      <c r="AW488" s="1229"/>
      <c r="AX488" s="1337"/>
      <c r="AY488" s="1337"/>
      <c r="AZ488" s="1229"/>
      <c r="BA488" s="1229"/>
      <c r="BB488" s="1229"/>
      <c r="BC488" s="1229"/>
      <c r="BD488" s="1337"/>
      <c r="BE488" s="1337"/>
      <c r="BF488" s="1229"/>
      <c r="BG488" s="1229"/>
      <c r="BH488" s="1229"/>
      <c r="BI488" s="1222"/>
      <c r="BJ488" s="1338"/>
      <c r="BK488" s="1338"/>
      <c r="BL488" s="1222"/>
      <c r="BM488" s="1222"/>
      <c r="BN488" s="1222"/>
      <c r="BO488" s="1222"/>
    </row>
    <row r="489">
      <c r="A489" s="1222"/>
      <c r="B489" s="1229"/>
      <c r="C489" s="1349"/>
      <c r="D489" s="1229"/>
      <c r="E489" s="1229"/>
      <c r="F489" s="1229"/>
      <c r="G489" s="1229"/>
      <c r="H489" s="1229"/>
      <c r="I489" s="1229"/>
      <c r="J489" s="1229"/>
      <c r="K489" s="1229"/>
      <c r="L489" s="1229"/>
      <c r="M489" s="1229"/>
      <c r="N489" s="1337"/>
      <c r="O489" s="1337"/>
      <c r="P489" s="1229"/>
      <c r="Q489" s="1229"/>
      <c r="R489" s="1229"/>
      <c r="S489" s="1229"/>
      <c r="T489" s="1337"/>
      <c r="U489" s="1337"/>
      <c r="V489" s="1229"/>
      <c r="W489" s="1229"/>
      <c r="X489" s="1229"/>
      <c r="Y489" s="1229"/>
      <c r="Z489" s="1337"/>
      <c r="AA489" s="1337"/>
      <c r="AB489" s="1229"/>
      <c r="AC489" s="1229"/>
      <c r="AD489" s="1229"/>
      <c r="AE489" s="1229"/>
      <c r="AF489" s="1337"/>
      <c r="AG489" s="1337"/>
      <c r="AH489" s="1229"/>
      <c r="AI489" s="1229"/>
      <c r="AJ489" s="1229"/>
      <c r="AK489" s="1229"/>
      <c r="AL489" s="1337"/>
      <c r="AM489" s="1337"/>
      <c r="AN489" s="1229"/>
      <c r="AO489" s="1229"/>
      <c r="AP489" s="1229"/>
      <c r="AQ489" s="1229"/>
      <c r="AR489" s="1337"/>
      <c r="AS489" s="1337"/>
      <c r="AT489" s="1229"/>
      <c r="AU489" s="1229"/>
      <c r="AV489" s="1229"/>
      <c r="AW489" s="1229"/>
      <c r="AX489" s="1337"/>
      <c r="AY489" s="1337"/>
      <c r="AZ489" s="1229"/>
      <c r="BA489" s="1229"/>
      <c r="BB489" s="1229"/>
      <c r="BC489" s="1229"/>
      <c r="BD489" s="1337"/>
      <c r="BE489" s="1337"/>
      <c r="BF489" s="1229"/>
      <c r="BG489" s="1229"/>
      <c r="BH489" s="1229"/>
      <c r="BI489" s="1222"/>
      <c r="BJ489" s="1338"/>
      <c r="BK489" s="1338"/>
      <c r="BL489" s="1222"/>
      <c r="BM489" s="1222"/>
      <c r="BN489" s="1222"/>
      <c r="BO489" s="1222"/>
    </row>
    <row r="490">
      <c r="A490" s="1222"/>
      <c r="B490" s="1229"/>
      <c r="C490" s="1349"/>
      <c r="D490" s="1229"/>
      <c r="E490" s="1229"/>
      <c r="F490" s="1229"/>
      <c r="G490" s="1229"/>
      <c r="H490" s="1229"/>
      <c r="I490" s="1229"/>
      <c r="J490" s="1229"/>
      <c r="K490" s="1229"/>
      <c r="L490" s="1229"/>
      <c r="M490" s="1229"/>
      <c r="N490" s="1337"/>
      <c r="O490" s="1337"/>
      <c r="P490" s="1229"/>
      <c r="Q490" s="1229"/>
      <c r="R490" s="1229"/>
      <c r="S490" s="1229"/>
      <c r="T490" s="1337"/>
      <c r="U490" s="1337"/>
      <c r="V490" s="1229"/>
      <c r="W490" s="1229"/>
      <c r="X490" s="1229"/>
      <c r="Y490" s="1229"/>
      <c r="Z490" s="1337"/>
      <c r="AA490" s="1337"/>
      <c r="AB490" s="1229"/>
      <c r="AC490" s="1229"/>
      <c r="AD490" s="1229"/>
      <c r="AE490" s="1229"/>
      <c r="AF490" s="1337"/>
      <c r="AG490" s="1337"/>
      <c r="AH490" s="1229"/>
      <c r="AI490" s="1229"/>
      <c r="AJ490" s="1229"/>
      <c r="AK490" s="1229"/>
      <c r="AL490" s="1337"/>
      <c r="AM490" s="1337"/>
      <c r="AN490" s="1229"/>
      <c r="AO490" s="1229"/>
      <c r="AP490" s="1229"/>
      <c r="AQ490" s="1229"/>
      <c r="AR490" s="1337"/>
      <c r="AS490" s="1337"/>
      <c r="AT490" s="1229"/>
      <c r="AU490" s="1229"/>
      <c r="AV490" s="1229"/>
      <c r="AW490" s="1229"/>
      <c r="AX490" s="1337"/>
      <c r="AY490" s="1337"/>
      <c r="AZ490" s="1229"/>
      <c r="BA490" s="1229"/>
      <c r="BB490" s="1229"/>
      <c r="BC490" s="1229"/>
      <c r="BD490" s="1337"/>
      <c r="BE490" s="1337"/>
      <c r="BF490" s="1229"/>
      <c r="BG490" s="1229"/>
      <c r="BH490" s="1229"/>
      <c r="BI490" s="1222"/>
      <c r="BJ490" s="1338"/>
      <c r="BK490" s="1338"/>
      <c r="BL490" s="1222"/>
      <c r="BM490" s="1222"/>
      <c r="BN490" s="1222"/>
      <c r="BO490" s="1222"/>
    </row>
    <row r="491">
      <c r="A491" s="1222"/>
      <c r="B491" s="1229"/>
      <c r="C491" s="1349"/>
      <c r="D491" s="1229"/>
      <c r="E491" s="1229"/>
      <c r="F491" s="1229"/>
      <c r="G491" s="1229"/>
      <c r="H491" s="1229"/>
      <c r="I491" s="1229"/>
      <c r="J491" s="1229"/>
      <c r="K491" s="1229"/>
      <c r="L491" s="1229"/>
      <c r="M491" s="1229"/>
      <c r="N491" s="1337"/>
      <c r="O491" s="1337"/>
      <c r="P491" s="1229"/>
      <c r="Q491" s="1229"/>
      <c r="R491" s="1229"/>
      <c r="S491" s="1229"/>
      <c r="T491" s="1337"/>
      <c r="U491" s="1337"/>
      <c r="V491" s="1229"/>
      <c r="W491" s="1229"/>
      <c r="X491" s="1229"/>
      <c r="Y491" s="1229"/>
      <c r="Z491" s="1337"/>
      <c r="AA491" s="1337"/>
      <c r="AB491" s="1229"/>
      <c r="AC491" s="1229"/>
      <c r="AD491" s="1229"/>
      <c r="AE491" s="1229"/>
      <c r="AF491" s="1337"/>
      <c r="AG491" s="1337"/>
      <c r="AH491" s="1229"/>
      <c r="AI491" s="1229"/>
      <c r="AJ491" s="1229"/>
      <c r="AK491" s="1229"/>
      <c r="AL491" s="1337"/>
      <c r="AM491" s="1337"/>
      <c r="AN491" s="1229"/>
      <c r="AO491" s="1229"/>
      <c r="AP491" s="1229"/>
      <c r="AQ491" s="1229"/>
      <c r="AR491" s="1337"/>
      <c r="AS491" s="1337"/>
      <c r="AT491" s="1229"/>
      <c r="AU491" s="1229"/>
      <c r="AV491" s="1229"/>
      <c r="AW491" s="1229"/>
      <c r="AX491" s="1337"/>
      <c r="AY491" s="1337"/>
      <c r="AZ491" s="1229"/>
      <c r="BA491" s="1229"/>
      <c r="BB491" s="1229"/>
      <c r="BC491" s="1229"/>
      <c r="BD491" s="1337"/>
      <c r="BE491" s="1337"/>
      <c r="BF491" s="1229"/>
      <c r="BG491" s="1229"/>
      <c r="BH491" s="1229"/>
      <c r="BI491" s="1222"/>
      <c r="BJ491" s="1338"/>
      <c r="BK491" s="1338"/>
      <c r="BL491" s="1222"/>
      <c r="BM491" s="1222"/>
      <c r="BN491" s="1222"/>
      <c r="BO491" s="1222"/>
    </row>
    <row r="492">
      <c r="A492" s="1222"/>
      <c r="B492" s="1229"/>
      <c r="C492" s="1349"/>
      <c r="D492" s="1229"/>
      <c r="E492" s="1229"/>
      <c r="F492" s="1229"/>
      <c r="G492" s="1229"/>
      <c r="H492" s="1229"/>
      <c r="I492" s="1229"/>
      <c r="J492" s="1229"/>
      <c r="K492" s="1229"/>
      <c r="L492" s="1229"/>
      <c r="M492" s="1229"/>
      <c r="N492" s="1337"/>
      <c r="O492" s="1337"/>
      <c r="P492" s="1229"/>
      <c r="Q492" s="1229"/>
      <c r="R492" s="1229"/>
      <c r="S492" s="1229"/>
      <c r="T492" s="1337"/>
      <c r="U492" s="1337"/>
      <c r="V492" s="1229"/>
      <c r="W492" s="1229"/>
      <c r="X492" s="1229"/>
      <c r="Y492" s="1229"/>
      <c r="Z492" s="1337"/>
      <c r="AA492" s="1337"/>
      <c r="AB492" s="1229"/>
      <c r="AC492" s="1229"/>
      <c r="AD492" s="1229"/>
      <c r="AE492" s="1229"/>
      <c r="AF492" s="1337"/>
      <c r="AG492" s="1337"/>
      <c r="AH492" s="1229"/>
      <c r="AI492" s="1229"/>
      <c r="AJ492" s="1229"/>
      <c r="AK492" s="1229"/>
      <c r="AL492" s="1337"/>
      <c r="AM492" s="1337"/>
      <c r="AN492" s="1229"/>
      <c r="AO492" s="1229"/>
      <c r="AP492" s="1229"/>
      <c r="AQ492" s="1229"/>
      <c r="AR492" s="1337"/>
      <c r="AS492" s="1337"/>
      <c r="AT492" s="1229"/>
      <c r="AU492" s="1229"/>
      <c r="AV492" s="1229"/>
      <c r="AW492" s="1229"/>
      <c r="AX492" s="1337"/>
      <c r="AY492" s="1337"/>
      <c r="AZ492" s="1229"/>
      <c r="BA492" s="1229"/>
      <c r="BB492" s="1229"/>
      <c r="BC492" s="1229"/>
      <c r="BD492" s="1337"/>
      <c r="BE492" s="1337"/>
      <c r="BF492" s="1229"/>
      <c r="BG492" s="1229"/>
      <c r="BH492" s="1229"/>
      <c r="BI492" s="1222"/>
      <c r="BJ492" s="1338"/>
      <c r="BK492" s="1338"/>
      <c r="BL492" s="1222"/>
      <c r="BM492" s="1222"/>
      <c r="BN492" s="1222"/>
      <c r="BO492" s="1222"/>
    </row>
    <row r="493">
      <c r="A493" s="1222"/>
      <c r="B493" s="1229"/>
      <c r="C493" s="1349"/>
      <c r="D493" s="1229"/>
      <c r="E493" s="1229"/>
      <c r="F493" s="1229"/>
      <c r="G493" s="1229"/>
      <c r="H493" s="1229"/>
      <c r="I493" s="1229"/>
      <c r="J493" s="1229"/>
      <c r="K493" s="1229"/>
      <c r="L493" s="1229"/>
      <c r="M493" s="1229"/>
      <c r="N493" s="1337"/>
      <c r="O493" s="1337"/>
      <c r="P493" s="1229"/>
      <c r="Q493" s="1229"/>
      <c r="R493" s="1229"/>
      <c r="S493" s="1229"/>
      <c r="T493" s="1337"/>
      <c r="U493" s="1337"/>
      <c r="V493" s="1229"/>
      <c r="W493" s="1229"/>
      <c r="X493" s="1229"/>
      <c r="Y493" s="1229"/>
      <c r="Z493" s="1337"/>
      <c r="AA493" s="1337"/>
      <c r="AB493" s="1229"/>
      <c r="AC493" s="1229"/>
      <c r="AD493" s="1229"/>
      <c r="AE493" s="1229"/>
      <c r="AF493" s="1337"/>
      <c r="AG493" s="1337"/>
      <c r="AH493" s="1229"/>
      <c r="AI493" s="1229"/>
      <c r="AJ493" s="1229"/>
      <c r="AK493" s="1229"/>
      <c r="AL493" s="1337"/>
      <c r="AM493" s="1337"/>
      <c r="AN493" s="1229"/>
      <c r="AO493" s="1229"/>
      <c r="AP493" s="1229"/>
      <c r="AQ493" s="1229"/>
      <c r="AR493" s="1337"/>
      <c r="AS493" s="1337"/>
      <c r="AT493" s="1229"/>
      <c r="AU493" s="1229"/>
      <c r="AV493" s="1229"/>
      <c r="AW493" s="1229"/>
      <c r="AX493" s="1337"/>
      <c r="AY493" s="1337"/>
      <c r="AZ493" s="1229"/>
      <c r="BA493" s="1229"/>
      <c r="BB493" s="1229"/>
      <c r="BC493" s="1229"/>
      <c r="BD493" s="1337"/>
      <c r="BE493" s="1337"/>
      <c r="BF493" s="1229"/>
      <c r="BG493" s="1229"/>
      <c r="BH493" s="1229"/>
      <c r="BI493" s="1222"/>
      <c r="BJ493" s="1338"/>
      <c r="BK493" s="1338"/>
      <c r="BL493" s="1222"/>
      <c r="BM493" s="1222"/>
      <c r="BN493" s="1222"/>
      <c r="BO493" s="1222"/>
    </row>
    <row r="494">
      <c r="A494" s="1222"/>
      <c r="B494" s="1229"/>
      <c r="C494" s="1349"/>
      <c r="D494" s="1229"/>
      <c r="E494" s="1229"/>
      <c r="F494" s="1229"/>
      <c r="G494" s="1229"/>
      <c r="H494" s="1229"/>
      <c r="I494" s="1229"/>
      <c r="J494" s="1229"/>
      <c r="K494" s="1229"/>
      <c r="L494" s="1229"/>
      <c r="M494" s="1229"/>
      <c r="N494" s="1337"/>
      <c r="O494" s="1337"/>
      <c r="P494" s="1229"/>
      <c r="Q494" s="1229"/>
      <c r="R494" s="1229"/>
      <c r="S494" s="1229"/>
      <c r="T494" s="1337"/>
      <c r="U494" s="1337"/>
      <c r="V494" s="1229"/>
      <c r="W494" s="1229"/>
      <c r="X494" s="1229"/>
      <c r="Y494" s="1229"/>
      <c r="Z494" s="1337"/>
      <c r="AA494" s="1337"/>
      <c r="AB494" s="1229"/>
      <c r="AC494" s="1229"/>
      <c r="AD494" s="1229"/>
      <c r="AE494" s="1229"/>
      <c r="AF494" s="1337"/>
      <c r="AG494" s="1337"/>
      <c r="AH494" s="1229"/>
      <c r="AI494" s="1229"/>
      <c r="AJ494" s="1229"/>
      <c r="AK494" s="1229"/>
      <c r="AL494" s="1337"/>
      <c r="AM494" s="1337"/>
      <c r="AN494" s="1229"/>
      <c r="AO494" s="1229"/>
      <c r="AP494" s="1229"/>
      <c r="AQ494" s="1229"/>
      <c r="AR494" s="1337"/>
      <c r="AS494" s="1337"/>
      <c r="AT494" s="1229"/>
      <c r="AU494" s="1229"/>
      <c r="AV494" s="1229"/>
      <c r="AW494" s="1229"/>
      <c r="AX494" s="1337"/>
      <c r="AY494" s="1337"/>
      <c r="AZ494" s="1229"/>
      <c r="BA494" s="1229"/>
      <c r="BB494" s="1229"/>
      <c r="BC494" s="1229"/>
      <c r="BD494" s="1337"/>
      <c r="BE494" s="1337"/>
      <c r="BF494" s="1229"/>
      <c r="BG494" s="1229"/>
      <c r="BH494" s="1229"/>
      <c r="BI494" s="1222"/>
      <c r="BJ494" s="1338"/>
      <c r="BK494" s="1338"/>
      <c r="BL494" s="1222"/>
      <c r="BM494" s="1222"/>
      <c r="BN494" s="1222"/>
      <c r="BO494" s="1222"/>
    </row>
    <row r="495">
      <c r="A495" s="1222"/>
      <c r="B495" s="1229"/>
      <c r="C495" s="1349"/>
      <c r="D495" s="1229"/>
      <c r="E495" s="1229"/>
      <c r="F495" s="1229"/>
      <c r="G495" s="1229"/>
      <c r="H495" s="1229"/>
      <c r="I495" s="1229"/>
      <c r="J495" s="1229"/>
      <c r="K495" s="1229"/>
      <c r="L495" s="1229"/>
      <c r="M495" s="1229"/>
      <c r="N495" s="1337"/>
      <c r="O495" s="1337"/>
      <c r="P495" s="1229"/>
      <c r="Q495" s="1229"/>
      <c r="R495" s="1229"/>
      <c r="S495" s="1229"/>
      <c r="T495" s="1337"/>
      <c r="U495" s="1337"/>
      <c r="V495" s="1229"/>
      <c r="W495" s="1229"/>
      <c r="X495" s="1229"/>
      <c r="Y495" s="1229"/>
      <c r="Z495" s="1337"/>
      <c r="AA495" s="1337"/>
      <c r="AB495" s="1229"/>
      <c r="AC495" s="1229"/>
      <c r="AD495" s="1229"/>
      <c r="AE495" s="1229"/>
      <c r="AF495" s="1337"/>
      <c r="AG495" s="1337"/>
      <c r="AH495" s="1229"/>
      <c r="AI495" s="1229"/>
      <c r="AJ495" s="1229"/>
      <c r="AK495" s="1229"/>
      <c r="AL495" s="1337"/>
      <c r="AM495" s="1337"/>
      <c r="AN495" s="1229"/>
      <c r="AO495" s="1229"/>
      <c r="AP495" s="1229"/>
      <c r="AQ495" s="1229"/>
      <c r="AR495" s="1337"/>
      <c r="AS495" s="1337"/>
      <c r="AT495" s="1229"/>
      <c r="AU495" s="1229"/>
      <c r="AV495" s="1229"/>
      <c r="AW495" s="1229"/>
      <c r="AX495" s="1337"/>
      <c r="AY495" s="1337"/>
      <c r="AZ495" s="1229"/>
      <c r="BA495" s="1229"/>
      <c r="BB495" s="1229"/>
      <c r="BC495" s="1229"/>
      <c r="BD495" s="1337"/>
      <c r="BE495" s="1337"/>
      <c r="BF495" s="1229"/>
      <c r="BG495" s="1229"/>
      <c r="BH495" s="1229"/>
      <c r="BI495" s="1222"/>
      <c r="BJ495" s="1338"/>
      <c r="BK495" s="1338"/>
      <c r="BL495" s="1222"/>
      <c r="BM495" s="1222"/>
      <c r="BN495" s="1222"/>
      <c r="BO495" s="1222"/>
    </row>
    <row r="496">
      <c r="A496" s="1222"/>
      <c r="B496" s="1229"/>
      <c r="C496" s="1349"/>
      <c r="D496" s="1229"/>
      <c r="E496" s="1229"/>
      <c r="F496" s="1229"/>
      <c r="G496" s="1229"/>
      <c r="H496" s="1229"/>
      <c r="I496" s="1229"/>
      <c r="J496" s="1229"/>
      <c r="K496" s="1229"/>
      <c r="L496" s="1229"/>
      <c r="M496" s="1229"/>
      <c r="N496" s="1337"/>
      <c r="O496" s="1337"/>
      <c r="P496" s="1229"/>
      <c r="Q496" s="1229"/>
      <c r="R496" s="1229"/>
      <c r="S496" s="1229"/>
      <c r="T496" s="1337"/>
      <c r="U496" s="1337"/>
      <c r="V496" s="1229"/>
      <c r="W496" s="1229"/>
      <c r="X496" s="1229"/>
      <c r="Y496" s="1229"/>
      <c r="Z496" s="1337"/>
      <c r="AA496" s="1337"/>
      <c r="AB496" s="1229"/>
      <c r="AC496" s="1229"/>
      <c r="AD496" s="1229"/>
      <c r="AE496" s="1229"/>
      <c r="AF496" s="1337"/>
      <c r="AG496" s="1337"/>
      <c r="AH496" s="1229"/>
      <c r="AI496" s="1229"/>
      <c r="AJ496" s="1229"/>
      <c r="AK496" s="1229"/>
      <c r="AL496" s="1337"/>
      <c r="AM496" s="1337"/>
      <c r="AN496" s="1229"/>
      <c r="AO496" s="1229"/>
      <c r="AP496" s="1229"/>
      <c r="AQ496" s="1229"/>
      <c r="AR496" s="1337"/>
      <c r="AS496" s="1337"/>
      <c r="AT496" s="1229"/>
      <c r="AU496" s="1229"/>
      <c r="AV496" s="1229"/>
      <c r="AW496" s="1229"/>
      <c r="AX496" s="1337"/>
      <c r="AY496" s="1337"/>
      <c r="AZ496" s="1229"/>
      <c r="BA496" s="1229"/>
      <c r="BB496" s="1229"/>
      <c r="BC496" s="1229"/>
      <c r="BD496" s="1337"/>
      <c r="BE496" s="1337"/>
      <c r="BF496" s="1229"/>
      <c r="BG496" s="1229"/>
      <c r="BH496" s="1229"/>
      <c r="BI496" s="1222"/>
      <c r="BJ496" s="1338"/>
      <c r="BK496" s="1338"/>
      <c r="BL496" s="1222"/>
      <c r="BM496" s="1222"/>
      <c r="BN496" s="1222"/>
      <c r="BO496" s="1222"/>
    </row>
    <row r="497">
      <c r="A497" s="1222"/>
      <c r="B497" s="1229"/>
      <c r="C497" s="1349"/>
      <c r="D497" s="1229"/>
      <c r="E497" s="1229"/>
      <c r="F497" s="1229"/>
      <c r="G497" s="1229"/>
      <c r="H497" s="1229"/>
      <c r="I497" s="1229"/>
      <c r="J497" s="1229"/>
      <c r="K497" s="1229"/>
      <c r="L497" s="1229"/>
      <c r="M497" s="1229"/>
      <c r="N497" s="1337"/>
      <c r="O497" s="1337"/>
      <c r="P497" s="1229"/>
      <c r="Q497" s="1229"/>
      <c r="R497" s="1229"/>
      <c r="S497" s="1229"/>
      <c r="T497" s="1337"/>
      <c r="U497" s="1337"/>
      <c r="V497" s="1229"/>
      <c r="W497" s="1229"/>
      <c r="X497" s="1229"/>
      <c r="Y497" s="1229"/>
      <c r="Z497" s="1337"/>
      <c r="AA497" s="1337"/>
      <c r="AB497" s="1229"/>
      <c r="AC497" s="1229"/>
      <c r="AD497" s="1229"/>
      <c r="AE497" s="1229"/>
      <c r="AF497" s="1337"/>
      <c r="AG497" s="1337"/>
      <c r="AH497" s="1229"/>
      <c r="AI497" s="1229"/>
      <c r="AJ497" s="1229"/>
      <c r="AK497" s="1229"/>
      <c r="AL497" s="1337"/>
      <c r="AM497" s="1337"/>
      <c r="AN497" s="1229"/>
      <c r="AO497" s="1229"/>
      <c r="AP497" s="1229"/>
      <c r="AQ497" s="1229"/>
      <c r="AR497" s="1337"/>
      <c r="AS497" s="1337"/>
      <c r="AT497" s="1229"/>
      <c r="AU497" s="1229"/>
      <c r="AV497" s="1229"/>
      <c r="AW497" s="1229"/>
      <c r="AX497" s="1337"/>
      <c r="AY497" s="1337"/>
      <c r="AZ497" s="1229"/>
      <c r="BA497" s="1229"/>
      <c r="BB497" s="1229"/>
      <c r="BC497" s="1229"/>
      <c r="BD497" s="1337"/>
      <c r="BE497" s="1337"/>
      <c r="BF497" s="1229"/>
      <c r="BG497" s="1229"/>
      <c r="BH497" s="1229"/>
      <c r="BI497" s="1222"/>
      <c r="BJ497" s="1338"/>
      <c r="BK497" s="1338"/>
      <c r="BL497" s="1222"/>
      <c r="BM497" s="1222"/>
      <c r="BN497" s="1222"/>
      <c r="BO497" s="1222"/>
    </row>
    <row r="498">
      <c r="A498" s="1222"/>
      <c r="B498" s="1229"/>
      <c r="C498" s="1349"/>
      <c r="D498" s="1229"/>
      <c r="E498" s="1229"/>
      <c r="F498" s="1229"/>
      <c r="G498" s="1229"/>
      <c r="H498" s="1229"/>
      <c r="I498" s="1229"/>
      <c r="J498" s="1229"/>
      <c r="K498" s="1229"/>
      <c r="L498" s="1229"/>
      <c r="M498" s="1229"/>
      <c r="N498" s="1337"/>
      <c r="O498" s="1337"/>
      <c r="P498" s="1229"/>
      <c r="Q498" s="1229"/>
      <c r="R498" s="1229"/>
      <c r="S498" s="1229"/>
      <c r="T498" s="1337"/>
      <c r="U498" s="1337"/>
      <c r="V498" s="1229"/>
      <c r="W498" s="1229"/>
      <c r="X498" s="1229"/>
      <c r="Y498" s="1229"/>
      <c r="Z498" s="1337"/>
      <c r="AA498" s="1337"/>
      <c r="AB498" s="1229"/>
      <c r="AC498" s="1229"/>
      <c r="AD498" s="1229"/>
      <c r="AE498" s="1229"/>
      <c r="AF498" s="1337"/>
      <c r="AG498" s="1337"/>
      <c r="AH498" s="1229"/>
      <c r="AI498" s="1229"/>
      <c r="AJ498" s="1229"/>
      <c r="AK498" s="1229"/>
      <c r="AL498" s="1337"/>
      <c r="AM498" s="1337"/>
      <c r="AN498" s="1229"/>
      <c r="AO498" s="1229"/>
      <c r="AP498" s="1229"/>
      <c r="AQ498" s="1229"/>
      <c r="AR498" s="1337"/>
      <c r="AS498" s="1337"/>
      <c r="AT498" s="1229"/>
      <c r="AU498" s="1229"/>
      <c r="AV498" s="1229"/>
      <c r="AW498" s="1229"/>
      <c r="AX498" s="1337"/>
      <c r="AY498" s="1337"/>
      <c r="AZ498" s="1229"/>
      <c r="BA498" s="1229"/>
      <c r="BB498" s="1229"/>
      <c r="BC498" s="1229"/>
      <c r="BD498" s="1337"/>
      <c r="BE498" s="1337"/>
      <c r="BF498" s="1229"/>
      <c r="BG498" s="1229"/>
      <c r="BH498" s="1229"/>
      <c r="BI498" s="1222"/>
      <c r="BJ498" s="1338"/>
      <c r="BK498" s="1338"/>
      <c r="BL498" s="1222"/>
      <c r="BM498" s="1222"/>
      <c r="BN498" s="1222"/>
      <c r="BO498" s="1222"/>
    </row>
    <row r="499">
      <c r="A499" s="1222"/>
      <c r="B499" s="1229"/>
      <c r="C499" s="1349"/>
      <c r="D499" s="1229"/>
      <c r="E499" s="1229"/>
      <c r="F499" s="1229"/>
      <c r="G499" s="1229"/>
      <c r="H499" s="1229"/>
      <c r="I499" s="1229"/>
      <c r="J499" s="1229"/>
      <c r="K499" s="1229"/>
      <c r="L499" s="1229"/>
      <c r="M499" s="1229"/>
      <c r="N499" s="1337"/>
      <c r="O499" s="1337"/>
      <c r="P499" s="1229"/>
      <c r="Q499" s="1229"/>
      <c r="R499" s="1229"/>
      <c r="S499" s="1229"/>
      <c r="T499" s="1337"/>
      <c r="U499" s="1337"/>
      <c r="V499" s="1229"/>
      <c r="W499" s="1229"/>
      <c r="X499" s="1229"/>
      <c r="Y499" s="1229"/>
      <c r="Z499" s="1337"/>
      <c r="AA499" s="1337"/>
      <c r="AB499" s="1229"/>
      <c r="AC499" s="1229"/>
      <c r="AD499" s="1229"/>
      <c r="AE499" s="1229"/>
      <c r="AF499" s="1337"/>
      <c r="AG499" s="1337"/>
      <c r="AH499" s="1229"/>
      <c r="AI499" s="1229"/>
      <c r="AJ499" s="1229"/>
      <c r="AK499" s="1229"/>
      <c r="AL499" s="1337"/>
      <c r="AM499" s="1337"/>
      <c r="AN499" s="1229"/>
      <c r="AO499" s="1229"/>
      <c r="AP499" s="1229"/>
      <c r="AQ499" s="1229"/>
      <c r="AR499" s="1337"/>
      <c r="AS499" s="1337"/>
      <c r="AT499" s="1229"/>
      <c r="AU499" s="1229"/>
      <c r="AV499" s="1229"/>
      <c r="AW499" s="1229"/>
      <c r="AX499" s="1337"/>
      <c r="AY499" s="1337"/>
      <c r="AZ499" s="1229"/>
      <c r="BA499" s="1229"/>
      <c r="BB499" s="1229"/>
      <c r="BC499" s="1229"/>
      <c r="BD499" s="1337"/>
      <c r="BE499" s="1337"/>
      <c r="BF499" s="1229"/>
      <c r="BG499" s="1229"/>
      <c r="BH499" s="1229"/>
      <c r="BI499" s="1222"/>
      <c r="BJ499" s="1338"/>
      <c r="BK499" s="1338"/>
      <c r="BL499" s="1222"/>
      <c r="BM499" s="1222"/>
      <c r="BN499" s="1222"/>
      <c r="BO499" s="1222"/>
    </row>
    <row r="500">
      <c r="A500" s="1222"/>
      <c r="B500" s="1229"/>
      <c r="C500" s="1349"/>
      <c r="D500" s="1229"/>
      <c r="E500" s="1229"/>
      <c r="F500" s="1229"/>
      <c r="G500" s="1229"/>
      <c r="H500" s="1229"/>
      <c r="I500" s="1229"/>
      <c r="J500" s="1229"/>
      <c r="K500" s="1229"/>
      <c r="L500" s="1229"/>
      <c r="M500" s="1229"/>
      <c r="N500" s="1337"/>
      <c r="O500" s="1337"/>
      <c r="P500" s="1229"/>
      <c r="Q500" s="1229"/>
      <c r="R500" s="1229"/>
      <c r="S500" s="1229"/>
      <c r="T500" s="1337"/>
      <c r="U500" s="1337"/>
      <c r="V500" s="1229"/>
      <c r="W500" s="1229"/>
      <c r="X500" s="1229"/>
      <c r="Y500" s="1229"/>
      <c r="Z500" s="1337"/>
      <c r="AA500" s="1337"/>
      <c r="AB500" s="1229"/>
      <c r="AC500" s="1229"/>
      <c r="AD500" s="1229"/>
      <c r="AE500" s="1229"/>
      <c r="AF500" s="1337"/>
      <c r="AG500" s="1337"/>
      <c r="AH500" s="1229"/>
      <c r="AI500" s="1229"/>
      <c r="AJ500" s="1229"/>
      <c r="AK500" s="1229"/>
      <c r="AL500" s="1337"/>
      <c r="AM500" s="1337"/>
      <c r="AN500" s="1229"/>
      <c r="AO500" s="1229"/>
      <c r="AP500" s="1229"/>
      <c r="AQ500" s="1229"/>
      <c r="AR500" s="1337"/>
      <c r="AS500" s="1337"/>
      <c r="AT500" s="1229"/>
      <c r="AU500" s="1229"/>
      <c r="AV500" s="1229"/>
      <c r="AW500" s="1229"/>
      <c r="AX500" s="1337"/>
      <c r="AY500" s="1337"/>
      <c r="AZ500" s="1229"/>
      <c r="BA500" s="1229"/>
      <c r="BB500" s="1229"/>
      <c r="BC500" s="1229"/>
      <c r="BD500" s="1337"/>
      <c r="BE500" s="1337"/>
      <c r="BF500" s="1229"/>
      <c r="BG500" s="1229"/>
      <c r="BH500" s="1229"/>
      <c r="BI500" s="1222"/>
      <c r="BJ500" s="1338"/>
      <c r="BK500" s="1338"/>
      <c r="BL500" s="1222"/>
      <c r="BM500" s="1222"/>
      <c r="BN500" s="1222"/>
      <c r="BO500" s="1222"/>
    </row>
    <row r="501">
      <c r="A501" s="1222"/>
      <c r="B501" s="1229"/>
      <c r="C501" s="1349"/>
      <c r="D501" s="1229"/>
      <c r="E501" s="1229"/>
      <c r="F501" s="1229"/>
      <c r="G501" s="1229"/>
      <c r="H501" s="1229"/>
      <c r="I501" s="1229"/>
      <c r="J501" s="1229"/>
      <c r="K501" s="1229"/>
      <c r="L501" s="1229"/>
      <c r="M501" s="1229"/>
      <c r="N501" s="1337"/>
      <c r="O501" s="1337"/>
      <c r="P501" s="1229"/>
      <c r="Q501" s="1229"/>
      <c r="R501" s="1229"/>
      <c r="S501" s="1229"/>
      <c r="T501" s="1337"/>
      <c r="U501" s="1337"/>
      <c r="V501" s="1229"/>
      <c r="W501" s="1229"/>
      <c r="X501" s="1229"/>
      <c r="Y501" s="1229"/>
      <c r="Z501" s="1337"/>
      <c r="AA501" s="1337"/>
      <c r="AB501" s="1229"/>
      <c r="AC501" s="1229"/>
      <c r="AD501" s="1229"/>
      <c r="AE501" s="1229"/>
      <c r="AF501" s="1337"/>
      <c r="AG501" s="1337"/>
      <c r="AH501" s="1229"/>
      <c r="AI501" s="1229"/>
      <c r="AJ501" s="1229"/>
      <c r="AK501" s="1229"/>
      <c r="AL501" s="1337"/>
      <c r="AM501" s="1337"/>
      <c r="AN501" s="1229"/>
      <c r="AO501" s="1229"/>
      <c r="AP501" s="1229"/>
      <c r="AQ501" s="1229"/>
      <c r="AR501" s="1337"/>
      <c r="AS501" s="1337"/>
      <c r="AT501" s="1229"/>
      <c r="AU501" s="1229"/>
      <c r="AV501" s="1229"/>
      <c r="AW501" s="1229"/>
      <c r="AX501" s="1337"/>
      <c r="AY501" s="1337"/>
      <c r="AZ501" s="1229"/>
      <c r="BA501" s="1229"/>
      <c r="BB501" s="1229"/>
      <c r="BC501" s="1229"/>
      <c r="BD501" s="1337"/>
      <c r="BE501" s="1337"/>
      <c r="BF501" s="1229"/>
      <c r="BG501" s="1229"/>
      <c r="BH501" s="1229"/>
      <c r="BI501" s="1222"/>
      <c r="BJ501" s="1338"/>
      <c r="BK501" s="1338"/>
      <c r="BL501" s="1222"/>
      <c r="BM501" s="1222"/>
      <c r="BN501" s="1222"/>
      <c r="BO501" s="1222"/>
    </row>
    <row r="502">
      <c r="A502" s="1222"/>
      <c r="B502" s="1229"/>
      <c r="C502" s="1349"/>
      <c r="D502" s="1229"/>
      <c r="E502" s="1229"/>
      <c r="F502" s="1229"/>
      <c r="G502" s="1229"/>
      <c r="H502" s="1229"/>
      <c r="I502" s="1229"/>
      <c r="J502" s="1229"/>
      <c r="K502" s="1229"/>
      <c r="L502" s="1229"/>
      <c r="M502" s="1229"/>
      <c r="N502" s="1337"/>
      <c r="O502" s="1337"/>
      <c r="P502" s="1229"/>
      <c r="Q502" s="1229"/>
      <c r="R502" s="1229"/>
      <c r="S502" s="1229"/>
      <c r="T502" s="1337"/>
      <c r="U502" s="1337"/>
      <c r="V502" s="1229"/>
      <c r="W502" s="1229"/>
      <c r="X502" s="1229"/>
      <c r="Y502" s="1229"/>
      <c r="Z502" s="1337"/>
      <c r="AA502" s="1337"/>
      <c r="AB502" s="1229"/>
      <c r="AC502" s="1229"/>
      <c r="AD502" s="1229"/>
      <c r="AE502" s="1229"/>
      <c r="AF502" s="1337"/>
      <c r="AG502" s="1337"/>
      <c r="AH502" s="1229"/>
      <c r="AI502" s="1229"/>
      <c r="AJ502" s="1229"/>
      <c r="AK502" s="1229"/>
      <c r="AL502" s="1337"/>
      <c r="AM502" s="1337"/>
      <c r="AN502" s="1229"/>
      <c r="AO502" s="1229"/>
      <c r="AP502" s="1229"/>
      <c r="AQ502" s="1229"/>
      <c r="AR502" s="1337"/>
      <c r="AS502" s="1337"/>
      <c r="AT502" s="1229"/>
      <c r="AU502" s="1229"/>
      <c r="AV502" s="1229"/>
      <c r="AW502" s="1229"/>
      <c r="AX502" s="1337"/>
      <c r="AY502" s="1337"/>
      <c r="AZ502" s="1229"/>
      <c r="BA502" s="1229"/>
      <c r="BB502" s="1229"/>
      <c r="BC502" s="1229"/>
      <c r="BD502" s="1337"/>
      <c r="BE502" s="1337"/>
      <c r="BF502" s="1229"/>
      <c r="BG502" s="1229"/>
      <c r="BH502" s="1229"/>
      <c r="BI502" s="1222"/>
      <c r="BJ502" s="1338"/>
      <c r="BK502" s="1338"/>
      <c r="BL502" s="1222"/>
      <c r="BM502" s="1222"/>
      <c r="BN502" s="1222"/>
      <c r="BO502" s="1222"/>
    </row>
    <row r="503">
      <c r="A503" s="1222"/>
      <c r="B503" s="1229"/>
      <c r="C503" s="1349"/>
      <c r="D503" s="1229"/>
      <c r="E503" s="1229"/>
      <c r="F503" s="1229"/>
      <c r="G503" s="1229"/>
      <c r="H503" s="1229"/>
      <c r="I503" s="1229"/>
      <c r="J503" s="1229"/>
      <c r="K503" s="1229"/>
      <c r="L503" s="1229"/>
      <c r="M503" s="1229"/>
      <c r="N503" s="1337"/>
      <c r="O503" s="1337"/>
      <c r="P503" s="1229"/>
      <c r="Q503" s="1229"/>
      <c r="R503" s="1229"/>
      <c r="S503" s="1229"/>
      <c r="T503" s="1337"/>
      <c r="U503" s="1337"/>
      <c r="V503" s="1229"/>
      <c r="W503" s="1229"/>
      <c r="X503" s="1229"/>
      <c r="Y503" s="1229"/>
      <c r="Z503" s="1337"/>
      <c r="AA503" s="1337"/>
      <c r="AB503" s="1229"/>
      <c r="AC503" s="1229"/>
      <c r="AD503" s="1229"/>
      <c r="AE503" s="1229"/>
      <c r="AF503" s="1337"/>
      <c r="AG503" s="1337"/>
      <c r="AH503" s="1229"/>
      <c r="AI503" s="1229"/>
      <c r="AJ503" s="1229"/>
      <c r="AK503" s="1229"/>
      <c r="AL503" s="1337"/>
      <c r="AM503" s="1337"/>
      <c r="AN503" s="1229"/>
      <c r="AO503" s="1229"/>
      <c r="AP503" s="1229"/>
      <c r="AQ503" s="1229"/>
      <c r="AR503" s="1337"/>
      <c r="AS503" s="1337"/>
      <c r="AT503" s="1229"/>
      <c r="AU503" s="1229"/>
      <c r="AV503" s="1229"/>
      <c r="AW503" s="1229"/>
      <c r="AX503" s="1337"/>
      <c r="AY503" s="1337"/>
      <c r="AZ503" s="1229"/>
      <c r="BA503" s="1229"/>
      <c r="BB503" s="1229"/>
      <c r="BC503" s="1229"/>
      <c r="BD503" s="1337"/>
      <c r="BE503" s="1337"/>
      <c r="BF503" s="1229"/>
      <c r="BG503" s="1229"/>
      <c r="BH503" s="1229"/>
      <c r="BI503" s="1222"/>
      <c r="BJ503" s="1338"/>
      <c r="BK503" s="1338"/>
      <c r="BL503" s="1222"/>
      <c r="BM503" s="1222"/>
      <c r="BN503" s="1222"/>
      <c r="BO503" s="1222"/>
    </row>
    <row r="504">
      <c r="A504" s="1222"/>
      <c r="B504" s="1229"/>
      <c r="C504" s="1349"/>
      <c r="D504" s="1229"/>
      <c r="E504" s="1229"/>
      <c r="F504" s="1229"/>
      <c r="G504" s="1229"/>
      <c r="H504" s="1229"/>
      <c r="I504" s="1229"/>
      <c r="J504" s="1229"/>
      <c r="K504" s="1229"/>
      <c r="L504" s="1229"/>
      <c r="M504" s="1229"/>
      <c r="N504" s="1337"/>
      <c r="O504" s="1337"/>
      <c r="P504" s="1229"/>
      <c r="Q504" s="1229"/>
      <c r="R504" s="1229"/>
      <c r="S504" s="1229"/>
      <c r="T504" s="1337"/>
      <c r="U504" s="1337"/>
      <c r="V504" s="1229"/>
      <c r="W504" s="1229"/>
      <c r="X504" s="1229"/>
      <c r="Y504" s="1229"/>
      <c r="Z504" s="1337"/>
      <c r="AA504" s="1337"/>
      <c r="AB504" s="1229"/>
      <c r="AC504" s="1229"/>
      <c r="AD504" s="1229"/>
      <c r="AE504" s="1229"/>
      <c r="AF504" s="1337"/>
      <c r="AG504" s="1337"/>
      <c r="AH504" s="1229"/>
      <c r="AI504" s="1229"/>
      <c r="AJ504" s="1229"/>
      <c r="AK504" s="1229"/>
      <c r="AL504" s="1337"/>
      <c r="AM504" s="1337"/>
      <c r="AN504" s="1229"/>
      <c r="AO504" s="1229"/>
      <c r="AP504" s="1229"/>
      <c r="AQ504" s="1229"/>
      <c r="AR504" s="1337"/>
      <c r="AS504" s="1337"/>
      <c r="AT504" s="1229"/>
      <c r="AU504" s="1229"/>
      <c r="AV504" s="1229"/>
      <c r="AW504" s="1229"/>
      <c r="AX504" s="1337"/>
      <c r="AY504" s="1337"/>
      <c r="AZ504" s="1229"/>
      <c r="BA504" s="1229"/>
      <c r="BB504" s="1229"/>
      <c r="BC504" s="1229"/>
      <c r="BD504" s="1337"/>
      <c r="BE504" s="1337"/>
      <c r="BF504" s="1229"/>
      <c r="BG504" s="1229"/>
      <c r="BH504" s="1229"/>
      <c r="BI504" s="1222"/>
      <c r="BJ504" s="1338"/>
      <c r="BK504" s="1338"/>
      <c r="BL504" s="1222"/>
      <c r="BM504" s="1222"/>
      <c r="BN504" s="1222"/>
      <c r="BO504" s="1222"/>
    </row>
    <row r="505">
      <c r="A505" s="1222"/>
      <c r="B505" s="1229"/>
      <c r="C505" s="1349"/>
      <c r="D505" s="1229"/>
      <c r="E505" s="1229"/>
      <c r="F505" s="1229"/>
      <c r="G505" s="1229"/>
      <c r="H505" s="1229"/>
      <c r="I505" s="1229"/>
      <c r="J505" s="1229"/>
      <c r="K505" s="1229"/>
      <c r="L505" s="1229"/>
      <c r="M505" s="1229"/>
      <c r="N505" s="1337"/>
      <c r="O505" s="1337"/>
      <c r="P505" s="1229"/>
      <c r="Q505" s="1229"/>
      <c r="R505" s="1229"/>
      <c r="S505" s="1229"/>
      <c r="T505" s="1337"/>
      <c r="U505" s="1337"/>
      <c r="V505" s="1229"/>
      <c r="W505" s="1229"/>
      <c r="X505" s="1229"/>
      <c r="Y505" s="1229"/>
      <c r="Z505" s="1337"/>
      <c r="AA505" s="1337"/>
      <c r="AB505" s="1229"/>
      <c r="AC505" s="1229"/>
      <c r="AD505" s="1229"/>
      <c r="AE505" s="1229"/>
      <c r="AF505" s="1337"/>
      <c r="AG505" s="1337"/>
      <c r="AH505" s="1229"/>
      <c r="AI505" s="1229"/>
      <c r="AJ505" s="1229"/>
      <c r="AK505" s="1229"/>
      <c r="AL505" s="1337"/>
      <c r="AM505" s="1337"/>
      <c r="AN505" s="1229"/>
      <c r="AO505" s="1229"/>
      <c r="AP505" s="1229"/>
      <c r="AQ505" s="1229"/>
      <c r="AR505" s="1337"/>
      <c r="AS505" s="1337"/>
      <c r="AT505" s="1229"/>
      <c r="AU505" s="1229"/>
      <c r="AV505" s="1229"/>
      <c r="AW505" s="1229"/>
      <c r="AX505" s="1337"/>
      <c r="AY505" s="1337"/>
      <c r="AZ505" s="1229"/>
      <c r="BA505" s="1229"/>
      <c r="BB505" s="1229"/>
      <c r="BC505" s="1229"/>
      <c r="BD505" s="1337"/>
      <c r="BE505" s="1337"/>
      <c r="BF505" s="1229"/>
      <c r="BG505" s="1229"/>
      <c r="BH505" s="1229"/>
      <c r="BI505" s="1222"/>
      <c r="BJ505" s="1338"/>
      <c r="BK505" s="1338"/>
      <c r="BL505" s="1222"/>
      <c r="BM505" s="1222"/>
      <c r="BN505" s="1222"/>
      <c r="BO505" s="1222"/>
    </row>
    <row r="506">
      <c r="A506" s="1222"/>
      <c r="B506" s="1229"/>
      <c r="C506" s="1349"/>
      <c r="D506" s="1229"/>
      <c r="E506" s="1229"/>
      <c r="F506" s="1229"/>
      <c r="G506" s="1229"/>
      <c r="H506" s="1229"/>
      <c r="I506" s="1229"/>
      <c r="J506" s="1229"/>
      <c r="K506" s="1229"/>
      <c r="L506" s="1229"/>
      <c r="M506" s="1229"/>
      <c r="N506" s="1337"/>
      <c r="O506" s="1337"/>
      <c r="P506" s="1229"/>
      <c r="Q506" s="1229"/>
      <c r="R506" s="1229"/>
      <c r="S506" s="1229"/>
      <c r="T506" s="1337"/>
      <c r="U506" s="1337"/>
      <c r="V506" s="1229"/>
      <c r="W506" s="1229"/>
      <c r="X506" s="1229"/>
      <c r="Y506" s="1229"/>
      <c r="Z506" s="1337"/>
      <c r="AA506" s="1337"/>
      <c r="AB506" s="1229"/>
      <c r="AC506" s="1229"/>
      <c r="AD506" s="1229"/>
      <c r="AE506" s="1229"/>
      <c r="AF506" s="1337"/>
      <c r="AG506" s="1337"/>
      <c r="AH506" s="1229"/>
      <c r="AI506" s="1229"/>
      <c r="AJ506" s="1229"/>
      <c r="AK506" s="1229"/>
      <c r="AL506" s="1337"/>
      <c r="AM506" s="1337"/>
      <c r="AN506" s="1229"/>
      <c r="AO506" s="1229"/>
      <c r="AP506" s="1229"/>
      <c r="AQ506" s="1229"/>
      <c r="AR506" s="1337"/>
      <c r="AS506" s="1337"/>
      <c r="AT506" s="1229"/>
      <c r="AU506" s="1229"/>
      <c r="AV506" s="1229"/>
      <c r="AW506" s="1229"/>
      <c r="AX506" s="1337"/>
      <c r="AY506" s="1337"/>
      <c r="AZ506" s="1229"/>
      <c r="BA506" s="1229"/>
      <c r="BB506" s="1229"/>
      <c r="BC506" s="1229"/>
      <c r="BD506" s="1337"/>
      <c r="BE506" s="1337"/>
      <c r="BF506" s="1229"/>
      <c r="BG506" s="1229"/>
      <c r="BH506" s="1229"/>
      <c r="BI506" s="1222"/>
      <c r="BJ506" s="1338"/>
      <c r="BK506" s="1338"/>
      <c r="BL506" s="1222"/>
      <c r="BM506" s="1222"/>
      <c r="BN506" s="1222"/>
      <c r="BO506" s="1222"/>
    </row>
    <row r="507">
      <c r="A507" s="1222"/>
      <c r="B507" s="1229"/>
      <c r="C507" s="1349"/>
      <c r="D507" s="1229"/>
      <c r="E507" s="1229"/>
      <c r="F507" s="1229"/>
      <c r="G507" s="1229"/>
      <c r="H507" s="1229"/>
      <c r="I507" s="1229"/>
      <c r="J507" s="1229"/>
      <c r="K507" s="1229"/>
      <c r="L507" s="1229"/>
      <c r="M507" s="1229"/>
      <c r="N507" s="1337"/>
      <c r="O507" s="1337"/>
      <c r="P507" s="1229"/>
      <c r="Q507" s="1229"/>
      <c r="R507" s="1229"/>
      <c r="S507" s="1229"/>
      <c r="T507" s="1337"/>
      <c r="U507" s="1337"/>
      <c r="V507" s="1229"/>
      <c r="W507" s="1229"/>
      <c r="X507" s="1229"/>
      <c r="Y507" s="1229"/>
      <c r="Z507" s="1337"/>
      <c r="AA507" s="1337"/>
      <c r="AB507" s="1229"/>
      <c r="AC507" s="1229"/>
      <c r="AD507" s="1229"/>
      <c r="AE507" s="1229"/>
      <c r="AF507" s="1337"/>
      <c r="AG507" s="1337"/>
      <c r="AH507" s="1229"/>
      <c r="AI507" s="1229"/>
      <c r="AJ507" s="1229"/>
      <c r="AK507" s="1229"/>
      <c r="AL507" s="1337"/>
      <c r="AM507" s="1337"/>
      <c r="AN507" s="1229"/>
      <c r="AO507" s="1229"/>
      <c r="AP507" s="1229"/>
      <c r="AQ507" s="1229"/>
      <c r="AR507" s="1337"/>
      <c r="AS507" s="1337"/>
      <c r="AT507" s="1229"/>
      <c r="AU507" s="1229"/>
      <c r="AV507" s="1229"/>
      <c r="AW507" s="1229"/>
      <c r="AX507" s="1337"/>
      <c r="AY507" s="1337"/>
      <c r="AZ507" s="1229"/>
      <c r="BA507" s="1229"/>
      <c r="BB507" s="1229"/>
      <c r="BC507" s="1229"/>
      <c r="BD507" s="1337"/>
      <c r="BE507" s="1337"/>
      <c r="BF507" s="1229"/>
      <c r="BG507" s="1229"/>
      <c r="BH507" s="1229"/>
      <c r="BI507" s="1222"/>
      <c r="BJ507" s="1338"/>
      <c r="BK507" s="1338"/>
      <c r="BL507" s="1222"/>
      <c r="BM507" s="1222"/>
      <c r="BN507" s="1222"/>
      <c r="BO507" s="1222"/>
    </row>
    <row r="508">
      <c r="A508" s="1222"/>
      <c r="B508" s="1229"/>
      <c r="C508" s="1349"/>
      <c r="D508" s="1229"/>
      <c r="E508" s="1229"/>
      <c r="F508" s="1229"/>
      <c r="G508" s="1229"/>
      <c r="H508" s="1229"/>
      <c r="I508" s="1229"/>
      <c r="J508" s="1229"/>
      <c r="K508" s="1229"/>
      <c r="L508" s="1229"/>
      <c r="M508" s="1229"/>
      <c r="N508" s="1337"/>
      <c r="O508" s="1337"/>
      <c r="P508" s="1229"/>
      <c r="Q508" s="1229"/>
      <c r="R508" s="1229"/>
      <c r="S508" s="1229"/>
      <c r="T508" s="1337"/>
      <c r="U508" s="1337"/>
      <c r="V508" s="1229"/>
      <c r="W508" s="1229"/>
      <c r="X508" s="1229"/>
      <c r="Y508" s="1229"/>
      <c r="Z508" s="1337"/>
      <c r="AA508" s="1337"/>
      <c r="AB508" s="1229"/>
      <c r="AC508" s="1229"/>
      <c r="AD508" s="1229"/>
      <c r="AE508" s="1229"/>
      <c r="AF508" s="1337"/>
      <c r="AG508" s="1337"/>
      <c r="AH508" s="1229"/>
      <c r="AI508" s="1229"/>
      <c r="AJ508" s="1229"/>
      <c r="AK508" s="1229"/>
      <c r="AL508" s="1337"/>
      <c r="AM508" s="1337"/>
      <c r="AN508" s="1229"/>
      <c r="AO508" s="1229"/>
      <c r="AP508" s="1229"/>
      <c r="AQ508" s="1229"/>
      <c r="AR508" s="1337"/>
      <c r="AS508" s="1337"/>
      <c r="AT508" s="1229"/>
      <c r="AU508" s="1229"/>
      <c r="AV508" s="1229"/>
      <c r="AW508" s="1229"/>
      <c r="AX508" s="1337"/>
      <c r="AY508" s="1337"/>
      <c r="AZ508" s="1229"/>
      <c r="BA508" s="1229"/>
      <c r="BB508" s="1229"/>
      <c r="BC508" s="1229"/>
      <c r="BD508" s="1337"/>
      <c r="BE508" s="1337"/>
      <c r="BF508" s="1229"/>
      <c r="BG508" s="1229"/>
      <c r="BH508" s="1229"/>
      <c r="BI508" s="1222"/>
      <c r="BJ508" s="1338"/>
      <c r="BK508" s="1338"/>
      <c r="BL508" s="1222"/>
      <c r="BM508" s="1222"/>
      <c r="BN508" s="1222"/>
      <c r="BO508" s="1222"/>
    </row>
    <row r="509">
      <c r="A509" s="1222"/>
      <c r="B509" s="1229"/>
      <c r="C509" s="1349"/>
      <c r="D509" s="1229"/>
      <c r="E509" s="1229"/>
      <c r="F509" s="1229"/>
      <c r="G509" s="1229"/>
      <c r="H509" s="1229"/>
      <c r="I509" s="1229"/>
      <c r="J509" s="1229"/>
      <c r="K509" s="1229"/>
      <c r="L509" s="1229"/>
      <c r="M509" s="1229"/>
      <c r="N509" s="1337"/>
      <c r="O509" s="1337"/>
      <c r="P509" s="1229"/>
      <c r="Q509" s="1229"/>
      <c r="R509" s="1229"/>
      <c r="S509" s="1229"/>
      <c r="T509" s="1337"/>
      <c r="U509" s="1337"/>
      <c r="V509" s="1229"/>
      <c r="W509" s="1229"/>
      <c r="X509" s="1229"/>
      <c r="Y509" s="1229"/>
      <c r="Z509" s="1337"/>
      <c r="AA509" s="1337"/>
      <c r="AB509" s="1229"/>
      <c r="AC509" s="1229"/>
      <c r="AD509" s="1229"/>
      <c r="AE509" s="1229"/>
      <c r="AF509" s="1337"/>
      <c r="AG509" s="1337"/>
      <c r="AH509" s="1229"/>
      <c r="AI509" s="1229"/>
      <c r="AJ509" s="1229"/>
      <c r="AK509" s="1229"/>
      <c r="AL509" s="1337"/>
      <c r="AM509" s="1337"/>
      <c r="AN509" s="1229"/>
      <c r="AO509" s="1229"/>
      <c r="AP509" s="1229"/>
      <c r="AQ509" s="1229"/>
      <c r="AR509" s="1337"/>
      <c r="AS509" s="1337"/>
      <c r="AT509" s="1229"/>
      <c r="AU509" s="1229"/>
      <c r="AV509" s="1229"/>
      <c r="AW509" s="1229"/>
      <c r="AX509" s="1337"/>
      <c r="AY509" s="1337"/>
      <c r="AZ509" s="1229"/>
      <c r="BA509" s="1229"/>
      <c r="BB509" s="1229"/>
      <c r="BC509" s="1229"/>
      <c r="BD509" s="1337"/>
      <c r="BE509" s="1337"/>
      <c r="BF509" s="1229"/>
      <c r="BG509" s="1229"/>
      <c r="BH509" s="1229"/>
      <c r="BI509" s="1222"/>
      <c r="BJ509" s="1338"/>
      <c r="BK509" s="1338"/>
      <c r="BL509" s="1222"/>
      <c r="BM509" s="1222"/>
      <c r="BN509" s="1222"/>
      <c r="BO509" s="1222"/>
    </row>
    <row r="510">
      <c r="A510" s="1222"/>
      <c r="B510" s="1229"/>
      <c r="C510" s="1349"/>
      <c r="D510" s="1229"/>
      <c r="E510" s="1229"/>
      <c r="F510" s="1229"/>
      <c r="G510" s="1229"/>
      <c r="H510" s="1229"/>
      <c r="I510" s="1229"/>
      <c r="J510" s="1229"/>
      <c r="K510" s="1229"/>
      <c r="L510" s="1229"/>
      <c r="M510" s="1229"/>
      <c r="N510" s="1337"/>
      <c r="O510" s="1337"/>
      <c r="P510" s="1229"/>
      <c r="Q510" s="1229"/>
      <c r="R510" s="1229"/>
      <c r="S510" s="1229"/>
      <c r="T510" s="1337"/>
      <c r="U510" s="1337"/>
      <c r="V510" s="1229"/>
      <c r="W510" s="1229"/>
      <c r="X510" s="1229"/>
      <c r="Y510" s="1229"/>
      <c r="Z510" s="1337"/>
      <c r="AA510" s="1337"/>
      <c r="AB510" s="1229"/>
      <c r="AC510" s="1229"/>
      <c r="AD510" s="1229"/>
      <c r="AE510" s="1229"/>
      <c r="AF510" s="1337"/>
      <c r="AG510" s="1337"/>
      <c r="AH510" s="1229"/>
      <c r="AI510" s="1229"/>
      <c r="AJ510" s="1229"/>
      <c r="AK510" s="1229"/>
      <c r="AL510" s="1337"/>
      <c r="AM510" s="1337"/>
      <c r="AN510" s="1229"/>
      <c r="AO510" s="1229"/>
      <c r="AP510" s="1229"/>
      <c r="AQ510" s="1229"/>
      <c r="AR510" s="1337"/>
      <c r="AS510" s="1337"/>
      <c r="AT510" s="1229"/>
      <c r="AU510" s="1229"/>
      <c r="AV510" s="1229"/>
      <c r="AW510" s="1229"/>
      <c r="AX510" s="1337"/>
      <c r="AY510" s="1337"/>
      <c r="AZ510" s="1229"/>
      <c r="BA510" s="1229"/>
      <c r="BB510" s="1229"/>
      <c r="BC510" s="1229"/>
      <c r="BD510" s="1337"/>
      <c r="BE510" s="1337"/>
      <c r="BF510" s="1229"/>
      <c r="BG510" s="1229"/>
      <c r="BH510" s="1229"/>
      <c r="BI510" s="1222"/>
      <c r="BJ510" s="1338"/>
      <c r="BK510" s="1338"/>
      <c r="BL510" s="1222"/>
      <c r="BM510" s="1222"/>
      <c r="BN510" s="1222"/>
      <c r="BO510" s="1222"/>
    </row>
    <row r="511">
      <c r="A511" s="1222"/>
      <c r="B511" s="1229"/>
      <c r="C511" s="1349"/>
      <c r="D511" s="1229"/>
      <c r="E511" s="1229"/>
      <c r="F511" s="1229"/>
      <c r="G511" s="1229"/>
      <c r="H511" s="1229"/>
      <c r="I511" s="1229"/>
      <c r="J511" s="1229"/>
      <c r="K511" s="1229"/>
      <c r="L511" s="1229"/>
      <c r="M511" s="1229"/>
      <c r="N511" s="1337"/>
      <c r="O511" s="1337"/>
      <c r="P511" s="1229"/>
      <c r="Q511" s="1229"/>
      <c r="R511" s="1229"/>
      <c r="S511" s="1229"/>
      <c r="T511" s="1337"/>
      <c r="U511" s="1337"/>
      <c r="V511" s="1229"/>
      <c r="W511" s="1229"/>
      <c r="X511" s="1229"/>
      <c r="Y511" s="1229"/>
      <c r="Z511" s="1337"/>
      <c r="AA511" s="1337"/>
      <c r="AB511" s="1229"/>
      <c r="AC511" s="1229"/>
      <c r="AD511" s="1229"/>
      <c r="AE511" s="1229"/>
      <c r="AF511" s="1337"/>
      <c r="AG511" s="1337"/>
      <c r="AH511" s="1229"/>
      <c r="AI511" s="1229"/>
      <c r="AJ511" s="1229"/>
      <c r="AK511" s="1229"/>
      <c r="AL511" s="1337"/>
      <c r="AM511" s="1337"/>
      <c r="AN511" s="1229"/>
      <c r="AO511" s="1229"/>
      <c r="AP511" s="1229"/>
      <c r="AQ511" s="1229"/>
      <c r="AR511" s="1337"/>
      <c r="AS511" s="1337"/>
      <c r="AT511" s="1229"/>
      <c r="AU511" s="1229"/>
      <c r="AV511" s="1229"/>
      <c r="AW511" s="1229"/>
      <c r="AX511" s="1337"/>
      <c r="AY511" s="1337"/>
      <c r="AZ511" s="1229"/>
      <c r="BA511" s="1229"/>
      <c r="BB511" s="1229"/>
      <c r="BC511" s="1229"/>
      <c r="BD511" s="1337"/>
      <c r="BE511" s="1337"/>
      <c r="BF511" s="1229"/>
      <c r="BG511" s="1229"/>
      <c r="BH511" s="1229"/>
      <c r="BI511" s="1222"/>
      <c r="BJ511" s="1338"/>
      <c r="BK511" s="1338"/>
      <c r="BL511" s="1222"/>
      <c r="BM511" s="1222"/>
      <c r="BN511" s="1222"/>
      <c r="BO511" s="1222"/>
    </row>
    <row r="512">
      <c r="A512" s="1222"/>
      <c r="B512" s="1229"/>
      <c r="C512" s="1349"/>
      <c r="D512" s="1229"/>
      <c r="E512" s="1229"/>
      <c r="F512" s="1229"/>
      <c r="G512" s="1229"/>
      <c r="H512" s="1229"/>
      <c r="I512" s="1229"/>
      <c r="J512" s="1229"/>
      <c r="K512" s="1229"/>
      <c r="L512" s="1229"/>
      <c r="M512" s="1229"/>
      <c r="N512" s="1337"/>
      <c r="O512" s="1337"/>
      <c r="P512" s="1229"/>
      <c r="Q512" s="1229"/>
      <c r="R512" s="1229"/>
      <c r="S512" s="1229"/>
      <c r="T512" s="1337"/>
      <c r="U512" s="1337"/>
      <c r="V512" s="1229"/>
      <c r="W512" s="1229"/>
      <c r="X512" s="1229"/>
      <c r="Y512" s="1229"/>
      <c r="Z512" s="1337"/>
      <c r="AA512" s="1337"/>
      <c r="AB512" s="1229"/>
      <c r="AC512" s="1229"/>
      <c r="AD512" s="1229"/>
      <c r="AE512" s="1229"/>
      <c r="AF512" s="1337"/>
      <c r="AG512" s="1337"/>
      <c r="AH512" s="1229"/>
      <c r="AI512" s="1229"/>
      <c r="AJ512" s="1229"/>
      <c r="AK512" s="1229"/>
      <c r="AL512" s="1337"/>
      <c r="AM512" s="1337"/>
      <c r="AN512" s="1229"/>
      <c r="AO512" s="1229"/>
      <c r="AP512" s="1229"/>
      <c r="AQ512" s="1229"/>
      <c r="AR512" s="1337"/>
      <c r="AS512" s="1337"/>
      <c r="AT512" s="1229"/>
      <c r="AU512" s="1229"/>
      <c r="AV512" s="1229"/>
      <c r="AW512" s="1229"/>
      <c r="AX512" s="1337"/>
      <c r="AY512" s="1337"/>
      <c r="AZ512" s="1229"/>
      <c r="BA512" s="1229"/>
      <c r="BB512" s="1229"/>
      <c r="BC512" s="1229"/>
      <c r="BD512" s="1337"/>
      <c r="BE512" s="1337"/>
      <c r="BF512" s="1229"/>
      <c r="BG512" s="1229"/>
      <c r="BH512" s="1229"/>
      <c r="BI512" s="1222"/>
      <c r="BJ512" s="1338"/>
      <c r="BK512" s="1338"/>
      <c r="BL512" s="1222"/>
      <c r="BM512" s="1222"/>
      <c r="BN512" s="1222"/>
      <c r="BO512" s="1222"/>
    </row>
    <row r="513">
      <c r="A513" s="1222"/>
      <c r="B513" s="1229"/>
      <c r="C513" s="1349"/>
      <c r="D513" s="1229"/>
      <c r="E513" s="1229"/>
      <c r="F513" s="1229"/>
      <c r="G513" s="1229"/>
      <c r="H513" s="1229"/>
      <c r="I513" s="1229"/>
      <c r="J513" s="1229"/>
      <c r="K513" s="1229"/>
      <c r="L513" s="1229"/>
      <c r="M513" s="1229"/>
      <c r="N513" s="1337"/>
      <c r="O513" s="1337"/>
      <c r="P513" s="1229"/>
      <c r="Q513" s="1229"/>
      <c r="R513" s="1229"/>
      <c r="S513" s="1229"/>
      <c r="T513" s="1337"/>
      <c r="U513" s="1337"/>
      <c r="V513" s="1229"/>
      <c r="W513" s="1229"/>
      <c r="X513" s="1229"/>
      <c r="Y513" s="1229"/>
      <c r="Z513" s="1337"/>
      <c r="AA513" s="1337"/>
      <c r="AB513" s="1229"/>
      <c r="AC513" s="1229"/>
      <c r="AD513" s="1229"/>
      <c r="AE513" s="1229"/>
      <c r="AF513" s="1337"/>
      <c r="AG513" s="1337"/>
      <c r="AH513" s="1229"/>
      <c r="AI513" s="1229"/>
      <c r="AJ513" s="1229"/>
      <c r="AK513" s="1229"/>
      <c r="AL513" s="1337"/>
      <c r="AM513" s="1337"/>
      <c r="AN513" s="1229"/>
      <c r="AO513" s="1229"/>
      <c r="AP513" s="1229"/>
      <c r="AQ513" s="1229"/>
      <c r="AR513" s="1337"/>
      <c r="AS513" s="1337"/>
      <c r="AT513" s="1229"/>
      <c r="AU513" s="1229"/>
      <c r="AV513" s="1229"/>
      <c r="AW513" s="1229"/>
      <c r="AX513" s="1337"/>
      <c r="AY513" s="1337"/>
      <c r="AZ513" s="1229"/>
      <c r="BA513" s="1229"/>
      <c r="BB513" s="1229"/>
      <c r="BC513" s="1229"/>
      <c r="BD513" s="1337"/>
      <c r="BE513" s="1337"/>
      <c r="BF513" s="1229"/>
      <c r="BG513" s="1229"/>
      <c r="BH513" s="1229"/>
      <c r="BI513" s="1222"/>
      <c r="BJ513" s="1338"/>
      <c r="BK513" s="1338"/>
      <c r="BL513" s="1222"/>
      <c r="BM513" s="1222"/>
      <c r="BN513" s="1222"/>
      <c r="BO513" s="1222"/>
    </row>
    <row r="514">
      <c r="A514" s="1222"/>
      <c r="B514" s="1229"/>
      <c r="C514" s="1349"/>
      <c r="D514" s="1229"/>
      <c r="E514" s="1229"/>
      <c r="F514" s="1229"/>
      <c r="G514" s="1229"/>
      <c r="H514" s="1229"/>
      <c r="I514" s="1229"/>
      <c r="J514" s="1229"/>
      <c r="K514" s="1229"/>
      <c r="L514" s="1229"/>
      <c r="M514" s="1229"/>
      <c r="N514" s="1337"/>
      <c r="O514" s="1337"/>
      <c r="P514" s="1229"/>
      <c r="Q514" s="1229"/>
      <c r="R514" s="1229"/>
      <c r="S514" s="1229"/>
      <c r="T514" s="1337"/>
      <c r="U514" s="1337"/>
      <c r="V514" s="1229"/>
      <c r="W514" s="1229"/>
      <c r="X514" s="1229"/>
      <c r="Y514" s="1229"/>
      <c r="Z514" s="1337"/>
      <c r="AA514" s="1337"/>
      <c r="AB514" s="1229"/>
      <c r="AC514" s="1229"/>
      <c r="AD514" s="1229"/>
      <c r="AE514" s="1229"/>
      <c r="AF514" s="1337"/>
      <c r="AG514" s="1337"/>
      <c r="AH514" s="1229"/>
      <c r="AI514" s="1229"/>
      <c r="AJ514" s="1229"/>
      <c r="AK514" s="1229"/>
      <c r="AL514" s="1337"/>
      <c r="AM514" s="1337"/>
      <c r="AN514" s="1229"/>
      <c r="AO514" s="1229"/>
      <c r="AP514" s="1229"/>
      <c r="AQ514" s="1229"/>
      <c r="AR514" s="1337"/>
      <c r="AS514" s="1337"/>
      <c r="AT514" s="1229"/>
      <c r="AU514" s="1229"/>
      <c r="AV514" s="1229"/>
      <c r="AW514" s="1229"/>
      <c r="AX514" s="1337"/>
      <c r="AY514" s="1337"/>
      <c r="AZ514" s="1229"/>
      <c r="BA514" s="1229"/>
      <c r="BB514" s="1229"/>
      <c r="BC514" s="1229"/>
      <c r="BD514" s="1337"/>
      <c r="BE514" s="1337"/>
      <c r="BF514" s="1229"/>
      <c r="BG514" s="1229"/>
      <c r="BH514" s="1229"/>
      <c r="BI514" s="1222"/>
      <c r="BJ514" s="1338"/>
      <c r="BK514" s="1338"/>
      <c r="BL514" s="1222"/>
      <c r="BM514" s="1222"/>
      <c r="BN514" s="1222"/>
      <c r="BO514" s="1222"/>
    </row>
    <row r="515">
      <c r="A515" s="1222"/>
      <c r="B515" s="1229"/>
      <c r="C515" s="1349"/>
      <c r="D515" s="1229"/>
      <c r="E515" s="1229"/>
      <c r="F515" s="1229"/>
      <c r="G515" s="1229"/>
      <c r="H515" s="1229"/>
      <c r="I515" s="1229"/>
      <c r="J515" s="1229"/>
      <c r="K515" s="1229"/>
      <c r="L515" s="1229"/>
      <c r="M515" s="1229"/>
      <c r="N515" s="1337"/>
      <c r="O515" s="1337"/>
      <c r="P515" s="1229"/>
      <c r="Q515" s="1229"/>
      <c r="R515" s="1229"/>
      <c r="S515" s="1229"/>
      <c r="T515" s="1337"/>
      <c r="U515" s="1337"/>
      <c r="V515" s="1229"/>
      <c r="W515" s="1229"/>
      <c r="X515" s="1229"/>
      <c r="Y515" s="1229"/>
      <c r="Z515" s="1337"/>
      <c r="AA515" s="1337"/>
      <c r="AB515" s="1229"/>
      <c r="AC515" s="1229"/>
      <c r="AD515" s="1229"/>
      <c r="AE515" s="1229"/>
      <c r="AF515" s="1337"/>
      <c r="AG515" s="1337"/>
      <c r="AH515" s="1229"/>
      <c r="AI515" s="1229"/>
      <c r="AJ515" s="1229"/>
      <c r="AK515" s="1229"/>
      <c r="AL515" s="1337"/>
      <c r="AM515" s="1337"/>
      <c r="AN515" s="1229"/>
      <c r="AO515" s="1229"/>
      <c r="AP515" s="1229"/>
      <c r="AQ515" s="1229"/>
      <c r="AR515" s="1337"/>
      <c r="AS515" s="1337"/>
      <c r="AT515" s="1229"/>
      <c r="AU515" s="1229"/>
      <c r="AV515" s="1229"/>
      <c r="AW515" s="1229"/>
      <c r="AX515" s="1337"/>
      <c r="AY515" s="1337"/>
      <c r="AZ515" s="1229"/>
      <c r="BA515" s="1229"/>
      <c r="BB515" s="1229"/>
      <c r="BC515" s="1229"/>
      <c r="BD515" s="1337"/>
      <c r="BE515" s="1337"/>
      <c r="BF515" s="1229"/>
      <c r="BG515" s="1229"/>
      <c r="BH515" s="1229"/>
      <c r="BI515" s="1222"/>
      <c r="BJ515" s="1338"/>
      <c r="BK515" s="1338"/>
      <c r="BL515" s="1222"/>
      <c r="BM515" s="1222"/>
      <c r="BN515" s="1222"/>
      <c r="BO515" s="1222"/>
    </row>
    <row r="516">
      <c r="A516" s="1222"/>
      <c r="B516" s="1229"/>
      <c r="C516" s="1349"/>
      <c r="D516" s="1229"/>
      <c r="E516" s="1229"/>
      <c r="F516" s="1229"/>
      <c r="G516" s="1229"/>
      <c r="H516" s="1229"/>
      <c r="I516" s="1229"/>
      <c r="J516" s="1229"/>
      <c r="K516" s="1229"/>
      <c r="L516" s="1229"/>
      <c r="M516" s="1229"/>
      <c r="N516" s="1337"/>
      <c r="O516" s="1337"/>
      <c r="P516" s="1229"/>
      <c r="Q516" s="1229"/>
      <c r="R516" s="1229"/>
      <c r="S516" s="1229"/>
      <c r="T516" s="1337"/>
      <c r="U516" s="1337"/>
      <c r="V516" s="1229"/>
      <c r="W516" s="1229"/>
      <c r="X516" s="1229"/>
      <c r="Y516" s="1229"/>
      <c r="Z516" s="1337"/>
      <c r="AA516" s="1337"/>
      <c r="AB516" s="1229"/>
      <c r="AC516" s="1229"/>
      <c r="AD516" s="1229"/>
      <c r="AE516" s="1229"/>
      <c r="AF516" s="1337"/>
      <c r="AG516" s="1337"/>
      <c r="AH516" s="1229"/>
      <c r="AI516" s="1229"/>
      <c r="AJ516" s="1229"/>
      <c r="AK516" s="1229"/>
      <c r="AL516" s="1337"/>
      <c r="AM516" s="1337"/>
      <c r="AN516" s="1229"/>
      <c r="AO516" s="1229"/>
      <c r="AP516" s="1229"/>
      <c r="AQ516" s="1229"/>
      <c r="AR516" s="1337"/>
      <c r="AS516" s="1337"/>
      <c r="AT516" s="1229"/>
      <c r="AU516" s="1229"/>
      <c r="AV516" s="1229"/>
      <c r="AW516" s="1229"/>
      <c r="AX516" s="1337"/>
      <c r="AY516" s="1337"/>
      <c r="AZ516" s="1229"/>
      <c r="BA516" s="1229"/>
      <c r="BB516" s="1229"/>
      <c r="BC516" s="1229"/>
      <c r="BD516" s="1337"/>
      <c r="BE516" s="1337"/>
      <c r="BF516" s="1229"/>
      <c r="BG516" s="1229"/>
      <c r="BH516" s="1229"/>
      <c r="BI516" s="1222"/>
      <c r="BJ516" s="1338"/>
      <c r="BK516" s="1338"/>
      <c r="BL516" s="1222"/>
      <c r="BM516" s="1222"/>
      <c r="BN516" s="1222"/>
      <c r="BO516" s="1222"/>
    </row>
    <row r="517">
      <c r="A517" s="1222"/>
      <c r="B517" s="1229"/>
      <c r="C517" s="1349"/>
      <c r="D517" s="1229"/>
      <c r="E517" s="1229"/>
      <c r="F517" s="1229"/>
      <c r="G517" s="1229"/>
      <c r="H517" s="1229"/>
      <c r="I517" s="1229"/>
      <c r="J517" s="1229"/>
      <c r="K517" s="1229"/>
      <c r="L517" s="1229"/>
      <c r="M517" s="1229"/>
      <c r="N517" s="1337"/>
      <c r="O517" s="1337"/>
      <c r="P517" s="1229"/>
      <c r="Q517" s="1229"/>
      <c r="R517" s="1229"/>
      <c r="S517" s="1229"/>
      <c r="T517" s="1337"/>
      <c r="U517" s="1337"/>
      <c r="V517" s="1229"/>
      <c r="W517" s="1229"/>
      <c r="X517" s="1229"/>
      <c r="Y517" s="1229"/>
      <c r="Z517" s="1337"/>
      <c r="AA517" s="1337"/>
      <c r="AB517" s="1229"/>
      <c r="AC517" s="1229"/>
      <c r="AD517" s="1229"/>
      <c r="AE517" s="1229"/>
      <c r="AF517" s="1337"/>
      <c r="AG517" s="1337"/>
      <c r="AH517" s="1229"/>
      <c r="AI517" s="1229"/>
      <c r="AJ517" s="1229"/>
      <c r="AK517" s="1229"/>
      <c r="AL517" s="1337"/>
      <c r="AM517" s="1337"/>
      <c r="AN517" s="1229"/>
      <c r="AO517" s="1229"/>
      <c r="AP517" s="1229"/>
      <c r="AQ517" s="1229"/>
      <c r="AR517" s="1337"/>
      <c r="AS517" s="1337"/>
      <c r="AT517" s="1229"/>
      <c r="AU517" s="1229"/>
      <c r="AV517" s="1229"/>
      <c r="AW517" s="1229"/>
      <c r="AX517" s="1337"/>
      <c r="AY517" s="1337"/>
      <c r="AZ517" s="1229"/>
      <c r="BA517" s="1229"/>
      <c r="BB517" s="1229"/>
      <c r="BC517" s="1229"/>
      <c r="BD517" s="1337"/>
      <c r="BE517" s="1337"/>
      <c r="BF517" s="1229"/>
      <c r="BG517" s="1229"/>
      <c r="BH517" s="1229"/>
      <c r="BI517" s="1222"/>
      <c r="BJ517" s="1338"/>
      <c r="BK517" s="1338"/>
      <c r="BL517" s="1222"/>
      <c r="BM517" s="1222"/>
      <c r="BN517" s="1222"/>
      <c r="BO517" s="1222"/>
    </row>
    <row r="518">
      <c r="A518" s="1222"/>
      <c r="B518" s="1229"/>
      <c r="C518" s="1349"/>
      <c r="D518" s="1229"/>
      <c r="E518" s="1229"/>
      <c r="F518" s="1229"/>
      <c r="G518" s="1229"/>
      <c r="H518" s="1229"/>
      <c r="I518" s="1229"/>
      <c r="J518" s="1229"/>
      <c r="K518" s="1229"/>
      <c r="L518" s="1229"/>
      <c r="M518" s="1229"/>
      <c r="N518" s="1337"/>
      <c r="O518" s="1337"/>
      <c r="P518" s="1229"/>
      <c r="Q518" s="1229"/>
      <c r="R518" s="1229"/>
      <c r="S518" s="1229"/>
      <c r="T518" s="1337"/>
      <c r="U518" s="1337"/>
      <c r="V518" s="1229"/>
      <c r="W518" s="1229"/>
      <c r="X518" s="1229"/>
      <c r="Y518" s="1229"/>
      <c r="Z518" s="1337"/>
      <c r="AA518" s="1337"/>
      <c r="AB518" s="1229"/>
      <c r="AC518" s="1229"/>
      <c r="AD518" s="1229"/>
      <c r="AE518" s="1229"/>
      <c r="AF518" s="1337"/>
      <c r="AG518" s="1337"/>
      <c r="AH518" s="1229"/>
      <c r="AI518" s="1229"/>
      <c r="AJ518" s="1229"/>
      <c r="AK518" s="1229"/>
      <c r="AL518" s="1337"/>
      <c r="AM518" s="1337"/>
      <c r="AN518" s="1229"/>
      <c r="AO518" s="1229"/>
      <c r="AP518" s="1229"/>
      <c r="AQ518" s="1229"/>
      <c r="AR518" s="1337"/>
      <c r="AS518" s="1337"/>
      <c r="AT518" s="1229"/>
      <c r="AU518" s="1229"/>
      <c r="AV518" s="1229"/>
      <c r="AW518" s="1229"/>
      <c r="AX518" s="1337"/>
      <c r="AY518" s="1337"/>
      <c r="AZ518" s="1229"/>
      <c r="BA518" s="1229"/>
      <c r="BB518" s="1229"/>
      <c r="BC518" s="1229"/>
      <c r="BD518" s="1337"/>
      <c r="BE518" s="1337"/>
      <c r="BF518" s="1229"/>
      <c r="BG518" s="1229"/>
      <c r="BH518" s="1229"/>
      <c r="BI518" s="1222"/>
      <c r="BJ518" s="1338"/>
      <c r="BK518" s="1338"/>
      <c r="BL518" s="1222"/>
      <c r="BM518" s="1222"/>
      <c r="BN518" s="1222"/>
      <c r="BO518" s="1222"/>
    </row>
    <row r="519">
      <c r="A519" s="1222"/>
      <c r="B519" s="1229"/>
      <c r="C519" s="1349"/>
      <c r="D519" s="1229"/>
      <c r="E519" s="1229"/>
      <c r="F519" s="1229"/>
      <c r="G519" s="1229"/>
      <c r="H519" s="1229"/>
      <c r="I519" s="1229"/>
      <c r="J519" s="1229"/>
      <c r="K519" s="1229"/>
      <c r="L519" s="1229"/>
      <c r="M519" s="1229"/>
      <c r="N519" s="1337"/>
      <c r="O519" s="1337"/>
      <c r="P519" s="1229"/>
      <c r="Q519" s="1229"/>
      <c r="R519" s="1229"/>
      <c r="S519" s="1229"/>
      <c r="T519" s="1337"/>
      <c r="U519" s="1337"/>
      <c r="V519" s="1229"/>
      <c r="W519" s="1229"/>
      <c r="X519" s="1229"/>
      <c r="Y519" s="1229"/>
      <c r="Z519" s="1337"/>
      <c r="AA519" s="1337"/>
      <c r="AB519" s="1229"/>
      <c r="AC519" s="1229"/>
      <c r="AD519" s="1229"/>
      <c r="AE519" s="1229"/>
      <c r="AF519" s="1337"/>
      <c r="AG519" s="1337"/>
      <c r="AH519" s="1229"/>
      <c r="AI519" s="1229"/>
      <c r="AJ519" s="1229"/>
      <c r="AK519" s="1229"/>
      <c r="AL519" s="1337"/>
      <c r="AM519" s="1337"/>
      <c r="AN519" s="1229"/>
      <c r="AO519" s="1229"/>
      <c r="AP519" s="1229"/>
      <c r="AQ519" s="1229"/>
      <c r="AR519" s="1337"/>
      <c r="AS519" s="1337"/>
      <c r="AT519" s="1229"/>
      <c r="AU519" s="1229"/>
      <c r="AV519" s="1229"/>
      <c r="AW519" s="1229"/>
      <c r="AX519" s="1337"/>
      <c r="AY519" s="1337"/>
      <c r="AZ519" s="1229"/>
      <c r="BA519" s="1229"/>
      <c r="BB519" s="1229"/>
      <c r="BC519" s="1229"/>
      <c r="BD519" s="1337"/>
      <c r="BE519" s="1337"/>
      <c r="BF519" s="1229"/>
      <c r="BG519" s="1229"/>
      <c r="BH519" s="1229"/>
      <c r="BI519" s="1222"/>
      <c r="BJ519" s="1338"/>
      <c r="BK519" s="1338"/>
      <c r="BL519" s="1222"/>
      <c r="BM519" s="1222"/>
      <c r="BN519" s="1222"/>
      <c r="BO519" s="1222"/>
    </row>
    <row r="520">
      <c r="A520" s="1222"/>
      <c r="B520" s="1229"/>
      <c r="C520" s="1349"/>
      <c r="D520" s="1229"/>
      <c r="E520" s="1229"/>
      <c r="F520" s="1229"/>
      <c r="G520" s="1229"/>
      <c r="H520" s="1229"/>
      <c r="I520" s="1229"/>
      <c r="J520" s="1229"/>
      <c r="K520" s="1229"/>
      <c r="L520" s="1229"/>
      <c r="M520" s="1229"/>
      <c r="N520" s="1337"/>
      <c r="O520" s="1337"/>
      <c r="P520" s="1229"/>
      <c r="Q520" s="1229"/>
      <c r="R520" s="1229"/>
      <c r="S520" s="1229"/>
      <c r="T520" s="1337"/>
      <c r="U520" s="1337"/>
      <c r="V520" s="1229"/>
      <c r="W520" s="1229"/>
      <c r="X520" s="1229"/>
      <c r="Y520" s="1229"/>
      <c r="Z520" s="1337"/>
      <c r="AA520" s="1337"/>
      <c r="AB520" s="1229"/>
      <c r="AC520" s="1229"/>
      <c r="AD520" s="1229"/>
      <c r="AE520" s="1229"/>
      <c r="AF520" s="1337"/>
      <c r="AG520" s="1337"/>
      <c r="AH520" s="1229"/>
      <c r="AI520" s="1229"/>
      <c r="AJ520" s="1229"/>
      <c r="AK520" s="1229"/>
      <c r="AL520" s="1337"/>
      <c r="AM520" s="1337"/>
      <c r="AN520" s="1229"/>
      <c r="AO520" s="1229"/>
      <c r="AP520" s="1229"/>
      <c r="AQ520" s="1229"/>
      <c r="AR520" s="1337"/>
      <c r="AS520" s="1337"/>
      <c r="AT520" s="1229"/>
      <c r="AU520" s="1229"/>
      <c r="AV520" s="1229"/>
      <c r="AW520" s="1229"/>
      <c r="AX520" s="1337"/>
      <c r="AY520" s="1337"/>
      <c r="AZ520" s="1229"/>
      <c r="BA520" s="1229"/>
      <c r="BB520" s="1229"/>
      <c r="BC520" s="1229"/>
      <c r="BD520" s="1337"/>
      <c r="BE520" s="1337"/>
      <c r="BF520" s="1229"/>
      <c r="BG520" s="1229"/>
      <c r="BH520" s="1229"/>
      <c r="BI520" s="1222"/>
      <c r="BJ520" s="1338"/>
      <c r="BK520" s="1338"/>
      <c r="BL520" s="1222"/>
      <c r="BM520" s="1222"/>
      <c r="BN520" s="1222"/>
      <c r="BO520" s="1222"/>
    </row>
    <row r="521">
      <c r="A521" s="1222"/>
      <c r="B521" s="1229"/>
      <c r="C521" s="1349"/>
      <c r="D521" s="1229"/>
      <c r="E521" s="1229"/>
      <c r="F521" s="1229"/>
      <c r="G521" s="1229"/>
      <c r="H521" s="1229"/>
      <c r="I521" s="1229"/>
      <c r="J521" s="1229"/>
      <c r="K521" s="1229"/>
      <c r="L521" s="1229"/>
      <c r="M521" s="1229"/>
      <c r="N521" s="1337"/>
      <c r="O521" s="1337"/>
      <c r="P521" s="1229"/>
      <c r="Q521" s="1229"/>
      <c r="R521" s="1229"/>
      <c r="S521" s="1229"/>
      <c r="T521" s="1337"/>
      <c r="U521" s="1337"/>
      <c r="V521" s="1229"/>
      <c r="W521" s="1229"/>
      <c r="X521" s="1229"/>
      <c r="Y521" s="1229"/>
      <c r="Z521" s="1337"/>
      <c r="AA521" s="1337"/>
      <c r="AB521" s="1229"/>
      <c r="AC521" s="1229"/>
      <c r="AD521" s="1229"/>
      <c r="AE521" s="1229"/>
      <c r="AF521" s="1337"/>
      <c r="AG521" s="1337"/>
      <c r="AH521" s="1229"/>
      <c r="AI521" s="1229"/>
      <c r="AJ521" s="1229"/>
      <c r="AK521" s="1229"/>
      <c r="AL521" s="1337"/>
      <c r="AM521" s="1337"/>
      <c r="AN521" s="1229"/>
      <c r="AO521" s="1229"/>
      <c r="AP521" s="1229"/>
      <c r="AQ521" s="1229"/>
      <c r="AR521" s="1337"/>
      <c r="AS521" s="1337"/>
      <c r="AT521" s="1229"/>
      <c r="AU521" s="1229"/>
      <c r="AV521" s="1229"/>
      <c r="AW521" s="1229"/>
      <c r="AX521" s="1337"/>
      <c r="AY521" s="1337"/>
      <c r="AZ521" s="1229"/>
      <c r="BA521" s="1229"/>
      <c r="BB521" s="1229"/>
      <c r="BC521" s="1229"/>
      <c r="BD521" s="1337"/>
      <c r="BE521" s="1337"/>
      <c r="BF521" s="1229"/>
      <c r="BG521" s="1229"/>
      <c r="BH521" s="1229"/>
      <c r="BI521" s="1222"/>
      <c r="BJ521" s="1338"/>
      <c r="BK521" s="1338"/>
      <c r="BL521" s="1222"/>
      <c r="BM521" s="1222"/>
      <c r="BN521" s="1222"/>
      <c r="BO521" s="1222"/>
    </row>
    <row r="522">
      <c r="A522" s="1222"/>
      <c r="B522" s="1229"/>
      <c r="C522" s="1349"/>
      <c r="D522" s="1229"/>
      <c r="E522" s="1229"/>
      <c r="F522" s="1229"/>
      <c r="G522" s="1229"/>
      <c r="H522" s="1229"/>
      <c r="I522" s="1229"/>
      <c r="J522" s="1229"/>
      <c r="K522" s="1229"/>
      <c r="L522" s="1229"/>
      <c r="M522" s="1229"/>
      <c r="N522" s="1337"/>
      <c r="O522" s="1337"/>
      <c r="P522" s="1229"/>
      <c r="Q522" s="1229"/>
      <c r="R522" s="1229"/>
      <c r="S522" s="1229"/>
      <c r="T522" s="1337"/>
      <c r="U522" s="1337"/>
      <c r="V522" s="1229"/>
      <c r="W522" s="1229"/>
      <c r="X522" s="1229"/>
      <c r="Y522" s="1229"/>
      <c r="Z522" s="1337"/>
      <c r="AA522" s="1337"/>
      <c r="AB522" s="1229"/>
      <c r="AC522" s="1229"/>
      <c r="AD522" s="1229"/>
      <c r="AE522" s="1229"/>
      <c r="AF522" s="1337"/>
      <c r="AG522" s="1337"/>
      <c r="AH522" s="1229"/>
      <c r="AI522" s="1229"/>
      <c r="AJ522" s="1229"/>
      <c r="AK522" s="1229"/>
      <c r="AL522" s="1337"/>
      <c r="AM522" s="1337"/>
      <c r="AN522" s="1229"/>
      <c r="AO522" s="1229"/>
      <c r="AP522" s="1229"/>
      <c r="AQ522" s="1229"/>
      <c r="AR522" s="1337"/>
      <c r="AS522" s="1337"/>
      <c r="AT522" s="1229"/>
      <c r="AU522" s="1229"/>
      <c r="AV522" s="1229"/>
      <c r="AW522" s="1229"/>
      <c r="AX522" s="1337"/>
      <c r="AY522" s="1337"/>
      <c r="AZ522" s="1229"/>
      <c r="BA522" s="1229"/>
      <c r="BB522" s="1229"/>
      <c r="BC522" s="1229"/>
      <c r="BD522" s="1337"/>
      <c r="BE522" s="1337"/>
      <c r="BF522" s="1229"/>
      <c r="BG522" s="1229"/>
      <c r="BH522" s="1229"/>
      <c r="BI522" s="1222"/>
      <c r="BJ522" s="1338"/>
      <c r="BK522" s="1338"/>
      <c r="BL522" s="1222"/>
      <c r="BM522" s="1222"/>
      <c r="BN522" s="1222"/>
      <c r="BO522" s="1222"/>
    </row>
    <row r="523">
      <c r="A523" s="1222"/>
      <c r="B523" s="1229"/>
      <c r="C523" s="1349"/>
      <c r="D523" s="1229"/>
      <c r="E523" s="1229"/>
      <c r="F523" s="1229"/>
      <c r="G523" s="1229"/>
      <c r="H523" s="1229"/>
      <c r="I523" s="1229"/>
      <c r="J523" s="1229"/>
      <c r="K523" s="1229"/>
      <c r="L523" s="1229"/>
      <c r="M523" s="1229"/>
      <c r="N523" s="1337"/>
      <c r="O523" s="1337"/>
      <c r="P523" s="1229"/>
      <c r="Q523" s="1229"/>
      <c r="R523" s="1229"/>
      <c r="S523" s="1229"/>
      <c r="T523" s="1337"/>
      <c r="U523" s="1337"/>
      <c r="V523" s="1229"/>
      <c r="W523" s="1229"/>
      <c r="X523" s="1229"/>
      <c r="Y523" s="1229"/>
      <c r="Z523" s="1337"/>
      <c r="AA523" s="1337"/>
      <c r="AB523" s="1229"/>
      <c r="AC523" s="1229"/>
      <c r="AD523" s="1229"/>
      <c r="AE523" s="1229"/>
      <c r="AF523" s="1337"/>
      <c r="AG523" s="1337"/>
      <c r="AH523" s="1229"/>
      <c r="AI523" s="1229"/>
      <c r="AJ523" s="1229"/>
      <c r="AK523" s="1229"/>
      <c r="AL523" s="1337"/>
      <c r="AM523" s="1337"/>
      <c r="AN523" s="1229"/>
      <c r="AO523" s="1229"/>
      <c r="AP523" s="1229"/>
      <c r="AQ523" s="1229"/>
      <c r="AR523" s="1337"/>
      <c r="AS523" s="1337"/>
      <c r="AT523" s="1229"/>
      <c r="AU523" s="1229"/>
      <c r="AV523" s="1229"/>
      <c r="AW523" s="1229"/>
      <c r="AX523" s="1337"/>
      <c r="AY523" s="1337"/>
      <c r="AZ523" s="1229"/>
      <c r="BA523" s="1229"/>
      <c r="BB523" s="1229"/>
      <c r="BC523" s="1229"/>
      <c r="BD523" s="1337"/>
      <c r="BE523" s="1337"/>
      <c r="BF523" s="1229"/>
      <c r="BG523" s="1229"/>
      <c r="BH523" s="1229"/>
      <c r="BI523" s="1222"/>
      <c r="BJ523" s="1338"/>
      <c r="BK523" s="1338"/>
      <c r="BL523" s="1222"/>
      <c r="BM523" s="1222"/>
      <c r="BN523" s="1222"/>
      <c r="BO523" s="1222"/>
    </row>
    <row r="524">
      <c r="A524" s="1222"/>
      <c r="B524" s="1229"/>
      <c r="C524" s="1349"/>
      <c r="D524" s="1229"/>
      <c r="E524" s="1229"/>
      <c r="F524" s="1229"/>
      <c r="G524" s="1229"/>
      <c r="H524" s="1229"/>
      <c r="I524" s="1229"/>
      <c r="J524" s="1229"/>
      <c r="K524" s="1229"/>
      <c r="L524" s="1229"/>
      <c r="M524" s="1229"/>
      <c r="N524" s="1337"/>
      <c r="O524" s="1337"/>
      <c r="P524" s="1229"/>
      <c r="Q524" s="1229"/>
      <c r="R524" s="1229"/>
      <c r="S524" s="1229"/>
      <c r="T524" s="1337"/>
      <c r="U524" s="1337"/>
      <c r="V524" s="1229"/>
      <c r="W524" s="1229"/>
      <c r="X524" s="1229"/>
      <c r="Y524" s="1229"/>
      <c r="Z524" s="1337"/>
      <c r="AA524" s="1337"/>
      <c r="AB524" s="1229"/>
      <c r="AC524" s="1229"/>
      <c r="AD524" s="1229"/>
      <c r="AE524" s="1229"/>
      <c r="AF524" s="1337"/>
      <c r="AG524" s="1337"/>
      <c r="AH524" s="1229"/>
      <c r="AI524" s="1229"/>
      <c r="AJ524" s="1229"/>
      <c r="AK524" s="1229"/>
      <c r="AL524" s="1337"/>
      <c r="AM524" s="1337"/>
      <c r="AN524" s="1229"/>
      <c r="AO524" s="1229"/>
      <c r="AP524" s="1229"/>
      <c r="AQ524" s="1229"/>
      <c r="AR524" s="1337"/>
      <c r="AS524" s="1337"/>
      <c r="AT524" s="1229"/>
      <c r="AU524" s="1229"/>
      <c r="AV524" s="1229"/>
      <c r="AW524" s="1229"/>
      <c r="AX524" s="1337"/>
      <c r="AY524" s="1337"/>
      <c r="AZ524" s="1229"/>
      <c r="BA524" s="1229"/>
      <c r="BB524" s="1229"/>
      <c r="BC524" s="1229"/>
      <c r="BD524" s="1337"/>
      <c r="BE524" s="1337"/>
      <c r="BF524" s="1229"/>
      <c r="BG524" s="1229"/>
      <c r="BH524" s="1229"/>
      <c r="BI524" s="1222"/>
      <c r="BJ524" s="1338"/>
      <c r="BK524" s="1338"/>
      <c r="BL524" s="1222"/>
      <c r="BM524" s="1222"/>
      <c r="BN524" s="1222"/>
      <c r="BO524" s="1222"/>
    </row>
    <row r="525">
      <c r="A525" s="1222"/>
      <c r="B525" s="1229"/>
      <c r="C525" s="1349"/>
      <c r="D525" s="1229"/>
      <c r="E525" s="1229"/>
      <c r="F525" s="1229"/>
      <c r="G525" s="1229"/>
      <c r="H525" s="1229"/>
      <c r="I525" s="1229"/>
      <c r="J525" s="1229"/>
      <c r="K525" s="1229"/>
      <c r="L525" s="1229"/>
      <c r="M525" s="1229"/>
      <c r="N525" s="1337"/>
      <c r="O525" s="1337"/>
      <c r="P525" s="1229"/>
      <c r="Q525" s="1229"/>
      <c r="R525" s="1229"/>
      <c r="S525" s="1229"/>
      <c r="T525" s="1337"/>
      <c r="U525" s="1337"/>
      <c r="V525" s="1229"/>
      <c r="W525" s="1229"/>
      <c r="X525" s="1229"/>
      <c r="Y525" s="1229"/>
      <c r="Z525" s="1337"/>
      <c r="AA525" s="1337"/>
      <c r="AB525" s="1229"/>
      <c r="AC525" s="1229"/>
      <c r="AD525" s="1229"/>
      <c r="AE525" s="1229"/>
      <c r="AF525" s="1337"/>
      <c r="AG525" s="1337"/>
      <c r="AH525" s="1229"/>
      <c r="AI525" s="1229"/>
      <c r="AJ525" s="1229"/>
      <c r="AK525" s="1229"/>
      <c r="AL525" s="1337"/>
      <c r="AM525" s="1337"/>
      <c r="AN525" s="1229"/>
      <c r="AO525" s="1229"/>
      <c r="AP525" s="1229"/>
      <c r="AQ525" s="1229"/>
      <c r="AR525" s="1337"/>
      <c r="AS525" s="1337"/>
      <c r="AT525" s="1229"/>
      <c r="AU525" s="1229"/>
      <c r="AV525" s="1229"/>
      <c r="AW525" s="1229"/>
      <c r="AX525" s="1337"/>
      <c r="AY525" s="1337"/>
      <c r="AZ525" s="1229"/>
      <c r="BA525" s="1229"/>
      <c r="BB525" s="1229"/>
      <c r="BC525" s="1229"/>
      <c r="BD525" s="1337"/>
      <c r="BE525" s="1337"/>
      <c r="BF525" s="1229"/>
      <c r="BG525" s="1229"/>
      <c r="BH525" s="1229"/>
      <c r="BI525" s="1222"/>
      <c r="BJ525" s="1338"/>
      <c r="BK525" s="1338"/>
      <c r="BL525" s="1222"/>
      <c r="BM525" s="1222"/>
      <c r="BN525" s="1222"/>
      <c r="BO525" s="1222"/>
    </row>
    <row r="526">
      <c r="A526" s="1222"/>
      <c r="B526" s="1229"/>
      <c r="C526" s="1349"/>
      <c r="D526" s="1229"/>
      <c r="E526" s="1229"/>
      <c r="F526" s="1229"/>
      <c r="G526" s="1229"/>
      <c r="H526" s="1229"/>
      <c r="I526" s="1229"/>
      <c r="J526" s="1229"/>
      <c r="K526" s="1229"/>
      <c r="L526" s="1229"/>
      <c r="M526" s="1229"/>
      <c r="N526" s="1337"/>
      <c r="O526" s="1337"/>
      <c r="P526" s="1229"/>
      <c r="Q526" s="1229"/>
      <c r="R526" s="1229"/>
      <c r="S526" s="1229"/>
      <c r="T526" s="1337"/>
      <c r="U526" s="1337"/>
      <c r="V526" s="1229"/>
      <c r="W526" s="1229"/>
      <c r="X526" s="1229"/>
      <c r="Y526" s="1229"/>
      <c r="Z526" s="1337"/>
      <c r="AA526" s="1337"/>
      <c r="AB526" s="1229"/>
      <c r="AC526" s="1229"/>
      <c r="AD526" s="1229"/>
      <c r="AE526" s="1229"/>
      <c r="AF526" s="1337"/>
      <c r="AG526" s="1337"/>
      <c r="AH526" s="1229"/>
      <c r="AI526" s="1229"/>
      <c r="AJ526" s="1229"/>
      <c r="AK526" s="1229"/>
      <c r="AL526" s="1337"/>
      <c r="AM526" s="1337"/>
      <c r="AN526" s="1229"/>
      <c r="AO526" s="1229"/>
      <c r="AP526" s="1229"/>
      <c r="AQ526" s="1229"/>
      <c r="AR526" s="1337"/>
      <c r="AS526" s="1337"/>
      <c r="AT526" s="1229"/>
      <c r="AU526" s="1229"/>
      <c r="AV526" s="1229"/>
      <c r="AW526" s="1229"/>
      <c r="AX526" s="1337"/>
      <c r="AY526" s="1337"/>
      <c r="AZ526" s="1229"/>
      <c r="BA526" s="1229"/>
      <c r="BB526" s="1229"/>
      <c r="BC526" s="1229"/>
      <c r="BD526" s="1337"/>
      <c r="BE526" s="1337"/>
      <c r="BF526" s="1229"/>
      <c r="BG526" s="1229"/>
      <c r="BH526" s="1229"/>
      <c r="BI526" s="1222"/>
      <c r="BJ526" s="1338"/>
      <c r="BK526" s="1338"/>
      <c r="BL526" s="1222"/>
      <c r="BM526" s="1222"/>
      <c r="BN526" s="1222"/>
      <c r="BO526" s="1222"/>
    </row>
    <row r="527">
      <c r="A527" s="1222"/>
      <c r="B527" s="1229"/>
      <c r="C527" s="1349"/>
      <c r="D527" s="1229"/>
      <c r="E527" s="1229"/>
      <c r="F527" s="1229"/>
      <c r="G527" s="1229"/>
      <c r="H527" s="1229"/>
      <c r="I527" s="1229"/>
      <c r="J527" s="1229"/>
      <c r="K527" s="1229"/>
      <c r="L527" s="1229"/>
      <c r="M527" s="1229"/>
      <c r="N527" s="1337"/>
      <c r="O527" s="1337"/>
      <c r="P527" s="1229"/>
      <c r="Q527" s="1229"/>
      <c r="R527" s="1229"/>
      <c r="S527" s="1229"/>
      <c r="T527" s="1337"/>
      <c r="U527" s="1337"/>
      <c r="V527" s="1229"/>
      <c r="W527" s="1229"/>
      <c r="X527" s="1229"/>
      <c r="Y527" s="1229"/>
      <c r="Z527" s="1337"/>
      <c r="AA527" s="1337"/>
      <c r="AB527" s="1229"/>
      <c r="AC527" s="1229"/>
      <c r="AD527" s="1229"/>
      <c r="AE527" s="1229"/>
      <c r="AF527" s="1337"/>
      <c r="AG527" s="1337"/>
      <c r="AH527" s="1229"/>
      <c r="AI527" s="1229"/>
      <c r="AJ527" s="1229"/>
      <c r="AK527" s="1229"/>
      <c r="AL527" s="1337"/>
      <c r="AM527" s="1337"/>
      <c r="AN527" s="1229"/>
      <c r="AO527" s="1229"/>
      <c r="AP527" s="1229"/>
      <c r="AQ527" s="1229"/>
      <c r="AR527" s="1337"/>
      <c r="AS527" s="1337"/>
      <c r="AT527" s="1229"/>
      <c r="AU527" s="1229"/>
      <c r="AV527" s="1229"/>
      <c r="AW527" s="1229"/>
      <c r="AX527" s="1337"/>
      <c r="AY527" s="1337"/>
      <c r="AZ527" s="1229"/>
      <c r="BA527" s="1229"/>
      <c r="BB527" s="1229"/>
      <c r="BC527" s="1229"/>
      <c r="BD527" s="1337"/>
      <c r="BE527" s="1337"/>
      <c r="BF527" s="1229"/>
      <c r="BG527" s="1229"/>
      <c r="BH527" s="1229"/>
      <c r="BI527" s="1222"/>
      <c r="BJ527" s="1338"/>
      <c r="BK527" s="1338"/>
      <c r="BL527" s="1222"/>
      <c r="BM527" s="1222"/>
      <c r="BN527" s="1222"/>
      <c r="BO527" s="1222"/>
    </row>
    <row r="528">
      <c r="A528" s="1222"/>
      <c r="B528" s="1229"/>
      <c r="C528" s="1349"/>
      <c r="D528" s="1229"/>
      <c r="E528" s="1229"/>
      <c r="F528" s="1229"/>
      <c r="G528" s="1229"/>
      <c r="H528" s="1229"/>
      <c r="I528" s="1229"/>
      <c r="J528" s="1229"/>
      <c r="K528" s="1229"/>
      <c r="L528" s="1229"/>
      <c r="M528" s="1229"/>
      <c r="N528" s="1274"/>
      <c r="O528" s="1274"/>
      <c r="P528" s="1229"/>
      <c r="Q528" s="1229"/>
      <c r="R528" s="1229"/>
      <c r="S528" s="1229"/>
      <c r="T528" s="1274"/>
      <c r="U528" s="1274"/>
      <c r="V528" s="1229"/>
      <c r="W528" s="1229"/>
      <c r="X528" s="1229"/>
      <c r="Y528" s="1229"/>
      <c r="Z528" s="1274"/>
      <c r="AA528" s="1274"/>
      <c r="AB528" s="1229"/>
      <c r="AC528" s="1229"/>
      <c r="AD528" s="1229"/>
      <c r="AE528" s="1229"/>
      <c r="AF528" s="1274"/>
      <c r="AG528" s="1274"/>
      <c r="AH528" s="1229"/>
      <c r="AI528" s="1229"/>
      <c r="AJ528" s="1229"/>
      <c r="AK528" s="1229"/>
      <c r="AL528" s="1274"/>
      <c r="AM528" s="1274"/>
      <c r="AN528" s="1229"/>
      <c r="AO528" s="1229"/>
      <c r="AP528" s="1229"/>
      <c r="AQ528" s="1229"/>
      <c r="AR528" s="1274"/>
      <c r="AS528" s="1274"/>
      <c r="AT528" s="1229"/>
      <c r="AU528" s="1229"/>
      <c r="AV528" s="1229"/>
      <c r="AW528" s="1229"/>
      <c r="AX528" s="1274"/>
      <c r="AY528" s="1274"/>
      <c r="AZ528" s="1229"/>
      <c r="BA528" s="1229"/>
      <c r="BB528" s="1229"/>
      <c r="BC528" s="1229"/>
      <c r="BD528" s="1274"/>
      <c r="BE528" s="1274"/>
      <c r="BF528" s="1229"/>
      <c r="BG528" s="1229"/>
      <c r="BH528" s="1229"/>
      <c r="BI528" s="1222"/>
      <c r="BJ528" s="1350"/>
      <c r="BK528" s="1350"/>
      <c r="BL528" s="1222"/>
      <c r="BM528" s="1222"/>
      <c r="BN528" s="1222"/>
      <c r="BO528" s="1222"/>
    </row>
    <row r="529">
      <c r="A529" s="1222"/>
      <c r="B529" s="1229"/>
      <c r="C529" s="1349"/>
      <c r="D529" s="1229"/>
      <c r="E529" s="1229"/>
      <c r="F529" s="1229"/>
      <c r="G529" s="1229"/>
      <c r="H529" s="1229"/>
      <c r="I529" s="1229"/>
      <c r="J529" s="1229"/>
      <c r="K529" s="1229"/>
      <c r="L529" s="1229"/>
      <c r="M529" s="1229"/>
      <c r="N529" s="1274"/>
      <c r="O529" s="1274"/>
      <c r="P529" s="1229"/>
      <c r="Q529" s="1229"/>
      <c r="R529" s="1229"/>
      <c r="S529" s="1229"/>
      <c r="T529" s="1274"/>
      <c r="U529" s="1274"/>
      <c r="V529" s="1229"/>
      <c r="W529" s="1229"/>
      <c r="X529" s="1229"/>
      <c r="Y529" s="1229"/>
      <c r="Z529" s="1274"/>
      <c r="AA529" s="1274"/>
      <c r="AB529" s="1229"/>
      <c r="AC529" s="1229"/>
      <c r="AD529" s="1229"/>
      <c r="AE529" s="1229"/>
      <c r="AF529" s="1274"/>
      <c r="AG529" s="1274"/>
      <c r="AH529" s="1229"/>
      <c r="AI529" s="1229"/>
      <c r="AJ529" s="1229"/>
      <c r="AK529" s="1229"/>
      <c r="AL529" s="1274"/>
      <c r="AM529" s="1274"/>
      <c r="AN529" s="1229"/>
      <c r="AO529" s="1229"/>
      <c r="AP529" s="1229"/>
      <c r="AQ529" s="1229"/>
      <c r="AR529" s="1274"/>
      <c r="AS529" s="1274"/>
      <c r="AT529" s="1229"/>
      <c r="AU529" s="1229"/>
      <c r="AV529" s="1229"/>
      <c r="AW529" s="1229"/>
      <c r="AX529" s="1274"/>
      <c r="AY529" s="1274"/>
      <c r="AZ529" s="1229"/>
      <c r="BA529" s="1229"/>
      <c r="BB529" s="1229"/>
      <c r="BC529" s="1229"/>
      <c r="BD529" s="1274"/>
      <c r="BE529" s="1274"/>
      <c r="BF529" s="1229"/>
      <c r="BG529" s="1229"/>
      <c r="BH529" s="1229"/>
      <c r="BI529" s="1222"/>
      <c r="BJ529" s="1350"/>
      <c r="BK529" s="1350"/>
      <c r="BL529" s="1222"/>
      <c r="BM529" s="1222"/>
      <c r="BN529" s="1222"/>
      <c r="BO529" s="1222"/>
    </row>
    <row r="530">
      <c r="A530" s="1222"/>
      <c r="B530" s="1229"/>
      <c r="C530" s="1349"/>
      <c r="D530" s="1229"/>
      <c r="E530" s="1229"/>
      <c r="F530" s="1229"/>
      <c r="G530" s="1229"/>
      <c r="H530" s="1229"/>
      <c r="I530" s="1229"/>
      <c r="J530" s="1229"/>
      <c r="K530" s="1229"/>
      <c r="L530" s="1229"/>
      <c r="M530" s="1229"/>
      <c r="N530" s="1274"/>
      <c r="O530" s="1274"/>
      <c r="P530" s="1229"/>
      <c r="Q530" s="1229"/>
      <c r="R530" s="1229"/>
      <c r="S530" s="1229"/>
      <c r="T530" s="1274"/>
      <c r="U530" s="1274"/>
      <c r="V530" s="1229"/>
      <c r="W530" s="1229"/>
      <c r="X530" s="1229"/>
      <c r="Y530" s="1229"/>
      <c r="Z530" s="1274"/>
      <c r="AA530" s="1274"/>
      <c r="AB530" s="1229"/>
      <c r="AC530" s="1229"/>
      <c r="AD530" s="1229"/>
      <c r="AE530" s="1229"/>
      <c r="AF530" s="1274"/>
      <c r="AG530" s="1274"/>
      <c r="AH530" s="1229"/>
      <c r="AI530" s="1229"/>
      <c r="AJ530" s="1229"/>
      <c r="AK530" s="1229"/>
      <c r="AL530" s="1274"/>
      <c r="AM530" s="1274"/>
      <c r="AN530" s="1229"/>
      <c r="AO530" s="1229"/>
      <c r="AP530" s="1229"/>
      <c r="AQ530" s="1229"/>
      <c r="AR530" s="1274"/>
      <c r="AS530" s="1274"/>
      <c r="AT530" s="1229"/>
      <c r="AU530" s="1229"/>
      <c r="AV530" s="1229"/>
      <c r="AW530" s="1229"/>
      <c r="AX530" s="1274"/>
      <c r="AY530" s="1274"/>
      <c r="AZ530" s="1229"/>
      <c r="BA530" s="1229"/>
      <c r="BB530" s="1229"/>
      <c r="BC530" s="1229"/>
      <c r="BD530" s="1274"/>
      <c r="BE530" s="1274"/>
      <c r="BF530" s="1229"/>
      <c r="BG530" s="1229"/>
      <c r="BH530" s="1229"/>
      <c r="BI530" s="1222"/>
      <c r="BJ530" s="1350"/>
      <c r="BK530" s="1350"/>
      <c r="BL530" s="1222"/>
      <c r="BM530" s="1222"/>
      <c r="BN530" s="1222"/>
      <c r="BO530" s="1222"/>
    </row>
    <row r="531">
      <c r="A531" s="1222"/>
      <c r="B531" s="1229"/>
      <c r="C531" s="1349"/>
      <c r="D531" s="1229"/>
      <c r="E531" s="1229"/>
      <c r="F531" s="1229"/>
      <c r="G531" s="1229"/>
      <c r="H531" s="1229"/>
      <c r="I531" s="1229"/>
      <c r="J531" s="1229"/>
      <c r="K531" s="1229"/>
      <c r="L531" s="1229"/>
      <c r="M531" s="1229"/>
      <c r="N531" s="1274"/>
      <c r="O531" s="1274"/>
      <c r="P531" s="1229"/>
      <c r="Q531" s="1229"/>
      <c r="R531" s="1229"/>
      <c r="S531" s="1229"/>
      <c r="T531" s="1274"/>
      <c r="U531" s="1274"/>
      <c r="V531" s="1229"/>
      <c r="W531" s="1229"/>
      <c r="X531" s="1229"/>
      <c r="Y531" s="1229"/>
      <c r="Z531" s="1274"/>
      <c r="AA531" s="1274"/>
      <c r="AB531" s="1229"/>
      <c r="AC531" s="1229"/>
      <c r="AD531" s="1229"/>
      <c r="AE531" s="1229"/>
      <c r="AF531" s="1274"/>
      <c r="AG531" s="1274"/>
      <c r="AH531" s="1229"/>
      <c r="AI531" s="1229"/>
      <c r="AJ531" s="1229"/>
      <c r="AK531" s="1229"/>
      <c r="AL531" s="1274"/>
      <c r="AM531" s="1274"/>
      <c r="AN531" s="1229"/>
      <c r="AO531" s="1229"/>
      <c r="AP531" s="1229"/>
      <c r="AQ531" s="1229"/>
      <c r="AR531" s="1274"/>
      <c r="AS531" s="1274"/>
      <c r="AT531" s="1229"/>
      <c r="AU531" s="1229"/>
      <c r="AV531" s="1229"/>
      <c r="AW531" s="1229"/>
      <c r="AX531" s="1274"/>
      <c r="AY531" s="1274"/>
      <c r="AZ531" s="1229"/>
      <c r="BA531" s="1229"/>
      <c r="BB531" s="1229"/>
      <c r="BC531" s="1229"/>
      <c r="BD531" s="1274"/>
      <c r="BE531" s="1274"/>
      <c r="BF531" s="1229"/>
      <c r="BG531" s="1229"/>
      <c r="BH531" s="1229"/>
      <c r="BI531" s="1222"/>
      <c r="BJ531" s="1350"/>
      <c r="BK531" s="1350"/>
      <c r="BL531" s="1222"/>
      <c r="BM531" s="1222"/>
      <c r="BN531" s="1222"/>
      <c r="BO531" s="1222"/>
    </row>
    <row r="532">
      <c r="A532" s="1222"/>
      <c r="B532" s="1229"/>
      <c r="C532" s="1349"/>
      <c r="D532" s="1229"/>
      <c r="E532" s="1229"/>
      <c r="F532" s="1229"/>
      <c r="G532" s="1229"/>
      <c r="H532" s="1229"/>
      <c r="I532" s="1229"/>
      <c r="J532" s="1229"/>
      <c r="K532" s="1229"/>
      <c r="L532" s="1229"/>
      <c r="M532" s="1229"/>
      <c r="N532" s="1274"/>
      <c r="O532" s="1274"/>
      <c r="P532" s="1229"/>
      <c r="Q532" s="1229"/>
      <c r="R532" s="1229"/>
      <c r="S532" s="1229"/>
      <c r="T532" s="1274"/>
      <c r="U532" s="1274"/>
      <c r="V532" s="1229"/>
      <c r="W532" s="1229"/>
      <c r="X532" s="1229"/>
      <c r="Y532" s="1229"/>
      <c r="Z532" s="1274"/>
      <c r="AA532" s="1274"/>
      <c r="AB532" s="1229"/>
      <c r="AC532" s="1229"/>
      <c r="AD532" s="1229"/>
      <c r="AE532" s="1229"/>
      <c r="AF532" s="1274"/>
      <c r="AG532" s="1274"/>
      <c r="AH532" s="1229"/>
      <c r="AI532" s="1229"/>
      <c r="AJ532" s="1229"/>
      <c r="AK532" s="1229"/>
      <c r="AL532" s="1274"/>
      <c r="AM532" s="1274"/>
      <c r="AN532" s="1229"/>
      <c r="AO532" s="1229"/>
      <c r="AP532" s="1229"/>
      <c r="AQ532" s="1229"/>
      <c r="AR532" s="1274"/>
      <c r="AS532" s="1274"/>
      <c r="AT532" s="1229"/>
      <c r="AU532" s="1229"/>
      <c r="AV532" s="1229"/>
      <c r="AW532" s="1229"/>
      <c r="AX532" s="1274"/>
      <c r="AY532" s="1274"/>
      <c r="AZ532" s="1229"/>
      <c r="BA532" s="1229"/>
      <c r="BB532" s="1229"/>
      <c r="BC532" s="1229"/>
      <c r="BD532" s="1274"/>
      <c r="BE532" s="1274"/>
      <c r="BF532" s="1229"/>
      <c r="BG532" s="1229"/>
      <c r="BH532" s="1229"/>
      <c r="BI532" s="1222"/>
      <c r="BJ532" s="1350"/>
      <c r="BK532" s="1350"/>
      <c r="BL532" s="1222"/>
      <c r="BM532" s="1222"/>
      <c r="BN532" s="1222"/>
      <c r="BO532" s="1222"/>
    </row>
    <row r="533">
      <c r="A533" s="1222"/>
      <c r="B533" s="1229"/>
      <c r="C533" s="1349"/>
      <c r="D533" s="1229"/>
      <c r="E533" s="1229"/>
      <c r="F533" s="1229"/>
      <c r="G533" s="1229"/>
      <c r="H533" s="1229"/>
      <c r="I533" s="1229"/>
      <c r="J533" s="1229"/>
      <c r="K533" s="1229"/>
      <c r="L533" s="1229"/>
      <c r="M533" s="1229"/>
      <c r="N533" s="1274"/>
      <c r="O533" s="1274"/>
      <c r="P533" s="1229"/>
      <c r="Q533" s="1229"/>
      <c r="R533" s="1229"/>
      <c r="S533" s="1229"/>
      <c r="T533" s="1274"/>
      <c r="U533" s="1274"/>
      <c r="V533" s="1229"/>
      <c r="W533" s="1229"/>
      <c r="X533" s="1229"/>
      <c r="Y533" s="1229"/>
      <c r="Z533" s="1274"/>
      <c r="AA533" s="1274"/>
      <c r="AB533" s="1229"/>
      <c r="AC533" s="1229"/>
      <c r="AD533" s="1229"/>
      <c r="AE533" s="1229"/>
      <c r="AF533" s="1274"/>
      <c r="AG533" s="1274"/>
      <c r="AH533" s="1229"/>
      <c r="AI533" s="1229"/>
      <c r="AJ533" s="1229"/>
      <c r="AK533" s="1229"/>
      <c r="AL533" s="1274"/>
      <c r="AM533" s="1274"/>
      <c r="AN533" s="1229"/>
      <c r="AO533" s="1229"/>
      <c r="AP533" s="1229"/>
      <c r="AQ533" s="1229"/>
      <c r="AR533" s="1274"/>
      <c r="AS533" s="1274"/>
      <c r="AT533" s="1229"/>
      <c r="AU533" s="1229"/>
      <c r="AV533" s="1229"/>
      <c r="AW533" s="1229"/>
      <c r="AX533" s="1274"/>
      <c r="AY533" s="1274"/>
      <c r="AZ533" s="1229"/>
      <c r="BA533" s="1229"/>
      <c r="BB533" s="1229"/>
      <c r="BC533" s="1229"/>
      <c r="BD533" s="1274"/>
      <c r="BE533" s="1274"/>
      <c r="BF533" s="1229"/>
      <c r="BG533" s="1229"/>
      <c r="BH533" s="1229"/>
      <c r="BI533" s="1222"/>
      <c r="BJ533" s="1350"/>
      <c r="BK533" s="1350"/>
      <c r="BL533" s="1222"/>
      <c r="BM533" s="1222"/>
      <c r="BN533" s="1222"/>
      <c r="BO533" s="1222"/>
    </row>
    <row r="534">
      <c r="A534" s="1222"/>
      <c r="B534" s="1229"/>
      <c r="C534" s="1349"/>
      <c r="D534" s="1229"/>
      <c r="E534" s="1229"/>
      <c r="F534" s="1229"/>
      <c r="G534" s="1229"/>
      <c r="H534" s="1229"/>
      <c r="I534" s="1229"/>
      <c r="J534" s="1229"/>
      <c r="K534" s="1229"/>
      <c r="L534" s="1229"/>
      <c r="M534" s="1229"/>
      <c r="N534" s="1274"/>
      <c r="O534" s="1274"/>
      <c r="P534" s="1229"/>
      <c r="Q534" s="1229"/>
      <c r="R534" s="1229"/>
      <c r="S534" s="1229"/>
      <c r="T534" s="1274"/>
      <c r="U534" s="1274"/>
      <c r="V534" s="1229"/>
      <c r="W534" s="1229"/>
      <c r="X534" s="1229"/>
      <c r="Y534" s="1229"/>
      <c r="Z534" s="1274"/>
      <c r="AA534" s="1274"/>
      <c r="AB534" s="1229"/>
      <c r="AC534" s="1229"/>
      <c r="AD534" s="1229"/>
      <c r="AE534" s="1229"/>
      <c r="AF534" s="1274"/>
      <c r="AG534" s="1274"/>
      <c r="AH534" s="1229"/>
      <c r="AI534" s="1229"/>
      <c r="AJ534" s="1229"/>
      <c r="AK534" s="1229"/>
      <c r="AL534" s="1274"/>
      <c r="AM534" s="1274"/>
      <c r="AN534" s="1229"/>
      <c r="AO534" s="1229"/>
      <c r="AP534" s="1229"/>
      <c r="AQ534" s="1229"/>
      <c r="AR534" s="1274"/>
      <c r="AS534" s="1274"/>
      <c r="AT534" s="1229"/>
      <c r="AU534" s="1229"/>
      <c r="AV534" s="1229"/>
      <c r="AW534" s="1229"/>
      <c r="AX534" s="1274"/>
      <c r="AY534" s="1274"/>
      <c r="AZ534" s="1229"/>
      <c r="BA534" s="1229"/>
      <c r="BB534" s="1229"/>
      <c r="BC534" s="1229"/>
      <c r="BD534" s="1274"/>
      <c r="BE534" s="1274"/>
      <c r="BF534" s="1229"/>
      <c r="BG534" s="1229"/>
      <c r="BH534" s="1229"/>
      <c r="BI534" s="1222"/>
      <c r="BJ534" s="1350"/>
      <c r="BK534" s="1350"/>
      <c r="BL534" s="1222"/>
      <c r="BM534" s="1222"/>
      <c r="BN534" s="1222"/>
      <c r="BO534" s="1222"/>
    </row>
    <row r="535">
      <c r="A535" s="1222"/>
      <c r="B535" s="1229"/>
      <c r="C535" s="1349"/>
      <c r="D535" s="1229"/>
      <c r="E535" s="1229"/>
      <c r="F535" s="1229"/>
      <c r="G535" s="1229"/>
      <c r="H535" s="1229"/>
      <c r="I535" s="1229"/>
      <c r="J535" s="1229"/>
      <c r="K535" s="1229"/>
      <c r="L535" s="1229"/>
      <c r="M535" s="1229"/>
      <c r="N535" s="1274"/>
      <c r="O535" s="1274"/>
      <c r="P535" s="1229"/>
      <c r="Q535" s="1229"/>
      <c r="R535" s="1229"/>
      <c r="S535" s="1229"/>
      <c r="T535" s="1274"/>
      <c r="U535" s="1274"/>
      <c r="V535" s="1229"/>
      <c r="W535" s="1229"/>
      <c r="X535" s="1229"/>
      <c r="Y535" s="1229"/>
      <c r="Z535" s="1274"/>
      <c r="AA535" s="1274"/>
      <c r="AB535" s="1229"/>
      <c r="AC535" s="1229"/>
      <c r="AD535" s="1229"/>
      <c r="AE535" s="1229"/>
      <c r="AF535" s="1274"/>
      <c r="AG535" s="1274"/>
      <c r="AH535" s="1229"/>
      <c r="AI535" s="1229"/>
      <c r="AJ535" s="1229"/>
      <c r="AK535" s="1229"/>
      <c r="AL535" s="1274"/>
      <c r="AM535" s="1274"/>
      <c r="AN535" s="1229"/>
      <c r="AO535" s="1229"/>
      <c r="AP535" s="1229"/>
      <c r="AQ535" s="1229"/>
      <c r="AR535" s="1274"/>
      <c r="AS535" s="1274"/>
      <c r="AT535" s="1229"/>
      <c r="AU535" s="1229"/>
      <c r="AV535" s="1229"/>
      <c r="AW535" s="1229"/>
      <c r="AX535" s="1274"/>
      <c r="AY535" s="1274"/>
      <c r="AZ535" s="1229"/>
      <c r="BA535" s="1229"/>
      <c r="BB535" s="1229"/>
      <c r="BC535" s="1229"/>
      <c r="BD535" s="1274"/>
      <c r="BE535" s="1274"/>
      <c r="BF535" s="1229"/>
      <c r="BG535" s="1229"/>
      <c r="BH535" s="1229"/>
      <c r="BI535" s="1222"/>
      <c r="BJ535" s="1350"/>
      <c r="BK535" s="1350"/>
      <c r="BL535" s="1222"/>
      <c r="BM535" s="1222"/>
      <c r="BN535" s="1222"/>
      <c r="BO535" s="1222"/>
    </row>
    <row r="536">
      <c r="A536" s="1222"/>
      <c r="B536" s="1229"/>
      <c r="C536" s="1349"/>
      <c r="D536" s="1229"/>
      <c r="E536" s="1229"/>
      <c r="F536" s="1229"/>
      <c r="G536" s="1229"/>
      <c r="H536" s="1229"/>
      <c r="I536" s="1229"/>
      <c r="J536" s="1229"/>
      <c r="K536" s="1229"/>
      <c r="L536" s="1229"/>
      <c r="M536" s="1229"/>
      <c r="N536" s="1274"/>
      <c r="O536" s="1274"/>
      <c r="P536" s="1229"/>
      <c r="Q536" s="1229"/>
      <c r="R536" s="1229"/>
      <c r="S536" s="1229"/>
      <c r="T536" s="1274"/>
      <c r="U536" s="1274"/>
      <c r="V536" s="1229"/>
      <c r="W536" s="1229"/>
      <c r="X536" s="1229"/>
      <c r="Y536" s="1229"/>
      <c r="Z536" s="1274"/>
      <c r="AA536" s="1274"/>
      <c r="AB536" s="1229"/>
      <c r="AC536" s="1229"/>
      <c r="AD536" s="1229"/>
      <c r="AE536" s="1229"/>
      <c r="AF536" s="1274"/>
      <c r="AG536" s="1274"/>
      <c r="AH536" s="1229"/>
      <c r="AI536" s="1229"/>
      <c r="AJ536" s="1229"/>
      <c r="AK536" s="1229"/>
      <c r="AL536" s="1274"/>
      <c r="AM536" s="1274"/>
      <c r="AN536" s="1229"/>
      <c r="AO536" s="1229"/>
      <c r="AP536" s="1229"/>
      <c r="AQ536" s="1229"/>
      <c r="AR536" s="1274"/>
      <c r="AS536" s="1274"/>
      <c r="AT536" s="1229"/>
      <c r="AU536" s="1229"/>
      <c r="AV536" s="1229"/>
      <c r="AW536" s="1229"/>
      <c r="AX536" s="1274"/>
      <c r="AY536" s="1274"/>
      <c r="AZ536" s="1229"/>
      <c r="BA536" s="1229"/>
      <c r="BB536" s="1229"/>
      <c r="BC536" s="1229"/>
      <c r="BD536" s="1274"/>
      <c r="BE536" s="1274"/>
      <c r="BF536" s="1229"/>
      <c r="BG536" s="1229"/>
      <c r="BH536" s="1229"/>
      <c r="BI536" s="1222"/>
      <c r="BJ536" s="1350"/>
      <c r="BK536" s="1350"/>
      <c r="BL536" s="1222"/>
      <c r="BM536" s="1222"/>
      <c r="BN536" s="1222"/>
      <c r="BO536" s="1222"/>
    </row>
    <row r="537">
      <c r="A537" s="1222"/>
      <c r="B537" s="1229"/>
      <c r="C537" s="1349"/>
      <c r="D537" s="1229"/>
      <c r="E537" s="1229"/>
      <c r="F537" s="1229"/>
      <c r="G537" s="1229"/>
      <c r="H537" s="1229"/>
      <c r="I537" s="1229"/>
      <c r="J537" s="1229"/>
      <c r="K537" s="1229"/>
      <c r="L537" s="1229"/>
      <c r="M537" s="1229"/>
      <c r="N537" s="1274"/>
      <c r="O537" s="1274"/>
      <c r="P537" s="1229"/>
      <c r="Q537" s="1229"/>
      <c r="R537" s="1229"/>
      <c r="S537" s="1229"/>
      <c r="T537" s="1274"/>
      <c r="U537" s="1274"/>
      <c r="V537" s="1229"/>
      <c r="W537" s="1229"/>
      <c r="X537" s="1229"/>
      <c r="Y537" s="1229"/>
      <c r="Z537" s="1274"/>
      <c r="AA537" s="1274"/>
      <c r="AB537" s="1229"/>
      <c r="AC537" s="1229"/>
      <c r="AD537" s="1229"/>
      <c r="AE537" s="1229"/>
      <c r="AF537" s="1274"/>
      <c r="AG537" s="1274"/>
      <c r="AH537" s="1229"/>
      <c r="AI537" s="1229"/>
      <c r="AJ537" s="1229"/>
      <c r="AK537" s="1229"/>
      <c r="AL537" s="1274"/>
      <c r="AM537" s="1274"/>
      <c r="AN537" s="1229"/>
      <c r="AO537" s="1229"/>
      <c r="AP537" s="1229"/>
      <c r="AQ537" s="1229"/>
      <c r="AR537" s="1274"/>
      <c r="AS537" s="1274"/>
      <c r="AT537" s="1229"/>
      <c r="AU537" s="1229"/>
      <c r="AV537" s="1229"/>
      <c r="AW537" s="1229"/>
      <c r="AX537" s="1274"/>
      <c r="AY537" s="1274"/>
      <c r="AZ537" s="1229"/>
      <c r="BA537" s="1229"/>
      <c r="BB537" s="1229"/>
      <c r="BC537" s="1229"/>
      <c r="BD537" s="1274"/>
      <c r="BE537" s="1274"/>
      <c r="BF537" s="1229"/>
      <c r="BG537" s="1229"/>
      <c r="BH537" s="1229"/>
      <c r="BI537" s="1222"/>
      <c r="BJ537" s="1350"/>
      <c r="BK537" s="1350"/>
      <c r="BL537" s="1222"/>
      <c r="BM537" s="1222"/>
      <c r="BN537" s="1222"/>
      <c r="BO537" s="1222"/>
    </row>
    <row r="538">
      <c r="A538" s="1222"/>
      <c r="B538" s="1229"/>
      <c r="C538" s="1349"/>
      <c r="D538" s="1229"/>
      <c r="E538" s="1229"/>
      <c r="F538" s="1229"/>
      <c r="G538" s="1229"/>
      <c r="H538" s="1229"/>
      <c r="I538" s="1229"/>
      <c r="J538" s="1229"/>
      <c r="K538" s="1229"/>
      <c r="L538" s="1229"/>
      <c r="M538" s="1229"/>
      <c r="N538" s="1274"/>
      <c r="O538" s="1274"/>
      <c r="P538" s="1229"/>
      <c r="Q538" s="1229"/>
      <c r="R538" s="1229"/>
      <c r="S538" s="1229"/>
      <c r="T538" s="1274"/>
      <c r="U538" s="1274"/>
      <c r="V538" s="1229"/>
      <c r="W538" s="1229"/>
      <c r="X538" s="1229"/>
      <c r="Y538" s="1229"/>
      <c r="Z538" s="1274"/>
      <c r="AA538" s="1274"/>
      <c r="AB538" s="1229"/>
      <c r="AC538" s="1229"/>
      <c r="AD538" s="1229"/>
      <c r="AE538" s="1229"/>
      <c r="AF538" s="1274"/>
      <c r="AG538" s="1274"/>
      <c r="AH538" s="1229"/>
      <c r="AI538" s="1229"/>
      <c r="AJ538" s="1229"/>
      <c r="AK538" s="1229"/>
      <c r="AL538" s="1274"/>
      <c r="AM538" s="1274"/>
      <c r="AN538" s="1229"/>
      <c r="AO538" s="1229"/>
      <c r="AP538" s="1229"/>
      <c r="AQ538" s="1229"/>
      <c r="AR538" s="1274"/>
      <c r="AS538" s="1274"/>
      <c r="AT538" s="1229"/>
      <c r="AU538" s="1229"/>
      <c r="AV538" s="1229"/>
      <c r="AW538" s="1229"/>
      <c r="AX538" s="1274"/>
      <c r="AY538" s="1274"/>
      <c r="AZ538" s="1229"/>
      <c r="BA538" s="1229"/>
      <c r="BB538" s="1229"/>
      <c r="BC538" s="1229"/>
      <c r="BD538" s="1274"/>
      <c r="BE538" s="1274"/>
      <c r="BF538" s="1229"/>
      <c r="BG538" s="1229"/>
      <c r="BH538" s="1229"/>
      <c r="BI538" s="1222"/>
      <c r="BJ538" s="1350"/>
      <c r="BK538" s="1350"/>
      <c r="BL538" s="1222"/>
      <c r="BM538" s="1222"/>
      <c r="BN538" s="1222"/>
      <c r="BO538" s="1222"/>
    </row>
    <row r="539">
      <c r="A539" s="1222"/>
      <c r="B539" s="1229"/>
      <c r="C539" s="1349"/>
      <c r="D539" s="1229"/>
      <c r="E539" s="1229"/>
      <c r="F539" s="1229"/>
      <c r="G539" s="1229"/>
      <c r="H539" s="1229"/>
      <c r="I539" s="1229"/>
      <c r="J539" s="1229"/>
      <c r="K539" s="1229"/>
      <c r="L539" s="1229"/>
      <c r="M539" s="1229"/>
      <c r="N539" s="1274"/>
      <c r="O539" s="1274"/>
      <c r="P539" s="1229"/>
      <c r="Q539" s="1229"/>
      <c r="R539" s="1229"/>
      <c r="S539" s="1229"/>
      <c r="T539" s="1274"/>
      <c r="U539" s="1274"/>
      <c r="V539" s="1229"/>
      <c r="W539" s="1229"/>
      <c r="X539" s="1229"/>
      <c r="Y539" s="1229"/>
      <c r="Z539" s="1274"/>
      <c r="AA539" s="1274"/>
      <c r="AB539" s="1229"/>
      <c r="AC539" s="1229"/>
      <c r="AD539" s="1229"/>
      <c r="AE539" s="1229"/>
      <c r="AF539" s="1274"/>
      <c r="AG539" s="1274"/>
      <c r="AH539" s="1229"/>
      <c r="AI539" s="1229"/>
      <c r="AJ539" s="1229"/>
      <c r="AK539" s="1229"/>
      <c r="AL539" s="1274"/>
      <c r="AM539" s="1274"/>
      <c r="AN539" s="1229"/>
      <c r="AO539" s="1229"/>
      <c r="AP539" s="1229"/>
      <c r="AQ539" s="1229"/>
      <c r="AR539" s="1274"/>
      <c r="AS539" s="1274"/>
      <c r="AT539" s="1229"/>
      <c r="AU539" s="1229"/>
      <c r="AV539" s="1229"/>
      <c r="AW539" s="1229"/>
      <c r="AX539" s="1274"/>
      <c r="AY539" s="1274"/>
      <c r="AZ539" s="1229"/>
      <c r="BA539" s="1229"/>
      <c r="BB539" s="1229"/>
      <c r="BC539" s="1229"/>
      <c r="BD539" s="1274"/>
      <c r="BE539" s="1274"/>
      <c r="BF539" s="1229"/>
      <c r="BG539" s="1229"/>
      <c r="BH539" s="1229"/>
      <c r="BI539" s="1222"/>
      <c r="BJ539" s="1350"/>
      <c r="BK539" s="1350"/>
      <c r="BL539" s="1222"/>
      <c r="BM539" s="1222"/>
      <c r="BN539" s="1222"/>
      <c r="BO539" s="1222"/>
    </row>
    <row r="540">
      <c r="A540" s="1222"/>
      <c r="B540" s="1229"/>
      <c r="C540" s="1349"/>
      <c r="D540" s="1229"/>
      <c r="E540" s="1229"/>
      <c r="F540" s="1229"/>
      <c r="G540" s="1229"/>
      <c r="H540" s="1229"/>
      <c r="I540" s="1229"/>
      <c r="J540" s="1229"/>
      <c r="K540" s="1229"/>
      <c r="L540" s="1229"/>
      <c r="M540" s="1229"/>
      <c r="N540" s="1274"/>
      <c r="O540" s="1274"/>
      <c r="P540" s="1229"/>
      <c r="Q540" s="1229"/>
      <c r="R540" s="1229"/>
      <c r="S540" s="1229"/>
      <c r="T540" s="1274"/>
      <c r="U540" s="1274"/>
      <c r="V540" s="1229"/>
      <c r="W540" s="1229"/>
      <c r="X540" s="1229"/>
      <c r="Y540" s="1229"/>
      <c r="Z540" s="1274"/>
      <c r="AA540" s="1274"/>
      <c r="AB540" s="1229"/>
      <c r="AC540" s="1229"/>
      <c r="AD540" s="1229"/>
      <c r="AE540" s="1229"/>
      <c r="AF540" s="1274"/>
      <c r="AG540" s="1274"/>
      <c r="AH540" s="1229"/>
      <c r="AI540" s="1229"/>
      <c r="AJ540" s="1229"/>
      <c r="AK540" s="1229"/>
      <c r="AL540" s="1274"/>
      <c r="AM540" s="1274"/>
      <c r="AN540" s="1229"/>
      <c r="AO540" s="1229"/>
      <c r="AP540" s="1229"/>
      <c r="AQ540" s="1229"/>
      <c r="AR540" s="1274"/>
      <c r="AS540" s="1274"/>
      <c r="AT540" s="1229"/>
      <c r="AU540" s="1229"/>
      <c r="AV540" s="1229"/>
      <c r="AW540" s="1229"/>
      <c r="AX540" s="1274"/>
      <c r="AY540" s="1274"/>
      <c r="AZ540" s="1229"/>
      <c r="BA540" s="1229"/>
      <c r="BB540" s="1229"/>
      <c r="BC540" s="1229"/>
      <c r="BD540" s="1274"/>
      <c r="BE540" s="1274"/>
      <c r="BF540" s="1229"/>
      <c r="BG540" s="1229"/>
      <c r="BH540" s="1229"/>
      <c r="BI540" s="1222"/>
      <c r="BJ540" s="1350"/>
      <c r="BK540" s="1350"/>
      <c r="BL540" s="1222"/>
      <c r="BM540" s="1222"/>
      <c r="BN540" s="1222"/>
      <c r="BO540" s="1222"/>
    </row>
    <row r="541">
      <c r="A541" s="1222"/>
      <c r="B541" s="1229"/>
      <c r="C541" s="1349"/>
      <c r="D541" s="1229"/>
      <c r="E541" s="1229"/>
      <c r="F541" s="1229"/>
      <c r="G541" s="1229"/>
      <c r="H541" s="1229"/>
      <c r="I541" s="1229"/>
      <c r="J541" s="1229"/>
      <c r="K541" s="1229"/>
      <c r="L541" s="1229"/>
      <c r="M541" s="1229"/>
      <c r="N541" s="1274"/>
      <c r="O541" s="1274"/>
      <c r="P541" s="1229"/>
      <c r="Q541" s="1229"/>
      <c r="R541" s="1229"/>
      <c r="S541" s="1229"/>
      <c r="T541" s="1274"/>
      <c r="U541" s="1274"/>
      <c r="V541" s="1229"/>
      <c r="W541" s="1229"/>
      <c r="X541" s="1229"/>
      <c r="Y541" s="1229"/>
      <c r="Z541" s="1274"/>
      <c r="AA541" s="1274"/>
      <c r="AB541" s="1229"/>
      <c r="AC541" s="1229"/>
      <c r="AD541" s="1229"/>
      <c r="AE541" s="1229"/>
      <c r="AF541" s="1274"/>
      <c r="AG541" s="1274"/>
      <c r="AH541" s="1229"/>
      <c r="AI541" s="1229"/>
      <c r="AJ541" s="1229"/>
      <c r="AK541" s="1229"/>
      <c r="AL541" s="1274"/>
      <c r="AM541" s="1274"/>
      <c r="AN541" s="1229"/>
      <c r="AO541" s="1229"/>
      <c r="AP541" s="1229"/>
      <c r="AQ541" s="1229"/>
      <c r="AR541" s="1274"/>
      <c r="AS541" s="1274"/>
      <c r="AT541" s="1229"/>
      <c r="AU541" s="1229"/>
      <c r="AV541" s="1229"/>
      <c r="AW541" s="1229"/>
      <c r="AX541" s="1274"/>
      <c r="AY541" s="1274"/>
      <c r="AZ541" s="1229"/>
      <c r="BA541" s="1229"/>
      <c r="BB541" s="1229"/>
      <c r="BC541" s="1229"/>
      <c r="BD541" s="1274"/>
      <c r="BE541" s="1274"/>
      <c r="BF541" s="1229"/>
      <c r="BG541" s="1229"/>
      <c r="BH541" s="1229"/>
      <c r="BI541" s="1222"/>
      <c r="BJ541" s="1350"/>
      <c r="BK541" s="1350"/>
      <c r="BL541" s="1222"/>
      <c r="BM541" s="1222"/>
      <c r="BN541" s="1222"/>
      <c r="BO541" s="1222"/>
    </row>
    <row r="542">
      <c r="A542" s="1222"/>
      <c r="B542" s="1229"/>
      <c r="C542" s="1349"/>
      <c r="D542" s="1229"/>
      <c r="E542" s="1229"/>
      <c r="F542" s="1229"/>
      <c r="G542" s="1229"/>
      <c r="H542" s="1229"/>
      <c r="I542" s="1229"/>
      <c r="J542" s="1229"/>
      <c r="K542" s="1229"/>
      <c r="L542" s="1229"/>
      <c r="M542" s="1229"/>
      <c r="N542" s="1274"/>
      <c r="O542" s="1274"/>
      <c r="P542" s="1229"/>
      <c r="Q542" s="1229"/>
      <c r="R542" s="1229"/>
      <c r="S542" s="1229"/>
      <c r="T542" s="1274"/>
      <c r="U542" s="1274"/>
      <c r="V542" s="1229"/>
      <c r="W542" s="1229"/>
      <c r="X542" s="1229"/>
      <c r="Y542" s="1229"/>
      <c r="Z542" s="1274"/>
      <c r="AA542" s="1274"/>
      <c r="AB542" s="1229"/>
      <c r="AC542" s="1229"/>
      <c r="AD542" s="1229"/>
      <c r="AE542" s="1229"/>
      <c r="AF542" s="1274"/>
      <c r="AG542" s="1274"/>
      <c r="AH542" s="1229"/>
      <c r="AI542" s="1229"/>
      <c r="AJ542" s="1229"/>
      <c r="AK542" s="1229"/>
      <c r="AL542" s="1274"/>
      <c r="AM542" s="1274"/>
      <c r="AN542" s="1229"/>
      <c r="AO542" s="1229"/>
      <c r="AP542" s="1229"/>
      <c r="AQ542" s="1229"/>
      <c r="AR542" s="1274"/>
      <c r="AS542" s="1274"/>
      <c r="AT542" s="1229"/>
      <c r="AU542" s="1229"/>
      <c r="AV542" s="1229"/>
      <c r="AW542" s="1229"/>
      <c r="AX542" s="1274"/>
      <c r="AY542" s="1274"/>
      <c r="AZ542" s="1229"/>
      <c r="BA542" s="1229"/>
      <c r="BB542" s="1229"/>
      <c r="BC542" s="1229"/>
      <c r="BD542" s="1274"/>
      <c r="BE542" s="1274"/>
      <c r="BF542" s="1229"/>
      <c r="BG542" s="1229"/>
      <c r="BH542" s="1229"/>
      <c r="BI542" s="1222"/>
      <c r="BJ542" s="1350"/>
      <c r="BK542" s="1350"/>
      <c r="BL542" s="1222"/>
      <c r="BM542" s="1222"/>
      <c r="BN542" s="1222"/>
      <c r="BO542" s="1222"/>
    </row>
    <row r="543">
      <c r="A543" s="1222"/>
      <c r="B543" s="1229"/>
      <c r="C543" s="1349"/>
      <c r="D543" s="1229"/>
      <c r="E543" s="1229"/>
      <c r="F543" s="1229"/>
      <c r="G543" s="1229"/>
      <c r="H543" s="1229"/>
      <c r="I543" s="1229"/>
      <c r="J543" s="1229"/>
      <c r="K543" s="1229"/>
      <c r="L543" s="1229"/>
      <c r="M543" s="1229"/>
      <c r="N543" s="1274"/>
      <c r="O543" s="1274"/>
      <c r="P543" s="1229"/>
      <c r="Q543" s="1229"/>
      <c r="R543" s="1229"/>
      <c r="S543" s="1229"/>
      <c r="T543" s="1274"/>
      <c r="U543" s="1274"/>
      <c r="V543" s="1229"/>
      <c r="W543" s="1229"/>
      <c r="X543" s="1229"/>
      <c r="Y543" s="1229"/>
      <c r="Z543" s="1274"/>
      <c r="AA543" s="1274"/>
      <c r="AB543" s="1229"/>
      <c r="AC543" s="1229"/>
      <c r="AD543" s="1229"/>
      <c r="AE543" s="1229"/>
      <c r="AF543" s="1274"/>
      <c r="AG543" s="1274"/>
      <c r="AH543" s="1229"/>
      <c r="AI543" s="1229"/>
      <c r="AJ543" s="1229"/>
      <c r="AK543" s="1229"/>
      <c r="AL543" s="1274"/>
      <c r="AM543" s="1274"/>
      <c r="AN543" s="1229"/>
      <c r="AO543" s="1229"/>
      <c r="AP543" s="1229"/>
      <c r="AQ543" s="1229"/>
      <c r="AR543" s="1274"/>
      <c r="AS543" s="1274"/>
      <c r="AT543" s="1229"/>
      <c r="AU543" s="1229"/>
      <c r="AV543" s="1229"/>
      <c r="AW543" s="1229"/>
      <c r="AX543" s="1274"/>
      <c r="AY543" s="1274"/>
      <c r="AZ543" s="1229"/>
      <c r="BA543" s="1229"/>
      <c r="BB543" s="1229"/>
      <c r="BC543" s="1229"/>
      <c r="BD543" s="1274"/>
      <c r="BE543" s="1274"/>
      <c r="BF543" s="1229"/>
      <c r="BG543" s="1229"/>
      <c r="BH543" s="1229"/>
      <c r="BI543" s="1222"/>
      <c r="BJ543" s="1350"/>
      <c r="BK543" s="1350"/>
      <c r="BL543" s="1222"/>
      <c r="BM543" s="1222"/>
      <c r="BN543" s="1222"/>
      <c r="BO543" s="1222"/>
    </row>
    <row r="544">
      <c r="A544" s="1222"/>
      <c r="B544" s="1229"/>
      <c r="C544" s="1349"/>
      <c r="D544" s="1229"/>
      <c r="E544" s="1229"/>
      <c r="F544" s="1229"/>
      <c r="G544" s="1229"/>
      <c r="H544" s="1229"/>
      <c r="I544" s="1229"/>
      <c r="J544" s="1229"/>
      <c r="K544" s="1229"/>
      <c r="L544" s="1229"/>
      <c r="M544" s="1229"/>
      <c r="N544" s="1274"/>
      <c r="O544" s="1274"/>
      <c r="P544" s="1229"/>
      <c r="Q544" s="1229"/>
      <c r="R544" s="1229"/>
      <c r="S544" s="1229"/>
      <c r="T544" s="1274"/>
      <c r="U544" s="1274"/>
      <c r="V544" s="1229"/>
      <c r="W544" s="1229"/>
      <c r="X544" s="1229"/>
      <c r="Y544" s="1229"/>
      <c r="Z544" s="1274"/>
      <c r="AA544" s="1274"/>
      <c r="AB544" s="1229"/>
      <c r="AC544" s="1229"/>
      <c r="AD544" s="1229"/>
      <c r="AE544" s="1229"/>
      <c r="AF544" s="1274"/>
      <c r="AG544" s="1274"/>
      <c r="AH544" s="1229"/>
      <c r="AI544" s="1229"/>
      <c r="AJ544" s="1229"/>
      <c r="AK544" s="1229"/>
      <c r="AL544" s="1274"/>
      <c r="AM544" s="1274"/>
      <c r="AN544" s="1229"/>
      <c r="AO544" s="1229"/>
      <c r="AP544" s="1229"/>
      <c r="AQ544" s="1229"/>
      <c r="AR544" s="1274"/>
      <c r="AS544" s="1274"/>
      <c r="AT544" s="1229"/>
      <c r="AU544" s="1229"/>
      <c r="AV544" s="1229"/>
      <c r="AW544" s="1229"/>
      <c r="AX544" s="1274"/>
      <c r="AY544" s="1274"/>
      <c r="AZ544" s="1229"/>
      <c r="BA544" s="1229"/>
      <c r="BB544" s="1229"/>
      <c r="BC544" s="1229"/>
      <c r="BD544" s="1274"/>
      <c r="BE544" s="1274"/>
      <c r="BF544" s="1229"/>
      <c r="BG544" s="1229"/>
      <c r="BH544" s="1229"/>
      <c r="BI544" s="1222"/>
      <c r="BJ544" s="1350"/>
      <c r="BK544" s="1350"/>
      <c r="BL544" s="1222"/>
      <c r="BM544" s="1222"/>
      <c r="BN544" s="1222"/>
      <c r="BO544" s="1222"/>
    </row>
    <row r="545">
      <c r="A545" s="1222"/>
      <c r="B545" s="1229"/>
      <c r="C545" s="1349"/>
      <c r="D545" s="1229"/>
      <c r="E545" s="1229"/>
      <c r="F545" s="1229"/>
      <c r="G545" s="1229"/>
      <c r="H545" s="1229"/>
      <c r="I545" s="1229"/>
      <c r="J545" s="1229"/>
      <c r="K545" s="1229"/>
      <c r="L545" s="1229"/>
      <c r="M545" s="1229"/>
      <c r="N545" s="1274"/>
      <c r="O545" s="1274"/>
      <c r="P545" s="1229"/>
      <c r="Q545" s="1229"/>
      <c r="R545" s="1229"/>
      <c r="S545" s="1229"/>
      <c r="T545" s="1274"/>
      <c r="U545" s="1274"/>
      <c r="V545" s="1229"/>
      <c r="W545" s="1229"/>
      <c r="X545" s="1229"/>
      <c r="Y545" s="1229"/>
      <c r="Z545" s="1274"/>
      <c r="AA545" s="1274"/>
      <c r="AB545" s="1229"/>
      <c r="AC545" s="1229"/>
      <c r="AD545" s="1229"/>
      <c r="AE545" s="1229"/>
      <c r="AF545" s="1274"/>
      <c r="AG545" s="1274"/>
      <c r="AH545" s="1229"/>
      <c r="AI545" s="1229"/>
      <c r="AJ545" s="1229"/>
      <c r="AK545" s="1229"/>
      <c r="AL545" s="1274"/>
      <c r="AM545" s="1274"/>
      <c r="AN545" s="1229"/>
      <c r="AO545" s="1229"/>
      <c r="AP545" s="1229"/>
      <c r="AQ545" s="1229"/>
      <c r="AR545" s="1274"/>
      <c r="AS545" s="1274"/>
      <c r="AT545" s="1229"/>
      <c r="AU545" s="1229"/>
      <c r="AV545" s="1229"/>
      <c r="AW545" s="1229"/>
      <c r="AX545" s="1274"/>
      <c r="AY545" s="1274"/>
      <c r="AZ545" s="1229"/>
      <c r="BA545" s="1229"/>
      <c r="BB545" s="1229"/>
      <c r="BC545" s="1229"/>
      <c r="BD545" s="1274"/>
      <c r="BE545" s="1274"/>
      <c r="BF545" s="1229"/>
      <c r="BG545" s="1229"/>
      <c r="BH545" s="1229"/>
      <c r="BI545" s="1222"/>
      <c r="BJ545" s="1350"/>
      <c r="BK545" s="1350"/>
      <c r="BL545" s="1222"/>
      <c r="BM545" s="1222"/>
      <c r="BN545" s="1222"/>
      <c r="BO545" s="1222"/>
    </row>
    <row r="546">
      <c r="A546" s="1222"/>
      <c r="B546" s="1229"/>
      <c r="C546" s="1349"/>
      <c r="D546" s="1229"/>
      <c r="E546" s="1229"/>
      <c r="F546" s="1229"/>
      <c r="G546" s="1229"/>
      <c r="H546" s="1229"/>
      <c r="I546" s="1229"/>
      <c r="J546" s="1229"/>
      <c r="K546" s="1229"/>
      <c r="L546" s="1229"/>
      <c r="M546" s="1229"/>
      <c r="N546" s="1274"/>
      <c r="O546" s="1274"/>
      <c r="P546" s="1229"/>
      <c r="Q546" s="1229"/>
      <c r="R546" s="1229"/>
      <c r="S546" s="1229"/>
      <c r="T546" s="1274"/>
      <c r="U546" s="1274"/>
      <c r="V546" s="1229"/>
      <c r="W546" s="1229"/>
      <c r="X546" s="1229"/>
      <c r="Y546" s="1229"/>
      <c r="Z546" s="1274"/>
      <c r="AA546" s="1274"/>
      <c r="AB546" s="1229"/>
      <c r="AC546" s="1229"/>
      <c r="AD546" s="1229"/>
      <c r="AE546" s="1229"/>
      <c r="AF546" s="1274"/>
      <c r="AG546" s="1274"/>
      <c r="AH546" s="1229"/>
      <c r="AI546" s="1229"/>
      <c r="AJ546" s="1229"/>
      <c r="AK546" s="1229"/>
      <c r="AL546" s="1274"/>
      <c r="AM546" s="1274"/>
      <c r="AN546" s="1229"/>
      <c r="AO546" s="1229"/>
      <c r="AP546" s="1229"/>
      <c r="AQ546" s="1229"/>
      <c r="AR546" s="1274"/>
      <c r="AS546" s="1274"/>
      <c r="AT546" s="1229"/>
      <c r="AU546" s="1229"/>
      <c r="AV546" s="1229"/>
      <c r="AW546" s="1229"/>
      <c r="AX546" s="1274"/>
      <c r="AY546" s="1274"/>
      <c r="AZ546" s="1229"/>
      <c r="BA546" s="1229"/>
      <c r="BB546" s="1229"/>
      <c r="BC546" s="1229"/>
      <c r="BD546" s="1274"/>
      <c r="BE546" s="1274"/>
      <c r="BF546" s="1229"/>
      <c r="BG546" s="1229"/>
      <c r="BH546" s="1229"/>
      <c r="BI546" s="1222"/>
      <c r="BJ546" s="1350"/>
      <c r="BK546" s="1350"/>
      <c r="BL546" s="1222"/>
      <c r="BM546" s="1222"/>
      <c r="BN546" s="1222"/>
      <c r="BO546" s="1222"/>
    </row>
    <row r="547">
      <c r="A547" s="1222"/>
      <c r="B547" s="1229"/>
      <c r="C547" s="1349"/>
      <c r="D547" s="1229"/>
      <c r="E547" s="1229"/>
      <c r="F547" s="1229"/>
      <c r="G547" s="1229"/>
      <c r="H547" s="1229"/>
      <c r="I547" s="1229"/>
      <c r="J547" s="1229"/>
      <c r="K547" s="1229"/>
      <c r="L547" s="1229"/>
      <c r="M547" s="1229"/>
      <c r="N547" s="1274"/>
      <c r="O547" s="1274"/>
      <c r="P547" s="1229"/>
      <c r="Q547" s="1229"/>
      <c r="R547" s="1229"/>
      <c r="S547" s="1229"/>
      <c r="T547" s="1274"/>
      <c r="U547" s="1274"/>
      <c r="V547" s="1229"/>
      <c r="W547" s="1229"/>
      <c r="X547" s="1229"/>
      <c r="Y547" s="1229"/>
      <c r="Z547" s="1274"/>
      <c r="AA547" s="1274"/>
      <c r="AB547" s="1229"/>
      <c r="AC547" s="1229"/>
      <c r="AD547" s="1229"/>
      <c r="AE547" s="1229"/>
      <c r="AF547" s="1274"/>
      <c r="AG547" s="1274"/>
      <c r="AH547" s="1229"/>
      <c r="AI547" s="1229"/>
      <c r="AJ547" s="1229"/>
      <c r="AK547" s="1229"/>
      <c r="AL547" s="1274"/>
      <c r="AM547" s="1274"/>
      <c r="AN547" s="1229"/>
      <c r="AO547" s="1229"/>
      <c r="AP547" s="1229"/>
      <c r="AQ547" s="1229"/>
      <c r="AR547" s="1274"/>
      <c r="AS547" s="1274"/>
      <c r="AT547" s="1229"/>
      <c r="AU547" s="1229"/>
      <c r="AV547" s="1229"/>
      <c r="AW547" s="1229"/>
      <c r="AX547" s="1274"/>
      <c r="AY547" s="1274"/>
      <c r="AZ547" s="1229"/>
      <c r="BA547" s="1229"/>
      <c r="BB547" s="1229"/>
      <c r="BC547" s="1229"/>
      <c r="BD547" s="1274"/>
      <c r="BE547" s="1274"/>
      <c r="BF547" s="1229"/>
      <c r="BG547" s="1229"/>
      <c r="BH547" s="1229"/>
      <c r="BI547" s="1222"/>
      <c r="BJ547" s="1350"/>
      <c r="BK547" s="1350"/>
      <c r="BL547" s="1222"/>
      <c r="BM547" s="1222"/>
      <c r="BN547" s="1222"/>
      <c r="BO547" s="1222"/>
    </row>
    <row r="548">
      <c r="A548" s="1222"/>
      <c r="B548" s="1229"/>
      <c r="C548" s="1349"/>
      <c r="D548" s="1229"/>
      <c r="E548" s="1229"/>
      <c r="F548" s="1229"/>
      <c r="G548" s="1229"/>
      <c r="H548" s="1229"/>
      <c r="I548" s="1229"/>
      <c r="J548" s="1229"/>
      <c r="K548" s="1229"/>
      <c r="L548" s="1229"/>
      <c r="M548" s="1229"/>
      <c r="N548" s="1274"/>
      <c r="O548" s="1274"/>
      <c r="P548" s="1229"/>
      <c r="Q548" s="1229"/>
      <c r="R548" s="1229"/>
      <c r="S548" s="1229"/>
      <c r="T548" s="1274"/>
      <c r="U548" s="1274"/>
      <c r="V548" s="1229"/>
      <c r="W548" s="1229"/>
      <c r="X548" s="1229"/>
      <c r="Y548" s="1229"/>
      <c r="Z548" s="1274"/>
      <c r="AA548" s="1274"/>
      <c r="AB548" s="1229"/>
      <c r="AC548" s="1229"/>
      <c r="AD548" s="1229"/>
      <c r="AE548" s="1229"/>
      <c r="AF548" s="1274"/>
      <c r="AG548" s="1274"/>
      <c r="AH548" s="1229"/>
      <c r="AI548" s="1229"/>
      <c r="AJ548" s="1229"/>
      <c r="AK548" s="1229"/>
      <c r="AL548" s="1274"/>
      <c r="AM548" s="1274"/>
      <c r="AN548" s="1229"/>
      <c r="AO548" s="1229"/>
      <c r="AP548" s="1229"/>
      <c r="AQ548" s="1229"/>
      <c r="AR548" s="1274"/>
      <c r="AS548" s="1274"/>
      <c r="AT548" s="1229"/>
      <c r="AU548" s="1229"/>
      <c r="AV548" s="1229"/>
      <c r="AW548" s="1229"/>
      <c r="AX548" s="1274"/>
      <c r="AY548" s="1274"/>
      <c r="AZ548" s="1229"/>
      <c r="BA548" s="1229"/>
      <c r="BB548" s="1229"/>
      <c r="BC548" s="1229"/>
      <c r="BD548" s="1274"/>
      <c r="BE548" s="1274"/>
      <c r="BF548" s="1229"/>
      <c r="BG548" s="1229"/>
      <c r="BH548" s="1229"/>
      <c r="BI548" s="1222"/>
      <c r="BJ548" s="1350"/>
      <c r="BK548" s="1350"/>
      <c r="BL548" s="1222"/>
      <c r="BM548" s="1222"/>
      <c r="BN548" s="1222"/>
      <c r="BO548" s="1222"/>
    </row>
    <row r="549">
      <c r="A549" s="1222"/>
      <c r="B549" s="1229"/>
      <c r="C549" s="1349"/>
      <c r="D549" s="1229"/>
      <c r="E549" s="1229"/>
      <c r="F549" s="1229"/>
      <c r="G549" s="1229"/>
      <c r="H549" s="1229"/>
      <c r="I549" s="1229"/>
      <c r="J549" s="1229"/>
      <c r="K549" s="1229"/>
      <c r="L549" s="1229"/>
      <c r="M549" s="1229"/>
      <c r="N549" s="1274"/>
      <c r="O549" s="1274"/>
      <c r="P549" s="1229"/>
      <c r="Q549" s="1229"/>
      <c r="R549" s="1229"/>
      <c r="S549" s="1229"/>
      <c r="T549" s="1274"/>
      <c r="U549" s="1274"/>
      <c r="V549" s="1229"/>
      <c r="W549" s="1229"/>
      <c r="X549" s="1229"/>
      <c r="Y549" s="1229"/>
      <c r="Z549" s="1274"/>
      <c r="AA549" s="1274"/>
      <c r="AB549" s="1229"/>
      <c r="AC549" s="1229"/>
      <c r="AD549" s="1229"/>
      <c r="AE549" s="1229"/>
      <c r="AF549" s="1274"/>
      <c r="AG549" s="1274"/>
      <c r="AH549" s="1229"/>
      <c r="AI549" s="1229"/>
      <c r="AJ549" s="1229"/>
      <c r="AK549" s="1229"/>
      <c r="AL549" s="1274"/>
      <c r="AM549" s="1274"/>
      <c r="AN549" s="1229"/>
      <c r="AO549" s="1229"/>
      <c r="AP549" s="1229"/>
      <c r="AQ549" s="1229"/>
      <c r="AR549" s="1274"/>
      <c r="AS549" s="1274"/>
      <c r="AT549" s="1229"/>
      <c r="AU549" s="1229"/>
      <c r="AV549" s="1229"/>
      <c r="AW549" s="1229"/>
      <c r="AX549" s="1274"/>
      <c r="AY549" s="1274"/>
      <c r="AZ549" s="1229"/>
      <c r="BA549" s="1229"/>
      <c r="BB549" s="1229"/>
      <c r="BC549" s="1229"/>
      <c r="BD549" s="1274"/>
      <c r="BE549" s="1274"/>
      <c r="BF549" s="1229"/>
      <c r="BG549" s="1229"/>
      <c r="BH549" s="1229"/>
      <c r="BI549" s="1222"/>
      <c r="BJ549" s="1350"/>
      <c r="BK549" s="1350"/>
      <c r="BL549" s="1222"/>
      <c r="BM549" s="1222"/>
      <c r="BN549" s="1222"/>
      <c r="BO549" s="1222"/>
    </row>
    <row r="550">
      <c r="A550" s="1222"/>
      <c r="B550" s="1229"/>
      <c r="C550" s="1349"/>
      <c r="D550" s="1229"/>
      <c r="E550" s="1229"/>
      <c r="F550" s="1229"/>
      <c r="G550" s="1229"/>
      <c r="H550" s="1229"/>
      <c r="I550" s="1229"/>
      <c r="J550" s="1229"/>
      <c r="K550" s="1229"/>
      <c r="L550" s="1229"/>
      <c r="M550" s="1229"/>
      <c r="N550" s="1274"/>
      <c r="O550" s="1274"/>
      <c r="P550" s="1229"/>
      <c r="Q550" s="1229"/>
      <c r="R550" s="1229"/>
      <c r="S550" s="1229"/>
      <c r="T550" s="1274"/>
      <c r="U550" s="1274"/>
      <c r="V550" s="1229"/>
      <c r="W550" s="1229"/>
      <c r="X550" s="1229"/>
      <c r="Y550" s="1229"/>
      <c r="Z550" s="1274"/>
      <c r="AA550" s="1274"/>
      <c r="AB550" s="1229"/>
      <c r="AC550" s="1229"/>
      <c r="AD550" s="1229"/>
      <c r="AE550" s="1229"/>
      <c r="AF550" s="1274"/>
      <c r="AG550" s="1274"/>
      <c r="AH550" s="1229"/>
      <c r="AI550" s="1229"/>
      <c r="AJ550" s="1229"/>
      <c r="AK550" s="1229"/>
      <c r="AL550" s="1274"/>
      <c r="AM550" s="1274"/>
      <c r="AN550" s="1229"/>
      <c r="AO550" s="1229"/>
      <c r="AP550" s="1229"/>
      <c r="AQ550" s="1229"/>
      <c r="AR550" s="1274"/>
      <c r="AS550" s="1274"/>
      <c r="AT550" s="1229"/>
      <c r="AU550" s="1229"/>
      <c r="AV550" s="1229"/>
      <c r="AW550" s="1229"/>
      <c r="AX550" s="1274"/>
      <c r="AY550" s="1274"/>
      <c r="AZ550" s="1229"/>
      <c r="BA550" s="1229"/>
      <c r="BB550" s="1229"/>
      <c r="BC550" s="1229"/>
      <c r="BD550" s="1274"/>
      <c r="BE550" s="1274"/>
      <c r="BF550" s="1229"/>
      <c r="BG550" s="1229"/>
      <c r="BH550" s="1229"/>
      <c r="BI550" s="1222"/>
      <c r="BJ550" s="1350"/>
      <c r="BK550" s="1350"/>
      <c r="BL550" s="1222"/>
      <c r="BM550" s="1222"/>
      <c r="BN550" s="1222"/>
      <c r="BO550" s="1222"/>
    </row>
    <row r="551">
      <c r="A551" s="1222"/>
      <c r="B551" s="1229"/>
      <c r="C551" s="1349"/>
      <c r="D551" s="1229"/>
      <c r="E551" s="1229"/>
      <c r="F551" s="1229"/>
      <c r="G551" s="1229"/>
      <c r="H551" s="1229"/>
      <c r="I551" s="1229"/>
      <c r="J551" s="1229"/>
      <c r="K551" s="1229"/>
      <c r="L551" s="1229"/>
      <c r="M551" s="1229"/>
      <c r="N551" s="1274"/>
      <c r="O551" s="1274"/>
      <c r="P551" s="1229"/>
      <c r="Q551" s="1229"/>
      <c r="R551" s="1229"/>
      <c r="S551" s="1229"/>
      <c r="T551" s="1274"/>
      <c r="U551" s="1274"/>
      <c r="V551" s="1229"/>
      <c r="W551" s="1229"/>
      <c r="X551" s="1229"/>
      <c r="Y551" s="1229"/>
      <c r="Z551" s="1274"/>
      <c r="AA551" s="1274"/>
      <c r="AB551" s="1229"/>
      <c r="AC551" s="1229"/>
      <c r="AD551" s="1229"/>
      <c r="AE551" s="1229"/>
      <c r="AF551" s="1274"/>
      <c r="AG551" s="1274"/>
      <c r="AH551" s="1229"/>
      <c r="AI551" s="1229"/>
      <c r="AJ551" s="1229"/>
      <c r="AK551" s="1229"/>
      <c r="AL551" s="1274"/>
      <c r="AM551" s="1274"/>
      <c r="AN551" s="1229"/>
      <c r="AO551" s="1229"/>
      <c r="AP551" s="1229"/>
      <c r="AQ551" s="1229"/>
      <c r="AR551" s="1274"/>
      <c r="AS551" s="1274"/>
      <c r="AT551" s="1229"/>
      <c r="AU551" s="1229"/>
      <c r="AV551" s="1229"/>
      <c r="AW551" s="1229"/>
      <c r="AX551" s="1274"/>
      <c r="AY551" s="1274"/>
      <c r="AZ551" s="1229"/>
      <c r="BA551" s="1229"/>
      <c r="BB551" s="1229"/>
      <c r="BC551" s="1229"/>
      <c r="BD551" s="1274"/>
      <c r="BE551" s="1274"/>
      <c r="BF551" s="1229"/>
      <c r="BG551" s="1229"/>
      <c r="BH551" s="1229"/>
      <c r="BI551" s="1222"/>
      <c r="BJ551" s="1350"/>
      <c r="BK551" s="1350"/>
      <c r="BL551" s="1222"/>
      <c r="BM551" s="1222"/>
      <c r="BN551" s="1222"/>
      <c r="BO551" s="1222"/>
    </row>
    <row r="552">
      <c r="A552" s="1222"/>
      <c r="B552" s="1229"/>
      <c r="C552" s="1349"/>
      <c r="D552" s="1229"/>
      <c r="E552" s="1229"/>
      <c r="F552" s="1229"/>
      <c r="G552" s="1229"/>
      <c r="H552" s="1229"/>
      <c r="I552" s="1229"/>
      <c r="J552" s="1229"/>
      <c r="K552" s="1229"/>
      <c r="L552" s="1229"/>
      <c r="M552" s="1229"/>
      <c r="N552" s="1274"/>
      <c r="O552" s="1274"/>
      <c r="P552" s="1229"/>
      <c r="Q552" s="1229"/>
      <c r="R552" s="1229"/>
      <c r="S552" s="1229"/>
      <c r="T552" s="1274"/>
      <c r="U552" s="1274"/>
      <c r="V552" s="1229"/>
      <c r="W552" s="1229"/>
      <c r="X552" s="1229"/>
      <c r="Y552" s="1229"/>
      <c r="Z552" s="1274"/>
      <c r="AA552" s="1274"/>
      <c r="AB552" s="1229"/>
      <c r="AC552" s="1229"/>
      <c r="AD552" s="1229"/>
      <c r="AE552" s="1229"/>
      <c r="AF552" s="1274"/>
      <c r="AG552" s="1274"/>
      <c r="AH552" s="1229"/>
      <c r="AI552" s="1229"/>
      <c r="AJ552" s="1229"/>
      <c r="AK552" s="1229"/>
      <c r="AL552" s="1274"/>
      <c r="AM552" s="1274"/>
      <c r="AN552" s="1229"/>
      <c r="AO552" s="1229"/>
      <c r="AP552" s="1229"/>
      <c r="AQ552" s="1229"/>
      <c r="AR552" s="1274"/>
      <c r="AS552" s="1274"/>
      <c r="AT552" s="1229"/>
      <c r="AU552" s="1229"/>
      <c r="AV552" s="1229"/>
      <c r="AW552" s="1229"/>
      <c r="AX552" s="1274"/>
      <c r="AY552" s="1274"/>
      <c r="AZ552" s="1229"/>
      <c r="BA552" s="1229"/>
      <c r="BB552" s="1229"/>
      <c r="BC552" s="1229"/>
      <c r="BD552" s="1274"/>
      <c r="BE552" s="1274"/>
      <c r="BF552" s="1229"/>
      <c r="BG552" s="1229"/>
      <c r="BH552" s="1229"/>
      <c r="BI552" s="1222"/>
      <c r="BJ552" s="1350"/>
      <c r="BK552" s="1350"/>
      <c r="BL552" s="1222"/>
      <c r="BM552" s="1222"/>
      <c r="BN552" s="1222"/>
      <c r="BO552" s="1222"/>
    </row>
    <row r="553">
      <c r="A553" s="1222"/>
      <c r="B553" s="1229"/>
      <c r="C553" s="1349"/>
      <c r="D553" s="1229"/>
      <c r="E553" s="1229"/>
      <c r="F553" s="1229"/>
      <c r="G553" s="1229"/>
      <c r="H553" s="1229"/>
      <c r="I553" s="1229"/>
      <c r="J553" s="1229"/>
      <c r="K553" s="1229"/>
      <c r="L553" s="1229"/>
      <c r="M553" s="1229"/>
      <c r="N553" s="1274"/>
      <c r="O553" s="1274"/>
      <c r="P553" s="1229"/>
      <c r="Q553" s="1229"/>
      <c r="R553" s="1229"/>
      <c r="S553" s="1229"/>
      <c r="T553" s="1274"/>
      <c r="U553" s="1274"/>
      <c r="V553" s="1229"/>
      <c r="W553" s="1229"/>
      <c r="X553" s="1229"/>
      <c r="Y553" s="1229"/>
      <c r="Z553" s="1274"/>
      <c r="AA553" s="1274"/>
      <c r="AB553" s="1229"/>
      <c r="AC553" s="1229"/>
      <c r="AD553" s="1229"/>
      <c r="AE553" s="1229"/>
      <c r="AF553" s="1274"/>
      <c r="AG553" s="1274"/>
      <c r="AH553" s="1229"/>
      <c r="AI553" s="1229"/>
      <c r="AJ553" s="1229"/>
      <c r="AK553" s="1229"/>
      <c r="AL553" s="1274"/>
      <c r="AM553" s="1274"/>
      <c r="AN553" s="1229"/>
      <c r="AO553" s="1229"/>
      <c r="AP553" s="1229"/>
      <c r="AQ553" s="1229"/>
      <c r="AR553" s="1274"/>
      <c r="AS553" s="1274"/>
      <c r="AT553" s="1229"/>
      <c r="AU553" s="1229"/>
      <c r="AV553" s="1229"/>
      <c r="AW553" s="1229"/>
      <c r="AX553" s="1274"/>
      <c r="AY553" s="1274"/>
      <c r="AZ553" s="1229"/>
      <c r="BA553" s="1229"/>
      <c r="BB553" s="1229"/>
      <c r="BC553" s="1229"/>
      <c r="BD553" s="1274"/>
      <c r="BE553" s="1274"/>
      <c r="BF553" s="1229"/>
      <c r="BG553" s="1229"/>
      <c r="BH553" s="1229"/>
      <c r="BI553" s="1222"/>
      <c r="BJ553" s="1350"/>
      <c r="BK553" s="1350"/>
      <c r="BL553" s="1222"/>
      <c r="BM553" s="1222"/>
      <c r="BN553" s="1222"/>
      <c r="BO553" s="1222"/>
    </row>
    <row r="554">
      <c r="A554" s="1222"/>
      <c r="B554" s="1229"/>
      <c r="C554" s="1349"/>
      <c r="D554" s="1229"/>
      <c r="E554" s="1229"/>
      <c r="F554" s="1229"/>
      <c r="G554" s="1229"/>
      <c r="H554" s="1229"/>
      <c r="I554" s="1229"/>
      <c r="J554" s="1229"/>
      <c r="K554" s="1229"/>
      <c r="L554" s="1229"/>
      <c r="M554" s="1229"/>
      <c r="N554" s="1274"/>
      <c r="O554" s="1274"/>
      <c r="P554" s="1229"/>
      <c r="Q554" s="1229"/>
      <c r="R554" s="1229"/>
      <c r="S554" s="1229"/>
      <c r="T554" s="1274"/>
      <c r="U554" s="1274"/>
      <c r="V554" s="1229"/>
      <c r="W554" s="1229"/>
      <c r="X554" s="1229"/>
      <c r="Y554" s="1229"/>
      <c r="Z554" s="1274"/>
      <c r="AA554" s="1274"/>
      <c r="AB554" s="1229"/>
      <c r="AC554" s="1229"/>
      <c r="AD554" s="1229"/>
      <c r="AE554" s="1229"/>
      <c r="AF554" s="1274"/>
      <c r="AG554" s="1274"/>
      <c r="AH554" s="1229"/>
      <c r="AI554" s="1229"/>
      <c r="AJ554" s="1229"/>
      <c r="AK554" s="1229"/>
      <c r="AL554" s="1274"/>
      <c r="AM554" s="1274"/>
      <c r="AN554" s="1229"/>
      <c r="AO554" s="1229"/>
      <c r="AP554" s="1229"/>
      <c r="AQ554" s="1229"/>
      <c r="AR554" s="1274"/>
      <c r="AS554" s="1274"/>
      <c r="AT554" s="1229"/>
      <c r="AU554" s="1229"/>
      <c r="AV554" s="1229"/>
      <c r="AW554" s="1229"/>
      <c r="AX554" s="1274"/>
      <c r="AY554" s="1274"/>
      <c r="AZ554" s="1229"/>
      <c r="BA554" s="1229"/>
      <c r="BB554" s="1229"/>
      <c r="BC554" s="1229"/>
      <c r="BD554" s="1274"/>
      <c r="BE554" s="1274"/>
      <c r="BF554" s="1229"/>
      <c r="BG554" s="1229"/>
      <c r="BH554" s="1229"/>
      <c r="BI554" s="1222"/>
      <c r="BJ554" s="1350"/>
      <c r="BK554" s="1350"/>
      <c r="BL554" s="1222"/>
      <c r="BM554" s="1222"/>
      <c r="BN554" s="1222"/>
      <c r="BO554" s="1222"/>
    </row>
    <row r="555">
      <c r="A555" s="1222"/>
      <c r="B555" s="1229"/>
      <c r="C555" s="1349"/>
      <c r="D555" s="1229"/>
      <c r="E555" s="1229"/>
      <c r="F555" s="1229"/>
      <c r="G555" s="1229"/>
      <c r="H555" s="1229"/>
      <c r="I555" s="1229"/>
      <c r="J555" s="1229"/>
      <c r="K555" s="1229"/>
      <c r="L555" s="1229"/>
      <c r="M555" s="1229"/>
      <c r="N555" s="1274"/>
      <c r="O555" s="1274"/>
      <c r="P555" s="1229"/>
      <c r="Q555" s="1229"/>
      <c r="R555" s="1229"/>
      <c r="S555" s="1229"/>
      <c r="T555" s="1274"/>
      <c r="U555" s="1274"/>
      <c r="V555" s="1229"/>
      <c r="W555" s="1229"/>
      <c r="X555" s="1229"/>
      <c r="Y555" s="1229"/>
      <c r="Z555" s="1274"/>
      <c r="AA555" s="1274"/>
      <c r="AB555" s="1229"/>
      <c r="AC555" s="1229"/>
      <c r="AD555" s="1229"/>
      <c r="AE555" s="1229"/>
      <c r="AF555" s="1274"/>
      <c r="AG555" s="1274"/>
      <c r="AH555" s="1229"/>
      <c r="AI555" s="1229"/>
      <c r="AJ555" s="1229"/>
      <c r="AK555" s="1229"/>
      <c r="AL555" s="1274"/>
      <c r="AM555" s="1274"/>
      <c r="AN555" s="1229"/>
      <c r="AO555" s="1229"/>
      <c r="AP555" s="1229"/>
      <c r="AQ555" s="1229"/>
      <c r="AR555" s="1274"/>
      <c r="AS555" s="1274"/>
      <c r="AT555" s="1229"/>
      <c r="AU555" s="1229"/>
      <c r="AV555" s="1229"/>
      <c r="AW555" s="1229"/>
      <c r="AX555" s="1274"/>
      <c r="AY555" s="1274"/>
      <c r="AZ555" s="1229"/>
      <c r="BA555" s="1229"/>
      <c r="BB555" s="1229"/>
      <c r="BC555" s="1229"/>
      <c r="BD555" s="1274"/>
      <c r="BE555" s="1274"/>
      <c r="BF555" s="1229"/>
      <c r="BG555" s="1229"/>
      <c r="BH555" s="1229"/>
      <c r="BI555" s="1222"/>
      <c r="BJ555" s="1350"/>
      <c r="BK555" s="1350"/>
      <c r="BL555" s="1222"/>
      <c r="BM555" s="1222"/>
      <c r="BN555" s="1222"/>
      <c r="BO555" s="1222"/>
    </row>
    <row r="556">
      <c r="A556" s="1222"/>
      <c r="B556" s="1229"/>
      <c r="C556" s="1349"/>
      <c r="D556" s="1229"/>
      <c r="E556" s="1229"/>
      <c r="F556" s="1229"/>
      <c r="G556" s="1229"/>
      <c r="H556" s="1229"/>
      <c r="I556" s="1229"/>
      <c r="J556" s="1229"/>
      <c r="K556" s="1229"/>
      <c r="L556" s="1229"/>
      <c r="M556" s="1229"/>
      <c r="N556" s="1274"/>
      <c r="O556" s="1274"/>
      <c r="P556" s="1229"/>
      <c r="Q556" s="1229"/>
      <c r="R556" s="1229"/>
      <c r="S556" s="1229"/>
      <c r="T556" s="1274"/>
      <c r="U556" s="1274"/>
      <c r="V556" s="1229"/>
      <c r="W556" s="1229"/>
      <c r="X556" s="1229"/>
      <c r="Y556" s="1229"/>
      <c r="Z556" s="1274"/>
      <c r="AA556" s="1274"/>
      <c r="AB556" s="1229"/>
      <c r="AC556" s="1229"/>
      <c r="AD556" s="1229"/>
      <c r="AE556" s="1229"/>
      <c r="AF556" s="1274"/>
      <c r="AG556" s="1274"/>
      <c r="AH556" s="1229"/>
      <c r="AI556" s="1229"/>
      <c r="AJ556" s="1229"/>
      <c r="AK556" s="1229"/>
      <c r="AL556" s="1274"/>
      <c r="AM556" s="1274"/>
      <c r="AN556" s="1229"/>
      <c r="AO556" s="1229"/>
      <c r="AP556" s="1229"/>
      <c r="AQ556" s="1229"/>
      <c r="AR556" s="1274"/>
      <c r="AS556" s="1274"/>
      <c r="AT556" s="1229"/>
      <c r="AU556" s="1229"/>
      <c r="AV556" s="1229"/>
      <c r="AW556" s="1229"/>
      <c r="AX556" s="1274"/>
      <c r="AY556" s="1274"/>
      <c r="AZ556" s="1229"/>
      <c r="BA556" s="1229"/>
      <c r="BB556" s="1229"/>
      <c r="BC556" s="1229"/>
      <c r="BD556" s="1274"/>
      <c r="BE556" s="1274"/>
      <c r="BF556" s="1229"/>
      <c r="BG556" s="1229"/>
      <c r="BH556" s="1229"/>
      <c r="BI556" s="1222"/>
      <c r="BJ556" s="1350"/>
      <c r="BK556" s="1350"/>
      <c r="BL556" s="1222"/>
      <c r="BM556" s="1222"/>
      <c r="BN556" s="1222"/>
      <c r="BO556" s="1222"/>
    </row>
    <row r="557">
      <c r="A557" s="1222"/>
      <c r="B557" s="1229"/>
      <c r="C557" s="1349"/>
      <c r="D557" s="1229"/>
      <c r="E557" s="1229"/>
      <c r="F557" s="1229"/>
      <c r="G557" s="1229"/>
      <c r="H557" s="1229"/>
      <c r="I557" s="1229"/>
      <c r="J557" s="1229"/>
      <c r="K557" s="1229"/>
      <c r="L557" s="1229"/>
      <c r="M557" s="1229"/>
      <c r="N557" s="1274"/>
      <c r="O557" s="1274"/>
      <c r="P557" s="1229"/>
      <c r="Q557" s="1229"/>
      <c r="R557" s="1229"/>
      <c r="S557" s="1229"/>
      <c r="T557" s="1274"/>
      <c r="U557" s="1274"/>
      <c r="V557" s="1229"/>
      <c r="W557" s="1229"/>
      <c r="X557" s="1229"/>
      <c r="Y557" s="1229"/>
      <c r="Z557" s="1274"/>
      <c r="AA557" s="1274"/>
      <c r="AB557" s="1229"/>
      <c r="AC557" s="1229"/>
      <c r="AD557" s="1229"/>
      <c r="AE557" s="1229"/>
      <c r="AF557" s="1274"/>
      <c r="AG557" s="1274"/>
      <c r="AH557" s="1229"/>
      <c r="AI557" s="1229"/>
      <c r="AJ557" s="1229"/>
      <c r="AK557" s="1229"/>
      <c r="AL557" s="1274"/>
      <c r="AM557" s="1274"/>
      <c r="AN557" s="1229"/>
      <c r="AO557" s="1229"/>
      <c r="AP557" s="1229"/>
      <c r="AQ557" s="1229"/>
      <c r="AR557" s="1274"/>
      <c r="AS557" s="1274"/>
      <c r="AT557" s="1229"/>
      <c r="AU557" s="1229"/>
      <c r="AV557" s="1229"/>
      <c r="AW557" s="1229"/>
      <c r="AX557" s="1274"/>
      <c r="AY557" s="1274"/>
      <c r="AZ557" s="1229"/>
      <c r="BA557" s="1229"/>
      <c r="BB557" s="1229"/>
      <c r="BC557" s="1229"/>
      <c r="BD557" s="1274"/>
      <c r="BE557" s="1274"/>
      <c r="BF557" s="1229"/>
      <c r="BG557" s="1229"/>
      <c r="BH557" s="1229"/>
      <c r="BI557" s="1222"/>
      <c r="BJ557" s="1350"/>
      <c r="BK557" s="1350"/>
      <c r="BL557" s="1222"/>
      <c r="BM557" s="1222"/>
      <c r="BN557" s="1222"/>
      <c r="BO557" s="1222"/>
    </row>
    <row r="558">
      <c r="A558" s="1222"/>
      <c r="B558" s="1229"/>
      <c r="C558" s="1349"/>
      <c r="D558" s="1229"/>
      <c r="E558" s="1229"/>
      <c r="F558" s="1229"/>
      <c r="G558" s="1229"/>
      <c r="H558" s="1229"/>
      <c r="I558" s="1229"/>
      <c r="J558" s="1229"/>
      <c r="K558" s="1229"/>
      <c r="L558" s="1229"/>
      <c r="M558" s="1229"/>
      <c r="N558" s="1274"/>
      <c r="O558" s="1274"/>
      <c r="P558" s="1229"/>
      <c r="Q558" s="1229"/>
      <c r="R558" s="1229"/>
      <c r="S558" s="1229"/>
      <c r="T558" s="1274"/>
      <c r="U558" s="1274"/>
      <c r="V558" s="1229"/>
      <c r="W558" s="1229"/>
      <c r="X558" s="1229"/>
      <c r="Y558" s="1229"/>
      <c r="Z558" s="1274"/>
      <c r="AA558" s="1274"/>
      <c r="AB558" s="1229"/>
      <c r="AC558" s="1229"/>
      <c r="AD558" s="1229"/>
      <c r="AE558" s="1229"/>
      <c r="AF558" s="1274"/>
      <c r="AG558" s="1274"/>
      <c r="AH558" s="1229"/>
      <c r="AI558" s="1229"/>
      <c r="AJ558" s="1229"/>
      <c r="AK558" s="1229"/>
      <c r="AL558" s="1274"/>
      <c r="AM558" s="1274"/>
      <c r="AN558" s="1229"/>
      <c r="AO558" s="1229"/>
      <c r="AP558" s="1229"/>
      <c r="AQ558" s="1229"/>
      <c r="AR558" s="1274"/>
      <c r="AS558" s="1274"/>
      <c r="AT558" s="1229"/>
      <c r="AU558" s="1229"/>
      <c r="AV558" s="1229"/>
      <c r="AW558" s="1229"/>
      <c r="AX558" s="1274"/>
      <c r="AY558" s="1274"/>
      <c r="AZ558" s="1229"/>
      <c r="BA558" s="1229"/>
      <c r="BB558" s="1229"/>
      <c r="BC558" s="1229"/>
      <c r="BD558" s="1274"/>
      <c r="BE558" s="1274"/>
      <c r="BF558" s="1229"/>
      <c r="BG558" s="1229"/>
      <c r="BH558" s="1229"/>
      <c r="BI558" s="1222"/>
      <c r="BJ558" s="1350"/>
      <c r="BK558" s="1350"/>
      <c r="BL558" s="1222"/>
      <c r="BM558" s="1222"/>
      <c r="BN558" s="1222"/>
      <c r="BO558" s="1222"/>
    </row>
    <row r="559">
      <c r="A559" s="1222"/>
      <c r="B559" s="1229"/>
      <c r="C559" s="1349"/>
      <c r="D559" s="1229"/>
      <c r="E559" s="1229"/>
      <c r="F559" s="1229"/>
      <c r="G559" s="1229"/>
      <c r="H559" s="1229"/>
      <c r="I559" s="1229"/>
      <c r="J559" s="1229"/>
      <c r="K559" s="1229"/>
      <c r="L559" s="1229"/>
      <c r="M559" s="1229"/>
      <c r="N559" s="1274"/>
      <c r="O559" s="1274"/>
      <c r="P559" s="1229"/>
      <c r="Q559" s="1229"/>
      <c r="R559" s="1229"/>
      <c r="S559" s="1229"/>
      <c r="T559" s="1274"/>
      <c r="U559" s="1274"/>
      <c r="V559" s="1229"/>
      <c r="W559" s="1229"/>
      <c r="X559" s="1229"/>
      <c r="Y559" s="1229"/>
      <c r="Z559" s="1274"/>
      <c r="AA559" s="1274"/>
      <c r="AB559" s="1229"/>
      <c r="AC559" s="1229"/>
      <c r="AD559" s="1229"/>
      <c r="AE559" s="1229"/>
      <c r="AF559" s="1274"/>
      <c r="AG559" s="1274"/>
      <c r="AH559" s="1229"/>
      <c r="AI559" s="1229"/>
      <c r="AJ559" s="1229"/>
      <c r="AK559" s="1229"/>
      <c r="AL559" s="1274"/>
      <c r="AM559" s="1274"/>
      <c r="AN559" s="1229"/>
      <c r="AO559" s="1229"/>
      <c r="AP559" s="1229"/>
      <c r="AQ559" s="1229"/>
      <c r="AR559" s="1274"/>
      <c r="AS559" s="1274"/>
      <c r="AT559" s="1229"/>
      <c r="AU559" s="1229"/>
      <c r="AV559" s="1229"/>
      <c r="AW559" s="1229"/>
      <c r="AX559" s="1274"/>
      <c r="AY559" s="1274"/>
      <c r="AZ559" s="1229"/>
      <c r="BA559" s="1229"/>
      <c r="BB559" s="1229"/>
      <c r="BC559" s="1229"/>
      <c r="BD559" s="1274"/>
      <c r="BE559" s="1274"/>
      <c r="BF559" s="1229"/>
      <c r="BG559" s="1229"/>
      <c r="BH559" s="1229"/>
      <c r="BI559" s="1222"/>
      <c r="BJ559" s="1350"/>
      <c r="BK559" s="1350"/>
      <c r="BL559" s="1222"/>
      <c r="BM559" s="1222"/>
      <c r="BN559" s="1222"/>
      <c r="BO559" s="1222"/>
    </row>
    <row r="560">
      <c r="A560" s="1222"/>
      <c r="B560" s="1229"/>
      <c r="C560" s="1349"/>
      <c r="D560" s="1229"/>
      <c r="E560" s="1229"/>
      <c r="F560" s="1229"/>
      <c r="G560" s="1229"/>
      <c r="H560" s="1229"/>
      <c r="I560" s="1229"/>
      <c r="J560" s="1229"/>
      <c r="K560" s="1229"/>
      <c r="L560" s="1229"/>
      <c r="M560" s="1229"/>
      <c r="N560" s="1274"/>
      <c r="O560" s="1274"/>
      <c r="P560" s="1229"/>
      <c r="Q560" s="1229"/>
      <c r="R560" s="1229"/>
      <c r="S560" s="1229"/>
      <c r="T560" s="1274"/>
      <c r="U560" s="1274"/>
      <c r="V560" s="1229"/>
      <c r="W560" s="1229"/>
      <c r="X560" s="1229"/>
      <c r="Y560" s="1229"/>
      <c r="Z560" s="1274"/>
      <c r="AA560" s="1274"/>
      <c r="AB560" s="1229"/>
      <c r="AC560" s="1229"/>
      <c r="AD560" s="1229"/>
      <c r="AE560" s="1229"/>
      <c r="AF560" s="1274"/>
      <c r="AG560" s="1274"/>
      <c r="AH560" s="1229"/>
      <c r="AI560" s="1229"/>
      <c r="AJ560" s="1229"/>
      <c r="AK560" s="1229"/>
      <c r="AL560" s="1274"/>
      <c r="AM560" s="1274"/>
      <c r="AN560" s="1229"/>
      <c r="AO560" s="1229"/>
      <c r="AP560" s="1229"/>
      <c r="AQ560" s="1229"/>
      <c r="AR560" s="1274"/>
      <c r="AS560" s="1274"/>
      <c r="AT560" s="1229"/>
      <c r="AU560" s="1229"/>
      <c r="AV560" s="1229"/>
      <c r="AW560" s="1229"/>
      <c r="AX560" s="1274"/>
      <c r="AY560" s="1274"/>
      <c r="AZ560" s="1229"/>
      <c r="BA560" s="1229"/>
      <c r="BB560" s="1229"/>
      <c r="BC560" s="1229"/>
      <c r="BD560" s="1274"/>
      <c r="BE560" s="1274"/>
      <c r="BF560" s="1229"/>
      <c r="BG560" s="1229"/>
      <c r="BH560" s="1229"/>
      <c r="BI560" s="1222"/>
      <c r="BJ560" s="1350"/>
      <c r="BK560" s="1350"/>
      <c r="BL560" s="1222"/>
      <c r="BM560" s="1222"/>
      <c r="BN560" s="1222"/>
      <c r="BO560" s="1222"/>
    </row>
    <row r="561">
      <c r="A561" s="1222"/>
      <c r="B561" s="1229"/>
      <c r="C561" s="1349"/>
      <c r="D561" s="1229"/>
      <c r="E561" s="1229"/>
      <c r="F561" s="1229"/>
      <c r="G561" s="1229"/>
      <c r="H561" s="1229"/>
      <c r="I561" s="1229"/>
      <c r="J561" s="1229"/>
      <c r="K561" s="1229"/>
      <c r="L561" s="1229"/>
      <c r="M561" s="1229"/>
      <c r="N561" s="1274"/>
      <c r="O561" s="1274"/>
      <c r="P561" s="1229"/>
      <c r="Q561" s="1229"/>
      <c r="R561" s="1229"/>
      <c r="S561" s="1229"/>
      <c r="T561" s="1274"/>
      <c r="U561" s="1274"/>
      <c r="V561" s="1229"/>
      <c r="W561" s="1229"/>
      <c r="X561" s="1229"/>
      <c r="Y561" s="1229"/>
      <c r="Z561" s="1274"/>
      <c r="AA561" s="1274"/>
      <c r="AB561" s="1229"/>
      <c r="AC561" s="1229"/>
      <c r="AD561" s="1229"/>
      <c r="AE561" s="1229"/>
      <c r="AF561" s="1274"/>
      <c r="AG561" s="1274"/>
      <c r="AH561" s="1229"/>
      <c r="AI561" s="1229"/>
      <c r="AJ561" s="1229"/>
      <c r="AK561" s="1229"/>
      <c r="AL561" s="1274"/>
      <c r="AM561" s="1274"/>
      <c r="AN561" s="1229"/>
      <c r="AO561" s="1229"/>
      <c r="AP561" s="1229"/>
      <c r="AQ561" s="1229"/>
      <c r="AR561" s="1274"/>
      <c r="AS561" s="1274"/>
      <c r="AT561" s="1229"/>
      <c r="AU561" s="1229"/>
      <c r="AV561" s="1229"/>
      <c r="AW561" s="1229"/>
      <c r="AX561" s="1274"/>
      <c r="AY561" s="1274"/>
      <c r="AZ561" s="1229"/>
      <c r="BA561" s="1229"/>
      <c r="BB561" s="1229"/>
      <c r="BC561" s="1229"/>
      <c r="BD561" s="1274"/>
      <c r="BE561" s="1274"/>
      <c r="BF561" s="1229"/>
      <c r="BG561" s="1229"/>
      <c r="BH561" s="1229"/>
      <c r="BI561" s="1222"/>
      <c r="BJ561" s="1350"/>
      <c r="BK561" s="1350"/>
      <c r="BL561" s="1222"/>
      <c r="BM561" s="1222"/>
      <c r="BN561" s="1222"/>
      <c r="BO561" s="1222"/>
    </row>
    <row r="562">
      <c r="A562" s="1222"/>
      <c r="B562" s="1229"/>
      <c r="C562" s="1349"/>
      <c r="D562" s="1229"/>
      <c r="E562" s="1229"/>
      <c r="F562" s="1229"/>
      <c r="G562" s="1229"/>
      <c r="H562" s="1229"/>
      <c r="I562" s="1229"/>
      <c r="J562" s="1229"/>
      <c r="K562" s="1229"/>
      <c r="L562" s="1229"/>
      <c r="M562" s="1229"/>
      <c r="N562" s="1274"/>
      <c r="O562" s="1274"/>
      <c r="P562" s="1229"/>
      <c r="Q562" s="1229"/>
      <c r="R562" s="1229"/>
      <c r="S562" s="1229"/>
      <c r="T562" s="1274"/>
      <c r="U562" s="1274"/>
      <c r="V562" s="1229"/>
      <c r="W562" s="1229"/>
      <c r="X562" s="1229"/>
      <c r="Y562" s="1229"/>
      <c r="Z562" s="1274"/>
      <c r="AA562" s="1274"/>
      <c r="AB562" s="1229"/>
      <c r="AC562" s="1229"/>
      <c r="AD562" s="1229"/>
      <c r="AE562" s="1229"/>
      <c r="AF562" s="1274"/>
      <c r="AG562" s="1274"/>
      <c r="AH562" s="1229"/>
      <c r="AI562" s="1229"/>
      <c r="AJ562" s="1229"/>
      <c r="AK562" s="1229"/>
      <c r="AL562" s="1274"/>
      <c r="AM562" s="1274"/>
      <c r="AN562" s="1229"/>
      <c r="AO562" s="1229"/>
      <c r="AP562" s="1229"/>
      <c r="AQ562" s="1229"/>
      <c r="AR562" s="1274"/>
      <c r="AS562" s="1274"/>
      <c r="AT562" s="1229"/>
      <c r="AU562" s="1229"/>
      <c r="AV562" s="1229"/>
      <c r="AW562" s="1229"/>
      <c r="AX562" s="1274"/>
      <c r="AY562" s="1274"/>
      <c r="AZ562" s="1229"/>
      <c r="BA562" s="1229"/>
      <c r="BB562" s="1229"/>
      <c r="BC562" s="1229"/>
      <c r="BD562" s="1274"/>
      <c r="BE562" s="1274"/>
      <c r="BF562" s="1229"/>
      <c r="BG562" s="1229"/>
      <c r="BH562" s="1229"/>
      <c r="BI562" s="1222"/>
      <c r="BJ562" s="1350"/>
      <c r="BK562" s="1350"/>
      <c r="BL562" s="1222"/>
      <c r="BM562" s="1222"/>
      <c r="BN562" s="1222"/>
      <c r="BO562" s="1222"/>
    </row>
    <row r="563">
      <c r="A563" s="1222"/>
      <c r="B563" s="1229"/>
      <c r="C563" s="1349"/>
      <c r="D563" s="1229"/>
      <c r="E563" s="1229"/>
      <c r="F563" s="1229"/>
      <c r="G563" s="1229"/>
      <c r="H563" s="1229"/>
      <c r="I563" s="1229"/>
      <c r="J563" s="1229"/>
      <c r="K563" s="1229"/>
      <c r="L563" s="1229"/>
      <c r="M563" s="1229"/>
      <c r="N563" s="1274"/>
      <c r="O563" s="1274"/>
      <c r="P563" s="1229"/>
      <c r="Q563" s="1229"/>
      <c r="R563" s="1229"/>
      <c r="S563" s="1229"/>
      <c r="T563" s="1274"/>
      <c r="U563" s="1274"/>
      <c r="V563" s="1229"/>
      <c r="W563" s="1229"/>
      <c r="X563" s="1229"/>
      <c r="Y563" s="1229"/>
      <c r="Z563" s="1274"/>
      <c r="AA563" s="1274"/>
      <c r="AB563" s="1229"/>
      <c r="AC563" s="1229"/>
      <c r="AD563" s="1229"/>
      <c r="AE563" s="1229"/>
      <c r="AF563" s="1274"/>
      <c r="AG563" s="1274"/>
      <c r="AH563" s="1229"/>
      <c r="AI563" s="1229"/>
      <c r="AJ563" s="1229"/>
      <c r="AK563" s="1229"/>
      <c r="AL563" s="1274"/>
      <c r="AM563" s="1274"/>
      <c r="AN563" s="1229"/>
      <c r="AO563" s="1229"/>
      <c r="AP563" s="1229"/>
      <c r="AQ563" s="1229"/>
      <c r="AR563" s="1274"/>
      <c r="AS563" s="1274"/>
      <c r="AT563" s="1229"/>
      <c r="AU563" s="1229"/>
      <c r="AV563" s="1229"/>
      <c r="AW563" s="1229"/>
      <c r="AX563" s="1274"/>
      <c r="AY563" s="1274"/>
      <c r="AZ563" s="1229"/>
      <c r="BA563" s="1229"/>
      <c r="BB563" s="1229"/>
      <c r="BC563" s="1229"/>
      <c r="BD563" s="1274"/>
      <c r="BE563" s="1274"/>
      <c r="BF563" s="1229"/>
      <c r="BG563" s="1229"/>
      <c r="BH563" s="1229"/>
      <c r="BI563" s="1222"/>
      <c r="BJ563" s="1350"/>
      <c r="BK563" s="1350"/>
      <c r="BL563" s="1222"/>
      <c r="BM563" s="1222"/>
      <c r="BN563" s="1222"/>
      <c r="BO563" s="1222"/>
    </row>
    <row r="564">
      <c r="A564" s="1222"/>
      <c r="B564" s="1229"/>
      <c r="C564" s="1349"/>
      <c r="D564" s="1229"/>
      <c r="E564" s="1229"/>
      <c r="F564" s="1229"/>
      <c r="G564" s="1229"/>
      <c r="H564" s="1229"/>
      <c r="I564" s="1229"/>
      <c r="J564" s="1229"/>
      <c r="K564" s="1229"/>
      <c r="L564" s="1229"/>
      <c r="M564" s="1229"/>
      <c r="N564" s="1274"/>
      <c r="O564" s="1274"/>
      <c r="P564" s="1229"/>
      <c r="Q564" s="1229"/>
      <c r="R564" s="1229"/>
      <c r="S564" s="1229"/>
      <c r="T564" s="1274"/>
      <c r="U564" s="1274"/>
      <c r="V564" s="1229"/>
      <c r="W564" s="1229"/>
      <c r="X564" s="1229"/>
      <c r="Y564" s="1229"/>
      <c r="Z564" s="1274"/>
      <c r="AA564" s="1274"/>
      <c r="AB564" s="1229"/>
      <c r="AC564" s="1229"/>
      <c r="AD564" s="1229"/>
      <c r="AE564" s="1229"/>
      <c r="AF564" s="1274"/>
      <c r="AG564" s="1274"/>
      <c r="AH564" s="1229"/>
      <c r="AI564" s="1229"/>
      <c r="AJ564" s="1229"/>
      <c r="AK564" s="1229"/>
      <c r="AL564" s="1274"/>
      <c r="AM564" s="1274"/>
      <c r="AN564" s="1229"/>
      <c r="AO564" s="1229"/>
      <c r="AP564" s="1229"/>
      <c r="AQ564" s="1229"/>
      <c r="AR564" s="1274"/>
      <c r="AS564" s="1274"/>
      <c r="AT564" s="1229"/>
      <c r="AU564" s="1229"/>
      <c r="AV564" s="1229"/>
      <c r="AW564" s="1229"/>
      <c r="AX564" s="1274"/>
      <c r="AY564" s="1274"/>
      <c r="AZ564" s="1229"/>
      <c r="BA564" s="1229"/>
      <c r="BB564" s="1229"/>
      <c r="BC564" s="1229"/>
      <c r="BD564" s="1274"/>
      <c r="BE564" s="1274"/>
      <c r="BF564" s="1229"/>
      <c r="BG564" s="1229"/>
      <c r="BH564" s="1229"/>
      <c r="BI564" s="1222"/>
      <c r="BJ564" s="1350"/>
      <c r="BK564" s="1350"/>
      <c r="BL564" s="1222"/>
      <c r="BM564" s="1222"/>
      <c r="BN564" s="1222"/>
      <c r="BO564" s="1222"/>
    </row>
    <row r="565">
      <c r="A565" s="1222"/>
      <c r="B565" s="1229"/>
      <c r="C565" s="1349"/>
      <c r="D565" s="1229"/>
      <c r="E565" s="1229"/>
      <c r="F565" s="1229"/>
      <c r="G565" s="1229"/>
      <c r="H565" s="1229"/>
      <c r="I565" s="1229"/>
      <c r="J565" s="1229"/>
      <c r="K565" s="1229"/>
      <c r="L565" s="1229"/>
      <c r="M565" s="1229"/>
      <c r="N565" s="1274"/>
      <c r="O565" s="1274"/>
      <c r="P565" s="1229"/>
      <c r="Q565" s="1229"/>
      <c r="R565" s="1229"/>
      <c r="S565" s="1229"/>
      <c r="T565" s="1274"/>
      <c r="U565" s="1274"/>
      <c r="V565" s="1229"/>
      <c r="W565" s="1229"/>
      <c r="X565" s="1229"/>
      <c r="Y565" s="1229"/>
      <c r="Z565" s="1274"/>
      <c r="AA565" s="1274"/>
      <c r="AB565" s="1229"/>
      <c r="AC565" s="1229"/>
      <c r="AD565" s="1229"/>
      <c r="AE565" s="1229"/>
      <c r="AF565" s="1274"/>
      <c r="AG565" s="1274"/>
      <c r="AH565" s="1229"/>
      <c r="AI565" s="1229"/>
      <c r="AJ565" s="1229"/>
      <c r="AK565" s="1229"/>
      <c r="AL565" s="1274"/>
      <c r="AM565" s="1274"/>
      <c r="AN565" s="1229"/>
      <c r="AO565" s="1229"/>
      <c r="AP565" s="1229"/>
      <c r="AQ565" s="1229"/>
      <c r="AR565" s="1274"/>
      <c r="AS565" s="1274"/>
      <c r="AT565" s="1229"/>
      <c r="AU565" s="1229"/>
      <c r="AV565" s="1229"/>
      <c r="AW565" s="1229"/>
      <c r="AX565" s="1274"/>
      <c r="AY565" s="1274"/>
      <c r="AZ565" s="1229"/>
      <c r="BA565" s="1229"/>
      <c r="BB565" s="1229"/>
      <c r="BC565" s="1229"/>
      <c r="BD565" s="1274"/>
      <c r="BE565" s="1274"/>
      <c r="BF565" s="1229"/>
      <c r="BG565" s="1229"/>
      <c r="BH565" s="1229"/>
      <c r="BI565" s="1222"/>
      <c r="BJ565" s="1350"/>
      <c r="BK565" s="1350"/>
      <c r="BL565" s="1222"/>
      <c r="BM565" s="1222"/>
      <c r="BN565" s="1222"/>
      <c r="BO565" s="1222"/>
    </row>
    <row r="566">
      <c r="A566" s="1222"/>
      <c r="B566" s="1229"/>
      <c r="C566" s="1349"/>
      <c r="D566" s="1229"/>
      <c r="E566" s="1229"/>
      <c r="F566" s="1229"/>
      <c r="G566" s="1229"/>
      <c r="H566" s="1229"/>
      <c r="I566" s="1229"/>
      <c r="J566" s="1229"/>
      <c r="K566" s="1229"/>
      <c r="L566" s="1229"/>
      <c r="M566" s="1229"/>
      <c r="N566" s="1274"/>
      <c r="O566" s="1274"/>
      <c r="P566" s="1229"/>
      <c r="Q566" s="1229"/>
      <c r="R566" s="1229"/>
      <c r="S566" s="1229"/>
      <c r="T566" s="1274"/>
      <c r="U566" s="1274"/>
      <c r="V566" s="1229"/>
      <c r="W566" s="1229"/>
      <c r="X566" s="1229"/>
      <c r="Y566" s="1229"/>
      <c r="Z566" s="1274"/>
      <c r="AA566" s="1274"/>
      <c r="AB566" s="1229"/>
      <c r="AC566" s="1229"/>
      <c r="AD566" s="1229"/>
      <c r="AE566" s="1229"/>
      <c r="AF566" s="1274"/>
      <c r="AG566" s="1274"/>
      <c r="AH566" s="1229"/>
      <c r="AI566" s="1229"/>
      <c r="AJ566" s="1229"/>
      <c r="AK566" s="1229"/>
      <c r="AL566" s="1274"/>
      <c r="AM566" s="1274"/>
      <c r="AN566" s="1229"/>
      <c r="AO566" s="1229"/>
      <c r="AP566" s="1229"/>
      <c r="AQ566" s="1229"/>
      <c r="AR566" s="1274"/>
      <c r="AS566" s="1274"/>
      <c r="AT566" s="1229"/>
      <c r="AU566" s="1229"/>
      <c r="AV566" s="1229"/>
      <c r="AW566" s="1229"/>
      <c r="AX566" s="1274"/>
      <c r="AY566" s="1274"/>
      <c r="AZ566" s="1229"/>
      <c r="BA566" s="1229"/>
      <c r="BB566" s="1229"/>
      <c r="BC566" s="1229"/>
      <c r="BD566" s="1274"/>
      <c r="BE566" s="1274"/>
      <c r="BF566" s="1229"/>
      <c r="BG566" s="1229"/>
      <c r="BH566" s="1229"/>
      <c r="BI566" s="1222"/>
      <c r="BJ566" s="1350"/>
      <c r="BK566" s="1350"/>
      <c r="BL566" s="1222"/>
      <c r="BM566" s="1222"/>
      <c r="BN566" s="1222"/>
      <c r="BO566" s="1222"/>
    </row>
    <row r="567">
      <c r="A567" s="1222"/>
      <c r="B567" s="1229"/>
      <c r="C567" s="1349"/>
      <c r="D567" s="1229"/>
      <c r="E567" s="1229"/>
      <c r="F567" s="1229"/>
      <c r="G567" s="1229"/>
      <c r="H567" s="1229"/>
      <c r="I567" s="1229"/>
      <c r="J567" s="1229"/>
      <c r="K567" s="1229"/>
      <c r="L567" s="1229"/>
      <c r="M567" s="1229"/>
      <c r="N567" s="1274"/>
      <c r="O567" s="1274"/>
      <c r="P567" s="1229"/>
      <c r="Q567" s="1229"/>
      <c r="R567" s="1229"/>
      <c r="S567" s="1229"/>
      <c r="T567" s="1274"/>
      <c r="U567" s="1274"/>
      <c r="V567" s="1229"/>
      <c r="W567" s="1229"/>
      <c r="X567" s="1229"/>
      <c r="Y567" s="1229"/>
      <c r="Z567" s="1274"/>
      <c r="AA567" s="1274"/>
      <c r="AB567" s="1229"/>
      <c r="AC567" s="1229"/>
      <c r="AD567" s="1229"/>
      <c r="AE567" s="1229"/>
      <c r="AF567" s="1274"/>
      <c r="AG567" s="1274"/>
      <c r="AH567" s="1229"/>
      <c r="AI567" s="1229"/>
      <c r="AJ567" s="1229"/>
      <c r="AK567" s="1229"/>
      <c r="AL567" s="1274"/>
      <c r="AM567" s="1274"/>
      <c r="AN567" s="1229"/>
      <c r="AO567" s="1229"/>
      <c r="AP567" s="1229"/>
      <c r="AQ567" s="1229"/>
      <c r="AR567" s="1274"/>
      <c r="AS567" s="1274"/>
      <c r="AT567" s="1229"/>
      <c r="AU567" s="1229"/>
      <c r="AV567" s="1229"/>
      <c r="AW567" s="1229"/>
      <c r="AX567" s="1274"/>
      <c r="AY567" s="1274"/>
      <c r="AZ567" s="1229"/>
      <c r="BA567" s="1229"/>
      <c r="BB567" s="1229"/>
      <c r="BC567" s="1229"/>
      <c r="BD567" s="1274"/>
      <c r="BE567" s="1274"/>
      <c r="BF567" s="1229"/>
      <c r="BG567" s="1229"/>
      <c r="BH567" s="1229"/>
      <c r="BI567" s="1222"/>
      <c r="BJ567" s="1350"/>
      <c r="BK567" s="1350"/>
      <c r="BL567" s="1222"/>
      <c r="BM567" s="1222"/>
      <c r="BN567" s="1222"/>
      <c r="BO567" s="1222"/>
    </row>
    <row r="568">
      <c r="A568" s="1222"/>
      <c r="B568" s="1229"/>
      <c r="C568" s="1349"/>
      <c r="D568" s="1229"/>
      <c r="E568" s="1229"/>
      <c r="F568" s="1229"/>
      <c r="G568" s="1229"/>
      <c r="H568" s="1229"/>
      <c r="I568" s="1229"/>
      <c r="J568" s="1229"/>
      <c r="K568" s="1229"/>
      <c r="L568" s="1229"/>
      <c r="M568" s="1229"/>
      <c r="N568" s="1274"/>
      <c r="O568" s="1274"/>
      <c r="P568" s="1229"/>
      <c r="Q568" s="1229"/>
      <c r="R568" s="1229"/>
      <c r="S568" s="1229"/>
      <c r="T568" s="1274"/>
      <c r="U568" s="1274"/>
      <c r="V568" s="1229"/>
      <c r="W568" s="1229"/>
      <c r="X568" s="1229"/>
      <c r="Y568" s="1229"/>
      <c r="Z568" s="1274"/>
      <c r="AA568" s="1274"/>
      <c r="AB568" s="1229"/>
      <c r="AC568" s="1229"/>
      <c r="AD568" s="1229"/>
      <c r="AE568" s="1229"/>
      <c r="AF568" s="1274"/>
      <c r="AG568" s="1274"/>
      <c r="AH568" s="1229"/>
      <c r="AI568" s="1229"/>
      <c r="AJ568" s="1229"/>
      <c r="AK568" s="1229"/>
      <c r="AL568" s="1274"/>
      <c r="AM568" s="1274"/>
      <c r="AN568" s="1229"/>
      <c r="AO568" s="1229"/>
      <c r="AP568" s="1229"/>
      <c r="AQ568" s="1229"/>
      <c r="AR568" s="1274"/>
      <c r="AS568" s="1274"/>
      <c r="AT568" s="1229"/>
      <c r="AU568" s="1229"/>
      <c r="AV568" s="1229"/>
      <c r="AW568" s="1229"/>
      <c r="AX568" s="1274"/>
      <c r="AY568" s="1274"/>
      <c r="AZ568" s="1229"/>
      <c r="BA568" s="1229"/>
      <c r="BB568" s="1229"/>
      <c r="BC568" s="1229"/>
      <c r="BD568" s="1274"/>
      <c r="BE568" s="1274"/>
      <c r="BF568" s="1229"/>
      <c r="BG568" s="1229"/>
      <c r="BH568" s="1229"/>
      <c r="BI568" s="1222"/>
      <c r="BJ568" s="1350"/>
      <c r="BK568" s="1350"/>
      <c r="BL568" s="1222"/>
      <c r="BM568" s="1222"/>
      <c r="BN568" s="1222"/>
      <c r="BO568" s="1222"/>
    </row>
    <row r="569">
      <c r="A569" s="1222"/>
      <c r="B569" s="1229"/>
      <c r="C569" s="1349"/>
      <c r="D569" s="1229"/>
      <c r="E569" s="1229"/>
      <c r="F569" s="1229"/>
      <c r="G569" s="1229"/>
      <c r="H569" s="1229"/>
      <c r="I569" s="1229"/>
      <c r="J569" s="1229"/>
      <c r="K569" s="1229"/>
      <c r="L569" s="1229"/>
      <c r="M569" s="1229"/>
      <c r="N569" s="1274"/>
      <c r="O569" s="1274"/>
      <c r="P569" s="1229"/>
      <c r="Q569" s="1229"/>
      <c r="R569" s="1229"/>
      <c r="S569" s="1229"/>
      <c r="T569" s="1274"/>
      <c r="U569" s="1274"/>
      <c r="V569" s="1229"/>
      <c r="W569" s="1229"/>
      <c r="X569" s="1229"/>
      <c r="Y569" s="1229"/>
      <c r="Z569" s="1274"/>
      <c r="AA569" s="1274"/>
      <c r="AB569" s="1229"/>
      <c r="AC569" s="1229"/>
      <c r="AD569" s="1229"/>
      <c r="AE569" s="1229"/>
      <c r="AF569" s="1274"/>
      <c r="AG569" s="1274"/>
      <c r="AH569" s="1229"/>
      <c r="AI569" s="1229"/>
      <c r="AJ569" s="1229"/>
      <c r="AK569" s="1229"/>
      <c r="AL569" s="1274"/>
      <c r="AM569" s="1274"/>
      <c r="AN569" s="1229"/>
      <c r="AO569" s="1229"/>
      <c r="AP569" s="1229"/>
      <c r="AQ569" s="1229"/>
      <c r="AR569" s="1274"/>
      <c r="AS569" s="1274"/>
      <c r="AT569" s="1229"/>
      <c r="AU569" s="1229"/>
      <c r="AV569" s="1229"/>
      <c r="AW569" s="1229"/>
      <c r="AX569" s="1274"/>
      <c r="AY569" s="1274"/>
      <c r="AZ569" s="1229"/>
      <c r="BA569" s="1229"/>
      <c r="BB569" s="1229"/>
      <c r="BC569" s="1229"/>
      <c r="BD569" s="1274"/>
      <c r="BE569" s="1274"/>
      <c r="BF569" s="1229"/>
      <c r="BG569" s="1229"/>
      <c r="BH569" s="1229"/>
      <c r="BI569" s="1222"/>
      <c r="BJ569" s="1350"/>
      <c r="BK569" s="1350"/>
      <c r="BL569" s="1222"/>
      <c r="BM569" s="1222"/>
      <c r="BN569" s="1222"/>
      <c r="BO569" s="1222"/>
    </row>
    <row r="570">
      <c r="A570" s="1222"/>
      <c r="B570" s="1229"/>
      <c r="C570" s="1349"/>
      <c r="D570" s="1229"/>
      <c r="E570" s="1229"/>
      <c r="F570" s="1229"/>
      <c r="G570" s="1229"/>
      <c r="H570" s="1229"/>
      <c r="I570" s="1229"/>
      <c r="J570" s="1229"/>
      <c r="K570" s="1229"/>
      <c r="L570" s="1229"/>
      <c r="M570" s="1229"/>
      <c r="N570" s="1274"/>
      <c r="O570" s="1274"/>
      <c r="P570" s="1229"/>
      <c r="Q570" s="1229"/>
      <c r="R570" s="1229"/>
      <c r="S570" s="1229"/>
      <c r="T570" s="1274"/>
      <c r="U570" s="1274"/>
      <c r="V570" s="1229"/>
      <c r="W570" s="1229"/>
      <c r="X570" s="1229"/>
      <c r="Y570" s="1229"/>
      <c r="Z570" s="1274"/>
      <c r="AA570" s="1274"/>
      <c r="AB570" s="1229"/>
      <c r="AC570" s="1229"/>
      <c r="AD570" s="1229"/>
      <c r="AE570" s="1229"/>
      <c r="AF570" s="1274"/>
      <c r="AG570" s="1274"/>
      <c r="AH570" s="1229"/>
      <c r="AI570" s="1229"/>
      <c r="AJ570" s="1229"/>
      <c r="AK570" s="1229"/>
      <c r="AL570" s="1274"/>
      <c r="AM570" s="1274"/>
      <c r="AN570" s="1229"/>
      <c r="AO570" s="1229"/>
      <c r="AP570" s="1229"/>
      <c r="AQ570" s="1229"/>
      <c r="AR570" s="1274"/>
      <c r="AS570" s="1274"/>
      <c r="AT570" s="1229"/>
      <c r="AU570" s="1229"/>
      <c r="AV570" s="1229"/>
      <c r="AW570" s="1229"/>
      <c r="AX570" s="1274"/>
      <c r="AY570" s="1274"/>
      <c r="AZ570" s="1229"/>
      <c r="BA570" s="1229"/>
      <c r="BB570" s="1229"/>
      <c r="BC570" s="1229"/>
      <c r="BD570" s="1274"/>
      <c r="BE570" s="1274"/>
      <c r="BF570" s="1229"/>
      <c r="BG570" s="1229"/>
      <c r="BH570" s="1229"/>
      <c r="BI570" s="1222"/>
      <c r="BJ570" s="1350"/>
      <c r="BK570" s="1350"/>
      <c r="BL570" s="1222"/>
      <c r="BM570" s="1222"/>
      <c r="BN570" s="1222"/>
      <c r="BO570" s="1222"/>
    </row>
    <row r="571">
      <c r="A571" s="1222"/>
      <c r="B571" s="1229"/>
      <c r="C571" s="1349"/>
      <c r="D571" s="1229"/>
      <c r="E571" s="1229"/>
      <c r="F571" s="1229"/>
      <c r="G571" s="1229"/>
      <c r="H571" s="1229"/>
      <c r="I571" s="1229"/>
      <c r="J571" s="1229"/>
      <c r="K571" s="1229"/>
      <c r="L571" s="1229"/>
      <c r="M571" s="1229"/>
      <c r="N571" s="1274"/>
      <c r="O571" s="1274"/>
      <c r="P571" s="1229"/>
      <c r="Q571" s="1229"/>
      <c r="R571" s="1229"/>
      <c r="S571" s="1229"/>
      <c r="T571" s="1274"/>
      <c r="U571" s="1274"/>
      <c r="V571" s="1229"/>
      <c r="W571" s="1229"/>
      <c r="X571" s="1229"/>
      <c r="Y571" s="1229"/>
      <c r="Z571" s="1274"/>
      <c r="AA571" s="1274"/>
      <c r="AB571" s="1229"/>
      <c r="AC571" s="1229"/>
      <c r="AD571" s="1229"/>
      <c r="AE571" s="1229"/>
      <c r="AF571" s="1274"/>
      <c r="AG571" s="1274"/>
      <c r="AH571" s="1229"/>
      <c r="AI571" s="1229"/>
      <c r="AJ571" s="1229"/>
      <c r="AK571" s="1229"/>
      <c r="AL571" s="1274"/>
      <c r="AM571" s="1274"/>
      <c r="AN571" s="1229"/>
      <c r="AO571" s="1229"/>
      <c r="AP571" s="1229"/>
      <c r="AQ571" s="1229"/>
      <c r="AR571" s="1274"/>
      <c r="AS571" s="1274"/>
      <c r="AT571" s="1229"/>
      <c r="AU571" s="1229"/>
      <c r="AV571" s="1229"/>
      <c r="AW571" s="1229"/>
      <c r="AX571" s="1274"/>
      <c r="AY571" s="1274"/>
      <c r="AZ571" s="1229"/>
      <c r="BA571" s="1229"/>
      <c r="BB571" s="1229"/>
      <c r="BC571" s="1229"/>
      <c r="BD571" s="1274"/>
      <c r="BE571" s="1274"/>
      <c r="BF571" s="1229"/>
      <c r="BG571" s="1229"/>
      <c r="BH571" s="1229"/>
      <c r="BI571" s="1222"/>
      <c r="BJ571" s="1350"/>
      <c r="BK571" s="1350"/>
      <c r="BL571" s="1222"/>
      <c r="BM571" s="1222"/>
      <c r="BN571" s="1222"/>
      <c r="BO571" s="1222"/>
    </row>
    <row r="572">
      <c r="A572" s="1222"/>
      <c r="B572" s="1229"/>
      <c r="C572" s="1349"/>
      <c r="D572" s="1229"/>
      <c r="E572" s="1229"/>
      <c r="F572" s="1229"/>
      <c r="G572" s="1229"/>
      <c r="H572" s="1229"/>
      <c r="I572" s="1229"/>
      <c r="J572" s="1229"/>
      <c r="K572" s="1229"/>
      <c r="L572" s="1229"/>
      <c r="M572" s="1229"/>
      <c r="N572" s="1274"/>
      <c r="O572" s="1274"/>
      <c r="P572" s="1229"/>
      <c r="Q572" s="1229"/>
      <c r="R572" s="1229"/>
      <c r="S572" s="1229"/>
      <c r="T572" s="1274"/>
      <c r="U572" s="1274"/>
      <c r="V572" s="1229"/>
      <c r="W572" s="1229"/>
      <c r="X572" s="1229"/>
      <c r="Y572" s="1229"/>
      <c r="Z572" s="1274"/>
      <c r="AA572" s="1274"/>
      <c r="AB572" s="1229"/>
      <c r="AC572" s="1229"/>
      <c r="AD572" s="1229"/>
      <c r="AE572" s="1229"/>
      <c r="AF572" s="1274"/>
      <c r="AG572" s="1274"/>
      <c r="AH572" s="1229"/>
      <c r="AI572" s="1229"/>
      <c r="AJ572" s="1229"/>
      <c r="AK572" s="1229"/>
      <c r="AL572" s="1274"/>
      <c r="AM572" s="1274"/>
      <c r="AN572" s="1229"/>
      <c r="AO572" s="1229"/>
      <c r="AP572" s="1229"/>
      <c r="AQ572" s="1229"/>
      <c r="AR572" s="1274"/>
      <c r="AS572" s="1274"/>
      <c r="AT572" s="1229"/>
      <c r="AU572" s="1229"/>
      <c r="AV572" s="1229"/>
      <c r="AW572" s="1229"/>
      <c r="AX572" s="1274"/>
      <c r="AY572" s="1274"/>
      <c r="AZ572" s="1229"/>
      <c r="BA572" s="1229"/>
      <c r="BB572" s="1229"/>
      <c r="BC572" s="1229"/>
      <c r="BD572" s="1274"/>
      <c r="BE572" s="1274"/>
      <c r="BF572" s="1229"/>
      <c r="BG572" s="1229"/>
      <c r="BH572" s="1229"/>
      <c r="BI572" s="1222"/>
      <c r="BJ572" s="1350"/>
      <c r="BK572" s="1350"/>
      <c r="BL572" s="1222"/>
      <c r="BM572" s="1222"/>
      <c r="BN572" s="1222"/>
      <c r="BO572" s="1222"/>
    </row>
    <row r="573">
      <c r="A573" s="1222"/>
      <c r="B573" s="1229"/>
      <c r="C573" s="1349"/>
      <c r="D573" s="1229"/>
      <c r="E573" s="1229"/>
      <c r="F573" s="1229"/>
      <c r="G573" s="1229"/>
      <c r="H573" s="1229"/>
      <c r="I573" s="1229"/>
      <c r="J573" s="1229"/>
      <c r="K573" s="1229"/>
      <c r="L573" s="1229"/>
      <c r="M573" s="1229"/>
      <c r="N573" s="1274"/>
      <c r="O573" s="1274"/>
      <c r="P573" s="1229"/>
      <c r="Q573" s="1229"/>
      <c r="R573" s="1229"/>
      <c r="S573" s="1229"/>
      <c r="T573" s="1274"/>
      <c r="U573" s="1274"/>
      <c r="V573" s="1229"/>
      <c r="W573" s="1229"/>
      <c r="X573" s="1229"/>
      <c r="Y573" s="1229"/>
      <c r="Z573" s="1274"/>
      <c r="AA573" s="1274"/>
      <c r="AB573" s="1229"/>
      <c r="AC573" s="1229"/>
      <c r="AD573" s="1229"/>
      <c r="AE573" s="1229"/>
      <c r="AF573" s="1274"/>
      <c r="AG573" s="1274"/>
      <c r="AH573" s="1229"/>
      <c r="AI573" s="1229"/>
      <c r="AJ573" s="1229"/>
      <c r="AK573" s="1229"/>
      <c r="AL573" s="1274"/>
      <c r="AM573" s="1274"/>
      <c r="AN573" s="1229"/>
      <c r="AO573" s="1229"/>
      <c r="AP573" s="1229"/>
      <c r="AQ573" s="1229"/>
      <c r="AR573" s="1274"/>
      <c r="AS573" s="1274"/>
      <c r="AT573" s="1229"/>
      <c r="AU573" s="1229"/>
      <c r="AV573" s="1229"/>
      <c r="AW573" s="1229"/>
      <c r="AX573" s="1274"/>
      <c r="AY573" s="1274"/>
      <c r="AZ573" s="1229"/>
      <c r="BA573" s="1229"/>
      <c r="BB573" s="1229"/>
      <c r="BC573" s="1229"/>
      <c r="BD573" s="1274"/>
      <c r="BE573" s="1274"/>
      <c r="BF573" s="1229"/>
      <c r="BG573" s="1229"/>
      <c r="BH573" s="1229"/>
      <c r="BI573" s="1222"/>
      <c r="BJ573" s="1350"/>
      <c r="BK573" s="1350"/>
      <c r="BL573" s="1222"/>
      <c r="BM573" s="1222"/>
      <c r="BN573" s="1222"/>
      <c r="BO573" s="1222"/>
    </row>
    <row r="574">
      <c r="A574" s="1222"/>
      <c r="B574" s="1229"/>
      <c r="C574" s="1349"/>
      <c r="D574" s="1229"/>
      <c r="E574" s="1229"/>
      <c r="F574" s="1229"/>
      <c r="G574" s="1229"/>
      <c r="H574" s="1229"/>
      <c r="I574" s="1229"/>
      <c r="J574" s="1229"/>
      <c r="K574" s="1229"/>
      <c r="L574" s="1229"/>
      <c r="M574" s="1229"/>
      <c r="N574" s="1274"/>
      <c r="O574" s="1274"/>
      <c r="P574" s="1229"/>
      <c r="Q574" s="1229"/>
      <c r="R574" s="1229"/>
      <c r="S574" s="1229"/>
      <c r="T574" s="1274"/>
      <c r="U574" s="1274"/>
      <c r="V574" s="1229"/>
      <c r="W574" s="1229"/>
      <c r="X574" s="1229"/>
      <c r="Y574" s="1229"/>
      <c r="Z574" s="1274"/>
      <c r="AA574" s="1274"/>
      <c r="AB574" s="1229"/>
      <c r="AC574" s="1229"/>
      <c r="AD574" s="1229"/>
      <c r="AE574" s="1229"/>
      <c r="AF574" s="1274"/>
      <c r="AG574" s="1274"/>
      <c r="AH574" s="1229"/>
      <c r="AI574" s="1229"/>
      <c r="AJ574" s="1229"/>
      <c r="AK574" s="1229"/>
      <c r="AL574" s="1274"/>
      <c r="AM574" s="1274"/>
      <c r="AN574" s="1229"/>
      <c r="AO574" s="1229"/>
      <c r="AP574" s="1229"/>
      <c r="AQ574" s="1229"/>
      <c r="AR574" s="1274"/>
      <c r="AS574" s="1274"/>
      <c r="AT574" s="1229"/>
      <c r="AU574" s="1229"/>
      <c r="AV574" s="1229"/>
      <c r="AW574" s="1229"/>
      <c r="AX574" s="1274"/>
      <c r="AY574" s="1274"/>
      <c r="AZ574" s="1229"/>
      <c r="BA574" s="1229"/>
      <c r="BB574" s="1229"/>
      <c r="BC574" s="1229"/>
      <c r="BD574" s="1274"/>
      <c r="BE574" s="1274"/>
      <c r="BF574" s="1229"/>
      <c r="BG574" s="1229"/>
      <c r="BH574" s="1229"/>
      <c r="BI574" s="1222"/>
      <c r="BJ574" s="1350"/>
      <c r="BK574" s="1350"/>
      <c r="BL574" s="1222"/>
      <c r="BM574" s="1222"/>
      <c r="BN574" s="1222"/>
      <c r="BO574" s="1222"/>
    </row>
    <row r="575">
      <c r="A575" s="1222"/>
      <c r="B575" s="1229"/>
      <c r="C575" s="1349"/>
      <c r="D575" s="1229"/>
      <c r="E575" s="1229"/>
      <c r="F575" s="1229"/>
      <c r="G575" s="1229"/>
      <c r="H575" s="1229"/>
      <c r="I575" s="1229"/>
      <c r="J575" s="1229"/>
      <c r="K575" s="1229"/>
      <c r="L575" s="1229"/>
      <c r="M575" s="1229"/>
      <c r="N575" s="1274"/>
      <c r="O575" s="1274"/>
      <c r="P575" s="1229"/>
      <c r="Q575" s="1229"/>
      <c r="R575" s="1229"/>
      <c r="S575" s="1229"/>
      <c r="T575" s="1274"/>
      <c r="U575" s="1274"/>
      <c r="V575" s="1229"/>
      <c r="W575" s="1229"/>
      <c r="X575" s="1229"/>
      <c r="Y575" s="1229"/>
      <c r="Z575" s="1274"/>
      <c r="AA575" s="1274"/>
      <c r="AB575" s="1229"/>
      <c r="AC575" s="1229"/>
      <c r="AD575" s="1229"/>
      <c r="AE575" s="1229"/>
      <c r="AF575" s="1274"/>
      <c r="AG575" s="1274"/>
      <c r="AH575" s="1229"/>
      <c r="AI575" s="1229"/>
      <c r="AJ575" s="1229"/>
      <c r="AK575" s="1229"/>
      <c r="AL575" s="1274"/>
      <c r="AM575" s="1274"/>
      <c r="AN575" s="1229"/>
      <c r="AO575" s="1229"/>
      <c r="AP575" s="1229"/>
      <c r="AQ575" s="1229"/>
      <c r="AR575" s="1274"/>
      <c r="AS575" s="1274"/>
      <c r="AT575" s="1229"/>
      <c r="AU575" s="1229"/>
      <c r="AV575" s="1229"/>
      <c r="AW575" s="1229"/>
      <c r="AX575" s="1274"/>
      <c r="AY575" s="1274"/>
      <c r="AZ575" s="1229"/>
      <c r="BA575" s="1229"/>
      <c r="BB575" s="1229"/>
      <c r="BC575" s="1229"/>
      <c r="BD575" s="1274"/>
      <c r="BE575" s="1274"/>
      <c r="BF575" s="1229"/>
      <c r="BG575" s="1229"/>
      <c r="BH575" s="1229"/>
      <c r="BI575" s="1222"/>
      <c r="BJ575" s="1350"/>
      <c r="BK575" s="1350"/>
      <c r="BL575" s="1222"/>
      <c r="BM575" s="1222"/>
      <c r="BN575" s="1222"/>
      <c r="BO575" s="1222"/>
    </row>
    <row r="576">
      <c r="A576" s="1222"/>
      <c r="B576" s="1229"/>
      <c r="C576" s="1349"/>
      <c r="D576" s="1229"/>
      <c r="E576" s="1229"/>
      <c r="F576" s="1229"/>
      <c r="G576" s="1229"/>
      <c r="H576" s="1229"/>
      <c r="I576" s="1229"/>
      <c r="J576" s="1229"/>
      <c r="K576" s="1229"/>
      <c r="L576" s="1229"/>
      <c r="M576" s="1229"/>
      <c r="N576" s="1274"/>
      <c r="O576" s="1274"/>
      <c r="P576" s="1229"/>
      <c r="Q576" s="1229"/>
      <c r="R576" s="1229"/>
      <c r="S576" s="1229"/>
      <c r="T576" s="1274"/>
      <c r="U576" s="1274"/>
      <c r="V576" s="1229"/>
      <c r="W576" s="1229"/>
      <c r="X576" s="1229"/>
      <c r="Y576" s="1229"/>
      <c r="Z576" s="1274"/>
      <c r="AA576" s="1274"/>
      <c r="AB576" s="1229"/>
      <c r="AC576" s="1229"/>
      <c r="AD576" s="1229"/>
      <c r="AE576" s="1229"/>
      <c r="AF576" s="1274"/>
      <c r="AG576" s="1274"/>
      <c r="AH576" s="1229"/>
      <c r="AI576" s="1229"/>
      <c r="AJ576" s="1229"/>
      <c r="AK576" s="1229"/>
      <c r="AL576" s="1274"/>
      <c r="AM576" s="1274"/>
      <c r="AN576" s="1229"/>
      <c r="AO576" s="1229"/>
      <c r="AP576" s="1229"/>
      <c r="AQ576" s="1229"/>
      <c r="AR576" s="1274"/>
      <c r="AS576" s="1274"/>
      <c r="AT576" s="1229"/>
      <c r="AU576" s="1229"/>
      <c r="AV576" s="1229"/>
      <c r="AW576" s="1229"/>
      <c r="AX576" s="1274"/>
      <c r="AY576" s="1274"/>
      <c r="AZ576" s="1229"/>
      <c r="BA576" s="1229"/>
      <c r="BB576" s="1229"/>
      <c r="BC576" s="1229"/>
      <c r="BD576" s="1274"/>
      <c r="BE576" s="1274"/>
      <c r="BF576" s="1229"/>
      <c r="BG576" s="1229"/>
      <c r="BH576" s="1229"/>
      <c r="BI576" s="1222"/>
      <c r="BJ576" s="1350"/>
      <c r="BK576" s="1350"/>
      <c r="BL576" s="1222"/>
      <c r="BM576" s="1222"/>
      <c r="BN576" s="1222"/>
      <c r="BO576" s="1222"/>
    </row>
    <row r="577">
      <c r="A577" s="1222"/>
      <c r="B577" s="1229"/>
      <c r="C577" s="1349"/>
      <c r="D577" s="1229"/>
      <c r="E577" s="1229"/>
      <c r="F577" s="1229"/>
      <c r="G577" s="1229"/>
      <c r="H577" s="1229"/>
      <c r="I577" s="1229"/>
      <c r="J577" s="1229"/>
      <c r="K577" s="1229"/>
      <c r="L577" s="1229"/>
      <c r="M577" s="1229"/>
      <c r="N577" s="1274"/>
      <c r="O577" s="1274"/>
      <c r="P577" s="1229"/>
      <c r="Q577" s="1229"/>
      <c r="R577" s="1229"/>
      <c r="S577" s="1229"/>
      <c r="T577" s="1274"/>
      <c r="U577" s="1274"/>
      <c r="V577" s="1229"/>
      <c r="W577" s="1229"/>
      <c r="X577" s="1229"/>
      <c r="Y577" s="1229"/>
      <c r="Z577" s="1274"/>
      <c r="AA577" s="1274"/>
      <c r="AB577" s="1229"/>
      <c r="AC577" s="1229"/>
      <c r="AD577" s="1229"/>
      <c r="AE577" s="1229"/>
      <c r="AF577" s="1274"/>
      <c r="AG577" s="1274"/>
      <c r="AH577" s="1229"/>
      <c r="AI577" s="1229"/>
      <c r="AJ577" s="1229"/>
      <c r="AK577" s="1229"/>
      <c r="AL577" s="1274"/>
      <c r="AM577" s="1274"/>
      <c r="AN577" s="1229"/>
      <c r="AO577" s="1229"/>
      <c r="AP577" s="1229"/>
      <c r="AQ577" s="1229"/>
      <c r="AR577" s="1274"/>
      <c r="AS577" s="1274"/>
      <c r="AT577" s="1229"/>
      <c r="AU577" s="1229"/>
      <c r="AV577" s="1229"/>
      <c r="AW577" s="1229"/>
      <c r="AX577" s="1274"/>
      <c r="AY577" s="1274"/>
      <c r="AZ577" s="1229"/>
      <c r="BA577" s="1229"/>
      <c r="BB577" s="1229"/>
      <c r="BC577" s="1229"/>
      <c r="BD577" s="1274"/>
      <c r="BE577" s="1274"/>
      <c r="BF577" s="1229"/>
      <c r="BG577" s="1229"/>
      <c r="BH577" s="1229"/>
      <c r="BI577" s="1222"/>
      <c r="BJ577" s="1350"/>
      <c r="BK577" s="1350"/>
      <c r="BL577" s="1222"/>
      <c r="BM577" s="1222"/>
      <c r="BN577" s="1222"/>
      <c r="BO577" s="1222"/>
    </row>
    <row r="578">
      <c r="A578" s="1222"/>
      <c r="B578" s="1229"/>
      <c r="C578" s="1349"/>
      <c r="D578" s="1229"/>
      <c r="E578" s="1229"/>
      <c r="F578" s="1229"/>
      <c r="G578" s="1229"/>
      <c r="H578" s="1229"/>
      <c r="I578" s="1229"/>
      <c r="J578" s="1229"/>
      <c r="K578" s="1229"/>
      <c r="L578" s="1229"/>
      <c r="M578" s="1229"/>
      <c r="N578" s="1274"/>
      <c r="O578" s="1274"/>
      <c r="P578" s="1229"/>
      <c r="Q578" s="1229"/>
      <c r="R578" s="1229"/>
      <c r="S578" s="1229"/>
      <c r="T578" s="1274"/>
      <c r="U578" s="1274"/>
      <c r="V578" s="1229"/>
      <c r="W578" s="1229"/>
      <c r="X578" s="1229"/>
      <c r="Y578" s="1229"/>
      <c r="Z578" s="1274"/>
      <c r="AA578" s="1274"/>
      <c r="AB578" s="1229"/>
      <c r="AC578" s="1229"/>
      <c r="AD578" s="1229"/>
      <c r="AE578" s="1229"/>
      <c r="AF578" s="1274"/>
      <c r="AG578" s="1274"/>
      <c r="AH578" s="1229"/>
      <c r="AI578" s="1229"/>
      <c r="AJ578" s="1229"/>
      <c r="AK578" s="1229"/>
      <c r="AL578" s="1274"/>
      <c r="AM578" s="1274"/>
      <c r="AN578" s="1229"/>
      <c r="AO578" s="1229"/>
      <c r="AP578" s="1229"/>
      <c r="AQ578" s="1229"/>
      <c r="AR578" s="1274"/>
      <c r="AS578" s="1274"/>
      <c r="AT578" s="1229"/>
      <c r="AU578" s="1229"/>
      <c r="AV578" s="1229"/>
      <c r="AW578" s="1229"/>
      <c r="AX578" s="1274"/>
      <c r="AY578" s="1274"/>
      <c r="AZ578" s="1229"/>
      <c r="BA578" s="1229"/>
      <c r="BB578" s="1229"/>
      <c r="BC578" s="1229"/>
      <c r="BD578" s="1274"/>
      <c r="BE578" s="1274"/>
      <c r="BF578" s="1229"/>
      <c r="BG578" s="1229"/>
      <c r="BH578" s="1229"/>
      <c r="BI578" s="1222"/>
      <c r="BJ578" s="1350"/>
      <c r="BK578" s="1350"/>
      <c r="BL578" s="1222"/>
      <c r="BM578" s="1222"/>
      <c r="BN578" s="1222"/>
      <c r="BO578" s="1222"/>
    </row>
    <row r="579">
      <c r="A579" s="1222"/>
      <c r="B579" s="1229"/>
      <c r="C579" s="1349"/>
      <c r="D579" s="1229"/>
      <c r="E579" s="1229"/>
      <c r="F579" s="1229"/>
      <c r="G579" s="1229"/>
      <c r="H579" s="1229"/>
      <c r="I579" s="1229"/>
      <c r="J579" s="1229"/>
      <c r="K579" s="1229"/>
      <c r="L579" s="1229"/>
      <c r="M579" s="1229"/>
      <c r="N579" s="1274"/>
      <c r="O579" s="1274"/>
      <c r="P579" s="1229"/>
      <c r="Q579" s="1229"/>
      <c r="R579" s="1229"/>
      <c r="S579" s="1229"/>
      <c r="T579" s="1274"/>
      <c r="U579" s="1274"/>
      <c r="V579" s="1229"/>
      <c r="W579" s="1229"/>
      <c r="X579" s="1229"/>
      <c r="Y579" s="1229"/>
      <c r="Z579" s="1274"/>
      <c r="AA579" s="1274"/>
      <c r="AB579" s="1229"/>
      <c r="AC579" s="1229"/>
      <c r="AD579" s="1229"/>
      <c r="AE579" s="1229"/>
      <c r="AF579" s="1274"/>
      <c r="AG579" s="1274"/>
      <c r="AH579" s="1229"/>
      <c r="AI579" s="1229"/>
      <c r="AJ579" s="1229"/>
      <c r="AK579" s="1229"/>
      <c r="AL579" s="1274"/>
      <c r="AM579" s="1274"/>
      <c r="AN579" s="1229"/>
      <c r="AO579" s="1229"/>
      <c r="AP579" s="1229"/>
      <c r="AQ579" s="1229"/>
      <c r="AR579" s="1274"/>
      <c r="AS579" s="1274"/>
      <c r="AT579" s="1229"/>
      <c r="AU579" s="1229"/>
      <c r="AV579" s="1229"/>
      <c r="AW579" s="1229"/>
      <c r="AX579" s="1274"/>
      <c r="AY579" s="1274"/>
      <c r="AZ579" s="1229"/>
      <c r="BA579" s="1229"/>
      <c r="BB579" s="1229"/>
      <c r="BC579" s="1229"/>
      <c r="BD579" s="1274"/>
      <c r="BE579" s="1274"/>
      <c r="BF579" s="1229"/>
      <c r="BG579" s="1229"/>
      <c r="BH579" s="1229"/>
      <c r="BI579" s="1222"/>
      <c r="BJ579" s="1350"/>
      <c r="BK579" s="1350"/>
      <c r="BL579" s="1222"/>
      <c r="BM579" s="1222"/>
      <c r="BN579" s="1222"/>
      <c r="BO579" s="1222"/>
    </row>
    <row r="580">
      <c r="A580" s="1222"/>
      <c r="B580" s="1229"/>
      <c r="C580" s="1349"/>
      <c r="D580" s="1229"/>
      <c r="E580" s="1229"/>
      <c r="F580" s="1229"/>
      <c r="G580" s="1229"/>
      <c r="H580" s="1229"/>
      <c r="I580" s="1229"/>
      <c r="J580" s="1229"/>
      <c r="K580" s="1229"/>
      <c r="L580" s="1229"/>
      <c r="M580" s="1229"/>
      <c r="N580" s="1274"/>
      <c r="O580" s="1274"/>
      <c r="P580" s="1229"/>
      <c r="Q580" s="1229"/>
      <c r="R580" s="1229"/>
      <c r="S580" s="1229"/>
      <c r="T580" s="1274"/>
      <c r="U580" s="1274"/>
      <c r="V580" s="1229"/>
      <c r="W580" s="1229"/>
      <c r="X580" s="1229"/>
      <c r="Y580" s="1229"/>
      <c r="Z580" s="1274"/>
      <c r="AA580" s="1274"/>
      <c r="AB580" s="1229"/>
      <c r="AC580" s="1229"/>
      <c r="AD580" s="1229"/>
      <c r="AE580" s="1229"/>
      <c r="AF580" s="1274"/>
      <c r="AG580" s="1274"/>
      <c r="AH580" s="1229"/>
      <c r="AI580" s="1229"/>
      <c r="AJ580" s="1229"/>
      <c r="AK580" s="1229"/>
      <c r="AL580" s="1274"/>
      <c r="AM580" s="1274"/>
      <c r="AN580" s="1229"/>
      <c r="AO580" s="1229"/>
      <c r="AP580" s="1229"/>
      <c r="AQ580" s="1229"/>
      <c r="AR580" s="1274"/>
      <c r="AS580" s="1274"/>
      <c r="AT580" s="1229"/>
      <c r="AU580" s="1229"/>
      <c r="AV580" s="1229"/>
      <c r="AW580" s="1229"/>
      <c r="AX580" s="1274"/>
      <c r="AY580" s="1274"/>
      <c r="AZ580" s="1229"/>
      <c r="BA580" s="1229"/>
      <c r="BB580" s="1229"/>
      <c r="BC580" s="1229"/>
      <c r="BD580" s="1274"/>
      <c r="BE580" s="1274"/>
      <c r="BF580" s="1229"/>
      <c r="BG580" s="1229"/>
      <c r="BH580" s="1229"/>
      <c r="BI580" s="1222"/>
      <c r="BJ580" s="1350"/>
      <c r="BK580" s="1350"/>
      <c r="BL580" s="1222"/>
      <c r="BM580" s="1222"/>
      <c r="BN580" s="1222"/>
      <c r="BO580" s="1222"/>
    </row>
    <row r="581">
      <c r="A581" s="1222"/>
      <c r="B581" s="1229"/>
      <c r="C581" s="1349"/>
      <c r="D581" s="1229"/>
      <c r="E581" s="1229"/>
      <c r="F581" s="1229"/>
      <c r="G581" s="1229"/>
      <c r="H581" s="1229"/>
      <c r="I581" s="1229"/>
      <c r="J581" s="1229"/>
      <c r="K581" s="1229"/>
      <c r="L581" s="1229"/>
      <c r="M581" s="1229"/>
      <c r="N581" s="1274"/>
      <c r="O581" s="1274"/>
      <c r="P581" s="1229"/>
      <c r="Q581" s="1229"/>
      <c r="R581" s="1229"/>
      <c r="S581" s="1229"/>
      <c r="T581" s="1274"/>
      <c r="U581" s="1274"/>
      <c r="V581" s="1229"/>
      <c r="W581" s="1229"/>
      <c r="X581" s="1229"/>
      <c r="Y581" s="1229"/>
      <c r="Z581" s="1274"/>
      <c r="AA581" s="1274"/>
      <c r="AB581" s="1229"/>
      <c r="AC581" s="1229"/>
      <c r="AD581" s="1229"/>
      <c r="AE581" s="1229"/>
      <c r="AF581" s="1274"/>
      <c r="AG581" s="1274"/>
      <c r="AH581" s="1229"/>
      <c r="AI581" s="1229"/>
      <c r="AJ581" s="1229"/>
      <c r="AK581" s="1229"/>
      <c r="AL581" s="1274"/>
      <c r="AM581" s="1274"/>
      <c r="AN581" s="1229"/>
      <c r="AO581" s="1229"/>
      <c r="AP581" s="1229"/>
      <c r="AQ581" s="1229"/>
      <c r="AR581" s="1274"/>
      <c r="AS581" s="1274"/>
      <c r="AT581" s="1229"/>
      <c r="AU581" s="1229"/>
      <c r="AV581" s="1229"/>
      <c r="AW581" s="1229"/>
      <c r="AX581" s="1274"/>
      <c r="AY581" s="1274"/>
      <c r="AZ581" s="1229"/>
      <c r="BA581" s="1229"/>
      <c r="BB581" s="1229"/>
      <c r="BC581" s="1229"/>
      <c r="BD581" s="1274"/>
      <c r="BE581" s="1274"/>
      <c r="BF581" s="1229"/>
      <c r="BG581" s="1229"/>
      <c r="BH581" s="1229"/>
      <c r="BI581" s="1222"/>
      <c r="BJ581" s="1350"/>
      <c r="BK581" s="1350"/>
      <c r="BL581" s="1222"/>
      <c r="BM581" s="1222"/>
      <c r="BN581" s="1222"/>
      <c r="BO581" s="1222"/>
    </row>
    <row r="582">
      <c r="A582" s="1222"/>
      <c r="B582" s="1229"/>
      <c r="C582" s="1349"/>
      <c r="D582" s="1229"/>
      <c r="E582" s="1229"/>
      <c r="F582" s="1229"/>
      <c r="G582" s="1229"/>
      <c r="H582" s="1229"/>
      <c r="I582" s="1229"/>
      <c r="J582" s="1229"/>
      <c r="K582" s="1229"/>
      <c r="L582" s="1229"/>
      <c r="M582" s="1229"/>
      <c r="N582" s="1274"/>
      <c r="O582" s="1274"/>
      <c r="P582" s="1229"/>
      <c r="Q582" s="1229"/>
      <c r="R582" s="1229"/>
      <c r="S582" s="1229"/>
      <c r="T582" s="1274"/>
      <c r="U582" s="1274"/>
      <c r="V582" s="1229"/>
      <c r="W582" s="1229"/>
      <c r="X582" s="1229"/>
      <c r="Y582" s="1229"/>
      <c r="Z582" s="1274"/>
      <c r="AA582" s="1274"/>
      <c r="AB582" s="1229"/>
      <c r="AC582" s="1229"/>
      <c r="AD582" s="1229"/>
      <c r="AE582" s="1229"/>
      <c r="AF582" s="1274"/>
      <c r="AG582" s="1274"/>
      <c r="AH582" s="1229"/>
      <c r="AI582" s="1229"/>
      <c r="AJ582" s="1229"/>
      <c r="AK582" s="1229"/>
      <c r="AL582" s="1274"/>
      <c r="AM582" s="1274"/>
      <c r="AN582" s="1229"/>
      <c r="AO582" s="1229"/>
      <c r="AP582" s="1229"/>
      <c r="AQ582" s="1229"/>
      <c r="AR582" s="1274"/>
      <c r="AS582" s="1274"/>
      <c r="AT582" s="1229"/>
      <c r="AU582" s="1229"/>
      <c r="AV582" s="1229"/>
      <c r="AW582" s="1229"/>
      <c r="AX582" s="1274"/>
      <c r="AY582" s="1274"/>
      <c r="AZ582" s="1229"/>
      <c r="BA582" s="1229"/>
      <c r="BB582" s="1229"/>
      <c r="BC582" s="1229"/>
      <c r="BD582" s="1274"/>
      <c r="BE582" s="1274"/>
      <c r="BF582" s="1229"/>
      <c r="BG582" s="1229"/>
      <c r="BH582" s="1229"/>
      <c r="BI582" s="1222"/>
      <c r="BJ582" s="1350"/>
      <c r="BK582" s="1350"/>
      <c r="BL582" s="1222"/>
      <c r="BM582" s="1222"/>
      <c r="BN582" s="1222"/>
      <c r="BO582" s="1222"/>
    </row>
    <row r="583">
      <c r="A583" s="1222"/>
      <c r="B583" s="1229"/>
      <c r="C583" s="1349"/>
      <c r="D583" s="1229"/>
      <c r="E583" s="1229"/>
      <c r="F583" s="1229"/>
      <c r="G583" s="1229"/>
      <c r="H583" s="1229"/>
      <c r="I583" s="1229"/>
      <c r="J583" s="1229"/>
      <c r="K583" s="1229"/>
      <c r="L583" s="1229"/>
      <c r="M583" s="1229"/>
      <c r="N583" s="1274"/>
      <c r="O583" s="1274"/>
      <c r="P583" s="1229"/>
      <c r="Q583" s="1229"/>
      <c r="R583" s="1229"/>
      <c r="S583" s="1229"/>
      <c r="T583" s="1274"/>
      <c r="U583" s="1274"/>
      <c r="V583" s="1229"/>
      <c r="W583" s="1229"/>
      <c r="X583" s="1229"/>
      <c r="Y583" s="1229"/>
      <c r="Z583" s="1274"/>
      <c r="AA583" s="1274"/>
      <c r="AB583" s="1229"/>
      <c r="AC583" s="1229"/>
      <c r="AD583" s="1229"/>
      <c r="AE583" s="1229"/>
      <c r="AF583" s="1274"/>
      <c r="AG583" s="1274"/>
      <c r="AH583" s="1229"/>
      <c r="AI583" s="1229"/>
      <c r="AJ583" s="1229"/>
      <c r="AK583" s="1229"/>
      <c r="AL583" s="1274"/>
      <c r="AM583" s="1274"/>
      <c r="AN583" s="1229"/>
      <c r="AO583" s="1229"/>
      <c r="AP583" s="1229"/>
      <c r="AQ583" s="1229"/>
      <c r="AR583" s="1274"/>
      <c r="AS583" s="1274"/>
      <c r="AT583" s="1229"/>
      <c r="AU583" s="1229"/>
      <c r="AV583" s="1229"/>
      <c r="AW583" s="1229"/>
      <c r="AX583" s="1274"/>
      <c r="AY583" s="1274"/>
      <c r="AZ583" s="1229"/>
      <c r="BA583" s="1229"/>
      <c r="BB583" s="1229"/>
      <c r="BC583" s="1229"/>
      <c r="BD583" s="1274"/>
      <c r="BE583" s="1274"/>
      <c r="BF583" s="1229"/>
      <c r="BG583" s="1229"/>
      <c r="BH583" s="1229"/>
      <c r="BI583" s="1222"/>
      <c r="BJ583" s="1350"/>
      <c r="BK583" s="1350"/>
      <c r="BL583" s="1222"/>
      <c r="BM583" s="1222"/>
      <c r="BN583" s="1222"/>
      <c r="BO583" s="1222"/>
    </row>
    <row r="584">
      <c r="A584" s="1222"/>
      <c r="B584" s="1229"/>
      <c r="C584" s="1349"/>
      <c r="D584" s="1229"/>
      <c r="E584" s="1229"/>
      <c r="F584" s="1229"/>
      <c r="G584" s="1229"/>
      <c r="H584" s="1229"/>
      <c r="I584" s="1229"/>
      <c r="J584" s="1229"/>
      <c r="K584" s="1229"/>
      <c r="L584" s="1229"/>
      <c r="M584" s="1229"/>
      <c r="N584" s="1274"/>
      <c r="O584" s="1274"/>
      <c r="P584" s="1229"/>
      <c r="Q584" s="1229"/>
      <c r="R584" s="1229"/>
      <c r="S584" s="1229"/>
      <c r="T584" s="1274"/>
      <c r="U584" s="1274"/>
      <c r="V584" s="1229"/>
      <c r="W584" s="1229"/>
      <c r="X584" s="1229"/>
      <c r="Y584" s="1229"/>
      <c r="Z584" s="1274"/>
      <c r="AA584" s="1274"/>
      <c r="AB584" s="1229"/>
      <c r="AC584" s="1229"/>
      <c r="AD584" s="1229"/>
      <c r="AE584" s="1229"/>
      <c r="AF584" s="1274"/>
      <c r="AG584" s="1274"/>
      <c r="AH584" s="1229"/>
      <c r="AI584" s="1229"/>
      <c r="AJ584" s="1229"/>
      <c r="AK584" s="1229"/>
      <c r="AL584" s="1274"/>
      <c r="AM584" s="1274"/>
      <c r="AN584" s="1229"/>
      <c r="AO584" s="1229"/>
      <c r="AP584" s="1229"/>
      <c r="AQ584" s="1229"/>
      <c r="AR584" s="1274"/>
      <c r="AS584" s="1274"/>
      <c r="AT584" s="1229"/>
      <c r="AU584" s="1229"/>
      <c r="AV584" s="1229"/>
      <c r="AW584" s="1229"/>
      <c r="AX584" s="1274"/>
      <c r="AY584" s="1274"/>
      <c r="AZ584" s="1229"/>
      <c r="BA584" s="1229"/>
      <c r="BB584" s="1229"/>
      <c r="BC584" s="1229"/>
      <c r="BD584" s="1274"/>
      <c r="BE584" s="1274"/>
      <c r="BF584" s="1229"/>
      <c r="BG584" s="1229"/>
      <c r="BH584" s="1229"/>
      <c r="BI584" s="1222"/>
      <c r="BJ584" s="1350"/>
      <c r="BK584" s="1350"/>
      <c r="BL584" s="1222"/>
      <c r="BM584" s="1222"/>
      <c r="BN584" s="1222"/>
      <c r="BO584" s="1222"/>
    </row>
    <row r="585">
      <c r="A585" s="1222"/>
      <c r="B585" s="1229"/>
      <c r="C585" s="1349"/>
      <c r="D585" s="1229"/>
      <c r="E585" s="1229"/>
      <c r="F585" s="1229"/>
      <c r="G585" s="1229"/>
      <c r="H585" s="1229"/>
      <c r="I585" s="1229"/>
      <c r="J585" s="1229"/>
      <c r="K585" s="1229"/>
      <c r="L585" s="1229"/>
      <c r="M585" s="1229"/>
      <c r="N585" s="1274"/>
      <c r="O585" s="1274"/>
      <c r="P585" s="1229"/>
      <c r="Q585" s="1229"/>
      <c r="R585" s="1229"/>
      <c r="S585" s="1229"/>
      <c r="T585" s="1274"/>
      <c r="U585" s="1274"/>
      <c r="V585" s="1229"/>
      <c r="W585" s="1229"/>
      <c r="X585" s="1229"/>
      <c r="Y585" s="1229"/>
      <c r="Z585" s="1274"/>
      <c r="AA585" s="1274"/>
      <c r="AB585" s="1229"/>
      <c r="AC585" s="1229"/>
      <c r="AD585" s="1229"/>
      <c r="AE585" s="1229"/>
      <c r="AF585" s="1274"/>
      <c r="AG585" s="1274"/>
      <c r="AH585" s="1229"/>
      <c r="AI585" s="1229"/>
      <c r="AJ585" s="1229"/>
      <c r="AK585" s="1229"/>
      <c r="AL585" s="1274"/>
      <c r="AM585" s="1274"/>
      <c r="AN585" s="1229"/>
      <c r="AO585" s="1229"/>
      <c r="AP585" s="1229"/>
      <c r="AQ585" s="1229"/>
      <c r="AR585" s="1274"/>
      <c r="AS585" s="1274"/>
      <c r="AT585" s="1229"/>
      <c r="AU585" s="1229"/>
      <c r="AV585" s="1229"/>
      <c r="AW585" s="1229"/>
      <c r="AX585" s="1274"/>
      <c r="AY585" s="1274"/>
      <c r="AZ585" s="1229"/>
      <c r="BA585" s="1229"/>
      <c r="BB585" s="1229"/>
      <c r="BC585" s="1229"/>
      <c r="BD585" s="1274"/>
      <c r="BE585" s="1274"/>
      <c r="BF585" s="1229"/>
      <c r="BG585" s="1229"/>
      <c r="BH585" s="1229"/>
      <c r="BI585" s="1222"/>
      <c r="BJ585" s="1350"/>
      <c r="BK585" s="1350"/>
      <c r="BL585" s="1222"/>
      <c r="BM585" s="1222"/>
      <c r="BN585" s="1222"/>
      <c r="BO585" s="1222"/>
    </row>
    <row r="586">
      <c r="A586" s="1222"/>
      <c r="B586" s="1229"/>
      <c r="C586" s="1349"/>
      <c r="D586" s="1229"/>
      <c r="E586" s="1229"/>
      <c r="F586" s="1229"/>
      <c r="G586" s="1229"/>
      <c r="H586" s="1229"/>
      <c r="I586" s="1229"/>
      <c r="J586" s="1229"/>
      <c r="K586" s="1229"/>
      <c r="L586" s="1229"/>
      <c r="M586" s="1229"/>
      <c r="N586" s="1274"/>
      <c r="O586" s="1274"/>
      <c r="P586" s="1229"/>
      <c r="Q586" s="1229"/>
      <c r="R586" s="1229"/>
      <c r="S586" s="1229"/>
      <c r="T586" s="1274"/>
      <c r="U586" s="1274"/>
      <c r="V586" s="1229"/>
      <c r="W586" s="1229"/>
      <c r="X586" s="1229"/>
      <c r="Y586" s="1229"/>
      <c r="Z586" s="1274"/>
      <c r="AA586" s="1274"/>
      <c r="AB586" s="1229"/>
      <c r="AC586" s="1229"/>
      <c r="AD586" s="1229"/>
      <c r="AE586" s="1229"/>
      <c r="AF586" s="1274"/>
      <c r="AG586" s="1274"/>
      <c r="AH586" s="1229"/>
      <c r="AI586" s="1229"/>
      <c r="AJ586" s="1229"/>
      <c r="AK586" s="1229"/>
      <c r="AL586" s="1274"/>
      <c r="AM586" s="1274"/>
      <c r="AN586" s="1229"/>
      <c r="AO586" s="1229"/>
      <c r="AP586" s="1229"/>
      <c r="AQ586" s="1229"/>
      <c r="AR586" s="1274"/>
      <c r="AS586" s="1274"/>
      <c r="AT586" s="1229"/>
      <c r="AU586" s="1229"/>
      <c r="AV586" s="1229"/>
      <c r="AW586" s="1229"/>
      <c r="AX586" s="1274"/>
      <c r="AY586" s="1274"/>
      <c r="AZ586" s="1229"/>
      <c r="BA586" s="1229"/>
      <c r="BB586" s="1229"/>
      <c r="BC586" s="1229"/>
      <c r="BD586" s="1274"/>
      <c r="BE586" s="1274"/>
      <c r="BF586" s="1229"/>
      <c r="BG586" s="1229"/>
      <c r="BH586" s="1229"/>
      <c r="BI586" s="1222"/>
      <c r="BJ586" s="1350"/>
      <c r="BK586" s="1350"/>
      <c r="BL586" s="1222"/>
      <c r="BM586" s="1222"/>
      <c r="BN586" s="1222"/>
      <c r="BO586" s="1222"/>
    </row>
    <row r="587">
      <c r="A587" s="1222"/>
      <c r="B587" s="1229"/>
      <c r="C587" s="1349"/>
      <c r="D587" s="1229"/>
      <c r="E587" s="1229"/>
      <c r="F587" s="1229"/>
      <c r="G587" s="1229"/>
      <c r="H587" s="1229"/>
      <c r="I587" s="1229"/>
      <c r="J587" s="1229"/>
      <c r="K587" s="1229"/>
      <c r="L587" s="1229"/>
      <c r="M587" s="1229"/>
      <c r="N587" s="1274"/>
      <c r="O587" s="1274"/>
      <c r="P587" s="1229"/>
      <c r="Q587" s="1229"/>
      <c r="R587" s="1229"/>
      <c r="S587" s="1229"/>
      <c r="T587" s="1274"/>
      <c r="U587" s="1274"/>
      <c r="V587" s="1229"/>
      <c r="W587" s="1229"/>
      <c r="X587" s="1229"/>
      <c r="Y587" s="1229"/>
      <c r="Z587" s="1274"/>
      <c r="AA587" s="1274"/>
      <c r="AB587" s="1229"/>
      <c r="AC587" s="1229"/>
      <c r="AD587" s="1229"/>
      <c r="AE587" s="1229"/>
      <c r="AF587" s="1274"/>
      <c r="AG587" s="1274"/>
      <c r="AH587" s="1229"/>
      <c r="AI587" s="1229"/>
      <c r="AJ587" s="1229"/>
      <c r="AK587" s="1229"/>
      <c r="AL587" s="1274"/>
      <c r="AM587" s="1274"/>
      <c r="AN587" s="1229"/>
      <c r="AO587" s="1229"/>
      <c r="AP587" s="1229"/>
      <c r="AQ587" s="1229"/>
      <c r="AR587" s="1274"/>
      <c r="AS587" s="1274"/>
      <c r="AT587" s="1229"/>
      <c r="AU587" s="1229"/>
      <c r="AV587" s="1229"/>
      <c r="AW587" s="1229"/>
      <c r="AX587" s="1274"/>
      <c r="AY587" s="1274"/>
      <c r="AZ587" s="1229"/>
      <c r="BA587" s="1229"/>
      <c r="BB587" s="1229"/>
      <c r="BC587" s="1229"/>
      <c r="BD587" s="1274"/>
      <c r="BE587" s="1274"/>
      <c r="BF587" s="1229"/>
      <c r="BG587" s="1229"/>
      <c r="BH587" s="1229"/>
      <c r="BI587" s="1222"/>
      <c r="BJ587" s="1350"/>
      <c r="BK587" s="1350"/>
      <c r="BL587" s="1222"/>
      <c r="BM587" s="1222"/>
      <c r="BN587" s="1222"/>
      <c r="BO587" s="1222"/>
    </row>
    <row r="588">
      <c r="A588" s="1222"/>
      <c r="B588" s="1229"/>
      <c r="C588" s="1349"/>
      <c r="D588" s="1229"/>
      <c r="E588" s="1229"/>
      <c r="F588" s="1229"/>
      <c r="G588" s="1229"/>
      <c r="H588" s="1229"/>
      <c r="I588" s="1229"/>
      <c r="J588" s="1229"/>
      <c r="K588" s="1229"/>
      <c r="L588" s="1229"/>
      <c r="M588" s="1229"/>
      <c r="N588" s="1274"/>
      <c r="O588" s="1274"/>
      <c r="P588" s="1229"/>
      <c r="Q588" s="1229"/>
      <c r="R588" s="1229"/>
      <c r="S588" s="1229"/>
      <c r="T588" s="1274"/>
      <c r="U588" s="1274"/>
      <c r="V588" s="1229"/>
      <c r="W588" s="1229"/>
      <c r="X588" s="1229"/>
      <c r="Y588" s="1229"/>
      <c r="Z588" s="1274"/>
      <c r="AA588" s="1274"/>
      <c r="AB588" s="1229"/>
      <c r="AC588" s="1229"/>
      <c r="AD588" s="1229"/>
      <c r="AE588" s="1229"/>
      <c r="AF588" s="1274"/>
      <c r="AG588" s="1274"/>
      <c r="AH588" s="1229"/>
      <c r="AI588" s="1229"/>
      <c r="AJ588" s="1229"/>
      <c r="AK588" s="1229"/>
      <c r="AL588" s="1274"/>
      <c r="AM588" s="1274"/>
      <c r="AN588" s="1229"/>
      <c r="AO588" s="1229"/>
      <c r="AP588" s="1229"/>
      <c r="AQ588" s="1229"/>
      <c r="AR588" s="1274"/>
      <c r="AS588" s="1274"/>
      <c r="AT588" s="1229"/>
      <c r="AU588" s="1229"/>
      <c r="AV588" s="1229"/>
      <c r="AW588" s="1229"/>
      <c r="AX588" s="1274"/>
      <c r="AY588" s="1274"/>
      <c r="AZ588" s="1229"/>
      <c r="BA588" s="1229"/>
      <c r="BB588" s="1229"/>
      <c r="BC588" s="1229"/>
      <c r="BD588" s="1274"/>
      <c r="BE588" s="1274"/>
      <c r="BF588" s="1229"/>
      <c r="BG588" s="1229"/>
      <c r="BH588" s="1229"/>
      <c r="BI588" s="1222"/>
      <c r="BJ588" s="1350"/>
      <c r="BK588" s="1350"/>
      <c r="BL588" s="1222"/>
      <c r="BM588" s="1222"/>
      <c r="BN588" s="1222"/>
      <c r="BO588" s="1222"/>
    </row>
    <row r="589">
      <c r="A589" s="1222"/>
      <c r="B589" s="1229"/>
      <c r="C589" s="1349"/>
      <c r="D589" s="1229"/>
      <c r="E589" s="1229"/>
      <c r="F589" s="1229"/>
      <c r="G589" s="1229"/>
      <c r="H589" s="1229"/>
      <c r="I589" s="1229"/>
      <c r="J589" s="1229"/>
      <c r="K589" s="1229"/>
      <c r="L589" s="1229"/>
      <c r="M589" s="1229"/>
      <c r="N589" s="1274"/>
      <c r="O589" s="1274"/>
      <c r="P589" s="1229"/>
      <c r="Q589" s="1229"/>
      <c r="R589" s="1229"/>
      <c r="S589" s="1229"/>
      <c r="T589" s="1274"/>
      <c r="U589" s="1274"/>
      <c r="V589" s="1229"/>
      <c r="W589" s="1229"/>
      <c r="X589" s="1229"/>
      <c r="Y589" s="1229"/>
      <c r="Z589" s="1274"/>
      <c r="AA589" s="1274"/>
      <c r="AB589" s="1229"/>
      <c r="AC589" s="1229"/>
      <c r="AD589" s="1229"/>
      <c r="AE589" s="1229"/>
      <c r="AF589" s="1274"/>
      <c r="AG589" s="1274"/>
      <c r="AH589" s="1229"/>
      <c r="AI589" s="1229"/>
      <c r="AJ589" s="1229"/>
      <c r="AK589" s="1229"/>
      <c r="AL589" s="1274"/>
      <c r="AM589" s="1274"/>
      <c r="AN589" s="1229"/>
      <c r="AO589" s="1229"/>
      <c r="AP589" s="1229"/>
      <c r="AQ589" s="1229"/>
      <c r="AR589" s="1274"/>
      <c r="AS589" s="1274"/>
      <c r="AT589" s="1229"/>
      <c r="AU589" s="1229"/>
      <c r="AV589" s="1229"/>
      <c r="AW589" s="1229"/>
      <c r="AX589" s="1274"/>
      <c r="AY589" s="1274"/>
      <c r="AZ589" s="1229"/>
      <c r="BA589" s="1229"/>
      <c r="BB589" s="1229"/>
      <c r="BC589" s="1229"/>
      <c r="BD589" s="1274"/>
      <c r="BE589" s="1274"/>
      <c r="BF589" s="1229"/>
      <c r="BG589" s="1229"/>
      <c r="BH589" s="1229"/>
      <c r="BI589" s="1222"/>
      <c r="BJ589" s="1350"/>
      <c r="BK589" s="1350"/>
      <c r="BL589" s="1222"/>
      <c r="BM589" s="1222"/>
      <c r="BN589" s="1222"/>
      <c r="BO589" s="1222"/>
    </row>
    <row r="590">
      <c r="A590" s="1222"/>
      <c r="B590" s="1229"/>
      <c r="C590" s="1349"/>
      <c r="D590" s="1229"/>
      <c r="E590" s="1229"/>
      <c r="F590" s="1229"/>
      <c r="G590" s="1229"/>
      <c r="H590" s="1229"/>
      <c r="I590" s="1229"/>
      <c r="J590" s="1229"/>
      <c r="K590" s="1229"/>
      <c r="L590" s="1229"/>
      <c r="M590" s="1229"/>
      <c r="N590" s="1274"/>
      <c r="O590" s="1274"/>
      <c r="P590" s="1229"/>
      <c r="Q590" s="1229"/>
      <c r="R590" s="1229"/>
      <c r="S590" s="1229"/>
      <c r="T590" s="1274"/>
      <c r="U590" s="1274"/>
      <c r="V590" s="1229"/>
      <c r="W590" s="1229"/>
      <c r="X590" s="1229"/>
      <c r="Y590" s="1229"/>
      <c r="Z590" s="1274"/>
      <c r="AA590" s="1274"/>
      <c r="AB590" s="1229"/>
      <c r="AC590" s="1229"/>
      <c r="AD590" s="1229"/>
      <c r="AE590" s="1229"/>
      <c r="AF590" s="1274"/>
      <c r="AG590" s="1274"/>
      <c r="AH590" s="1229"/>
      <c r="AI590" s="1229"/>
      <c r="AJ590" s="1229"/>
      <c r="AK590" s="1229"/>
      <c r="AL590" s="1274"/>
      <c r="AM590" s="1274"/>
      <c r="AN590" s="1229"/>
      <c r="AO590" s="1229"/>
      <c r="AP590" s="1229"/>
      <c r="AQ590" s="1229"/>
      <c r="AR590" s="1274"/>
      <c r="AS590" s="1274"/>
      <c r="AT590" s="1229"/>
      <c r="AU590" s="1229"/>
      <c r="AV590" s="1229"/>
      <c r="AW590" s="1229"/>
      <c r="AX590" s="1274"/>
      <c r="AY590" s="1274"/>
      <c r="AZ590" s="1229"/>
      <c r="BA590" s="1229"/>
      <c r="BB590" s="1229"/>
      <c r="BC590" s="1229"/>
      <c r="BD590" s="1274"/>
      <c r="BE590" s="1274"/>
      <c r="BF590" s="1229"/>
      <c r="BG590" s="1229"/>
      <c r="BH590" s="1229"/>
      <c r="BI590" s="1222"/>
      <c r="BJ590" s="1350"/>
      <c r="BK590" s="1350"/>
      <c r="BL590" s="1222"/>
      <c r="BM590" s="1222"/>
      <c r="BN590" s="1222"/>
      <c r="BO590" s="1222"/>
    </row>
    <row r="591">
      <c r="A591" s="1222"/>
      <c r="B591" s="1229"/>
      <c r="C591" s="1349"/>
      <c r="D591" s="1229"/>
      <c r="E591" s="1229"/>
      <c r="F591" s="1229"/>
      <c r="G591" s="1229"/>
      <c r="H591" s="1229"/>
      <c r="I591" s="1229"/>
      <c r="J591" s="1229"/>
      <c r="K591" s="1229"/>
      <c r="L591" s="1229"/>
      <c r="M591" s="1229"/>
      <c r="N591" s="1274"/>
      <c r="O591" s="1274"/>
      <c r="P591" s="1229"/>
      <c r="Q591" s="1229"/>
      <c r="R591" s="1229"/>
      <c r="S591" s="1229"/>
      <c r="T591" s="1274"/>
      <c r="U591" s="1274"/>
      <c r="V591" s="1229"/>
      <c r="W591" s="1229"/>
      <c r="X591" s="1229"/>
      <c r="Y591" s="1229"/>
      <c r="Z591" s="1274"/>
      <c r="AA591" s="1274"/>
      <c r="AB591" s="1229"/>
      <c r="AC591" s="1229"/>
      <c r="AD591" s="1229"/>
      <c r="AE591" s="1229"/>
      <c r="AF591" s="1274"/>
      <c r="AG591" s="1274"/>
      <c r="AH591" s="1229"/>
      <c r="AI591" s="1229"/>
      <c r="AJ591" s="1229"/>
      <c r="AK591" s="1229"/>
      <c r="AL591" s="1274"/>
      <c r="AM591" s="1274"/>
      <c r="AN591" s="1229"/>
      <c r="AO591" s="1229"/>
      <c r="AP591" s="1229"/>
      <c r="AQ591" s="1229"/>
      <c r="AR591" s="1274"/>
      <c r="AS591" s="1274"/>
      <c r="AT591" s="1229"/>
      <c r="AU591" s="1229"/>
      <c r="AV591" s="1229"/>
      <c r="AW591" s="1229"/>
      <c r="AX591" s="1274"/>
      <c r="AY591" s="1274"/>
      <c r="AZ591" s="1229"/>
      <c r="BA591" s="1229"/>
      <c r="BB591" s="1229"/>
      <c r="BC591" s="1229"/>
      <c r="BD591" s="1274"/>
      <c r="BE591" s="1274"/>
      <c r="BF591" s="1229"/>
      <c r="BG591" s="1229"/>
      <c r="BH591" s="1229"/>
      <c r="BI591" s="1222"/>
      <c r="BJ591" s="1350"/>
      <c r="BK591" s="1350"/>
      <c r="BL591" s="1222"/>
      <c r="BM591" s="1222"/>
      <c r="BN591" s="1222"/>
      <c r="BO591" s="1222"/>
    </row>
    <row r="592">
      <c r="A592" s="1222"/>
      <c r="B592" s="1229"/>
      <c r="C592" s="1349"/>
      <c r="D592" s="1229"/>
      <c r="E592" s="1229"/>
      <c r="F592" s="1229"/>
      <c r="G592" s="1229"/>
      <c r="H592" s="1229"/>
      <c r="I592" s="1229"/>
      <c r="J592" s="1229"/>
      <c r="K592" s="1229"/>
      <c r="L592" s="1229"/>
      <c r="M592" s="1229"/>
      <c r="N592" s="1274"/>
      <c r="O592" s="1274"/>
      <c r="P592" s="1229"/>
      <c r="Q592" s="1229"/>
      <c r="R592" s="1229"/>
      <c r="S592" s="1229"/>
      <c r="T592" s="1274"/>
      <c r="U592" s="1274"/>
      <c r="V592" s="1229"/>
      <c r="W592" s="1229"/>
      <c r="X592" s="1229"/>
      <c r="Y592" s="1229"/>
      <c r="Z592" s="1274"/>
      <c r="AA592" s="1274"/>
      <c r="AB592" s="1229"/>
      <c r="AC592" s="1229"/>
      <c r="AD592" s="1229"/>
      <c r="AE592" s="1229"/>
      <c r="AF592" s="1274"/>
      <c r="AG592" s="1274"/>
      <c r="AH592" s="1229"/>
      <c r="AI592" s="1229"/>
      <c r="AJ592" s="1229"/>
      <c r="AK592" s="1229"/>
      <c r="AL592" s="1274"/>
      <c r="AM592" s="1274"/>
      <c r="AN592" s="1229"/>
      <c r="AO592" s="1229"/>
      <c r="AP592" s="1229"/>
      <c r="AQ592" s="1229"/>
      <c r="AR592" s="1274"/>
      <c r="AS592" s="1274"/>
      <c r="AT592" s="1229"/>
      <c r="AU592" s="1229"/>
      <c r="AV592" s="1229"/>
      <c r="AW592" s="1229"/>
      <c r="AX592" s="1274"/>
      <c r="AY592" s="1274"/>
      <c r="AZ592" s="1229"/>
      <c r="BA592" s="1229"/>
      <c r="BB592" s="1229"/>
      <c r="BC592" s="1229"/>
      <c r="BD592" s="1274"/>
      <c r="BE592" s="1274"/>
      <c r="BF592" s="1229"/>
      <c r="BG592" s="1229"/>
      <c r="BH592" s="1229"/>
      <c r="BI592" s="1222"/>
      <c r="BJ592" s="1350"/>
      <c r="BK592" s="1350"/>
      <c r="BL592" s="1222"/>
      <c r="BM592" s="1222"/>
      <c r="BN592" s="1222"/>
      <c r="BO592" s="1222"/>
    </row>
    <row r="593">
      <c r="A593" s="1222"/>
      <c r="B593" s="1229"/>
      <c r="C593" s="1349"/>
      <c r="D593" s="1229"/>
      <c r="E593" s="1229"/>
      <c r="F593" s="1229"/>
      <c r="G593" s="1229"/>
      <c r="H593" s="1229"/>
      <c r="I593" s="1229"/>
      <c r="J593" s="1229"/>
      <c r="K593" s="1229"/>
      <c r="L593" s="1229"/>
      <c r="M593" s="1229"/>
      <c r="N593" s="1274"/>
      <c r="O593" s="1274"/>
      <c r="P593" s="1229"/>
      <c r="Q593" s="1229"/>
      <c r="R593" s="1229"/>
      <c r="S593" s="1229"/>
      <c r="T593" s="1274"/>
      <c r="U593" s="1274"/>
      <c r="V593" s="1229"/>
      <c r="W593" s="1229"/>
      <c r="X593" s="1229"/>
      <c r="Y593" s="1229"/>
      <c r="Z593" s="1274"/>
      <c r="AA593" s="1274"/>
      <c r="AB593" s="1229"/>
      <c r="AC593" s="1229"/>
      <c r="AD593" s="1229"/>
      <c r="AE593" s="1229"/>
      <c r="AF593" s="1274"/>
      <c r="AG593" s="1274"/>
      <c r="AH593" s="1229"/>
      <c r="AI593" s="1229"/>
      <c r="AJ593" s="1229"/>
      <c r="AK593" s="1229"/>
      <c r="AL593" s="1274"/>
      <c r="AM593" s="1274"/>
      <c r="AN593" s="1229"/>
      <c r="AO593" s="1229"/>
      <c r="AP593" s="1229"/>
      <c r="AQ593" s="1229"/>
      <c r="AR593" s="1274"/>
      <c r="AS593" s="1274"/>
      <c r="AT593" s="1229"/>
      <c r="AU593" s="1229"/>
      <c r="AV593" s="1229"/>
      <c r="AW593" s="1229"/>
      <c r="AX593" s="1274"/>
      <c r="AY593" s="1274"/>
      <c r="AZ593" s="1229"/>
      <c r="BA593" s="1229"/>
      <c r="BB593" s="1229"/>
      <c r="BC593" s="1229"/>
      <c r="BD593" s="1274"/>
      <c r="BE593" s="1274"/>
      <c r="BF593" s="1229"/>
      <c r="BG593" s="1229"/>
      <c r="BH593" s="1229"/>
      <c r="BI593" s="1222"/>
      <c r="BJ593" s="1350"/>
      <c r="BK593" s="1350"/>
      <c r="BL593" s="1222"/>
      <c r="BM593" s="1222"/>
      <c r="BN593" s="1222"/>
      <c r="BO593" s="1222"/>
    </row>
    <row r="594">
      <c r="A594" s="1222"/>
      <c r="B594" s="1229"/>
      <c r="C594" s="1349"/>
      <c r="D594" s="1229"/>
      <c r="E594" s="1229"/>
      <c r="F594" s="1229"/>
      <c r="G594" s="1229"/>
      <c r="H594" s="1229"/>
      <c r="I594" s="1229"/>
      <c r="J594" s="1229"/>
      <c r="K594" s="1229"/>
      <c r="L594" s="1229"/>
      <c r="M594" s="1229"/>
      <c r="N594" s="1274"/>
      <c r="O594" s="1274"/>
      <c r="P594" s="1229"/>
      <c r="Q594" s="1229"/>
      <c r="R594" s="1229"/>
      <c r="S594" s="1229"/>
      <c r="T594" s="1274"/>
      <c r="U594" s="1274"/>
      <c r="V594" s="1229"/>
      <c r="W594" s="1229"/>
      <c r="X594" s="1229"/>
      <c r="Y594" s="1229"/>
      <c r="Z594" s="1274"/>
      <c r="AA594" s="1274"/>
      <c r="AB594" s="1229"/>
      <c r="AC594" s="1229"/>
      <c r="AD594" s="1229"/>
      <c r="AE594" s="1229"/>
      <c r="AF594" s="1274"/>
      <c r="AG594" s="1274"/>
      <c r="AH594" s="1229"/>
      <c r="AI594" s="1229"/>
      <c r="AJ594" s="1229"/>
      <c r="AK594" s="1229"/>
      <c r="AL594" s="1274"/>
      <c r="AM594" s="1274"/>
      <c r="AN594" s="1229"/>
      <c r="AO594" s="1229"/>
      <c r="AP594" s="1229"/>
      <c r="AQ594" s="1229"/>
      <c r="AR594" s="1274"/>
      <c r="AS594" s="1274"/>
      <c r="AT594" s="1229"/>
      <c r="AU594" s="1229"/>
      <c r="AV594" s="1229"/>
      <c r="AW594" s="1229"/>
      <c r="AX594" s="1274"/>
      <c r="AY594" s="1274"/>
      <c r="AZ594" s="1229"/>
      <c r="BA594" s="1229"/>
      <c r="BB594" s="1229"/>
      <c r="BC594" s="1229"/>
      <c r="BD594" s="1274"/>
      <c r="BE594" s="1274"/>
      <c r="BF594" s="1229"/>
      <c r="BG594" s="1229"/>
      <c r="BH594" s="1229"/>
      <c r="BI594" s="1222"/>
      <c r="BJ594" s="1350"/>
      <c r="BK594" s="1350"/>
      <c r="BL594" s="1222"/>
      <c r="BM594" s="1222"/>
      <c r="BN594" s="1222"/>
      <c r="BO594" s="1222"/>
    </row>
    <row r="595">
      <c r="A595" s="1222"/>
      <c r="B595" s="1229"/>
      <c r="C595" s="1349"/>
      <c r="D595" s="1229"/>
      <c r="E595" s="1229"/>
      <c r="F595" s="1229"/>
      <c r="G595" s="1229"/>
      <c r="H595" s="1229"/>
      <c r="I595" s="1229"/>
      <c r="J595" s="1229"/>
      <c r="K595" s="1229"/>
      <c r="L595" s="1229"/>
      <c r="M595" s="1229"/>
      <c r="N595" s="1274"/>
      <c r="O595" s="1274"/>
      <c r="P595" s="1229"/>
      <c r="Q595" s="1229"/>
      <c r="R595" s="1229"/>
      <c r="S595" s="1229"/>
      <c r="T595" s="1274"/>
      <c r="U595" s="1274"/>
      <c r="V595" s="1229"/>
      <c r="W595" s="1229"/>
      <c r="X595" s="1229"/>
      <c r="Y595" s="1229"/>
      <c r="Z595" s="1274"/>
      <c r="AA595" s="1274"/>
      <c r="AB595" s="1229"/>
      <c r="AC595" s="1229"/>
      <c r="AD595" s="1229"/>
      <c r="AE595" s="1229"/>
      <c r="AF595" s="1274"/>
      <c r="AG595" s="1274"/>
      <c r="AH595" s="1229"/>
      <c r="AI595" s="1229"/>
      <c r="AJ595" s="1229"/>
      <c r="AK595" s="1229"/>
      <c r="AL595" s="1274"/>
      <c r="AM595" s="1274"/>
      <c r="AN595" s="1229"/>
      <c r="AO595" s="1229"/>
      <c r="AP595" s="1229"/>
      <c r="AQ595" s="1229"/>
      <c r="AR595" s="1274"/>
      <c r="AS595" s="1274"/>
      <c r="AT595" s="1229"/>
      <c r="AU595" s="1229"/>
      <c r="AV595" s="1229"/>
      <c r="AW595" s="1229"/>
      <c r="AX595" s="1274"/>
      <c r="AY595" s="1274"/>
      <c r="AZ595" s="1229"/>
      <c r="BA595" s="1229"/>
      <c r="BB595" s="1229"/>
      <c r="BC595" s="1229"/>
      <c r="BD595" s="1274"/>
      <c r="BE595" s="1274"/>
      <c r="BF595" s="1229"/>
      <c r="BG595" s="1229"/>
      <c r="BH595" s="1229"/>
      <c r="BI595" s="1222"/>
      <c r="BJ595" s="1350"/>
      <c r="BK595" s="1350"/>
      <c r="BL595" s="1222"/>
      <c r="BM595" s="1222"/>
      <c r="BN595" s="1222"/>
      <c r="BO595" s="1222"/>
    </row>
    <row r="596">
      <c r="A596" s="1222"/>
      <c r="B596" s="1229"/>
      <c r="C596" s="1349"/>
      <c r="D596" s="1229"/>
      <c r="E596" s="1229"/>
      <c r="F596" s="1229"/>
      <c r="G596" s="1229"/>
      <c r="H596" s="1229"/>
      <c r="I596" s="1229"/>
      <c r="J596" s="1229"/>
      <c r="K596" s="1229"/>
      <c r="L596" s="1229"/>
      <c r="M596" s="1229"/>
      <c r="N596" s="1274"/>
      <c r="O596" s="1274"/>
      <c r="P596" s="1229"/>
      <c r="Q596" s="1229"/>
      <c r="R596" s="1229"/>
      <c r="S596" s="1229"/>
      <c r="T596" s="1274"/>
      <c r="U596" s="1274"/>
      <c r="V596" s="1229"/>
      <c r="W596" s="1229"/>
      <c r="X596" s="1229"/>
      <c r="Y596" s="1229"/>
      <c r="Z596" s="1274"/>
      <c r="AA596" s="1274"/>
      <c r="AB596" s="1229"/>
      <c r="AC596" s="1229"/>
      <c r="AD596" s="1229"/>
      <c r="AE596" s="1229"/>
      <c r="AF596" s="1274"/>
      <c r="AG596" s="1274"/>
      <c r="AH596" s="1229"/>
      <c r="AI596" s="1229"/>
      <c r="AJ596" s="1229"/>
      <c r="AK596" s="1229"/>
      <c r="AL596" s="1274"/>
      <c r="AM596" s="1274"/>
      <c r="AN596" s="1229"/>
      <c r="AO596" s="1229"/>
      <c r="AP596" s="1229"/>
      <c r="AQ596" s="1229"/>
      <c r="AR596" s="1274"/>
      <c r="AS596" s="1274"/>
      <c r="AT596" s="1229"/>
      <c r="AU596" s="1229"/>
      <c r="AV596" s="1229"/>
      <c r="AW596" s="1229"/>
      <c r="AX596" s="1274"/>
      <c r="AY596" s="1274"/>
      <c r="AZ596" s="1229"/>
      <c r="BA596" s="1229"/>
      <c r="BB596" s="1229"/>
      <c r="BC596" s="1229"/>
      <c r="BD596" s="1274"/>
      <c r="BE596" s="1274"/>
      <c r="BF596" s="1229"/>
      <c r="BG596" s="1229"/>
      <c r="BH596" s="1229"/>
      <c r="BI596" s="1222"/>
      <c r="BJ596" s="1350"/>
      <c r="BK596" s="1350"/>
      <c r="BL596" s="1222"/>
      <c r="BM596" s="1222"/>
      <c r="BN596" s="1222"/>
      <c r="BO596" s="1222"/>
    </row>
    <row r="597">
      <c r="A597" s="1222"/>
      <c r="B597" s="1229"/>
      <c r="C597" s="1349"/>
      <c r="D597" s="1229"/>
      <c r="E597" s="1229"/>
      <c r="F597" s="1229"/>
      <c r="G597" s="1229"/>
      <c r="H597" s="1229"/>
      <c r="I597" s="1229"/>
      <c r="J597" s="1229"/>
      <c r="K597" s="1229"/>
      <c r="L597" s="1229"/>
      <c r="M597" s="1229"/>
      <c r="N597" s="1274"/>
      <c r="O597" s="1274"/>
      <c r="P597" s="1229"/>
      <c r="Q597" s="1229"/>
      <c r="R597" s="1229"/>
      <c r="S597" s="1229"/>
      <c r="T597" s="1274"/>
      <c r="U597" s="1274"/>
      <c r="V597" s="1229"/>
      <c r="W597" s="1229"/>
      <c r="X597" s="1229"/>
      <c r="Y597" s="1229"/>
      <c r="Z597" s="1274"/>
      <c r="AA597" s="1274"/>
      <c r="AB597" s="1229"/>
      <c r="AC597" s="1229"/>
      <c r="AD597" s="1229"/>
      <c r="AE597" s="1229"/>
      <c r="AF597" s="1274"/>
      <c r="AG597" s="1274"/>
      <c r="AH597" s="1229"/>
      <c r="AI597" s="1229"/>
      <c r="AJ597" s="1229"/>
      <c r="AK597" s="1229"/>
      <c r="AL597" s="1274"/>
      <c r="AM597" s="1274"/>
      <c r="AN597" s="1229"/>
      <c r="AO597" s="1229"/>
      <c r="AP597" s="1229"/>
      <c r="AQ597" s="1229"/>
      <c r="AR597" s="1274"/>
      <c r="AS597" s="1274"/>
      <c r="AT597" s="1229"/>
      <c r="AU597" s="1229"/>
      <c r="AV597" s="1229"/>
      <c r="AW597" s="1229"/>
      <c r="AX597" s="1274"/>
      <c r="AY597" s="1274"/>
      <c r="AZ597" s="1229"/>
      <c r="BA597" s="1229"/>
      <c r="BB597" s="1229"/>
      <c r="BC597" s="1229"/>
      <c r="BD597" s="1274"/>
      <c r="BE597" s="1274"/>
      <c r="BF597" s="1229"/>
      <c r="BG597" s="1229"/>
      <c r="BH597" s="1229"/>
      <c r="BI597" s="1222"/>
      <c r="BJ597" s="1350"/>
      <c r="BK597" s="1350"/>
      <c r="BL597" s="1222"/>
      <c r="BM597" s="1222"/>
      <c r="BN597" s="1222"/>
      <c r="BO597" s="1222"/>
    </row>
    <row r="598">
      <c r="A598" s="1222"/>
      <c r="B598" s="1229"/>
      <c r="C598" s="1349"/>
      <c r="D598" s="1229"/>
      <c r="E598" s="1229"/>
      <c r="F598" s="1229"/>
      <c r="G598" s="1229"/>
      <c r="H598" s="1229"/>
      <c r="I598" s="1229"/>
      <c r="J598" s="1229"/>
      <c r="K598" s="1229"/>
      <c r="L598" s="1229"/>
      <c r="M598" s="1229"/>
      <c r="N598" s="1274"/>
      <c r="O598" s="1274"/>
      <c r="P598" s="1229"/>
      <c r="Q598" s="1229"/>
      <c r="R598" s="1229"/>
      <c r="S598" s="1229"/>
      <c r="T598" s="1274"/>
      <c r="U598" s="1274"/>
      <c r="V598" s="1229"/>
      <c r="W598" s="1229"/>
      <c r="X598" s="1229"/>
      <c r="Y598" s="1229"/>
      <c r="Z598" s="1274"/>
      <c r="AA598" s="1274"/>
      <c r="AB598" s="1229"/>
      <c r="AC598" s="1229"/>
      <c r="AD598" s="1229"/>
      <c r="AE598" s="1229"/>
      <c r="AF598" s="1274"/>
      <c r="AG598" s="1274"/>
      <c r="AH598" s="1229"/>
      <c r="AI598" s="1229"/>
      <c r="AJ598" s="1229"/>
      <c r="AK598" s="1229"/>
      <c r="AL598" s="1274"/>
      <c r="AM598" s="1274"/>
      <c r="AN598" s="1229"/>
      <c r="AO598" s="1229"/>
      <c r="AP598" s="1229"/>
      <c r="AQ598" s="1229"/>
      <c r="AR598" s="1274"/>
      <c r="AS598" s="1274"/>
      <c r="AT598" s="1229"/>
      <c r="AU598" s="1229"/>
      <c r="AV598" s="1229"/>
      <c r="AW598" s="1229"/>
      <c r="AX598" s="1274"/>
      <c r="AY598" s="1274"/>
      <c r="AZ598" s="1229"/>
      <c r="BA598" s="1229"/>
      <c r="BB598" s="1229"/>
      <c r="BC598" s="1229"/>
      <c r="BD598" s="1274"/>
      <c r="BE598" s="1274"/>
      <c r="BF598" s="1229"/>
      <c r="BG598" s="1229"/>
      <c r="BH598" s="1229"/>
      <c r="BI598" s="1222"/>
      <c r="BJ598" s="1350"/>
      <c r="BK598" s="1350"/>
      <c r="BL598" s="1222"/>
      <c r="BM598" s="1222"/>
      <c r="BN598" s="1222"/>
      <c r="BO598" s="1222"/>
    </row>
    <row r="599">
      <c r="A599" s="1222"/>
      <c r="B599" s="1229"/>
      <c r="C599" s="1349"/>
      <c r="D599" s="1229"/>
      <c r="E599" s="1229"/>
      <c r="F599" s="1229"/>
      <c r="G599" s="1229"/>
      <c r="H599" s="1229"/>
      <c r="I599" s="1229"/>
      <c r="J599" s="1229"/>
      <c r="K599" s="1229"/>
      <c r="L599" s="1229"/>
      <c r="M599" s="1229"/>
      <c r="N599" s="1274"/>
      <c r="O599" s="1274"/>
      <c r="P599" s="1229"/>
      <c r="Q599" s="1229"/>
      <c r="R599" s="1229"/>
      <c r="S599" s="1229"/>
      <c r="T599" s="1274"/>
      <c r="U599" s="1274"/>
      <c r="V599" s="1229"/>
      <c r="W599" s="1229"/>
      <c r="X599" s="1229"/>
      <c r="Y599" s="1229"/>
      <c r="Z599" s="1274"/>
      <c r="AA599" s="1274"/>
      <c r="AB599" s="1229"/>
      <c r="AC599" s="1229"/>
      <c r="AD599" s="1229"/>
      <c r="AE599" s="1229"/>
      <c r="AF599" s="1274"/>
      <c r="AG599" s="1274"/>
      <c r="AH599" s="1229"/>
      <c r="AI599" s="1229"/>
      <c r="AJ599" s="1229"/>
      <c r="AK599" s="1229"/>
      <c r="AL599" s="1274"/>
      <c r="AM599" s="1274"/>
      <c r="AN599" s="1229"/>
      <c r="AO599" s="1229"/>
      <c r="AP599" s="1229"/>
      <c r="AQ599" s="1229"/>
      <c r="AR599" s="1274"/>
      <c r="AS599" s="1274"/>
      <c r="AT599" s="1229"/>
      <c r="AU599" s="1229"/>
      <c r="AV599" s="1229"/>
      <c r="AW599" s="1229"/>
      <c r="AX599" s="1274"/>
      <c r="AY599" s="1274"/>
      <c r="AZ599" s="1229"/>
      <c r="BA599" s="1229"/>
      <c r="BB599" s="1229"/>
      <c r="BC599" s="1229"/>
      <c r="BD599" s="1274"/>
      <c r="BE599" s="1274"/>
      <c r="BF599" s="1229"/>
      <c r="BG599" s="1229"/>
      <c r="BH599" s="1229"/>
      <c r="BI599" s="1222"/>
      <c r="BJ599" s="1350"/>
      <c r="BK599" s="1350"/>
      <c r="BL599" s="1222"/>
      <c r="BM599" s="1222"/>
      <c r="BN599" s="1222"/>
      <c r="BO599" s="1222"/>
    </row>
    <row r="600">
      <c r="A600" s="1222"/>
      <c r="B600" s="1229"/>
      <c r="C600" s="1349"/>
      <c r="D600" s="1229"/>
      <c r="E600" s="1229"/>
      <c r="F600" s="1229"/>
      <c r="G600" s="1229"/>
      <c r="H600" s="1229"/>
      <c r="I600" s="1229"/>
      <c r="J600" s="1229"/>
      <c r="K600" s="1229"/>
      <c r="L600" s="1229"/>
      <c r="M600" s="1229"/>
      <c r="N600" s="1274"/>
      <c r="O600" s="1274"/>
      <c r="P600" s="1229"/>
      <c r="Q600" s="1229"/>
      <c r="R600" s="1229"/>
      <c r="S600" s="1229"/>
      <c r="T600" s="1274"/>
      <c r="U600" s="1274"/>
      <c r="V600" s="1229"/>
      <c r="W600" s="1229"/>
      <c r="X600" s="1229"/>
      <c r="Y600" s="1229"/>
      <c r="Z600" s="1274"/>
      <c r="AA600" s="1274"/>
      <c r="AB600" s="1229"/>
      <c r="AC600" s="1229"/>
      <c r="AD600" s="1229"/>
      <c r="AE600" s="1229"/>
      <c r="AF600" s="1274"/>
      <c r="AG600" s="1274"/>
      <c r="AH600" s="1229"/>
      <c r="AI600" s="1229"/>
      <c r="AJ600" s="1229"/>
      <c r="AK600" s="1229"/>
      <c r="AL600" s="1274"/>
      <c r="AM600" s="1274"/>
      <c r="AN600" s="1229"/>
      <c r="AO600" s="1229"/>
      <c r="AP600" s="1229"/>
      <c r="AQ600" s="1229"/>
      <c r="AR600" s="1274"/>
      <c r="AS600" s="1274"/>
      <c r="AT600" s="1229"/>
      <c r="AU600" s="1229"/>
      <c r="AV600" s="1229"/>
      <c r="AW600" s="1229"/>
      <c r="AX600" s="1274"/>
      <c r="AY600" s="1274"/>
      <c r="AZ600" s="1229"/>
      <c r="BA600" s="1229"/>
      <c r="BB600" s="1229"/>
      <c r="BC600" s="1229"/>
      <c r="BD600" s="1274"/>
      <c r="BE600" s="1274"/>
      <c r="BF600" s="1229"/>
      <c r="BG600" s="1229"/>
      <c r="BH600" s="1229"/>
      <c r="BI600" s="1222"/>
      <c r="BJ600" s="1350"/>
      <c r="BK600" s="1350"/>
      <c r="BL600" s="1222"/>
      <c r="BM600" s="1222"/>
      <c r="BN600" s="1222"/>
      <c r="BO600" s="1222"/>
    </row>
    <row r="601">
      <c r="A601" s="1222"/>
      <c r="B601" s="1229"/>
      <c r="C601" s="1349"/>
      <c r="D601" s="1229"/>
      <c r="E601" s="1229"/>
      <c r="F601" s="1229"/>
      <c r="G601" s="1229"/>
      <c r="H601" s="1229"/>
      <c r="I601" s="1229"/>
      <c r="J601" s="1229"/>
      <c r="K601" s="1229"/>
      <c r="L601" s="1229"/>
      <c r="M601" s="1229"/>
      <c r="N601" s="1274"/>
      <c r="O601" s="1274"/>
      <c r="P601" s="1229"/>
      <c r="Q601" s="1229"/>
      <c r="R601" s="1229"/>
      <c r="S601" s="1229"/>
      <c r="T601" s="1274"/>
      <c r="U601" s="1274"/>
      <c r="V601" s="1229"/>
      <c r="W601" s="1229"/>
      <c r="X601" s="1229"/>
      <c r="Y601" s="1229"/>
      <c r="Z601" s="1274"/>
      <c r="AA601" s="1274"/>
      <c r="AB601" s="1229"/>
      <c r="AC601" s="1229"/>
      <c r="AD601" s="1229"/>
      <c r="AE601" s="1229"/>
      <c r="AF601" s="1274"/>
      <c r="AG601" s="1274"/>
      <c r="AH601" s="1229"/>
      <c r="AI601" s="1229"/>
      <c r="AJ601" s="1229"/>
      <c r="AK601" s="1229"/>
      <c r="AL601" s="1274"/>
      <c r="AM601" s="1274"/>
      <c r="AN601" s="1229"/>
      <c r="AO601" s="1229"/>
      <c r="AP601" s="1229"/>
      <c r="AQ601" s="1229"/>
      <c r="AR601" s="1274"/>
      <c r="AS601" s="1274"/>
      <c r="AT601" s="1229"/>
      <c r="AU601" s="1229"/>
      <c r="AV601" s="1229"/>
      <c r="AW601" s="1229"/>
      <c r="AX601" s="1274"/>
      <c r="AY601" s="1274"/>
      <c r="AZ601" s="1229"/>
      <c r="BA601" s="1229"/>
      <c r="BB601" s="1229"/>
      <c r="BC601" s="1229"/>
      <c r="BD601" s="1274"/>
      <c r="BE601" s="1274"/>
      <c r="BF601" s="1229"/>
      <c r="BG601" s="1229"/>
      <c r="BH601" s="1229"/>
      <c r="BI601" s="1222"/>
      <c r="BJ601" s="1350"/>
      <c r="BK601" s="1350"/>
      <c r="BL601" s="1222"/>
      <c r="BM601" s="1222"/>
      <c r="BN601" s="1222"/>
      <c r="BO601" s="1222"/>
    </row>
    <row r="602">
      <c r="A602" s="1222"/>
      <c r="B602" s="1229"/>
      <c r="C602" s="1349"/>
      <c r="D602" s="1229"/>
      <c r="E602" s="1229"/>
      <c r="F602" s="1229"/>
      <c r="G602" s="1229"/>
      <c r="H602" s="1229"/>
      <c r="I602" s="1229"/>
      <c r="J602" s="1229"/>
      <c r="K602" s="1229"/>
      <c r="L602" s="1229"/>
      <c r="M602" s="1229"/>
      <c r="N602" s="1274"/>
      <c r="O602" s="1274"/>
      <c r="P602" s="1229"/>
      <c r="Q602" s="1229"/>
      <c r="R602" s="1229"/>
      <c r="S602" s="1229"/>
      <c r="T602" s="1274"/>
      <c r="U602" s="1274"/>
      <c r="V602" s="1229"/>
      <c r="W602" s="1229"/>
      <c r="X602" s="1229"/>
      <c r="Y602" s="1229"/>
      <c r="Z602" s="1274"/>
      <c r="AA602" s="1274"/>
      <c r="AB602" s="1229"/>
      <c r="AC602" s="1229"/>
      <c r="AD602" s="1229"/>
      <c r="AE602" s="1229"/>
      <c r="AF602" s="1274"/>
      <c r="AG602" s="1274"/>
      <c r="AH602" s="1229"/>
      <c r="AI602" s="1229"/>
      <c r="AJ602" s="1229"/>
      <c r="AK602" s="1229"/>
      <c r="AL602" s="1274"/>
      <c r="AM602" s="1274"/>
      <c r="AN602" s="1229"/>
      <c r="AO602" s="1229"/>
      <c r="AP602" s="1229"/>
      <c r="AQ602" s="1229"/>
      <c r="AR602" s="1274"/>
      <c r="AS602" s="1274"/>
      <c r="AT602" s="1229"/>
      <c r="AU602" s="1229"/>
      <c r="AV602" s="1229"/>
      <c r="AW602" s="1229"/>
      <c r="AX602" s="1274"/>
      <c r="AY602" s="1274"/>
      <c r="AZ602" s="1229"/>
      <c r="BA602" s="1229"/>
      <c r="BB602" s="1229"/>
      <c r="BC602" s="1229"/>
      <c r="BD602" s="1274"/>
      <c r="BE602" s="1274"/>
      <c r="BF602" s="1229"/>
      <c r="BG602" s="1229"/>
      <c r="BH602" s="1229"/>
      <c r="BI602" s="1222"/>
      <c r="BJ602" s="1350"/>
      <c r="BK602" s="1350"/>
      <c r="BL602" s="1222"/>
      <c r="BM602" s="1222"/>
      <c r="BN602" s="1222"/>
      <c r="BO602" s="1222"/>
    </row>
    <row r="603">
      <c r="A603" s="1222"/>
      <c r="B603" s="1229"/>
      <c r="C603" s="1349"/>
      <c r="D603" s="1229"/>
      <c r="E603" s="1229"/>
      <c r="F603" s="1229"/>
      <c r="G603" s="1229"/>
      <c r="H603" s="1229"/>
      <c r="I603" s="1229"/>
      <c r="J603" s="1229"/>
      <c r="K603" s="1229"/>
      <c r="L603" s="1229"/>
      <c r="M603" s="1229"/>
      <c r="N603" s="1274"/>
      <c r="O603" s="1274"/>
      <c r="P603" s="1229"/>
      <c r="Q603" s="1229"/>
      <c r="R603" s="1229"/>
      <c r="S603" s="1229"/>
      <c r="T603" s="1274"/>
      <c r="U603" s="1274"/>
      <c r="V603" s="1229"/>
      <c r="W603" s="1229"/>
      <c r="X603" s="1229"/>
      <c r="Y603" s="1229"/>
      <c r="Z603" s="1274"/>
      <c r="AA603" s="1274"/>
      <c r="AB603" s="1229"/>
      <c r="AC603" s="1229"/>
      <c r="AD603" s="1229"/>
      <c r="AE603" s="1229"/>
      <c r="AF603" s="1274"/>
      <c r="AG603" s="1274"/>
      <c r="AH603" s="1229"/>
      <c r="AI603" s="1229"/>
      <c r="AJ603" s="1229"/>
      <c r="AK603" s="1229"/>
      <c r="AL603" s="1274"/>
      <c r="AM603" s="1274"/>
      <c r="AN603" s="1229"/>
      <c r="AO603" s="1229"/>
      <c r="AP603" s="1229"/>
      <c r="AQ603" s="1229"/>
      <c r="AR603" s="1274"/>
      <c r="AS603" s="1274"/>
      <c r="AT603" s="1229"/>
      <c r="AU603" s="1229"/>
      <c r="AV603" s="1229"/>
      <c r="AW603" s="1229"/>
      <c r="AX603" s="1274"/>
      <c r="AY603" s="1274"/>
      <c r="AZ603" s="1229"/>
      <c r="BA603" s="1229"/>
      <c r="BB603" s="1229"/>
      <c r="BC603" s="1229"/>
      <c r="BD603" s="1274"/>
      <c r="BE603" s="1274"/>
      <c r="BF603" s="1229"/>
      <c r="BG603" s="1229"/>
      <c r="BH603" s="1229"/>
      <c r="BI603" s="1222"/>
      <c r="BJ603" s="1350"/>
      <c r="BK603" s="1350"/>
      <c r="BL603" s="1222"/>
      <c r="BM603" s="1222"/>
      <c r="BN603" s="1222"/>
      <c r="BO603" s="1222"/>
    </row>
    <row r="604">
      <c r="A604" s="1222"/>
      <c r="B604" s="1229"/>
      <c r="C604" s="1349"/>
      <c r="D604" s="1229"/>
      <c r="E604" s="1229"/>
      <c r="F604" s="1229"/>
      <c r="G604" s="1229"/>
      <c r="H604" s="1229"/>
      <c r="I604" s="1229"/>
      <c r="J604" s="1229"/>
      <c r="K604" s="1229"/>
      <c r="L604" s="1229"/>
      <c r="M604" s="1229"/>
      <c r="N604" s="1274"/>
      <c r="O604" s="1274"/>
      <c r="P604" s="1229"/>
      <c r="Q604" s="1229"/>
      <c r="R604" s="1229"/>
      <c r="S604" s="1229"/>
      <c r="T604" s="1274"/>
      <c r="U604" s="1274"/>
      <c r="V604" s="1229"/>
      <c r="W604" s="1229"/>
      <c r="X604" s="1229"/>
      <c r="Y604" s="1229"/>
      <c r="Z604" s="1274"/>
      <c r="AA604" s="1274"/>
      <c r="AB604" s="1229"/>
      <c r="AC604" s="1229"/>
      <c r="AD604" s="1229"/>
      <c r="AE604" s="1229"/>
      <c r="AF604" s="1274"/>
      <c r="AG604" s="1274"/>
      <c r="AH604" s="1229"/>
      <c r="AI604" s="1229"/>
      <c r="AJ604" s="1229"/>
      <c r="AK604" s="1229"/>
      <c r="AL604" s="1274"/>
      <c r="AM604" s="1274"/>
      <c r="AN604" s="1229"/>
      <c r="AO604" s="1229"/>
      <c r="AP604" s="1229"/>
      <c r="AQ604" s="1229"/>
      <c r="AR604" s="1274"/>
      <c r="AS604" s="1274"/>
      <c r="AT604" s="1229"/>
      <c r="AU604" s="1229"/>
      <c r="AV604" s="1229"/>
      <c r="AW604" s="1229"/>
      <c r="AX604" s="1274"/>
      <c r="AY604" s="1274"/>
      <c r="AZ604" s="1229"/>
      <c r="BA604" s="1229"/>
      <c r="BB604" s="1229"/>
      <c r="BC604" s="1229"/>
      <c r="BD604" s="1274"/>
      <c r="BE604" s="1274"/>
      <c r="BF604" s="1229"/>
      <c r="BG604" s="1229"/>
      <c r="BH604" s="1229"/>
      <c r="BI604" s="1222"/>
      <c r="BJ604" s="1350"/>
      <c r="BK604" s="1350"/>
      <c r="BL604" s="1222"/>
      <c r="BM604" s="1222"/>
      <c r="BN604" s="1222"/>
      <c r="BO604" s="1222"/>
    </row>
    <row r="605">
      <c r="A605" s="1222"/>
      <c r="B605" s="1229"/>
      <c r="C605" s="1349"/>
      <c r="D605" s="1229"/>
      <c r="E605" s="1229"/>
      <c r="F605" s="1229"/>
      <c r="G605" s="1229"/>
      <c r="H605" s="1229"/>
      <c r="I605" s="1229"/>
      <c r="J605" s="1229"/>
      <c r="K605" s="1229"/>
      <c r="L605" s="1229"/>
      <c r="M605" s="1229"/>
      <c r="N605" s="1274"/>
      <c r="O605" s="1274"/>
      <c r="P605" s="1229"/>
      <c r="Q605" s="1229"/>
      <c r="R605" s="1229"/>
      <c r="S605" s="1229"/>
      <c r="T605" s="1274"/>
      <c r="U605" s="1274"/>
      <c r="V605" s="1229"/>
      <c r="W605" s="1229"/>
      <c r="X605" s="1229"/>
      <c r="Y605" s="1229"/>
      <c r="Z605" s="1274"/>
      <c r="AA605" s="1274"/>
      <c r="AB605" s="1229"/>
      <c r="AC605" s="1229"/>
      <c r="AD605" s="1229"/>
      <c r="AE605" s="1229"/>
      <c r="AF605" s="1274"/>
      <c r="AG605" s="1274"/>
      <c r="AH605" s="1229"/>
      <c r="AI605" s="1229"/>
      <c r="AJ605" s="1229"/>
      <c r="AK605" s="1229"/>
      <c r="AL605" s="1274"/>
      <c r="AM605" s="1274"/>
      <c r="AN605" s="1229"/>
      <c r="AO605" s="1229"/>
      <c r="AP605" s="1229"/>
      <c r="AQ605" s="1229"/>
      <c r="AR605" s="1274"/>
      <c r="AS605" s="1274"/>
      <c r="AT605" s="1229"/>
      <c r="AU605" s="1229"/>
      <c r="AV605" s="1229"/>
      <c r="AW605" s="1229"/>
      <c r="AX605" s="1274"/>
      <c r="AY605" s="1274"/>
      <c r="AZ605" s="1229"/>
      <c r="BA605" s="1229"/>
      <c r="BB605" s="1229"/>
      <c r="BC605" s="1229"/>
      <c r="BD605" s="1274"/>
      <c r="BE605" s="1274"/>
      <c r="BF605" s="1229"/>
      <c r="BG605" s="1229"/>
      <c r="BH605" s="1229"/>
      <c r="BI605" s="1222"/>
      <c r="BJ605" s="1350"/>
      <c r="BK605" s="1350"/>
      <c r="BL605" s="1222"/>
      <c r="BM605" s="1222"/>
      <c r="BN605" s="1222"/>
      <c r="BO605" s="1222"/>
    </row>
    <row r="606">
      <c r="A606" s="1222"/>
      <c r="B606" s="1229"/>
      <c r="C606" s="1349"/>
      <c r="D606" s="1229"/>
      <c r="E606" s="1229"/>
      <c r="F606" s="1229"/>
      <c r="G606" s="1229"/>
      <c r="H606" s="1229"/>
      <c r="I606" s="1229"/>
      <c r="J606" s="1229"/>
      <c r="K606" s="1229"/>
      <c r="L606" s="1229"/>
      <c r="M606" s="1229"/>
      <c r="N606" s="1274"/>
      <c r="O606" s="1274"/>
      <c r="P606" s="1229"/>
      <c r="Q606" s="1229"/>
      <c r="R606" s="1229"/>
      <c r="S606" s="1229"/>
      <c r="T606" s="1274"/>
      <c r="U606" s="1274"/>
      <c r="V606" s="1229"/>
      <c r="W606" s="1229"/>
      <c r="X606" s="1229"/>
      <c r="Y606" s="1229"/>
      <c r="Z606" s="1274"/>
      <c r="AA606" s="1274"/>
      <c r="AB606" s="1229"/>
      <c r="AC606" s="1229"/>
      <c r="AD606" s="1229"/>
      <c r="AE606" s="1229"/>
      <c r="AF606" s="1274"/>
      <c r="AG606" s="1274"/>
      <c r="AH606" s="1229"/>
      <c r="AI606" s="1229"/>
      <c r="AJ606" s="1229"/>
      <c r="AK606" s="1229"/>
      <c r="AL606" s="1274"/>
      <c r="AM606" s="1274"/>
      <c r="AN606" s="1229"/>
      <c r="AO606" s="1229"/>
      <c r="AP606" s="1229"/>
      <c r="AQ606" s="1229"/>
      <c r="AR606" s="1274"/>
      <c r="AS606" s="1274"/>
      <c r="AT606" s="1229"/>
      <c r="AU606" s="1229"/>
      <c r="AV606" s="1229"/>
      <c r="AW606" s="1229"/>
      <c r="AX606" s="1274"/>
      <c r="AY606" s="1274"/>
      <c r="AZ606" s="1229"/>
      <c r="BA606" s="1229"/>
      <c r="BB606" s="1229"/>
      <c r="BC606" s="1229"/>
      <c r="BD606" s="1274"/>
      <c r="BE606" s="1274"/>
      <c r="BF606" s="1229"/>
      <c r="BG606" s="1229"/>
      <c r="BH606" s="1229"/>
      <c r="BI606" s="1222"/>
      <c r="BJ606" s="1350"/>
      <c r="BK606" s="1350"/>
      <c r="BL606" s="1222"/>
      <c r="BM606" s="1222"/>
      <c r="BN606" s="1222"/>
      <c r="BO606" s="1222"/>
    </row>
    <row r="607">
      <c r="A607" s="1222"/>
      <c r="B607" s="1229"/>
      <c r="C607" s="1349"/>
      <c r="D607" s="1229"/>
      <c r="E607" s="1229"/>
      <c r="F607" s="1229"/>
      <c r="G607" s="1229"/>
      <c r="H607" s="1229"/>
      <c r="I607" s="1229"/>
      <c r="J607" s="1229"/>
      <c r="K607" s="1229"/>
      <c r="L607" s="1229"/>
      <c r="M607" s="1229"/>
      <c r="N607" s="1274"/>
      <c r="O607" s="1274"/>
      <c r="P607" s="1229"/>
      <c r="Q607" s="1229"/>
      <c r="R607" s="1229"/>
      <c r="S607" s="1229"/>
      <c r="T607" s="1274"/>
      <c r="U607" s="1274"/>
      <c r="V607" s="1229"/>
      <c r="W607" s="1229"/>
      <c r="X607" s="1229"/>
      <c r="Y607" s="1229"/>
      <c r="Z607" s="1274"/>
      <c r="AA607" s="1274"/>
      <c r="AB607" s="1229"/>
      <c r="AC607" s="1229"/>
      <c r="AD607" s="1229"/>
      <c r="AE607" s="1229"/>
      <c r="AF607" s="1274"/>
      <c r="AG607" s="1274"/>
      <c r="AH607" s="1229"/>
      <c r="AI607" s="1229"/>
      <c r="AJ607" s="1229"/>
      <c r="AK607" s="1229"/>
      <c r="AL607" s="1274"/>
      <c r="AM607" s="1274"/>
      <c r="AN607" s="1229"/>
      <c r="AO607" s="1229"/>
      <c r="AP607" s="1229"/>
      <c r="AQ607" s="1229"/>
      <c r="AR607" s="1274"/>
      <c r="AS607" s="1274"/>
      <c r="AT607" s="1229"/>
      <c r="AU607" s="1229"/>
      <c r="AV607" s="1229"/>
      <c r="AW607" s="1229"/>
      <c r="AX607" s="1274"/>
      <c r="AY607" s="1274"/>
      <c r="AZ607" s="1229"/>
      <c r="BA607" s="1229"/>
      <c r="BB607" s="1229"/>
      <c r="BC607" s="1229"/>
      <c r="BD607" s="1274"/>
      <c r="BE607" s="1274"/>
      <c r="BF607" s="1229"/>
      <c r="BG607" s="1229"/>
      <c r="BH607" s="1229"/>
      <c r="BI607" s="1222"/>
      <c r="BJ607" s="1350"/>
      <c r="BK607" s="1350"/>
      <c r="BL607" s="1222"/>
      <c r="BM607" s="1222"/>
      <c r="BN607" s="1222"/>
      <c r="BO607" s="1222"/>
    </row>
    <row r="608">
      <c r="A608" s="1222"/>
      <c r="B608" s="1229"/>
      <c r="C608" s="1349"/>
      <c r="D608" s="1229"/>
      <c r="E608" s="1229"/>
      <c r="F608" s="1229"/>
      <c r="G608" s="1229"/>
      <c r="H608" s="1229"/>
      <c r="I608" s="1229"/>
      <c r="J608" s="1229"/>
      <c r="K608" s="1229"/>
      <c r="L608" s="1229"/>
      <c r="M608" s="1229"/>
      <c r="N608" s="1274"/>
      <c r="O608" s="1274"/>
      <c r="P608" s="1229"/>
      <c r="Q608" s="1229"/>
      <c r="R608" s="1229"/>
      <c r="S608" s="1229"/>
      <c r="T608" s="1274"/>
      <c r="U608" s="1274"/>
      <c r="V608" s="1229"/>
      <c r="W608" s="1229"/>
      <c r="X608" s="1229"/>
      <c r="Y608" s="1229"/>
      <c r="Z608" s="1274"/>
      <c r="AA608" s="1274"/>
      <c r="AB608" s="1229"/>
      <c r="AC608" s="1229"/>
      <c r="AD608" s="1229"/>
      <c r="AE608" s="1229"/>
      <c r="AF608" s="1274"/>
      <c r="AG608" s="1274"/>
      <c r="AH608" s="1229"/>
      <c r="AI608" s="1229"/>
      <c r="AJ608" s="1229"/>
      <c r="AK608" s="1229"/>
      <c r="AL608" s="1274"/>
      <c r="AM608" s="1274"/>
      <c r="AN608" s="1229"/>
      <c r="AO608" s="1229"/>
      <c r="AP608" s="1229"/>
      <c r="AQ608" s="1229"/>
      <c r="AR608" s="1274"/>
      <c r="AS608" s="1274"/>
      <c r="AT608" s="1229"/>
      <c r="AU608" s="1229"/>
      <c r="AV608" s="1229"/>
      <c r="AW608" s="1229"/>
      <c r="AX608" s="1274"/>
      <c r="AY608" s="1274"/>
      <c r="AZ608" s="1229"/>
      <c r="BA608" s="1229"/>
      <c r="BB608" s="1229"/>
      <c r="BC608" s="1229"/>
      <c r="BD608" s="1274"/>
      <c r="BE608" s="1274"/>
      <c r="BF608" s="1229"/>
      <c r="BG608" s="1229"/>
      <c r="BH608" s="1229"/>
      <c r="BI608" s="1222"/>
      <c r="BJ608" s="1350"/>
      <c r="BK608" s="1350"/>
      <c r="BL608" s="1222"/>
      <c r="BM608" s="1222"/>
      <c r="BN608" s="1222"/>
      <c r="BO608" s="1222"/>
    </row>
    <row r="609">
      <c r="A609" s="1222"/>
      <c r="B609" s="1229"/>
      <c r="C609" s="1349"/>
      <c r="D609" s="1229"/>
      <c r="E609" s="1229"/>
      <c r="F609" s="1229"/>
      <c r="G609" s="1229"/>
      <c r="H609" s="1229"/>
      <c r="I609" s="1229"/>
      <c r="J609" s="1229"/>
      <c r="K609" s="1229"/>
      <c r="L609" s="1229"/>
      <c r="M609" s="1229"/>
      <c r="N609" s="1274"/>
      <c r="O609" s="1274"/>
      <c r="P609" s="1229"/>
      <c r="Q609" s="1229"/>
      <c r="R609" s="1229"/>
      <c r="S609" s="1229"/>
      <c r="T609" s="1274"/>
      <c r="U609" s="1274"/>
      <c r="V609" s="1229"/>
      <c r="W609" s="1229"/>
      <c r="X609" s="1229"/>
      <c r="Y609" s="1229"/>
      <c r="Z609" s="1274"/>
      <c r="AA609" s="1274"/>
      <c r="AB609" s="1229"/>
      <c r="AC609" s="1229"/>
      <c r="AD609" s="1229"/>
      <c r="AE609" s="1229"/>
      <c r="AF609" s="1274"/>
      <c r="AG609" s="1274"/>
      <c r="AH609" s="1229"/>
      <c r="AI609" s="1229"/>
      <c r="AJ609" s="1229"/>
      <c r="AK609" s="1229"/>
      <c r="AL609" s="1274"/>
      <c r="AM609" s="1274"/>
      <c r="AN609" s="1229"/>
      <c r="AO609" s="1229"/>
      <c r="AP609" s="1229"/>
      <c r="AQ609" s="1229"/>
      <c r="AR609" s="1274"/>
      <c r="AS609" s="1274"/>
      <c r="AT609" s="1229"/>
      <c r="AU609" s="1229"/>
      <c r="AV609" s="1229"/>
      <c r="AW609" s="1229"/>
      <c r="AX609" s="1274"/>
      <c r="AY609" s="1274"/>
      <c r="AZ609" s="1229"/>
      <c r="BA609" s="1229"/>
      <c r="BB609" s="1229"/>
      <c r="BC609" s="1229"/>
      <c r="BD609" s="1274"/>
      <c r="BE609" s="1274"/>
      <c r="BF609" s="1229"/>
      <c r="BG609" s="1229"/>
      <c r="BH609" s="1229"/>
      <c r="BI609" s="1222"/>
      <c r="BJ609" s="1350"/>
      <c r="BK609" s="1350"/>
      <c r="BL609" s="1222"/>
      <c r="BM609" s="1222"/>
      <c r="BN609" s="1222"/>
      <c r="BO609" s="1222"/>
    </row>
    <row r="610">
      <c r="A610" s="1222"/>
      <c r="B610" s="1229"/>
      <c r="C610" s="1349"/>
      <c r="D610" s="1229"/>
      <c r="E610" s="1229"/>
      <c r="F610" s="1229"/>
      <c r="G610" s="1229"/>
      <c r="H610" s="1229"/>
      <c r="I610" s="1229"/>
      <c r="J610" s="1229"/>
      <c r="K610" s="1229"/>
      <c r="L610" s="1229"/>
      <c r="M610" s="1229"/>
      <c r="N610" s="1274"/>
      <c r="O610" s="1274"/>
      <c r="P610" s="1229"/>
      <c r="Q610" s="1229"/>
      <c r="R610" s="1229"/>
      <c r="S610" s="1229"/>
      <c r="T610" s="1274"/>
      <c r="U610" s="1274"/>
      <c r="V610" s="1229"/>
      <c r="W610" s="1229"/>
      <c r="X610" s="1229"/>
      <c r="Y610" s="1229"/>
      <c r="Z610" s="1274"/>
      <c r="AA610" s="1274"/>
      <c r="AB610" s="1229"/>
      <c r="AC610" s="1229"/>
      <c r="AD610" s="1229"/>
      <c r="AE610" s="1229"/>
      <c r="AF610" s="1274"/>
      <c r="AG610" s="1274"/>
      <c r="AH610" s="1229"/>
      <c r="AI610" s="1229"/>
      <c r="AJ610" s="1229"/>
      <c r="AK610" s="1229"/>
      <c r="AL610" s="1274"/>
      <c r="AM610" s="1274"/>
      <c r="AN610" s="1229"/>
      <c r="AO610" s="1229"/>
      <c r="AP610" s="1229"/>
      <c r="AQ610" s="1229"/>
      <c r="AR610" s="1274"/>
      <c r="AS610" s="1274"/>
      <c r="AT610" s="1229"/>
      <c r="AU610" s="1229"/>
      <c r="AV610" s="1229"/>
      <c r="AW610" s="1229"/>
      <c r="AX610" s="1274"/>
      <c r="AY610" s="1274"/>
      <c r="AZ610" s="1229"/>
      <c r="BA610" s="1229"/>
      <c r="BB610" s="1229"/>
      <c r="BC610" s="1229"/>
      <c r="BD610" s="1274"/>
      <c r="BE610" s="1274"/>
      <c r="BF610" s="1229"/>
      <c r="BG610" s="1229"/>
      <c r="BH610" s="1229"/>
      <c r="BI610" s="1222"/>
      <c r="BJ610" s="1350"/>
      <c r="BK610" s="1350"/>
      <c r="BL610" s="1222"/>
      <c r="BM610" s="1222"/>
      <c r="BN610" s="1222"/>
      <c r="BO610" s="1222"/>
    </row>
    <row r="611">
      <c r="A611" s="1222"/>
      <c r="B611" s="1229"/>
      <c r="C611" s="1349"/>
      <c r="D611" s="1229"/>
      <c r="E611" s="1229"/>
      <c r="F611" s="1229"/>
      <c r="G611" s="1229"/>
      <c r="H611" s="1229"/>
      <c r="I611" s="1229"/>
      <c r="J611" s="1229"/>
      <c r="K611" s="1229"/>
      <c r="L611" s="1229"/>
      <c r="M611" s="1229"/>
      <c r="N611" s="1274"/>
      <c r="O611" s="1274"/>
      <c r="P611" s="1229"/>
      <c r="Q611" s="1229"/>
      <c r="R611" s="1229"/>
      <c r="S611" s="1229"/>
      <c r="T611" s="1274"/>
      <c r="U611" s="1274"/>
      <c r="V611" s="1229"/>
      <c r="W611" s="1229"/>
      <c r="X611" s="1229"/>
      <c r="Y611" s="1229"/>
      <c r="Z611" s="1274"/>
      <c r="AA611" s="1274"/>
      <c r="AB611" s="1229"/>
      <c r="AC611" s="1229"/>
      <c r="AD611" s="1229"/>
      <c r="AE611" s="1229"/>
      <c r="AF611" s="1274"/>
      <c r="AG611" s="1274"/>
      <c r="AH611" s="1229"/>
      <c r="AI611" s="1229"/>
      <c r="AJ611" s="1229"/>
      <c r="AK611" s="1229"/>
      <c r="AL611" s="1274"/>
      <c r="AM611" s="1274"/>
      <c r="AN611" s="1229"/>
      <c r="AO611" s="1229"/>
      <c r="AP611" s="1229"/>
      <c r="AQ611" s="1229"/>
      <c r="AR611" s="1274"/>
      <c r="AS611" s="1274"/>
      <c r="AT611" s="1229"/>
      <c r="AU611" s="1229"/>
      <c r="AV611" s="1229"/>
      <c r="AW611" s="1229"/>
      <c r="AX611" s="1274"/>
      <c r="AY611" s="1274"/>
      <c r="AZ611" s="1229"/>
      <c r="BA611" s="1229"/>
      <c r="BB611" s="1229"/>
      <c r="BC611" s="1229"/>
      <c r="BD611" s="1274"/>
      <c r="BE611" s="1274"/>
      <c r="BF611" s="1229"/>
      <c r="BG611" s="1229"/>
      <c r="BH611" s="1229"/>
      <c r="BI611" s="1222"/>
      <c r="BJ611" s="1350"/>
      <c r="BK611" s="1350"/>
      <c r="BL611" s="1222"/>
      <c r="BM611" s="1222"/>
      <c r="BN611" s="1222"/>
      <c r="BO611" s="1222"/>
    </row>
    <row r="612">
      <c r="A612" s="1222"/>
      <c r="B612" s="1229"/>
      <c r="C612" s="1349"/>
      <c r="D612" s="1229"/>
      <c r="E612" s="1229"/>
      <c r="F612" s="1229"/>
      <c r="G612" s="1229"/>
      <c r="H612" s="1229"/>
      <c r="I612" s="1229"/>
      <c r="J612" s="1229"/>
      <c r="K612" s="1229"/>
      <c r="L612" s="1229"/>
      <c r="M612" s="1229"/>
      <c r="N612" s="1274"/>
      <c r="O612" s="1274"/>
      <c r="P612" s="1229"/>
      <c r="Q612" s="1229"/>
      <c r="R612" s="1229"/>
      <c r="S612" s="1229"/>
      <c r="T612" s="1274"/>
      <c r="U612" s="1274"/>
      <c r="V612" s="1229"/>
      <c r="W612" s="1229"/>
      <c r="X612" s="1229"/>
      <c r="Y612" s="1229"/>
      <c r="Z612" s="1274"/>
      <c r="AA612" s="1274"/>
      <c r="AB612" s="1229"/>
      <c r="AC612" s="1229"/>
      <c r="AD612" s="1229"/>
      <c r="AE612" s="1229"/>
      <c r="AF612" s="1274"/>
      <c r="AG612" s="1274"/>
      <c r="AH612" s="1229"/>
      <c r="AI612" s="1229"/>
      <c r="AJ612" s="1229"/>
      <c r="AK612" s="1229"/>
      <c r="AL612" s="1274"/>
      <c r="AM612" s="1274"/>
      <c r="AN612" s="1229"/>
      <c r="AO612" s="1229"/>
      <c r="AP612" s="1229"/>
      <c r="AQ612" s="1229"/>
      <c r="AR612" s="1274"/>
      <c r="AS612" s="1274"/>
      <c r="AT612" s="1229"/>
      <c r="AU612" s="1229"/>
      <c r="AV612" s="1229"/>
      <c r="AW612" s="1229"/>
      <c r="AX612" s="1274"/>
      <c r="AY612" s="1274"/>
      <c r="AZ612" s="1229"/>
      <c r="BA612" s="1229"/>
      <c r="BB612" s="1229"/>
      <c r="BC612" s="1229"/>
      <c r="BD612" s="1274"/>
      <c r="BE612" s="1274"/>
      <c r="BF612" s="1229"/>
      <c r="BG612" s="1229"/>
      <c r="BH612" s="1229"/>
      <c r="BI612" s="1222"/>
      <c r="BJ612" s="1350"/>
      <c r="BK612" s="1350"/>
      <c r="BL612" s="1222"/>
      <c r="BM612" s="1222"/>
      <c r="BN612" s="1222"/>
      <c r="BO612" s="1222"/>
    </row>
    <row r="613">
      <c r="A613" s="1222"/>
      <c r="B613" s="1229"/>
      <c r="C613" s="1349"/>
      <c r="D613" s="1229"/>
      <c r="E613" s="1229"/>
      <c r="F613" s="1229"/>
      <c r="G613" s="1229"/>
      <c r="H613" s="1229"/>
      <c r="I613" s="1229"/>
      <c r="J613" s="1229"/>
      <c r="K613" s="1229"/>
      <c r="L613" s="1229"/>
      <c r="M613" s="1229"/>
      <c r="N613" s="1274"/>
      <c r="O613" s="1274"/>
      <c r="P613" s="1229"/>
      <c r="Q613" s="1229"/>
      <c r="R613" s="1229"/>
      <c r="S613" s="1229"/>
      <c r="T613" s="1274"/>
      <c r="U613" s="1274"/>
      <c r="V613" s="1229"/>
      <c r="W613" s="1229"/>
      <c r="X613" s="1229"/>
      <c r="Y613" s="1229"/>
      <c r="Z613" s="1274"/>
      <c r="AA613" s="1274"/>
      <c r="AB613" s="1229"/>
      <c r="AC613" s="1229"/>
      <c r="AD613" s="1229"/>
      <c r="AE613" s="1229"/>
      <c r="AF613" s="1274"/>
      <c r="AG613" s="1274"/>
      <c r="AH613" s="1229"/>
      <c r="AI613" s="1229"/>
      <c r="AJ613" s="1229"/>
      <c r="AK613" s="1229"/>
      <c r="AL613" s="1274"/>
      <c r="AM613" s="1274"/>
      <c r="AN613" s="1229"/>
      <c r="AO613" s="1229"/>
      <c r="AP613" s="1229"/>
      <c r="AQ613" s="1229"/>
      <c r="AR613" s="1274"/>
      <c r="AS613" s="1274"/>
      <c r="AT613" s="1229"/>
      <c r="AU613" s="1229"/>
      <c r="AV613" s="1229"/>
      <c r="AW613" s="1229"/>
      <c r="AX613" s="1274"/>
      <c r="AY613" s="1274"/>
      <c r="AZ613" s="1229"/>
      <c r="BA613" s="1229"/>
      <c r="BB613" s="1229"/>
      <c r="BC613" s="1229"/>
      <c r="BD613" s="1274"/>
      <c r="BE613" s="1274"/>
      <c r="BF613" s="1229"/>
      <c r="BG613" s="1229"/>
      <c r="BH613" s="1229"/>
      <c r="BI613" s="1222"/>
      <c r="BJ613" s="1350"/>
      <c r="BK613" s="1350"/>
      <c r="BL613" s="1222"/>
      <c r="BM613" s="1222"/>
      <c r="BN613" s="1222"/>
      <c r="BO613" s="1222"/>
    </row>
    <row r="614">
      <c r="A614" s="1222"/>
      <c r="B614" s="1229"/>
      <c r="C614" s="1349"/>
      <c r="D614" s="1229"/>
      <c r="E614" s="1229"/>
      <c r="F614" s="1229"/>
      <c r="G614" s="1229"/>
      <c r="H614" s="1229"/>
      <c r="I614" s="1229"/>
      <c r="J614" s="1229"/>
      <c r="K614" s="1229"/>
      <c r="L614" s="1229"/>
      <c r="M614" s="1229"/>
      <c r="N614" s="1274"/>
      <c r="O614" s="1274"/>
      <c r="P614" s="1229"/>
      <c r="Q614" s="1229"/>
      <c r="R614" s="1229"/>
      <c r="S614" s="1229"/>
      <c r="T614" s="1274"/>
      <c r="U614" s="1274"/>
      <c r="V614" s="1229"/>
      <c r="W614" s="1229"/>
      <c r="X614" s="1229"/>
      <c r="Y614" s="1229"/>
      <c r="Z614" s="1274"/>
      <c r="AA614" s="1274"/>
      <c r="AB614" s="1229"/>
      <c r="AC614" s="1229"/>
      <c r="AD614" s="1229"/>
      <c r="AE614" s="1229"/>
      <c r="AF614" s="1274"/>
      <c r="AG614" s="1274"/>
      <c r="AH614" s="1229"/>
      <c r="AI614" s="1229"/>
      <c r="AJ614" s="1229"/>
      <c r="AK614" s="1229"/>
      <c r="AL614" s="1274"/>
      <c r="AM614" s="1274"/>
      <c r="AN614" s="1229"/>
      <c r="AO614" s="1229"/>
      <c r="AP614" s="1229"/>
      <c r="AQ614" s="1229"/>
      <c r="AR614" s="1274"/>
      <c r="AS614" s="1274"/>
      <c r="AT614" s="1229"/>
      <c r="AU614" s="1229"/>
      <c r="AV614" s="1229"/>
      <c r="AW614" s="1229"/>
      <c r="AX614" s="1274"/>
      <c r="AY614" s="1274"/>
      <c r="AZ614" s="1229"/>
      <c r="BA614" s="1229"/>
      <c r="BB614" s="1229"/>
      <c r="BC614" s="1229"/>
      <c r="BD614" s="1274"/>
      <c r="BE614" s="1274"/>
      <c r="BF614" s="1229"/>
      <c r="BG614" s="1229"/>
      <c r="BH614" s="1229"/>
      <c r="BI614" s="1222"/>
      <c r="BJ614" s="1350"/>
      <c r="BK614" s="1350"/>
      <c r="BL614" s="1222"/>
      <c r="BM614" s="1222"/>
      <c r="BN614" s="1222"/>
      <c r="BO614" s="1222"/>
    </row>
    <row r="615">
      <c r="A615" s="1222"/>
      <c r="B615" s="1229"/>
      <c r="C615" s="1349"/>
      <c r="D615" s="1229"/>
      <c r="E615" s="1229"/>
      <c r="F615" s="1229"/>
      <c r="G615" s="1229"/>
      <c r="H615" s="1229"/>
      <c r="I615" s="1229"/>
      <c r="J615" s="1229"/>
      <c r="K615" s="1229"/>
      <c r="L615" s="1229"/>
      <c r="M615" s="1229"/>
      <c r="N615" s="1274"/>
      <c r="O615" s="1274"/>
      <c r="P615" s="1229"/>
      <c r="Q615" s="1229"/>
      <c r="R615" s="1229"/>
      <c r="S615" s="1229"/>
      <c r="T615" s="1274"/>
      <c r="U615" s="1274"/>
      <c r="V615" s="1229"/>
      <c r="W615" s="1229"/>
      <c r="X615" s="1229"/>
      <c r="Y615" s="1229"/>
      <c r="Z615" s="1274"/>
      <c r="AA615" s="1274"/>
      <c r="AB615" s="1229"/>
      <c r="AC615" s="1229"/>
      <c r="AD615" s="1229"/>
      <c r="AE615" s="1229"/>
      <c r="AF615" s="1274"/>
      <c r="AG615" s="1274"/>
      <c r="AH615" s="1229"/>
      <c r="AI615" s="1229"/>
      <c r="AJ615" s="1229"/>
      <c r="AK615" s="1229"/>
      <c r="AL615" s="1274"/>
      <c r="AM615" s="1274"/>
      <c r="AN615" s="1229"/>
      <c r="AO615" s="1229"/>
      <c r="AP615" s="1229"/>
      <c r="AQ615" s="1229"/>
      <c r="AR615" s="1274"/>
      <c r="AS615" s="1274"/>
      <c r="AT615" s="1229"/>
      <c r="AU615" s="1229"/>
      <c r="AV615" s="1229"/>
      <c r="AW615" s="1229"/>
      <c r="AX615" s="1274"/>
      <c r="AY615" s="1274"/>
      <c r="AZ615" s="1229"/>
      <c r="BA615" s="1229"/>
      <c r="BB615" s="1229"/>
      <c r="BC615" s="1229"/>
      <c r="BD615" s="1274"/>
      <c r="BE615" s="1274"/>
      <c r="BF615" s="1229"/>
      <c r="BG615" s="1229"/>
      <c r="BH615" s="1229"/>
      <c r="BI615" s="1222"/>
      <c r="BJ615" s="1350"/>
      <c r="BK615" s="1350"/>
      <c r="BL615" s="1222"/>
      <c r="BM615" s="1222"/>
      <c r="BN615" s="1222"/>
      <c r="BO615" s="1222"/>
    </row>
    <row r="616">
      <c r="A616" s="1222"/>
      <c r="B616" s="1229"/>
      <c r="C616" s="1349"/>
      <c r="D616" s="1229"/>
      <c r="E616" s="1229"/>
      <c r="F616" s="1229"/>
      <c r="G616" s="1229"/>
      <c r="H616" s="1229"/>
      <c r="I616" s="1229"/>
      <c r="J616" s="1229"/>
      <c r="K616" s="1229"/>
      <c r="L616" s="1229"/>
      <c r="M616" s="1229"/>
      <c r="N616" s="1274"/>
      <c r="O616" s="1274"/>
      <c r="P616" s="1229"/>
      <c r="Q616" s="1229"/>
      <c r="R616" s="1229"/>
      <c r="S616" s="1229"/>
      <c r="T616" s="1274"/>
      <c r="U616" s="1274"/>
      <c r="V616" s="1229"/>
      <c r="W616" s="1229"/>
      <c r="X616" s="1229"/>
      <c r="Y616" s="1229"/>
      <c r="Z616" s="1274"/>
      <c r="AA616" s="1274"/>
      <c r="AB616" s="1229"/>
      <c r="AC616" s="1229"/>
      <c r="AD616" s="1229"/>
      <c r="AE616" s="1229"/>
      <c r="AF616" s="1274"/>
      <c r="AG616" s="1274"/>
      <c r="AH616" s="1229"/>
      <c r="AI616" s="1229"/>
      <c r="AJ616" s="1229"/>
      <c r="AK616" s="1229"/>
      <c r="AL616" s="1274"/>
      <c r="AM616" s="1274"/>
      <c r="AN616" s="1229"/>
      <c r="AO616" s="1229"/>
      <c r="AP616" s="1229"/>
      <c r="AQ616" s="1229"/>
      <c r="AR616" s="1274"/>
      <c r="AS616" s="1274"/>
      <c r="AT616" s="1229"/>
      <c r="AU616" s="1229"/>
      <c r="AV616" s="1229"/>
      <c r="AW616" s="1229"/>
      <c r="AX616" s="1274"/>
      <c r="AY616" s="1274"/>
      <c r="AZ616" s="1229"/>
      <c r="BA616" s="1229"/>
      <c r="BB616" s="1229"/>
      <c r="BC616" s="1229"/>
      <c r="BD616" s="1274"/>
      <c r="BE616" s="1274"/>
      <c r="BF616" s="1229"/>
      <c r="BG616" s="1229"/>
      <c r="BH616" s="1229"/>
      <c r="BI616" s="1222"/>
      <c r="BJ616" s="1350"/>
      <c r="BK616" s="1350"/>
      <c r="BL616" s="1222"/>
      <c r="BM616" s="1222"/>
      <c r="BN616" s="1222"/>
      <c r="BO616" s="1222"/>
    </row>
    <row r="617">
      <c r="A617" s="1222"/>
      <c r="B617" s="1229"/>
      <c r="C617" s="1349"/>
      <c r="D617" s="1229"/>
      <c r="E617" s="1229"/>
      <c r="F617" s="1229"/>
      <c r="G617" s="1229"/>
      <c r="H617" s="1229"/>
      <c r="I617" s="1229"/>
      <c r="J617" s="1229"/>
      <c r="K617" s="1229"/>
      <c r="L617" s="1229"/>
      <c r="M617" s="1229"/>
      <c r="N617" s="1274"/>
      <c r="O617" s="1274"/>
      <c r="P617" s="1229"/>
      <c r="Q617" s="1229"/>
      <c r="R617" s="1229"/>
      <c r="S617" s="1229"/>
      <c r="T617" s="1274"/>
      <c r="U617" s="1274"/>
      <c r="V617" s="1229"/>
      <c r="W617" s="1229"/>
      <c r="X617" s="1229"/>
      <c r="Y617" s="1229"/>
      <c r="Z617" s="1274"/>
      <c r="AA617" s="1274"/>
      <c r="AB617" s="1229"/>
      <c r="AC617" s="1229"/>
      <c r="AD617" s="1229"/>
      <c r="AE617" s="1229"/>
      <c r="AF617" s="1274"/>
      <c r="AG617" s="1274"/>
      <c r="AH617" s="1229"/>
      <c r="AI617" s="1229"/>
      <c r="AJ617" s="1229"/>
      <c r="AK617" s="1229"/>
      <c r="AL617" s="1274"/>
      <c r="AM617" s="1274"/>
      <c r="AN617" s="1229"/>
      <c r="AO617" s="1229"/>
      <c r="AP617" s="1229"/>
      <c r="AQ617" s="1229"/>
      <c r="AR617" s="1274"/>
      <c r="AS617" s="1274"/>
      <c r="AT617" s="1229"/>
      <c r="AU617" s="1229"/>
      <c r="AV617" s="1229"/>
      <c r="AW617" s="1229"/>
      <c r="AX617" s="1274"/>
      <c r="AY617" s="1274"/>
      <c r="AZ617" s="1229"/>
      <c r="BA617" s="1229"/>
      <c r="BB617" s="1229"/>
      <c r="BC617" s="1229"/>
      <c r="BD617" s="1274"/>
      <c r="BE617" s="1274"/>
      <c r="BF617" s="1229"/>
      <c r="BG617" s="1229"/>
      <c r="BH617" s="1229"/>
      <c r="BI617" s="1222"/>
      <c r="BJ617" s="1350"/>
      <c r="BK617" s="1350"/>
      <c r="BL617" s="1222"/>
      <c r="BM617" s="1222"/>
      <c r="BN617" s="1222"/>
      <c r="BO617" s="1222"/>
    </row>
    <row r="618">
      <c r="A618" s="1222"/>
      <c r="B618" s="1229"/>
      <c r="C618" s="1349"/>
      <c r="D618" s="1229"/>
      <c r="E618" s="1229"/>
      <c r="F618" s="1229"/>
      <c r="G618" s="1229"/>
      <c r="H618" s="1229"/>
      <c r="I618" s="1229"/>
      <c r="J618" s="1229"/>
      <c r="K618" s="1229"/>
      <c r="L618" s="1229"/>
      <c r="M618" s="1229"/>
      <c r="N618" s="1274"/>
      <c r="O618" s="1274"/>
      <c r="P618" s="1229"/>
      <c r="Q618" s="1229"/>
      <c r="R618" s="1229"/>
      <c r="S618" s="1229"/>
      <c r="T618" s="1274"/>
      <c r="U618" s="1274"/>
      <c r="V618" s="1229"/>
      <c r="W618" s="1229"/>
      <c r="X618" s="1229"/>
      <c r="Y618" s="1229"/>
      <c r="Z618" s="1274"/>
      <c r="AA618" s="1274"/>
      <c r="AB618" s="1229"/>
      <c r="AC618" s="1229"/>
      <c r="AD618" s="1229"/>
      <c r="AE618" s="1229"/>
      <c r="AF618" s="1274"/>
      <c r="AG618" s="1274"/>
      <c r="AH618" s="1229"/>
      <c r="AI618" s="1229"/>
      <c r="AJ618" s="1229"/>
      <c r="AK618" s="1229"/>
      <c r="AL618" s="1274"/>
      <c r="AM618" s="1274"/>
      <c r="AN618" s="1229"/>
      <c r="AO618" s="1229"/>
      <c r="AP618" s="1229"/>
      <c r="AQ618" s="1229"/>
      <c r="AR618" s="1274"/>
      <c r="AS618" s="1274"/>
      <c r="AT618" s="1229"/>
      <c r="AU618" s="1229"/>
      <c r="AV618" s="1229"/>
      <c r="AW618" s="1229"/>
      <c r="AX618" s="1274"/>
      <c r="AY618" s="1274"/>
      <c r="AZ618" s="1229"/>
      <c r="BA618" s="1229"/>
      <c r="BB618" s="1229"/>
      <c r="BC618" s="1229"/>
      <c r="BD618" s="1274"/>
      <c r="BE618" s="1274"/>
      <c r="BF618" s="1229"/>
      <c r="BG618" s="1229"/>
      <c r="BH618" s="1229"/>
      <c r="BI618" s="1222"/>
      <c r="BJ618" s="1350"/>
      <c r="BK618" s="1350"/>
      <c r="BL618" s="1222"/>
      <c r="BM618" s="1222"/>
      <c r="BN618" s="1222"/>
      <c r="BO618" s="1222"/>
    </row>
    <row r="619">
      <c r="A619" s="1222"/>
      <c r="B619" s="1229"/>
      <c r="C619" s="1349"/>
      <c r="D619" s="1229"/>
      <c r="E619" s="1229"/>
      <c r="F619" s="1229"/>
      <c r="G619" s="1229"/>
      <c r="H619" s="1229"/>
      <c r="I619" s="1229"/>
      <c r="J619" s="1229"/>
      <c r="K619" s="1229"/>
      <c r="L619" s="1229"/>
      <c r="M619" s="1229"/>
      <c r="N619" s="1274"/>
      <c r="O619" s="1274"/>
      <c r="P619" s="1229"/>
      <c r="Q619" s="1229"/>
      <c r="R619" s="1229"/>
      <c r="S619" s="1229"/>
      <c r="T619" s="1274"/>
      <c r="U619" s="1274"/>
      <c r="V619" s="1229"/>
      <c r="W619" s="1229"/>
      <c r="X619" s="1229"/>
      <c r="Y619" s="1229"/>
      <c r="Z619" s="1274"/>
      <c r="AA619" s="1274"/>
      <c r="AB619" s="1229"/>
      <c r="AC619" s="1229"/>
      <c r="AD619" s="1229"/>
      <c r="AE619" s="1229"/>
      <c r="AF619" s="1274"/>
      <c r="AG619" s="1274"/>
      <c r="AH619" s="1229"/>
      <c r="AI619" s="1229"/>
      <c r="AJ619" s="1229"/>
      <c r="AK619" s="1229"/>
      <c r="AL619" s="1274"/>
      <c r="AM619" s="1274"/>
      <c r="AN619" s="1229"/>
      <c r="AO619" s="1229"/>
      <c r="AP619" s="1229"/>
      <c r="AQ619" s="1229"/>
      <c r="AR619" s="1274"/>
      <c r="AS619" s="1274"/>
      <c r="AT619" s="1229"/>
      <c r="AU619" s="1229"/>
      <c r="AV619" s="1229"/>
      <c r="AW619" s="1229"/>
      <c r="AX619" s="1274"/>
      <c r="AY619" s="1274"/>
      <c r="AZ619" s="1229"/>
      <c r="BA619" s="1229"/>
      <c r="BB619" s="1229"/>
      <c r="BC619" s="1229"/>
      <c r="BD619" s="1274"/>
      <c r="BE619" s="1274"/>
      <c r="BF619" s="1229"/>
      <c r="BG619" s="1229"/>
      <c r="BH619" s="1229"/>
      <c r="BI619" s="1222"/>
      <c r="BJ619" s="1350"/>
      <c r="BK619" s="1350"/>
      <c r="BL619" s="1222"/>
      <c r="BM619" s="1222"/>
      <c r="BN619" s="1222"/>
      <c r="BO619" s="1222"/>
    </row>
    <row r="620">
      <c r="A620" s="1222"/>
      <c r="B620" s="1229"/>
      <c r="C620" s="1349"/>
      <c r="D620" s="1229"/>
      <c r="E620" s="1229"/>
      <c r="F620" s="1229"/>
      <c r="G620" s="1229"/>
      <c r="H620" s="1229"/>
      <c r="I620" s="1229"/>
      <c r="J620" s="1229"/>
      <c r="K620" s="1229"/>
      <c r="L620" s="1229"/>
      <c r="M620" s="1229"/>
      <c r="N620" s="1274"/>
      <c r="O620" s="1274"/>
      <c r="P620" s="1229"/>
      <c r="Q620" s="1229"/>
      <c r="R620" s="1229"/>
      <c r="S620" s="1229"/>
      <c r="T620" s="1274"/>
      <c r="U620" s="1274"/>
      <c r="V620" s="1229"/>
      <c r="W620" s="1229"/>
      <c r="X620" s="1229"/>
      <c r="Y620" s="1229"/>
      <c r="Z620" s="1274"/>
      <c r="AA620" s="1274"/>
      <c r="AB620" s="1229"/>
      <c r="AC620" s="1229"/>
      <c r="AD620" s="1229"/>
      <c r="AE620" s="1229"/>
      <c r="AF620" s="1274"/>
      <c r="AG620" s="1274"/>
      <c r="AH620" s="1229"/>
      <c r="AI620" s="1229"/>
      <c r="AJ620" s="1229"/>
      <c r="AK620" s="1229"/>
      <c r="AL620" s="1274"/>
      <c r="AM620" s="1274"/>
      <c r="AN620" s="1229"/>
      <c r="AO620" s="1229"/>
      <c r="AP620" s="1229"/>
      <c r="AQ620" s="1229"/>
      <c r="AR620" s="1274"/>
      <c r="AS620" s="1274"/>
      <c r="AT620" s="1229"/>
      <c r="AU620" s="1229"/>
      <c r="AV620" s="1229"/>
      <c r="AW620" s="1229"/>
      <c r="AX620" s="1274"/>
      <c r="AY620" s="1274"/>
      <c r="AZ620" s="1229"/>
      <c r="BA620" s="1229"/>
      <c r="BB620" s="1229"/>
      <c r="BC620" s="1229"/>
      <c r="BD620" s="1274"/>
      <c r="BE620" s="1274"/>
      <c r="BF620" s="1229"/>
      <c r="BG620" s="1229"/>
      <c r="BH620" s="1229"/>
      <c r="BI620" s="1222"/>
      <c r="BJ620" s="1350"/>
      <c r="BK620" s="1350"/>
      <c r="BL620" s="1222"/>
      <c r="BM620" s="1222"/>
      <c r="BN620" s="1222"/>
      <c r="BO620" s="1222"/>
    </row>
    <row r="621">
      <c r="A621" s="1222"/>
      <c r="B621" s="1229"/>
      <c r="C621" s="1349"/>
      <c r="D621" s="1229"/>
      <c r="E621" s="1229"/>
      <c r="F621" s="1229"/>
      <c r="G621" s="1229"/>
      <c r="H621" s="1229"/>
      <c r="I621" s="1229"/>
      <c r="J621" s="1229"/>
      <c r="K621" s="1229"/>
      <c r="L621" s="1229"/>
      <c r="M621" s="1229"/>
      <c r="N621" s="1274"/>
      <c r="O621" s="1274"/>
      <c r="P621" s="1229"/>
      <c r="Q621" s="1229"/>
      <c r="R621" s="1229"/>
      <c r="S621" s="1229"/>
      <c r="T621" s="1274"/>
      <c r="U621" s="1274"/>
      <c r="V621" s="1229"/>
      <c r="W621" s="1229"/>
      <c r="X621" s="1229"/>
      <c r="Y621" s="1229"/>
      <c r="Z621" s="1274"/>
      <c r="AA621" s="1274"/>
      <c r="AB621" s="1229"/>
      <c r="AC621" s="1229"/>
      <c r="AD621" s="1229"/>
      <c r="AE621" s="1229"/>
      <c r="AF621" s="1274"/>
      <c r="AG621" s="1274"/>
      <c r="AH621" s="1229"/>
      <c r="AI621" s="1229"/>
      <c r="AJ621" s="1229"/>
      <c r="AK621" s="1229"/>
      <c r="AL621" s="1274"/>
      <c r="AM621" s="1274"/>
      <c r="AN621" s="1229"/>
      <c r="AO621" s="1229"/>
      <c r="AP621" s="1229"/>
      <c r="AQ621" s="1229"/>
      <c r="AR621" s="1274"/>
      <c r="AS621" s="1274"/>
      <c r="AT621" s="1229"/>
      <c r="AU621" s="1229"/>
      <c r="AV621" s="1229"/>
      <c r="AW621" s="1229"/>
      <c r="AX621" s="1274"/>
      <c r="AY621" s="1274"/>
      <c r="AZ621" s="1229"/>
      <c r="BA621" s="1229"/>
      <c r="BB621" s="1229"/>
      <c r="BC621" s="1229"/>
      <c r="BD621" s="1274"/>
      <c r="BE621" s="1274"/>
      <c r="BF621" s="1229"/>
      <c r="BG621" s="1229"/>
      <c r="BH621" s="1229"/>
      <c r="BI621" s="1222"/>
      <c r="BJ621" s="1350"/>
      <c r="BK621" s="1350"/>
      <c r="BL621" s="1222"/>
      <c r="BM621" s="1222"/>
      <c r="BN621" s="1222"/>
      <c r="BO621" s="1222"/>
    </row>
    <row r="622">
      <c r="A622" s="1222"/>
      <c r="B622" s="1229"/>
      <c r="C622" s="1349"/>
      <c r="D622" s="1229"/>
      <c r="E622" s="1229"/>
      <c r="F622" s="1229"/>
      <c r="G622" s="1229"/>
      <c r="H622" s="1229"/>
      <c r="I622" s="1229"/>
      <c r="J622" s="1229"/>
      <c r="K622" s="1229"/>
      <c r="L622" s="1229"/>
      <c r="M622" s="1229"/>
      <c r="N622" s="1274"/>
      <c r="O622" s="1274"/>
      <c r="P622" s="1229"/>
      <c r="Q622" s="1229"/>
      <c r="R622" s="1229"/>
      <c r="S622" s="1229"/>
      <c r="T622" s="1274"/>
      <c r="U622" s="1274"/>
      <c r="V622" s="1229"/>
      <c r="W622" s="1229"/>
      <c r="X622" s="1229"/>
      <c r="Y622" s="1229"/>
      <c r="Z622" s="1274"/>
      <c r="AA622" s="1274"/>
      <c r="AB622" s="1229"/>
      <c r="AC622" s="1229"/>
      <c r="AD622" s="1229"/>
      <c r="AE622" s="1229"/>
      <c r="AF622" s="1274"/>
      <c r="AG622" s="1274"/>
      <c r="AH622" s="1229"/>
      <c r="AI622" s="1229"/>
      <c r="AJ622" s="1229"/>
      <c r="AK622" s="1229"/>
      <c r="AL622" s="1274"/>
      <c r="AM622" s="1274"/>
      <c r="AN622" s="1229"/>
      <c r="AO622" s="1229"/>
      <c r="AP622" s="1229"/>
      <c r="AQ622" s="1229"/>
      <c r="AR622" s="1274"/>
      <c r="AS622" s="1274"/>
      <c r="AT622" s="1229"/>
      <c r="AU622" s="1229"/>
      <c r="AV622" s="1229"/>
      <c r="AW622" s="1229"/>
      <c r="AX622" s="1274"/>
      <c r="AY622" s="1274"/>
      <c r="AZ622" s="1229"/>
      <c r="BA622" s="1229"/>
      <c r="BB622" s="1229"/>
      <c r="BC622" s="1229"/>
      <c r="BD622" s="1274"/>
      <c r="BE622" s="1274"/>
      <c r="BF622" s="1229"/>
      <c r="BG622" s="1229"/>
      <c r="BH622" s="1229"/>
      <c r="BI622" s="1222"/>
      <c r="BJ622" s="1350"/>
      <c r="BK622" s="1350"/>
      <c r="BL622" s="1222"/>
      <c r="BM622" s="1222"/>
      <c r="BN622" s="1222"/>
      <c r="BO622" s="1222"/>
    </row>
    <row r="623">
      <c r="A623" s="1222"/>
      <c r="B623" s="1229"/>
      <c r="C623" s="1349"/>
      <c r="D623" s="1229"/>
      <c r="E623" s="1229"/>
      <c r="F623" s="1229"/>
      <c r="G623" s="1229"/>
      <c r="H623" s="1229"/>
      <c r="I623" s="1229"/>
      <c r="J623" s="1229"/>
      <c r="K623" s="1229"/>
      <c r="L623" s="1229"/>
      <c r="M623" s="1229"/>
      <c r="N623" s="1274"/>
      <c r="O623" s="1274"/>
      <c r="P623" s="1229"/>
      <c r="Q623" s="1229"/>
      <c r="R623" s="1229"/>
      <c r="S623" s="1229"/>
      <c r="T623" s="1274"/>
      <c r="U623" s="1274"/>
      <c r="V623" s="1229"/>
      <c r="W623" s="1229"/>
      <c r="X623" s="1229"/>
      <c r="Y623" s="1229"/>
      <c r="Z623" s="1274"/>
      <c r="AA623" s="1274"/>
      <c r="AB623" s="1229"/>
      <c r="AC623" s="1229"/>
      <c r="AD623" s="1229"/>
      <c r="AE623" s="1229"/>
      <c r="AF623" s="1274"/>
      <c r="AG623" s="1274"/>
      <c r="AH623" s="1229"/>
      <c r="AI623" s="1229"/>
      <c r="AJ623" s="1229"/>
      <c r="AK623" s="1229"/>
      <c r="AL623" s="1274"/>
      <c r="AM623" s="1274"/>
      <c r="AN623" s="1229"/>
      <c r="AO623" s="1229"/>
      <c r="AP623" s="1229"/>
      <c r="AQ623" s="1229"/>
      <c r="AR623" s="1274"/>
      <c r="AS623" s="1274"/>
      <c r="AT623" s="1229"/>
      <c r="AU623" s="1229"/>
      <c r="AV623" s="1229"/>
      <c r="AW623" s="1229"/>
      <c r="AX623" s="1274"/>
      <c r="AY623" s="1274"/>
      <c r="AZ623" s="1229"/>
      <c r="BA623" s="1229"/>
      <c r="BB623" s="1229"/>
      <c r="BC623" s="1229"/>
      <c r="BD623" s="1274"/>
      <c r="BE623" s="1274"/>
      <c r="BF623" s="1229"/>
      <c r="BG623" s="1229"/>
      <c r="BH623" s="1229"/>
      <c r="BI623" s="1222"/>
      <c r="BJ623" s="1350"/>
      <c r="BK623" s="1350"/>
      <c r="BL623" s="1222"/>
      <c r="BM623" s="1222"/>
      <c r="BN623" s="1222"/>
      <c r="BO623" s="1222"/>
    </row>
    <row r="624">
      <c r="A624" s="1222"/>
      <c r="B624" s="1229"/>
      <c r="C624" s="1349"/>
      <c r="D624" s="1229"/>
      <c r="E624" s="1229"/>
      <c r="F624" s="1229"/>
      <c r="G624" s="1229"/>
      <c r="H624" s="1229"/>
      <c r="I624" s="1229"/>
      <c r="J624" s="1229"/>
      <c r="K624" s="1229"/>
      <c r="L624" s="1229"/>
      <c r="M624" s="1229"/>
      <c r="N624" s="1274"/>
      <c r="O624" s="1274"/>
      <c r="P624" s="1229"/>
      <c r="Q624" s="1229"/>
      <c r="R624" s="1229"/>
      <c r="S624" s="1229"/>
      <c r="T624" s="1274"/>
      <c r="U624" s="1274"/>
      <c r="V624" s="1229"/>
      <c r="W624" s="1229"/>
      <c r="X624" s="1229"/>
      <c r="Y624" s="1229"/>
      <c r="Z624" s="1274"/>
      <c r="AA624" s="1274"/>
      <c r="AB624" s="1229"/>
      <c r="AC624" s="1229"/>
      <c r="AD624" s="1229"/>
      <c r="AE624" s="1229"/>
      <c r="AF624" s="1274"/>
      <c r="AG624" s="1274"/>
      <c r="AH624" s="1229"/>
      <c r="AI624" s="1229"/>
      <c r="AJ624" s="1229"/>
      <c r="AK624" s="1229"/>
      <c r="AL624" s="1274"/>
      <c r="AM624" s="1274"/>
      <c r="AN624" s="1229"/>
      <c r="AO624" s="1229"/>
      <c r="AP624" s="1229"/>
      <c r="AQ624" s="1229"/>
      <c r="AR624" s="1274"/>
      <c r="AS624" s="1274"/>
      <c r="AT624" s="1229"/>
      <c r="AU624" s="1229"/>
      <c r="AV624" s="1229"/>
      <c r="AW624" s="1229"/>
      <c r="AX624" s="1274"/>
      <c r="AY624" s="1274"/>
      <c r="AZ624" s="1229"/>
      <c r="BA624" s="1229"/>
      <c r="BB624" s="1229"/>
      <c r="BC624" s="1229"/>
      <c r="BD624" s="1274"/>
      <c r="BE624" s="1274"/>
      <c r="BF624" s="1229"/>
      <c r="BG624" s="1229"/>
      <c r="BH624" s="1229"/>
      <c r="BI624" s="1222"/>
      <c r="BJ624" s="1350"/>
      <c r="BK624" s="1350"/>
      <c r="BL624" s="1222"/>
      <c r="BM624" s="1222"/>
      <c r="BN624" s="1222"/>
      <c r="BO624" s="1222"/>
    </row>
    <row r="625">
      <c r="A625" s="1222"/>
      <c r="B625" s="1229"/>
      <c r="C625" s="1349"/>
      <c r="D625" s="1229"/>
      <c r="E625" s="1229"/>
      <c r="F625" s="1229"/>
      <c r="G625" s="1229"/>
      <c r="H625" s="1229"/>
      <c r="I625" s="1229"/>
      <c r="J625" s="1229"/>
      <c r="K625" s="1229"/>
      <c r="L625" s="1229"/>
      <c r="M625" s="1229"/>
      <c r="N625" s="1274"/>
      <c r="O625" s="1274"/>
      <c r="P625" s="1229"/>
      <c r="Q625" s="1229"/>
      <c r="R625" s="1229"/>
      <c r="S625" s="1229"/>
      <c r="T625" s="1274"/>
      <c r="U625" s="1274"/>
      <c r="V625" s="1229"/>
      <c r="W625" s="1229"/>
      <c r="X625" s="1229"/>
      <c r="Y625" s="1229"/>
      <c r="Z625" s="1274"/>
      <c r="AA625" s="1274"/>
      <c r="AB625" s="1229"/>
      <c r="AC625" s="1229"/>
      <c r="AD625" s="1229"/>
      <c r="AE625" s="1229"/>
      <c r="AF625" s="1274"/>
      <c r="AG625" s="1274"/>
      <c r="AH625" s="1229"/>
      <c r="AI625" s="1229"/>
      <c r="AJ625" s="1229"/>
      <c r="AK625" s="1229"/>
      <c r="AL625" s="1274"/>
      <c r="AM625" s="1274"/>
      <c r="AN625" s="1229"/>
      <c r="AO625" s="1229"/>
      <c r="AP625" s="1229"/>
      <c r="AQ625" s="1229"/>
      <c r="AR625" s="1274"/>
      <c r="AS625" s="1274"/>
      <c r="AT625" s="1229"/>
      <c r="AU625" s="1229"/>
      <c r="AV625" s="1229"/>
      <c r="AW625" s="1229"/>
      <c r="AX625" s="1274"/>
      <c r="AY625" s="1274"/>
      <c r="AZ625" s="1229"/>
      <c r="BA625" s="1229"/>
      <c r="BB625" s="1229"/>
      <c r="BC625" s="1229"/>
      <c r="BD625" s="1274"/>
      <c r="BE625" s="1274"/>
      <c r="BF625" s="1229"/>
      <c r="BG625" s="1229"/>
      <c r="BH625" s="1229"/>
      <c r="BI625" s="1222"/>
      <c r="BJ625" s="1350"/>
      <c r="BK625" s="1350"/>
      <c r="BL625" s="1222"/>
      <c r="BM625" s="1222"/>
      <c r="BN625" s="1222"/>
      <c r="BO625" s="1222"/>
    </row>
    <row r="626">
      <c r="A626" s="1222"/>
      <c r="B626" s="1229"/>
      <c r="C626" s="1349"/>
      <c r="D626" s="1229"/>
      <c r="E626" s="1229"/>
      <c r="F626" s="1229"/>
      <c r="G626" s="1229"/>
      <c r="H626" s="1229"/>
      <c r="I626" s="1229"/>
      <c r="J626" s="1229"/>
      <c r="K626" s="1229"/>
      <c r="L626" s="1229"/>
      <c r="M626" s="1229"/>
      <c r="N626" s="1274"/>
      <c r="O626" s="1274"/>
      <c r="P626" s="1229"/>
      <c r="Q626" s="1229"/>
      <c r="R626" s="1229"/>
      <c r="S626" s="1229"/>
      <c r="T626" s="1274"/>
      <c r="U626" s="1274"/>
      <c r="V626" s="1229"/>
      <c r="W626" s="1229"/>
      <c r="X626" s="1229"/>
      <c r="Y626" s="1229"/>
      <c r="Z626" s="1274"/>
      <c r="AA626" s="1274"/>
      <c r="AB626" s="1229"/>
      <c r="AC626" s="1229"/>
      <c r="AD626" s="1229"/>
      <c r="AE626" s="1229"/>
      <c r="AF626" s="1274"/>
      <c r="AG626" s="1274"/>
      <c r="AH626" s="1229"/>
      <c r="AI626" s="1229"/>
      <c r="AJ626" s="1229"/>
      <c r="AK626" s="1229"/>
      <c r="AL626" s="1274"/>
      <c r="AM626" s="1274"/>
      <c r="AN626" s="1229"/>
      <c r="AO626" s="1229"/>
      <c r="AP626" s="1229"/>
      <c r="AQ626" s="1229"/>
      <c r="AR626" s="1274"/>
      <c r="AS626" s="1274"/>
      <c r="AT626" s="1229"/>
      <c r="AU626" s="1229"/>
      <c r="AV626" s="1229"/>
      <c r="AW626" s="1229"/>
      <c r="AX626" s="1274"/>
      <c r="AY626" s="1274"/>
      <c r="AZ626" s="1229"/>
      <c r="BA626" s="1229"/>
      <c r="BB626" s="1229"/>
      <c r="BC626" s="1229"/>
      <c r="BD626" s="1274"/>
      <c r="BE626" s="1274"/>
      <c r="BF626" s="1229"/>
      <c r="BG626" s="1229"/>
      <c r="BH626" s="1229"/>
      <c r="BI626" s="1222"/>
      <c r="BJ626" s="1350"/>
      <c r="BK626" s="1350"/>
      <c r="BL626" s="1222"/>
      <c r="BM626" s="1222"/>
      <c r="BN626" s="1222"/>
      <c r="BO626" s="1222"/>
    </row>
    <row r="627">
      <c r="A627" s="1222"/>
      <c r="B627" s="1229"/>
      <c r="C627" s="1349"/>
      <c r="D627" s="1229"/>
      <c r="E627" s="1229"/>
      <c r="F627" s="1229"/>
      <c r="G627" s="1229"/>
      <c r="H627" s="1229"/>
      <c r="I627" s="1229"/>
      <c r="J627" s="1229"/>
      <c r="K627" s="1229"/>
      <c r="L627" s="1229"/>
      <c r="M627" s="1229"/>
      <c r="N627" s="1274"/>
      <c r="O627" s="1274"/>
      <c r="P627" s="1229"/>
      <c r="Q627" s="1229"/>
      <c r="R627" s="1229"/>
      <c r="S627" s="1229"/>
      <c r="T627" s="1274"/>
      <c r="U627" s="1274"/>
      <c r="V627" s="1229"/>
      <c r="W627" s="1229"/>
      <c r="X627" s="1229"/>
      <c r="Y627" s="1229"/>
      <c r="Z627" s="1274"/>
      <c r="AA627" s="1274"/>
      <c r="AB627" s="1229"/>
      <c r="AC627" s="1229"/>
      <c r="AD627" s="1229"/>
      <c r="AE627" s="1229"/>
      <c r="AF627" s="1274"/>
      <c r="AG627" s="1274"/>
      <c r="AH627" s="1229"/>
      <c r="AI627" s="1229"/>
      <c r="AJ627" s="1229"/>
      <c r="AK627" s="1229"/>
      <c r="AL627" s="1274"/>
      <c r="AM627" s="1274"/>
      <c r="AN627" s="1229"/>
      <c r="AO627" s="1229"/>
      <c r="AP627" s="1229"/>
      <c r="AQ627" s="1229"/>
      <c r="AR627" s="1274"/>
      <c r="AS627" s="1274"/>
      <c r="AT627" s="1229"/>
      <c r="AU627" s="1229"/>
      <c r="AV627" s="1229"/>
      <c r="AW627" s="1229"/>
      <c r="AX627" s="1274"/>
      <c r="AY627" s="1274"/>
      <c r="AZ627" s="1229"/>
      <c r="BA627" s="1229"/>
      <c r="BB627" s="1229"/>
      <c r="BC627" s="1229"/>
      <c r="BD627" s="1274"/>
      <c r="BE627" s="1274"/>
      <c r="BF627" s="1229"/>
      <c r="BG627" s="1229"/>
      <c r="BH627" s="1229"/>
      <c r="BI627" s="1222"/>
      <c r="BJ627" s="1350"/>
      <c r="BK627" s="1350"/>
      <c r="BL627" s="1222"/>
      <c r="BM627" s="1222"/>
      <c r="BN627" s="1222"/>
      <c r="BO627" s="1222"/>
    </row>
    <row r="628">
      <c r="A628" s="1222"/>
      <c r="B628" s="1229"/>
      <c r="C628" s="1349"/>
      <c r="D628" s="1229"/>
      <c r="E628" s="1229"/>
      <c r="F628" s="1229"/>
      <c r="G628" s="1229"/>
      <c r="H628" s="1229"/>
      <c r="I628" s="1229"/>
      <c r="J628" s="1229"/>
      <c r="K628" s="1229"/>
      <c r="L628" s="1229"/>
      <c r="M628" s="1229"/>
      <c r="N628" s="1274"/>
      <c r="O628" s="1274"/>
      <c r="P628" s="1229"/>
      <c r="Q628" s="1229"/>
      <c r="R628" s="1229"/>
      <c r="S628" s="1229"/>
      <c r="T628" s="1274"/>
      <c r="U628" s="1274"/>
      <c r="V628" s="1229"/>
      <c r="W628" s="1229"/>
      <c r="X628" s="1229"/>
      <c r="Y628" s="1229"/>
      <c r="Z628" s="1274"/>
      <c r="AA628" s="1274"/>
      <c r="AB628" s="1229"/>
      <c r="AC628" s="1229"/>
      <c r="AD628" s="1229"/>
      <c r="AE628" s="1229"/>
      <c r="AF628" s="1274"/>
      <c r="AG628" s="1274"/>
      <c r="AH628" s="1229"/>
      <c r="AI628" s="1229"/>
      <c r="AJ628" s="1229"/>
      <c r="AK628" s="1229"/>
      <c r="AL628" s="1274"/>
      <c r="AM628" s="1274"/>
      <c r="AN628" s="1229"/>
      <c r="AO628" s="1229"/>
      <c r="AP628" s="1229"/>
      <c r="AQ628" s="1229"/>
      <c r="AR628" s="1274"/>
      <c r="AS628" s="1274"/>
      <c r="AT628" s="1229"/>
      <c r="AU628" s="1229"/>
      <c r="AV628" s="1229"/>
      <c r="AW628" s="1229"/>
      <c r="AX628" s="1274"/>
      <c r="AY628" s="1274"/>
      <c r="AZ628" s="1229"/>
      <c r="BA628" s="1229"/>
      <c r="BB628" s="1229"/>
      <c r="BC628" s="1229"/>
      <c r="BD628" s="1274"/>
      <c r="BE628" s="1274"/>
      <c r="BF628" s="1229"/>
      <c r="BG628" s="1229"/>
      <c r="BH628" s="1229"/>
      <c r="BI628" s="1222"/>
      <c r="BJ628" s="1350"/>
      <c r="BK628" s="1350"/>
      <c r="BL628" s="1222"/>
      <c r="BM628" s="1222"/>
      <c r="BN628" s="1222"/>
      <c r="BO628" s="1222"/>
    </row>
    <row r="629">
      <c r="A629" s="1222"/>
      <c r="B629" s="1229"/>
      <c r="C629" s="1349"/>
      <c r="D629" s="1229"/>
      <c r="E629" s="1229"/>
      <c r="F629" s="1229"/>
      <c r="G629" s="1229"/>
      <c r="H629" s="1229"/>
      <c r="I629" s="1229"/>
      <c r="J629" s="1229"/>
      <c r="K629" s="1229"/>
      <c r="L629" s="1229"/>
      <c r="M629" s="1229"/>
      <c r="N629" s="1274"/>
      <c r="O629" s="1274"/>
      <c r="P629" s="1229"/>
      <c r="Q629" s="1229"/>
      <c r="R629" s="1229"/>
      <c r="S629" s="1229"/>
      <c r="T629" s="1274"/>
      <c r="U629" s="1274"/>
      <c r="V629" s="1229"/>
      <c r="W629" s="1229"/>
      <c r="X629" s="1229"/>
      <c r="Y629" s="1229"/>
      <c r="Z629" s="1274"/>
      <c r="AA629" s="1274"/>
      <c r="AB629" s="1229"/>
      <c r="AC629" s="1229"/>
      <c r="AD629" s="1229"/>
      <c r="AE629" s="1229"/>
      <c r="AF629" s="1274"/>
      <c r="AG629" s="1274"/>
      <c r="AH629" s="1229"/>
      <c r="AI629" s="1229"/>
      <c r="AJ629" s="1229"/>
      <c r="AK629" s="1229"/>
      <c r="AL629" s="1274"/>
      <c r="AM629" s="1274"/>
      <c r="AN629" s="1229"/>
      <c r="AO629" s="1229"/>
      <c r="AP629" s="1229"/>
      <c r="AQ629" s="1229"/>
      <c r="AR629" s="1274"/>
      <c r="AS629" s="1274"/>
      <c r="AT629" s="1229"/>
      <c r="AU629" s="1229"/>
      <c r="AV629" s="1229"/>
      <c r="AW629" s="1229"/>
      <c r="AX629" s="1274"/>
      <c r="AY629" s="1274"/>
      <c r="AZ629" s="1229"/>
      <c r="BA629" s="1229"/>
      <c r="BB629" s="1229"/>
      <c r="BC629" s="1229"/>
      <c r="BD629" s="1274"/>
      <c r="BE629" s="1274"/>
      <c r="BF629" s="1229"/>
      <c r="BG629" s="1229"/>
      <c r="BH629" s="1229"/>
      <c r="BI629" s="1222"/>
      <c r="BJ629" s="1350"/>
      <c r="BK629" s="1350"/>
      <c r="BL629" s="1222"/>
      <c r="BM629" s="1222"/>
      <c r="BN629" s="1222"/>
      <c r="BO629" s="1222"/>
    </row>
    <row r="630">
      <c r="A630" s="1222"/>
      <c r="B630" s="1229"/>
      <c r="C630" s="1349"/>
      <c r="D630" s="1229"/>
      <c r="E630" s="1229"/>
      <c r="F630" s="1229"/>
      <c r="G630" s="1229"/>
      <c r="H630" s="1229"/>
      <c r="I630" s="1229"/>
      <c r="J630" s="1229"/>
      <c r="K630" s="1229"/>
      <c r="L630" s="1229"/>
      <c r="M630" s="1229"/>
      <c r="N630" s="1274"/>
      <c r="O630" s="1274"/>
      <c r="P630" s="1229"/>
      <c r="Q630" s="1229"/>
      <c r="R630" s="1229"/>
      <c r="S630" s="1229"/>
      <c r="T630" s="1274"/>
      <c r="U630" s="1274"/>
      <c r="V630" s="1229"/>
      <c r="W630" s="1229"/>
      <c r="X630" s="1229"/>
      <c r="Y630" s="1229"/>
      <c r="Z630" s="1274"/>
      <c r="AA630" s="1274"/>
      <c r="AB630" s="1229"/>
      <c r="AC630" s="1229"/>
      <c r="AD630" s="1229"/>
      <c r="AE630" s="1229"/>
      <c r="AF630" s="1274"/>
      <c r="AG630" s="1274"/>
      <c r="AH630" s="1229"/>
      <c r="AI630" s="1229"/>
      <c r="AJ630" s="1229"/>
      <c r="AK630" s="1229"/>
      <c r="AL630" s="1274"/>
      <c r="AM630" s="1274"/>
      <c r="AN630" s="1229"/>
      <c r="AO630" s="1229"/>
      <c r="AP630" s="1229"/>
      <c r="AQ630" s="1229"/>
      <c r="AR630" s="1274"/>
      <c r="AS630" s="1274"/>
      <c r="AT630" s="1229"/>
      <c r="AU630" s="1229"/>
      <c r="AV630" s="1229"/>
      <c r="AW630" s="1229"/>
      <c r="AX630" s="1274"/>
      <c r="AY630" s="1274"/>
      <c r="AZ630" s="1229"/>
      <c r="BA630" s="1229"/>
      <c r="BB630" s="1229"/>
      <c r="BC630" s="1229"/>
      <c r="BD630" s="1274"/>
      <c r="BE630" s="1274"/>
      <c r="BF630" s="1229"/>
      <c r="BG630" s="1229"/>
      <c r="BH630" s="1229"/>
      <c r="BI630" s="1222"/>
      <c r="BJ630" s="1350"/>
      <c r="BK630" s="1350"/>
      <c r="BL630" s="1222"/>
      <c r="BM630" s="1222"/>
      <c r="BN630" s="1222"/>
      <c r="BO630" s="1222"/>
    </row>
    <row r="631">
      <c r="A631" s="1222"/>
      <c r="B631" s="1229"/>
      <c r="C631" s="1349"/>
      <c r="D631" s="1229"/>
      <c r="E631" s="1229"/>
      <c r="F631" s="1229"/>
      <c r="G631" s="1229"/>
      <c r="H631" s="1229"/>
      <c r="I631" s="1229"/>
      <c r="J631" s="1229"/>
      <c r="K631" s="1229"/>
      <c r="L631" s="1229"/>
      <c r="M631" s="1229"/>
      <c r="N631" s="1274"/>
      <c r="O631" s="1274"/>
      <c r="P631" s="1229"/>
      <c r="Q631" s="1229"/>
      <c r="R631" s="1229"/>
      <c r="S631" s="1229"/>
      <c r="T631" s="1274"/>
      <c r="U631" s="1274"/>
      <c r="V631" s="1229"/>
      <c r="W631" s="1229"/>
      <c r="X631" s="1229"/>
      <c r="Y631" s="1229"/>
      <c r="Z631" s="1274"/>
      <c r="AA631" s="1274"/>
      <c r="AB631" s="1229"/>
      <c r="AC631" s="1229"/>
      <c r="AD631" s="1229"/>
      <c r="AE631" s="1229"/>
      <c r="AF631" s="1274"/>
      <c r="AG631" s="1274"/>
      <c r="AH631" s="1229"/>
      <c r="AI631" s="1229"/>
      <c r="AJ631" s="1229"/>
      <c r="AK631" s="1229"/>
      <c r="AL631" s="1274"/>
      <c r="AM631" s="1274"/>
      <c r="AN631" s="1229"/>
      <c r="AO631" s="1229"/>
      <c r="AP631" s="1229"/>
      <c r="AQ631" s="1229"/>
      <c r="AR631" s="1274"/>
      <c r="AS631" s="1274"/>
      <c r="AT631" s="1229"/>
      <c r="AU631" s="1229"/>
      <c r="AV631" s="1229"/>
      <c r="AW631" s="1229"/>
      <c r="AX631" s="1274"/>
      <c r="AY631" s="1274"/>
      <c r="AZ631" s="1229"/>
      <c r="BA631" s="1229"/>
      <c r="BB631" s="1229"/>
      <c r="BC631" s="1229"/>
      <c r="BD631" s="1274"/>
      <c r="BE631" s="1274"/>
      <c r="BF631" s="1229"/>
      <c r="BG631" s="1229"/>
      <c r="BH631" s="1229"/>
      <c r="BI631" s="1222"/>
      <c r="BJ631" s="1350"/>
      <c r="BK631" s="1350"/>
      <c r="BL631" s="1222"/>
      <c r="BM631" s="1222"/>
      <c r="BN631" s="1222"/>
      <c r="BO631" s="1222"/>
    </row>
    <row r="632">
      <c r="A632" s="1222"/>
      <c r="B632" s="1229"/>
      <c r="C632" s="1349"/>
      <c r="D632" s="1229"/>
      <c r="E632" s="1229"/>
      <c r="F632" s="1229"/>
      <c r="G632" s="1229"/>
      <c r="H632" s="1229"/>
      <c r="I632" s="1229"/>
      <c r="J632" s="1229"/>
      <c r="K632" s="1229"/>
      <c r="L632" s="1229"/>
      <c r="M632" s="1229"/>
      <c r="N632" s="1274"/>
      <c r="O632" s="1274"/>
      <c r="P632" s="1229"/>
      <c r="Q632" s="1229"/>
      <c r="R632" s="1229"/>
      <c r="S632" s="1229"/>
      <c r="T632" s="1274"/>
      <c r="U632" s="1274"/>
      <c r="V632" s="1229"/>
      <c r="W632" s="1229"/>
      <c r="X632" s="1229"/>
      <c r="Y632" s="1229"/>
      <c r="Z632" s="1274"/>
      <c r="AA632" s="1274"/>
      <c r="AB632" s="1229"/>
      <c r="AC632" s="1229"/>
      <c r="AD632" s="1229"/>
      <c r="AE632" s="1229"/>
      <c r="AF632" s="1274"/>
      <c r="AG632" s="1274"/>
      <c r="AH632" s="1229"/>
      <c r="AI632" s="1229"/>
      <c r="AJ632" s="1229"/>
      <c r="AK632" s="1229"/>
      <c r="AL632" s="1274"/>
      <c r="AM632" s="1274"/>
      <c r="AN632" s="1229"/>
      <c r="AO632" s="1229"/>
      <c r="AP632" s="1229"/>
      <c r="AQ632" s="1229"/>
      <c r="AR632" s="1274"/>
      <c r="AS632" s="1274"/>
      <c r="AT632" s="1229"/>
      <c r="AU632" s="1229"/>
      <c r="AV632" s="1229"/>
      <c r="AW632" s="1229"/>
      <c r="AX632" s="1274"/>
      <c r="AY632" s="1274"/>
      <c r="AZ632" s="1229"/>
      <c r="BA632" s="1229"/>
      <c r="BB632" s="1229"/>
      <c r="BC632" s="1229"/>
      <c r="BD632" s="1274"/>
      <c r="BE632" s="1274"/>
      <c r="BF632" s="1229"/>
      <c r="BG632" s="1229"/>
      <c r="BH632" s="1229"/>
      <c r="BI632" s="1222"/>
      <c r="BJ632" s="1350"/>
      <c r="BK632" s="1350"/>
      <c r="BL632" s="1222"/>
      <c r="BM632" s="1222"/>
      <c r="BN632" s="1222"/>
      <c r="BO632" s="1222"/>
    </row>
    <row r="633">
      <c r="A633" s="1222"/>
      <c r="B633" s="1229"/>
      <c r="C633" s="1349"/>
      <c r="D633" s="1229"/>
      <c r="E633" s="1229"/>
      <c r="F633" s="1229"/>
      <c r="G633" s="1229"/>
      <c r="H633" s="1229"/>
      <c r="I633" s="1229"/>
      <c r="J633" s="1229"/>
      <c r="K633" s="1229"/>
      <c r="L633" s="1229"/>
      <c r="M633" s="1229"/>
      <c r="N633" s="1274"/>
      <c r="O633" s="1274"/>
      <c r="P633" s="1229"/>
      <c r="Q633" s="1229"/>
      <c r="R633" s="1229"/>
      <c r="S633" s="1229"/>
      <c r="T633" s="1274"/>
      <c r="U633" s="1274"/>
      <c r="V633" s="1229"/>
      <c r="W633" s="1229"/>
      <c r="X633" s="1229"/>
      <c r="Y633" s="1229"/>
      <c r="Z633" s="1274"/>
      <c r="AA633" s="1274"/>
      <c r="AB633" s="1229"/>
      <c r="AC633" s="1229"/>
      <c r="AD633" s="1229"/>
      <c r="AE633" s="1229"/>
      <c r="AF633" s="1274"/>
      <c r="AG633" s="1274"/>
      <c r="AH633" s="1229"/>
      <c r="AI633" s="1229"/>
      <c r="AJ633" s="1229"/>
      <c r="AK633" s="1229"/>
      <c r="AL633" s="1274"/>
      <c r="AM633" s="1274"/>
      <c r="AN633" s="1229"/>
      <c r="AO633" s="1229"/>
      <c r="AP633" s="1229"/>
      <c r="AQ633" s="1229"/>
      <c r="AR633" s="1274"/>
      <c r="AS633" s="1274"/>
      <c r="AT633" s="1229"/>
      <c r="AU633" s="1229"/>
      <c r="AV633" s="1229"/>
      <c r="AW633" s="1229"/>
      <c r="AX633" s="1274"/>
      <c r="AY633" s="1274"/>
      <c r="AZ633" s="1229"/>
      <c r="BA633" s="1229"/>
      <c r="BB633" s="1229"/>
      <c r="BC633" s="1229"/>
      <c r="BD633" s="1274"/>
      <c r="BE633" s="1274"/>
      <c r="BF633" s="1229"/>
      <c r="BG633" s="1229"/>
      <c r="BH633" s="1229"/>
      <c r="BI633" s="1222"/>
      <c r="BJ633" s="1350"/>
      <c r="BK633" s="1350"/>
      <c r="BL633" s="1222"/>
      <c r="BM633" s="1222"/>
      <c r="BN633" s="1222"/>
      <c r="BO633" s="1222"/>
    </row>
    <row r="634">
      <c r="A634" s="1222"/>
      <c r="B634" s="1229"/>
      <c r="C634" s="1349"/>
      <c r="D634" s="1229"/>
      <c r="E634" s="1229"/>
      <c r="F634" s="1229"/>
      <c r="G634" s="1229"/>
      <c r="H634" s="1229"/>
      <c r="I634" s="1229"/>
      <c r="J634" s="1229"/>
      <c r="K634" s="1229"/>
      <c r="L634" s="1229"/>
      <c r="M634" s="1229"/>
      <c r="N634" s="1274"/>
      <c r="O634" s="1274"/>
      <c r="P634" s="1229"/>
      <c r="Q634" s="1229"/>
      <c r="R634" s="1229"/>
      <c r="S634" s="1229"/>
      <c r="T634" s="1274"/>
      <c r="U634" s="1274"/>
      <c r="V634" s="1229"/>
      <c r="W634" s="1229"/>
      <c r="X634" s="1229"/>
      <c r="Y634" s="1229"/>
      <c r="Z634" s="1274"/>
      <c r="AA634" s="1274"/>
      <c r="AB634" s="1229"/>
      <c r="AC634" s="1229"/>
      <c r="AD634" s="1229"/>
      <c r="AE634" s="1229"/>
      <c r="AF634" s="1274"/>
      <c r="AG634" s="1274"/>
      <c r="AH634" s="1229"/>
      <c r="AI634" s="1229"/>
      <c r="AJ634" s="1229"/>
      <c r="AK634" s="1229"/>
      <c r="AL634" s="1274"/>
      <c r="AM634" s="1274"/>
      <c r="AN634" s="1229"/>
      <c r="AO634" s="1229"/>
      <c r="AP634" s="1229"/>
      <c r="AQ634" s="1229"/>
      <c r="AR634" s="1274"/>
      <c r="AS634" s="1274"/>
      <c r="AT634" s="1229"/>
      <c r="AU634" s="1229"/>
      <c r="AV634" s="1229"/>
      <c r="AW634" s="1229"/>
      <c r="AX634" s="1274"/>
      <c r="AY634" s="1274"/>
      <c r="AZ634" s="1229"/>
      <c r="BA634" s="1229"/>
      <c r="BB634" s="1229"/>
      <c r="BC634" s="1229"/>
      <c r="BD634" s="1274"/>
      <c r="BE634" s="1274"/>
      <c r="BF634" s="1229"/>
      <c r="BG634" s="1229"/>
      <c r="BH634" s="1229"/>
      <c r="BI634" s="1222"/>
      <c r="BJ634" s="1350"/>
      <c r="BK634" s="1350"/>
      <c r="BL634" s="1222"/>
      <c r="BM634" s="1222"/>
      <c r="BN634" s="1222"/>
      <c r="BO634" s="1222"/>
    </row>
    <row r="635">
      <c r="A635" s="1222"/>
      <c r="B635" s="1229"/>
      <c r="C635" s="1349"/>
      <c r="D635" s="1229"/>
      <c r="E635" s="1229"/>
      <c r="F635" s="1229"/>
      <c r="G635" s="1229"/>
      <c r="H635" s="1229"/>
      <c r="I635" s="1229"/>
      <c r="J635" s="1229"/>
      <c r="K635" s="1229"/>
      <c r="L635" s="1229"/>
      <c r="M635" s="1229"/>
      <c r="N635" s="1274"/>
      <c r="O635" s="1274"/>
      <c r="P635" s="1229"/>
      <c r="Q635" s="1229"/>
      <c r="R635" s="1229"/>
      <c r="S635" s="1229"/>
      <c r="T635" s="1274"/>
      <c r="U635" s="1274"/>
      <c r="V635" s="1229"/>
      <c r="W635" s="1229"/>
      <c r="X635" s="1229"/>
      <c r="Y635" s="1229"/>
      <c r="Z635" s="1274"/>
      <c r="AA635" s="1274"/>
      <c r="AB635" s="1229"/>
      <c r="AC635" s="1229"/>
      <c r="AD635" s="1229"/>
      <c r="AE635" s="1229"/>
      <c r="AF635" s="1274"/>
      <c r="AG635" s="1274"/>
      <c r="AH635" s="1229"/>
      <c r="AI635" s="1229"/>
      <c r="AJ635" s="1229"/>
      <c r="AK635" s="1229"/>
      <c r="AL635" s="1274"/>
      <c r="AM635" s="1274"/>
      <c r="AN635" s="1229"/>
      <c r="AO635" s="1229"/>
      <c r="AP635" s="1229"/>
      <c r="AQ635" s="1229"/>
      <c r="AR635" s="1274"/>
      <c r="AS635" s="1274"/>
      <c r="AT635" s="1229"/>
      <c r="AU635" s="1229"/>
      <c r="AV635" s="1229"/>
      <c r="AW635" s="1229"/>
      <c r="AX635" s="1274"/>
      <c r="AY635" s="1274"/>
      <c r="AZ635" s="1229"/>
      <c r="BA635" s="1229"/>
      <c r="BB635" s="1229"/>
      <c r="BC635" s="1229"/>
      <c r="BD635" s="1274"/>
      <c r="BE635" s="1274"/>
      <c r="BF635" s="1229"/>
      <c r="BG635" s="1229"/>
      <c r="BH635" s="1229"/>
      <c r="BI635" s="1222"/>
      <c r="BJ635" s="1350"/>
      <c r="BK635" s="1350"/>
      <c r="BL635" s="1222"/>
      <c r="BM635" s="1222"/>
      <c r="BN635" s="1222"/>
      <c r="BO635" s="1222"/>
    </row>
    <row r="636">
      <c r="A636" s="1222"/>
      <c r="B636" s="1229"/>
      <c r="C636" s="1349"/>
      <c r="D636" s="1229"/>
      <c r="E636" s="1229"/>
      <c r="F636" s="1229"/>
      <c r="G636" s="1229"/>
      <c r="H636" s="1229"/>
      <c r="I636" s="1229"/>
      <c r="J636" s="1229"/>
      <c r="K636" s="1229"/>
      <c r="L636" s="1229"/>
      <c r="M636" s="1229"/>
      <c r="N636" s="1274"/>
      <c r="O636" s="1274"/>
      <c r="P636" s="1229"/>
      <c r="Q636" s="1229"/>
      <c r="R636" s="1229"/>
      <c r="S636" s="1229"/>
      <c r="T636" s="1274"/>
      <c r="U636" s="1274"/>
      <c r="V636" s="1229"/>
      <c r="W636" s="1229"/>
      <c r="X636" s="1229"/>
      <c r="Y636" s="1229"/>
      <c r="Z636" s="1274"/>
      <c r="AA636" s="1274"/>
      <c r="AB636" s="1229"/>
      <c r="AC636" s="1229"/>
      <c r="AD636" s="1229"/>
      <c r="AE636" s="1229"/>
      <c r="AF636" s="1274"/>
      <c r="AG636" s="1274"/>
      <c r="AH636" s="1229"/>
      <c r="AI636" s="1229"/>
      <c r="AJ636" s="1229"/>
      <c r="AK636" s="1229"/>
      <c r="AL636" s="1274"/>
      <c r="AM636" s="1274"/>
      <c r="AN636" s="1229"/>
      <c r="AO636" s="1229"/>
      <c r="AP636" s="1229"/>
      <c r="AQ636" s="1229"/>
      <c r="AR636" s="1274"/>
      <c r="AS636" s="1274"/>
      <c r="AT636" s="1229"/>
      <c r="AU636" s="1229"/>
      <c r="AV636" s="1229"/>
      <c r="AW636" s="1229"/>
      <c r="AX636" s="1274"/>
      <c r="AY636" s="1274"/>
      <c r="AZ636" s="1229"/>
      <c r="BA636" s="1229"/>
      <c r="BB636" s="1229"/>
      <c r="BC636" s="1229"/>
      <c r="BD636" s="1274"/>
      <c r="BE636" s="1274"/>
      <c r="BF636" s="1229"/>
      <c r="BG636" s="1229"/>
      <c r="BH636" s="1229"/>
      <c r="BI636" s="1222"/>
      <c r="BJ636" s="1350"/>
      <c r="BK636" s="1350"/>
      <c r="BL636" s="1222"/>
      <c r="BM636" s="1222"/>
      <c r="BN636" s="1222"/>
      <c r="BO636" s="1222"/>
    </row>
    <row r="637">
      <c r="A637" s="1222"/>
      <c r="B637" s="1229"/>
      <c r="C637" s="1349"/>
      <c r="D637" s="1229"/>
      <c r="E637" s="1229"/>
      <c r="F637" s="1229"/>
      <c r="G637" s="1229"/>
      <c r="H637" s="1229"/>
      <c r="I637" s="1229"/>
      <c r="J637" s="1229"/>
      <c r="K637" s="1229"/>
      <c r="L637" s="1229"/>
      <c r="M637" s="1229"/>
      <c r="N637" s="1274"/>
      <c r="O637" s="1274"/>
      <c r="P637" s="1229"/>
      <c r="Q637" s="1229"/>
      <c r="R637" s="1229"/>
      <c r="S637" s="1229"/>
      <c r="T637" s="1274"/>
      <c r="U637" s="1274"/>
      <c r="V637" s="1229"/>
      <c r="W637" s="1229"/>
      <c r="X637" s="1229"/>
      <c r="Y637" s="1229"/>
      <c r="Z637" s="1274"/>
      <c r="AA637" s="1274"/>
      <c r="AB637" s="1229"/>
      <c r="AC637" s="1229"/>
      <c r="AD637" s="1229"/>
      <c r="AE637" s="1229"/>
      <c r="AF637" s="1274"/>
      <c r="AG637" s="1274"/>
      <c r="AH637" s="1229"/>
      <c r="AI637" s="1229"/>
      <c r="AJ637" s="1229"/>
      <c r="AK637" s="1229"/>
      <c r="AL637" s="1274"/>
      <c r="AM637" s="1274"/>
      <c r="AN637" s="1229"/>
      <c r="AO637" s="1229"/>
      <c r="AP637" s="1229"/>
      <c r="AQ637" s="1229"/>
      <c r="AR637" s="1274"/>
      <c r="AS637" s="1274"/>
      <c r="AT637" s="1229"/>
      <c r="AU637" s="1229"/>
      <c r="AV637" s="1229"/>
      <c r="AW637" s="1229"/>
      <c r="AX637" s="1274"/>
      <c r="AY637" s="1274"/>
      <c r="AZ637" s="1229"/>
      <c r="BA637" s="1229"/>
      <c r="BB637" s="1229"/>
      <c r="BC637" s="1229"/>
      <c r="BD637" s="1274"/>
      <c r="BE637" s="1274"/>
      <c r="BF637" s="1229"/>
      <c r="BG637" s="1229"/>
      <c r="BH637" s="1229"/>
      <c r="BI637" s="1222"/>
      <c r="BJ637" s="1350"/>
      <c r="BK637" s="1350"/>
      <c r="BL637" s="1222"/>
      <c r="BM637" s="1222"/>
      <c r="BN637" s="1222"/>
      <c r="BO637" s="1222"/>
    </row>
    <row r="638">
      <c r="A638" s="1222"/>
      <c r="B638" s="1229"/>
      <c r="C638" s="1349"/>
      <c r="D638" s="1229"/>
      <c r="E638" s="1229"/>
      <c r="F638" s="1229"/>
      <c r="G638" s="1229"/>
      <c r="H638" s="1229"/>
      <c r="I638" s="1229"/>
      <c r="J638" s="1229"/>
      <c r="K638" s="1229"/>
      <c r="L638" s="1229"/>
      <c r="M638" s="1229"/>
      <c r="N638" s="1274"/>
      <c r="O638" s="1274"/>
      <c r="P638" s="1229"/>
      <c r="Q638" s="1229"/>
      <c r="R638" s="1229"/>
      <c r="S638" s="1229"/>
      <c r="T638" s="1274"/>
      <c r="U638" s="1274"/>
      <c r="V638" s="1229"/>
      <c r="W638" s="1229"/>
      <c r="X638" s="1229"/>
      <c r="Y638" s="1229"/>
      <c r="Z638" s="1274"/>
      <c r="AA638" s="1274"/>
      <c r="AB638" s="1229"/>
      <c r="AC638" s="1229"/>
      <c r="AD638" s="1229"/>
      <c r="AE638" s="1229"/>
      <c r="AF638" s="1274"/>
      <c r="AG638" s="1274"/>
      <c r="AH638" s="1229"/>
      <c r="AI638" s="1229"/>
      <c r="AJ638" s="1229"/>
      <c r="AK638" s="1229"/>
      <c r="AL638" s="1274"/>
      <c r="AM638" s="1274"/>
      <c r="AN638" s="1229"/>
      <c r="AO638" s="1229"/>
      <c r="AP638" s="1229"/>
      <c r="AQ638" s="1229"/>
      <c r="AR638" s="1274"/>
      <c r="AS638" s="1274"/>
      <c r="AT638" s="1229"/>
      <c r="AU638" s="1229"/>
      <c r="AV638" s="1229"/>
      <c r="AW638" s="1229"/>
      <c r="AX638" s="1274"/>
      <c r="AY638" s="1274"/>
      <c r="AZ638" s="1229"/>
      <c r="BA638" s="1229"/>
      <c r="BB638" s="1229"/>
      <c r="BC638" s="1229"/>
      <c r="BD638" s="1274"/>
      <c r="BE638" s="1274"/>
      <c r="BF638" s="1229"/>
      <c r="BG638" s="1229"/>
      <c r="BH638" s="1229"/>
      <c r="BI638" s="1222"/>
      <c r="BJ638" s="1350"/>
      <c r="BK638" s="1350"/>
      <c r="BL638" s="1222"/>
      <c r="BM638" s="1222"/>
      <c r="BN638" s="1222"/>
      <c r="BO638" s="1222"/>
    </row>
    <row r="639">
      <c r="A639" s="1222"/>
      <c r="B639" s="1229"/>
      <c r="C639" s="1349"/>
      <c r="D639" s="1229"/>
      <c r="E639" s="1229"/>
      <c r="F639" s="1229"/>
      <c r="G639" s="1229"/>
      <c r="H639" s="1229"/>
      <c r="I639" s="1229"/>
      <c r="J639" s="1229"/>
      <c r="K639" s="1229"/>
      <c r="L639" s="1229"/>
      <c r="M639" s="1229"/>
      <c r="N639" s="1274"/>
      <c r="O639" s="1274"/>
      <c r="P639" s="1229"/>
      <c r="Q639" s="1229"/>
      <c r="R639" s="1229"/>
      <c r="S639" s="1229"/>
      <c r="T639" s="1274"/>
      <c r="U639" s="1274"/>
      <c r="V639" s="1229"/>
      <c r="W639" s="1229"/>
      <c r="X639" s="1229"/>
      <c r="Y639" s="1229"/>
      <c r="Z639" s="1274"/>
      <c r="AA639" s="1274"/>
      <c r="AB639" s="1229"/>
      <c r="AC639" s="1229"/>
      <c r="AD639" s="1229"/>
      <c r="AE639" s="1229"/>
      <c r="AF639" s="1274"/>
      <c r="AG639" s="1274"/>
      <c r="AH639" s="1229"/>
      <c r="AI639" s="1229"/>
      <c r="AJ639" s="1229"/>
      <c r="AK639" s="1229"/>
      <c r="AL639" s="1274"/>
      <c r="AM639" s="1274"/>
      <c r="AN639" s="1229"/>
      <c r="AO639" s="1229"/>
      <c r="AP639" s="1229"/>
      <c r="AQ639" s="1229"/>
      <c r="AR639" s="1274"/>
      <c r="AS639" s="1274"/>
      <c r="AT639" s="1229"/>
      <c r="AU639" s="1229"/>
      <c r="AV639" s="1229"/>
      <c r="AW639" s="1229"/>
      <c r="AX639" s="1274"/>
      <c r="AY639" s="1274"/>
      <c r="AZ639" s="1229"/>
      <c r="BA639" s="1229"/>
      <c r="BB639" s="1229"/>
      <c r="BC639" s="1229"/>
      <c r="BD639" s="1274"/>
      <c r="BE639" s="1274"/>
      <c r="BF639" s="1229"/>
      <c r="BG639" s="1229"/>
      <c r="BH639" s="1229"/>
      <c r="BI639" s="1222"/>
      <c r="BJ639" s="1350"/>
      <c r="BK639" s="1350"/>
      <c r="BL639" s="1222"/>
      <c r="BM639" s="1222"/>
      <c r="BN639" s="1222"/>
      <c r="BO639" s="1222"/>
    </row>
    <row r="640">
      <c r="A640" s="1222"/>
      <c r="B640" s="1229"/>
      <c r="C640" s="1349"/>
      <c r="D640" s="1229"/>
      <c r="E640" s="1229"/>
      <c r="F640" s="1229"/>
      <c r="G640" s="1229"/>
      <c r="H640" s="1229"/>
      <c r="I640" s="1229"/>
      <c r="J640" s="1229"/>
      <c r="K640" s="1229"/>
      <c r="L640" s="1229"/>
      <c r="M640" s="1229"/>
      <c r="N640" s="1274"/>
      <c r="O640" s="1274"/>
      <c r="P640" s="1229"/>
      <c r="Q640" s="1229"/>
      <c r="R640" s="1229"/>
      <c r="S640" s="1229"/>
      <c r="T640" s="1274"/>
      <c r="U640" s="1274"/>
      <c r="V640" s="1229"/>
      <c r="W640" s="1229"/>
      <c r="X640" s="1229"/>
      <c r="Y640" s="1229"/>
      <c r="Z640" s="1274"/>
      <c r="AA640" s="1274"/>
      <c r="AB640" s="1229"/>
      <c r="AC640" s="1229"/>
      <c r="AD640" s="1229"/>
      <c r="AE640" s="1229"/>
      <c r="AF640" s="1274"/>
      <c r="AG640" s="1274"/>
      <c r="AH640" s="1229"/>
      <c r="AI640" s="1229"/>
      <c r="AJ640" s="1229"/>
      <c r="AK640" s="1229"/>
      <c r="AL640" s="1274"/>
      <c r="AM640" s="1274"/>
      <c r="AN640" s="1229"/>
      <c r="AO640" s="1229"/>
      <c r="AP640" s="1229"/>
      <c r="AQ640" s="1229"/>
      <c r="AR640" s="1274"/>
      <c r="AS640" s="1274"/>
      <c r="AT640" s="1229"/>
      <c r="AU640" s="1229"/>
      <c r="AV640" s="1229"/>
      <c r="AW640" s="1229"/>
      <c r="AX640" s="1274"/>
      <c r="AY640" s="1274"/>
      <c r="AZ640" s="1229"/>
      <c r="BA640" s="1229"/>
      <c r="BB640" s="1229"/>
      <c r="BC640" s="1229"/>
      <c r="BD640" s="1274"/>
      <c r="BE640" s="1274"/>
      <c r="BF640" s="1229"/>
      <c r="BG640" s="1229"/>
      <c r="BH640" s="1229"/>
      <c r="BI640" s="1222"/>
      <c r="BJ640" s="1350"/>
      <c r="BK640" s="1350"/>
      <c r="BL640" s="1222"/>
      <c r="BM640" s="1222"/>
      <c r="BN640" s="1222"/>
      <c r="BO640" s="1222"/>
    </row>
    <row r="641">
      <c r="A641" s="1222"/>
      <c r="B641" s="1229"/>
      <c r="C641" s="1349"/>
      <c r="D641" s="1229"/>
      <c r="E641" s="1229"/>
      <c r="F641" s="1229"/>
      <c r="G641" s="1229"/>
      <c r="H641" s="1229"/>
      <c r="I641" s="1229"/>
      <c r="J641" s="1229"/>
      <c r="K641" s="1229"/>
      <c r="L641" s="1229"/>
      <c r="M641" s="1229"/>
      <c r="N641" s="1274"/>
      <c r="O641" s="1274"/>
      <c r="P641" s="1229"/>
      <c r="Q641" s="1229"/>
      <c r="R641" s="1229"/>
      <c r="S641" s="1229"/>
      <c r="T641" s="1274"/>
      <c r="U641" s="1274"/>
      <c r="V641" s="1229"/>
      <c r="W641" s="1229"/>
      <c r="X641" s="1229"/>
      <c r="Y641" s="1229"/>
      <c r="Z641" s="1274"/>
      <c r="AA641" s="1274"/>
      <c r="AB641" s="1229"/>
      <c r="AC641" s="1229"/>
      <c r="AD641" s="1229"/>
      <c r="AE641" s="1229"/>
      <c r="AF641" s="1274"/>
      <c r="AG641" s="1274"/>
      <c r="AH641" s="1229"/>
      <c r="AI641" s="1229"/>
      <c r="AJ641" s="1229"/>
      <c r="AK641" s="1229"/>
      <c r="AL641" s="1274"/>
      <c r="AM641" s="1274"/>
      <c r="AN641" s="1229"/>
      <c r="AO641" s="1229"/>
      <c r="AP641" s="1229"/>
      <c r="AQ641" s="1229"/>
      <c r="AR641" s="1274"/>
      <c r="AS641" s="1274"/>
      <c r="AT641" s="1229"/>
      <c r="AU641" s="1229"/>
      <c r="AV641" s="1229"/>
      <c r="AW641" s="1229"/>
      <c r="AX641" s="1274"/>
      <c r="AY641" s="1274"/>
      <c r="AZ641" s="1229"/>
      <c r="BA641" s="1229"/>
      <c r="BB641" s="1229"/>
      <c r="BC641" s="1229"/>
      <c r="BD641" s="1274"/>
      <c r="BE641" s="1274"/>
      <c r="BF641" s="1229"/>
      <c r="BG641" s="1229"/>
      <c r="BH641" s="1229"/>
      <c r="BI641" s="1222"/>
      <c r="BJ641" s="1350"/>
      <c r="BK641" s="1350"/>
      <c r="BL641" s="1222"/>
      <c r="BM641" s="1222"/>
      <c r="BN641" s="1222"/>
      <c r="BO641" s="1222"/>
    </row>
    <row r="642">
      <c r="A642" s="1222"/>
      <c r="B642" s="1229"/>
      <c r="C642" s="1349"/>
      <c r="D642" s="1229"/>
      <c r="E642" s="1229"/>
      <c r="F642" s="1229"/>
      <c r="G642" s="1229"/>
      <c r="H642" s="1229"/>
      <c r="I642" s="1229"/>
      <c r="J642" s="1229"/>
      <c r="K642" s="1229"/>
      <c r="L642" s="1229"/>
      <c r="M642" s="1229"/>
      <c r="N642" s="1274"/>
      <c r="O642" s="1274"/>
      <c r="P642" s="1229"/>
      <c r="Q642" s="1229"/>
      <c r="R642" s="1229"/>
      <c r="S642" s="1229"/>
      <c r="T642" s="1274"/>
      <c r="U642" s="1274"/>
      <c r="V642" s="1229"/>
      <c r="W642" s="1229"/>
      <c r="X642" s="1229"/>
      <c r="Y642" s="1229"/>
      <c r="Z642" s="1274"/>
      <c r="AA642" s="1274"/>
      <c r="AB642" s="1229"/>
      <c r="AC642" s="1229"/>
      <c r="AD642" s="1229"/>
      <c r="AE642" s="1229"/>
      <c r="AF642" s="1274"/>
      <c r="AG642" s="1274"/>
      <c r="AH642" s="1229"/>
      <c r="AI642" s="1229"/>
      <c r="AJ642" s="1229"/>
      <c r="AK642" s="1229"/>
      <c r="AL642" s="1274"/>
      <c r="AM642" s="1274"/>
      <c r="AN642" s="1229"/>
      <c r="AO642" s="1229"/>
      <c r="AP642" s="1229"/>
      <c r="AQ642" s="1229"/>
      <c r="AR642" s="1274"/>
      <c r="AS642" s="1274"/>
      <c r="AT642" s="1229"/>
      <c r="AU642" s="1229"/>
      <c r="AV642" s="1229"/>
      <c r="AW642" s="1229"/>
      <c r="AX642" s="1274"/>
      <c r="AY642" s="1274"/>
      <c r="AZ642" s="1229"/>
      <c r="BA642" s="1229"/>
      <c r="BB642" s="1229"/>
      <c r="BC642" s="1229"/>
      <c r="BD642" s="1274"/>
      <c r="BE642" s="1274"/>
      <c r="BF642" s="1229"/>
      <c r="BG642" s="1229"/>
      <c r="BH642" s="1229"/>
      <c r="BI642" s="1222"/>
      <c r="BJ642" s="1350"/>
      <c r="BK642" s="1350"/>
      <c r="BL642" s="1222"/>
      <c r="BM642" s="1222"/>
      <c r="BN642" s="1222"/>
      <c r="BO642" s="1222"/>
    </row>
    <row r="643">
      <c r="A643" s="1222"/>
      <c r="B643" s="1229"/>
      <c r="C643" s="1349"/>
      <c r="D643" s="1229"/>
      <c r="E643" s="1229"/>
      <c r="F643" s="1229"/>
      <c r="G643" s="1229"/>
      <c r="H643" s="1229"/>
      <c r="I643" s="1229"/>
      <c r="J643" s="1229"/>
      <c r="K643" s="1229"/>
      <c r="L643" s="1229"/>
      <c r="M643" s="1229"/>
      <c r="N643" s="1274"/>
      <c r="O643" s="1274"/>
      <c r="P643" s="1229"/>
      <c r="Q643" s="1229"/>
      <c r="R643" s="1229"/>
      <c r="S643" s="1229"/>
      <c r="T643" s="1274"/>
      <c r="U643" s="1274"/>
      <c r="V643" s="1229"/>
      <c r="W643" s="1229"/>
      <c r="X643" s="1229"/>
      <c r="Y643" s="1229"/>
      <c r="Z643" s="1274"/>
      <c r="AA643" s="1274"/>
      <c r="AB643" s="1229"/>
      <c r="AC643" s="1229"/>
      <c r="AD643" s="1229"/>
      <c r="AE643" s="1229"/>
      <c r="AF643" s="1274"/>
      <c r="AG643" s="1274"/>
      <c r="AH643" s="1229"/>
      <c r="AI643" s="1229"/>
      <c r="AJ643" s="1229"/>
      <c r="AK643" s="1229"/>
      <c r="AL643" s="1274"/>
      <c r="AM643" s="1274"/>
      <c r="AN643" s="1229"/>
      <c r="AO643" s="1229"/>
      <c r="AP643" s="1229"/>
      <c r="AQ643" s="1229"/>
      <c r="AR643" s="1274"/>
      <c r="AS643" s="1274"/>
      <c r="AT643" s="1229"/>
      <c r="AU643" s="1229"/>
      <c r="AV643" s="1229"/>
      <c r="AW643" s="1229"/>
      <c r="AX643" s="1274"/>
      <c r="AY643" s="1274"/>
      <c r="AZ643" s="1229"/>
      <c r="BA643" s="1229"/>
      <c r="BB643" s="1229"/>
      <c r="BC643" s="1229"/>
      <c r="BD643" s="1274"/>
      <c r="BE643" s="1274"/>
      <c r="BF643" s="1229"/>
      <c r="BG643" s="1229"/>
      <c r="BH643" s="1229"/>
      <c r="BI643" s="1222"/>
      <c r="BJ643" s="1350"/>
      <c r="BK643" s="1350"/>
      <c r="BL643" s="1222"/>
      <c r="BM643" s="1222"/>
      <c r="BN643" s="1222"/>
      <c r="BO643" s="1222"/>
    </row>
    <row r="644">
      <c r="A644" s="1222"/>
      <c r="B644" s="1229"/>
      <c r="C644" s="1349"/>
      <c r="D644" s="1229"/>
      <c r="E644" s="1229"/>
      <c r="F644" s="1229"/>
      <c r="G644" s="1229"/>
      <c r="H644" s="1229"/>
      <c r="I644" s="1229"/>
      <c r="J644" s="1229"/>
      <c r="K644" s="1229"/>
      <c r="L644" s="1229"/>
      <c r="M644" s="1229"/>
      <c r="N644" s="1274"/>
      <c r="O644" s="1274"/>
      <c r="P644" s="1229"/>
      <c r="Q644" s="1229"/>
      <c r="R644" s="1229"/>
      <c r="S644" s="1229"/>
      <c r="T644" s="1274"/>
      <c r="U644" s="1274"/>
      <c r="V644" s="1229"/>
      <c r="W644" s="1229"/>
      <c r="X644" s="1229"/>
      <c r="Y644" s="1229"/>
      <c r="Z644" s="1274"/>
      <c r="AA644" s="1274"/>
      <c r="AB644" s="1229"/>
      <c r="AC644" s="1229"/>
      <c r="AD644" s="1229"/>
      <c r="AE644" s="1229"/>
      <c r="AF644" s="1274"/>
      <c r="AG644" s="1274"/>
      <c r="AH644" s="1229"/>
      <c r="AI644" s="1229"/>
      <c r="AJ644" s="1229"/>
      <c r="AK644" s="1229"/>
      <c r="AL644" s="1274"/>
      <c r="AM644" s="1274"/>
      <c r="AN644" s="1229"/>
      <c r="AO644" s="1229"/>
      <c r="AP644" s="1229"/>
      <c r="AQ644" s="1229"/>
      <c r="AR644" s="1274"/>
      <c r="AS644" s="1274"/>
      <c r="AT644" s="1229"/>
      <c r="AU644" s="1229"/>
      <c r="AV644" s="1229"/>
      <c r="AW644" s="1229"/>
      <c r="AX644" s="1274"/>
      <c r="AY644" s="1274"/>
      <c r="AZ644" s="1229"/>
      <c r="BA644" s="1229"/>
      <c r="BB644" s="1229"/>
      <c r="BC644" s="1229"/>
      <c r="BD644" s="1274"/>
      <c r="BE644" s="1274"/>
      <c r="BF644" s="1229"/>
      <c r="BG644" s="1229"/>
      <c r="BH644" s="1229"/>
      <c r="BI644" s="1222"/>
      <c r="BJ644" s="1350"/>
      <c r="BK644" s="1350"/>
      <c r="BL644" s="1222"/>
      <c r="BM644" s="1222"/>
      <c r="BN644" s="1222"/>
      <c r="BO644" s="1222"/>
    </row>
    <row r="645">
      <c r="A645" s="1222"/>
      <c r="B645" s="1229"/>
      <c r="C645" s="1349"/>
      <c r="D645" s="1229"/>
      <c r="E645" s="1229"/>
      <c r="F645" s="1229"/>
      <c r="G645" s="1229"/>
      <c r="H645" s="1229"/>
      <c r="I645" s="1229"/>
      <c r="J645" s="1229"/>
      <c r="K645" s="1229"/>
      <c r="L645" s="1229"/>
      <c r="M645" s="1229"/>
      <c r="N645" s="1274"/>
      <c r="O645" s="1274"/>
      <c r="P645" s="1229"/>
      <c r="Q645" s="1229"/>
      <c r="R645" s="1229"/>
      <c r="S645" s="1229"/>
      <c r="T645" s="1274"/>
      <c r="U645" s="1274"/>
      <c r="V645" s="1229"/>
      <c r="W645" s="1229"/>
      <c r="X645" s="1229"/>
      <c r="Y645" s="1229"/>
      <c r="Z645" s="1274"/>
      <c r="AA645" s="1274"/>
      <c r="AB645" s="1229"/>
      <c r="AC645" s="1229"/>
      <c r="AD645" s="1229"/>
      <c r="AE645" s="1229"/>
      <c r="AF645" s="1274"/>
      <c r="AG645" s="1274"/>
      <c r="AH645" s="1229"/>
      <c r="AI645" s="1229"/>
      <c r="AJ645" s="1229"/>
      <c r="AK645" s="1229"/>
      <c r="AL645" s="1274"/>
      <c r="AM645" s="1274"/>
      <c r="AN645" s="1229"/>
      <c r="AO645" s="1229"/>
      <c r="AP645" s="1229"/>
      <c r="AQ645" s="1229"/>
      <c r="AR645" s="1274"/>
      <c r="AS645" s="1274"/>
      <c r="AT645" s="1229"/>
      <c r="AU645" s="1229"/>
      <c r="AV645" s="1229"/>
      <c r="AW645" s="1229"/>
      <c r="AX645" s="1274"/>
      <c r="AY645" s="1274"/>
      <c r="AZ645" s="1229"/>
      <c r="BA645" s="1229"/>
      <c r="BB645" s="1229"/>
      <c r="BC645" s="1229"/>
      <c r="BD645" s="1274"/>
      <c r="BE645" s="1274"/>
      <c r="BF645" s="1229"/>
      <c r="BG645" s="1229"/>
      <c r="BH645" s="1229"/>
      <c r="BI645" s="1222"/>
      <c r="BJ645" s="1350"/>
      <c r="BK645" s="1350"/>
      <c r="BL645" s="1222"/>
      <c r="BM645" s="1222"/>
      <c r="BN645" s="1222"/>
      <c r="BO645" s="1222"/>
    </row>
    <row r="646">
      <c r="A646" s="1222"/>
      <c r="B646" s="1229"/>
      <c r="C646" s="1349"/>
      <c r="D646" s="1229"/>
      <c r="E646" s="1229"/>
      <c r="F646" s="1229"/>
      <c r="G646" s="1229"/>
      <c r="H646" s="1229"/>
      <c r="I646" s="1229"/>
      <c r="J646" s="1229"/>
      <c r="K646" s="1229"/>
      <c r="L646" s="1229"/>
      <c r="M646" s="1229"/>
      <c r="N646" s="1274"/>
      <c r="O646" s="1274"/>
      <c r="P646" s="1229"/>
      <c r="Q646" s="1229"/>
      <c r="R646" s="1229"/>
      <c r="S646" s="1229"/>
      <c r="T646" s="1274"/>
      <c r="U646" s="1274"/>
      <c r="V646" s="1229"/>
      <c r="W646" s="1229"/>
      <c r="X646" s="1229"/>
      <c r="Y646" s="1229"/>
      <c r="Z646" s="1274"/>
      <c r="AA646" s="1274"/>
      <c r="AB646" s="1229"/>
      <c r="AC646" s="1229"/>
      <c r="AD646" s="1229"/>
      <c r="AE646" s="1229"/>
      <c r="AF646" s="1274"/>
      <c r="AG646" s="1274"/>
      <c r="AH646" s="1229"/>
      <c r="AI646" s="1229"/>
      <c r="AJ646" s="1229"/>
      <c r="AK646" s="1229"/>
      <c r="AL646" s="1274"/>
      <c r="AM646" s="1274"/>
      <c r="AN646" s="1229"/>
      <c r="AO646" s="1229"/>
      <c r="AP646" s="1229"/>
      <c r="AQ646" s="1229"/>
      <c r="AR646" s="1274"/>
      <c r="AS646" s="1274"/>
      <c r="AT646" s="1229"/>
      <c r="AU646" s="1229"/>
      <c r="AV646" s="1229"/>
      <c r="AW646" s="1229"/>
      <c r="AX646" s="1274"/>
      <c r="AY646" s="1274"/>
      <c r="AZ646" s="1229"/>
      <c r="BA646" s="1229"/>
      <c r="BB646" s="1229"/>
      <c r="BC646" s="1229"/>
      <c r="BD646" s="1274"/>
      <c r="BE646" s="1274"/>
      <c r="BF646" s="1229"/>
      <c r="BG646" s="1229"/>
      <c r="BH646" s="1229"/>
      <c r="BI646" s="1222"/>
      <c r="BJ646" s="1350"/>
      <c r="BK646" s="1350"/>
      <c r="BL646" s="1222"/>
      <c r="BM646" s="1222"/>
      <c r="BN646" s="1222"/>
      <c r="BO646" s="1222"/>
    </row>
    <row r="647">
      <c r="A647" s="1222"/>
      <c r="B647" s="1229"/>
      <c r="C647" s="1349"/>
      <c r="D647" s="1229"/>
      <c r="E647" s="1229"/>
      <c r="F647" s="1229"/>
      <c r="G647" s="1229"/>
      <c r="H647" s="1229"/>
      <c r="I647" s="1229"/>
      <c r="J647" s="1229"/>
      <c r="K647" s="1229"/>
      <c r="L647" s="1229"/>
      <c r="M647" s="1229"/>
      <c r="N647" s="1274"/>
      <c r="O647" s="1274"/>
      <c r="P647" s="1229"/>
      <c r="Q647" s="1229"/>
      <c r="R647" s="1229"/>
      <c r="S647" s="1229"/>
      <c r="T647" s="1274"/>
      <c r="U647" s="1274"/>
      <c r="V647" s="1229"/>
      <c r="W647" s="1229"/>
      <c r="X647" s="1229"/>
      <c r="Y647" s="1229"/>
      <c r="Z647" s="1274"/>
      <c r="AA647" s="1274"/>
      <c r="AB647" s="1229"/>
      <c r="AC647" s="1229"/>
      <c r="AD647" s="1229"/>
      <c r="AE647" s="1229"/>
      <c r="AF647" s="1274"/>
      <c r="AG647" s="1274"/>
      <c r="AH647" s="1229"/>
      <c r="AI647" s="1229"/>
      <c r="AJ647" s="1229"/>
      <c r="AK647" s="1229"/>
      <c r="AL647" s="1274"/>
      <c r="AM647" s="1274"/>
      <c r="AN647" s="1229"/>
      <c r="AO647" s="1229"/>
      <c r="AP647" s="1229"/>
      <c r="AQ647" s="1229"/>
      <c r="AR647" s="1274"/>
      <c r="AS647" s="1274"/>
      <c r="AT647" s="1229"/>
      <c r="AU647" s="1229"/>
      <c r="AV647" s="1229"/>
      <c r="AW647" s="1229"/>
      <c r="AX647" s="1274"/>
      <c r="AY647" s="1274"/>
      <c r="AZ647" s="1229"/>
      <c r="BA647" s="1229"/>
      <c r="BB647" s="1229"/>
      <c r="BC647" s="1229"/>
      <c r="BD647" s="1274"/>
      <c r="BE647" s="1274"/>
      <c r="BF647" s="1229"/>
      <c r="BG647" s="1229"/>
      <c r="BH647" s="1229"/>
      <c r="BI647" s="1222"/>
      <c r="BJ647" s="1350"/>
      <c r="BK647" s="1350"/>
      <c r="BL647" s="1222"/>
      <c r="BM647" s="1222"/>
      <c r="BN647" s="1222"/>
      <c r="BO647" s="1222"/>
    </row>
    <row r="648">
      <c r="A648" s="1222"/>
      <c r="B648" s="1229"/>
      <c r="C648" s="1349"/>
      <c r="D648" s="1229"/>
      <c r="E648" s="1229"/>
      <c r="F648" s="1229"/>
      <c r="G648" s="1229"/>
      <c r="H648" s="1229"/>
      <c r="I648" s="1229"/>
      <c r="J648" s="1229"/>
      <c r="K648" s="1229"/>
      <c r="L648" s="1229"/>
      <c r="M648" s="1229"/>
      <c r="N648" s="1274"/>
      <c r="O648" s="1274"/>
      <c r="P648" s="1229"/>
      <c r="Q648" s="1229"/>
      <c r="R648" s="1229"/>
      <c r="S648" s="1229"/>
      <c r="T648" s="1274"/>
      <c r="U648" s="1274"/>
      <c r="V648" s="1229"/>
      <c r="W648" s="1229"/>
      <c r="X648" s="1229"/>
      <c r="Y648" s="1229"/>
      <c r="Z648" s="1274"/>
      <c r="AA648" s="1274"/>
      <c r="AB648" s="1229"/>
      <c r="AC648" s="1229"/>
      <c r="AD648" s="1229"/>
      <c r="AE648" s="1229"/>
      <c r="AF648" s="1274"/>
      <c r="AG648" s="1274"/>
      <c r="AH648" s="1229"/>
      <c r="AI648" s="1229"/>
      <c r="AJ648" s="1229"/>
      <c r="AK648" s="1229"/>
      <c r="AL648" s="1274"/>
      <c r="AM648" s="1274"/>
      <c r="AN648" s="1229"/>
      <c r="AO648" s="1229"/>
      <c r="AP648" s="1229"/>
      <c r="AQ648" s="1229"/>
      <c r="AR648" s="1274"/>
      <c r="AS648" s="1274"/>
      <c r="AT648" s="1229"/>
      <c r="AU648" s="1229"/>
      <c r="AV648" s="1229"/>
      <c r="AW648" s="1229"/>
      <c r="AX648" s="1274"/>
      <c r="AY648" s="1274"/>
      <c r="AZ648" s="1229"/>
      <c r="BA648" s="1229"/>
      <c r="BB648" s="1229"/>
      <c r="BC648" s="1229"/>
      <c r="BD648" s="1274"/>
      <c r="BE648" s="1274"/>
      <c r="BF648" s="1229"/>
      <c r="BG648" s="1229"/>
      <c r="BH648" s="1229"/>
      <c r="BI648" s="1222"/>
      <c r="BJ648" s="1350"/>
      <c r="BK648" s="1350"/>
      <c r="BL648" s="1222"/>
      <c r="BM648" s="1222"/>
      <c r="BN648" s="1222"/>
      <c r="BO648" s="1222"/>
    </row>
    <row r="649">
      <c r="A649" s="1222"/>
      <c r="B649" s="1229"/>
      <c r="C649" s="1349"/>
      <c r="D649" s="1229"/>
      <c r="E649" s="1229"/>
      <c r="F649" s="1229"/>
      <c r="G649" s="1229"/>
      <c r="H649" s="1229"/>
      <c r="I649" s="1229"/>
      <c r="J649" s="1229"/>
      <c r="K649" s="1229"/>
      <c r="L649" s="1229"/>
      <c r="M649" s="1229"/>
      <c r="N649" s="1274"/>
      <c r="O649" s="1274"/>
      <c r="P649" s="1229"/>
      <c r="Q649" s="1229"/>
      <c r="R649" s="1229"/>
      <c r="S649" s="1229"/>
      <c r="T649" s="1274"/>
      <c r="U649" s="1274"/>
      <c r="V649" s="1229"/>
      <c r="W649" s="1229"/>
      <c r="X649" s="1229"/>
      <c r="Y649" s="1229"/>
      <c r="Z649" s="1274"/>
      <c r="AA649" s="1274"/>
      <c r="AB649" s="1229"/>
      <c r="AC649" s="1229"/>
      <c r="AD649" s="1229"/>
      <c r="AE649" s="1229"/>
      <c r="AF649" s="1274"/>
      <c r="AG649" s="1274"/>
      <c r="AH649" s="1229"/>
      <c r="AI649" s="1229"/>
      <c r="AJ649" s="1229"/>
      <c r="AK649" s="1229"/>
      <c r="AL649" s="1274"/>
      <c r="AM649" s="1274"/>
      <c r="AN649" s="1229"/>
      <c r="AO649" s="1229"/>
      <c r="AP649" s="1229"/>
      <c r="AQ649" s="1229"/>
      <c r="AR649" s="1274"/>
      <c r="AS649" s="1274"/>
      <c r="AT649" s="1229"/>
      <c r="AU649" s="1229"/>
      <c r="AV649" s="1229"/>
      <c r="AW649" s="1229"/>
      <c r="AX649" s="1274"/>
      <c r="AY649" s="1274"/>
      <c r="AZ649" s="1229"/>
      <c r="BA649" s="1229"/>
      <c r="BB649" s="1229"/>
      <c r="BC649" s="1229"/>
      <c r="BD649" s="1274"/>
      <c r="BE649" s="1274"/>
      <c r="BF649" s="1229"/>
      <c r="BG649" s="1229"/>
      <c r="BH649" s="1229"/>
      <c r="BI649" s="1222"/>
      <c r="BJ649" s="1350"/>
      <c r="BK649" s="1350"/>
      <c r="BL649" s="1222"/>
      <c r="BM649" s="1222"/>
      <c r="BN649" s="1222"/>
      <c r="BO649" s="1222"/>
    </row>
    <row r="650">
      <c r="A650" s="1222"/>
      <c r="B650" s="1229"/>
      <c r="C650" s="1349"/>
      <c r="D650" s="1229"/>
      <c r="E650" s="1229"/>
      <c r="F650" s="1229"/>
      <c r="G650" s="1229"/>
      <c r="H650" s="1229"/>
      <c r="I650" s="1229"/>
      <c r="J650" s="1229"/>
      <c r="K650" s="1229"/>
      <c r="L650" s="1229"/>
      <c r="M650" s="1229"/>
      <c r="N650" s="1274"/>
      <c r="O650" s="1274"/>
      <c r="P650" s="1229"/>
      <c r="Q650" s="1229"/>
      <c r="R650" s="1229"/>
      <c r="S650" s="1229"/>
      <c r="T650" s="1274"/>
      <c r="U650" s="1274"/>
      <c r="V650" s="1229"/>
      <c r="W650" s="1229"/>
      <c r="X650" s="1229"/>
      <c r="Y650" s="1229"/>
      <c r="Z650" s="1274"/>
      <c r="AA650" s="1274"/>
      <c r="AB650" s="1229"/>
      <c r="AC650" s="1229"/>
      <c r="AD650" s="1229"/>
      <c r="AE650" s="1229"/>
      <c r="AF650" s="1274"/>
      <c r="AG650" s="1274"/>
      <c r="AH650" s="1229"/>
      <c r="AI650" s="1229"/>
      <c r="AJ650" s="1229"/>
      <c r="AK650" s="1229"/>
      <c r="AL650" s="1274"/>
      <c r="AM650" s="1274"/>
      <c r="AN650" s="1229"/>
      <c r="AO650" s="1229"/>
      <c r="AP650" s="1229"/>
      <c r="AQ650" s="1229"/>
      <c r="AR650" s="1274"/>
      <c r="AS650" s="1274"/>
      <c r="AT650" s="1229"/>
      <c r="AU650" s="1229"/>
      <c r="AV650" s="1229"/>
      <c r="AW650" s="1229"/>
      <c r="AX650" s="1274"/>
      <c r="AY650" s="1274"/>
      <c r="AZ650" s="1229"/>
      <c r="BA650" s="1229"/>
      <c r="BB650" s="1229"/>
      <c r="BC650" s="1229"/>
      <c r="BD650" s="1274"/>
      <c r="BE650" s="1274"/>
      <c r="BF650" s="1229"/>
      <c r="BG650" s="1229"/>
      <c r="BH650" s="1229"/>
      <c r="BI650" s="1222"/>
      <c r="BJ650" s="1350"/>
      <c r="BK650" s="1350"/>
      <c r="BL650" s="1222"/>
      <c r="BM650" s="1222"/>
      <c r="BN650" s="1222"/>
      <c r="BO650" s="1222"/>
    </row>
    <row r="651">
      <c r="A651" s="1222"/>
      <c r="B651" s="1229"/>
      <c r="C651" s="1349"/>
      <c r="D651" s="1229"/>
      <c r="E651" s="1229"/>
      <c r="F651" s="1229"/>
      <c r="G651" s="1229"/>
      <c r="H651" s="1229"/>
      <c r="I651" s="1229"/>
      <c r="J651" s="1229"/>
      <c r="K651" s="1229"/>
      <c r="L651" s="1229"/>
      <c r="M651" s="1229"/>
      <c r="N651" s="1274"/>
      <c r="O651" s="1274"/>
      <c r="P651" s="1229"/>
      <c r="Q651" s="1229"/>
      <c r="R651" s="1229"/>
      <c r="S651" s="1229"/>
      <c r="T651" s="1274"/>
      <c r="U651" s="1274"/>
      <c r="V651" s="1229"/>
      <c r="W651" s="1229"/>
      <c r="X651" s="1229"/>
      <c r="Y651" s="1229"/>
      <c r="Z651" s="1274"/>
      <c r="AA651" s="1274"/>
      <c r="AB651" s="1229"/>
      <c r="AC651" s="1229"/>
      <c r="AD651" s="1229"/>
      <c r="AE651" s="1229"/>
      <c r="AF651" s="1274"/>
      <c r="AG651" s="1274"/>
      <c r="AH651" s="1229"/>
      <c r="AI651" s="1229"/>
      <c r="AJ651" s="1229"/>
      <c r="AK651" s="1229"/>
      <c r="AL651" s="1274"/>
      <c r="AM651" s="1274"/>
      <c r="AN651" s="1229"/>
      <c r="AO651" s="1229"/>
      <c r="AP651" s="1229"/>
      <c r="AQ651" s="1229"/>
      <c r="AR651" s="1274"/>
      <c r="AS651" s="1274"/>
      <c r="AT651" s="1229"/>
      <c r="AU651" s="1229"/>
      <c r="AV651" s="1229"/>
      <c r="AW651" s="1229"/>
      <c r="AX651" s="1274"/>
      <c r="AY651" s="1274"/>
      <c r="AZ651" s="1229"/>
      <c r="BA651" s="1229"/>
      <c r="BB651" s="1229"/>
      <c r="BC651" s="1229"/>
      <c r="BD651" s="1274"/>
      <c r="BE651" s="1274"/>
      <c r="BF651" s="1229"/>
      <c r="BG651" s="1229"/>
      <c r="BH651" s="1229"/>
      <c r="BI651" s="1222"/>
      <c r="BJ651" s="1350"/>
      <c r="BK651" s="1350"/>
      <c r="BL651" s="1222"/>
      <c r="BM651" s="1222"/>
      <c r="BN651" s="1222"/>
      <c r="BO651" s="1222"/>
    </row>
    <row r="652">
      <c r="A652" s="1222"/>
      <c r="B652" s="1229"/>
      <c r="C652" s="1349"/>
      <c r="D652" s="1229"/>
      <c r="E652" s="1229"/>
      <c r="F652" s="1229"/>
      <c r="G652" s="1229"/>
      <c r="H652" s="1229"/>
      <c r="I652" s="1229"/>
      <c r="J652" s="1229"/>
      <c r="K652" s="1229"/>
      <c r="L652" s="1229"/>
      <c r="M652" s="1229"/>
      <c r="N652" s="1274"/>
      <c r="O652" s="1274"/>
      <c r="P652" s="1229"/>
      <c r="Q652" s="1229"/>
      <c r="R652" s="1229"/>
      <c r="S652" s="1229"/>
      <c r="T652" s="1274"/>
      <c r="U652" s="1274"/>
      <c r="V652" s="1229"/>
      <c r="W652" s="1229"/>
      <c r="X652" s="1229"/>
      <c r="Y652" s="1229"/>
      <c r="Z652" s="1274"/>
      <c r="AA652" s="1274"/>
      <c r="AB652" s="1229"/>
      <c r="AC652" s="1229"/>
      <c r="AD652" s="1229"/>
      <c r="AE652" s="1229"/>
      <c r="AF652" s="1274"/>
      <c r="AG652" s="1274"/>
      <c r="AH652" s="1229"/>
      <c r="AI652" s="1229"/>
      <c r="AJ652" s="1229"/>
      <c r="AK652" s="1229"/>
      <c r="AL652" s="1274"/>
      <c r="AM652" s="1274"/>
      <c r="AN652" s="1229"/>
      <c r="AO652" s="1229"/>
      <c r="AP652" s="1229"/>
      <c r="AQ652" s="1229"/>
      <c r="AR652" s="1274"/>
      <c r="AS652" s="1274"/>
      <c r="AT652" s="1229"/>
      <c r="AU652" s="1229"/>
      <c r="AV652" s="1229"/>
      <c r="AW652" s="1229"/>
      <c r="AX652" s="1274"/>
      <c r="AY652" s="1274"/>
      <c r="AZ652" s="1229"/>
      <c r="BA652" s="1229"/>
      <c r="BB652" s="1229"/>
      <c r="BC652" s="1229"/>
      <c r="BD652" s="1274"/>
      <c r="BE652" s="1274"/>
      <c r="BF652" s="1229"/>
      <c r="BG652" s="1229"/>
      <c r="BH652" s="1229"/>
      <c r="BI652" s="1222"/>
      <c r="BJ652" s="1350"/>
      <c r="BK652" s="1350"/>
      <c r="BL652" s="1222"/>
      <c r="BM652" s="1222"/>
      <c r="BN652" s="1222"/>
      <c r="BO652" s="1222"/>
    </row>
    <row r="653">
      <c r="A653" s="1222"/>
      <c r="B653" s="1229"/>
      <c r="C653" s="1349"/>
      <c r="D653" s="1229"/>
      <c r="E653" s="1229"/>
      <c r="F653" s="1229"/>
      <c r="G653" s="1229"/>
      <c r="H653" s="1229"/>
      <c r="I653" s="1229"/>
      <c r="J653" s="1229"/>
      <c r="K653" s="1229"/>
      <c r="L653" s="1229"/>
      <c r="M653" s="1229"/>
      <c r="N653" s="1274"/>
      <c r="O653" s="1274"/>
      <c r="P653" s="1229"/>
      <c r="Q653" s="1229"/>
      <c r="R653" s="1229"/>
      <c r="S653" s="1229"/>
      <c r="T653" s="1274"/>
      <c r="U653" s="1274"/>
      <c r="V653" s="1229"/>
      <c r="W653" s="1229"/>
      <c r="X653" s="1229"/>
      <c r="Y653" s="1229"/>
      <c r="Z653" s="1274"/>
      <c r="AA653" s="1274"/>
      <c r="AB653" s="1229"/>
      <c r="AC653" s="1229"/>
      <c r="AD653" s="1229"/>
      <c r="AE653" s="1229"/>
      <c r="AF653" s="1274"/>
      <c r="AG653" s="1274"/>
      <c r="AH653" s="1229"/>
      <c r="AI653" s="1229"/>
      <c r="AJ653" s="1229"/>
      <c r="AK653" s="1229"/>
      <c r="AL653" s="1274"/>
      <c r="AM653" s="1274"/>
      <c r="AN653" s="1229"/>
      <c r="AO653" s="1229"/>
      <c r="AP653" s="1229"/>
      <c r="AQ653" s="1229"/>
      <c r="AR653" s="1274"/>
      <c r="AS653" s="1274"/>
      <c r="AT653" s="1229"/>
      <c r="AU653" s="1229"/>
      <c r="AV653" s="1229"/>
      <c r="AW653" s="1229"/>
      <c r="AX653" s="1274"/>
      <c r="AY653" s="1274"/>
      <c r="AZ653" s="1229"/>
      <c r="BA653" s="1229"/>
      <c r="BB653" s="1229"/>
      <c r="BC653" s="1229"/>
      <c r="BD653" s="1274"/>
      <c r="BE653" s="1274"/>
      <c r="BF653" s="1229"/>
      <c r="BG653" s="1229"/>
      <c r="BH653" s="1229"/>
      <c r="BI653" s="1222"/>
      <c r="BJ653" s="1350"/>
      <c r="BK653" s="1350"/>
      <c r="BL653" s="1222"/>
      <c r="BM653" s="1222"/>
      <c r="BN653" s="1222"/>
      <c r="BO653" s="1222"/>
    </row>
    <row r="654">
      <c r="A654" s="1222"/>
      <c r="B654" s="1229"/>
      <c r="C654" s="1349"/>
      <c r="D654" s="1229"/>
      <c r="E654" s="1229"/>
      <c r="F654" s="1229"/>
      <c r="G654" s="1229"/>
      <c r="H654" s="1229"/>
      <c r="I654" s="1229"/>
      <c r="J654" s="1229"/>
      <c r="K654" s="1229"/>
      <c r="L654" s="1229"/>
      <c r="M654" s="1229"/>
      <c r="N654" s="1274"/>
      <c r="O654" s="1274"/>
      <c r="P654" s="1229"/>
      <c r="Q654" s="1229"/>
      <c r="R654" s="1229"/>
      <c r="S654" s="1229"/>
      <c r="T654" s="1274"/>
      <c r="U654" s="1274"/>
      <c r="V654" s="1229"/>
      <c r="W654" s="1229"/>
      <c r="X654" s="1229"/>
      <c r="Y654" s="1229"/>
      <c r="Z654" s="1274"/>
      <c r="AA654" s="1274"/>
      <c r="AB654" s="1229"/>
      <c r="AC654" s="1229"/>
      <c r="AD654" s="1229"/>
      <c r="AE654" s="1229"/>
      <c r="AF654" s="1274"/>
      <c r="AG654" s="1274"/>
      <c r="AH654" s="1229"/>
      <c r="AI654" s="1229"/>
      <c r="AJ654" s="1229"/>
      <c r="AK654" s="1229"/>
      <c r="AL654" s="1274"/>
      <c r="AM654" s="1274"/>
      <c r="AN654" s="1229"/>
      <c r="AO654" s="1229"/>
      <c r="AP654" s="1229"/>
      <c r="AQ654" s="1229"/>
      <c r="AR654" s="1274"/>
      <c r="AS654" s="1274"/>
      <c r="AT654" s="1229"/>
      <c r="AU654" s="1229"/>
      <c r="AV654" s="1229"/>
      <c r="AW654" s="1229"/>
      <c r="AX654" s="1274"/>
      <c r="AY654" s="1274"/>
      <c r="AZ654" s="1229"/>
      <c r="BA654" s="1229"/>
      <c r="BB654" s="1229"/>
      <c r="BC654" s="1229"/>
      <c r="BD654" s="1274"/>
      <c r="BE654" s="1274"/>
      <c r="BF654" s="1229"/>
      <c r="BG654" s="1229"/>
      <c r="BH654" s="1229"/>
      <c r="BI654" s="1222"/>
      <c r="BJ654" s="1350"/>
      <c r="BK654" s="1350"/>
      <c r="BL654" s="1222"/>
      <c r="BM654" s="1222"/>
      <c r="BN654" s="1222"/>
      <c r="BO654" s="1222"/>
    </row>
    <row r="655">
      <c r="A655" s="1222"/>
      <c r="B655" s="1229"/>
      <c r="C655" s="1349"/>
      <c r="D655" s="1229"/>
      <c r="E655" s="1229"/>
      <c r="F655" s="1229"/>
      <c r="G655" s="1229"/>
      <c r="H655" s="1229"/>
      <c r="I655" s="1229"/>
      <c r="J655" s="1229"/>
      <c r="K655" s="1229"/>
      <c r="L655" s="1229"/>
      <c r="M655" s="1229"/>
      <c r="N655" s="1274"/>
      <c r="O655" s="1274"/>
      <c r="P655" s="1229"/>
      <c r="Q655" s="1229"/>
      <c r="R655" s="1229"/>
      <c r="S655" s="1229"/>
      <c r="T655" s="1274"/>
      <c r="U655" s="1274"/>
      <c r="V655" s="1229"/>
      <c r="W655" s="1229"/>
      <c r="X655" s="1229"/>
      <c r="Y655" s="1229"/>
      <c r="Z655" s="1274"/>
      <c r="AA655" s="1274"/>
      <c r="AB655" s="1229"/>
      <c r="AC655" s="1229"/>
      <c r="AD655" s="1229"/>
      <c r="AE655" s="1229"/>
      <c r="AF655" s="1274"/>
      <c r="AG655" s="1274"/>
      <c r="AH655" s="1229"/>
      <c r="AI655" s="1229"/>
      <c r="AJ655" s="1229"/>
      <c r="AK655" s="1229"/>
      <c r="AL655" s="1274"/>
      <c r="AM655" s="1274"/>
      <c r="AN655" s="1229"/>
      <c r="AO655" s="1229"/>
      <c r="AP655" s="1229"/>
      <c r="AQ655" s="1229"/>
      <c r="AR655" s="1274"/>
      <c r="AS655" s="1274"/>
      <c r="AT655" s="1229"/>
      <c r="AU655" s="1229"/>
      <c r="AV655" s="1229"/>
      <c r="AW655" s="1229"/>
      <c r="AX655" s="1274"/>
      <c r="AY655" s="1274"/>
      <c r="AZ655" s="1229"/>
      <c r="BA655" s="1229"/>
      <c r="BB655" s="1229"/>
      <c r="BC655" s="1229"/>
      <c r="BD655" s="1274"/>
      <c r="BE655" s="1274"/>
      <c r="BF655" s="1229"/>
      <c r="BG655" s="1229"/>
      <c r="BH655" s="1229"/>
      <c r="BI655" s="1222"/>
      <c r="BJ655" s="1350"/>
      <c r="BK655" s="1350"/>
      <c r="BL655" s="1222"/>
      <c r="BM655" s="1222"/>
      <c r="BN655" s="1222"/>
      <c r="BO655" s="1222"/>
    </row>
    <row r="656">
      <c r="A656" s="1222"/>
      <c r="B656" s="1229"/>
      <c r="C656" s="1349"/>
      <c r="D656" s="1229"/>
      <c r="E656" s="1229"/>
      <c r="F656" s="1229"/>
      <c r="G656" s="1229"/>
      <c r="H656" s="1229"/>
      <c r="I656" s="1229"/>
      <c r="J656" s="1229"/>
      <c r="K656" s="1229"/>
      <c r="L656" s="1229"/>
      <c r="M656" s="1229"/>
      <c r="N656" s="1274"/>
      <c r="O656" s="1274"/>
      <c r="P656" s="1229"/>
      <c r="Q656" s="1229"/>
      <c r="R656" s="1229"/>
      <c r="S656" s="1229"/>
      <c r="T656" s="1274"/>
      <c r="U656" s="1274"/>
      <c r="V656" s="1229"/>
      <c r="W656" s="1229"/>
      <c r="X656" s="1229"/>
      <c r="Y656" s="1229"/>
      <c r="Z656" s="1274"/>
      <c r="AA656" s="1274"/>
      <c r="AB656" s="1229"/>
      <c r="AC656" s="1229"/>
      <c r="AD656" s="1229"/>
      <c r="AE656" s="1229"/>
      <c r="AF656" s="1274"/>
      <c r="AG656" s="1274"/>
      <c r="AH656" s="1229"/>
      <c r="AI656" s="1229"/>
      <c r="AJ656" s="1229"/>
      <c r="AK656" s="1229"/>
      <c r="AL656" s="1274"/>
      <c r="AM656" s="1274"/>
      <c r="AN656" s="1229"/>
      <c r="AO656" s="1229"/>
      <c r="AP656" s="1229"/>
      <c r="AQ656" s="1229"/>
      <c r="AR656" s="1274"/>
      <c r="AS656" s="1274"/>
      <c r="AT656" s="1229"/>
      <c r="AU656" s="1229"/>
      <c r="AV656" s="1229"/>
      <c r="AW656" s="1229"/>
      <c r="AX656" s="1274"/>
      <c r="AY656" s="1274"/>
      <c r="AZ656" s="1229"/>
      <c r="BA656" s="1229"/>
      <c r="BB656" s="1229"/>
      <c r="BC656" s="1229"/>
      <c r="BD656" s="1274"/>
      <c r="BE656" s="1274"/>
      <c r="BF656" s="1229"/>
      <c r="BG656" s="1229"/>
      <c r="BH656" s="1229"/>
      <c r="BI656" s="1222"/>
      <c r="BJ656" s="1350"/>
      <c r="BK656" s="1350"/>
      <c r="BL656" s="1222"/>
      <c r="BM656" s="1222"/>
      <c r="BN656" s="1222"/>
      <c r="BO656" s="1222"/>
    </row>
    <row r="657">
      <c r="A657" s="1222"/>
      <c r="B657" s="1229"/>
      <c r="C657" s="1349"/>
      <c r="D657" s="1229"/>
      <c r="E657" s="1229"/>
      <c r="F657" s="1229"/>
      <c r="G657" s="1229"/>
      <c r="H657" s="1229"/>
      <c r="I657" s="1229"/>
      <c r="J657" s="1229"/>
      <c r="K657" s="1229"/>
      <c r="L657" s="1229"/>
      <c r="M657" s="1229"/>
      <c r="N657" s="1274"/>
      <c r="O657" s="1274"/>
      <c r="P657" s="1229"/>
      <c r="Q657" s="1229"/>
      <c r="R657" s="1229"/>
      <c r="S657" s="1229"/>
      <c r="T657" s="1274"/>
      <c r="U657" s="1274"/>
      <c r="V657" s="1229"/>
      <c r="W657" s="1229"/>
      <c r="X657" s="1229"/>
      <c r="Y657" s="1229"/>
      <c r="Z657" s="1274"/>
      <c r="AA657" s="1274"/>
      <c r="AB657" s="1229"/>
      <c r="AC657" s="1229"/>
      <c r="AD657" s="1229"/>
      <c r="AE657" s="1229"/>
      <c r="AF657" s="1274"/>
      <c r="AG657" s="1274"/>
      <c r="AH657" s="1229"/>
      <c r="AI657" s="1229"/>
      <c r="AJ657" s="1229"/>
      <c r="AK657" s="1229"/>
      <c r="AL657" s="1274"/>
      <c r="AM657" s="1274"/>
      <c r="AN657" s="1229"/>
      <c r="AO657" s="1229"/>
      <c r="AP657" s="1229"/>
      <c r="AQ657" s="1229"/>
      <c r="AR657" s="1274"/>
      <c r="AS657" s="1274"/>
      <c r="AT657" s="1229"/>
      <c r="AU657" s="1229"/>
      <c r="AV657" s="1229"/>
      <c r="AW657" s="1229"/>
      <c r="AX657" s="1274"/>
      <c r="AY657" s="1274"/>
      <c r="AZ657" s="1229"/>
      <c r="BA657" s="1229"/>
      <c r="BB657" s="1229"/>
      <c r="BC657" s="1229"/>
      <c r="BD657" s="1274"/>
      <c r="BE657" s="1274"/>
      <c r="BF657" s="1229"/>
      <c r="BG657" s="1229"/>
      <c r="BH657" s="1229"/>
      <c r="BI657" s="1222"/>
      <c r="BJ657" s="1350"/>
      <c r="BK657" s="1350"/>
      <c r="BL657" s="1222"/>
      <c r="BM657" s="1222"/>
      <c r="BN657" s="1222"/>
      <c r="BO657" s="1222"/>
    </row>
    <row r="658">
      <c r="A658" s="1222"/>
      <c r="B658" s="1229"/>
      <c r="C658" s="1349"/>
      <c r="D658" s="1229"/>
      <c r="E658" s="1229"/>
      <c r="F658" s="1229"/>
      <c r="G658" s="1229"/>
      <c r="H658" s="1229"/>
      <c r="I658" s="1229"/>
      <c r="J658" s="1229"/>
      <c r="K658" s="1229"/>
      <c r="L658" s="1229"/>
      <c r="M658" s="1229"/>
      <c r="N658" s="1274"/>
      <c r="O658" s="1274"/>
      <c r="P658" s="1229"/>
      <c r="Q658" s="1229"/>
      <c r="R658" s="1229"/>
      <c r="S658" s="1229"/>
      <c r="T658" s="1274"/>
      <c r="U658" s="1274"/>
      <c r="V658" s="1229"/>
      <c r="W658" s="1229"/>
      <c r="X658" s="1229"/>
      <c r="Y658" s="1229"/>
      <c r="Z658" s="1274"/>
      <c r="AA658" s="1274"/>
      <c r="AB658" s="1229"/>
      <c r="AC658" s="1229"/>
      <c r="AD658" s="1229"/>
      <c r="AE658" s="1229"/>
      <c r="AF658" s="1274"/>
      <c r="AG658" s="1274"/>
      <c r="AH658" s="1229"/>
      <c r="AI658" s="1229"/>
      <c r="AJ658" s="1229"/>
      <c r="AK658" s="1229"/>
      <c r="AL658" s="1274"/>
      <c r="AM658" s="1274"/>
      <c r="AN658" s="1229"/>
      <c r="AO658" s="1229"/>
      <c r="AP658" s="1229"/>
      <c r="AQ658" s="1229"/>
      <c r="AR658" s="1274"/>
      <c r="AS658" s="1274"/>
      <c r="AT658" s="1229"/>
      <c r="AU658" s="1229"/>
      <c r="AV658" s="1229"/>
      <c r="AW658" s="1229"/>
      <c r="AX658" s="1274"/>
      <c r="AY658" s="1274"/>
      <c r="AZ658" s="1229"/>
      <c r="BA658" s="1229"/>
      <c r="BB658" s="1229"/>
      <c r="BC658" s="1229"/>
      <c r="BD658" s="1274"/>
      <c r="BE658" s="1274"/>
      <c r="BF658" s="1229"/>
      <c r="BG658" s="1229"/>
      <c r="BH658" s="1229"/>
      <c r="BI658" s="1222"/>
      <c r="BJ658" s="1350"/>
      <c r="BK658" s="1350"/>
      <c r="BL658" s="1222"/>
      <c r="BM658" s="1222"/>
      <c r="BN658" s="1222"/>
      <c r="BO658" s="1222"/>
    </row>
    <row r="659">
      <c r="A659" s="1222"/>
      <c r="B659" s="1229"/>
      <c r="C659" s="1349"/>
      <c r="D659" s="1229"/>
      <c r="E659" s="1229"/>
      <c r="F659" s="1229"/>
      <c r="G659" s="1229"/>
      <c r="H659" s="1229"/>
      <c r="I659" s="1229"/>
      <c r="J659" s="1229"/>
      <c r="K659" s="1229"/>
      <c r="L659" s="1229"/>
      <c r="M659" s="1229"/>
      <c r="N659" s="1274"/>
      <c r="O659" s="1274"/>
      <c r="P659" s="1229"/>
      <c r="Q659" s="1229"/>
      <c r="R659" s="1229"/>
      <c r="S659" s="1229"/>
      <c r="T659" s="1274"/>
      <c r="U659" s="1274"/>
      <c r="V659" s="1229"/>
      <c r="W659" s="1229"/>
      <c r="X659" s="1229"/>
      <c r="Y659" s="1229"/>
      <c r="Z659" s="1274"/>
      <c r="AA659" s="1274"/>
      <c r="AB659" s="1229"/>
      <c r="AC659" s="1229"/>
      <c r="AD659" s="1229"/>
      <c r="AE659" s="1229"/>
      <c r="AF659" s="1274"/>
      <c r="AG659" s="1274"/>
      <c r="AH659" s="1229"/>
      <c r="AI659" s="1229"/>
      <c r="AJ659" s="1229"/>
      <c r="AK659" s="1229"/>
      <c r="AL659" s="1274"/>
      <c r="AM659" s="1274"/>
      <c r="AN659" s="1229"/>
      <c r="AO659" s="1229"/>
      <c r="AP659" s="1229"/>
      <c r="AQ659" s="1229"/>
      <c r="AR659" s="1274"/>
      <c r="AS659" s="1274"/>
      <c r="AT659" s="1229"/>
      <c r="AU659" s="1229"/>
      <c r="AV659" s="1229"/>
      <c r="AW659" s="1229"/>
      <c r="AX659" s="1274"/>
      <c r="AY659" s="1274"/>
      <c r="AZ659" s="1229"/>
      <c r="BA659" s="1229"/>
      <c r="BB659" s="1229"/>
      <c r="BC659" s="1229"/>
      <c r="BD659" s="1274"/>
      <c r="BE659" s="1274"/>
      <c r="BF659" s="1229"/>
      <c r="BG659" s="1229"/>
      <c r="BH659" s="1229"/>
      <c r="BI659" s="1222"/>
      <c r="BJ659" s="1350"/>
      <c r="BK659" s="1350"/>
      <c r="BL659" s="1222"/>
      <c r="BM659" s="1222"/>
      <c r="BN659" s="1222"/>
      <c r="BO659" s="1222"/>
    </row>
    <row r="660">
      <c r="A660" s="1222"/>
      <c r="B660" s="1229"/>
      <c r="C660" s="1349"/>
      <c r="D660" s="1229"/>
      <c r="E660" s="1229"/>
      <c r="F660" s="1229"/>
      <c r="G660" s="1229"/>
      <c r="H660" s="1229"/>
      <c r="I660" s="1229"/>
      <c r="J660" s="1229"/>
      <c r="K660" s="1229"/>
      <c r="L660" s="1229"/>
      <c r="M660" s="1229"/>
      <c r="N660" s="1274"/>
      <c r="O660" s="1274"/>
      <c r="P660" s="1229"/>
      <c r="Q660" s="1229"/>
      <c r="R660" s="1229"/>
      <c r="S660" s="1229"/>
      <c r="T660" s="1274"/>
      <c r="U660" s="1274"/>
      <c r="V660" s="1229"/>
      <c r="W660" s="1229"/>
      <c r="X660" s="1229"/>
      <c r="Y660" s="1229"/>
      <c r="Z660" s="1274"/>
      <c r="AA660" s="1274"/>
      <c r="AB660" s="1229"/>
      <c r="AC660" s="1229"/>
      <c r="AD660" s="1229"/>
      <c r="AE660" s="1229"/>
      <c r="AF660" s="1274"/>
      <c r="AG660" s="1274"/>
      <c r="AH660" s="1229"/>
      <c r="AI660" s="1229"/>
      <c r="AJ660" s="1229"/>
      <c r="AK660" s="1229"/>
      <c r="AL660" s="1274"/>
      <c r="AM660" s="1274"/>
      <c r="AN660" s="1229"/>
      <c r="AO660" s="1229"/>
      <c r="AP660" s="1229"/>
      <c r="AQ660" s="1229"/>
      <c r="AR660" s="1274"/>
      <c r="AS660" s="1274"/>
      <c r="AT660" s="1229"/>
      <c r="AU660" s="1229"/>
      <c r="AV660" s="1229"/>
      <c r="AW660" s="1229"/>
      <c r="AX660" s="1274"/>
      <c r="AY660" s="1274"/>
      <c r="AZ660" s="1229"/>
      <c r="BA660" s="1229"/>
      <c r="BB660" s="1229"/>
      <c r="BC660" s="1229"/>
      <c r="BD660" s="1274"/>
      <c r="BE660" s="1274"/>
      <c r="BF660" s="1229"/>
      <c r="BG660" s="1229"/>
      <c r="BH660" s="1229"/>
      <c r="BI660" s="1222"/>
      <c r="BJ660" s="1350"/>
      <c r="BK660" s="1350"/>
      <c r="BL660" s="1222"/>
      <c r="BM660" s="1222"/>
      <c r="BN660" s="1222"/>
      <c r="BO660" s="1222"/>
    </row>
    <row r="661">
      <c r="A661" s="1222"/>
      <c r="B661" s="1229"/>
      <c r="C661" s="1349"/>
      <c r="D661" s="1229"/>
      <c r="E661" s="1229"/>
      <c r="F661" s="1229"/>
      <c r="G661" s="1229"/>
      <c r="H661" s="1229"/>
      <c r="I661" s="1229"/>
      <c r="J661" s="1229"/>
      <c r="K661" s="1229"/>
      <c r="L661" s="1229"/>
      <c r="M661" s="1229"/>
      <c r="N661" s="1274"/>
      <c r="O661" s="1274"/>
      <c r="P661" s="1229"/>
      <c r="Q661" s="1229"/>
      <c r="R661" s="1229"/>
      <c r="S661" s="1229"/>
      <c r="T661" s="1274"/>
      <c r="U661" s="1274"/>
      <c r="V661" s="1229"/>
      <c r="W661" s="1229"/>
      <c r="X661" s="1229"/>
      <c r="Y661" s="1229"/>
      <c r="Z661" s="1274"/>
      <c r="AA661" s="1274"/>
      <c r="AB661" s="1229"/>
      <c r="AC661" s="1229"/>
      <c r="AD661" s="1229"/>
      <c r="AE661" s="1229"/>
      <c r="AF661" s="1274"/>
      <c r="AG661" s="1274"/>
      <c r="AH661" s="1229"/>
      <c r="AI661" s="1229"/>
      <c r="AJ661" s="1229"/>
      <c r="AK661" s="1229"/>
      <c r="AL661" s="1274"/>
      <c r="AM661" s="1274"/>
      <c r="AN661" s="1229"/>
      <c r="AO661" s="1229"/>
      <c r="AP661" s="1229"/>
      <c r="AQ661" s="1229"/>
      <c r="AR661" s="1274"/>
      <c r="AS661" s="1274"/>
      <c r="AT661" s="1229"/>
      <c r="AU661" s="1229"/>
      <c r="AV661" s="1229"/>
      <c r="AW661" s="1229"/>
      <c r="AX661" s="1274"/>
      <c r="AY661" s="1274"/>
      <c r="AZ661" s="1229"/>
      <c r="BA661" s="1229"/>
      <c r="BB661" s="1229"/>
      <c r="BC661" s="1229"/>
      <c r="BD661" s="1274"/>
      <c r="BE661" s="1274"/>
      <c r="BF661" s="1229"/>
      <c r="BG661" s="1229"/>
      <c r="BH661" s="1229"/>
      <c r="BI661" s="1222"/>
      <c r="BJ661" s="1350"/>
      <c r="BK661" s="1350"/>
      <c r="BL661" s="1222"/>
      <c r="BM661" s="1222"/>
      <c r="BN661" s="1222"/>
      <c r="BO661" s="1222"/>
    </row>
    <row r="662">
      <c r="A662" s="1222"/>
      <c r="B662" s="1229"/>
      <c r="C662" s="1349"/>
      <c r="D662" s="1229"/>
      <c r="E662" s="1229"/>
      <c r="F662" s="1229"/>
      <c r="G662" s="1229"/>
      <c r="H662" s="1229"/>
      <c r="I662" s="1229"/>
      <c r="J662" s="1229"/>
      <c r="K662" s="1229"/>
      <c r="L662" s="1229"/>
      <c r="M662" s="1229"/>
      <c r="N662" s="1274"/>
      <c r="O662" s="1274"/>
      <c r="P662" s="1229"/>
      <c r="Q662" s="1229"/>
      <c r="R662" s="1229"/>
      <c r="S662" s="1229"/>
      <c r="T662" s="1274"/>
      <c r="U662" s="1274"/>
      <c r="V662" s="1229"/>
      <c r="W662" s="1229"/>
      <c r="X662" s="1229"/>
      <c r="Y662" s="1229"/>
      <c r="Z662" s="1274"/>
      <c r="AA662" s="1274"/>
      <c r="AB662" s="1229"/>
      <c r="AC662" s="1229"/>
      <c r="AD662" s="1229"/>
      <c r="AE662" s="1229"/>
      <c r="AF662" s="1274"/>
      <c r="AG662" s="1274"/>
      <c r="AH662" s="1229"/>
      <c r="AI662" s="1229"/>
      <c r="AJ662" s="1229"/>
      <c r="AK662" s="1229"/>
      <c r="AL662" s="1274"/>
      <c r="AM662" s="1274"/>
      <c r="AN662" s="1229"/>
      <c r="AO662" s="1229"/>
      <c r="AP662" s="1229"/>
      <c r="AQ662" s="1229"/>
      <c r="AR662" s="1274"/>
      <c r="AS662" s="1274"/>
      <c r="AT662" s="1229"/>
      <c r="AU662" s="1229"/>
      <c r="AV662" s="1229"/>
      <c r="AW662" s="1229"/>
      <c r="AX662" s="1274"/>
      <c r="AY662" s="1274"/>
      <c r="AZ662" s="1229"/>
      <c r="BA662" s="1229"/>
      <c r="BB662" s="1229"/>
      <c r="BC662" s="1229"/>
      <c r="BD662" s="1274"/>
      <c r="BE662" s="1274"/>
      <c r="BF662" s="1229"/>
      <c r="BG662" s="1229"/>
      <c r="BH662" s="1229"/>
      <c r="BI662" s="1222"/>
      <c r="BJ662" s="1350"/>
      <c r="BK662" s="1350"/>
      <c r="BL662" s="1222"/>
      <c r="BM662" s="1222"/>
      <c r="BN662" s="1222"/>
      <c r="BO662" s="1222"/>
    </row>
    <row r="663">
      <c r="A663" s="1222"/>
      <c r="B663" s="1229"/>
      <c r="C663" s="1349"/>
      <c r="D663" s="1229"/>
      <c r="E663" s="1229"/>
      <c r="F663" s="1229"/>
      <c r="G663" s="1229"/>
      <c r="H663" s="1229"/>
      <c r="I663" s="1229"/>
      <c r="J663" s="1229"/>
      <c r="K663" s="1229"/>
      <c r="L663" s="1229"/>
      <c r="M663" s="1229"/>
      <c r="N663" s="1274"/>
      <c r="O663" s="1274"/>
      <c r="P663" s="1229"/>
      <c r="Q663" s="1229"/>
      <c r="R663" s="1229"/>
      <c r="S663" s="1229"/>
      <c r="T663" s="1274"/>
      <c r="U663" s="1274"/>
      <c r="V663" s="1229"/>
      <c r="W663" s="1229"/>
      <c r="X663" s="1229"/>
      <c r="Y663" s="1229"/>
      <c r="Z663" s="1274"/>
      <c r="AA663" s="1274"/>
      <c r="AB663" s="1229"/>
      <c r="AC663" s="1229"/>
      <c r="AD663" s="1229"/>
      <c r="AE663" s="1229"/>
      <c r="AF663" s="1274"/>
      <c r="AG663" s="1274"/>
      <c r="AH663" s="1229"/>
      <c r="AI663" s="1229"/>
      <c r="AJ663" s="1229"/>
      <c r="AK663" s="1229"/>
      <c r="AL663" s="1274"/>
      <c r="AM663" s="1274"/>
      <c r="AN663" s="1229"/>
      <c r="AO663" s="1229"/>
      <c r="AP663" s="1229"/>
      <c r="AQ663" s="1229"/>
      <c r="AR663" s="1274"/>
      <c r="AS663" s="1274"/>
      <c r="AT663" s="1229"/>
      <c r="AU663" s="1229"/>
      <c r="AV663" s="1229"/>
      <c r="AW663" s="1229"/>
      <c r="AX663" s="1274"/>
      <c r="AY663" s="1274"/>
      <c r="AZ663" s="1229"/>
      <c r="BA663" s="1229"/>
      <c r="BB663" s="1229"/>
      <c r="BC663" s="1229"/>
      <c r="BD663" s="1274"/>
      <c r="BE663" s="1274"/>
      <c r="BF663" s="1229"/>
      <c r="BG663" s="1229"/>
      <c r="BH663" s="1229"/>
      <c r="BI663" s="1222"/>
      <c r="BJ663" s="1350"/>
      <c r="BK663" s="1350"/>
      <c r="BL663" s="1222"/>
      <c r="BM663" s="1222"/>
      <c r="BN663" s="1222"/>
      <c r="BO663" s="1222"/>
    </row>
    <row r="664">
      <c r="A664" s="1222"/>
      <c r="B664" s="1229"/>
      <c r="C664" s="1349"/>
      <c r="D664" s="1229"/>
      <c r="E664" s="1229"/>
      <c r="F664" s="1229"/>
      <c r="G664" s="1229"/>
      <c r="H664" s="1229"/>
      <c r="I664" s="1229"/>
      <c r="J664" s="1229"/>
      <c r="K664" s="1229"/>
      <c r="L664" s="1229"/>
      <c r="M664" s="1229"/>
      <c r="N664" s="1274"/>
      <c r="O664" s="1274"/>
      <c r="P664" s="1229"/>
      <c r="Q664" s="1229"/>
      <c r="R664" s="1229"/>
      <c r="S664" s="1229"/>
      <c r="T664" s="1274"/>
      <c r="U664" s="1274"/>
      <c r="V664" s="1229"/>
      <c r="W664" s="1229"/>
      <c r="X664" s="1229"/>
      <c r="Y664" s="1229"/>
      <c r="Z664" s="1274"/>
      <c r="AA664" s="1274"/>
      <c r="AB664" s="1229"/>
      <c r="AC664" s="1229"/>
      <c r="AD664" s="1229"/>
      <c r="AE664" s="1229"/>
      <c r="AF664" s="1274"/>
      <c r="AG664" s="1274"/>
      <c r="AH664" s="1229"/>
      <c r="AI664" s="1229"/>
      <c r="AJ664" s="1229"/>
      <c r="AK664" s="1229"/>
      <c r="AL664" s="1274"/>
      <c r="AM664" s="1274"/>
      <c r="AN664" s="1229"/>
      <c r="AO664" s="1229"/>
      <c r="AP664" s="1229"/>
      <c r="AQ664" s="1229"/>
      <c r="AR664" s="1274"/>
      <c r="AS664" s="1274"/>
      <c r="AT664" s="1229"/>
      <c r="AU664" s="1229"/>
      <c r="AV664" s="1229"/>
      <c r="AW664" s="1229"/>
      <c r="AX664" s="1274"/>
      <c r="AY664" s="1274"/>
      <c r="AZ664" s="1229"/>
      <c r="BA664" s="1229"/>
      <c r="BB664" s="1229"/>
      <c r="BC664" s="1229"/>
      <c r="BD664" s="1274"/>
      <c r="BE664" s="1274"/>
      <c r="BF664" s="1229"/>
      <c r="BG664" s="1229"/>
      <c r="BH664" s="1229"/>
      <c r="BI664" s="1222"/>
      <c r="BJ664" s="1350"/>
      <c r="BK664" s="1350"/>
      <c r="BL664" s="1222"/>
      <c r="BM664" s="1222"/>
      <c r="BN664" s="1222"/>
      <c r="BO664" s="1222"/>
    </row>
    <row r="665">
      <c r="A665" s="1222"/>
      <c r="B665" s="1229"/>
      <c r="C665" s="1349"/>
      <c r="D665" s="1229"/>
      <c r="E665" s="1229"/>
      <c r="F665" s="1229"/>
      <c r="G665" s="1229"/>
      <c r="H665" s="1229"/>
      <c r="I665" s="1229"/>
      <c r="J665" s="1229"/>
      <c r="K665" s="1229"/>
      <c r="L665" s="1229"/>
      <c r="M665" s="1229"/>
      <c r="N665" s="1274"/>
      <c r="O665" s="1274"/>
      <c r="P665" s="1229"/>
      <c r="Q665" s="1229"/>
      <c r="R665" s="1229"/>
      <c r="S665" s="1229"/>
      <c r="T665" s="1274"/>
      <c r="U665" s="1274"/>
      <c r="V665" s="1229"/>
      <c r="W665" s="1229"/>
      <c r="X665" s="1229"/>
      <c r="Y665" s="1229"/>
      <c r="Z665" s="1274"/>
      <c r="AA665" s="1274"/>
      <c r="AB665" s="1229"/>
      <c r="AC665" s="1229"/>
      <c r="AD665" s="1229"/>
      <c r="AE665" s="1229"/>
      <c r="AF665" s="1274"/>
      <c r="AG665" s="1274"/>
      <c r="AH665" s="1229"/>
      <c r="AI665" s="1229"/>
      <c r="AJ665" s="1229"/>
      <c r="AK665" s="1229"/>
      <c r="AL665" s="1274"/>
      <c r="AM665" s="1274"/>
      <c r="AN665" s="1229"/>
      <c r="AO665" s="1229"/>
      <c r="AP665" s="1229"/>
      <c r="AQ665" s="1229"/>
      <c r="AR665" s="1274"/>
      <c r="AS665" s="1274"/>
      <c r="AT665" s="1229"/>
      <c r="AU665" s="1229"/>
      <c r="AV665" s="1229"/>
      <c r="AW665" s="1229"/>
      <c r="AX665" s="1274"/>
      <c r="AY665" s="1274"/>
      <c r="AZ665" s="1229"/>
      <c r="BA665" s="1229"/>
      <c r="BB665" s="1229"/>
      <c r="BC665" s="1229"/>
      <c r="BD665" s="1274"/>
      <c r="BE665" s="1274"/>
      <c r="BF665" s="1229"/>
      <c r="BG665" s="1229"/>
      <c r="BH665" s="1229"/>
      <c r="BI665" s="1222"/>
      <c r="BJ665" s="1350"/>
      <c r="BK665" s="1350"/>
      <c r="BL665" s="1222"/>
      <c r="BM665" s="1222"/>
      <c r="BN665" s="1222"/>
      <c r="BO665" s="1222"/>
    </row>
    <row r="666">
      <c r="A666" s="1222"/>
      <c r="B666" s="1229"/>
      <c r="C666" s="1349"/>
      <c r="D666" s="1229"/>
      <c r="E666" s="1229"/>
      <c r="F666" s="1229"/>
      <c r="G666" s="1229"/>
      <c r="H666" s="1229"/>
      <c r="I666" s="1229"/>
      <c r="J666" s="1229"/>
      <c r="K666" s="1229"/>
      <c r="L666" s="1229"/>
      <c r="M666" s="1229"/>
      <c r="N666" s="1274"/>
      <c r="O666" s="1274"/>
      <c r="P666" s="1229"/>
      <c r="Q666" s="1229"/>
      <c r="R666" s="1229"/>
      <c r="S666" s="1229"/>
      <c r="T666" s="1274"/>
      <c r="U666" s="1274"/>
      <c r="V666" s="1229"/>
      <c r="W666" s="1229"/>
      <c r="X666" s="1229"/>
      <c r="Y666" s="1229"/>
      <c r="Z666" s="1274"/>
      <c r="AA666" s="1274"/>
      <c r="AB666" s="1229"/>
      <c r="AC666" s="1229"/>
      <c r="AD666" s="1229"/>
      <c r="AE666" s="1229"/>
      <c r="AF666" s="1274"/>
      <c r="AG666" s="1274"/>
      <c r="AH666" s="1229"/>
      <c r="AI666" s="1229"/>
      <c r="AJ666" s="1229"/>
      <c r="AK666" s="1229"/>
      <c r="AL666" s="1274"/>
      <c r="AM666" s="1274"/>
      <c r="AN666" s="1229"/>
      <c r="AO666" s="1229"/>
      <c r="AP666" s="1229"/>
      <c r="AQ666" s="1229"/>
      <c r="AR666" s="1274"/>
      <c r="AS666" s="1274"/>
      <c r="AT666" s="1229"/>
      <c r="AU666" s="1229"/>
      <c r="AV666" s="1229"/>
      <c r="AW666" s="1229"/>
      <c r="AX666" s="1274"/>
      <c r="AY666" s="1274"/>
      <c r="AZ666" s="1229"/>
      <c r="BA666" s="1229"/>
      <c r="BB666" s="1229"/>
      <c r="BC666" s="1229"/>
      <c r="BD666" s="1274"/>
      <c r="BE666" s="1274"/>
      <c r="BF666" s="1229"/>
      <c r="BG666" s="1229"/>
      <c r="BH666" s="1229"/>
      <c r="BI666" s="1222"/>
      <c r="BJ666" s="1350"/>
      <c r="BK666" s="1350"/>
      <c r="BL666" s="1222"/>
      <c r="BM666" s="1222"/>
      <c r="BN666" s="1222"/>
      <c r="BO666" s="1222"/>
    </row>
    <row r="667">
      <c r="A667" s="1222"/>
      <c r="B667" s="1229"/>
      <c r="C667" s="1349"/>
      <c r="D667" s="1229"/>
      <c r="E667" s="1229"/>
      <c r="F667" s="1229"/>
      <c r="G667" s="1229"/>
      <c r="H667" s="1229"/>
      <c r="I667" s="1229"/>
      <c r="J667" s="1229"/>
      <c r="K667" s="1229"/>
      <c r="L667" s="1229"/>
      <c r="M667" s="1229"/>
      <c r="N667" s="1274"/>
      <c r="O667" s="1274"/>
      <c r="P667" s="1229"/>
      <c r="Q667" s="1229"/>
      <c r="R667" s="1229"/>
      <c r="S667" s="1229"/>
      <c r="T667" s="1274"/>
      <c r="U667" s="1274"/>
      <c r="V667" s="1229"/>
      <c r="W667" s="1229"/>
      <c r="X667" s="1229"/>
      <c r="Y667" s="1229"/>
      <c r="Z667" s="1274"/>
      <c r="AA667" s="1274"/>
      <c r="AB667" s="1229"/>
      <c r="AC667" s="1229"/>
      <c r="AD667" s="1229"/>
      <c r="AE667" s="1229"/>
      <c r="AF667" s="1274"/>
      <c r="AG667" s="1274"/>
      <c r="AH667" s="1229"/>
      <c r="AI667" s="1229"/>
      <c r="AJ667" s="1229"/>
      <c r="AK667" s="1229"/>
      <c r="AL667" s="1274"/>
      <c r="AM667" s="1274"/>
      <c r="AN667" s="1229"/>
      <c r="AO667" s="1229"/>
      <c r="AP667" s="1229"/>
      <c r="AQ667" s="1229"/>
      <c r="AR667" s="1274"/>
      <c r="AS667" s="1274"/>
      <c r="AT667" s="1229"/>
      <c r="AU667" s="1229"/>
      <c r="AV667" s="1229"/>
      <c r="AW667" s="1229"/>
      <c r="AX667" s="1274"/>
      <c r="AY667" s="1274"/>
      <c r="AZ667" s="1229"/>
      <c r="BA667" s="1229"/>
      <c r="BB667" s="1229"/>
      <c r="BC667" s="1229"/>
      <c r="BD667" s="1274"/>
      <c r="BE667" s="1274"/>
      <c r="BF667" s="1229"/>
      <c r="BG667" s="1229"/>
      <c r="BH667" s="1229"/>
      <c r="BI667" s="1222"/>
      <c r="BJ667" s="1350"/>
      <c r="BK667" s="1350"/>
      <c r="BL667" s="1222"/>
      <c r="BM667" s="1222"/>
      <c r="BN667" s="1222"/>
      <c r="BO667" s="1222"/>
    </row>
    <row r="668">
      <c r="A668" s="1222"/>
      <c r="B668" s="1229"/>
      <c r="C668" s="1349"/>
      <c r="D668" s="1229"/>
      <c r="E668" s="1229"/>
      <c r="F668" s="1229"/>
      <c r="G668" s="1229"/>
      <c r="H668" s="1229"/>
      <c r="I668" s="1229"/>
      <c r="J668" s="1229"/>
      <c r="K668" s="1229"/>
      <c r="L668" s="1229"/>
      <c r="M668" s="1229"/>
      <c r="N668" s="1274"/>
      <c r="O668" s="1274"/>
      <c r="P668" s="1229"/>
      <c r="Q668" s="1229"/>
      <c r="R668" s="1229"/>
      <c r="S668" s="1229"/>
      <c r="T668" s="1274"/>
      <c r="U668" s="1274"/>
      <c r="V668" s="1229"/>
      <c r="W668" s="1229"/>
      <c r="X668" s="1229"/>
      <c r="Y668" s="1229"/>
      <c r="Z668" s="1274"/>
      <c r="AA668" s="1274"/>
      <c r="AB668" s="1229"/>
      <c r="AC668" s="1229"/>
      <c r="AD668" s="1229"/>
      <c r="AE668" s="1229"/>
      <c r="AF668" s="1274"/>
      <c r="AG668" s="1274"/>
      <c r="AH668" s="1229"/>
      <c r="AI668" s="1229"/>
      <c r="AJ668" s="1229"/>
      <c r="AK668" s="1229"/>
      <c r="AL668" s="1274"/>
      <c r="AM668" s="1274"/>
      <c r="AN668" s="1229"/>
      <c r="AO668" s="1229"/>
      <c r="AP668" s="1229"/>
      <c r="AQ668" s="1229"/>
      <c r="AR668" s="1274"/>
      <c r="AS668" s="1274"/>
      <c r="AT668" s="1229"/>
      <c r="AU668" s="1229"/>
      <c r="AV668" s="1229"/>
      <c r="AW668" s="1229"/>
      <c r="AX668" s="1274"/>
      <c r="AY668" s="1274"/>
      <c r="AZ668" s="1229"/>
      <c r="BA668" s="1229"/>
      <c r="BB668" s="1229"/>
      <c r="BC668" s="1229"/>
      <c r="BD668" s="1274"/>
      <c r="BE668" s="1274"/>
      <c r="BF668" s="1229"/>
      <c r="BG668" s="1229"/>
      <c r="BH668" s="1229"/>
      <c r="BI668" s="1222"/>
      <c r="BJ668" s="1350"/>
      <c r="BK668" s="1350"/>
      <c r="BL668" s="1222"/>
      <c r="BM668" s="1222"/>
      <c r="BN668" s="1222"/>
      <c r="BO668" s="1222"/>
    </row>
    <row r="669">
      <c r="A669" s="1222"/>
      <c r="B669" s="1229"/>
      <c r="C669" s="1349"/>
      <c r="D669" s="1229"/>
      <c r="E669" s="1229"/>
      <c r="F669" s="1229"/>
      <c r="G669" s="1229"/>
      <c r="H669" s="1229"/>
      <c r="I669" s="1229"/>
      <c r="J669" s="1229"/>
      <c r="K669" s="1229"/>
      <c r="L669" s="1229"/>
      <c r="M669" s="1229"/>
      <c r="N669" s="1274"/>
      <c r="O669" s="1274"/>
      <c r="P669" s="1229"/>
      <c r="Q669" s="1229"/>
      <c r="R669" s="1229"/>
      <c r="S669" s="1229"/>
      <c r="T669" s="1274"/>
      <c r="U669" s="1274"/>
      <c r="V669" s="1229"/>
      <c r="W669" s="1229"/>
      <c r="X669" s="1229"/>
      <c r="Y669" s="1229"/>
      <c r="Z669" s="1274"/>
      <c r="AA669" s="1274"/>
      <c r="AB669" s="1229"/>
      <c r="AC669" s="1229"/>
      <c r="AD669" s="1229"/>
      <c r="AE669" s="1229"/>
      <c r="AF669" s="1274"/>
      <c r="AG669" s="1274"/>
      <c r="AH669" s="1229"/>
      <c r="AI669" s="1229"/>
      <c r="AJ669" s="1229"/>
      <c r="AK669" s="1229"/>
      <c r="AL669" s="1274"/>
      <c r="AM669" s="1274"/>
      <c r="AN669" s="1229"/>
      <c r="AO669" s="1229"/>
      <c r="AP669" s="1229"/>
      <c r="AQ669" s="1229"/>
      <c r="AR669" s="1274"/>
      <c r="AS669" s="1274"/>
      <c r="AT669" s="1229"/>
      <c r="AU669" s="1229"/>
      <c r="AV669" s="1229"/>
      <c r="AW669" s="1229"/>
      <c r="AX669" s="1274"/>
      <c r="AY669" s="1274"/>
      <c r="AZ669" s="1229"/>
      <c r="BA669" s="1229"/>
      <c r="BB669" s="1229"/>
      <c r="BC669" s="1229"/>
      <c r="BD669" s="1274"/>
      <c r="BE669" s="1274"/>
      <c r="BF669" s="1229"/>
      <c r="BG669" s="1229"/>
      <c r="BH669" s="1229"/>
      <c r="BI669" s="1222"/>
      <c r="BJ669" s="1350"/>
      <c r="BK669" s="1350"/>
      <c r="BL669" s="1222"/>
      <c r="BM669" s="1222"/>
      <c r="BN669" s="1222"/>
      <c r="BO669" s="1222"/>
    </row>
    <row r="670">
      <c r="A670" s="1222"/>
      <c r="B670" s="1229"/>
      <c r="C670" s="1349"/>
      <c r="D670" s="1229"/>
      <c r="E670" s="1229"/>
      <c r="F670" s="1229"/>
      <c r="G670" s="1229"/>
      <c r="H670" s="1229"/>
      <c r="I670" s="1229"/>
      <c r="J670" s="1229"/>
      <c r="K670" s="1229"/>
      <c r="L670" s="1229"/>
      <c r="M670" s="1229"/>
      <c r="N670" s="1274"/>
      <c r="O670" s="1274"/>
      <c r="P670" s="1229"/>
      <c r="Q670" s="1229"/>
      <c r="R670" s="1229"/>
      <c r="S670" s="1229"/>
      <c r="T670" s="1274"/>
      <c r="U670" s="1274"/>
      <c r="V670" s="1229"/>
      <c r="W670" s="1229"/>
      <c r="X670" s="1229"/>
      <c r="Y670" s="1229"/>
      <c r="Z670" s="1274"/>
      <c r="AA670" s="1274"/>
      <c r="AB670" s="1229"/>
      <c r="AC670" s="1229"/>
      <c r="AD670" s="1229"/>
      <c r="AE670" s="1229"/>
      <c r="AF670" s="1274"/>
      <c r="AG670" s="1274"/>
      <c r="AH670" s="1229"/>
      <c r="AI670" s="1229"/>
      <c r="AJ670" s="1229"/>
      <c r="AK670" s="1229"/>
      <c r="AL670" s="1274"/>
      <c r="AM670" s="1274"/>
      <c r="AN670" s="1229"/>
      <c r="AO670" s="1229"/>
      <c r="AP670" s="1229"/>
      <c r="AQ670" s="1229"/>
      <c r="AR670" s="1274"/>
      <c r="AS670" s="1274"/>
      <c r="AT670" s="1229"/>
      <c r="AU670" s="1229"/>
      <c r="AV670" s="1229"/>
      <c r="AW670" s="1229"/>
      <c r="AX670" s="1274"/>
      <c r="AY670" s="1274"/>
      <c r="AZ670" s="1229"/>
      <c r="BA670" s="1229"/>
      <c r="BB670" s="1229"/>
      <c r="BC670" s="1229"/>
      <c r="BD670" s="1274"/>
      <c r="BE670" s="1274"/>
      <c r="BF670" s="1229"/>
      <c r="BG670" s="1229"/>
      <c r="BH670" s="1229"/>
      <c r="BI670" s="1222"/>
      <c r="BJ670" s="1350"/>
      <c r="BK670" s="1350"/>
      <c r="BL670" s="1222"/>
      <c r="BM670" s="1222"/>
      <c r="BN670" s="1222"/>
      <c r="BO670" s="1222"/>
    </row>
    <row r="671">
      <c r="A671" s="1222"/>
      <c r="B671" s="1229"/>
      <c r="C671" s="1349"/>
      <c r="D671" s="1229"/>
      <c r="E671" s="1229"/>
      <c r="F671" s="1229"/>
      <c r="G671" s="1229"/>
      <c r="H671" s="1229"/>
      <c r="I671" s="1229"/>
      <c r="J671" s="1229"/>
      <c r="K671" s="1229"/>
      <c r="L671" s="1229"/>
      <c r="M671" s="1229"/>
      <c r="N671" s="1274"/>
      <c r="O671" s="1274"/>
      <c r="P671" s="1229"/>
      <c r="Q671" s="1229"/>
      <c r="R671" s="1229"/>
      <c r="S671" s="1229"/>
      <c r="T671" s="1274"/>
      <c r="U671" s="1274"/>
      <c r="V671" s="1229"/>
      <c r="W671" s="1229"/>
      <c r="X671" s="1229"/>
      <c r="Y671" s="1229"/>
      <c r="Z671" s="1274"/>
      <c r="AA671" s="1274"/>
      <c r="AB671" s="1229"/>
      <c r="AC671" s="1229"/>
      <c r="AD671" s="1229"/>
      <c r="AE671" s="1229"/>
      <c r="AF671" s="1274"/>
      <c r="AG671" s="1274"/>
      <c r="AH671" s="1229"/>
      <c r="AI671" s="1229"/>
      <c r="AJ671" s="1229"/>
      <c r="AK671" s="1229"/>
      <c r="AL671" s="1274"/>
      <c r="AM671" s="1274"/>
      <c r="AN671" s="1229"/>
      <c r="AO671" s="1229"/>
      <c r="AP671" s="1229"/>
      <c r="AQ671" s="1229"/>
      <c r="AR671" s="1274"/>
      <c r="AS671" s="1274"/>
      <c r="AT671" s="1229"/>
      <c r="AU671" s="1229"/>
      <c r="AV671" s="1229"/>
      <c r="AW671" s="1229"/>
      <c r="AX671" s="1274"/>
      <c r="AY671" s="1274"/>
      <c r="AZ671" s="1229"/>
      <c r="BA671" s="1229"/>
      <c r="BB671" s="1229"/>
      <c r="BC671" s="1229"/>
      <c r="BD671" s="1274"/>
      <c r="BE671" s="1274"/>
      <c r="BF671" s="1229"/>
      <c r="BG671" s="1229"/>
      <c r="BH671" s="1229"/>
      <c r="BI671" s="1222"/>
      <c r="BJ671" s="1350"/>
      <c r="BK671" s="1350"/>
      <c r="BL671" s="1222"/>
      <c r="BM671" s="1222"/>
      <c r="BN671" s="1222"/>
      <c r="BO671" s="1222"/>
    </row>
    <row r="672">
      <c r="A672" s="1222"/>
      <c r="B672" s="1229"/>
      <c r="C672" s="1349"/>
      <c r="D672" s="1229"/>
      <c r="E672" s="1229"/>
      <c r="F672" s="1229"/>
      <c r="G672" s="1229"/>
      <c r="H672" s="1229"/>
      <c r="I672" s="1229"/>
      <c r="J672" s="1229"/>
      <c r="K672" s="1229"/>
      <c r="L672" s="1229"/>
      <c r="M672" s="1229"/>
      <c r="N672" s="1274"/>
      <c r="O672" s="1274"/>
      <c r="P672" s="1229"/>
      <c r="Q672" s="1229"/>
      <c r="R672" s="1229"/>
      <c r="S672" s="1229"/>
      <c r="T672" s="1274"/>
      <c r="U672" s="1274"/>
      <c r="V672" s="1229"/>
      <c r="W672" s="1229"/>
      <c r="X672" s="1229"/>
      <c r="Y672" s="1229"/>
      <c r="Z672" s="1274"/>
      <c r="AA672" s="1274"/>
      <c r="AB672" s="1229"/>
      <c r="AC672" s="1229"/>
      <c r="AD672" s="1229"/>
      <c r="AE672" s="1229"/>
      <c r="AF672" s="1274"/>
      <c r="AG672" s="1274"/>
      <c r="AH672" s="1229"/>
      <c r="AI672" s="1229"/>
      <c r="AJ672" s="1229"/>
      <c r="AK672" s="1229"/>
      <c r="AL672" s="1274"/>
      <c r="AM672" s="1274"/>
      <c r="AN672" s="1229"/>
      <c r="AO672" s="1229"/>
      <c r="AP672" s="1229"/>
      <c r="AQ672" s="1229"/>
      <c r="AR672" s="1274"/>
      <c r="AS672" s="1274"/>
      <c r="AT672" s="1229"/>
      <c r="AU672" s="1229"/>
      <c r="AV672" s="1229"/>
      <c r="AW672" s="1229"/>
      <c r="AX672" s="1274"/>
      <c r="AY672" s="1274"/>
      <c r="AZ672" s="1229"/>
      <c r="BA672" s="1229"/>
      <c r="BB672" s="1229"/>
      <c r="BC672" s="1229"/>
      <c r="BD672" s="1274"/>
      <c r="BE672" s="1274"/>
      <c r="BF672" s="1229"/>
      <c r="BG672" s="1229"/>
      <c r="BH672" s="1229"/>
      <c r="BI672" s="1222"/>
      <c r="BJ672" s="1350"/>
      <c r="BK672" s="1350"/>
      <c r="BL672" s="1222"/>
      <c r="BM672" s="1222"/>
      <c r="BN672" s="1222"/>
      <c r="BO672" s="1222"/>
    </row>
    <row r="673">
      <c r="A673" s="1222"/>
      <c r="B673" s="1229"/>
      <c r="C673" s="1349"/>
      <c r="D673" s="1229"/>
      <c r="E673" s="1229"/>
      <c r="F673" s="1229"/>
      <c r="G673" s="1229"/>
      <c r="H673" s="1229"/>
      <c r="I673" s="1229"/>
      <c r="J673" s="1229"/>
      <c r="K673" s="1229"/>
      <c r="L673" s="1229"/>
      <c r="M673" s="1229"/>
      <c r="N673" s="1274"/>
      <c r="O673" s="1274"/>
      <c r="P673" s="1229"/>
      <c r="Q673" s="1229"/>
      <c r="R673" s="1229"/>
      <c r="S673" s="1229"/>
      <c r="T673" s="1274"/>
      <c r="U673" s="1274"/>
      <c r="V673" s="1229"/>
      <c r="W673" s="1229"/>
      <c r="X673" s="1229"/>
      <c r="Y673" s="1229"/>
      <c r="Z673" s="1274"/>
      <c r="AA673" s="1274"/>
      <c r="AB673" s="1229"/>
      <c r="AC673" s="1229"/>
      <c r="AD673" s="1229"/>
      <c r="AE673" s="1229"/>
      <c r="AF673" s="1274"/>
      <c r="AG673" s="1274"/>
      <c r="AH673" s="1229"/>
      <c r="AI673" s="1229"/>
      <c r="AJ673" s="1229"/>
      <c r="AK673" s="1229"/>
      <c r="AL673" s="1274"/>
      <c r="AM673" s="1274"/>
      <c r="AN673" s="1229"/>
      <c r="AO673" s="1229"/>
      <c r="AP673" s="1229"/>
      <c r="AQ673" s="1229"/>
      <c r="AR673" s="1274"/>
      <c r="AS673" s="1274"/>
      <c r="AT673" s="1229"/>
      <c r="AU673" s="1229"/>
      <c r="AV673" s="1229"/>
      <c r="AW673" s="1229"/>
      <c r="AX673" s="1274"/>
      <c r="AY673" s="1274"/>
      <c r="AZ673" s="1229"/>
      <c r="BA673" s="1229"/>
      <c r="BB673" s="1229"/>
      <c r="BC673" s="1229"/>
      <c r="BD673" s="1274"/>
      <c r="BE673" s="1274"/>
      <c r="BF673" s="1229"/>
      <c r="BG673" s="1229"/>
      <c r="BH673" s="1229"/>
      <c r="BI673" s="1222"/>
      <c r="BJ673" s="1350"/>
      <c r="BK673" s="1350"/>
      <c r="BL673" s="1222"/>
      <c r="BM673" s="1222"/>
      <c r="BN673" s="1222"/>
      <c r="BO673" s="1222"/>
    </row>
    <row r="674">
      <c r="A674" s="1222"/>
      <c r="B674" s="1229"/>
      <c r="C674" s="1349"/>
      <c r="D674" s="1229"/>
      <c r="E674" s="1229"/>
      <c r="F674" s="1229"/>
      <c r="G674" s="1229"/>
      <c r="H674" s="1229"/>
      <c r="I674" s="1229"/>
      <c r="J674" s="1229"/>
      <c r="K674" s="1229"/>
      <c r="L674" s="1229"/>
      <c r="M674" s="1229"/>
      <c r="N674" s="1274"/>
      <c r="O674" s="1274"/>
      <c r="P674" s="1229"/>
      <c r="Q674" s="1229"/>
      <c r="R674" s="1229"/>
      <c r="S674" s="1229"/>
      <c r="T674" s="1274"/>
      <c r="U674" s="1274"/>
      <c r="V674" s="1229"/>
      <c r="W674" s="1229"/>
      <c r="X674" s="1229"/>
      <c r="Y674" s="1229"/>
      <c r="Z674" s="1274"/>
      <c r="AA674" s="1274"/>
      <c r="AB674" s="1229"/>
      <c r="AC674" s="1229"/>
      <c r="AD674" s="1229"/>
      <c r="AE674" s="1229"/>
      <c r="AF674" s="1274"/>
      <c r="AG674" s="1274"/>
      <c r="AH674" s="1229"/>
      <c r="AI674" s="1229"/>
      <c r="AJ674" s="1229"/>
      <c r="AK674" s="1229"/>
      <c r="AL674" s="1274"/>
      <c r="AM674" s="1274"/>
      <c r="AN674" s="1229"/>
      <c r="AO674" s="1229"/>
      <c r="AP674" s="1229"/>
      <c r="AQ674" s="1229"/>
      <c r="AR674" s="1274"/>
      <c r="AS674" s="1274"/>
      <c r="AT674" s="1229"/>
      <c r="AU674" s="1229"/>
      <c r="AV674" s="1229"/>
      <c r="AW674" s="1229"/>
      <c r="AX674" s="1274"/>
      <c r="AY674" s="1274"/>
      <c r="AZ674" s="1229"/>
      <c r="BA674" s="1229"/>
      <c r="BB674" s="1229"/>
      <c r="BC674" s="1229"/>
      <c r="BD674" s="1274"/>
      <c r="BE674" s="1274"/>
      <c r="BF674" s="1229"/>
      <c r="BG674" s="1229"/>
      <c r="BH674" s="1229"/>
      <c r="BI674" s="1222"/>
      <c r="BJ674" s="1350"/>
      <c r="BK674" s="1350"/>
      <c r="BL674" s="1222"/>
      <c r="BM674" s="1222"/>
      <c r="BN674" s="1222"/>
      <c r="BO674" s="1222"/>
    </row>
    <row r="675">
      <c r="A675" s="1222"/>
      <c r="B675" s="1229"/>
      <c r="C675" s="1349"/>
      <c r="D675" s="1229"/>
      <c r="E675" s="1229"/>
      <c r="F675" s="1229"/>
      <c r="G675" s="1229"/>
      <c r="H675" s="1229"/>
      <c r="I675" s="1229"/>
      <c r="J675" s="1229"/>
      <c r="K675" s="1229"/>
      <c r="L675" s="1229"/>
      <c r="M675" s="1229"/>
      <c r="N675" s="1274"/>
      <c r="O675" s="1274"/>
      <c r="P675" s="1229"/>
      <c r="Q675" s="1229"/>
      <c r="R675" s="1229"/>
      <c r="S675" s="1229"/>
      <c r="T675" s="1274"/>
      <c r="U675" s="1274"/>
      <c r="V675" s="1229"/>
      <c r="W675" s="1229"/>
      <c r="X675" s="1229"/>
      <c r="Y675" s="1229"/>
      <c r="Z675" s="1274"/>
      <c r="AA675" s="1274"/>
      <c r="AB675" s="1229"/>
      <c r="AC675" s="1229"/>
      <c r="AD675" s="1229"/>
      <c r="AE675" s="1229"/>
      <c r="AF675" s="1274"/>
      <c r="AG675" s="1274"/>
      <c r="AH675" s="1229"/>
      <c r="AI675" s="1229"/>
      <c r="AJ675" s="1229"/>
      <c r="AK675" s="1229"/>
      <c r="AL675" s="1274"/>
      <c r="AM675" s="1274"/>
      <c r="AN675" s="1229"/>
      <c r="AO675" s="1229"/>
      <c r="AP675" s="1229"/>
      <c r="AQ675" s="1229"/>
      <c r="AR675" s="1274"/>
      <c r="AS675" s="1274"/>
      <c r="AT675" s="1229"/>
      <c r="AU675" s="1229"/>
      <c r="AV675" s="1229"/>
      <c r="AW675" s="1229"/>
      <c r="AX675" s="1274"/>
      <c r="AY675" s="1274"/>
      <c r="AZ675" s="1229"/>
      <c r="BA675" s="1229"/>
      <c r="BB675" s="1229"/>
      <c r="BC675" s="1229"/>
      <c r="BD675" s="1274"/>
      <c r="BE675" s="1274"/>
      <c r="BF675" s="1229"/>
      <c r="BG675" s="1229"/>
      <c r="BH675" s="1229"/>
      <c r="BI675" s="1222"/>
      <c r="BJ675" s="1350"/>
      <c r="BK675" s="1350"/>
      <c r="BL675" s="1222"/>
      <c r="BM675" s="1222"/>
      <c r="BN675" s="1222"/>
      <c r="BO675" s="1222"/>
    </row>
    <row r="676">
      <c r="A676" s="1222"/>
      <c r="B676" s="1229"/>
      <c r="C676" s="1349"/>
      <c r="D676" s="1229"/>
      <c r="E676" s="1229"/>
      <c r="F676" s="1229"/>
      <c r="G676" s="1229"/>
      <c r="H676" s="1229"/>
      <c r="I676" s="1229"/>
      <c r="J676" s="1229"/>
      <c r="K676" s="1229"/>
      <c r="L676" s="1229"/>
      <c r="M676" s="1229"/>
      <c r="N676" s="1274"/>
      <c r="O676" s="1274"/>
      <c r="P676" s="1229"/>
      <c r="Q676" s="1229"/>
      <c r="R676" s="1229"/>
      <c r="S676" s="1229"/>
      <c r="T676" s="1274"/>
      <c r="U676" s="1274"/>
      <c r="V676" s="1229"/>
      <c r="W676" s="1229"/>
      <c r="X676" s="1229"/>
      <c r="Y676" s="1229"/>
      <c r="Z676" s="1274"/>
      <c r="AA676" s="1274"/>
      <c r="AB676" s="1229"/>
      <c r="AC676" s="1229"/>
      <c r="AD676" s="1229"/>
      <c r="AE676" s="1229"/>
      <c r="AF676" s="1274"/>
      <c r="AG676" s="1274"/>
      <c r="AH676" s="1229"/>
      <c r="AI676" s="1229"/>
      <c r="AJ676" s="1229"/>
      <c r="AK676" s="1229"/>
      <c r="AL676" s="1274"/>
      <c r="AM676" s="1274"/>
      <c r="AN676" s="1229"/>
      <c r="AO676" s="1229"/>
      <c r="AP676" s="1229"/>
      <c r="AQ676" s="1229"/>
      <c r="AR676" s="1274"/>
      <c r="AS676" s="1274"/>
      <c r="AT676" s="1229"/>
      <c r="AU676" s="1229"/>
      <c r="AV676" s="1229"/>
      <c r="AW676" s="1229"/>
      <c r="AX676" s="1274"/>
      <c r="AY676" s="1274"/>
      <c r="AZ676" s="1229"/>
      <c r="BA676" s="1229"/>
      <c r="BB676" s="1229"/>
      <c r="BC676" s="1229"/>
      <c r="BD676" s="1274"/>
      <c r="BE676" s="1274"/>
      <c r="BF676" s="1229"/>
      <c r="BG676" s="1229"/>
      <c r="BH676" s="1229"/>
      <c r="BI676" s="1222"/>
      <c r="BJ676" s="1350"/>
      <c r="BK676" s="1350"/>
      <c r="BL676" s="1222"/>
      <c r="BM676" s="1222"/>
      <c r="BN676" s="1222"/>
      <c r="BO676" s="1222"/>
    </row>
    <row r="677">
      <c r="A677" s="1222"/>
      <c r="B677" s="1229"/>
      <c r="C677" s="1349"/>
      <c r="D677" s="1229"/>
      <c r="E677" s="1229"/>
      <c r="F677" s="1229"/>
      <c r="G677" s="1229"/>
      <c r="H677" s="1229"/>
      <c r="I677" s="1229"/>
      <c r="J677" s="1229"/>
      <c r="K677" s="1229"/>
      <c r="L677" s="1229"/>
      <c r="M677" s="1229"/>
      <c r="N677" s="1274"/>
      <c r="O677" s="1274"/>
      <c r="P677" s="1229"/>
      <c r="Q677" s="1229"/>
      <c r="R677" s="1229"/>
      <c r="S677" s="1229"/>
      <c r="T677" s="1274"/>
      <c r="U677" s="1274"/>
      <c r="V677" s="1229"/>
      <c r="W677" s="1229"/>
      <c r="X677" s="1229"/>
      <c r="Y677" s="1229"/>
      <c r="Z677" s="1274"/>
      <c r="AA677" s="1274"/>
      <c r="AB677" s="1229"/>
      <c r="AC677" s="1229"/>
      <c r="AD677" s="1229"/>
      <c r="AE677" s="1229"/>
      <c r="AF677" s="1274"/>
      <c r="AG677" s="1274"/>
      <c r="AH677" s="1229"/>
      <c r="AI677" s="1229"/>
      <c r="AJ677" s="1229"/>
      <c r="AK677" s="1229"/>
      <c r="AL677" s="1274"/>
      <c r="AM677" s="1274"/>
      <c r="AN677" s="1229"/>
      <c r="AO677" s="1229"/>
      <c r="AP677" s="1229"/>
      <c r="AQ677" s="1229"/>
      <c r="AR677" s="1274"/>
      <c r="AS677" s="1274"/>
      <c r="AT677" s="1229"/>
      <c r="AU677" s="1229"/>
      <c r="AV677" s="1229"/>
      <c r="AW677" s="1229"/>
      <c r="AX677" s="1274"/>
      <c r="AY677" s="1274"/>
      <c r="AZ677" s="1229"/>
      <c r="BA677" s="1229"/>
      <c r="BB677" s="1229"/>
      <c r="BC677" s="1229"/>
      <c r="BD677" s="1274"/>
      <c r="BE677" s="1274"/>
      <c r="BF677" s="1229"/>
      <c r="BG677" s="1229"/>
      <c r="BH677" s="1229"/>
      <c r="BI677" s="1222"/>
      <c r="BJ677" s="1350"/>
      <c r="BK677" s="1350"/>
      <c r="BL677" s="1222"/>
      <c r="BM677" s="1222"/>
      <c r="BN677" s="1222"/>
      <c r="BO677" s="1222"/>
    </row>
    <row r="678">
      <c r="A678" s="1222"/>
      <c r="B678" s="1229"/>
      <c r="C678" s="1349"/>
      <c r="D678" s="1229"/>
      <c r="E678" s="1229"/>
      <c r="F678" s="1229"/>
      <c r="G678" s="1229"/>
      <c r="H678" s="1229"/>
      <c r="I678" s="1229"/>
      <c r="J678" s="1229"/>
      <c r="K678" s="1229"/>
      <c r="L678" s="1229"/>
      <c r="M678" s="1229"/>
      <c r="N678" s="1274"/>
      <c r="O678" s="1274"/>
      <c r="P678" s="1229"/>
      <c r="Q678" s="1229"/>
      <c r="R678" s="1229"/>
      <c r="S678" s="1229"/>
      <c r="T678" s="1274"/>
      <c r="U678" s="1274"/>
      <c r="V678" s="1229"/>
      <c r="W678" s="1229"/>
      <c r="X678" s="1229"/>
      <c r="Y678" s="1229"/>
      <c r="Z678" s="1274"/>
      <c r="AA678" s="1274"/>
      <c r="AB678" s="1229"/>
      <c r="AC678" s="1229"/>
      <c r="AD678" s="1229"/>
      <c r="AE678" s="1229"/>
      <c r="AF678" s="1274"/>
      <c r="AG678" s="1274"/>
      <c r="AH678" s="1229"/>
      <c r="AI678" s="1229"/>
      <c r="AJ678" s="1229"/>
      <c r="AK678" s="1229"/>
      <c r="AL678" s="1274"/>
      <c r="AM678" s="1274"/>
      <c r="AN678" s="1229"/>
      <c r="AO678" s="1229"/>
      <c r="AP678" s="1229"/>
      <c r="AQ678" s="1229"/>
      <c r="AR678" s="1274"/>
      <c r="AS678" s="1274"/>
      <c r="AT678" s="1229"/>
      <c r="AU678" s="1229"/>
      <c r="AV678" s="1229"/>
      <c r="AW678" s="1229"/>
      <c r="AX678" s="1274"/>
      <c r="AY678" s="1274"/>
      <c r="AZ678" s="1229"/>
      <c r="BA678" s="1229"/>
      <c r="BB678" s="1229"/>
      <c r="BC678" s="1229"/>
      <c r="BD678" s="1274"/>
      <c r="BE678" s="1274"/>
      <c r="BF678" s="1229"/>
      <c r="BG678" s="1229"/>
      <c r="BH678" s="1229"/>
      <c r="BI678" s="1222"/>
      <c r="BJ678" s="1350"/>
      <c r="BK678" s="1350"/>
      <c r="BL678" s="1222"/>
      <c r="BM678" s="1222"/>
      <c r="BN678" s="1222"/>
      <c r="BO678" s="1222"/>
    </row>
    <row r="679">
      <c r="A679" s="1222"/>
      <c r="B679" s="1229"/>
      <c r="C679" s="1349"/>
      <c r="D679" s="1229"/>
      <c r="E679" s="1229"/>
      <c r="F679" s="1229"/>
      <c r="G679" s="1229"/>
      <c r="H679" s="1229"/>
      <c r="I679" s="1229"/>
      <c r="J679" s="1229"/>
      <c r="K679" s="1229"/>
      <c r="L679" s="1229"/>
      <c r="M679" s="1229"/>
      <c r="N679" s="1274"/>
      <c r="O679" s="1274"/>
      <c r="P679" s="1229"/>
      <c r="Q679" s="1229"/>
      <c r="R679" s="1229"/>
      <c r="S679" s="1229"/>
      <c r="T679" s="1274"/>
      <c r="U679" s="1274"/>
      <c r="V679" s="1229"/>
      <c r="W679" s="1229"/>
      <c r="X679" s="1229"/>
      <c r="Y679" s="1229"/>
      <c r="Z679" s="1274"/>
      <c r="AA679" s="1274"/>
      <c r="AB679" s="1229"/>
      <c r="AC679" s="1229"/>
      <c r="AD679" s="1229"/>
      <c r="AE679" s="1229"/>
      <c r="AF679" s="1274"/>
      <c r="AG679" s="1274"/>
      <c r="AH679" s="1229"/>
      <c r="AI679" s="1229"/>
      <c r="AJ679" s="1229"/>
      <c r="AK679" s="1229"/>
      <c r="AL679" s="1274"/>
      <c r="AM679" s="1274"/>
      <c r="AN679" s="1229"/>
      <c r="AO679" s="1229"/>
      <c r="AP679" s="1229"/>
      <c r="AQ679" s="1229"/>
      <c r="AR679" s="1274"/>
      <c r="AS679" s="1274"/>
      <c r="AT679" s="1229"/>
      <c r="AU679" s="1229"/>
      <c r="AV679" s="1229"/>
      <c r="AW679" s="1229"/>
      <c r="AX679" s="1274"/>
      <c r="AY679" s="1274"/>
      <c r="AZ679" s="1229"/>
      <c r="BA679" s="1229"/>
      <c r="BB679" s="1229"/>
      <c r="BC679" s="1229"/>
      <c r="BD679" s="1274"/>
      <c r="BE679" s="1274"/>
      <c r="BF679" s="1229"/>
      <c r="BG679" s="1229"/>
      <c r="BH679" s="1229"/>
      <c r="BI679" s="1222"/>
      <c r="BJ679" s="1350"/>
      <c r="BK679" s="1350"/>
      <c r="BL679" s="1222"/>
      <c r="BM679" s="1222"/>
      <c r="BN679" s="1222"/>
      <c r="BO679" s="1222"/>
    </row>
    <row r="680">
      <c r="A680" s="1222"/>
      <c r="B680" s="1229"/>
      <c r="C680" s="1349"/>
      <c r="D680" s="1229"/>
      <c r="E680" s="1229"/>
      <c r="F680" s="1229"/>
      <c r="G680" s="1229"/>
      <c r="H680" s="1229"/>
      <c r="I680" s="1229"/>
      <c r="J680" s="1229"/>
      <c r="K680" s="1229"/>
      <c r="L680" s="1229"/>
      <c r="M680" s="1229"/>
      <c r="N680" s="1274"/>
      <c r="O680" s="1274"/>
      <c r="P680" s="1229"/>
      <c r="Q680" s="1229"/>
      <c r="R680" s="1229"/>
      <c r="S680" s="1229"/>
      <c r="T680" s="1274"/>
      <c r="U680" s="1274"/>
      <c r="V680" s="1229"/>
      <c r="W680" s="1229"/>
      <c r="X680" s="1229"/>
      <c r="Y680" s="1229"/>
      <c r="Z680" s="1274"/>
      <c r="AA680" s="1274"/>
      <c r="AB680" s="1229"/>
      <c r="AC680" s="1229"/>
      <c r="AD680" s="1229"/>
      <c r="AE680" s="1229"/>
      <c r="AF680" s="1274"/>
      <c r="AG680" s="1274"/>
      <c r="AH680" s="1229"/>
      <c r="AI680" s="1229"/>
      <c r="AJ680" s="1229"/>
      <c r="AK680" s="1229"/>
      <c r="AL680" s="1274"/>
      <c r="AM680" s="1274"/>
      <c r="AN680" s="1229"/>
      <c r="AO680" s="1229"/>
      <c r="AP680" s="1229"/>
      <c r="AQ680" s="1229"/>
      <c r="AR680" s="1274"/>
      <c r="AS680" s="1274"/>
      <c r="AT680" s="1229"/>
      <c r="AU680" s="1229"/>
      <c r="AV680" s="1229"/>
      <c r="AW680" s="1229"/>
      <c r="AX680" s="1274"/>
      <c r="AY680" s="1274"/>
      <c r="AZ680" s="1229"/>
      <c r="BA680" s="1229"/>
      <c r="BB680" s="1229"/>
      <c r="BC680" s="1229"/>
      <c r="BD680" s="1274"/>
      <c r="BE680" s="1274"/>
      <c r="BF680" s="1229"/>
      <c r="BG680" s="1229"/>
      <c r="BH680" s="1229"/>
      <c r="BI680" s="1222"/>
      <c r="BJ680" s="1350"/>
      <c r="BK680" s="1350"/>
      <c r="BL680" s="1222"/>
      <c r="BM680" s="1222"/>
      <c r="BN680" s="1222"/>
      <c r="BO680" s="1222"/>
    </row>
    <row r="681">
      <c r="A681" s="1222"/>
      <c r="B681" s="1229"/>
      <c r="C681" s="1349"/>
      <c r="D681" s="1229"/>
      <c r="E681" s="1229"/>
      <c r="F681" s="1229"/>
      <c r="G681" s="1229"/>
      <c r="H681" s="1229"/>
      <c r="I681" s="1229"/>
      <c r="J681" s="1229"/>
      <c r="K681" s="1229"/>
      <c r="L681" s="1229"/>
      <c r="M681" s="1229"/>
      <c r="N681" s="1274"/>
      <c r="O681" s="1274"/>
      <c r="P681" s="1229"/>
      <c r="Q681" s="1229"/>
      <c r="R681" s="1229"/>
      <c r="S681" s="1229"/>
      <c r="T681" s="1274"/>
      <c r="U681" s="1274"/>
      <c r="V681" s="1229"/>
      <c r="W681" s="1229"/>
      <c r="X681" s="1229"/>
      <c r="Y681" s="1229"/>
      <c r="Z681" s="1274"/>
      <c r="AA681" s="1274"/>
      <c r="AB681" s="1229"/>
      <c r="AC681" s="1229"/>
      <c r="AD681" s="1229"/>
      <c r="AE681" s="1229"/>
      <c r="AF681" s="1274"/>
      <c r="AG681" s="1274"/>
      <c r="AH681" s="1229"/>
      <c r="AI681" s="1229"/>
      <c r="AJ681" s="1229"/>
      <c r="AK681" s="1229"/>
      <c r="AL681" s="1274"/>
      <c r="AM681" s="1274"/>
      <c r="AN681" s="1229"/>
      <c r="AO681" s="1229"/>
      <c r="AP681" s="1229"/>
      <c r="AQ681" s="1229"/>
      <c r="AR681" s="1274"/>
      <c r="AS681" s="1274"/>
      <c r="AT681" s="1229"/>
      <c r="AU681" s="1229"/>
      <c r="AV681" s="1229"/>
      <c r="AW681" s="1229"/>
      <c r="AX681" s="1274"/>
      <c r="AY681" s="1274"/>
      <c r="AZ681" s="1229"/>
      <c r="BA681" s="1229"/>
      <c r="BB681" s="1229"/>
      <c r="BC681" s="1229"/>
      <c r="BD681" s="1274"/>
      <c r="BE681" s="1274"/>
      <c r="BF681" s="1229"/>
      <c r="BG681" s="1229"/>
      <c r="BH681" s="1229"/>
      <c r="BI681" s="1222"/>
      <c r="BJ681" s="1350"/>
      <c r="BK681" s="1350"/>
      <c r="BL681" s="1222"/>
      <c r="BM681" s="1222"/>
      <c r="BN681" s="1222"/>
      <c r="BO681" s="1222"/>
    </row>
    <row r="682">
      <c r="A682" s="1222"/>
      <c r="B682" s="1229"/>
      <c r="C682" s="1349"/>
      <c r="D682" s="1229"/>
      <c r="E682" s="1229"/>
      <c r="F682" s="1229"/>
      <c r="G682" s="1229"/>
      <c r="H682" s="1229"/>
      <c r="I682" s="1229"/>
      <c r="J682" s="1229"/>
      <c r="K682" s="1229"/>
      <c r="L682" s="1229"/>
      <c r="M682" s="1229"/>
      <c r="N682" s="1274"/>
      <c r="O682" s="1274"/>
      <c r="P682" s="1229"/>
      <c r="Q682" s="1229"/>
      <c r="R682" s="1229"/>
      <c r="S682" s="1229"/>
      <c r="T682" s="1274"/>
      <c r="U682" s="1274"/>
      <c r="V682" s="1229"/>
      <c r="W682" s="1229"/>
      <c r="X682" s="1229"/>
      <c r="Y682" s="1229"/>
      <c r="Z682" s="1274"/>
      <c r="AA682" s="1274"/>
      <c r="AB682" s="1229"/>
      <c r="AC682" s="1229"/>
      <c r="AD682" s="1229"/>
      <c r="AE682" s="1229"/>
      <c r="AF682" s="1274"/>
      <c r="AG682" s="1274"/>
      <c r="AH682" s="1229"/>
      <c r="AI682" s="1229"/>
      <c r="AJ682" s="1229"/>
      <c r="AK682" s="1229"/>
      <c r="AL682" s="1274"/>
      <c r="AM682" s="1274"/>
      <c r="AN682" s="1229"/>
      <c r="AO682" s="1229"/>
      <c r="AP682" s="1229"/>
      <c r="AQ682" s="1229"/>
      <c r="AR682" s="1274"/>
      <c r="AS682" s="1274"/>
      <c r="AT682" s="1229"/>
      <c r="AU682" s="1229"/>
      <c r="AV682" s="1229"/>
      <c r="AW682" s="1229"/>
      <c r="AX682" s="1274"/>
      <c r="AY682" s="1274"/>
      <c r="AZ682" s="1229"/>
      <c r="BA682" s="1229"/>
      <c r="BB682" s="1229"/>
      <c r="BC682" s="1229"/>
      <c r="BD682" s="1274"/>
      <c r="BE682" s="1274"/>
      <c r="BF682" s="1229"/>
      <c r="BG682" s="1229"/>
      <c r="BH682" s="1229"/>
      <c r="BI682" s="1222"/>
      <c r="BJ682" s="1350"/>
      <c r="BK682" s="1350"/>
      <c r="BL682" s="1222"/>
      <c r="BM682" s="1222"/>
      <c r="BN682" s="1222"/>
      <c r="BO682" s="1222"/>
    </row>
    <row r="683">
      <c r="A683" s="1222"/>
      <c r="B683" s="1229"/>
      <c r="C683" s="1349"/>
      <c r="D683" s="1229"/>
      <c r="E683" s="1229"/>
      <c r="F683" s="1229"/>
      <c r="G683" s="1229"/>
      <c r="H683" s="1229"/>
      <c r="I683" s="1229"/>
      <c r="J683" s="1229"/>
      <c r="K683" s="1229"/>
      <c r="L683" s="1229"/>
      <c r="M683" s="1229"/>
      <c r="N683" s="1274"/>
      <c r="O683" s="1274"/>
      <c r="P683" s="1229"/>
      <c r="Q683" s="1229"/>
      <c r="R683" s="1229"/>
      <c r="S683" s="1229"/>
      <c r="T683" s="1274"/>
      <c r="U683" s="1274"/>
      <c r="V683" s="1229"/>
      <c r="W683" s="1229"/>
      <c r="X683" s="1229"/>
      <c r="Y683" s="1229"/>
      <c r="Z683" s="1274"/>
      <c r="AA683" s="1274"/>
      <c r="AB683" s="1229"/>
      <c r="AC683" s="1229"/>
      <c r="AD683" s="1229"/>
      <c r="AE683" s="1229"/>
      <c r="AF683" s="1274"/>
      <c r="AG683" s="1274"/>
      <c r="AH683" s="1229"/>
      <c r="AI683" s="1229"/>
      <c r="AJ683" s="1229"/>
      <c r="AK683" s="1229"/>
      <c r="AL683" s="1274"/>
      <c r="AM683" s="1274"/>
      <c r="AN683" s="1229"/>
      <c r="AO683" s="1229"/>
      <c r="AP683" s="1229"/>
      <c r="AQ683" s="1229"/>
      <c r="AR683" s="1274"/>
      <c r="AS683" s="1274"/>
      <c r="AT683" s="1229"/>
      <c r="AU683" s="1229"/>
      <c r="AV683" s="1229"/>
      <c r="AW683" s="1229"/>
      <c r="AX683" s="1274"/>
      <c r="AY683" s="1274"/>
      <c r="AZ683" s="1229"/>
      <c r="BA683" s="1229"/>
      <c r="BB683" s="1229"/>
      <c r="BC683" s="1229"/>
      <c r="BD683" s="1274"/>
      <c r="BE683" s="1274"/>
      <c r="BF683" s="1229"/>
      <c r="BG683" s="1229"/>
      <c r="BH683" s="1229"/>
      <c r="BI683" s="1222"/>
      <c r="BJ683" s="1350"/>
      <c r="BK683" s="1350"/>
      <c r="BL683" s="1222"/>
      <c r="BM683" s="1222"/>
      <c r="BN683" s="1222"/>
      <c r="BO683" s="1222"/>
    </row>
    <row r="684">
      <c r="A684" s="1222"/>
      <c r="B684" s="1229"/>
      <c r="C684" s="1349"/>
      <c r="D684" s="1229"/>
      <c r="E684" s="1229"/>
      <c r="F684" s="1229"/>
      <c r="G684" s="1229"/>
      <c r="H684" s="1229"/>
      <c r="I684" s="1229"/>
      <c r="J684" s="1229"/>
      <c r="K684" s="1229"/>
      <c r="L684" s="1229"/>
      <c r="M684" s="1229"/>
      <c r="N684" s="1274"/>
      <c r="O684" s="1274"/>
      <c r="P684" s="1229"/>
      <c r="Q684" s="1229"/>
      <c r="R684" s="1229"/>
      <c r="S684" s="1229"/>
      <c r="T684" s="1274"/>
      <c r="U684" s="1274"/>
      <c r="V684" s="1229"/>
      <c r="W684" s="1229"/>
      <c r="X684" s="1229"/>
      <c r="Y684" s="1229"/>
      <c r="Z684" s="1274"/>
      <c r="AA684" s="1274"/>
      <c r="AB684" s="1229"/>
      <c r="AC684" s="1229"/>
      <c r="AD684" s="1229"/>
      <c r="AE684" s="1229"/>
      <c r="AF684" s="1274"/>
      <c r="AG684" s="1274"/>
      <c r="AH684" s="1229"/>
      <c r="AI684" s="1229"/>
      <c r="AJ684" s="1229"/>
      <c r="AK684" s="1229"/>
      <c r="AL684" s="1274"/>
      <c r="AM684" s="1274"/>
      <c r="AN684" s="1229"/>
      <c r="AO684" s="1229"/>
      <c r="AP684" s="1229"/>
      <c r="AQ684" s="1229"/>
      <c r="AR684" s="1274"/>
      <c r="AS684" s="1274"/>
      <c r="AT684" s="1229"/>
      <c r="AU684" s="1229"/>
      <c r="AV684" s="1229"/>
      <c r="AW684" s="1229"/>
      <c r="AX684" s="1274"/>
      <c r="AY684" s="1274"/>
      <c r="AZ684" s="1229"/>
      <c r="BA684" s="1229"/>
      <c r="BB684" s="1229"/>
      <c r="BC684" s="1229"/>
      <c r="BD684" s="1274"/>
      <c r="BE684" s="1274"/>
      <c r="BF684" s="1229"/>
      <c r="BG684" s="1229"/>
      <c r="BH684" s="1229"/>
      <c r="BI684" s="1222"/>
      <c r="BJ684" s="1350"/>
      <c r="BK684" s="1350"/>
      <c r="BL684" s="1222"/>
      <c r="BM684" s="1222"/>
      <c r="BN684" s="1222"/>
      <c r="BO684" s="1222"/>
    </row>
    <row r="685">
      <c r="A685" s="1222"/>
      <c r="B685" s="1229"/>
      <c r="C685" s="1349"/>
      <c r="D685" s="1229"/>
      <c r="E685" s="1229"/>
      <c r="F685" s="1229"/>
      <c r="G685" s="1229"/>
      <c r="H685" s="1229"/>
      <c r="I685" s="1229"/>
      <c r="J685" s="1229"/>
      <c r="K685" s="1229"/>
      <c r="L685" s="1229"/>
      <c r="M685" s="1229"/>
      <c r="N685" s="1274"/>
      <c r="O685" s="1274"/>
      <c r="P685" s="1229"/>
      <c r="Q685" s="1229"/>
      <c r="R685" s="1229"/>
      <c r="S685" s="1229"/>
      <c r="T685" s="1274"/>
      <c r="U685" s="1274"/>
      <c r="V685" s="1229"/>
      <c r="W685" s="1229"/>
      <c r="X685" s="1229"/>
      <c r="Y685" s="1229"/>
      <c r="Z685" s="1274"/>
      <c r="AA685" s="1274"/>
      <c r="AB685" s="1229"/>
      <c r="AC685" s="1229"/>
      <c r="AD685" s="1229"/>
      <c r="AE685" s="1229"/>
      <c r="AF685" s="1274"/>
      <c r="AG685" s="1274"/>
      <c r="AH685" s="1229"/>
      <c r="AI685" s="1229"/>
      <c r="AJ685" s="1229"/>
      <c r="AK685" s="1229"/>
      <c r="AL685" s="1274"/>
      <c r="AM685" s="1274"/>
      <c r="AN685" s="1229"/>
      <c r="AO685" s="1229"/>
      <c r="AP685" s="1229"/>
      <c r="AQ685" s="1229"/>
      <c r="AR685" s="1274"/>
      <c r="AS685" s="1274"/>
      <c r="AT685" s="1229"/>
      <c r="AU685" s="1229"/>
      <c r="AV685" s="1229"/>
      <c r="AW685" s="1229"/>
      <c r="AX685" s="1274"/>
      <c r="AY685" s="1274"/>
      <c r="AZ685" s="1229"/>
      <c r="BA685" s="1229"/>
      <c r="BB685" s="1229"/>
      <c r="BC685" s="1229"/>
      <c r="BD685" s="1274"/>
      <c r="BE685" s="1274"/>
      <c r="BF685" s="1229"/>
      <c r="BG685" s="1229"/>
      <c r="BH685" s="1229"/>
      <c r="BI685" s="1222"/>
      <c r="BJ685" s="1350"/>
      <c r="BK685" s="1350"/>
      <c r="BL685" s="1222"/>
      <c r="BM685" s="1222"/>
      <c r="BN685" s="1222"/>
      <c r="BO685" s="1222"/>
    </row>
    <row r="686">
      <c r="A686" s="1222"/>
      <c r="B686" s="1229"/>
      <c r="C686" s="1349"/>
      <c r="D686" s="1229"/>
      <c r="E686" s="1229"/>
      <c r="F686" s="1229"/>
      <c r="G686" s="1229"/>
      <c r="H686" s="1229"/>
      <c r="I686" s="1229"/>
      <c r="J686" s="1229"/>
      <c r="K686" s="1229"/>
      <c r="L686" s="1229"/>
      <c r="M686" s="1229"/>
      <c r="N686" s="1274"/>
      <c r="O686" s="1274"/>
      <c r="P686" s="1229"/>
      <c r="Q686" s="1229"/>
      <c r="R686" s="1229"/>
      <c r="S686" s="1229"/>
      <c r="T686" s="1274"/>
      <c r="U686" s="1274"/>
      <c r="V686" s="1229"/>
      <c r="W686" s="1229"/>
      <c r="X686" s="1229"/>
      <c r="Y686" s="1229"/>
      <c r="Z686" s="1274"/>
      <c r="AA686" s="1274"/>
      <c r="AB686" s="1229"/>
      <c r="AC686" s="1229"/>
      <c r="AD686" s="1229"/>
      <c r="AE686" s="1229"/>
      <c r="AF686" s="1274"/>
      <c r="AG686" s="1274"/>
      <c r="AH686" s="1229"/>
      <c r="AI686" s="1229"/>
      <c r="AJ686" s="1229"/>
      <c r="AK686" s="1229"/>
      <c r="AL686" s="1274"/>
      <c r="AM686" s="1274"/>
      <c r="AN686" s="1229"/>
      <c r="AO686" s="1229"/>
      <c r="AP686" s="1229"/>
      <c r="AQ686" s="1229"/>
      <c r="AR686" s="1274"/>
      <c r="AS686" s="1274"/>
      <c r="AT686" s="1229"/>
      <c r="AU686" s="1229"/>
      <c r="AV686" s="1229"/>
      <c r="AW686" s="1229"/>
      <c r="AX686" s="1274"/>
      <c r="AY686" s="1274"/>
      <c r="AZ686" s="1229"/>
      <c r="BA686" s="1229"/>
      <c r="BB686" s="1229"/>
      <c r="BC686" s="1229"/>
      <c r="BD686" s="1274"/>
      <c r="BE686" s="1274"/>
      <c r="BF686" s="1229"/>
      <c r="BG686" s="1229"/>
      <c r="BH686" s="1229"/>
      <c r="BI686" s="1222"/>
      <c r="BJ686" s="1350"/>
      <c r="BK686" s="1350"/>
      <c r="BL686" s="1222"/>
      <c r="BM686" s="1222"/>
      <c r="BN686" s="1222"/>
      <c r="BO686" s="1222"/>
    </row>
    <row r="687">
      <c r="A687" s="1222"/>
      <c r="B687" s="1229"/>
      <c r="C687" s="1349"/>
      <c r="D687" s="1229"/>
      <c r="E687" s="1229"/>
      <c r="F687" s="1229"/>
      <c r="G687" s="1229"/>
      <c r="H687" s="1229"/>
      <c r="I687" s="1229"/>
      <c r="J687" s="1229"/>
      <c r="K687" s="1229"/>
      <c r="L687" s="1229"/>
      <c r="M687" s="1229"/>
      <c r="N687" s="1274"/>
      <c r="O687" s="1274"/>
      <c r="P687" s="1229"/>
      <c r="Q687" s="1229"/>
      <c r="R687" s="1229"/>
      <c r="S687" s="1229"/>
      <c r="T687" s="1274"/>
      <c r="U687" s="1274"/>
      <c r="V687" s="1229"/>
      <c r="W687" s="1229"/>
      <c r="X687" s="1229"/>
      <c r="Y687" s="1229"/>
      <c r="Z687" s="1274"/>
      <c r="AA687" s="1274"/>
      <c r="AB687" s="1229"/>
      <c r="AC687" s="1229"/>
      <c r="AD687" s="1229"/>
      <c r="AE687" s="1229"/>
      <c r="AF687" s="1274"/>
      <c r="AG687" s="1274"/>
      <c r="AH687" s="1229"/>
      <c r="AI687" s="1229"/>
      <c r="AJ687" s="1229"/>
      <c r="AK687" s="1229"/>
      <c r="AL687" s="1274"/>
      <c r="AM687" s="1274"/>
      <c r="AN687" s="1229"/>
      <c r="AO687" s="1229"/>
      <c r="AP687" s="1229"/>
      <c r="AQ687" s="1229"/>
      <c r="AR687" s="1274"/>
      <c r="AS687" s="1274"/>
      <c r="AT687" s="1229"/>
      <c r="AU687" s="1229"/>
      <c r="AV687" s="1229"/>
      <c r="AW687" s="1229"/>
      <c r="AX687" s="1274"/>
      <c r="AY687" s="1274"/>
      <c r="AZ687" s="1229"/>
      <c r="BA687" s="1229"/>
      <c r="BB687" s="1229"/>
      <c r="BC687" s="1229"/>
      <c r="BD687" s="1274"/>
      <c r="BE687" s="1274"/>
      <c r="BF687" s="1229"/>
      <c r="BG687" s="1229"/>
      <c r="BH687" s="1229"/>
      <c r="BI687" s="1222"/>
      <c r="BJ687" s="1350"/>
      <c r="BK687" s="1350"/>
      <c r="BL687" s="1222"/>
      <c r="BM687" s="1222"/>
      <c r="BN687" s="1222"/>
      <c r="BO687" s="1222"/>
    </row>
    <row r="688">
      <c r="A688" s="1222"/>
      <c r="B688" s="1229"/>
      <c r="C688" s="1349"/>
      <c r="D688" s="1229"/>
      <c r="E688" s="1229"/>
      <c r="F688" s="1229"/>
      <c r="G688" s="1229"/>
      <c r="H688" s="1229"/>
      <c r="I688" s="1229"/>
      <c r="J688" s="1229"/>
      <c r="K688" s="1229"/>
      <c r="L688" s="1229"/>
      <c r="M688" s="1229"/>
      <c r="N688" s="1274"/>
      <c r="O688" s="1274"/>
      <c r="P688" s="1229"/>
      <c r="Q688" s="1229"/>
      <c r="R688" s="1229"/>
      <c r="S688" s="1229"/>
      <c r="T688" s="1274"/>
      <c r="U688" s="1274"/>
      <c r="V688" s="1229"/>
      <c r="W688" s="1229"/>
      <c r="X688" s="1229"/>
      <c r="Y688" s="1229"/>
      <c r="Z688" s="1274"/>
      <c r="AA688" s="1274"/>
      <c r="AB688" s="1229"/>
      <c r="AC688" s="1229"/>
      <c r="AD688" s="1229"/>
      <c r="AE688" s="1229"/>
      <c r="AF688" s="1274"/>
      <c r="AG688" s="1274"/>
      <c r="AH688" s="1229"/>
      <c r="AI688" s="1229"/>
      <c r="AJ688" s="1229"/>
      <c r="AK688" s="1229"/>
      <c r="AL688" s="1274"/>
      <c r="AM688" s="1274"/>
      <c r="AN688" s="1229"/>
      <c r="AO688" s="1229"/>
      <c r="AP688" s="1229"/>
      <c r="AQ688" s="1229"/>
      <c r="AR688" s="1274"/>
      <c r="AS688" s="1274"/>
      <c r="AT688" s="1229"/>
      <c r="AU688" s="1229"/>
      <c r="AV688" s="1229"/>
      <c r="AW688" s="1229"/>
      <c r="AX688" s="1274"/>
      <c r="AY688" s="1274"/>
      <c r="AZ688" s="1229"/>
      <c r="BA688" s="1229"/>
      <c r="BB688" s="1229"/>
      <c r="BC688" s="1229"/>
      <c r="BD688" s="1274"/>
      <c r="BE688" s="1274"/>
      <c r="BF688" s="1229"/>
      <c r="BG688" s="1229"/>
      <c r="BH688" s="1229"/>
      <c r="BI688" s="1222"/>
      <c r="BJ688" s="1350"/>
      <c r="BK688" s="1350"/>
      <c r="BL688" s="1222"/>
      <c r="BM688" s="1222"/>
      <c r="BN688" s="1222"/>
      <c r="BO688" s="1222"/>
    </row>
    <row r="689">
      <c r="A689" s="1222"/>
      <c r="B689" s="1229"/>
      <c r="C689" s="1349"/>
      <c r="D689" s="1229"/>
      <c r="E689" s="1229"/>
      <c r="F689" s="1229"/>
      <c r="G689" s="1229"/>
      <c r="H689" s="1229"/>
      <c r="I689" s="1229"/>
      <c r="J689" s="1229"/>
      <c r="K689" s="1229"/>
      <c r="L689" s="1229"/>
      <c r="M689" s="1229"/>
      <c r="N689" s="1274"/>
      <c r="O689" s="1274"/>
      <c r="P689" s="1229"/>
      <c r="Q689" s="1229"/>
      <c r="R689" s="1229"/>
      <c r="S689" s="1229"/>
      <c r="T689" s="1274"/>
      <c r="U689" s="1274"/>
      <c r="V689" s="1229"/>
      <c r="W689" s="1229"/>
      <c r="X689" s="1229"/>
      <c r="Y689" s="1229"/>
      <c r="Z689" s="1274"/>
      <c r="AA689" s="1274"/>
      <c r="AB689" s="1229"/>
      <c r="AC689" s="1229"/>
      <c r="AD689" s="1229"/>
      <c r="AE689" s="1229"/>
      <c r="AF689" s="1274"/>
      <c r="AG689" s="1274"/>
      <c r="AH689" s="1229"/>
      <c r="AI689" s="1229"/>
      <c r="AJ689" s="1229"/>
      <c r="AK689" s="1229"/>
      <c r="AL689" s="1274"/>
      <c r="AM689" s="1274"/>
      <c r="AN689" s="1229"/>
      <c r="AO689" s="1229"/>
      <c r="AP689" s="1229"/>
      <c r="AQ689" s="1229"/>
      <c r="AR689" s="1274"/>
      <c r="AS689" s="1274"/>
      <c r="AT689" s="1229"/>
      <c r="AU689" s="1229"/>
      <c r="AV689" s="1229"/>
      <c r="AW689" s="1229"/>
      <c r="AX689" s="1274"/>
      <c r="AY689" s="1274"/>
      <c r="AZ689" s="1229"/>
      <c r="BA689" s="1229"/>
      <c r="BB689" s="1229"/>
      <c r="BC689" s="1229"/>
      <c r="BD689" s="1274"/>
      <c r="BE689" s="1274"/>
      <c r="BF689" s="1229"/>
      <c r="BG689" s="1229"/>
      <c r="BH689" s="1229"/>
      <c r="BI689" s="1222"/>
      <c r="BJ689" s="1350"/>
      <c r="BK689" s="1350"/>
      <c r="BL689" s="1222"/>
      <c r="BM689" s="1222"/>
      <c r="BN689" s="1222"/>
      <c r="BO689" s="1222"/>
    </row>
    <row r="690">
      <c r="A690" s="1222"/>
      <c r="B690" s="1229"/>
      <c r="C690" s="1349"/>
      <c r="D690" s="1229"/>
      <c r="E690" s="1229"/>
      <c r="F690" s="1229"/>
      <c r="G690" s="1229"/>
      <c r="H690" s="1229"/>
      <c r="I690" s="1229"/>
      <c r="J690" s="1229"/>
      <c r="K690" s="1229"/>
      <c r="L690" s="1229"/>
      <c r="M690" s="1229"/>
      <c r="N690" s="1274"/>
      <c r="O690" s="1274"/>
      <c r="P690" s="1229"/>
      <c r="Q690" s="1229"/>
      <c r="R690" s="1229"/>
      <c r="S690" s="1229"/>
      <c r="T690" s="1274"/>
      <c r="U690" s="1274"/>
      <c r="V690" s="1229"/>
      <c r="W690" s="1229"/>
      <c r="X690" s="1229"/>
      <c r="Y690" s="1229"/>
      <c r="Z690" s="1274"/>
      <c r="AA690" s="1274"/>
      <c r="AB690" s="1229"/>
      <c r="AC690" s="1229"/>
      <c r="AD690" s="1229"/>
      <c r="AE690" s="1229"/>
      <c r="AF690" s="1274"/>
      <c r="AG690" s="1274"/>
      <c r="AH690" s="1229"/>
      <c r="AI690" s="1229"/>
      <c r="AJ690" s="1229"/>
      <c r="AK690" s="1229"/>
      <c r="AL690" s="1274"/>
      <c r="AM690" s="1274"/>
      <c r="AN690" s="1229"/>
      <c r="AO690" s="1229"/>
      <c r="AP690" s="1229"/>
      <c r="AQ690" s="1229"/>
      <c r="AR690" s="1274"/>
      <c r="AS690" s="1274"/>
      <c r="AT690" s="1229"/>
      <c r="AU690" s="1229"/>
      <c r="AV690" s="1229"/>
      <c r="AW690" s="1229"/>
      <c r="AX690" s="1274"/>
      <c r="AY690" s="1274"/>
      <c r="AZ690" s="1229"/>
      <c r="BA690" s="1229"/>
      <c r="BB690" s="1229"/>
      <c r="BC690" s="1229"/>
      <c r="BD690" s="1274"/>
      <c r="BE690" s="1274"/>
      <c r="BF690" s="1229"/>
      <c r="BG690" s="1229"/>
      <c r="BH690" s="1229"/>
      <c r="BI690" s="1222"/>
      <c r="BJ690" s="1350"/>
      <c r="BK690" s="1350"/>
      <c r="BL690" s="1222"/>
      <c r="BM690" s="1222"/>
      <c r="BN690" s="1222"/>
      <c r="BO690" s="1222"/>
    </row>
    <row r="691">
      <c r="A691" s="1222"/>
      <c r="B691" s="1229"/>
      <c r="C691" s="1349"/>
      <c r="D691" s="1229"/>
      <c r="E691" s="1229"/>
      <c r="F691" s="1229"/>
      <c r="G691" s="1229"/>
      <c r="H691" s="1229"/>
      <c r="I691" s="1229"/>
      <c r="J691" s="1229"/>
      <c r="K691" s="1229"/>
      <c r="L691" s="1229"/>
      <c r="M691" s="1229"/>
      <c r="N691" s="1274"/>
      <c r="O691" s="1274"/>
      <c r="P691" s="1229"/>
      <c r="Q691" s="1229"/>
      <c r="R691" s="1229"/>
      <c r="S691" s="1229"/>
      <c r="T691" s="1274"/>
      <c r="U691" s="1274"/>
      <c r="V691" s="1229"/>
      <c r="W691" s="1229"/>
      <c r="X691" s="1229"/>
      <c r="Y691" s="1229"/>
      <c r="Z691" s="1274"/>
      <c r="AA691" s="1274"/>
      <c r="AB691" s="1229"/>
      <c r="AC691" s="1229"/>
      <c r="AD691" s="1229"/>
      <c r="AE691" s="1229"/>
      <c r="AF691" s="1274"/>
      <c r="AG691" s="1274"/>
      <c r="AH691" s="1229"/>
      <c r="AI691" s="1229"/>
      <c r="AJ691" s="1229"/>
      <c r="AK691" s="1229"/>
      <c r="AL691" s="1274"/>
      <c r="AM691" s="1274"/>
      <c r="AN691" s="1229"/>
      <c r="AO691" s="1229"/>
      <c r="AP691" s="1229"/>
      <c r="AQ691" s="1229"/>
      <c r="AR691" s="1274"/>
      <c r="AS691" s="1274"/>
      <c r="AT691" s="1229"/>
      <c r="AU691" s="1229"/>
      <c r="AV691" s="1229"/>
      <c r="AW691" s="1229"/>
      <c r="AX691" s="1274"/>
      <c r="AY691" s="1274"/>
      <c r="AZ691" s="1229"/>
      <c r="BA691" s="1229"/>
      <c r="BB691" s="1229"/>
      <c r="BC691" s="1229"/>
      <c r="BD691" s="1274"/>
      <c r="BE691" s="1274"/>
      <c r="BF691" s="1229"/>
      <c r="BG691" s="1229"/>
      <c r="BH691" s="1229"/>
      <c r="BI691" s="1222"/>
      <c r="BJ691" s="1350"/>
      <c r="BK691" s="1350"/>
      <c r="BL691" s="1222"/>
      <c r="BM691" s="1222"/>
      <c r="BN691" s="1222"/>
      <c r="BO691" s="1222"/>
    </row>
    <row r="692">
      <c r="A692" s="1222"/>
      <c r="B692" s="1229"/>
      <c r="C692" s="1349"/>
      <c r="D692" s="1229"/>
      <c r="E692" s="1229"/>
      <c r="F692" s="1229"/>
      <c r="G692" s="1229"/>
      <c r="H692" s="1229"/>
      <c r="I692" s="1229"/>
      <c r="J692" s="1229"/>
      <c r="K692" s="1229"/>
      <c r="L692" s="1229"/>
      <c r="M692" s="1229"/>
      <c r="N692" s="1274"/>
      <c r="O692" s="1274"/>
      <c r="P692" s="1229"/>
      <c r="Q692" s="1229"/>
      <c r="R692" s="1229"/>
      <c r="S692" s="1229"/>
      <c r="T692" s="1274"/>
      <c r="U692" s="1274"/>
      <c r="V692" s="1229"/>
      <c r="W692" s="1229"/>
      <c r="X692" s="1229"/>
      <c r="Y692" s="1229"/>
      <c r="Z692" s="1274"/>
      <c r="AA692" s="1274"/>
      <c r="AB692" s="1229"/>
      <c r="AC692" s="1229"/>
      <c r="AD692" s="1229"/>
      <c r="AE692" s="1229"/>
      <c r="AF692" s="1274"/>
      <c r="AG692" s="1274"/>
      <c r="AH692" s="1229"/>
      <c r="AI692" s="1229"/>
      <c r="AJ692" s="1229"/>
      <c r="AK692" s="1229"/>
      <c r="AL692" s="1274"/>
      <c r="AM692" s="1274"/>
      <c r="AN692" s="1229"/>
      <c r="AO692" s="1229"/>
      <c r="AP692" s="1229"/>
      <c r="AQ692" s="1229"/>
      <c r="AR692" s="1274"/>
      <c r="AS692" s="1274"/>
      <c r="AT692" s="1229"/>
      <c r="AU692" s="1229"/>
      <c r="AV692" s="1229"/>
      <c r="AW692" s="1229"/>
      <c r="AX692" s="1274"/>
      <c r="AY692" s="1274"/>
      <c r="AZ692" s="1229"/>
      <c r="BA692" s="1229"/>
      <c r="BB692" s="1229"/>
      <c r="BC692" s="1229"/>
      <c r="BD692" s="1274"/>
      <c r="BE692" s="1274"/>
      <c r="BF692" s="1229"/>
      <c r="BG692" s="1229"/>
      <c r="BH692" s="1229"/>
      <c r="BI692" s="1222"/>
      <c r="BJ692" s="1350"/>
      <c r="BK692" s="1350"/>
      <c r="BL692" s="1222"/>
      <c r="BM692" s="1222"/>
      <c r="BN692" s="1222"/>
      <c r="BO692" s="1222"/>
    </row>
    <row r="693">
      <c r="A693" s="1222"/>
      <c r="B693" s="1229"/>
      <c r="C693" s="1349"/>
      <c r="D693" s="1229"/>
      <c r="E693" s="1229"/>
      <c r="F693" s="1229"/>
      <c r="G693" s="1229"/>
      <c r="H693" s="1229"/>
      <c r="I693" s="1229"/>
      <c r="J693" s="1229"/>
      <c r="K693" s="1229"/>
      <c r="L693" s="1229"/>
      <c r="M693" s="1229"/>
      <c r="N693" s="1274"/>
      <c r="O693" s="1274"/>
      <c r="P693" s="1229"/>
      <c r="Q693" s="1229"/>
      <c r="R693" s="1229"/>
      <c r="S693" s="1229"/>
      <c r="T693" s="1274"/>
      <c r="U693" s="1274"/>
      <c r="V693" s="1229"/>
      <c r="W693" s="1229"/>
      <c r="X693" s="1229"/>
      <c r="Y693" s="1229"/>
      <c r="Z693" s="1274"/>
      <c r="AA693" s="1274"/>
      <c r="AB693" s="1229"/>
      <c r="AC693" s="1229"/>
      <c r="AD693" s="1229"/>
      <c r="AE693" s="1229"/>
      <c r="AF693" s="1274"/>
      <c r="AG693" s="1274"/>
      <c r="AH693" s="1229"/>
      <c r="AI693" s="1229"/>
      <c r="AJ693" s="1229"/>
      <c r="AK693" s="1229"/>
      <c r="AL693" s="1274"/>
      <c r="AM693" s="1274"/>
      <c r="AN693" s="1229"/>
      <c r="AO693" s="1229"/>
      <c r="AP693" s="1229"/>
      <c r="AQ693" s="1229"/>
      <c r="AR693" s="1274"/>
      <c r="AS693" s="1274"/>
      <c r="AT693" s="1229"/>
      <c r="AU693" s="1229"/>
      <c r="AV693" s="1229"/>
      <c r="AW693" s="1229"/>
      <c r="AX693" s="1274"/>
      <c r="AY693" s="1274"/>
      <c r="AZ693" s="1229"/>
      <c r="BA693" s="1229"/>
      <c r="BB693" s="1229"/>
      <c r="BC693" s="1229"/>
      <c r="BD693" s="1274"/>
      <c r="BE693" s="1274"/>
      <c r="BF693" s="1229"/>
      <c r="BG693" s="1229"/>
      <c r="BH693" s="1229"/>
      <c r="BI693" s="1222"/>
      <c r="BJ693" s="1350"/>
      <c r="BK693" s="1350"/>
      <c r="BL693" s="1222"/>
      <c r="BM693" s="1222"/>
      <c r="BN693" s="1222"/>
      <c r="BO693" s="1222"/>
    </row>
    <row r="694">
      <c r="A694" s="1222"/>
      <c r="B694" s="1229"/>
      <c r="C694" s="1349"/>
      <c r="D694" s="1229"/>
      <c r="E694" s="1229"/>
      <c r="F694" s="1229"/>
      <c r="G694" s="1229"/>
      <c r="H694" s="1229"/>
      <c r="I694" s="1229"/>
      <c r="J694" s="1229"/>
      <c r="K694" s="1229"/>
      <c r="L694" s="1229"/>
      <c r="M694" s="1229"/>
      <c r="N694" s="1274"/>
      <c r="O694" s="1274"/>
      <c r="P694" s="1229"/>
      <c r="Q694" s="1229"/>
      <c r="R694" s="1229"/>
      <c r="S694" s="1229"/>
      <c r="T694" s="1274"/>
      <c r="U694" s="1274"/>
      <c r="V694" s="1229"/>
      <c r="W694" s="1229"/>
      <c r="X694" s="1229"/>
      <c r="Y694" s="1229"/>
      <c r="Z694" s="1274"/>
      <c r="AA694" s="1274"/>
      <c r="AB694" s="1229"/>
      <c r="AC694" s="1229"/>
      <c r="AD694" s="1229"/>
      <c r="AE694" s="1229"/>
      <c r="AF694" s="1274"/>
      <c r="AG694" s="1274"/>
      <c r="AH694" s="1229"/>
      <c r="AI694" s="1229"/>
      <c r="AJ694" s="1229"/>
      <c r="AK694" s="1229"/>
      <c r="AL694" s="1274"/>
      <c r="AM694" s="1274"/>
      <c r="AN694" s="1229"/>
      <c r="AO694" s="1229"/>
      <c r="AP694" s="1229"/>
      <c r="AQ694" s="1229"/>
      <c r="AR694" s="1274"/>
      <c r="AS694" s="1274"/>
      <c r="AT694" s="1229"/>
      <c r="AU694" s="1229"/>
      <c r="AV694" s="1229"/>
      <c r="AW694" s="1229"/>
      <c r="AX694" s="1274"/>
      <c r="AY694" s="1274"/>
      <c r="AZ694" s="1229"/>
      <c r="BA694" s="1229"/>
      <c r="BB694" s="1229"/>
      <c r="BC694" s="1229"/>
      <c r="BD694" s="1274"/>
      <c r="BE694" s="1274"/>
      <c r="BF694" s="1229"/>
      <c r="BG694" s="1229"/>
      <c r="BH694" s="1229"/>
      <c r="BI694" s="1222"/>
      <c r="BJ694" s="1350"/>
      <c r="BK694" s="1350"/>
      <c r="BL694" s="1222"/>
      <c r="BM694" s="1222"/>
      <c r="BN694" s="1222"/>
      <c r="BO694" s="1222"/>
    </row>
    <row r="695">
      <c r="A695" s="1222"/>
      <c r="B695" s="1229"/>
      <c r="C695" s="1349"/>
      <c r="D695" s="1229"/>
      <c r="E695" s="1229"/>
      <c r="F695" s="1229"/>
      <c r="G695" s="1229"/>
      <c r="H695" s="1229"/>
      <c r="I695" s="1229"/>
      <c r="J695" s="1229"/>
      <c r="K695" s="1229"/>
      <c r="L695" s="1229"/>
      <c r="M695" s="1229"/>
      <c r="N695" s="1274"/>
      <c r="O695" s="1274"/>
      <c r="P695" s="1229"/>
      <c r="Q695" s="1229"/>
      <c r="R695" s="1229"/>
      <c r="S695" s="1229"/>
      <c r="T695" s="1274"/>
      <c r="U695" s="1274"/>
      <c r="V695" s="1229"/>
      <c r="W695" s="1229"/>
      <c r="X695" s="1229"/>
      <c r="Y695" s="1229"/>
      <c r="Z695" s="1274"/>
      <c r="AA695" s="1274"/>
      <c r="AB695" s="1229"/>
      <c r="AC695" s="1229"/>
      <c r="AD695" s="1229"/>
      <c r="AE695" s="1229"/>
      <c r="AF695" s="1274"/>
      <c r="AG695" s="1274"/>
      <c r="AH695" s="1229"/>
      <c r="AI695" s="1229"/>
      <c r="AJ695" s="1229"/>
      <c r="AK695" s="1229"/>
      <c r="AL695" s="1274"/>
      <c r="AM695" s="1274"/>
      <c r="AN695" s="1229"/>
      <c r="AO695" s="1229"/>
      <c r="AP695" s="1229"/>
      <c r="AQ695" s="1229"/>
      <c r="AR695" s="1274"/>
      <c r="AS695" s="1274"/>
      <c r="AT695" s="1229"/>
      <c r="AU695" s="1229"/>
      <c r="AV695" s="1229"/>
      <c r="AW695" s="1229"/>
      <c r="AX695" s="1274"/>
      <c r="AY695" s="1274"/>
      <c r="AZ695" s="1229"/>
      <c r="BA695" s="1229"/>
      <c r="BB695" s="1229"/>
      <c r="BC695" s="1229"/>
      <c r="BD695" s="1274"/>
      <c r="BE695" s="1274"/>
      <c r="BF695" s="1229"/>
      <c r="BG695" s="1229"/>
      <c r="BH695" s="1229"/>
      <c r="BI695" s="1222"/>
      <c r="BJ695" s="1350"/>
      <c r="BK695" s="1350"/>
      <c r="BL695" s="1222"/>
      <c r="BM695" s="1222"/>
      <c r="BN695" s="1222"/>
      <c r="BO695" s="1222"/>
    </row>
    <row r="696">
      <c r="A696" s="1222"/>
      <c r="B696" s="1229"/>
      <c r="C696" s="1349"/>
      <c r="D696" s="1229"/>
      <c r="E696" s="1229"/>
      <c r="F696" s="1229"/>
      <c r="G696" s="1229"/>
      <c r="H696" s="1229"/>
      <c r="I696" s="1229"/>
      <c r="J696" s="1229"/>
      <c r="K696" s="1229"/>
      <c r="L696" s="1229"/>
      <c r="M696" s="1229"/>
      <c r="N696" s="1274"/>
      <c r="O696" s="1274"/>
      <c r="P696" s="1229"/>
      <c r="Q696" s="1229"/>
      <c r="R696" s="1229"/>
      <c r="S696" s="1229"/>
      <c r="T696" s="1274"/>
      <c r="U696" s="1274"/>
      <c r="V696" s="1229"/>
      <c r="W696" s="1229"/>
      <c r="X696" s="1229"/>
      <c r="Y696" s="1229"/>
      <c r="Z696" s="1274"/>
      <c r="AA696" s="1274"/>
      <c r="AB696" s="1229"/>
      <c r="AC696" s="1229"/>
      <c r="AD696" s="1229"/>
      <c r="AE696" s="1229"/>
      <c r="AF696" s="1274"/>
      <c r="AG696" s="1274"/>
      <c r="AH696" s="1229"/>
      <c r="AI696" s="1229"/>
      <c r="AJ696" s="1229"/>
      <c r="AK696" s="1229"/>
      <c r="AL696" s="1274"/>
      <c r="AM696" s="1274"/>
      <c r="AN696" s="1229"/>
      <c r="AO696" s="1229"/>
      <c r="AP696" s="1229"/>
      <c r="AQ696" s="1229"/>
      <c r="AR696" s="1274"/>
      <c r="AS696" s="1274"/>
      <c r="AT696" s="1229"/>
      <c r="AU696" s="1229"/>
      <c r="AV696" s="1229"/>
      <c r="AW696" s="1229"/>
      <c r="AX696" s="1274"/>
      <c r="AY696" s="1274"/>
      <c r="AZ696" s="1229"/>
      <c r="BA696" s="1229"/>
      <c r="BB696" s="1229"/>
      <c r="BC696" s="1229"/>
      <c r="BD696" s="1274"/>
      <c r="BE696" s="1274"/>
      <c r="BF696" s="1229"/>
      <c r="BG696" s="1229"/>
      <c r="BH696" s="1229"/>
      <c r="BI696" s="1222"/>
      <c r="BJ696" s="1350"/>
      <c r="BK696" s="1350"/>
      <c r="BL696" s="1222"/>
      <c r="BM696" s="1222"/>
      <c r="BN696" s="1222"/>
      <c r="BO696" s="1222"/>
    </row>
    <row r="697">
      <c r="A697" s="1222"/>
      <c r="B697" s="1229"/>
      <c r="C697" s="1349"/>
      <c r="D697" s="1229"/>
      <c r="E697" s="1229"/>
      <c r="F697" s="1229"/>
      <c r="G697" s="1229"/>
      <c r="H697" s="1229"/>
      <c r="I697" s="1229"/>
      <c r="J697" s="1229"/>
      <c r="K697" s="1229"/>
      <c r="L697" s="1229"/>
      <c r="M697" s="1229"/>
      <c r="N697" s="1274"/>
      <c r="O697" s="1274"/>
      <c r="P697" s="1229"/>
      <c r="Q697" s="1229"/>
      <c r="R697" s="1229"/>
      <c r="S697" s="1229"/>
      <c r="T697" s="1274"/>
      <c r="U697" s="1274"/>
      <c r="V697" s="1229"/>
      <c r="W697" s="1229"/>
      <c r="X697" s="1229"/>
      <c r="Y697" s="1229"/>
      <c r="Z697" s="1274"/>
      <c r="AA697" s="1274"/>
      <c r="AB697" s="1229"/>
      <c r="AC697" s="1229"/>
      <c r="AD697" s="1229"/>
      <c r="AE697" s="1229"/>
      <c r="AF697" s="1274"/>
      <c r="AG697" s="1274"/>
      <c r="AH697" s="1229"/>
      <c r="AI697" s="1229"/>
      <c r="AJ697" s="1229"/>
      <c r="AK697" s="1229"/>
      <c r="AL697" s="1274"/>
      <c r="AM697" s="1274"/>
      <c r="AN697" s="1229"/>
      <c r="AO697" s="1229"/>
      <c r="AP697" s="1229"/>
      <c r="AQ697" s="1229"/>
      <c r="AR697" s="1274"/>
      <c r="AS697" s="1274"/>
      <c r="AT697" s="1229"/>
      <c r="AU697" s="1229"/>
      <c r="AV697" s="1229"/>
      <c r="AW697" s="1229"/>
      <c r="AX697" s="1274"/>
      <c r="AY697" s="1274"/>
      <c r="AZ697" s="1229"/>
      <c r="BA697" s="1229"/>
      <c r="BB697" s="1229"/>
      <c r="BC697" s="1229"/>
      <c r="BD697" s="1274"/>
      <c r="BE697" s="1274"/>
      <c r="BF697" s="1229"/>
      <c r="BG697" s="1229"/>
      <c r="BH697" s="1229"/>
      <c r="BI697" s="1222"/>
      <c r="BJ697" s="1350"/>
      <c r="BK697" s="1350"/>
      <c r="BL697" s="1222"/>
      <c r="BM697" s="1222"/>
      <c r="BN697" s="1222"/>
      <c r="BO697" s="1222"/>
    </row>
    <row r="698">
      <c r="A698" s="1222"/>
      <c r="B698" s="1229"/>
      <c r="C698" s="1349"/>
      <c r="D698" s="1229"/>
      <c r="E698" s="1229"/>
      <c r="F698" s="1229"/>
      <c r="G698" s="1229"/>
      <c r="H698" s="1229"/>
      <c r="I698" s="1229"/>
      <c r="J698" s="1229"/>
      <c r="K698" s="1229"/>
      <c r="L698" s="1229"/>
      <c r="M698" s="1229"/>
      <c r="N698" s="1274"/>
      <c r="O698" s="1274"/>
      <c r="P698" s="1229"/>
      <c r="Q698" s="1229"/>
      <c r="R698" s="1229"/>
      <c r="S698" s="1229"/>
      <c r="T698" s="1274"/>
      <c r="U698" s="1274"/>
      <c r="V698" s="1229"/>
      <c r="W698" s="1229"/>
      <c r="X698" s="1229"/>
      <c r="Y698" s="1229"/>
      <c r="Z698" s="1274"/>
      <c r="AA698" s="1274"/>
      <c r="AB698" s="1229"/>
      <c r="AC698" s="1229"/>
      <c r="AD698" s="1229"/>
      <c r="AE698" s="1229"/>
      <c r="AF698" s="1274"/>
      <c r="AG698" s="1274"/>
      <c r="AH698" s="1229"/>
      <c r="AI698" s="1229"/>
      <c r="AJ698" s="1229"/>
      <c r="AK698" s="1229"/>
      <c r="AL698" s="1274"/>
      <c r="AM698" s="1274"/>
      <c r="AN698" s="1229"/>
      <c r="AO698" s="1229"/>
      <c r="AP698" s="1229"/>
      <c r="AQ698" s="1229"/>
      <c r="AR698" s="1274"/>
      <c r="AS698" s="1274"/>
      <c r="AT698" s="1229"/>
      <c r="AU698" s="1229"/>
      <c r="AV698" s="1229"/>
      <c r="AW698" s="1229"/>
      <c r="AX698" s="1274"/>
      <c r="AY698" s="1274"/>
      <c r="AZ698" s="1229"/>
      <c r="BA698" s="1229"/>
      <c r="BB698" s="1229"/>
      <c r="BC698" s="1229"/>
      <c r="BD698" s="1274"/>
      <c r="BE698" s="1274"/>
      <c r="BF698" s="1229"/>
      <c r="BG698" s="1229"/>
      <c r="BH698" s="1229"/>
      <c r="BI698" s="1222"/>
      <c r="BJ698" s="1350"/>
      <c r="BK698" s="1350"/>
      <c r="BL698" s="1222"/>
      <c r="BM698" s="1222"/>
      <c r="BN698" s="1222"/>
      <c r="BO698" s="1222"/>
    </row>
    <row r="699">
      <c r="A699" s="1222"/>
      <c r="B699" s="1229"/>
      <c r="C699" s="1349"/>
      <c r="D699" s="1229"/>
      <c r="E699" s="1229"/>
      <c r="F699" s="1229"/>
      <c r="G699" s="1229"/>
      <c r="H699" s="1229"/>
      <c r="I699" s="1229"/>
      <c r="J699" s="1229"/>
      <c r="K699" s="1229"/>
      <c r="L699" s="1229"/>
      <c r="M699" s="1229"/>
      <c r="N699" s="1274"/>
      <c r="O699" s="1274"/>
      <c r="P699" s="1229"/>
      <c r="Q699" s="1229"/>
      <c r="R699" s="1229"/>
      <c r="S699" s="1229"/>
      <c r="T699" s="1274"/>
      <c r="U699" s="1274"/>
      <c r="V699" s="1229"/>
      <c r="W699" s="1229"/>
      <c r="X699" s="1229"/>
      <c r="Y699" s="1229"/>
      <c r="Z699" s="1274"/>
      <c r="AA699" s="1274"/>
      <c r="AB699" s="1229"/>
      <c r="AC699" s="1229"/>
      <c r="AD699" s="1229"/>
      <c r="AE699" s="1229"/>
      <c r="AF699" s="1274"/>
      <c r="AG699" s="1274"/>
      <c r="AH699" s="1229"/>
      <c r="AI699" s="1229"/>
      <c r="AJ699" s="1229"/>
      <c r="AK699" s="1229"/>
      <c r="AL699" s="1274"/>
      <c r="AM699" s="1274"/>
      <c r="AN699" s="1229"/>
      <c r="AO699" s="1229"/>
      <c r="AP699" s="1229"/>
      <c r="AQ699" s="1229"/>
      <c r="AR699" s="1274"/>
      <c r="AS699" s="1274"/>
      <c r="AT699" s="1229"/>
      <c r="AU699" s="1229"/>
      <c r="AV699" s="1229"/>
      <c r="AW699" s="1229"/>
      <c r="AX699" s="1274"/>
      <c r="AY699" s="1274"/>
      <c r="AZ699" s="1229"/>
      <c r="BA699" s="1229"/>
      <c r="BB699" s="1229"/>
      <c r="BC699" s="1229"/>
      <c r="BD699" s="1274"/>
      <c r="BE699" s="1274"/>
      <c r="BF699" s="1229"/>
      <c r="BG699" s="1229"/>
      <c r="BH699" s="1229"/>
      <c r="BI699" s="1222"/>
      <c r="BJ699" s="1350"/>
      <c r="BK699" s="1350"/>
      <c r="BL699" s="1222"/>
      <c r="BM699" s="1222"/>
      <c r="BN699" s="1222"/>
      <c r="BO699" s="1222"/>
    </row>
    <row r="700">
      <c r="A700" s="1222"/>
      <c r="B700" s="1229"/>
      <c r="C700" s="1349"/>
      <c r="D700" s="1229"/>
      <c r="E700" s="1229"/>
      <c r="F700" s="1229"/>
      <c r="G700" s="1229"/>
      <c r="H700" s="1229"/>
      <c r="I700" s="1229"/>
      <c r="J700" s="1229"/>
      <c r="K700" s="1229"/>
      <c r="L700" s="1229"/>
      <c r="M700" s="1229"/>
      <c r="N700" s="1274"/>
      <c r="O700" s="1274"/>
      <c r="P700" s="1229"/>
      <c r="Q700" s="1229"/>
      <c r="R700" s="1229"/>
      <c r="S700" s="1229"/>
      <c r="T700" s="1274"/>
      <c r="U700" s="1274"/>
      <c r="V700" s="1229"/>
      <c r="W700" s="1229"/>
      <c r="X700" s="1229"/>
      <c r="Y700" s="1229"/>
      <c r="Z700" s="1274"/>
      <c r="AA700" s="1274"/>
      <c r="AB700" s="1229"/>
      <c r="AC700" s="1229"/>
      <c r="AD700" s="1229"/>
      <c r="AE700" s="1229"/>
      <c r="AF700" s="1274"/>
      <c r="AG700" s="1274"/>
      <c r="AH700" s="1229"/>
      <c r="AI700" s="1229"/>
      <c r="AJ700" s="1229"/>
      <c r="AK700" s="1229"/>
      <c r="AL700" s="1274"/>
      <c r="AM700" s="1274"/>
      <c r="AN700" s="1229"/>
      <c r="AO700" s="1229"/>
      <c r="AP700" s="1229"/>
      <c r="AQ700" s="1229"/>
      <c r="AR700" s="1274"/>
      <c r="AS700" s="1274"/>
      <c r="AT700" s="1229"/>
      <c r="AU700" s="1229"/>
      <c r="AV700" s="1229"/>
      <c r="AW700" s="1229"/>
      <c r="AX700" s="1274"/>
      <c r="AY700" s="1274"/>
      <c r="AZ700" s="1229"/>
      <c r="BA700" s="1229"/>
      <c r="BB700" s="1229"/>
      <c r="BC700" s="1229"/>
      <c r="BD700" s="1274"/>
      <c r="BE700" s="1274"/>
      <c r="BF700" s="1229"/>
      <c r="BG700" s="1229"/>
      <c r="BH700" s="1229"/>
      <c r="BI700" s="1222"/>
      <c r="BJ700" s="1350"/>
      <c r="BK700" s="1350"/>
      <c r="BL700" s="1222"/>
      <c r="BM700" s="1222"/>
      <c r="BN700" s="1222"/>
      <c r="BO700" s="1222"/>
    </row>
    <row r="701">
      <c r="A701" s="1222"/>
      <c r="B701" s="1229"/>
      <c r="C701" s="1349"/>
      <c r="D701" s="1229"/>
      <c r="E701" s="1229"/>
      <c r="F701" s="1229"/>
      <c r="G701" s="1229"/>
      <c r="H701" s="1229"/>
      <c r="I701" s="1229"/>
      <c r="J701" s="1229"/>
      <c r="K701" s="1229"/>
      <c r="L701" s="1229"/>
      <c r="M701" s="1229"/>
      <c r="N701" s="1274"/>
      <c r="O701" s="1274"/>
      <c r="P701" s="1229"/>
      <c r="Q701" s="1229"/>
      <c r="R701" s="1229"/>
      <c r="S701" s="1229"/>
      <c r="T701" s="1274"/>
      <c r="U701" s="1274"/>
      <c r="V701" s="1229"/>
      <c r="W701" s="1229"/>
      <c r="X701" s="1229"/>
      <c r="Y701" s="1229"/>
      <c r="Z701" s="1274"/>
      <c r="AA701" s="1274"/>
      <c r="AB701" s="1229"/>
      <c r="AC701" s="1229"/>
      <c r="AD701" s="1229"/>
      <c r="AE701" s="1229"/>
      <c r="AF701" s="1274"/>
      <c r="AG701" s="1274"/>
      <c r="AH701" s="1229"/>
      <c r="AI701" s="1229"/>
      <c r="AJ701" s="1229"/>
      <c r="AK701" s="1229"/>
      <c r="AL701" s="1274"/>
      <c r="AM701" s="1274"/>
      <c r="AN701" s="1229"/>
      <c r="AO701" s="1229"/>
      <c r="AP701" s="1229"/>
      <c r="AQ701" s="1229"/>
      <c r="AR701" s="1274"/>
      <c r="AS701" s="1274"/>
      <c r="AT701" s="1229"/>
      <c r="AU701" s="1229"/>
      <c r="AV701" s="1229"/>
      <c r="AW701" s="1229"/>
      <c r="AX701" s="1274"/>
      <c r="AY701" s="1274"/>
      <c r="AZ701" s="1229"/>
      <c r="BA701" s="1229"/>
      <c r="BB701" s="1229"/>
      <c r="BC701" s="1229"/>
      <c r="BD701" s="1274"/>
      <c r="BE701" s="1274"/>
      <c r="BF701" s="1229"/>
      <c r="BG701" s="1229"/>
      <c r="BH701" s="1229"/>
      <c r="BI701" s="1222"/>
      <c r="BJ701" s="1350"/>
      <c r="BK701" s="1350"/>
      <c r="BL701" s="1222"/>
      <c r="BM701" s="1222"/>
      <c r="BN701" s="1222"/>
      <c r="BO701" s="1222"/>
    </row>
    <row r="702">
      <c r="A702" s="1222"/>
      <c r="B702" s="1229"/>
      <c r="C702" s="1349"/>
      <c r="D702" s="1229"/>
      <c r="E702" s="1229"/>
      <c r="F702" s="1229"/>
      <c r="G702" s="1229"/>
      <c r="H702" s="1229"/>
      <c r="I702" s="1229"/>
      <c r="J702" s="1229"/>
      <c r="K702" s="1229"/>
      <c r="L702" s="1229"/>
      <c r="M702" s="1229"/>
      <c r="N702" s="1274"/>
      <c r="O702" s="1274"/>
      <c r="P702" s="1229"/>
      <c r="Q702" s="1229"/>
      <c r="R702" s="1229"/>
      <c r="S702" s="1229"/>
      <c r="T702" s="1274"/>
      <c r="U702" s="1274"/>
      <c r="V702" s="1229"/>
      <c r="W702" s="1229"/>
      <c r="X702" s="1229"/>
      <c r="Y702" s="1229"/>
      <c r="Z702" s="1274"/>
      <c r="AA702" s="1274"/>
      <c r="AB702" s="1229"/>
      <c r="AC702" s="1229"/>
      <c r="AD702" s="1229"/>
      <c r="AE702" s="1229"/>
      <c r="AF702" s="1274"/>
      <c r="AG702" s="1274"/>
      <c r="AH702" s="1229"/>
      <c r="AI702" s="1229"/>
      <c r="AJ702" s="1229"/>
      <c r="AK702" s="1229"/>
      <c r="AL702" s="1274"/>
      <c r="AM702" s="1274"/>
      <c r="AN702" s="1229"/>
      <c r="AO702" s="1229"/>
      <c r="AP702" s="1229"/>
      <c r="AQ702" s="1229"/>
      <c r="AR702" s="1274"/>
      <c r="AS702" s="1274"/>
      <c r="AT702" s="1229"/>
      <c r="AU702" s="1229"/>
      <c r="AV702" s="1229"/>
      <c r="AW702" s="1229"/>
      <c r="AX702" s="1274"/>
      <c r="AY702" s="1274"/>
      <c r="AZ702" s="1229"/>
      <c r="BA702" s="1229"/>
      <c r="BB702" s="1229"/>
      <c r="BC702" s="1229"/>
      <c r="BD702" s="1274"/>
      <c r="BE702" s="1274"/>
      <c r="BF702" s="1229"/>
      <c r="BG702" s="1229"/>
      <c r="BH702" s="1229"/>
      <c r="BI702" s="1222"/>
      <c r="BJ702" s="1350"/>
      <c r="BK702" s="1350"/>
      <c r="BL702" s="1222"/>
      <c r="BM702" s="1222"/>
      <c r="BN702" s="1222"/>
      <c r="BO702" s="1222"/>
    </row>
    <row r="703">
      <c r="A703" s="1222"/>
      <c r="B703" s="1229"/>
      <c r="C703" s="1349"/>
      <c r="D703" s="1229"/>
      <c r="E703" s="1229"/>
      <c r="F703" s="1229"/>
      <c r="G703" s="1229"/>
      <c r="H703" s="1229"/>
      <c r="I703" s="1229"/>
      <c r="J703" s="1229"/>
      <c r="K703" s="1229"/>
      <c r="L703" s="1229"/>
      <c r="M703" s="1229"/>
      <c r="N703" s="1274"/>
      <c r="O703" s="1274"/>
      <c r="P703" s="1229"/>
      <c r="Q703" s="1229"/>
      <c r="R703" s="1229"/>
      <c r="S703" s="1229"/>
      <c r="T703" s="1274"/>
      <c r="U703" s="1274"/>
      <c r="V703" s="1229"/>
      <c r="W703" s="1229"/>
      <c r="X703" s="1229"/>
      <c r="Y703" s="1229"/>
      <c r="Z703" s="1274"/>
      <c r="AA703" s="1274"/>
      <c r="AB703" s="1229"/>
      <c r="AC703" s="1229"/>
      <c r="AD703" s="1229"/>
      <c r="AE703" s="1229"/>
      <c r="AF703" s="1274"/>
      <c r="AG703" s="1274"/>
      <c r="AH703" s="1229"/>
      <c r="AI703" s="1229"/>
      <c r="AJ703" s="1229"/>
      <c r="AK703" s="1229"/>
      <c r="AL703" s="1274"/>
      <c r="AM703" s="1274"/>
      <c r="AN703" s="1229"/>
      <c r="AO703" s="1229"/>
      <c r="AP703" s="1229"/>
      <c r="AQ703" s="1229"/>
      <c r="AR703" s="1274"/>
      <c r="AS703" s="1274"/>
      <c r="AT703" s="1229"/>
      <c r="AU703" s="1229"/>
      <c r="AV703" s="1229"/>
      <c r="AW703" s="1229"/>
      <c r="AX703" s="1274"/>
      <c r="AY703" s="1274"/>
      <c r="AZ703" s="1229"/>
      <c r="BA703" s="1229"/>
      <c r="BB703" s="1229"/>
      <c r="BC703" s="1229"/>
      <c r="BD703" s="1274"/>
      <c r="BE703" s="1274"/>
      <c r="BF703" s="1229"/>
      <c r="BG703" s="1229"/>
      <c r="BH703" s="1229"/>
      <c r="BI703" s="1222"/>
      <c r="BJ703" s="1350"/>
      <c r="BK703" s="1350"/>
      <c r="BL703" s="1222"/>
      <c r="BM703" s="1222"/>
      <c r="BN703" s="1222"/>
      <c r="BO703" s="1222"/>
    </row>
    <row r="704">
      <c r="A704" s="1222"/>
      <c r="B704" s="1229"/>
      <c r="C704" s="1349"/>
      <c r="D704" s="1229"/>
      <c r="E704" s="1229"/>
      <c r="F704" s="1229"/>
      <c r="G704" s="1229"/>
      <c r="H704" s="1229"/>
      <c r="I704" s="1229"/>
      <c r="J704" s="1229"/>
      <c r="K704" s="1229"/>
      <c r="L704" s="1229"/>
      <c r="M704" s="1229"/>
      <c r="N704" s="1274"/>
      <c r="O704" s="1274"/>
      <c r="P704" s="1229"/>
      <c r="Q704" s="1229"/>
      <c r="R704" s="1229"/>
      <c r="S704" s="1229"/>
      <c r="T704" s="1274"/>
      <c r="U704" s="1274"/>
      <c r="V704" s="1229"/>
      <c r="W704" s="1229"/>
      <c r="X704" s="1229"/>
      <c r="Y704" s="1229"/>
      <c r="Z704" s="1274"/>
      <c r="AA704" s="1274"/>
      <c r="AB704" s="1229"/>
      <c r="AC704" s="1229"/>
      <c r="AD704" s="1229"/>
      <c r="AE704" s="1229"/>
      <c r="AF704" s="1274"/>
      <c r="AG704" s="1274"/>
      <c r="AH704" s="1229"/>
      <c r="AI704" s="1229"/>
      <c r="AJ704" s="1229"/>
      <c r="AK704" s="1229"/>
      <c r="AL704" s="1274"/>
      <c r="AM704" s="1274"/>
      <c r="AN704" s="1229"/>
      <c r="AO704" s="1229"/>
      <c r="AP704" s="1229"/>
      <c r="AQ704" s="1229"/>
      <c r="AR704" s="1274"/>
      <c r="AS704" s="1274"/>
      <c r="AT704" s="1229"/>
      <c r="AU704" s="1229"/>
      <c r="AV704" s="1229"/>
      <c r="AW704" s="1229"/>
      <c r="AX704" s="1274"/>
      <c r="AY704" s="1274"/>
      <c r="AZ704" s="1229"/>
      <c r="BA704" s="1229"/>
      <c r="BB704" s="1229"/>
      <c r="BC704" s="1229"/>
      <c r="BD704" s="1274"/>
      <c r="BE704" s="1274"/>
      <c r="BF704" s="1229"/>
      <c r="BG704" s="1229"/>
      <c r="BH704" s="1229"/>
      <c r="BI704" s="1222"/>
      <c r="BJ704" s="1350"/>
      <c r="BK704" s="1350"/>
      <c r="BL704" s="1222"/>
      <c r="BM704" s="1222"/>
      <c r="BN704" s="1222"/>
      <c r="BO704" s="1222"/>
    </row>
    <row r="705">
      <c r="A705" s="1222"/>
      <c r="B705" s="1229"/>
      <c r="C705" s="1349"/>
      <c r="D705" s="1229"/>
      <c r="E705" s="1229"/>
      <c r="F705" s="1229"/>
      <c r="G705" s="1229"/>
      <c r="H705" s="1229"/>
      <c r="I705" s="1229"/>
      <c r="J705" s="1229"/>
      <c r="K705" s="1229"/>
      <c r="L705" s="1229"/>
      <c r="M705" s="1229"/>
      <c r="N705" s="1274"/>
      <c r="O705" s="1274"/>
      <c r="P705" s="1229"/>
      <c r="Q705" s="1229"/>
      <c r="R705" s="1229"/>
      <c r="S705" s="1229"/>
      <c r="T705" s="1274"/>
      <c r="U705" s="1274"/>
      <c r="V705" s="1229"/>
      <c r="W705" s="1229"/>
      <c r="X705" s="1229"/>
      <c r="Y705" s="1229"/>
      <c r="Z705" s="1274"/>
      <c r="AA705" s="1274"/>
      <c r="AB705" s="1229"/>
      <c r="AC705" s="1229"/>
      <c r="AD705" s="1229"/>
      <c r="AE705" s="1229"/>
      <c r="AF705" s="1274"/>
      <c r="AG705" s="1274"/>
      <c r="AH705" s="1229"/>
      <c r="AI705" s="1229"/>
      <c r="AJ705" s="1229"/>
      <c r="AK705" s="1229"/>
      <c r="AL705" s="1274"/>
      <c r="AM705" s="1274"/>
      <c r="AN705" s="1229"/>
      <c r="AO705" s="1229"/>
      <c r="AP705" s="1229"/>
      <c r="AQ705" s="1229"/>
      <c r="AR705" s="1274"/>
      <c r="AS705" s="1274"/>
      <c r="AT705" s="1229"/>
      <c r="AU705" s="1229"/>
      <c r="AV705" s="1229"/>
      <c r="AW705" s="1229"/>
      <c r="AX705" s="1274"/>
      <c r="AY705" s="1274"/>
      <c r="AZ705" s="1229"/>
      <c r="BA705" s="1229"/>
      <c r="BB705" s="1229"/>
      <c r="BC705" s="1229"/>
      <c r="BD705" s="1274"/>
      <c r="BE705" s="1274"/>
      <c r="BF705" s="1229"/>
      <c r="BG705" s="1229"/>
      <c r="BH705" s="1229"/>
      <c r="BI705" s="1222"/>
      <c r="BJ705" s="1350"/>
      <c r="BK705" s="1350"/>
      <c r="BL705" s="1222"/>
      <c r="BM705" s="1222"/>
      <c r="BN705" s="1222"/>
      <c r="BO705" s="1222"/>
    </row>
    <row r="706">
      <c r="A706" s="1222"/>
      <c r="B706" s="1229"/>
      <c r="C706" s="1349"/>
      <c r="D706" s="1229"/>
      <c r="E706" s="1229"/>
      <c r="F706" s="1229"/>
      <c r="G706" s="1229"/>
      <c r="H706" s="1229"/>
      <c r="I706" s="1229"/>
      <c r="J706" s="1229"/>
      <c r="K706" s="1229"/>
      <c r="L706" s="1229"/>
      <c r="M706" s="1229"/>
      <c r="N706" s="1274"/>
      <c r="O706" s="1274"/>
      <c r="P706" s="1229"/>
      <c r="Q706" s="1229"/>
      <c r="R706" s="1229"/>
      <c r="S706" s="1229"/>
      <c r="T706" s="1274"/>
      <c r="U706" s="1274"/>
      <c r="V706" s="1229"/>
      <c r="W706" s="1229"/>
      <c r="X706" s="1229"/>
      <c r="Y706" s="1229"/>
      <c r="Z706" s="1274"/>
      <c r="AA706" s="1274"/>
      <c r="AB706" s="1229"/>
      <c r="AC706" s="1229"/>
      <c r="AD706" s="1229"/>
      <c r="AE706" s="1229"/>
      <c r="AF706" s="1274"/>
      <c r="AG706" s="1274"/>
      <c r="AH706" s="1229"/>
      <c r="AI706" s="1229"/>
      <c r="AJ706" s="1229"/>
      <c r="AK706" s="1229"/>
      <c r="AL706" s="1274"/>
      <c r="AM706" s="1274"/>
      <c r="AN706" s="1229"/>
      <c r="AO706" s="1229"/>
      <c r="AP706" s="1229"/>
      <c r="AQ706" s="1229"/>
      <c r="AR706" s="1274"/>
      <c r="AS706" s="1274"/>
      <c r="AT706" s="1229"/>
      <c r="AU706" s="1229"/>
      <c r="AV706" s="1229"/>
      <c r="AW706" s="1229"/>
      <c r="AX706" s="1274"/>
      <c r="AY706" s="1274"/>
      <c r="AZ706" s="1229"/>
      <c r="BA706" s="1229"/>
      <c r="BB706" s="1229"/>
      <c r="BC706" s="1229"/>
      <c r="BD706" s="1274"/>
      <c r="BE706" s="1274"/>
      <c r="BF706" s="1229"/>
      <c r="BG706" s="1229"/>
      <c r="BH706" s="1229"/>
      <c r="BI706" s="1222"/>
      <c r="BJ706" s="1350"/>
      <c r="BK706" s="1350"/>
      <c r="BL706" s="1222"/>
      <c r="BM706" s="1222"/>
      <c r="BN706" s="1222"/>
      <c r="BO706" s="1222"/>
    </row>
    <row r="707">
      <c r="A707" s="1222"/>
      <c r="B707" s="1229"/>
      <c r="C707" s="1349"/>
      <c r="D707" s="1229"/>
      <c r="E707" s="1229"/>
      <c r="F707" s="1229"/>
      <c r="G707" s="1229"/>
      <c r="H707" s="1229"/>
      <c r="I707" s="1229"/>
      <c r="J707" s="1229"/>
      <c r="K707" s="1229"/>
      <c r="L707" s="1229"/>
      <c r="M707" s="1229"/>
      <c r="N707" s="1274"/>
      <c r="O707" s="1274"/>
      <c r="P707" s="1229"/>
      <c r="Q707" s="1229"/>
      <c r="R707" s="1229"/>
      <c r="S707" s="1229"/>
      <c r="T707" s="1274"/>
      <c r="U707" s="1274"/>
      <c r="V707" s="1229"/>
      <c r="W707" s="1229"/>
      <c r="X707" s="1229"/>
      <c r="Y707" s="1229"/>
      <c r="Z707" s="1274"/>
      <c r="AA707" s="1274"/>
      <c r="AB707" s="1229"/>
      <c r="AC707" s="1229"/>
      <c r="AD707" s="1229"/>
      <c r="AE707" s="1229"/>
      <c r="AF707" s="1274"/>
      <c r="AG707" s="1274"/>
      <c r="AH707" s="1229"/>
      <c r="AI707" s="1229"/>
      <c r="AJ707" s="1229"/>
      <c r="AK707" s="1229"/>
      <c r="AL707" s="1274"/>
      <c r="AM707" s="1274"/>
      <c r="AN707" s="1229"/>
      <c r="AO707" s="1229"/>
      <c r="AP707" s="1229"/>
      <c r="AQ707" s="1229"/>
      <c r="AR707" s="1274"/>
      <c r="AS707" s="1274"/>
      <c r="AT707" s="1229"/>
      <c r="AU707" s="1229"/>
      <c r="AV707" s="1229"/>
      <c r="AW707" s="1229"/>
      <c r="AX707" s="1274"/>
      <c r="AY707" s="1274"/>
      <c r="AZ707" s="1229"/>
      <c r="BA707" s="1229"/>
      <c r="BB707" s="1229"/>
      <c r="BC707" s="1229"/>
      <c r="BD707" s="1274"/>
      <c r="BE707" s="1274"/>
      <c r="BF707" s="1229"/>
      <c r="BG707" s="1229"/>
      <c r="BH707" s="1229"/>
      <c r="BI707" s="1222"/>
      <c r="BJ707" s="1350"/>
      <c r="BK707" s="1350"/>
      <c r="BL707" s="1222"/>
      <c r="BM707" s="1222"/>
      <c r="BN707" s="1222"/>
      <c r="BO707" s="1222"/>
    </row>
    <row r="708">
      <c r="A708" s="1222"/>
      <c r="B708" s="1229"/>
      <c r="C708" s="1349"/>
      <c r="D708" s="1229"/>
      <c r="E708" s="1229"/>
      <c r="F708" s="1229"/>
      <c r="G708" s="1229"/>
      <c r="H708" s="1229"/>
      <c r="I708" s="1229"/>
      <c r="J708" s="1229"/>
      <c r="K708" s="1229"/>
      <c r="L708" s="1229"/>
      <c r="M708" s="1229"/>
      <c r="N708" s="1274"/>
      <c r="O708" s="1274"/>
      <c r="P708" s="1229"/>
      <c r="Q708" s="1229"/>
      <c r="R708" s="1229"/>
      <c r="S708" s="1229"/>
      <c r="T708" s="1274"/>
      <c r="U708" s="1274"/>
      <c r="V708" s="1229"/>
      <c r="W708" s="1229"/>
      <c r="X708" s="1229"/>
      <c r="Y708" s="1229"/>
      <c r="Z708" s="1274"/>
      <c r="AA708" s="1274"/>
      <c r="AB708" s="1229"/>
      <c r="AC708" s="1229"/>
      <c r="AD708" s="1229"/>
      <c r="AE708" s="1229"/>
      <c r="AF708" s="1274"/>
      <c r="AG708" s="1274"/>
      <c r="AH708" s="1229"/>
      <c r="AI708" s="1229"/>
      <c r="AJ708" s="1229"/>
      <c r="AK708" s="1229"/>
      <c r="AL708" s="1274"/>
      <c r="AM708" s="1274"/>
      <c r="AN708" s="1229"/>
      <c r="AO708" s="1229"/>
      <c r="AP708" s="1229"/>
      <c r="AQ708" s="1229"/>
      <c r="AR708" s="1274"/>
      <c r="AS708" s="1274"/>
      <c r="AT708" s="1229"/>
      <c r="AU708" s="1229"/>
      <c r="AV708" s="1229"/>
      <c r="AW708" s="1229"/>
      <c r="AX708" s="1274"/>
      <c r="AY708" s="1274"/>
      <c r="AZ708" s="1229"/>
      <c r="BA708" s="1229"/>
      <c r="BB708" s="1229"/>
      <c r="BC708" s="1229"/>
      <c r="BD708" s="1274"/>
      <c r="BE708" s="1274"/>
      <c r="BF708" s="1229"/>
      <c r="BG708" s="1229"/>
      <c r="BH708" s="1229"/>
      <c r="BI708" s="1222"/>
      <c r="BJ708" s="1350"/>
      <c r="BK708" s="1350"/>
      <c r="BL708" s="1222"/>
      <c r="BM708" s="1222"/>
      <c r="BN708" s="1222"/>
      <c r="BO708" s="1222"/>
    </row>
    <row r="709">
      <c r="A709" s="1222"/>
      <c r="B709" s="1229"/>
      <c r="C709" s="1349"/>
      <c r="D709" s="1229"/>
      <c r="E709" s="1229"/>
      <c r="F709" s="1229"/>
      <c r="G709" s="1229"/>
      <c r="H709" s="1229"/>
      <c r="I709" s="1229"/>
      <c r="J709" s="1229"/>
      <c r="K709" s="1229"/>
      <c r="L709" s="1229"/>
      <c r="M709" s="1229"/>
      <c r="N709" s="1274"/>
      <c r="O709" s="1274"/>
      <c r="P709" s="1229"/>
      <c r="Q709" s="1229"/>
      <c r="R709" s="1229"/>
      <c r="S709" s="1229"/>
      <c r="T709" s="1274"/>
      <c r="U709" s="1274"/>
      <c r="V709" s="1229"/>
      <c r="W709" s="1229"/>
      <c r="X709" s="1229"/>
      <c r="Y709" s="1229"/>
      <c r="Z709" s="1274"/>
      <c r="AA709" s="1274"/>
      <c r="AB709" s="1229"/>
      <c r="AC709" s="1229"/>
      <c r="AD709" s="1229"/>
      <c r="AE709" s="1229"/>
      <c r="AF709" s="1274"/>
      <c r="AG709" s="1274"/>
      <c r="AH709" s="1229"/>
      <c r="AI709" s="1229"/>
      <c r="AJ709" s="1229"/>
      <c r="AK709" s="1229"/>
      <c r="AL709" s="1274"/>
      <c r="AM709" s="1274"/>
      <c r="AN709" s="1229"/>
      <c r="AO709" s="1229"/>
      <c r="AP709" s="1229"/>
      <c r="AQ709" s="1229"/>
      <c r="AR709" s="1274"/>
      <c r="AS709" s="1274"/>
      <c r="AT709" s="1229"/>
      <c r="AU709" s="1229"/>
      <c r="AV709" s="1229"/>
      <c r="AW709" s="1229"/>
      <c r="AX709" s="1274"/>
      <c r="AY709" s="1274"/>
      <c r="AZ709" s="1229"/>
      <c r="BA709" s="1229"/>
      <c r="BB709" s="1229"/>
      <c r="BC709" s="1229"/>
      <c r="BD709" s="1274"/>
      <c r="BE709" s="1274"/>
      <c r="BF709" s="1229"/>
      <c r="BG709" s="1229"/>
      <c r="BH709" s="1229"/>
      <c r="BI709" s="1222"/>
      <c r="BJ709" s="1350"/>
      <c r="BK709" s="1350"/>
      <c r="BL709" s="1222"/>
      <c r="BM709" s="1222"/>
      <c r="BN709" s="1222"/>
      <c r="BO709" s="1222"/>
    </row>
    <row r="710">
      <c r="A710" s="1222"/>
      <c r="B710" s="1229"/>
      <c r="C710" s="1349"/>
      <c r="D710" s="1229"/>
      <c r="E710" s="1229"/>
      <c r="F710" s="1229"/>
      <c r="G710" s="1229"/>
      <c r="H710" s="1229"/>
      <c r="I710" s="1229"/>
      <c r="J710" s="1229"/>
      <c r="K710" s="1229"/>
      <c r="L710" s="1229"/>
      <c r="M710" s="1229"/>
      <c r="N710" s="1274"/>
      <c r="O710" s="1274"/>
      <c r="P710" s="1229"/>
      <c r="Q710" s="1229"/>
      <c r="R710" s="1229"/>
      <c r="S710" s="1229"/>
      <c r="T710" s="1274"/>
      <c r="U710" s="1274"/>
      <c r="V710" s="1229"/>
      <c r="W710" s="1229"/>
      <c r="X710" s="1229"/>
      <c r="Y710" s="1229"/>
      <c r="Z710" s="1274"/>
      <c r="AA710" s="1274"/>
      <c r="AB710" s="1229"/>
      <c r="AC710" s="1229"/>
      <c r="AD710" s="1229"/>
      <c r="AE710" s="1229"/>
      <c r="AF710" s="1274"/>
      <c r="AG710" s="1274"/>
      <c r="AH710" s="1229"/>
      <c r="AI710" s="1229"/>
      <c r="AJ710" s="1229"/>
      <c r="AK710" s="1229"/>
      <c r="AL710" s="1274"/>
      <c r="AM710" s="1274"/>
      <c r="AN710" s="1229"/>
      <c r="AO710" s="1229"/>
      <c r="AP710" s="1229"/>
      <c r="AQ710" s="1229"/>
      <c r="AR710" s="1274"/>
      <c r="AS710" s="1274"/>
      <c r="AT710" s="1229"/>
      <c r="AU710" s="1229"/>
      <c r="AV710" s="1229"/>
      <c r="AW710" s="1229"/>
      <c r="AX710" s="1274"/>
      <c r="AY710" s="1274"/>
      <c r="AZ710" s="1229"/>
      <c r="BA710" s="1229"/>
      <c r="BB710" s="1229"/>
      <c r="BC710" s="1229"/>
      <c r="BD710" s="1274"/>
      <c r="BE710" s="1274"/>
      <c r="BF710" s="1229"/>
      <c r="BG710" s="1229"/>
      <c r="BH710" s="1229"/>
      <c r="BI710" s="1222"/>
      <c r="BJ710" s="1350"/>
      <c r="BK710" s="1350"/>
      <c r="BL710" s="1222"/>
      <c r="BM710" s="1222"/>
      <c r="BN710" s="1222"/>
      <c r="BO710" s="1222"/>
    </row>
    <row r="711">
      <c r="A711" s="1222"/>
      <c r="B711" s="1229"/>
      <c r="C711" s="1349"/>
      <c r="D711" s="1229"/>
      <c r="E711" s="1229"/>
      <c r="F711" s="1229"/>
      <c r="G711" s="1229"/>
      <c r="H711" s="1229"/>
      <c r="I711" s="1229"/>
      <c r="J711" s="1229"/>
      <c r="K711" s="1229"/>
      <c r="L711" s="1229"/>
      <c r="M711" s="1229"/>
      <c r="N711" s="1274"/>
      <c r="O711" s="1274"/>
      <c r="P711" s="1229"/>
      <c r="Q711" s="1229"/>
      <c r="R711" s="1229"/>
      <c r="S711" s="1229"/>
      <c r="T711" s="1274"/>
      <c r="U711" s="1274"/>
      <c r="V711" s="1229"/>
      <c r="W711" s="1229"/>
      <c r="X711" s="1229"/>
      <c r="Y711" s="1229"/>
      <c r="Z711" s="1274"/>
      <c r="AA711" s="1274"/>
      <c r="AB711" s="1229"/>
      <c r="AC711" s="1229"/>
      <c r="AD711" s="1229"/>
      <c r="AE711" s="1229"/>
      <c r="AF711" s="1274"/>
      <c r="AG711" s="1274"/>
      <c r="AH711" s="1229"/>
      <c r="AI711" s="1229"/>
      <c r="AJ711" s="1229"/>
      <c r="AK711" s="1229"/>
      <c r="AL711" s="1274"/>
      <c r="AM711" s="1274"/>
      <c r="AN711" s="1229"/>
      <c r="AO711" s="1229"/>
      <c r="AP711" s="1229"/>
      <c r="AQ711" s="1229"/>
      <c r="AR711" s="1274"/>
      <c r="AS711" s="1274"/>
      <c r="AT711" s="1229"/>
      <c r="AU711" s="1229"/>
      <c r="AV711" s="1229"/>
      <c r="AW711" s="1229"/>
      <c r="AX711" s="1274"/>
      <c r="AY711" s="1274"/>
      <c r="AZ711" s="1229"/>
      <c r="BA711" s="1229"/>
      <c r="BB711" s="1229"/>
      <c r="BC711" s="1229"/>
      <c r="BD711" s="1274"/>
      <c r="BE711" s="1274"/>
      <c r="BF711" s="1229"/>
      <c r="BG711" s="1229"/>
      <c r="BH711" s="1229"/>
      <c r="BI711" s="1222"/>
      <c r="BJ711" s="1350"/>
      <c r="BK711" s="1350"/>
      <c r="BL711" s="1222"/>
      <c r="BM711" s="1222"/>
      <c r="BN711" s="1222"/>
      <c r="BO711" s="1222"/>
    </row>
    <row r="712">
      <c r="A712" s="1222"/>
      <c r="B712" s="1229"/>
      <c r="C712" s="1349"/>
      <c r="D712" s="1229"/>
      <c r="E712" s="1229"/>
      <c r="F712" s="1229"/>
      <c r="G712" s="1229"/>
      <c r="H712" s="1229"/>
      <c r="I712" s="1229"/>
      <c r="J712" s="1229"/>
      <c r="K712" s="1229"/>
      <c r="L712" s="1229"/>
      <c r="M712" s="1229"/>
      <c r="N712" s="1274"/>
      <c r="O712" s="1274"/>
      <c r="P712" s="1229"/>
      <c r="Q712" s="1229"/>
      <c r="R712" s="1229"/>
      <c r="S712" s="1229"/>
      <c r="T712" s="1274"/>
      <c r="U712" s="1274"/>
      <c r="V712" s="1229"/>
      <c r="W712" s="1229"/>
      <c r="X712" s="1229"/>
      <c r="Y712" s="1229"/>
      <c r="Z712" s="1274"/>
      <c r="AA712" s="1274"/>
      <c r="AB712" s="1229"/>
      <c r="AC712" s="1229"/>
      <c r="AD712" s="1229"/>
      <c r="AE712" s="1229"/>
      <c r="AF712" s="1274"/>
      <c r="AG712" s="1274"/>
      <c r="AH712" s="1229"/>
      <c r="AI712" s="1229"/>
      <c r="AJ712" s="1229"/>
      <c r="AK712" s="1229"/>
      <c r="AL712" s="1274"/>
      <c r="AM712" s="1274"/>
      <c r="AN712" s="1229"/>
      <c r="AO712" s="1229"/>
      <c r="AP712" s="1229"/>
      <c r="AQ712" s="1229"/>
      <c r="AR712" s="1274"/>
      <c r="AS712" s="1274"/>
      <c r="AT712" s="1229"/>
      <c r="AU712" s="1229"/>
      <c r="AV712" s="1229"/>
      <c r="AW712" s="1229"/>
      <c r="AX712" s="1274"/>
      <c r="AY712" s="1274"/>
      <c r="AZ712" s="1229"/>
      <c r="BA712" s="1229"/>
      <c r="BB712" s="1229"/>
      <c r="BC712" s="1229"/>
      <c r="BD712" s="1274"/>
      <c r="BE712" s="1274"/>
      <c r="BF712" s="1229"/>
      <c r="BG712" s="1229"/>
      <c r="BH712" s="1229"/>
      <c r="BI712" s="1222"/>
      <c r="BJ712" s="1350"/>
      <c r="BK712" s="1350"/>
      <c r="BL712" s="1222"/>
      <c r="BM712" s="1222"/>
      <c r="BN712" s="1222"/>
      <c r="BO712" s="1222"/>
    </row>
    <row r="713">
      <c r="A713" s="1222"/>
      <c r="B713" s="1229"/>
      <c r="C713" s="1349"/>
      <c r="D713" s="1229"/>
      <c r="E713" s="1229"/>
      <c r="F713" s="1229"/>
      <c r="G713" s="1229"/>
      <c r="H713" s="1229"/>
      <c r="I713" s="1229"/>
      <c r="J713" s="1229"/>
      <c r="K713" s="1229"/>
      <c r="L713" s="1229"/>
      <c r="M713" s="1229"/>
      <c r="N713" s="1274"/>
      <c r="O713" s="1274"/>
      <c r="P713" s="1229"/>
      <c r="Q713" s="1229"/>
      <c r="R713" s="1229"/>
      <c r="S713" s="1229"/>
      <c r="T713" s="1274"/>
      <c r="U713" s="1274"/>
      <c r="V713" s="1229"/>
      <c r="W713" s="1229"/>
      <c r="X713" s="1229"/>
      <c r="Y713" s="1229"/>
      <c r="Z713" s="1274"/>
      <c r="AA713" s="1274"/>
      <c r="AB713" s="1229"/>
      <c r="AC713" s="1229"/>
      <c r="AD713" s="1229"/>
      <c r="AE713" s="1229"/>
      <c r="AF713" s="1274"/>
      <c r="AG713" s="1274"/>
      <c r="AH713" s="1229"/>
      <c r="AI713" s="1229"/>
      <c r="AJ713" s="1229"/>
      <c r="AK713" s="1229"/>
      <c r="AL713" s="1274"/>
      <c r="AM713" s="1274"/>
      <c r="AN713" s="1229"/>
      <c r="AO713" s="1229"/>
      <c r="AP713" s="1229"/>
      <c r="AQ713" s="1229"/>
      <c r="AR713" s="1274"/>
      <c r="AS713" s="1274"/>
      <c r="AT713" s="1229"/>
      <c r="AU713" s="1229"/>
      <c r="AV713" s="1229"/>
      <c r="AW713" s="1229"/>
      <c r="AX713" s="1274"/>
      <c r="AY713" s="1274"/>
      <c r="AZ713" s="1229"/>
      <c r="BA713" s="1229"/>
      <c r="BB713" s="1229"/>
      <c r="BC713" s="1229"/>
      <c r="BD713" s="1274"/>
      <c r="BE713" s="1274"/>
      <c r="BF713" s="1229"/>
      <c r="BG713" s="1229"/>
      <c r="BH713" s="1229"/>
      <c r="BI713" s="1222"/>
      <c r="BJ713" s="1350"/>
      <c r="BK713" s="1350"/>
      <c r="BL713" s="1222"/>
      <c r="BM713" s="1222"/>
      <c r="BN713" s="1222"/>
      <c r="BO713" s="1222"/>
    </row>
    <row r="714">
      <c r="A714" s="1222"/>
      <c r="B714" s="1229"/>
      <c r="C714" s="1349"/>
      <c r="D714" s="1229"/>
      <c r="E714" s="1229"/>
      <c r="F714" s="1229"/>
      <c r="G714" s="1229"/>
      <c r="H714" s="1229"/>
      <c r="I714" s="1229"/>
      <c r="J714" s="1229"/>
      <c r="K714" s="1229"/>
      <c r="L714" s="1229"/>
      <c r="M714" s="1229"/>
      <c r="N714" s="1274"/>
      <c r="O714" s="1274"/>
      <c r="P714" s="1229"/>
      <c r="Q714" s="1229"/>
      <c r="R714" s="1229"/>
      <c r="S714" s="1229"/>
      <c r="T714" s="1274"/>
      <c r="U714" s="1274"/>
      <c r="V714" s="1229"/>
      <c r="W714" s="1229"/>
      <c r="X714" s="1229"/>
      <c r="Y714" s="1229"/>
      <c r="Z714" s="1274"/>
      <c r="AA714" s="1274"/>
      <c r="AB714" s="1229"/>
      <c r="AC714" s="1229"/>
      <c r="AD714" s="1229"/>
      <c r="AE714" s="1229"/>
      <c r="AF714" s="1274"/>
      <c r="AG714" s="1274"/>
      <c r="AH714" s="1229"/>
      <c r="AI714" s="1229"/>
      <c r="AJ714" s="1229"/>
      <c r="AK714" s="1229"/>
      <c r="AL714" s="1274"/>
      <c r="AM714" s="1274"/>
      <c r="AN714" s="1229"/>
      <c r="AO714" s="1229"/>
      <c r="AP714" s="1229"/>
      <c r="AQ714" s="1229"/>
      <c r="AR714" s="1274"/>
      <c r="AS714" s="1274"/>
      <c r="AT714" s="1229"/>
      <c r="AU714" s="1229"/>
      <c r="AV714" s="1229"/>
      <c r="AW714" s="1229"/>
      <c r="AX714" s="1274"/>
      <c r="AY714" s="1274"/>
      <c r="AZ714" s="1229"/>
      <c r="BA714" s="1229"/>
      <c r="BB714" s="1229"/>
      <c r="BC714" s="1229"/>
      <c r="BD714" s="1274"/>
      <c r="BE714" s="1274"/>
      <c r="BF714" s="1229"/>
      <c r="BG714" s="1229"/>
      <c r="BH714" s="1229"/>
      <c r="BI714" s="1222"/>
      <c r="BJ714" s="1350"/>
      <c r="BK714" s="1350"/>
      <c r="BL714" s="1222"/>
      <c r="BM714" s="1222"/>
      <c r="BN714" s="1222"/>
      <c r="BO714" s="1222"/>
    </row>
    <row r="715">
      <c r="A715" s="1222"/>
      <c r="B715" s="1229"/>
      <c r="C715" s="1349"/>
      <c r="D715" s="1229"/>
      <c r="E715" s="1229"/>
      <c r="F715" s="1229"/>
      <c r="G715" s="1229"/>
      <c r="H715" s="1229"/>
      <c r="I715" s="1229"/>
      <c r="J715" s="1229"/>
      <c r="K715" s="1229"/>
      <c r="L715" s="1229"/>
      <c r="M715" s="1229"/>
      <c r="N715" s="1274"/>
      <c r="O715" s="1274"/>
      <c r="P715" s="1229"/>
      <c r="Q715" s="1229"/>
      <c r="R715" s="1229"/>
      <c r="S715" s="1229"/>
      <c r="T715" s="1274"/>
      <c r="U715" s="1274"/>
      <c r="V715" s="1229"/>
      <c r="W715" s="1229"/>
      <c r="X715" s="1229"/>
      <c r="Y715" s="1229"/>
      <c r="Z715" s="1274"/>
      <c r="AA715" s="1274"/>
      <c r="AB715" s="1229"/>
      <c r="AC715" s="1229"/>
      <c r="AD715" s="1229"/>
      <c r="AE715" s="1229"/>
      <c r="AF715" s="1274"/>
      <c r="AG715" s="1274"/>
      <c r="AH715" s="1229"/>
      <c r="AI715" s="1229"/>
      <c r="AJ715" s="1229"/>
      <c r="AK715" s="1229"/>
      <c r="AL715" s="1274"/>
      <c r="AM715" s="1274"/>
      <c r="AN715" s="1229"/>
      <c r="AO715" s="1229"/>
      <c r="AP715" s="1229"/>
      <c r="AQ715" s="1229"/>
      <c r="AR715" s="1274"/>
      <c r="AS715" s="1274"/>
      <c r="AT715" s="1229"/>
      <c r="AU715" s="1229"/>
      <c r="AV715" s="1229"/>
      <c r="AW715" s="1229"/>
      <c r="AX715" s="1274"/>
      <c r="AY715" s="1274"/>
      <c r="AZ715" s="1229"/>
      <c r="BA715" s="1229"/>
      <c r="BB715" s="1229"/>
      <c r="BC715" s="1229"/>
      <c r="BD715" s="1274"/>
      <c r="BE715" s="1274"/>
      <c r="BF715" s="1229"/>
      <c r="BG715" s="1229"/>
      <c r="BH715" s="1229"/>
      <c r="BI715" s="1222"/>
      <c r="BJ715" s="1350"/>
      <c r="BK715" s="1350"/>
      <c r="BL715" s="1222"/>
      <c r="BM715" s="1222"/>
      <c r="BN715" s="1222"/>
      <c r="BO715" s="1222"/>
    </row>
    <row r="716">
      <c r="A716" s="1222"/>
      <c r="B716" s="1229"/>
      <c r="C716" s="1349"/>
      <c r="D716" s="1229"/>
      <c r="E716" s="1229"/>
      <c r="F716" s="1229"/>
      <c r="G716" s="1229"/>
      <c r="H716" s="1229"/>
      <c r="I716" s="1229"/>
      <c r="J716" s="1229"/>
      <c r="K716" s="1229"/>
      <c r="L716" s="1229"/>
      <c r="M716" s="1229"/>
      <c r="N716" s="1274"/>
      <c r="O716" s="1274"/>
      <c r="P716" s="1229"/>
      <c r="Q716" s="1229"/>
      <c r="R716" s="1229"/>
      <c r="S716" s="1229"/>
      <c r="T716" s="1274"/>
      <c r="U716" s="1274"/>
      <c r="V716" s="1229"/>
      <c r="W716" s="1229"/>
      <c r="X716" s="1229"/>
      <c r="Y716" s="1229"/>
      <c r="Z716" s="1274"/>
      <c r="AA716" s="1274"/>
      <c r="AB716" s="1229"/>
      <c r="AC716" s="1229"/>
      <c r="AD716" s="1229"/>
      <c r="AE716" s="1229"/>
      <c r="AF716" s="1274"/>
      <c r="AG716" s="1274"/>
      <c r="AH716" s="1229"/>
      <c r="AI716" s="1229"/>
      <c r="AJ716" s="1229"/>
      <c r="AK716" s="1229"/>
      <c r="AL716" s="1274"/>
      <c r="AM716" s="1274"/>
      <c r="AN716" s="1229"/>
      <c r="AO716" s="1229"/>
      <c r="AP716" s="1229"/>
      <c r="AQ716" s="1229"/>
      <c r="AR716" s="1274"/>
      <c r="AS716" s="1274"/>
      <c r="AT716" s="1229"/>
      <c r="AU716" s="1229"/>
      <c r="AV716" s="1229"/>
      <c r="AW716" s="1229"/>
      <c r="AX716" s="1274"/>
      <c r="AY716" s="1274"/>
      <c r="AZ716" s="1229"/>
      <c r="BA716" s="1229"/>
      <c r="BB716" s="1229"/>
      <c r="BC716" s="1229"/>
      <c r="BD716" s="1274"/>
      <c r="BE716" s="1274"/>
      <c r="BF716" s="1229"/>
      <c r="BG716" s="1229"/>
      <c r="BH716" s="1229"/>
      <c r="BI716" s="1222"/>
      <c r="BJ716" s="1350"/>
      <c r="BK716" s="1350"/>
      <c r="BL716" s="1222"/>
      <c r="BM716" s="1222"/>
      <c r="BN716" s="1222"/>
      <c r="BO716" s="1222"/>
    </row>
    <row r="717">
      <c r="A717" s="1222"/>
      <c r="B717" s="1229"/>
      <c r="C717" s="1349"/>
      <c r="D717" s="1229"/>
      <c r="E717" s="1229"/>
      <c r="F717" s="1229"/>
      <c r="G717" s="1229"/>
      <c r="H717" s="1229"/>
      <c r="I717" s="1229"/>
      <c r="J717" s="1229"/>
      <c r="K717" s="1229"/>
      <c r="L717" s="1229"/>
      <c r="M717" s="1229"/>
      <c r="N717" s="1274"/>
      <c r="O717" s="1274"/>
      <c r="P717" s="1229"/>
      <c r="Q717" s="1229"/>
      <c r="R717" s="1229"/>
      <c r="S717" s="1229"/>
      <c r="T717" s="1274"/>
      <c r="U717" s="1274"/>
      <c r="V717" s="1229"/>
      <c r="W717" s="1229"/>
      <c r="X717" s="1229"/>
      <c r="Y717" s="1229"/>
      <c r="Z717" s="1274"/>
      <c r="AA717" s="1274"/>
      <c r="AB717" s="1229"/>
      <c r="AC717" s="1229"/>
      <c r="AD717" s="1229"/>
      <c r="AE717" s="1229"/>
      <c r="AF717" s="1274"/>
      <c r="AG717" s="1274"/>
      <c r="AH717" s="1229"/>
      <c r="AI717" s="1229"/>
      <c r="AJ717" s="1229"/>
      <c r="AK717" s="1229"/>
      <c r="AL717" s="1274"/>
      <c r="AM717" s="1274"/>
      <c r="AN717" s="1229"/>
      <c r="AO717" s="1229"/>
      <c r="AP717" s="1229"/>
      <c r="AQ717" s="1229"/>
      <c r="AR717" s="1274"/>
      <c r="AS717" s="1274"/>
      <c r="AT717" s="1229"/>
      <c r="AU717" s="1229"/>
      <c r="AV717" s="1229"/>
      <c r="AW717" s="1229"/>
      <c r="AX717" s="1274"/>
      <c r="AY717" s="1274"/>
      <c r="AZ717" s="1229"/>
      <c r="BA717" s="1229"/>
      <c r="BB717" s="1229"/>
      <c r="BC717" s="1229"/>
      <c r="BD717" s="1274"/>
      <c r="BE717" s="1274"/>
      <c r="BF717" s="1229"/>
      <c r="BG717" s="1229"/>
      <c r="BH717" s="1229"/>
      <c r="BI717" s="1222"/>
      <c r="BJ717" s="1350"/>
      <c r="BK717" s="1350"/>
      <c r="BL717" s="1222"/>
      <c r="BM717" s="1222"/>
      <c r="BN717" s="1222"/>
      <c r="BO717" s="1222"/>
    </row>
    <row r="718">
      <c r="A718" s="1222"/>
      <c r="B718" s="1229"/>
      <c r="C718" s="1349"/>
      <c r="D718" s="1229"/>
      <c r="E718" s="1229"/>
      <c r="F718" s="1229"/>
      <c r="G718" s="1229"/>
      <c r="H718" s="1229"/>
      <c r="I718" s="1229"/>
      <c r="J718" s="1229"/>
      <c r="K718" s="1229"/>
      <c r="L718" s="1229"/>
      <c r="M718" s="1229"/>
      <c r="N718" s="1274"/>
      <c r="O718" s="1274"/>
      <c r="P718" s="1229"/>
      <c r="Q718" s="1229"/>
      <c r="R718" s="1229"/>
      <c r="S718" s="1229"/>
      <c r="T718" s="1274"/>
      <c r="U718" s="1274"/>
      <c r="V718" s="1229"/>
      <c r="W718" s="1229"/>
      <c r="X718" s="1229"/>
      <c r="Y718" s="1229"/>
      <c r="Z718" s="1274"/>
      <c r="AA718" s="1274"/>
      <c r="AB718" s="1229"/>
      <c r="AC718" s="1229"/>
      <c r="AD718" s="1229"/>
      <c r="AE718" s="1229"/>
      <c r="AF718" s="1274"/>
      <c r="AG718" s="1274"/>
      <c r="AH718" s="1229"/>
      <c r="AI718" s="1229"/>
      <c r="AJ718" s="1229"/>
      <c r="AK718" s="1229"/>
      <c r="AL718" s="1274"/>
      <c r="AM718" s="1274"/>
      <c r="AN718" s="1229"/>
      <c r="AO718" s="1229"/>
      <c r="AP718" s="1229"/>
      <c r="AQ718" s="1229"/>
      <c r="AR718" s="1274"/>
      <c r="AS718" s="1274"/>
      <c r="AT718" s="1229"/>
      <c r="AU718" s="1229"/>
      <c r="AV718" s="1229"/>
      <c r="AW718" s="1229"/>
      <c r="AX718" s="1274"/>
      <c r="AY718" s="1274"/>
      <c r="AZ718" s="1229"/>
      <c r="BA718" s="1229"/>
      <c r="BB718" s="1229"/>
      <c r="BC718" s="1229"/>
      <c r="BD718" s="1274"/>
      <c r="BE718" s="1274"/>
      <c r="BF718" s="1229"/>
      <c r="BG718" s="1229"/>
      <c r="BH718" s="1229"/>
      <c r="BI718" s="1222"/>
      <c r="BJ718" s="1350"/>
      <c r="BK718" s="1350"/>
      <c r="BL718" s="1222"/>
      <c r="BM718" s="1222"/>
      <c r="BN718" s="1222"/>
      <c r="BO718" s="1222"/>
    </row>
    <row r="719">
      <c r="A719" s="1222"/>
      <c r="B719" s="1229"/>
      <c r="C719" s="1349"/>
      <c r="D719" s="1229"/>
      <c r="E719" s="1229"/>
      <c r="F719" s="1229"/>
      <c r="G719" s="1229"/>
      <c r="H719" s="1229"/>
      <c r="I719" s="1229"/>
      <c r="J719" s="1229"/>
      <c r="K719" s="1229"/>
      <c r="L719" s="1229"/>
      <c r="M719" s="1229"/>
      <c r="N719" s="1274"/>
      <c r="O719" s="1274"/>
      <c r="P719" s="1229"/>
      <c r="Q719" s="1229"/>
      <c r="R719" s="1229"/>
      <c r="S719" s="1229"/>
      <c r="T719" s="1274"/>
      <c r="U719" s="1274"/>
      <c r="V719" s="1229"/>
      <c r="W719" s="1229"/>
      <c r="X719" s="1229"/>
      <c r="Y719" s="1229"/>
      <c r="Z719" s="1274"/>
      <c r="AA719" s="1274"/>
      <c r="AB719" s="1229"/>
      <c r="AC719" s="1229"/>
      <c r="AD719" s="1229"/>
      <c r="AE719" s="1229"/>
      <c r="AF719" s="1274"/>
      <c r="AG719" s="1274"/>
      <c r="AH719" s="1229"/>
      <c r="AI719" s="1229"/>
      <c r="AJ719" s="1229"/>
      <c r="AK719" s="1229"/>
      <c r="AL719" s="1274"/>
      <c r="AM719" s="1274"/>
      <c r="AN719" s="1229"/>
      <c r="AO719" s="1229"/>
      <c r="AP719" s="1229"/>
      <c r="AQ719" s="1229"/>
      <c r="AR719" s="1274"/>
      <c r="AS719" s="1274"/>
      <c r="AT719" s="1229"/>
      <c r="AU719" s="1229"/>
      <c r="AV719" s="1229"/>
      <c r="AW719" s="1229"/>
      <c r="AX719" s="1274"/>
      <c r="AY719" s="1274"/>
      <c r="AZ719" s="1229"/>
      <c r="BA719" s="1229"/>
      <c r="BB719" s="1229"/>
      <c r="BC719" s="1229"/>
      <c r="BD719" s="1274"/>
      <c r="BE719" s="1274"/>
      <c r="BF719" s="1229"/>
      <c r="BG719" s="1229"/>
      <c r="BH719" s="1229"/>
      <c r="BI719" s="1222"/>
      <c r="BJ719" s="1350"/>
      <c r="BK719" s="1350"/>
      <c r="BL719" s="1222"/>
      <c r="BM719" s="1222"/>
      <c r="BN719" s="1222"/>
      <c r="BO719" s="1222"/>
    </row>
    <row r="720">
      <c r="A720" s="1222"/>
      <c r="B720" s="1229"/>
      <c r="C720" s="1349"/>
      <c r="D720" s="1229"/>
      <c r="E720" s="1229"/>
      <c r="F720" s="1229"/>
      <c r="G720" s="1229"/>
      <c r="H720" s="1229"/>
      <c r="I720" s="1229"/>
      <c r="J720" s="1229"/>
      <c r="K720" s="1229"/>
      <c r="L720" s="1229"/>
      <c r="M720" s="1229"/>
      <c r="N720" s="1274"/>
      <c r="O720" s="1274"/>
      <c r="P720" s="1229"/>
      <c r="Q720" s="1229"/>
      <c r="R720" s="1229"/>
      <c r="S720" s="1229"/>
      <c r="T720" s="1274"/>
      <c r="U720" s="1274"/>
      <c r="V720" s="1229"/>
      <c r="W720" s="1229"/>
      <c r="X720" s="1229"/>
      <c r="Y720" s="1229"/>
      <c r="Z720" s="1274"/>
      <c r="AA720" s="1274"/>
      <c r="AB720" s="1229"/>
      <c r="AC720" s="1229"/>
      <c r="AD720" s="1229"/>
      <c r="AE720" s="1229"/>
      <c r="AF720" s="1274"/>
      <c r="AG720" s="1274"/>
      <c r="AH720" s="1229"/>
      <c r="AI720" s="1229"/>
      <c r="AJ720" s="1229"/>
      <c r="AK720" s="1229"/>
      <c r="AL720" s="1274"/>
      <c r="AM720" s="1274"/>
      <c r="AN720" s="1229"/>
      <c r="AO720" s="1229"/>
      <c r="AP720" s="1229"/>
      <c r="AQ720" s="1229"/>
      <c r="AR720" s="1274"/>
      <c r="AS720" s="1274"/>
      <c r="AT720" s="1229"/>
      <c r="AU720" s="1229"/>
      <c r="AV720" s="1229"/>
      <c r="AW720" s="1229"/>
      <c r="AX720" s="1274"/>
      <c r="AY720" s="1274"/>
      <c r="AZ720" s="1229"/>
      <c r="BA720" s="1229"/>
      <c r="BB720" s="1229"/>
      <c r="BC720" s="1229"/>
      <c r="BD720" s="1274"/>
      <c r="BE720" s="1274"/>
      <c r="BF720" s="1229"/>
      <c r="BG720" s="1229"/>
      <c r="BH720" s="1229"/>
      <c r="BI720" s="1222"/>
      <c r="BJ720" s="1350"/>
      <c r="BK720" s="1350"/>
      <c r="BL720" s="1222"/>
      <c r="BM720" s="1222"/>
      <c r="BN720" s="1222"/>
      <c r="BO720" s="1222"/>
    </row>
    <row r="721">
      <c r="A721" s="1222"/>
      <c r="B721" s="1229"/>
      <c r="C721" s="1349"/>
      <c r="D721" s="1229"/>
      <c r="E721" s="1229"/>
      <c r="F721" s="1229"/>
      <c r="G721" s="1229"/>
      <c r="H721" s="1229"/>
      <c r="I721" s="1229"/>
      <c r="J721" s="1229"/>
      <c r="K721" s="1229"/>
      <c r="L721" s="1229"/>
      <c r="M721" s="1229"/>
      <c r="N721" s="1274"/>
      <c r="O721" s="1274"/>
      <c r="P721" s="1229"/>
      <c r="Q721" s="1229"/>
      <c r="R721" s="1229"/>
      <c r="S721" s="1229"/>
      <c r="T721" s="1274"/>
      <c r="U721" s="1274"/>
      <c r="V721" s="1229"/>
      <c r="W721" s="1229"/>
      <c r="X721" s="1229"/>
      <c r="Y721" s="1229"/>
      <c r="Z721" s="1274"/>
      <c r="AA721" s="1274"/>
      <c r="AB721" s="1229"/>
      <c r="AC721" s="1229"/>
      <c r="AD721" s="1229"/>
      <c r="AE721" s="1229"/>
      <c r="AF721" s="1274"/>
      <c r="AG721" s="1274"/>
      <c r="AH721" s="1229"/>
      <c r="AI721" s="1229"/>
      <c r="AJ721" s="1229"/>
      <c r="AK721" s="1229"/>
      <c r="AL721" s="1274"/>
      <c r="AM721" s="1274"/>
      <c r="AN721" s="1229"/>
      <c r="AO721" s="1229"/>
      <c r="AP721" s="1229"/>
      <c r="AQ721" s="1229"/>
      <c r="AR721" s="1274"/>
      <c r="AS721" s="1274"/>
      <c r="AT721" s="1229"/>
      <c r="AU721" s="1229"/>
      <c r="AV721" s="1229"/>
      <c r="AW721" s="1229"/>
      <c r="AX721" s="1274"/>
      <c r="AY721" s="1274"/>
      <c r="AZ721" s="1229"/>
      <c r="BA721" s="1229"/>
      <c r="BB721" s="1229"/>
      <c r="BC721" s="1229"/>
      <c r="BD721" s="1274"/>
      <c r="BE721" s="1274"/>
      <c r="BF721" s="1229"/>
      <c r="BG721" s="1229"/>
      <c r="BH721" s="1229"/>
      <c r="BI721" s="1222"/>
      <c r="BJ721" s="1350"/>
      <c r="BK721" s="1350"/>
      <c r="BL721" s="1222"/>
      <c r="BM721" s="1222"/>
      <c r="BN721" s="1222"/>
      <c r="BO721" s="1222"/>
    </row>
    <row r="722">
      <c r="A722" s="1222"/>
      <c r="B722" s="1229"/>
      <c r="C722" s="1349"/>
      <c r="D722" s="1229"/>
      <c r="E722" s="1229"/>
      <c r="F722" s="1229"/>
      <c r="G722" s="1229"/>
      <c r="H722" s="1229"/>
      <c r="I722" s="1229"/>
      <c r="J722" s="1229"/>
      <c r="K722" s="1229"/>
      <c r="L722" s="1229"/>
      <c r="M722" s="1229"/>
      <c r="N722" s="1274"/>
      <c r="O722" s="1274"/>
      <c r="P722" s="1229"/>
      <c r="Q722" s="1229"/>
      <c r="R722" s="1229"/>
      <c r="S722" s="1229"/>
      <c r="T722" s="1274"/>
      <c r="U722" s="1274"/>
      <c r="V722" s="1229"/>
      <c r="W722" s="1229"/>
      <c r="X722" s="1229"/>
      <c r="Y722" s="1229"/>
      <c r="Z722" s="1274"/>
      <c r="AA722" s="1274"/>
      <c r="AB722" s="1229"/>
      <c r="AC722" s="1229"/>
      <c r="AD722" s="1229"/>
      <c r="AE722" s="1229"/>
      <c r="AF722" s="1274"/>
      <c r="AG722" s="1274"/>
      <c r="AH722" s="1229"/>
      <c r="AI722" s="1229"/>
      <c r="AJ722" s="1229"/>
      <c r="AK722" s="1229"/>
      <c r="AL722" s="1274"/>
      <c r="AM722" s="1274"/>
      <c r="AN722" s="1229"/>
      <c r="AO722" s="1229"/>
      <c r="AP722" s="1229"/>
      <c r="AQ722" s="1229"/>
      <c r="AR722" s="1274"/>
      <c r="AS722" s="1274"/>
      <c r="AT722" s="1229"/>
      <c r="AU722" s="1229"/>
      <c r="AV722" s="1229"/>
      <c r="AW722" s="1229"/>
      <c r="AX722" s="1274"/>
      <c r="AY722" s="1274"/>
      <c r="AZ722" s="1229"/>
      <c r="BA722" s="1229"/>
      <c r="BB722" s="1229"/>
      <c r="BC722" s="1229"/>
      <c r="BD722" s="1274"/>
      <c r="BE722" s="1274"/>
      <c r="BF722" s="1229"/>
      <c r="BG722" s="1229"/>
      <c r="BH722" s="1229"/>
      <c r="BI722" s="1222"/>
      <c r="BJ722" s="1350"/>
      <c r="BK722" s="1350"/>
      <c r="BL722" s="1222"/>
      <c r="BM722" s="1222"/>
      <c r="BN722" s="1222"/>
      <c r="BO722" s="1222"/>
    </row>
    <row r="723">
      <c r="A723" s="1222"/>
      <c r="B723" s="1229"/>
      <c r="C723" s="1349"/>
      <c r="D723" s="1229"/>
      <c r="E723" s="1229"/>
      <c r="F723" s="1229"/>
      <c r="G723" s="1229"/>
      <c r="H723" s="1229"/>
      <c r="I723" s="1229"/>
      <c r="J723" s="1229"/>
      <c r="K723" s="1229"/>
      <c r="L723" s="1229"/>
      <c r="M723" s="1229"/>
      <c r="N723" s="1274"/>
      <c r="O723" s="1274"/>
      <c r="P723" s="1229"/>
      <c r="Q723" s="1229"/>
      <c r="R723" s="1229"/>
      <c r="S723" s="1229"/>
      <c r="T723" s="1274"/>
      <c r="U723" s="1274"/>
      <c r="V723" s="1229"/>
      <c r="W723" s="1229"/>
      <c r="X723" s="1229"/>
      <c r="Y723" s="1229"/>
      <c r="Z723" s="1274"/>
      <c r="AA723" s="1274"/>
      <c r="AB723" s="1229"/>
      <c r="AC723" s="1229"/>
      <c r="AD723" s="1229"/>
      <c r="AE723" s="1229"/>
      <c r="AF723" s="1274"/>
      <c r="AG723" s="1274"/>
      <c r="AH723" s="1229"/>
      <c r="AI723" s="1229"/>
      <c r="AJ723" s="1229"/>
      <c r="AK723" s="1229"/>
      <c r="AL723" s="1274"/>
      <c r="AM723" s="1274"/>
      <c r="AN723" s="1229"/>
      <c r="AO723" s="1229"/>
      <c r="AP723" s="1229"/>
      <c r="AQ723" s="1229"/>
      <c r="AR723" s="1274"/>
      <c r="AS723" s="1274"/>
      <c r="AT723" s="1229"/>
      <c r="AU723" s="1229"/>
      <c r="AV723" s="1229"/>
      <c r="AW723" s="1229"/>
      <c r="AX723" s="1274"/>
      <c r="AY723" s="1274"/>
      <c r="AZ723" s="1229"/>
      <c r="BA723" s="1229"/>
      <c r="BB723" s="1229"/>
      <c r="BC723" s="1229"/>
      <c r="BD723" s="1274"/>
      <c r="BE723" s="1274"/>
      <c r="BF723" s="1229"/>
      <c r="BG723" s="1229"/>
      <c r="BH723" s="1229"/>
      <c r="BI723" s="1222"/>
      <c r="BJ723" s="1350"/>
      <c r="BK723" s="1350"/>
      <c r="BL723" s="1222"/>
      <c r="BM723" s="1222"/>
      <c r="BN723" s="1222"/>
      <c r="BO723" s="1222"/>
    </row>
    <row r="724">
      <c r="A724" s="1222"/>
      <c r="B724" s="1229"/>
      <c r="C724" s="1349"/>
      <c r="D724" s="1229"/>
      <c r="E724" s="1229"/>
      <c r="F724" s="1229"/>
      <c r="G724" s="1229"/>
      <c r="H724" s="1229"/>
      <c r="I724" s="1229"/>
      <c r="J724" s="1229"/>
      <c r="K724" s="1229"/>
      <c r="L724" s="1229"/>
      <c r="M724" s="1229"/>
      <c r="N724" s="1274"/>
      <c r="O724" s="1274"/>
      <c r="P724" s="1229"/>
      <c r="Q724" s="1229"/>
      <c r="R724" s="1229"/>
      <c r="S724" s="1229"/>
      <c r="T724" s="1274"/>
      <c r="U724" s="1274"/>
      <c r="V724" s="1229"/>
      <c r="W724" s="1229"/>
      <c r="X724" s="1229"/>
      <c r="Y724" s="1229"/>
      <c r="Z724" s="1274"/>
      <c r="AA724" s="1274"/>
      <c r="AB724" s="1229"/>
      <c r="AC724" s="1229"/>
      <c r="AD724" s="1229"/>
      <c r="AE724" s="1229"/>
      <c r="AF724" s="1274"/>
      <c r="AG724" s="1274"/>
      <c r="AH724" s="1229"/>
      <c r="AI724" s="1229"/>
      <c r="AJ724" s="1229"/>
      <c r="AK724" s="1229"/>
      <c r="AL724" s="1274"/>
      <c r="AM724" s="1274"/>
      <c r="AN724" s="1229"/>
      <c r="AO724" s="1229"/>
      <c r="AP724" s="1229"/>
      <c r="AQ724" s="1229"/>
      <c r="AR724" s="1274"/>
      <c r="AS724" s="1274"/>
      <c r="AT724" s="1229"/>
      <c r="AU724" s="1229"/>
      <c r="AV724" s="1229"/>
      <c r="AW724" s="1229"/>
      <c r="AX724" s="1274"/>
      <c r="AY724" s="1274"/>
      <c r="AZ724" s="1229"/>
      <c r="BA724" s="1229"/>
      <c r="BB724" s="1229"/>
      <c r="BC724" s="1229"/>
      <c r="BD724" s="1274"/>
      <c r="BE724" s="1274"/>
      <c r="BF724" s="1229"/>
      <c r="BG724" s="1229"/>
      <c r="BH724" s="1229"/>
      <c r="BI724" s="1222"/>
      <c r="BJ724" s="1350"/>
      <c r="BK724" s="1350"/>
      <c r="BL724" s="1222"/>
      <c r="BM724" s="1222"/>
      <c r="BN724" s="1222"/>
      <c r="BO724" s="1222"/>
    </row>
    <row r="725">
      <c r="A725" s="1222"/>
      <c r="B725" s="1229"/>
      <c r="C725" s="1349"/>
      <c r="D725" s="1229"/>
      <c r="E725" s="1229"/>
      <c r="F725" s="1229"/>
      <c r="G725" s="1229"/>
      <c r="H725" s="1229"/>
      <c r="I725" s="1229"/>
      <c r="J725" s="1229"/>
      <c r="K725" s="1229"/>
      <c r="L725" s="1229"/>
      <c r="M725" s="1229"/>
      <c r="N725" s="1274"/>
      <c r="O725" s="1274"/>
      <c r="P725" s="1229"/>
      <c r="Q725" s="1229"/>
      <c r="R725" s="1229"/>
      <c r="S725" s="1229"/>
      <c r="T725" s="1274"/>
      <c r="U725" s="1274"/>
      <c r="V725" s="1229"/>
      <c r="W725" s="1229"/>
      <c r="X725" s="1229"/>
      <c r="Y725" s="1229"/>
      <c r="Z725" s="1274"/>
      <c r="AA725" s="1274"/>
      <c r="AB725" s="1229"/>
      <c r="AC725" s="1229"/>
      <c r="AD725" s="1229"/>
      <c r="AE725" s="1229"/>
      <c r="AF725" s="1274"/>
      <c r="AG725" s="1274"/>
      <c r="AH725" s="1229"/>
      <c r="AI725" s="1229"/>
      <c r="AJ725" s="1229"/>
      <c r="AK725" s="1229"/>
      <c r="AL725" s="1274"/>
      <c r="AM725" s="1274"/>
      <c r="AN725" s="1229"/>
      <c r="AO725" s="1229"/>
      <c r="AP725" s="1229"/>
      <c r="AQ725" s="1229"/>
      <c r="AR725" s="1274"/>
      <c r="AS725" s="1274"/>
      <c r="AT725" s="1229"/>
      <c r="AU725" s="1229"/>
      <c r="AV725" s="1229"/>
      <c r="AW725" s="1229"/>
      <c r="AX725" s="1274"/>
      <c r="AY725" s="1274"/>
      <c r="AZ725" s="1229"/>
      <c r="BA725" s="1229"/>
      <c r="BB725" s="1229"/>
      <c r="BC725" s="1229"/>
      <c r="BD725" s="1274"/>
      <c r="BE725" s="1274"/>
      <c r="BF725" s="1229"/>
      <c r="BG725" s="1229"/>
      <c r="BH725" s="1229"/>
      <c r="BI725" s="1222"/>
      <c r="BJ725" s="1350"/>
      <c r="BK725" s="1350"/>
      <c r="BL725" s="1222"/>
      <c r="BM725" s="1222"/>
      <c r="BN725" s="1222"/>
      <c r="BO725" s="1222"/>
    </row>
    <row r="726">
      <c r="A726" s="1222"/>
      <c r="B726" s="1229"/>
      <c r="C726" s="1349"/>
      <c r="D726" s="1229"/>
      <c r="E726" s="1229"/>
      <c r="F726" s="1229"/>
      <c r="G726" s="1229"/>
      <c r="H726" s="1229"/>
      <c r="I726" s="1229"/>
      <c r="J726" s="1229"/>
      <c r="K726" s="1229"/>
      <c r="L726" s="1229"/>
      <c r="M726" s="1229"/>
      <c r="N726" s="1274"/>
      <c r="O726" s="1274"/>
      <c r="P726" s="1229"/>
      <c r="Q726" s="1229"/>
      <c r="R726" s="1229"/>
      <c r="S726" s="1229"/>
      <c r="T726" s="1274"/>
      <c r="U726" s="1274"/>
      <c r="V726" s="1229"/>
      <c r="W726" s="1229"/>
      <c r="X726" s="1229"/>
      <c r="Y726" s="1229"/>
      <c r="Z726" s="1274"/>
      <c r="AA726" s="1274"/>
      <c r="AB726" s="1229"/>
      <c r="AC726" s="1229"/>
      <c r="AD726" s="1229"/>
      <c r="AE726" s="1229"/>
      <c r="AF726" s="1274"/>
      <c r="AG726" s="1274"/>
      <c r="AH726" s="1229"/>
      <c r="AI726" s="1229"/>
      <c r="AJ726" s="1229"/>
      <c r="AK726" s="1229"/>
      <c r="AL726" s="1274"/>
      <c r="AM726" s="1274"/>
      <c r="AN726" s="1229"/>
      <c r="AO726" s="1229"/>
      <c r="AP726" s="1229"/>
      <c r="AQ726" s="1229"/>
      <c r="AR726" s="1274"/>
      <c r="AS726" s="1274"/>
      <c r="AT726" s="1229"/>
      <c r="AU726" s="1229"/>
      <c r="AV726" s="1229"/>
      <c r="AW726" s="1229"/>
      <c r="AX726" s="1274"/>
      <c r="AY726" s="1274"/>
      <c r="AZ726" s="1229"/>
      <c r="BA726" s="1229"/>
      <c r="BB726" s="1229"/>
      <c r="BC726" s="1229"/>
      <c r="BD726" s="1274"/>
      <c r="BE726" s="1274"/>
      <c r="BF726" s="1229"/>
      <c r="BG726" s="1229"/>
      <c r="BH726" s="1229"/>
      <c r="BI726" s="1222"/>
      <c r="BJ726" s="1350"/>
      <c r="BK726" s="1350"/>
      <c r="BL726" s="1222"/>
      <c r="BM726" s="1222"/>
      <c r="BN726" s="1222"/>
      <c r="BO726" s="1222"/>
    </row>
    <row r="727">
      <c r="A727" s="1222"/>
      <c r="B727" s="1229"/>
      <c r="C727" s="1349"/>
      <c r="D727" s="1229"/>
      <c r="E727" s="1229"/>
      <c r="F727" s="1229"/>
      <c r="G727" s="1229"/>
      <c r="H727" s="1229"/>
      <c r="I727" s="1229"/>
      <c r="J727" s="1229"/>
      <c r="K727" s="1229"/>
      <c r="L727" s="1229"/>
      <c r="M727" s="1229"/>
      <c r="N727" s="1274"/>
      <c r="O727" s="1274"/>
      <c r="P727" s="1229"/>
      <c r="Q727" s="1229"/>
      <c r="R727" s="1229"/>
      <c r="S727" s="1229"/>
      <c r="T727" s="1274"/>
      <c r="U727" s="1274"/>
      <c r="V727" s="1229"/>
      <c r="W727" s="1229"/>
      <c r="X727" s="1229"/>
      <c r="Y727" s="1229"/>
      <c r="Z727" s="1274"/>
      <c r="AA727" s="1274"/>
      <c r="AB727" s="1229"/>
      <c r="AC727" s="1229"/>
      <c r="AD727" s="1229"/>
      <c r="AE727" s="1229"/>
      <c r="AF727" s="1274"/>
      <c r="AG727" s="1274"/>
      <c r="AH727" s="1229"/>
      <c r="AI727" s="1229"/>
      <c r="AJ727" s="1229"/>
      <c r="AK727" s="1229"/>
      <c r="AL727" s="1274"/>
      <c r="AM727" s="1274"/>
      <c r="AN727" s="1229"/>
      <c r="AO727" s="1229"/>
      <c r="AP727" s="1229"/>
      <c r="AQ727" s="1229"/>
      <c r="AR727" s="1274"/>
      <c r="AS727" s="1274"/>
      <c r="AT727" s="1229"/>
      <c r="AU727" s="1229"/>
      <c r="AV727" s="1229"/>
      <c r="AW727" s="1229"/>
      <c r="AX727" s="1274"/>
      <c r="AY727" s="1274"/>
      <c r="AZ727" s="1229"/>
      <c r="BA727" s="1229"/>
      <c r="BB727" s="1229"/>
      <c r="BC727" s="1229"/>
      <c r="BD727" s="1274"/>
      <c r="BE727" s="1274"/>
      <c r="BF727" s="1229"/>
      <c r="BG727" s="1229"/>
      <c r="BH727" s="1229"/>
      <c r="BI727" s="1222"/>
      <c r="BJ727" s="1350"/>
      <c r="BK727" s="1350"/>
      <c r="BL727" s="1222"/>
      <c r="BM727" s="1222"/>
      <c r="BN727" s="1222"/>
      <c r="BO727" s="1222"/>
    </row>
    <row r="728">
      <c r="A728" s="1222"/>
      <c r="B728" s="1229"/>
      <c r="C728" s="1349"/>
      <c r="D728" s="1229"/>
      <c r="E728" s="1229"/>
      <c r="F728" s="1229"/>
      <c r="G728" s="1229"/>
      <c r="H728" s="1229"/>
      <c r="I728" s="1229"/>
      <c r="J728" s="1229"/>
      <c r="K728" s="1229"/>
      <c r="L728" s="1229"/>
      <c r="M728" s="1229"/>
      <c r="N728" s="1274"/>
      <c r="O728" s="1274"/>
      <c r="P728" s="1229"/>
      <c r="Q728" s="1229"/>
      <c r="R728" s="1229"/>
      <c r="S728" s="1229"/>
      <c r="T728" s="1274"/>
      <c r="U728" s="1274"/>
      <c r="V728" s="1229"/>
      <c r="W728" s="1229"/>
      <c r="X728" s="1229"/>
      <c r="Y728" s="1229"/>
      <c r="Z728" s="1274"/>
      <c r="AA728" s="1274"/>
      <c r="AB728" s="1229"/>
      <c r="AC728" s="1229"/>
      <c r="AD728" s="1229"/>
      <c r="AE728" s="1229"/>
      <c r="AF728" s="1274"/>
      <c r="AG728" s="1274"/>
      <c r="AH728" s="1229"/>
      <c r="AI728" s="1229"/>
      <c r="AJ728" s="1229"/>
      <c r="AK728" s="1229"/>
      <c r="AL728" s="1274"/>
      <c r="AM728" s="1274"/>
      <c r="AN728" s="1229"/>
      <c r="AO728" s="1229"/>
      <c r="AP728" s="1229"/>
      <c r="AQ728" s="1229"/>
      <c r="AR728" s="1274"/>
      <c r="AS728" s="1274"/>
      <c r="AT728" s="1229"/>
      <c r="AU728" s="1229"/>
      <c r="AV728" s="1229"/>
      <c r="AW728" s="1229"/>
      <c r="AX728" s="1274"/>
      <c r="AY728" s="1274"/>
      <c r="AZ728" s="1229"/>
      <c r="BA728" s="1229"/>
      <c r="BB728" s="1229"/>
      <c r="BC728" s="1229"/>
      <c r="BD728" s="1274"/>
      <c r="BE728" s="1274"/>
      <c r="BF728" s="1229"/>
      <c r="BG728" s="1229"/>
      <c r="BH728" s="1229"/>
      <c r="BI728" s="1222"/>
      <c r="BJ728" s="1350"/>
      <c r="BK728" s="1350"/>
      <c r="BL728" s="1222"/>
      <c r="BM728" s="1222"/>
      <c r="BN728" s="1222"/>
      <c r="BO728" s="1222"/>
    </row>
    <row r="729">
      <c r="A729" s="1222"/>
      <c r="B729" s="1229"/>
      <c r="C729" s="1349"/>
      <c r="D729" s="1229"/>
      <c r="E729" s="1229"/>
      <c r="F729" s="1229"/>
      <c r="G729" s="1229"/>
      <c r="H729" s="1229"/>
      <c r="I729" s="1229"/>
      <c r="J729" s="1229"/>
      <c r="K729" s="1229"/>
      <c r="L729" s="1229"/>
      <c r="M729" s="1229"/>
      <c r="N729" s="1274"/>
      <c r="O729" s="1274"/>
      <c r="P729" s="1229"/>
      <c r="Q729" s="1229"/>
      <c r="R729" s="1229"/>
      <c r="S729" s="1229"/>
      <c r="T729" s="1274"/>
      <c r="U729" s="1274"/>
      <c r="V729" s="1229"/>
      <c r="W729" s="1229"/>
      <c r="X729" s="1229"/>
      <c r="Y729" s="1229"/>
      <c r="Z729" s="1274"/>
      <c r="AA729" s="1274"/>
      <c r="AB729" s="1229"/>
      <c r="AC729" s="1229"/>
      <c r="AD729" s="1229"/>
      <c r="AE729" s="1229"/>
      <c r="AF729" s="1274"/>
      <c r="AG729" s="1274"/>
      <c r="AH729" s="1229"/>
      <c r="AI729" s="1229"/>
      <c r="AJ729" s="1229"/>
      <c r="AK729" s="1229"/>
      <c r="AL729" s="1274"/>
      <c r="AM729" s="1274"/>
      <c r="AN729" s="1229"/>
      <c r="AO729" s="1229"/>
      <c r="AP729" s="1229"/>
      <c r="AQ729" s="1229"/>
      <c r="AR729" s="1274"/>
      <c r="AS729" s="1274"/>
      <c r="AT729" s="1229"/>
      <c r="AU729" s="1229"/>
      <c r="AV729" s="1229"/>
      <c r="AW729" s="1229"/>
      <c r="AX729" s="1274"/>
      <c r="AY729" s="1274"/>
      <c r="AZ729" s="1229"/>
      <c r="BA729" s="1229"/>
      <c r="BB729" s="1229"/>
      <c r="BC729" s="1229"/>
      <c r="BD729" s="1274"/>
      <c r="BE729" s="1274"/>
      <c r="BF729" s="1229"/>
      <c r="BG729" s="1229"/>
      <c r="BH729" s="1229"/>
      <c r="BI729" s="1222"/>
      <c r="BJ729" s="1350"/>
      <c r="BK729" s="1350"/>
      <c r="BL729" s="1222"/>
      <c r="BM729" s="1222"/>
      <c r="BN729" s="1222"/>
      <c r="BO729" s="1222"/>
    </row>
    <row r="730">
      <c r="A730" s="1222"/>
      <c r="B730" s="1229"/>
      <c r="C730" s="1349"/>
      <c r="D730" s="1229"/>
      <c r="E730" s="1229"/>
      <c r="F730" s="1229"/>
      <c r="G730" s="1229"/>
      <c r="H730" s="1229"/>
      <c r="I730" s="1229"/>
      <c r="J730" s="1229"/>
      <c r="K730" s="1229"/>
      <c r="L730" s="1229"/>
      <c r="M730" s="1229"/>
      <c r="N730" s="1274"/>
      <c r="O730" s="1274"/>
      <c r="P730" s="1229"/>
      <c r="Q730" s="1229"/>
      <c r="R730" s="1229"/>
      <c r="S730" s="1229"/>
      <c r="T730" s="1274"/>
      <c r="U730" s="1274"/>
      <c r="V730" s="1229"/>
      <c r="W730" s="1229"/>
      <c r="X730" s="1229"/>
      <c r="Y730" s="1229"/>
      <c r="Z730" s="1274"/>
      <c r="AA730" s="1274"/>
      <c r="AB730" s="1229"/>
      <c r="AC730" s="1229"/>
      <c r="AD730" s="1229"/>
      <c r="AE730" s="1229"/>
      <c r="AF730" s="1274"/>
      <c r="AG730" s="1274"/>
      <c r="AH730" s="1229"/>
      <c r="AI730" s="1229"/>
      <c r="AJ730" s="1229"/>
      <c r="AK730" s="1229"/>
      <c r="AL730" s="1274"/>
      <c r="AM730" s="1274"/>
      <c r="AN730" s="1229"/>
      <c r="AO730" s="1229"/>
      <c r="AP730" s="1229"/>
      <c r="AQ730" s="1229"/>
      <c r="AR730" s="1274"/>
      <c r="AS730" s="1274"/>
      <c r="AT730" s="1229"/>
      <c r="AU730" s="1229"/>
      <c r="AV730" s="1229"/>
      <c r="AW730" s="1229"/>
      <c r="AX730" s="1274"/>
      <c r="AY730" s="1274"/>
      <c r="AZ730" s="1229"/>
      <c r="BA730" s="1229"/>
      <c r="BB730" s="1229"/>
      <c r="BC730" s="1229"/>
      <c r="BD730" s="1274"/>
      <c r="BE730" s="1274"/>
      <c r="BF730" s="1229"/>
      <c r="BG730" s="1229"/>
      <c r="BH730" s="1229"/>
      <c r="BI730" s="1222"/>
      <c r="BJ730" s="1350"/>
      <c r="BK730" s="1350"/>
      <c r="BL730" s="1222"/>
      <c r="BM730" s="1222"/>
      <c r="BN730" s="1222"/>
      <c r="BO730" s="1222"/>
    </row>
    <row r="731">
      <c r="A731" s="1222"/>
      <c r="B731" s="1229"/>
      <c r="C731" s="1349"/>
      <c r="D731" s="1229"/>
      <c r="E731" s="1229"/>
      <c r="F731" s="1229"/>
      <c r="G731" s="1229"/>
      <c r="H731" s="1229"/>
      <c r="I731" s="1229"/>
      <c r="J731" s="1229"/>
      <c r="K731" s="1229"/>
      <c r="L731" s="1229"/>
      <c r="M731" s="1229"/>
      <c r="N731" s="1274"/>
      <c r="O731" s="1274"/>
      <c r="P731" s="1229"/>
      <c r="Q731" s="1229"/>
      <c r="R731" s="1229"/>
      <c r="S731" s="1229"/>
      <c r="T731" s="1274"/>
      <c r="U731" s="1274"/>
      <c r="V731" s="1229"/>
      <c r="W731" s="1229"/>
      <c r="X731" s="1229"/>
      <c r="Y731" s="1229"/>
      <c r="Z731" s="1274"/>
      <c r="AA731" s="1274"/>
      <c r="AB731" s="1229"/>
      <c r="AC731" s="1229"/>
      <c r="AD731" s="1229"/>
      <c r="AE731" s="1229"/>
      <c r="AF731" s="1274"/>
      <c r="AG731" s="1274"/>
      <c r="AH731" s="1229"/>
      <c r="AI731" s="1229"/>
      <c r="AJ731" s="1229"/>
      <c r="AK731" s="1229"/>
      <c r="AL731" s="1274"/>
      <c r="AM731" s="1274"/>
      <c r="AN731" s="1229"/>
      <c r="AO731" s="1229"/>
      <c r="AP731" s="1229"/>
      <c r="AQ731" s="1229"/>
      <c r="AR731" s="1274"/>
      <c r="AS731" s="1274"/>
      <c r="AT731" s="1229"/>
      <c r="AU731" s="1229"/>
      <c r="AV731" s="1229"/>
      <c r="AW731" s="1229"/>
      <c r="AX731" s="1274"/>
      <c r="AY731" s="1274"/>
      <c r="AZ731" s="1229"/>
      <c r="BA731" s="1229"/>
      <c r="BB731" s="1229"/>
      <c r="BC731" s="1229"/>
      <c r="BD731" s="1274"/>
      <c r="BE731" s="1274"/>
      <c r="BF731" s="1229"/>
      <c r="BG731" s="1229"/>
      <c r="BH731" s="1229"/>
      <c r="BI731" s="1222"/>
      <c r="BJ731" s="1350"/>
      <c r="BK731" s="1350"/>
      <c r="BL731" s="1222"/>
      <c r="BM731" s="1222"/>
      <c r="BN731" s="1222"/>
      <c r="BO731" s="1222"/>
    </row>
    <row r="732">
      <c r="A732" s="1222"/>
      <c r="B732" s="1229"/>
      <c r="C732" s="1349"/>
      <c r="D732" s="1229"/>
      <c r="E732" s="1229"/>
      <c r="F732" s="1229"/>
      <c r="G732" s="1229"/>
      <c r="H732" s="1229"/>
      <c r="I732" s="1229"/>
      <c r="J732" s="1229"/>
      <c r="K732" s="1229"/>
      <c r="L732" s="1229"/>
      <c r="M732" s="1229"/>
      <c r="N732" s="1274"/>
      <c r="O732" s="1274"/>
      <c r="P732" s="1229"/>
      <c r="Q732" s="1229"/>
      <c r="R732" s="1229"/>
      <c r="S732" s="1229"/>
      <c r="T732" s="1274"/>
      <c r="U732" s="1274"/>
      <c r="V732" s="1229"/>
      <c r="W732" s="1229"/>
      <c r="X732" s="1229"/>
      <c r="Y732" s="1229"/>
      <c r="Z732" s="1274"/>
      <c r="AA732" s="1274"/>
      <c r="AB732" s="1229"/>
      <c r="AC732" s="1229"/>
      <c r="AD732" s="1229"/>
      <c r="AE732" s="1229"/>
      <c r="AF732" s="1274"/>
      <c r="AG732" s="1274"/>
      <c r="AH732" s="1229"/>
      <c r="AI732" s="1229"/>
      <c r="AJ732" s="1229"/>
      <c r="AK732" s="1229"/>
      <c r="AL732" s="1274"/>
      <c r="AM732" s="1274"/>
      <c r="AN732" s="1229"/>
      <c r="AO732" s="1229"/>
      <c r="AP732" s="1229"/>
      <c r="AQ732" s="1229"/>
      <c r="AR732" s="1274"/>
      <c r="AS732" s="1274"/>
      <c r="AT732" s="1229"/>
      <c r="AU732" s="1229"/>
      <c r="AV732" s="1229"/>
      <c r="AW732" s="1229"/>
      <c r="AX732" s="1274"/>
      <c r="AY732" s="1274"/>
      <c r="AZ732" s="1229"/>
      <c r="BA732" s="1229"/>
      <c r="BB732" s="1229"/>
      <c r="BC732" s="1229"/>
      <c r="BD732" s="1274"/>
      <c r="BE732" s="1274"/>
      <c r="BF732" s="1229"/>
      <c r="BG732" s="1229"/>
      <c r="BH732" s="1229"/>
      <c r="BI732" s="1222"/>
      <c r="BJ732" s="1350"/>
      <c r="BK732" s="1350"/>
      <c r="BL732" s="1222"/>
      <c r="BM732" s="1222"/>
      <c r="BN732" s="1222"/>
      <c r="BO732" s="1222"/>
    </row>
    <row r="733">
      <c r="A733" s="1222"/>
      <c r="B733" s="1229"/>
      <c r="C733" s="1349"/>
      <c r="D733" s="1229"/>
      <c r="E733" s="1229"/>
      <c r="F733" s="1229"/>
      <c r="G733" s="1229"/>
      <c r="H733" s="1229"/>
      <c r="I733" s="1229"/>
      <c r="J733" s="1229"/>
      <c r="K733" s="1229"/>
      <c r="L733" s="1229"/>
      <c r="M733" s="1229"/>
      <c r="N733" s="1274"/>
      <c r="O733" s="1274"/>
      <c r="P733" s="1229"/>
      <c r="Q733" s="1229"/>
      <c r="R733" s="1229"/>
      <c r="S733" s="1229"/>
      <c r="T733" s="1274"/>
      <c r="U733" s="1274"/>
      <c r="V733" s="1229"/>
      <c r="W733" s="1229"/>
      <c r="X733" s="1229"/>
      <c r="Y733" s="1229"/>
      <c r="Z733" s="1274"/>
      <c r="AA733" s="1274"/>
      <c r="AB733" s="1229"/>
      <c r="AC733" s="1229"/>
      <c r="AD733" s="1229"/>
      <c r="AE733" s="1229"/>
      <c r="AF733" s="1274"/>
      <c r="AG733" s="1274"/>
      <c r="AH733" s="1229"/>
      <c r="AI733" s="1229"/>
      <c r="AJ733" s="1229"/>
      <c r="AK733" s="1229"/>
      <c r="AL733" s="1274"/>
      <c r="AM733" s="1274"/>
      <c r="AN733" s="1229"/>
      <c r="AO733" s="1229"/>
      <c r="AP733" s="1229"/>
      <c r="AQ733" s="1229"/>
      <c r="AR733" s="1274"/>
      <c r="AS733" s="1274"/>
      <c r="AT733" s="1229"/>
      <c r="AU733" s="1229"/>
      <c r="AV733" s="1229"/>
      <c r="AW733" s="1229"/>
      <c r="AX733" s="1274"/>
      <c r="AY733" s="1274"/>
      <c r="AZ733" s="1229"/>
      <c r="BA733" s="1229"/>
      <c r="BB733" s="1229"/>
      <c r="BC733" s="1229"/>
      <c r="BD733" s="1274"/>
      <c r="BE733" s="1274"/>
      <c r="BF733" s="1229"/>
      <c r="BG733" s="1229"/>
      <c r="BH733" s="1229"/>
      <c r="BI733" s="1222"/>
      <c r="BJ733" s="1350"/>
      <c r="BK733" s="1350"/>
      <c r="BL733" s="1222"/>
      <c r="BM733" s="1222"/>
      <c r="BN733" s="1222"/>
      <c r="BO733" s="1222"/>
    </row>
    <row r="734">
      <c r="A734" s="1222"/>
      <c r="B734" s="1229"/>
      <c r="C734" s="1349"/>
      <c r="D734" s="1229"/>
      <c r="E734" s="1229"/>
      <c r="F734" s="1229"/>
      <c r="G734" s="1229"/>
      <c r="H734" s="1229"/>
      <c r="I734" s="1229"/>
      <c r="J734" s="1229"/>
      <c r="K734" s="1229"/>
      <c r="L734" s="1229"/>
      <c r="M734" s="1229"/>
      <c r="N734" s="1274"/>
      <c r="O734" s="1274"/>
      <c r="P734" s="1229"/>
      <c r="Q734" s="1229"/>
      <c r="R734" s="1229"/>
      <c r="S734" s="1229"/>
      <c r="T734" s="1274"/>
      <c r="U734" s="1274"/>
      <c r="V734" s="1229"/>
      <c r="W734" s="1229"/>
      <c r="X734" s="1229"/>
      <c r="Y734" s="1229"/>
      <c r="Z734" s="1274"/>
      <c r="AA734" s="1274"/>
      <c r="AB734" s="1229"/>
      <c r="AC734" s="1229"/>
      <c r="AD734" s="1229"/>
      <c r="AE734" s="1229"/>
      <c r="AF734" s="1274"/>
      <c r="AG734" s="1274"/>
      <c r="AH734" s="1229"/>
      <c r="AI734" s="1229"/>
      <c r="AJ734" s="1229"/>
      <c r="AK734" s="1229"/>
      <c r="AL734" s="1274"/>
      <c r="AM734" s="1274"/>
      <c r="AN734" s="1229"/>
      <c r="AO734" s="1229"/>
      <c r="AP734" s="1229"/>
      <c r="AQ734" s="1229"/>
      <c r="AR734" s="1274"/>
      <c r="AS734" s="1274"/>
      <c r="AT734" s="1229"/>
      <c r="AU734" s="1229"/>
      <c r="AV734" s="1229"/>
      <c r="AW734" s="1229"/>
      <c r="AX734" s="1274"/>
      <c r="AY734" s="1274"/>
      <c r="AZ734" s="1229"/>
      <c r="BA734" s="1229"/>
      <c r="BB734" s="1229"/>
      <c r="BC734" s="1229"/>
      <c r="BD734" s="1274"/>
      <c r="BE734" s="1274"/>
      <c r="BF734" s="1229"/>
      <c r="BG734" s="1229"/>
      <c r="BH734" s="1229"/>
      <c r="BI734" s="1222"/>
      <c r="BJ734" s="1350"/>
      <c r="BK734" s="1350"/>
      <c r="BL734" s="1222"/>
      <c r="BM734" s="1222"/>
      <c r="BN734" s="1222"/>
      <c r="BO734" s="1222"/>
    </row>
    <row r="735">
      <c r="A735" s="1222"/>
      <c r="B735" s="1229"/>
      <c r="C735" s="1349"/>
      <c r="D735" s="1229"/>
      <c r="E735" s="1229"/>
      <c r="F735" s="1229"/>
      <c r="G735" s="1229"/>
      <c r="H735" s="1229"/>
      <c r="I735" s="1229"/>
      <c r="J735" s="1229"/>
      <c r="K735" s="1229"/>
      <c r="L735" s="1229"/>
      <c r="M735" s="1229"/>
      <c r="N735" s="1274"/>
      <c r="O735" s="1274"/>
      <c r="P735" s="1229"/>
      <c r="Q735" s="1229"/>
      <c r="R735" s="1229"/>
      <c r="S735" s="1229"/>
      <c r="T735" s="1274"/>
      <c r="U735" s="1274"/>
      <c r="V735" s="1229"/>
      <c r="W735" s="1229"/>
      <c r="X735" s="1229"/>
      <c r="Y735" s="1229"/>
      <c r="Z735" s="1274"/>
      <c r="AA735" s="1274"/>
      <c r="AB735" s="1229"/>
      <c r="AC735" s="1229"/>
      <c r="AD735" s="1229"/>
      <c r="AE735" s="1229"/>
      <c r="AF735" s="1274"/>
      <c r="AG735" s="1274"/>
      <c r="AH735" s="1229"/>
      <c r="AI735" s="1229"/>
      <c r="AJ735" s="1229"/>
      <c r="AK735" s="1229"/>
      <c r="AL735" s="1274"/>
      <c r="AM735" s="1274"/>
      <c r="AN735" s="1229"/>
      <c r="AO735" s="1229"/>
      <c r="AP735" s="1229"/>
      <c r="AQ735" s="1229"/>
      <c r="AR735" s="1274"/>
      <c r="AS735" s="1274"/>
      <c r="AT735" s="1229"/>
      <c r="AU735" s="1229"/>
      <c r="AV735" s="1229"/>
      <c r="AW735" s="1229"/>
      <c r="AX735" s="1274"/>
      <c r="AY735" s="1274"/>
      <c r="AZ735" s="1229"/>
      <c r="BA735" s="1229"/>
      <c r="BB735" s="1229"/>
      <c r="BC735" s="1229"/>
      <c r="BD735" s="1274"/>
      <c r="BE735" s="1274"/>
      <c r="BF735" s="1229"/>
      <c r="BG735" s="1229"/>
      <c r="BH735" s="1229"/>
      <c r="BI735" s="1222"/>
      <c r="BJ735" s="1350"/>
      <c r="BK735" s="1350"/>
      <c r="BL735" s="1222"/>
      <c r="BM735" s="1222"/>
      <c r="BN735" s="1222"/>
      <c r="BO735" s="1222"/>
    </row>
    <row r="736">
      <c r="A736" s="1222"/>
      <c r="B736" s="1229"/>
      <c r="C736" s="1349"/>
      <c r="D736" s="1229"/>
      <c r="E736" s="1229"/>
      <c r="F736" s="1229"/>
      <c r="G736" s="1229"/>
      <c r="H736" s="1229"/>
      <c r="I736" s="1229"/>
      <c r="J736" s="1229"/>
      <c r="K736" s="1229"/>
      <c r="L736" s="1229"/>
      <c r="M736" s="1229"/>
      <c r="N736" s="1274"/>
      <c r="O736" s="1274"/>
      <c r="P736" s="1229"/>
      <c r="Q736" s="1229"/>
      <c r="R736" s="1229"/>
      <c r="S736" s="1229"/>
      <c r="T736" s="1274"/>
      <c r="U736" s="1274"/>
      <c r="V736" s="1229"/>
      <c r="W736" s="1229"/>
      <c r="X736" s="1229"/>
      <c r="Y736" s="1229"/>
      <c r="Z736" s="1274"/>
      <c r="AA736" s="1274"/>
      <c r="AB736" s="1229"/>
      <c r="AC736" s="1229"/>
      <c r="AD736" s="1229"/>
      <c r="AE736" s="1229"/>
      <c r="AF736" s="1274"/>
      <c r="AG736" s="1274"/>
      <c r="AH736" s="1229"/>
      <c r="AI736" s="1229"/>
      <c r="AJ736" s="1229"/>
      <c r="AK736" s="1229"/>
      <c r="AL736" s="1274"/>
      <c r="AM736" s="1274"/>
      <c r="AN736" s="1229"/>
      <c r="AO736" s="1229"/>
      <c r="AP736" s="1229"/>
      <c r="AQ736" s="1229"/>
      <c r="AR736" s="1274"/>
      <c r="AS736" s="1274"/>
      <c r="AT736" s="1229"/>
      <c r="AU736" s="1229"/>
      <c r="AV736" s="1229"/>
      <c r="AW736" s="1229"/>
      <c r="AX736" s="1274"/>
      <c r="AY736" s="1274"/>
      <c r="AZ736" s="1229"/>
      <c r="BA736" s="1229"/>
      <c r="BB736" s="1229"/>
      <c r="BC736" s="1229"/>
      <c r="BD736" s="1274"/>
      <c r="BE736" s="1274"/>
      <c r="BF736" s="1229"/>
      <c r="BG736" s="1229"/>
      <c r="BH736" s="1229"/>
      <c r="BI736" s="1222"/>
      <c r="BJ736" s="1350"/>
      <c r="BK736" s="1350"/>
      <c r="BL736" s="1222"/>
      <c r="BM736" s="1222"/>
      <c r="BN736" s="1222"/>
      <c r="BO736" s="1222"/>
    </row>
    <row r="737">
      <c r="A737" s="1222"/>
      <c r="B737" s="1229"/>
      <c r="C737" s="1349"/>
      <c r="D737" s="1229"/>
      <c r="E737" s="1229"/>
      <c r="F737" s="1229"/>
      <c r="G737" s="1229"/>
      <c r="H737" s="1229"/>
      <c r="I737" s="1229"/>
      <c r="J737" s="1229"/>
      <c r="K737" s="1229"/>
      <c r="L737" s="1229"/>
      <c r="M737" s="1229"/>
      <c r="N737" s="1274"/>
      <c r="O737" s="1274"/>
      <c r="P737" s="1229"/>
      <c r="Q737" s="1229"/>
      <c r="R737" s="1229"/>
      <c r="S737" s="1229"/>
      <c r="T737" s="1274"/>
      <c r="U737" s="1274"/>
      <c r="V737" s="1229"/>
      <c r="W737" s="1229"/>
      <c r="X737" s="1229"/>
      <c r="Y737" s="1229"/>
      <c r="Z737" s="1274"/>
      <c r="AA737" s="1274"/>
      <c r="AB737" s="1229"/>
      <c r="AC737" s="1229"/>
      <c r="AD737" s="1229"/>
      <c r="AE737" s="1229"/>
      <c r="AF737" s="1274"/>
      <c r="AG737" s="1274"/>
      <c r="AH737" s="1229"/>
      <c r="AI737" s="1229"/>
      <c r="AJ737" s="1229"/>
      <c r="AK737" s="1229"/>
      <c r="AL737" s="1274"/>
      <c r="AM737" s="1274"/>
      <c r="AN737" s="1229"/>
      <c r="AO737" s="1229"/>
      <c r="AP737" s="1229"/>
      <c r="AQ737" s="1229"/>
      <c r="AR737" s="1274"/>
      <c r="AS737" s="1274"/>
      <c r="AT737" s="1229"/>
      <c r="AU737" s="1229"/>
      <c r="AV737" s="1229"/>
      <c r="AW737" s="1229"/>
      <c r="AX737" s="1274"/>
      <c r="AY737" s="1274"/>
      <c r="AZ737" s="1229"/>
      <c r="BA737" s="1229"/>
      <c r="BB737" s="1229"/>
      <c r="BC737" s="1229"/>
      <c r="BD737" s="1274"/>
      <c r="BE737" s="1274"/>
      <c r="BF737" s="1229"/>
      <c r="BG737" s="1229"/>
      <c r="BH737" s="1229"/>
      <c r="BI737" s="1222"/>
      <c r="BJ737" s="1350"/>
      <c r="BK737" s="1350"/>
      <c r="BL737" s="1222"/>
      <c r="BM737" s="1222"/>
      <c r="BN737" s="1222"/>
      <c r="BO737" s="1222"/>
    </row>
    <row r="738">
      <c r="A738" s="1222"/>
      <c r="B738" s="1229"/>
      <c r="C738" s="1349"/>
      <c r="D738" s="1229"/>
      <c r="E738" s="1229"/>
      <c r="F738" s="1229"/>
      <c r="G738" s="1229"/>
      <c r="H738" s="1229"/>
      <c r="I738" s="1229"/>
      <c r="J738" s="1229"/>
      <c r="K738" s="1229"/>
      <c r="L738" s="1229"/>
      <c r="M738" s="1229"/>
      <c r="N738" s="1274"/>
      <c r="O738" s="1274"/>
      <c r="P738" s="1229"/>
      <c r="Q738" s="1229"/>
      <c r="R738" s="1229"/>
      <c r="S738" s="1229"/>
      <c r="T738" s="1274"/>
      <c r="U738" s="1274"/>
      <c r="V738" s="1229"/>
      <c r="W738" s="1229"/>
      <c r="X738" s="1229"/>
      <c r="Y738" s="1229"/>
      <c r="Z738" s="1274"/>
      <c r="AA738" s="1274"/>
      <c r="AB738" s="1229"/>
      <c r="AC738" s="1229"/>
      <c r="AD738" s="1229"/>
      <c r="AE738" s="1229"/>
      <c r="AF738" s="1274"/>
      <c r="AG738" s="1274"/>
      <c r="AH738" s="1229"/>
      <c r="AI738" s="1229"/>
      <c r="AJ738" s="1229"/>
      <c r="AK738" s="1229"/>
      <c r="AL738" s="1274"/>
      <c r="AM738" s="1274"/>
      <c r="AN738" s="1229"/>
      <c r="AO738" s="1229"/>
      <c r="AP738" s="1229"/>
      <c r="AQ738" s="1229"/>
      <c r="AR738" s="1274"/>
      <c r="AS738" s="1274"/>
      <c r="AT738" s="1229"/>
      <c r="AU738" s="1229"/>
      <c r="AV738" s="1229"/>
      <c r="AW738" s="1229"/>
      <c r="AX738" s="1274"/>
      <c r="AY738" s="1274"/>
      <c r="AZ738" s="1229"/>
      <c r="BA738" s="1229"/>
      <c r="BB738" s="1229"/>
      <c r="BC738" s="1229"/>
      <c r="BD738" s="1274"/>
      <c r="BE738" s="1274"/>
      <c r="BF738" s="1229"/>
      <c r="BG738" s="1229"/>
      <c r="BH738" s="1229"/>
      <c r="BI738" s="1222"/>
      <c r="BJ738" s="1350"/>
      <c r="BK738" s="1350"/>
      <c r="BL738" s="1222"/>
      <c r="BM738" s="1222"/>
      <c r="BN738" s="1222"/>
      <c r="BO738" s="1222"/>
    </row>
    <row r="739">
      <c r="A739" s="1222"/>
      <c r="B739" s="1229"/>
      <c r="C739" s="1349"/>
      <c r="D739" s="1229"/>
      <c r="E739" s="1229"/>
      <c r="F739" s="1229"/>
      <c r="G739" s="1229"/>
      <c r="H739" s="1229"/>
      <c r="I739" s="1229"/>
      <c r="J739" s="1229"/>
      <c r="K739" s="1229"/>
      <c r="L739" s="1229"/>
      <c r="M739" s="1229"/>
      <c r="N739" s="1274"/>
      <c r="O739" s="1274"/>
      <c r="P739" s="1229"/>
      <c r="Q739" s="1229"/>
      <c r="R739" s="1229"/>
      <c r="S739" s="1229"/>
      <c r="T739" s="1274"/>
      <c r="U739" s="1274"/>
      <c r="V739" s="1229"/>
      <c r="W739" s="1229"/>
      <c r="X739" s="1229"/>
      <c r="Y739" s="1229"/>
      <c r="Z739" s="1274"/>
      <c r="AA739" s="1274"/>
      <c r="AB739" s="1229"/>
      <c r="AC739" s="1229"/>
      <c r="AD739" s="1229"/>
      <c r="AE739" s="1229"/>
      <c r="AF739" s="1274"/>
      <c r="AG739" s="1274"/>
      <c r="AH739" s="1229"/>
      <c r="AI739" s="1229"/>
      <c r="AJ739" s="1229"/>
      <c r="AK739" s="1229"/>
      <c r="AL739" s="1274"/>
      <c r="AM739" s="1274"/>
      <c r="AN739" s="1229"/>
      <c r="AO739" s="1229"/>
      <c r="AP739" s="1229"/>
      <c r="AQ739" s="1229"/>
      <c r="AR739" s="1274"/>
      <c r="AS739" s="1274"/>
      <c r="AT739" s="1229"/>
      <c r="AU739" s="1229"/>
      <c r="AV739" s="1229"/>
      <c r="AW739" s="1229"/>
      <c r="AX739" s="1274"/>
      <c r="AY739" s="1274"/>
      <c r="AZ739" s="1229"/>
      <c r="BA739" s="1229"/>
      <c r="BB739" s="1229"/>
      <c r="BC739" s="1229"/>
      <c r="BD739" s="1274"/>
      <c r="BE739" s="1274"/>
      <c r="BF739" s="1229"/>
      <c r="BG739" s="1229"/>
      <c r="BH739" s="1229"/>
      <c r="BI739" s="1222"/>
      <c r="BJ739" s="1350"/>
      <c r="BK739" s="1350"/>
      <c r="BL739" s="1222"/>
      <c r="BM739" s="1222"/>
      <c r="BN739" s="1222"/>
      <c r="BO739" s="1222"/>
    </row>
    <row r="740">
      <c r="A740" s="1222"/>
      <c r="B740" s="1229"/>
      <c r="C740" s="1349"/>
      <c r="D740" s="1229"/>
      <c r="E740" s="1229"/>
      <c r="F740" s="1229"/>
      <c r="G740" s="1229"/>
      <c r="H740" s="1229"/>
      <c r="I740" s="1229"/>
      <c r="J740" s="1229"/>
      <c r="K740" s="1229"/>
      <c r="L740" s="1229"/>
      <c r="M740" s="1229"/>
      <c r="N740" s="1274"/>
      <c r="O740" s="1274"/>
      <c r="P740" s="1229"/>
      <c r="Q740" s="1229"/>
      <c r="R740" s="1229"/>
      <c r="S740" s="1229"/>
      <c r="T740" s="1274"/>
      <c r="U740" s="1274"/>
      <c r="V740" s="1229"/>
      <c r="W740" s="1229"/>
      <c r="X740" s="1229"/>
      <c r="Y740" s="1229"/>
      <c r="Z740" s="1274"/>
      <c r="AA740" s="1274"/>
      <c r="AB740" s="1229"/>
      <c r="AC740" s="1229"/>
      <c r="AD740" s="1229"/>
      <c r="AE740" s="1229"/>
      <c r="AF740" s="1274"/>
      <c r="AG740" s="1274"/>
      <c r="AH740" s="1229"/>
      <c r="AI740" s="1229"/>
      <c r="AJ740" s="1229"/>
      <c r="AK740" s="1229"/>
      <c r="AL740" s="1274"/>
      <c r="AM740" s="1274"/>
      <c r="AN740" s="1229"/>
      <c r="AO740" s="1229"/>
      <c r="AP740" s="1229"/>
      <c r="AQ740" s="1229"/>
      <c r="AR740" s="1274"/>
      <c r="AS740" s="1274"/>
      <c r="AT740" s="1229"/>
      <c r="AU740" s="1229"/>
      <c r="AV740" s="1229"/>
      <c r="AW740" s="1229"/>
      <c r="AX740" s="1274"/>
      <c r="AY740" s="1274"/>
      <c r="AZ740" s="1229"/>
      <c r="BA740" s="1229"/>
      <c r="BB740" s="1229"/>
      <c r="BC740" s="1229"/>
      <c r="BD740" s="1274"/>
      <c r="BE740" s="1274"/>
      <c r="BF740" s="1229"/>
      <c r="BG740" s="1229"/>
      <c r="BH740" s="1229"/>
      <c r="BI740" s="1222"/>
      <c r="BJ740" s="1350"/>
      <c r="BK740" s="1350"/>
      <c r="BL740" s="1222"/>
      <c r="BM740" s="1222"/>
      <c r="BN740" s="1222"/>
      <c r="BO740" s="1222"/>
    </row>
    <row r="741">
      <c r="A741" s="1222"/>
      <c r="B741" s="1229"/>
      <c r="C741" s="1349"/>
      <c r="D741" s="1229"/>
      <c r="E741" s="1229"/>
      <c r="F741" s="1229"/>
      <c r="G741" s="1229"/>
      <c r="H741" s="1229"/>
      <c r="I741" s="1229"/>
      <c r="J741" s="1229"/>
      <c r="K741" s="1229"/>
      <c r="L741" s="1229"/>
      <c r="M741" s="1229"/>
      <c r="N741" s="1274"/>
      <c r="O741" s="1274"/>
      <c r="P741" s="1229"/>
      <c r="Q741" s="1229"/>
      <c r="R741" s="1229"/>
      <c r="S741" s="1229"/>
      <c r="T741" s="1274"/>
      <c r="U741" s="1274"/>
      <c r="V741" s="1229"/>
      <c r="W741" s="1229"/>
      <c r="X741" s="1229"/>
      <c r="Y741" s="1229"/>
      <c r="Z741" s="1274"/>
      <c r="AA741" s="1274"/>
      <c r="AB741" s="1229"/>
      <c r="AC741" s="1229"/>
      <c r="AD741" s="1229"/>
      <c r="AE741" s="1229"/>
      <c r="AF741" s="1274"/>
      <c r="AG741" s="1274"/>
      <c r="AH741" s="1229"/>
      <c r="AI741" s="1229"/>
      <c r="AJ741" s="1229"/>
      <c r="AK741" s="1229"/>
      <c r="AL741" s="1274"/>
      <c r="AM741" s="1274"/>
      <c r="AN741" s="1229"/>
      <c r="AO741" s="1229"/>
      <c r="AP741" s="1229"/>
      <c r="AQ741" s="1229"/>
      <c r="AR741" s="1274"/>
      <c r="AS741" s="1274"/>
      <c r="AT741" s="1229"/>
      <c r="AU741" s="1229"/>
      <c r="AV741" s="1229"/>
      <c r="AW741" s="1229"/>
      <c r="AX741" s="1274"/>
      <c r="AY741" s="1274"/>
      <c r="AZ741" s="1229"/>
      <c r="BA741" s="1229"/>
      <c r="BB741" s="1229"/>
      <c r="BC741" s="1229"/>
      <c r="BD741" s="1274"/>
      <c r="BE741" s="1274"/>
      <c r="BF741" s="1229"/>
      <c r="BG741" s="1229"/>
      <c r="BH741" s="1229"/>
      <c r="BI741" s="1222"/>
      <c r="BJ741" s="1350"/>
      <c r="BK741" s="1350"/>
      <c r="BL741" s="1222"/>
      <c r="BM741" s="1222"/>
      <c r="BN741" s="1222"/>
      <c r="BO741" s="1222"/>
    </row>
    <row r="742">
      <c r="A742" s="1222"/>
      <c r="B742" s="1229"/>
      <c r="C742" s="1349"/>
      <c r="D742" s="1229"/>
      <c r="E742" s="1229"/>
      <c r="F742" s="1229"/>
      <c r="G742" s="1229"/>
      <c r="H742" s="1229"/>
      <c r="I742" s="1229"/>
      <c r="J742" s="1229"/>
      <c r="K742" s="1229"/>
      <c r="L742" s="1229"/>
      <c r="M742" s="1229"/>
      <c r="N742" s="1274"/>
      <c r="O742" s="1274"/>
      <c r="P742" s="1229"/>
      <c r="Q742" s="1229"/>
      <c r="R742" s="1229"/>
      <c r="S742" s="1229"/>
      <c r="T742" s="1274"/>
      <c r="U742" s="1274"/>
      <c r="V742" s="1229"/>
      <c r="W742" s="1229"/>
      <c r="X742" s="1229"/>
      <c r="Y742" s="1229"/>
      <c r="Z742" s="1274"/>
      <c r="AA742" s="1274"/>
      <c r="AB742" s="1229"/>
      <c r="AC742" s="1229"/>
      <c r="AD742" s="1229"/>
      <c r="AE742" s="1229"/>
      <c r="AF742" s="1274"/>
      <c r="AG742" s="1274"/>
      <c r="AH742" s="1229"/>
      <c r="AI742" s="1229"/>
      <c r="AJ742" s="1229"/>
      <c r="AK742" s="1229"/>
      <c r="AL742" s="1274"/>
      <c r="AM742" s="1274"/>
      <c r="AN742" s="1229"/>
      <c r="AO742" s="1229"/>
      <c r="AP742" s="1229"/>
      <c r="AQ742" s="1229"/>
      <c r="AR742" s="1274"/>
      <c r="AS742" s="1274"/>
      <c r="AT742" s="1229"/>
      <c r="AU742" s="1229"/>
      <c r="AV742" s="1229"/>
      <c r="AW742" s="1229"/>
      <c r="AX742" s="1274"/>
      <c r="AY742" s="1274"/>
      <c r="AZ742" s="1229"/>
      <c r="BA742" s="1229"/>
      <c r="BB742" s="1229"/>
      <c r="BC742" s="1229"/>
      <c r="BD742" s="1274"/>
      <c r="BE742" s="1274"/>
      <c r="BF742" s="1229"/>
      <c r="BG742" s="1229"/>
      <c r="BH742" s="1229"/>
      <c r="BI742" s="1222"/>
      <c r="BJ742" s="1350"/>
      <c r="BK742" s="1350"/>
      <c r="BL742" s="1222"/>
      <c r="BM742" s="1222"/>
      <c r="BN742" s="1222"/>
      <c r="BO742" s="1222"/>
    </row>
    <row r="743">
      <c r="A743" s="1222"/>
      <c r="B743" s="1229"/>
      <c r="C743" s="1349"/>
      <c r="D743" s="1229"/>
      <c r="E743" s="1229"/>
      <c r="F743" s="1229"/>
      <c r="G743" s="1229"/>
      <c r="H743" s="1229"/>
      <c r="I743" s="1229"/>
      <c r="J743" s="1229"/>
      <c r="K743" s="1229"/>
      <c r="L743" s="1229"/>
      <c r="M743" s="1229"/>
      <c r="N743" s="1274"/>
      <c r="O743" s="1274"/>
      <c r="P743" s="1229"/>
      <c r="Q743" s="1229"/>
      <c r="R743" s="1229"/>
      <c r="S743" s="1229"/>
      <c r="T743" s="1274"/>
      <c r="U743" s="1274"/>
      <c r="V743" s="1229"/>
      <c r="W743" s="1229"/>
      <c r="X743" s="1229"/>
      <c r="Y743" s="1229"/>
      <c r="Z743" s="1274"/>
      <c r="AA743" s="1274"/>
      <c r="AB743" s="1229"/>
      <c r="AC743" s="1229"/>
      <c r="AD743" s="1229"/>
      <c r="AE743" s="1229"/>
      <c r="AF743" s="1274"/>
      <c r="AG743" s="1274"/>
      <c r="AH743" s="1229"/>
      <c r="AI743" s="1229"/>
      <c r="AJ743" s="1229"/>
      <c r="AK743" s="1229"/>
      <c r="AL743" s="1274"/>
      <c r="AM743" s="1274"/>
      <c r="AN743" s="1229"/>
      <c r="AO743" s="1229"/>
      <c r="AP743" s="1229"/>
      <c r="AQ743" s="1229"/>
      <c r="AR743" s="1274"/>
      <c r="AS743" s="1274"/>
      <c r="AT743" s="1229"/>
      <c r="AU743" s="1229"/>
      <c r="AV743" s="1229"/>
      <c r="AW743" s="1229"/>
      <c r="AX743" s="1274"/>
      <c r="AY743" s="1274"/>
      <c r="AZ743" s="1229"/>
      <c r="BA743" s="1229"/>
      <c r="BB743" s="1229"/>
      <c r="BC743" s="1229"/>
      <c r="BD743" s="1274"/>
      <c r="BE743" s="1274"/>
      <c r="BF743" s="1229"/>
      <c r="BG743" s="1229"/>
      <c r="BH743" s="1229"/>
      <c r="BI743" s="1222"/>
      <c r="BJ743" s="1350"/>
      <c r="BK743" s="1350"/>
      <c r="BL743" s="1222"/>
      <c r="BM743" s="1222"/>
      <c r="BN743" s="1222"/>
      <c r="BO743" s="1222"/>
    </row>
    <row r="744">
      <c r="A744" s="1222"/>
      <c r="B744" s="1229"/>
      <c r="C744" s="1349"/>
      <c r="D744" s="1229"/>
      <c r="E744" s="1229"/>
      <c r="F744" s="1229"/>
      <c r="G744" s="1229"/>
      <c r="H744" s="1229"/>
      <c r="I744" s="1229"/>
      <c r="J744" s="1229"/>
      <c r="K744" s="1229"/>
      <c r="L744" s="1229"/>
      <c r="M744" s="1229"/>
      <c r="N744" s="1274"/>
      <c r="O744" s="1274"/>
      <c r="P744" s="1229"/>
      <c r="Q744" s="1229"/>
      <c r="R744" s="1229"/>
      <c r="S744" s="1229"/>
      <c r="T744" s="1274"/>
      <c r="U744" s="1274"/>
      <c r="V744" s="1229"/>
      <c r="W744" s="1229"/>
      <c r="X744" s="1229"/>
      <c r="Y744" s="1229"/>
      <c r="Z744" s="1274"/>
      <c r="AA744" s="1274"/>
      <c r="AB744" s="1229"/>
      <c r="AC744" s="1229"/>
      <c r="AD744" s="1229"/>
      <c r="AE744" s="1229"/>
      <c r="AF744" s="1274"/>
      <c r="AG744" s="1274"/>
      <c r="AH744" s="1229"/>
      <c r="AI744" s="1229"/>
      <c r="AJ744" s="1229"/>
      <c r="AK744" s="1229"/>
      <c r="AL744" s="1274"/>
      <c r="AM744" s="1274"/>
      <c r="AN744" s="1229"/>
      <c r="AO744" s="1229"/>
      <c r="AP744" s="1229"/>
      <c r="AQ744" s="1229"/>
      <c r="AR744" s="1274"/>
      <c r="AS744" s="1274"/>
      <c r="AT744" s="1229"/>
      <c r="AU744" s="1229"/>
      <c r="AV744" s="1229"/>
      <c r="AW744" s="1229"/>
      <c r="AX744" s="1274"/>
      <c r="AY744" s="1274"/>
      <c r="AZ744" s="1229"/>
      <c r="BA744" s="1229"/>
      <c r="BB744" s="1229"/>
      <c r="BC744" s="1229"/>
      <c r="BD744" s="1274"/>
      <c r="BE744" s="1274"/>
      <c r="BF744" s="1229"/>
      <c r="BG744" s="1229"/>
      <c r="BH744" s="1229"/>
      <c r="BI744" s="1222"/>
      <c r="BJ744" s="1350"/>
      <c r="BK744" s="1350"/>
      <c r="BL744" s="1222"/>
      <c r="BM744" s="1222"/>
      <c r="BN744" s="1222"/>
      <c r="BO744" s="1222"/>
    </row>
    <row r="745">
      <c r="A745" s="1222"/>
      <c r="B745" s="1229"/>
      <c r="C745" s="1349"/>
      <c r="D745" s="1229"/>
      <c r="E745" s="1229"/>
      <c r="F745" s="1229"/>
      <c r="G745" s="1229"/>
      <c r="H745" s="1229"/>
      <c r="I745" s="1229"/>
      <c r="J745" s="1229"/>
      <c r="K745" s="1229"/>
      <c r="L745" s="1229"/>
      <c r="M745" s="1229"/>
      <c r="N745" s="1274"/>
      <c r="O745" s="1274"/>
      <c r="P745" s="1229"/>
      <c r="Q745" s="1229"/>
      <c r="R745" s="1229"/>
      <c r="S745" s="1229"/>
      <c r="T745" s="1274"/>
      <c r="U745" s="1274"/>
      <c r="V745" s="1229"/>
      <c r="W745" s="1229"/>
      <c r="X745" s="1229"/>
      <c r="Y745" s="1229"/>
      <c r="Z745" s="1274"/>
      <c r="AA745" s="1274"/>
      <c r="AB745" s="1229"/>
      <c r="AC745" s="1229"/>
      <c r="AD745" s="1229"/>
      <c r="AE745" s="1229"/>
      <c r="AF745" s="1274"/>
      <c r="AG745" s="1274"/>
      <c r="AH745" s="1229"/>
      <c r="AI745" s="1229"/>
      <c r="AJ745" s="1229"/>
      <c r="AK745" s="1229"/>
      <c r="AL745" s="1274"/>
      <c r="AM745" s="1274"/>
      <c r="AN745" s="1229"/>
      <c r="AO745" s="1229"/>
      <c r="AP745" s="1229"/>
      <c r="AQ745" s="1229"/>
      <c r="AR745" s="1274"/>
      <c r="AS745" s="1274"/>
      <c r="AT745" s="1229"/>
      <c r="AU745" s="1229"/>
      <c r="AV745" s="1229"/>
      <c r="AW745" s="1229"/>
      <c r="AX745" s="1274"/>
      <c r="AY745" s="1274"/>
      <c r="AZ745" s="1229"/>
      <c r="BA745" s="1229"/>
      <c r="BB745" s="1229"/>
      <c r="BC745" s="1229"/>
      <c r="BD745" s="1274"/>
      <c r="BE745" s="1274"/>
      <c r="BF745" s="1229"/>
      <c r="BG745" s="1229"/>
      <c r="BH745" s="1229"/>
      <c r="BI745" s="1222"/>
      <c r="BJ745" s="1350"/>
      <c r="BK745" s="1350"/>
      <c r="BL745" s="1222"/>
      <c r="BM745" s="1222"/>
      <c r="BN745" s="1222"/>
      <c r="BO745" s="1222"/>
    </row>
    <row r="746">
      <c r="A746" s="1222"/>
      <c r="B746" s="1229"/>
      <c r="C746" s="1349"/>
      <c r="D746" s="1229"/>
      <c r="E746" s="1229"/>
      <c r="F746" s="1229"/>
      <c r="G746" s="1229"/>
      <c r="H746" s="1229"/>
      <c r="I746" s="1229"/>
      <c r="J746" s="1229"/>
      <c r="K746" s="1229"/>
      <c r="L746" s="1229"/>
      <c r="M746" s="1229"/>
      <c r="N746" s="1274"/>
      <c r="O746" s="1274"/>
      <c r="P746" s="1229"/>
      <c r="Q746" s="1229"/>
      <c r="R746" s="1229"/>
      <c r="S746" s="1229"/>
      <c r="T746" s="1274"/>
      <c r="U746" s="1274"/>
      <c r="V746" s="1229"/>
      <c r="W746" s="1229"/>
      <c r="X746" s="1229"/>
      <c r="Y746" s="1229"/>
      <c r="Z746" s="1274"/>
      <c r="AA746" s="1274"/>
      <c r="AB746" s="1229"/>
      <c r="AC746" s="1229"/>
      <c r="AD746" s="1229"/>
      <c r="AE746" s="1229"/>
      <c r="AF746" s="1274"/>
      <c r="AG746" s="1274"/>
      <c r="AH746" s="1229"/>
      <c r="AI746" s="1229"/>
      <c r="AJ746" s="1229"/>
      <c r="AK746" s="1229"/>
      <c r="AL746" s="1274"/>
      <c r="AM746" s="1274"/>
      <c r="AN746" s="1229"/>
      <c r="AO746" s="1229"/>
      <c r="AP746" s="1229"/>
      <c r="AQ746" s="1229"/>
      <c r="AR746" s="1274"/>
      <c r="AS746" s="1274"/>
      <c r="AT746" s="1229"/>
      <c r="AU746" s="1229"/>
      <c r="AV746" s="1229"/>
      <c r="AW746" s="1229"/>
      <c r="AX746" s="1274"/>
      <c r="AY746" s="1274"/>
      <c r="AZ746" s="1229"/>
      <c r="BA746" s="1229"/>
      <c r="BB746" s="1229"/>
      <c r="BC746" s="1229"/>
      <c r="BD746" s="1274"/>
      <c r="BE746" s="1274"/>
      <c r="BF746" s="1229"/>
      <c r="BG746" s="1229"/>
      <c r="BH746" s="1229"/>
      <c r="BI746" s="1222"/>
      <c r="BJ746" s="1350"/>
      <c r="BK746" s="1350"/>
      <c r="BL746" s="1222"/>
      <c r="BM746" s="1222"/>
      <c r="BN746" s="1222"/>
      <c r="BO746" s="1222"/>
    </row>
    <row r="747">
      <c r="A747" s="1222"/>
      <c r="B747" s="1229"/>
      <c r="C747" s="1349"/>
      <c r="D747" s="1229"/>
      <c r="E747" s="1229"/>
      <c r="F747" s="1229"/>
      <c r="G747" s="1229"/>
      <c r="H747" s="1229"/>
      <c r="I747" s="1229"/>
      <c r="J747" s="1229"/>
      <c r="K747" s="1229"/>
      <c r="L747" s="1229"/>
      <c r="M747" s="1229"/>
      <c r="N747" s="1274"/>
      <c r="O747" s="1274"/>
      <c r="P747" s="1229"/>
      <c r="Q747" s="1229"/>
      <c r="R747" s="1229"/>
      <c r="S747" s="1229"/>
      <c r="T747" s="1274"/>
      <c r="U747" s="1274"/>
      <c r="V747" s="1229"/>
      <c r="W747" s="1229"/>
      <c r="X747" s="1229"/>
      <c r="Y747" s="1229"/>
      <c r="Z747" s="1274"/>
      <c r="AA747" s="1274"/>
      <c r="AB747" s="1229"/>
      <c r="AC747" s="1229"/>
      <c r="AD747" s="1229"/>
      <c r="AE747" s="1229"/>
      <c r="AF747" s="1274"/>
      <c r="AG747" s="1274"/>
      <c r="AH747" s="1229"/>
      <c r="AI747" s="1229"/>
      <c r="AJ747" s="1229"/>
      <c r="AK747" s="1229"/>
      <c r="AL747" s="1274"/>
      <c r="AM747" s="1274"/>
      <c r="AN747" s="1229"/>
      <c r="AO747" s="1229"/>
      <c r="AP747" s="1229"/>
      <c r="AQ747" s="1229"/>
      <c r="AR747" s="1274"/>
      <c r="AS747" s="1274"/>
      <c r="AT747" s="1229"/>
      <c r="AU747" s="1229"/>
      <c r="AV747" s="1229"/>
      <c r="AW747" s="1229"/>
      <c r="AX747" s="1274"/>
      <c r="AY747" s="1274"/>
      <c r="AZ747" s="1229"/>
      <c r="BA747" s="1229"/>
      <c r="BB747" s="1229"/>
      <c r="BC747" s="1229"/>
      <c r="BD747" s="1274"/>
      <c r="BE747" s="1274"/>
      <c r="BF747" s="1229"/>
      <c r="BG747" s="1229"/>
      <c r="BH747" s="1229"/>
      <c r="BI747" s="1222"/>
      <c r="BJ747" s="1350"/>
      <c r="BK747" s="1350"/>
      <c r="BL747" s="1222"/>
      <c r="BM747" s="1222"/>
      <c r="BN747" s="1222"/>
      <c r="BO747" s="1222"/>
    </row>
    <row r="748">
      <c r="A748" s="1222"/>
      <c r="B748" s="1229"/>
      <c r="C748" s="1349"/>
      <c r="D748" s="1229"/>
      <c r="E748" s="1229"/>
      <c r="F748" s="1229"/>
      <c r="G748" s="1229"/>
      <c r="H748" s="1229"/>
      <c r="I748" s="1229"/>
      <c r="J748" s="1229"/>
      <c r="K748" s="1229"/>
      <c r="L748" s="1229"/>
      <c r="M748" s="1229"/>
      <c r="N748" s="1274"/>
      <c r="O748" s="1274"/>
      <c r="P748" s="1229"/>
      <c r="Q748" s="1229"/>
      <c r="R748" s="1229"/>
      <c r="S748" s="1229"/>
      <c r="T748" s="1274"/>
      <c r="U748" s="1274"/>
      <c r="V748" s="1229"/>
      <c r="W748" s="1229"/>
      <c r="X748" s="1229"/>
      <c r="Y748" s="1229"/>
      <c r="Z748" s="1274"/>
      <c r="AA748" s="1274"/>
      <c r="AB748" s="1229"/>
      <c r="AC748" s="1229"/>
      <c r="AD748" s="1229"/>
      <c r="AE748" s="1229"/>
      <c r="AF748" s="1274"/>
      <c r="AG748" s="1274"/>
      <c r="AH748" s="1229"/>
      <c r="AI748" s="1229"/>
      <c r="AJ748" s="1229"/>
      <c r="AK748" s="1229"/>
      <c r="AL748" s="1274"/>
      <c r="AM748" s="1274"/>
      <c r="AN748" s="1229"/>
      <c r="AO748" s="1229"/>
      <c r="AP748" s="1229"/>
      <c r="AQ748" s="1229"/>
      <c r="AR748" s="1274"/>
      <c r="AS748" s="1274"/>
      <c r="AT748" s="1229"/>
      <c r="AU748" s="1229"/>
      <c r="AV748" s="1229"/>
      <c r="AW748" s="1229"/>
      <c r="AX748" s="1274"/>
      <c r="AY748" s="1274"/>
      <c r="AZ748" s="1229"/>
      <c r="BA748" s="1229"/>
      <c r="BB748" s="1229"/>
      <c r="BC748" s="1229"/>
      <c r="BD748" s="1274"/>
      <c r="BE748" s="1274"/>
      <c r="BF748" s="1229"/>
      <c r="BG748" s="1229"/>
      <c r="BH748" s="1229"/>
      <c r="BI748" s="1222"/>
      <c r="BJ748" s="1350"/>
      <c r="BK748" s="1350"/>
      <c r="BL748" s="1222"/>
      <c r="BM748" s="1222"/>
      <c r="BN748" s="1222"/>
      <c r="BO748" s="1222"/>
    </row>
    <row r="749">
      <c r="A749" s="1222"/>
      <c r="B749" s="1229"/>
      <c r="C749" s="1349"/>
      <c r="D749" s="1229"/>
      <c r="E749" s="1229"/>
      <c r="F749" s="1229"/>
      <c r="G749" s="1229"/>
      <c r="H749" s="1229"/>
      <c r="I749" s="1229"/>
      <c r="J749" s="1229"/>
      <c r="K749" s="1229"/>
      <c r="L749" s="1229"/>
      <c r="M749" s="1229"/>
      <c r="N749" s="1274"/>
      <c r="O749" s="1274"/>
      <c r="P749" s="1229"/>
      <c r="Q749" s="1229"/>
      <c r="R749" s="1229"/>
      <c r="S749" s="1229"/>
      <c r="T749" s="1274"/>
      <c r="U749" s="1274"/>
      <c r="V749" s="1229"/>
      <c r="W749" s="1229"/>
      <c r="X749" s="1229"/>
      <c r="Y749" s="1229"/>
      <c r="Z749" s="1274"/>
      <c r="AA749" s="1274"/>
      <c r="AB749" s="1229"/>
      <c r="AC749" s="1229"/>
      <c r="AD749" s="1229"/>
      <c r="AE749" s="1229"/>
      <c r="AF749" s="1274"/>
      <c r="AG749" s="1274"/>
      <c r="AH749" s="1229"/>
      <c r="AI749" s="1229"/>
      <c r="AJ749" s="1229"/>
      <c r="AK749" s="1229"/>
      <c r="AL749" s="1274"/>
      <c r="AM749" s="1274"/>
      <c r="AN749" s="1229"/>
      <c r="AO749" s="1229"/>
      <c r="AP749" s="1229"/>
      <c r="AQ749" s="1229"/>
      <c r="AR749" s="1274"/>
      <c r="AS749" s="1274"/>
      <c r="AT749" s="1229"/>
      <c r="AU749" s="1229"/>
      <c r="AV749" s="1229"/>
      <c r="AW749" s="1229"/>
      <c r="AX749" s="1274"/>
      <c r="AY749" s="1274"/>
      <c r="AZ749" s="1229"/>
      <c r="BA749" s="1229"/>
      <c r="BB749" s="1229"/>
      <c r="BC749" s="1229"/>
      <c r="BD749" s="1274"/>
      <c r="BE749" s="1274"/>
      <c r="BF749" s="1229"/>
      <c r="BG749" s="1229"/>
      <c r="BH749" s="1229"/>
      <c r="BI749" s="1222"/>
      <c r="BJ749" s="1350"/>
      <c r="BK749" s="1350"/>
      <c r="BL749" s="1222"/>
      <c r="BM749" s="1222"/>
      <c r="BN749" s="1222"/>
      <c r="BO749" s="1222"/>
    </row>
    <row r="750">
      <c r="A750" s="1222"/>
      <c r="B750" s="1229"/>
      <c r="C750" s="1349"/>
      <c r="D750" s="1229"/>
      <c r="E750" s="1229"/>
      <c r="F750" s="1229"/>
      <c r="G750" s="1229"/>
      <c r="H750" s="1229"/>
      <c r="I750" s="1229"/>
      <c r="J750" s="1229"/>
      <c r="K750" s="1229"/>
      <c r="L750" s="1229"/>
      <c r="M750" s="1229"/>
      <c r="N750" s="1274"/>
      <c r="O750" s="1274"/>
      <c r="P750" s="1229"/>
      <c r="Q750" s="1229"/>
      <c r="R750" s="1229"/>
      <c r="S750" s="1229"/>
      <c r="T750" s="1274"/>
      <c r="U750" s="1274"/>
      <c r="V750" s="1229"/>
      <c r="W750" s="1229"/>
      <c r="X750" s="1229"/>
      <c r="Y750" s="1229"/>
      <c r="Z750" s="1274"/>
      <c r="AA750" s="1274"/>
      <c r="AB750" s="1229"/>
      <c r="AC750" s="1229"/>
      <c r="AD750" s="1229"/>
      <c r="AE750" s="1229"/>
      <c r="AF750" s="1274"/>
      <c r="AG750" s="1274"/>
      <c r="AH750" s="1229"/>
      <c r="AI750" s="1229"/>
      <c r="AJ750" s="1229"/>
      <c r="AK750" s="1229"/>
      <c r="AL750" s="1274"/>
      <c r="AM750" s="1274"/>
      <c r="AN750" s="1229"/>
      <c r="AO750" s="1229"/>
      <c r="AP750" s="1229"/>
      <c r="AQ750" s="1229"/>
      <c r="AR750" s="1274"/>
      <c r="AS750" s="1274"/>
      <c r="AT750" s="1229"/>
      <c r="AU750" s="1229"/>
      <c r="AV750" s="1229"/>
      <c r="AW750" s="1229"/>
      <c r="AX750" s="1274"/>
      <c r="AY750" s="1274"/>
      <c r="AZ750" s="1229"/>
      <c r="BA750" s="1229"/>
      <c r="BB750" s="1229"/>
      <c r="BC750" s="1229"/>
      <c r="BD750" s="1274"/>
      <c r="BE750" s="1274"/>
      <c r="BF750" s="1229"/>
      <c r="BG750" s="1229"/>
      <c r="BH750" s="1229"/>
      <c r="BI750" s="1222"/>
      <c r="BJ750" s="1350"/>
      <c r="BK750" s="1350"/>
      <c r="BL750" s="1222"/>
      <c r="BM750" s="1222"/>
      <c r="BN750" s="1222"/>
      <c r="BO750" s="1222"/>
    </row>
    <row r="751">
      <c r="A751" s="1222"/>
      <c r="B751" s="1229"/>
      <c r="C751" s="1349"/>
      <c r="D751" s="1229"/>
      <c r="E751" s="1229"/>
      <c r="F751" s="1229"/>
      <c r="G751" s="1229"/>
      <c r="H751" s="1229"/>
      <c r="I751" s="1229"/>
      <c r="J751" s="1229"/>
      <c r="K751" s="1229"/>
      <c r="L751" s="1229"/>
      <c r="M751" s="1229"/>
      <c r="N751" s="1274"/>
      <c r="O751" s="1274"/>
      <c r="P751" s="1229"/>
      <c r="Q751" s="1229"/>
      <c r="R751" s="1229"/>
      <c r="S751" s="1229"/>
      <c r="T751" s="1274"/>
      <c r="U751" s="1274"/>
      <c r="V751" s="1229"/>
      <c r="W751" s="1229"/>
      <c r="X751" s="1229"/>
      <c r="Y751" s="1229"/>
      <c r="Z751" s="1274"/>
      <c r="AA751" s="1274"/>
      <c r="AB751" s="1229"/>
      <c r="AC751" s="1229"/>
      <c r="AD751" s="1229"/>
      <c r="AE751" s="1229"/>
      <c r="AF751" s="1274"/>
      <c r="AG751" s="1274"/>
      <c r="AH751" s="1229"/>
      <c r="AI751" s="1229"/>
      <c r="AJ751" s="1229"/>
      <c r="AK751" s="1229"/>
      <c r="AL751" s="1274"/>
      <c r="AM751" s="1274"/>
      <c r="AN751" s="1229"/>
      <c r="AO751" s="1229"/>
      <c r="AP751" s="1229"/>
      <c r="AQ751" s="1229"/>
      <c r="AR751" s="1274"/>
      <c r="AS751" s="1274"/>
      <c r="AT751" s="1229"/>
      <c r="AU751" s="1229"/>
      <c r="AV751" s="1229"/>
      <c r="AW751" s="1229"/>
      <c r="AX751" s="1274"/>
      <c r="AY751" s="1274"/>
      <c r="AZ751" s="1229"/>
      <c r="BA751" s="1229"/>
      <c r="BB751" s="1229"/>
      <c r="BC751" s="1229"/>
      <c r="BD751" s="1274"/>
      <c r="BE751" s="1274"/>
      <c r="BF751" s="1229"/>
      <c r="BG751" s="1229"/>
      <c r="BH751" s="1229"/>
      <c r="BI751" s="1222"/>
      <c r="BJ751" s="1350"/>
      <c r="BK751" s="1350"/>
      <c r="BL751" s="1222"/>
      <c r="BM751" s="1222"/>
      <c r="BN751" s="1222"/>
      <c r="BO751" s="1222"/>
    </row>
    <row r="752">
      <c r="A752" s="1222"/>
      <c r="B752" s="1229"/>
      <c r="C752" s="1349"/>
      <c r="D752" s="1229"/>
      <c r="E752" s="1229"/>
      <c r="F752" s="1229"/>
      <c r="G752" s="1229"/>
      <c r="H752" s="1229"/>
      <c r="I752" s="1229"/>
      <c r="J752" s="1229"/>
      <c r="K752" s="1229"/>
      <c r="L752" s="1229"/>
      <c r="M752" s="1229"/>
      <c r="N752" s="1274"/>
      <c r="O752" s="1274"/>
      <c r="P752" s="1229"/>
      <c r="Q752" s="1229"/>
      <c r="R752" s="1229"/>
      <c r="S752" s="1229"/>
      <c r="T752" s="1274"/>
      <c r="U752" s="1274"/>
      <c r="V752" s="1229"/>
      <c r="W752" s="1229"/>
      <c r="X752" s="1229"/>
      <c r="Y752" s="1229"/>
      <c r="Z752" s="1274"/>
      <c r="AA752" s="1274"/>
      <c r="AB752" s="1229"/>
      <c r="AC752" s="1229"/>
      <c r="AD752" s="1229"/>
      <c r="AE752" s="1229"/>
      <c r="AF752" s="1274"/>
      <c r="AG752" s="1274"/>
      <c r="AH752" s="1229"/>
      <c r="AI752" s="1229"/>
      <c r="AJ752" s="1229"/>
      <c r="AK752" s="1229"/>
      <c r="AL752" s="1274"/>
      <c r="AM752" s="1274"/>
      <c r="AN752" s="1229"/>
      <c r="AO752" s="1229"/>
      <c r="AP752" s="1229"/>
      <c r="AQ752" s="1229"/>
      <c r="AR752" s="1274"/>
      <c r="AS752" s="1274"/>
      <c r="AT752" s="1229"/>
      <c r="AU752" s="1229"/>
      <c r="AV752" s="1229"/>
      <c r="AW752" s="1229"/>
      <c r="AX752" s="1274"/>
      <c r="AY752" s="1274"/>
      <c r="AZ752" s="1229"/>
      <c r="BA752" s="1229"/>
      <c r="BB752" s="1229"/>
      <c r="BC752" s="1229"/>
      <c r="BD752" s="1274"/>
      <c r="BE752" s="1274"/>
      <c r="BF752" s="1229"/>
      <c r="BG752" s="1229"/>
      <c r="BH752" s="1229"/>
      <c r="BI752" s="1222"/>
      <c r="BJ752" s="1350"/>
      <c r="BK752" s="1350"/>
      <c r="BL752" s="1222"/>
      <c r="BM752" s="1222"/>
      <c r="BN752" s="1222"/>
      <c r="BO752" s="1222"/>
    </row>
    <row r="753">
      <c r="A753" s="1222"/>
      <c r="B753" s="1229"/>
      <c r="C753" s="1349"/>
      <c r="D753" s="1229"/>
      <c r="E753" s="1229"/>
      <c r="F753" s="1229"/>
      <c r="G753" s="1229"/>
      <c r="H753" s="1229"/>
      <c r="I753" s="1229"/>
      <c r="J753" s="1229"/>
      <c r="K753" s="1229"/>
      <c r="L753" s="1229"/>
      <c r="M753" s="1229"/>
      <c r="N753" s="1274"/>
      <c r="O753" s="1274"/>
      <c r="P753" s="1229"/>
      <c r="Q753" s="1229"/>
      <c r="R753" s="1229"/>
      <c r="S753" s="1229"/>
      <c r="T753" s="1274"/>
      <c r="U753" s="1274"/>
      <c r="V753" s="1229"/>
      <c r="W753" s="1229"/>
      <c r="X753" s="1229"/>
      <c r="Y753" s="1229"/>
      <c r="Z753" s="1274"/>
      <c r="AA753" s="1274"/>
      <c r="AB753" s="1229"/>
      <c r="AC753" s="1229"/>
      <c r="AD753" s="1229"/>
      <c r="AE753" s="1229"/>
      <c r="AF753" s="1274"/>
      <c r="AG753" s="1274"/>
      <c r="AH753" s="1229"/>
      <c r="AI753" s="1229"/>
      <c r="AJ753" s="1229"/>
      <c r="AK753" s="1229"/>
      <c r="AL753" s="1274"/>
      <c r="AM753" s="1274"/>
      <c r="AN753" s="1229"/>
      <c r="AO753" s="1229"/>
      <c r="AP753" s="1229"/>
      <c r="AQ753" s="1229"/>
      <c r="AR753" s="1274"/>
      <c r="AS753" s="1274"/>
      <c r="AT753" s="1229"/>
      <c r="AU753" s="1229"/>
      <c r="AV753" s="1229"/>
      <c r="AW753" s="1229"/>
      <c r="AX753" s="1274"/>
      <c r="AY753" s="1274"/>
      <c r="AZ753" s="1229"/>
      <c r="BA753" s="1229"/>
      <c r="BB753" s="1229"/>
      <c r="BC753" s="1229"/>
      <c r="BD753" s="1274"/>
      <c r="BE753" s="1274"/>
      <c r="BF753" s="1229"/>
      <c r="BG753" s="1229"/>
      <c r="BH753" s="1229"/>
      <c r="BI753" s="1222"/>
      <c r="BJ753" s="1350"/>
      <c r="BK753" s="1350"/>
      <c r="BL753" s="1222"/>
      <c r="BM753" s="1222"/>
      <c r="BN753" s="1222"/>
      <c r="BO753" s="1222"/>
    </row>
    <row r="754">
      <c r="A754" s="1222"/>
      <c r="B754" s="1229"/>
      <c r="C754" s="1349"/>
      <c r="D754" s="1229"/>
      <c r="E754" s="1229"/>
      <c r="F754" s="1229"/>
      <c r="G754" s="1229"/>
      <c r="H754" s="1229"/>
      <c r="I754" s="1229"/>
      <c r="J754" s="1229"/>
      <c r="K754" s="1229"/>
      <c r="L754" s="1229"/>
      <c r="M754" s="1229"/>
      <c r="N754" s="1274"/>
      <c r="O754" s="1274"/>
      <c r="P754" s="1229"/>
      <c r="Q754" s="1229"/>
      <c r="R754" s="1229"/>
      <c r="S754" s="1229"/>
      <c r="T754" s="1274"/>
      <c r="U754" s="1274"/>
      <c r="V754" s="1229"/>
      <c r="W754" s="1229"/>
      <c r="X754" s="1229"/>
      <c r="Y754" s="1229"/>
      <c r="Z754" s="1274"/>
      <c r="AA754" s="1274"/>
      <c r="AB754" s="1229"/>
      <c r="AC754" s="1229"/>
      <c r="AD754" s="1229"/>
      <c r="AE754" s="1229"/>
      <c r="AF754" s="1274"/>
      <c r="AG754" s="1274"/>
      <c r="AH754" s="1229"/>
      <c r="AI754" s="1229"/>
      <c r="AJ754" s="1229"/>
      <c r="AK754" s="1229"/>
      <c r="AL754" s="1274"/>
      <c r="AM754" s="1274"/>
      <c r="AN754" s="1229"/>
      <c r="AO754" s="1229"/>
      <c r="AP754" s="1229"/>
      <c r="AQ754" s="1229"/>
      <c r="AR754" s="1274"/>
      <c r="AS754" s="1274"/>
      <c r="AT754" s="1229"/>
      <c r="AU754" s="1229"/>
      <c r="AV754" s="1229"/>
      <c r="AW754" s="1229"/>
      <c r="AX754" s="1274"/>
      <c r="AY754" s="1274"/>
      <c r="AZ754" s="1229"/>
      <c r="BA754" s="1229"/>
      <c r="BB754" s="1229"/>
      <c r="BC754" s="1229"/>
      <c r="BD754" s="1274"/>
      <c r="BE754" s="1274"/>
      <c r="BF754" s="1229"/>
      <c r="BG754" s="1229"/>
      <c r="BH754" s="1229"/>
      <c r="BI754" s="1222"/>
      <c r="BJ754" s="1350"/>
      <c r="BK754" s="1350"/>
      <c r="BL754" s="1222"/>
      <c r="BM754" s="1222"/>
      <c r="BN754" s="1222"/>
      <c r="BO754" s="1222"/>
    </row>
    <row r="755">
      <c r="A755" s="1222"/>
      <c r="B755" s="1229"/>
      <c r="C755" s="1349"/>
      <c r="D755" s="1229"/>
      <c r="E755" s="1229"/>
      <c r="F755" s="1229"/>
      <c r="G755" s="1229"/>
      <c r="H755" s="1229"/>
      <c r="I755" s="1229"/>
      <c r="J755" s="1229"/>
      <c r="K755" s="1229"/>
      <c r="L755" s="1229"/>
      <c r="M755" s="1229"/>
      <c r="N755" s="1274"/>
      <c r="O755" s="1274"/>
      <c r="P755" s="1229"/>
      <c r="Q755" s="1229"/>
      <c r="R755" s="1229"/>
      <c r="S755" s="1229"/>
      <c r="T755" s="1274"/>
      <c r="U755" s="1274"/>
      <c r="V755" s="1229"/>
      <c r="W755" s="1229"/>
      <c r="X755" s="1229"/>
      <c r="Y755" s="1229"/>
      <c r="Z755" s="1274"/>
      <c r="AA755" s="1274"/>
      <c r="AB755" s="1229"/>
      <c r="AC755" s="1229"/>
      <c r="AD755" s="1229"/>
      <c r="AE755" s="1229"/>
      <c r="AF755" s="1274"/>
      <c r="AG755" s="1274"/>
      <c r="AH755" s="1229"/>
      <c r="AI755" s="1229"/>
      <c r="AJ755" s="1229"/>
      <c r="AK755" s="1229"/>
      <c r="AL755" s="1274"/>
      <c r="AM755" s="1274"/>
      <c r="AN755" s="1229"/>
      <c r="AO755" s="1229"/>
      <c r="AP755" s="1229"/>
      <c r="AQ755" s="1229"/>
      <c r="AR755" s="1274"/>
      <c r="AS755" s="1274"/>
      <c r="AT755" s="1229"/>
      <c r="AU755" s="1229"/>
      <c r="AV755" s="1229"/>
      <c r="AW755" s="1229"/>
      <c r="AX755" s="1274"/>
      <c r="AY755" s="1274"/>
      <c r="AZ755" s="1229"/>
      <c r="BA755" s="1229"/>
      <c r="BB755" s="1229"/>
      <c r="BC755" s="1229"/>
      <c r="BD755" s="1274"/>
      <c r="BE755" s="1274"/>
      <c r="BF755" s="1229"/>
      <c r="BG755" s="1229"/>
      <c r="BH755" s="1229"/>
      <c r="BI755" s="1222"/>
      <c r="BJ755" s="1350"/>
      <c r="BK755" s="1350"/>
      <c r="BL755" s="1222"/>
      <c r="BM755" s="1222"/>
      <c r="BN755" s="1222"/>
      <c r="BO755" s="1222"/>
    </row>
    <row r="756">
      <c r="A756" s="1222"/>
      <c r="B756" s="1229"/>
      <c r="C756" s="1349"/>
      <c r="D756" s="1229"/>
      <c r="E756" s="1229"/>
      <c r="F756" s="1229"/>
      <c r="G756" s="1229"/>
      <c r="H756" s="1229"/>
      <c r="I756" s="1229"/>
      <c r="J756" s="1229"/>
      <c r="K756" s="1229"/>
      <c r="L756" s="1229"/>
      <c r="M756" s="1229"/>
      <c r="N756" s="1274"/>
      <c r="O756" s="1274"/>
      <c r="P756" s="1229"/>
      <c r="Q756" s="1229"/>
      <c r="R756" s="1229"/>
      <c r="S756" s="1229"/>
      <c r="T756" s="1274"/>
      <c r="U756" s="1274"/>
      <c r="V756" s="1229"/>
      <c r="W756" s="1229"/>
      <c r="X756" s="1229"/>
      <c r="Y756" s="1229"/>
      <c r="Z756" s="1274"/>
      <c r="AA756" s="1274"/>
      <c r="AB756" s="1229"/>
      <c r="AC756" s="1229"/>
      <c r="AD756" s="1229"/>
      <c r="AE756" s="1229"/>
      <c r="AF756" s="1274"/>
      <c r="AG756" s="1274"/>
      <c r="AH756" s="1229"/>
      <c r="AI756" s="1229"/>
      <c r="AJ756" s="1229"/>
      <c r="AK756" s="1229"/>
      <c r="AL756" s="1274"/>
      <c r="AM756" s="1274"/>
      <c r="AN756" s="1229"/>
      <c r="AO756" s="1229"/>
      <c r="AP756" s="1229"/>
      <c r="AQ756" s="1229"/>
      <c r="AR756" s="1274"/>
      <c r="AS756" s="1274"/>
      <c r="AT756" s="1229"/>
      <c r="AU756" s="1229"/>
      <c r="AV756" s="1229"/>
      <c r="AW756" s="1229"/>
      <c r="AX756" s="1274"/>
      <c r="AY756" s="1274"/>
      <c r="AZ756" s="1229"/>
      <c r="BA756" s="1229"/>
      <c r="BB756" s="1229"/>
      <c r="BC756" s="1229"/>
      <c r="BD756" s="1274"/>
      <c r="BE756" s="1274"/>
      <c r="BF756" s="1229"/>
      <c r="BG756" s="1229"/>
      <c r="BH756" s="1229"/>
      <c r="BI756" s="1222"/>
      <c r="BJ756" s="1350"/>
      <c r="BK756" s="1350"/>
      <c r="BL756" s="1222"/>
      <c r="BM756" s="1222"/>
      <c r="BN756" s="1222"/>
      <c r="BO756" s="1222"/>
    </row>
    <row r="757">
      <c r="A757" s="1222"/>
      <c r="B757" s="1229"/>
      <c r="C757" s="1349"/>
      <c r="D757" s="1229"/>
      <c r="E757" s="1229"/>
      <c r="F757" s="1229"/>
      <c r="G757" s="1229"/>
      <c r="H757" s="1229"/>
      <c r="I757" s="1229"/>
      <c r="J757" s="1229"/>
      <c r="K757" s="1229"/>
      <c r="L757" s="1229"/>
      <c r="M757" s="1229"/>
      <c r="N757" s="1274"/>
      <c r="O757" s="1274"/>
      <c r="P757" s="1229"/>
      <c r="Q757" s="1229"/>
      <c r="R757" s="1229"/>
      <c r="S757" s="1229"/>
      <c r="T757" s="1274"/>
      <c r="U757" s="1274"/>
      <c r="V757" s="1229"/>
      <c r="W757" s="1229"/>
      <c r="X757" s="1229"/>
      <c r="Y757" s="1229"/>
      <c r="Z757" s="1274"/>
      <c r="AA757" s="1274"/>
      <c r="AB757" s="1229"/>
      <c r="AC757" s="1229"/>
      <c r="AD757" s="1229"/>
      <c r="AE757" s="1229"/>
      <c r="AF757" s="1274"/>
      <c r="AG757" s="1274"/>
      <c r="AH757" s="1229"/>
      <c r="AI757" s="1229"/>
      <c r="AJ757" s="1229"/>
      <c r="AK757" s="1229"/>
      <c r="AL757" s="1274"/>
      <c r="AM757" s="1274"/>
      <c r="AN757" s="1229"/>
      <c r="AO757" s="1229"/>
      <c r="AP757" s="1229"/>
      <c r="AQ757" s="1229"/>
      <c r="AR757" s="1274"/>
      <c r="AS757" s="1274"/>
      <c r="AT757" s="1229"/>
      <c r="AU757" s="1229"/>
      <c r="AV757" s="1229"/>
      <c r="AW757" s="1229"/>
      <c r="AX757" s="1274"/>
      <c r="AY757" s="1274"/>
      <c r="AZ757" s="1229"/>
      <c r="BA757" s="1229"/>
      <c r="BB757" s="1229"/>
      <c r="BC757" s="1229"/>
      <c r="BD757" s="1274"/>
      <c r="BE757" s="1274"/>
      <c r="BF757" s="1229"/>
      <c r="BG757" s="1229"/>
      <c r="BH757" s="1229"/>
      <c r="BI757" s="1222"/>
      <c r="BJ757" s="1350"/>
      <c r="BK757" s="1350"/>
      <c r="BL757" s="1222"/>
      <c r="BM757" s="1222"/>
      <c r="BN757" s="1222"/>
      <c r="BO757" s="1222"/>
    </row>
    <row r="758">
      <c r="A758" s="1222"/>
      <c r="B758" s="1229"/>
      <c r="C758" s="1349"/>
      <c r="D758" s="1229"/>
      <c r="E758" s="1229"/>
      <c r="F758" s="1229"/>
      <c r="G758" s="1229"/>
      <c r="H758" s="1229"/>
      <c r="I758" s="1229"/>
      <c r="J758" s="1229"/>
      <c r="K758" s="1229"/>
      <c r="L758" s="1229"/>
      <c r="M758" s="1229"/>
      <c r="N758" s="1274"/>
      <c r="O758" s="1274"/>
      <c r="P758" s="1229"/>
      <c r="Q758" s="1229"/>
      <c r="R758" s="1229"/>
      <c r="S758" s="1229"/>
      <c r="T758" s="1274"/>
      <c r="U758" s="1274"/>
      <c r="V758" s="1229"/>
      <c r="W758" s="1229"/>
      <c r="X758" s="1229"/>
      <c r="Y758" s="1229"/>
      <c r="Z758" s="1274"/>
      <c r="AA758" s="1274"/>
      <c r="AB758" s="1229"/>
      <c r="AC758" s="1229"/>
      <c r="AD758" s="1229"/>
      <c r="AE758" s="1229"/>
      <c r="AF758" s="1274"/>
      <c r="AG758" s="1274"/>
      <c r="AH758" s="1229"/>
      <c r="AI758" s="1229"/>
      <c r="AJ758" s="1229"/>
      <c r="AK758" s="1229"/>
      <c r="AL758" s="1274"/>
      <c r="AM758" s="1274"/>
      <c r="AN758" s="1229"/>
      <c r="AO758" s="1229"/>
      <c r="AP758" s="1229"/>
      <c r="AQ758" s="1229"/>
      <c r="AR758" s="1274"/>
      <c r="AS758" s="1274"/>
      <c r="AT758" s="1229"/>
      <c r="AU758" s="1229"/>
      <c r="AV758" s="1229"/>
      <c r="AW758" s="1229"/>
      <c r="AX758" s="1274"/>
      <c r="AY758" s="1274"/>
      <c r="AZ758" s="1229"/>
      <c r="BA758" s="1229"/>
      <c r="BB758" s="1229"/>
      <c r="BC758" s="1229"/>
      <c r="BD758" s="1274"/>
      <c r="BE758" s="1274"/>
      <c r="BF758" s="1229"/>
      <c r="BG758" s="1229"/>
      <c r="BH758" s="1229"/>
      <c r="BI758" s="1222"/>
      <c r="BJ758" s="1350"/>
      <c r="BK758" s="1350"/>
      <c r="BL758" s="1222"/>
      <c r="BM758" s="1222"/>
      <c r="BN758" s="1222"/>
      <c r="BO758" s="1222"/>
    </row>
    <row r="759">
      <c r="A759" s="1222"/>
      <c r="B759" s="1229"/>
      <c r="C759" s="1349"/>
      <c r="D759" s="1229"/>
      <c r="E759" s="1229"/>
      <c r="F759" s="1229"/>
      <c r="G759" s="1229"/>
      <c r="H759" s="1229"/>
      <c r="I759" s="1229"/>
      <c r="J759" s="1229"/>
      <c r="K759" s="1229"/>
      <c r="L759" s="1229"/>
      <c r="M759" s="1229"/>
      <c r="N759" s="1274"/>
      <c r="O759" s="1274"/>
      <c r="P759" s="1229"/>
      <c r="Q759" s="1229"/>
      <c r="R759" s="1229"/>
      <c r="S759" s="1229"/>
      <c r="T759" s="1274"/>
      <c r="U759" s="1274"/>
      <c r="V759" s="1229"/>
      <c r="W759" s="1229"/>
      <c r="X759" s="1229"/>
      <c r="Y759" s="1229"/>
      <c r="Z759" s="1274"/>
      <c r="AA759" s="1274"/>
      <c r="AB759" s="1229"/>
      <c r="AC759" s="1229"/>
      <c r="AD759" s="1229"/>
      <c r="AE759" s="1229"/>
      <c r="AF759" s="1274"/>
      <c r="AG759" s="1274"/>
      <c r="AH759" s="1229"/>
      <c r="AI759" s="1229"/>
      <c r="AJ759" s="1229"/>
      <c r="AK759" s="1229"/>
      <c r="AL759" s="1274"/>
      <c r="AM759" s="1274"/>
      <c r="AN759" s="1229"/>
      <c r="AO759" s="1229"/>
      <c r="AP759" s="1229"/>
      <c r="AQ759" s="1229"/>
      <c r="AR759" s="1274"/>
      <c r="AS759" s="1274"/>
      <c r="AT759" s="1229"/>
      <c r="AU759" s="1229"/>
      <c r="AV759" s="1229"/>
      <c r="AW759" s="1229"/>
      <c r="AX759" s="1274"/>
      <c r="AY759" s="1274"/>
      <c r="AZ759" s="1229"/>
      <c r="BA759" s="1229"/>
      <c r="BB759" s="1229"/>
      <c r="BC759" s="1229"/>
      <c r="BD759" s="1274"/>
      <c r="BE759" s="1274"/>
      <c r="BF759" s="1229"/>
      <c r="BG759" s="1229"/>
      <c r="BH759" s="1229"/>
      <c r="BI759" s="1222"/>
      <c r="BJ759" s="1350"/>
      <c r="BK759" s="1350"/>
      <c r="BL759" s="1222"/>
      <c r="BM759" s="1222"/>
      <c r="BN759" s="1222"/>
      <c r="BO759" s="1222"/>
    </row>
    <row r="760">
      <c r="A760" s="1222"/>
      <c r="B760" s="1229"/>
      <c r="C760" s="1349"/>
      <c r="D760" s="1229"/>
      <c r="E760" s="1229"/>
      <c r="F760" s="1229"/>
      <c r="G760" s="1229"/>
      <c r="H760" s="1229"/>
      <c r="I760" s="1229"/>
      <c r="J760" s="1229"/>
      <c r="K760" s="1229"/>
      <c r="L760" s="1229"/>
      <c r="M760" s="1229"/>
      <c r="N760" s="1274"/>
      <c r="O760" s="1274"/>
      <c r="P760" s="1229"/>
      <c r="Q760" s="1229"/>
      <c r="R760" s="1229"/>
      <c r="S760" s="1229"/>
      <c r="T760" s="1274"/>
      <c r="U760" s="1274"/>
      <c r="V760" s="1229"/>
      <c r="W760" s="1229"/>
      <c r="X760" s="1229"/>
      <c r="Y760" s="1229"/>
      <c r="Z760" s="1274"/>
      <c r="AA760" s="1274"/>
      <c r="AB760" s="1229"/>
      <c r="AC760" s="1229"/>
      <c r="AD760" s="1229"/>
      <c r="AE760" s="1229"/>
      <c r="AF760" s="1274"/>
      <c r="AG760" s="1274"/>
      <c r="AH760" s="1229"/>
      <c r="AI760" s="1229"/>
      <c r="AJ760" s="1229"/>
      <c r="AK760" s="1229"/>
      <c r="AL760" s="1274"/>
      <c r="AM760" s="1274"/>
      <c r="AN760" s="1229"/>
      <c r="AO760" s="1229"/>
      <c r="AP760" s="1229"/>
      <c r="AQ760" s="1229"/>
      <c r="AR760" s="1274"/>
      <c r="AS760" s="1274"/>
      <c r="AT760" s="1229"/>
      <c r="AU760" s="1229"/>
      <c r="AV760" s="1229"/>
      <c r="AW760" s="1229"/>
      <c r="AX760" s="1274"/>
      <c r="AY760" s="1274"/>
      <c r="AZ760" s="1229"/>
      <c r="BA760" s="1229"/>
      <c r="BB760" s="1229"/>
      <c r="BC760" s="1229"/>
      <c r="BD760" s="1274"/>
      <c r="BE760" s="1274"/>
      <c r="BF760" s="1229"/>
      <c r="BG760" s="1229"/>
      <c r="BH760" s="1229"/>
      <c r="BI760" s="1222"/>
      <c r="BJ760" s="1350"/>
      <c r="BK760" s="1350"/>
      <c r="BL760" s="1222"/>
      <c r="BM760" s="1222"/>
      <c r="BN760" s="1222"/>
      <c r="BO760" s="1222"/>
    </row>
    <row r="761">
      <c r="A761" s="1222"/>
      <c r="B761" s="1229"/>
      <c r="C761" s="1349"/>
      <c r="D761" s="1229"/>
      <c r="E761" s="1229"/>
      <c r="F761" s="1229"/>
      <c r="G761" s="1229"/>
      <c r="H761" s="1229"/>
      <c r="I761" s="1229"/>
      <c r="J761" s="1229"/>
      <c r="K761" s="1229"/>
      <c r="L761" s="1229"/>
      <c r="M761" s="1229"/>
      <c r="N761" s="1274"/>
      <c r="O761" s="1274"/>
      <c r="P761" s="1229"/>
      <c r="Q761" s="1229"/>
      <c r="R761" s="1229"/>
      <c r="S761" s="1229"/>
      <c r="T761" s="1274"/>
      <c r="U761" s="1274"/>
      <c r="V761" s="1229"/>
      <c r="W761" s="1229"/>
      <c r="X761" s="1229"/>
      <c r="Y761" s="1229"/>
      <c r="Z761" s="1274"/>
      <c r="AA761" s="1274"/>
      <c r="AB761" s="1229"/>
      <c r="AC761" s="1229"/>
      <c r="AD761" s="1229"/>
      <c r="AE761" s="1229"/>
      <c r="AF761" s="1274"/>
      <c r="AG761" s="1274"/>
      <c r="AH761" s="1229"/>
      <c r="AI761" s="1229"/>
      <c r="AJ761" s="1229"/>
      <c r="AK761" s="1229"/>
      <c r="AL761" s="1274"/>
      <c r="AM761" s="1274"/>
      <c r="AN761" s="1229"/>
      <c r="AO761" s="1229"/>
      <c r="AP761" s="1229"/>
      <c r="AQ761" s="1229"/>
      <c r="AR761" s="1274"/>
      <c r="AS761" s="1274"/>
      <c r="AT761" s="1229"/>
      <c r="AU761" s="1229"/>
      <c r="AV761" s="1229"/>
      <c r="AW761" s="1229"/>
      <c r="AX761" s="1274"/>
      <c r="AY761" s="1274"/>
      <c r="AZ761" s="1229"/>
      <c r="BA761" s="1229"/>
      <c r="BB761" s="1229"/>
      <c r="BC761" s="1229"/>
      <c r="BD761" s="1274"/>
      <c r="BE761" s="1274"/>
      <c r="BF761" s="1229"/>
      <c r="BG761" s="1229"/>
      <c r="BH761" s="1229"/>
      <c r="BI761" s="1222"/>
      <c r="BJ761" s="1350"/>
      <c r="BK761" s="1350"/>
      <c r="BL761" s="1222"/>
      <c r="BM761" s="1222"/>
      <c r="BN761" s="1222"/>
      <c r="BO761" s="1222"/>
    </row>
    <row r="762">
      <c r="A762" s="1222"/>
      <c r="B762" s="1229"/>
      <c r="C762" s="1349"/>
      <c r="D762" s="1229"/>
      <c r="E762" s="1229"/>
      <c r="F762" s="1229"/>
      <c r="G762" s="1229"/>
      <c r="H762" s="1229"/>
      <c r="I762" s="1229"/>
      <c r="J762" s="1229"/>
      <c r="K762" s="1229"/>
      <c r="L762" s="1229"/>
      <c r="M762" s="1229"/>
      <c r="N762" s="1274"/>
      <c r="O762" s="1274"/>
      <c r="P762" s="1229"/>
      <c r="Q762" s="1229"/>
      <c r="R762" s="1229"/>
      <c r="S762" s="1229"/>
      <c r="T762" s="1274"/>
      <c r="U762" s="1274"/>
      <c r="V762" s="1229"/>
      <c r="W762" s="1229"/>
      <c r="X762" s="1229"/>
      <c r="Y762" s="1229"/>
      <c r="Z762" s="1274"/>
      <c r="AA762" s="1274"/>
      <c r="AB762" s="1229"/>
      <c r="AC762" s="1229"/>
      <c r="AD762" s="1229"/>
      <c r="AE762" s="1229"/>
      <c r="AF762" s="1274"/>
      <c r="AG762" s="1274"/>
      <c r="AH762" s="1229"/>
      <c r="AI762" s="1229"/>
      <c r="AJ762" s="1229"/>
      <c r="AK762" s="1229"/>
      <c r="AL762" s="1274"/>
      <c r="AM762" s="1274"/>
      <c r="AN762" s="1229"/>
      <c r="AO762" s="1229"/>
      <c r="AP762" s="1229"/>
      <c r="AQ762" s="1229"/>
      <c r="AR762" s="1274"/>
      <c r="AS762" s="1274"/>
      <c r="AT762" s="1229"/>
      <c r="AU762" s="1229"/>
      <c r="AV762" s="1229"/>
      <c r="AW762" s="1229"/>
      <c r="AX762" s="1274"/>
      <c r="AY762" s="1274"/>
      <c r="AZ762" s="1229"/>
      <c r="BA762" s="1229"/>
      <c r="BB762" s="1229"/>
      <c r="BC762" s="1229"/>
      <c r="BD762" s="1274"/>
      <c r="BE762" s="1274"/>
      <c r="BF762" s="1229"/>
      <c r="BG762" s="1229"/>
      <c r="BH762" s="1229"/>
      <c r="BI762" s="1222"/>
      <c r="BJ762" s="1350"/>
      <c r="BK762" s="1350"/>
      <c r="BL762" s="1222"/>
      <c r="BM762" s="1222"/>
      <c r="BN762" s="1222"/>
      <c r="BO762" s="1222"/>
    </row>
    <row r="763">
      <c r="A763" s="1222"/>
      <c r="B763" s="1229"/>
      <c r="C763" s="1349"/>
      <c r="D763" s="1229"/>
      <c r="E763" s="1229"/>
      <c r="F763" s="1229"/>
      <c r="G763" s="1229"/>
      <c r="H763" s="1229"/>
      <c r="I763" s="1229"/>
      <c r="J763" s="1229"/>
      <c r="K763" s="1229"/>
      <c r="L763" s="1229"/>
      <c r="M763" s="1229"/>
      <c r="N763" s="1274"/>
      <c r="O763" s="1274"/>
      <c r="P763" s="1229"/>
      <c r="Q763" s="1229"/>
      <c r="R763" s="1229"/>
      <c r="S763" s="1229"/>
      <c r="T763" s="1274"/>
      <c r="U763" s="1274"/>
      <c r="V763" s="1229"/>
      <c r="W763" s="1229"/>
      <c r="X763" s="1229"/>
      <c r="Y763" s="1229"/>
      <c r="Z763" s="1274"/>
      <c r="AA763" s="1274"/>
      <c r="AB763" s="1229"/>
      <c r="AC763" s="1229"/>
      <c r="AD763" s="1229"/>
      <c r="AE763" s="1229"/>
      <c r="AF763" s="1274"/>
      <c r="AG763" s="1274"/>
      <c r="AH763" s="1229"/>
      <c r="AI763" s="1229"/>
      <c r="AJ763" s="1229"/>
      <c r="AK763" s="1229"/>
      <c r="AL763" s="1274"/>
      <c r="AM763" s="1274"/>
      <c r="AN763" s="1229"/>
      <c r="AO763" s="1229"/>
      <c r="AP763" s="1229"/>
      <c r="AQ763" s="1229"/>
      <c r="AR763" s="1274"/>
      <c r="AS763" s="1274"/>
      <c r="AT763" s="1229"/>
      <c r="AU763" s="1229"/>
      <c r="AV763" s="1229"/>
      <c r="AW763" s="1229"/>
      <c r="AX763" s="1274"/>
      <c r="AY763" s="1274"/>
      <c r="AZ763" s="1229"/>
      <c r="BA763" s="1229"/>
      <c r="BB763" s="1229"/>
      <c r="BC763" s="1229"/>
      <c r="BD763" s="1274"/>
      <c r="BE763" s="1274"/>
      <c r="BF763" s="1229"/>
      <c r="BG763" s="1229"/>
      <c r="BH763" s="1229"/>
      <c r="BI763" s="1222"/>
      <c r="BJ763" s="1350"/>
      <c r="BK763" s="1350"/>
      <c r="BL763" s="1222"/>
      <c r="BM763" s="1222"/>
      <c r="BN763" s="1222"/>
      <c r="BO763" s="1222"/>
    </row>
    <row r="764">
      <c r="A764" s="1222"/>
      <c r="B764" s="1229"/>
      <c r="C764" s="1349"/>
      <c r="D764" s="1229"/>
      <c r="E764" s="1229"/>
      <c r="F764" s="1229"/>
      <c r="G764" s="1229"/>
      <c r="H764" s="1229"/>
      <c r="I764" s="1229"/>
      <c r="J764" s="1229"/>
      <c r="K764" s="1229"/>
      <c r="L764" s="1229"/>
      <c r="M764" s="1229"/>
      <c r="N764" s="1274"/>
      <c r="O764" s="1274"/>
      <c r="P764" s="1229"/>
      <c r="Q764" s="1229"/>
      <c r="R764" s="1229"/>
      <c r="S764" s="1229"/>
      <c r="T764" s="1274"/>
      <c r="U764" s="1274"/>
      <c r="V764" s="1229"/>
      <c r="W764" s="1229"/>
      <c r="X764" s="1229"/>
      <c r="Y764" s="1229"/>
      <c r="Z764" s="1274"/>
      <c r="AA764" s="1274"/>
      <c r="AB764" s="1229"/>
      <c r="AC764" s="1229"/>
      <c r="AD764" s="1229"/>
      <c r="AE764" s="1229"/>
      <c r="AF764" s="1274"/>
      <c r="AG764" s="1274"/>
      <c r="AH764" s="1229"/>
      <c r="AI764" s="1229"/>
      <c r="AJ764" s="1229"/>
      <c r="AK764" s="1229"/>
      <c r="AL764" s="1274"/>
      <c r="AM764" s="1274"/>
      <c r="AN764" s="1229"/>
      <c r="AO764" s="1229"/>
      <c r="AP764" s="1229"/>
      <c r="AQ764" s="1229"/>
      <c r="AR764" s="1274"/>
      <c r="AS764" s="1274"/>
      <c r="AT764" s="1229"/>
      <c r="AU764" s="1229"/>
      <c r="AV764" s="1229"/>
      <c r="AW764" s="1229"/>
      <c r="AX764" s="1274"/>
      <c r="AY764" s="1274"/>
      <c r="AZ764" s="1229"/>
      <c r="BA764" s="1229"/>
      <c r="BB764" s="1229"/>
      <c r="BC764" s="1229"/>
      <c r="BD764" s="1274"/>
      <c r="BE764" s="1274"/>
      <c r="BF764" s="1229"/>
      <c r="BG764" s="1229"/>
      <c r="BH764" s="1229"/>
      <c r="BI764" s="1222"/>
      <c r="BJ764" s="1350"/>
      <c r="BK764" s="1350"/>
      <c r="BL764" s="1222"/>
      <c r="BM764" s="1222"/>
      <c r="BN764" s="1222"/>
      <c r="BO764" s="1222"/>
    </row>
    <row r="765">
      <c r="A765" s="1222"/>
      <c r="B765" s="1229"/>
      <c r="C765" s="1349"/>
      <c r="D765" s="1229"/>
      <c r="E765" s="1229"/>
      <c r="F765" s="1229"/>
      <c r="G765" s="1229"/>
      <c r="H765" s="1229"/>
      <c r="I765" s="1229"/>
      <c r="J765" s="1229"/>
      <c r="K765" s="1229"/>
      <c r="L765" s="1229"/>
      <c r="M765" s="1229"/>
      <c r="N765" s="1274"/>
      <c r="O765" s="1274"/>
      <c r="P765" s="1229"/>
      <c r="Q765" s="1229"/>
      <c r="R765" s="1229"/>
      <c r="S765" s="1229"/>
      <c r="T765" s="1274"/>
      <c r="U765" s="1274"/>
      <c r="V765" s="1229"/>
      <c r="W765" s="1229"/>
      <c r="X765" s="1229"/>
      <c r="Y765" s="1229"/>
      <c r="Z765" s="1274"/>
      <c r="AA765" s="1274"/>
      <c r="AB765" s="1229"/>
      <c r="AC765" s="1229"/>
      <c r="AD765" s="1229"/>
      <c r="AE765" s="1229"/>
      <c r="AF765" s="1274"/>
      <c r="AG765" s="1274"/>
      <c r="AH765" s="1229"/>
      <c r="AI765" s="1229"/>
      <c r="AJ765" s="1229"/>
      <c r="AK765" s="1229"/>
      <c r="AL765" s="1274"/>
      <c r="AM765" s="1274"/>
      <c r="AN765" s="1229"/>
      <c r="AO765" s="1229"/>
      <c r="AP765" s="1229"/>
      <c r="AQ765" s="1229"/>
      <c r="AR765" s="1274"/>
      <c r="AS765" s="1274"/>
      <c r="AT765" s="1229"/>
      <c r="AU765" s="1229"/>
      <c r="AV765" s="1229"/>
      <c r="AW765" s="1229"/>
      <c r="AX765" s="1274"/>
      <c r="AY765" s="1274"/>
      <c r="AZ765" s="1229"/>
      <c r="BA765" s="1229"/>
      <c r="BB765" s="1229"/>
      <c r="BC765" s="1229"/>
      <c r="BD765" s="1274"/>
      <c r="BE765" s="1274"/>
      <c r="BF765" s="1229"/>
      <c r="BG765" s="1229"/>
      <c r="BH765" s="1229"/>
      <c r="BI765" s="1222"/>
      <c r="BJ765" s="1350"/>
      <c r="BK765" s="1350"/>
      <c r="BL765" s="1222"/>
      <c r="BM765" s="1222"/>
      <c r="BN765" s="1222"/>
      <c r="BO765" s="1222"/>
    </row>
    <row r="766">
      <c r="A766" s="1222"/>
      <c r="B766" s="1229"/>
      <c r="C766" s="1349"/>
      <c r="D766" s="1229"/>
      <c r="E766" s="1229"/>
      <c r="F766" s="1229"/>
      <c r="G766" s="1229"/>
      <c r="H766" s="1229"/>
      <c r="I766" s="1229"/>
      <c r="J766" s="1229"/>
      <c r="K766" s="1229"/>
      <c r="L766" s="1229"/>
      <c r="M766" s="1229"/>
      <c r="N766" s="1274"/>
      <c r="O766" s="1274"/>
      <c r="P766" s="1229"/>
      <c r="Q766" s="1229"/>
      <c r="R766" s="1229"/>
      <c r="S766" s="1229"/>
      <c r="T766" s="1274"/>
      <c r="U766" s="1274"/>
      <c r="V766" s="1229"/>
      <c r="W766" s="1229"/>
      <c r="X766" s="1229"/>
      <c r="Y766" s="1229"/>
      <c r="Z766" s="1274"/>
      <c r="AA766" s="1274"/>
      <c r="AB766" s="1229"/>
      <c r="AC766" s="1229"/>
      <c r="AD766" s="1229"/>
      <c r="AE766" s="1229"/>
      <c r="AF766" s="1274"/>
      <c r="AG766" s="1274"/>
      <c r="AH766" s="1229"/>
      <c r="AI766" s="1229"/>
      <c r="AJ766" s="1229"/>
      <c r="AK766" s="1229"/>
      <c r="AL766" s="1274"/>
      <c r="AM766" s="1274"/>
      <c r="AN766" s="1229"/>
      <c r="AO766" s="1229"/>
      <c r="AP766" s="1229"/>
      <c r="AQ766" s="1229"/>
      <c r="AR766" s="1274"/>
      <c r="AS766" s="1274"/>
      <c r="AT766" s="1229"/>
      <c r="AU766" s="1229"/>
      <c r="AV766" s="1229"/>
      <c r="AW766" s="1229"/>
      <c r="AX766" s="1274"/>
      <c r="AY766" s="1274"/>
      <c r="AZ766" s="1229"/>
      <c r="BA766" s="1229"/>
      <c r="BB766" s="1229"/>
      <c r="BC766" s="1229"/>
      <c r="BD766" s="1274"/>
      <c r="BE766" s="1274"/>
      <c r="BF766" s="1229"/>
      <c r="BG766" s="1229"/>
      <c r="BH766" s="1229"/>
      <c r="BI766" s="1222"/>
      <c r="BJ766" s="1350"/>
      <c r="BK766" s="1350"/>
      <c r="BL766" s="1222"/>
      <c r="BM766" s="1222"/>
      <c r="BN766" s="1222"/>
      <c r="BO766" s="1222"/>
    </row>
    <row r="767">
      <c r="A767" s="1222"/>
      <c r="B767" s="1229"/>
      <c r="C767" s="1349"/>
      <c r="D767" s="1229"/>
      <c r="E767" s="1229"/>
      <c r="F767" s="1229"/>
      <c r="G767" s="1229"/>
      <c r="H767" s="1229"/>
      <c r="I767" s="1229"/>
      <c r="J767" s="1229"/>
      <c r="K767" s="1229"/>
      <c r="L767" s="1229"/>
      <c r="M767" s="1229"/>
      <c r="N767" s="1274"/>
      <c r="O767" s="1274"/>
      <c r="P767" s="1229"/>
      <c r="Q767" s="1229"/>
      <c r="R767" s="1229"/>
      <c r="S767" s="1229"/>
      <c r="T767" s="1274"/>
      <c r="U767" s="1274"/>
      <c r="V767" s="1229"/>
      <c r="W767" s="1229"/>
      <c r="X767" s="1229"/>
      <c r="Y767" s="1229"/>
      <c r="Z767" s="1274"/>
      <c r="AA767" s="1274"/>
      <c r="AB767" s="1229"/>
      <c r="AC767" s="1229"/>
      <c r="AD767" s="1229"/>
      <c r="AE767" s="1229"/>
      <c r="AF767" s="1274"/>
      <c r="AG767" s="1274"/>
      <c r="AH767" s="1229"/>
      <c r="AI767" s="1229"/>
      <c r="AJ767" s="1229"/>
      <c r="AK767" s="1229"/>
      <c r="AL767" s="1274"/>
      <c r="AM767" s="1274"/>
      <c r="AN767" s="1229"/>
      <c r="AO767" s="1229"/>
      <c r="AP767" s="1229"/>
      <c r="AQ767" s="1229"/>
      <c r="AR767" s="1274"/>
      <c r="AS767" s="1274"/>
      <c r="AT767" s="1229"/>
      <c r="AU767" s="1229"/>
      <c r="AV767" s="1229"/>
      <c r="AW767" s="1229"/>
      <c r="AX767" s="1274"/>
      <c r="AY767" s="1274"/>
      <c r="AZ767" s="1229"/>
      <c r="BA767" s="1229"/>
      <c r="BB767" s="1229"/>
      <c r="BC767" s="1229"/>
      <c r="BD767" s="1274"/>
      <c r="BE767" s="1274"/>
      <c r="BF767" s="1229"/>
      <c r="BG767" s="1229"/>
      <c r="BH767" s="1229"/>
      <c r="BI767" s="1222"/>
      <c r="BJ767" s="1350"/>
      <c r="BK767" s="1350"/>
      <c r="BL767" s="1222"/>
      <c r="BM767" s="1222"/>
      <c r="BN767" s="1222"/>
      <c r="BO767" s="1222"/>
    </row>
    <row r="768">
      <c r="A768" s="1222"/>
      <c r="B768" s="1229"/>
      <c r="C768" s="1349"/>
      <c r="D768" s="1229"/>
      <c r="E768" s="1229"/>
      <c r="F768" s="1229"/>
      <c r="G768" s="1229"/>
      <c r="H768" s="1229"/>
      <c r="I768" s="1229"/>
      <c r="J768" s="1229"/>
      <c r="K768" s="1229"/>
      <c r="L768" s="1229"/>
      <c r="M768" s="1229"/>
      <c r="N768" s="1274"/>
      <c r="O768" s="1274"/>
      <c r="P768" s="1229"/>
      <c r="Q768" s="1229"/>
      <c r="R768" s="1229"/>
      <c r="S768" s="1229"/>
      <c r="T768" s="1274"/>
      <c r="U768" s="1274"/>
      <c r="V768" s="1229"/>
      <c r="W768" s="1229"/>
      <c r="X768" s="1229"/>
      <c r="Y768" s="1229"/>
      <c r="Z768" s="1274"/>
      <c r="AA768" s="1274"/>
      <c r="AB768" s="1229"/>
      <c r="AC768" s="1229"/>
      <c r="AD768" s="1229"/>
      <c r="AE768" s="1229"/>
      <c r="AF768" s="1274"/>
      <c r="AG768" s="1274"/>
      <c r="AH768" s="1229"/>
      <c r="AI768" s="1229"/>
      <c r="AJ768" s="1229"/>
      <c r="AK768" s="1229"/>
      <c r="AL768" s="1274"/>
      <c r="AM768" s="1274"/>
      <c r="AN768" s="1229"/>
      <c r="AO768" s="1229"/>
      <c r="AP768" s="1229"/>
      <c r="AQ768" s="1229"/>
      <c r="AR768" s="1274"/>
      <c r="AS768" s="1274"/>
      <c r="AT768" s="1229"/>
      <c r="AU768" s="1229"/>
      <c r="AV768" s="1229"/>
      <c r="AW768" s="1229"/>
      <c r="AX768" s="1274"/>
      <c r="AY768" s="1274"/>
      <c r="AZ768" s="1229"/>
      <c r="BA768" s="1229"/>
      <c r="BB768" s="1229"/>
      <c r="BC768" s="1229"/>
      <c r="BD768" s="1274"/>
      <c r="BE768" s="1274"/>
      <c r="BF768" s="1229"/>
      <c r="BG768" s="1229"/>
      <c r="BH768" s="1229"/>
      <c r="BI768" s="1222"/>
      <c r="BJ768" s="1350"/>
      <c r="BK768" s="1350"/>
      <c r="BL768" s="1222"/>
      <c r="BM768" s="1222"/>
      <c r="BN768" s="1222"/>
      <c r="BO768" s="1222"/>
    </row>
    <row r="769">
      <c r="A769" s="1222"/>
      <c r="B769" s="1229"/>
      <c r="C769" s="1349"/>
      <c r="D769" s="1229"/>
      <c r="E769" s="1229"/>
      <c r="F769" s="1229"/>
      <c r="G769" s="1229"/>
      <c r="H769" s="1229"/>
      <c r="I769" s="1229"/>
      <c r="J769" s="1229"/>
      <c r="K769" s="1229"/>
      <c r="L769" s="1229"/>
      <c r="M769" s="1229"/>
      <c r="N769" s="1274"/>
      <c r="O769" s="1274"/>
      <c r="P769" s="1229"/>
      <c r="Q769" s="1229"/>
      <c r="R769" s="1229"/>
      <c r="S769" s="1229"/>
      <c r="T769" s="1274"/>
      <c r="U769" s="1274"/>
      <c r="V769" s="1229"/>
      <c r="W769" s="1229"/>
      <c r="X769" s="1229"/>
      <c r="Y769" s="1229"/>
      <c r="Z769" s="1274"/>
      <c r="AA769" s="1274"/>
      <c r="AB769" s="1229"/>
      <c r="AC769" s="1229"/>
      <c r="AD769" s="1229"/>
      <c r="AE769" s="1229"/>
      <c r="AF769" s="1274"/>
      <c r="AG769" s="1274"/>
      <c r="AH769" s="1229"/>
      <c r="AI769" s="1229"/>
      <c r="AJ769" s="1229"/>
      <c r="AK769" s="1229"/>
      <c r="AL769" s="1274"/>
      <c r="AM769" s="1274"/>
      <c r="AN769" s="1229"/>
      <c r="AO769" s="1229"/>
      <c r="AP769" s="1229"/>
      <c r="AQ769" s="1229"/>
      <c r="AR769" s="1274"/>
      <c r="AS769" s="1274"/>
      <c r="AT769" s="1229"/>
      <c r="AU769" s="1229"/>
      <c r="AV769" s="1229"/>
      <c r="AW769" s="1229"/>
      <c r="AX769" s="1274"/>
      <c r="AY769" s="1274"/>
      <c r="AZ769" s="1229"/>
      <c r="BA769" s="1229"/>
      <c r="BB769" s="1229"/>
      <c r="BC769" s="1229"/>
      <c r="BD769" s="1274"/>
      <c r="BE769" s="1274"/>
      <c r="BF769" s="1229"/>
      <c r="BG769" s="1229"/>
      <c r="BH769" s="1229"/>
      <c r="BI769" s="1222"/>
      <c r="BJ769" s="1350"/>
      <c r="BK769" s="1350"/>
      <c r="BL769" s="1222"/>
      <c r="BM769" s="1222"/>
      <c r="BN769" s="1222"/>
      <c r="BO769" s="1222"/>
    </row>
    <row r="770">
      <c r="A770" s="1222"/>
      <c r="B770" s="1229"/>
      <c r="C770" s="1349"/>
      <c r="D770" s="1229"/>
      <c r="E770" s="1229"/>
      <c r="F770" s="1229"/>
      <c r="G770" s="1229"/>
      <c r="H770" s="1229"/>
      <c r="I770" s="1229"/>
      <c r="J770" s="1229"/>
      <c r="K770" s="1229"/>
      <c r="L770" s="1229"/>
      <c r="M770" s="1229"/>
      <c r="N770" s="1274"/>
      <c r="O770" s="1274"/>
      <c r="P770" s="1229"/>
      <c r="Q770" s="1229"/>
      <c r="R770" s="1229"/>
      <c r="S770" s="1229"/>
      <c r="T770" s="1274"/>
      <c r="U770" s="1274"/>
      <c r="V770" s="1229"/>
      <c r="W770" s="1229"/>
      <c r="X770" s="1229"/>
      <c r="Y770" s="1229"/>
      <c r="Z770" s="1274"/>
      <c r="AA770" s="1274"/>
      <c r="AB770" s="1229"/>
      <c r="AC770" s="1229"/>
      <c r="AD770" s="1229"/>
      <c r="AE770" s="1229"/>
      <c r="AF770" s="1274"/>
      <c r="AG770" s="1274"/>
      <c r="AH770" s="1229"/>
      <c r="AI770" s="1229"/>
      <c r="AJ770" s="1229"/>
      <c r="AK770" s="1229"/>
      <c r="AL770" s="1274"/>
      <c r="AM770" s="1274"/>
      <c r="AN770" s="1229"/>
      <c r="AO770" s="1229"/>
      <c r="AP770" s="1229"/>
      <c r="AQ770" s="1229"/>
      <c r="AR770" s="1274"/>
      <c r="AS770" s="1274"/>
      <c r="AT770" s="1229"/>
      <c r="AU770" s="1229"/>
      <c r="AV770" s="1229"/>
      <c r="AW770" s="1229"/>
      <c r="AX770" s="1274"/>
      <c r="AY770" s="1274"/>
      <c r="AZ770" s="1229"/>
      <c r="BA770" s="1229"/>
      <c r="BB770" s="1229"/>
      <c r="BC770" s="1229"/>
      <c r="BD770" s="1274"/>
      <c r="BE770" s="1274"/>
      <c r="BF770" s="1229"/>
      <c r="BG770" s="1229"/>
      <c r="BH770" s="1229"/>
      <c r="BI770" s="1222"/>
      <c r="BJ770" s="1350"/>
      <c r="BK770" s="1350"/>
      <c r="BL770" s="1222"/>
      <c r="BM770" s="1222"/>
      <c r="BN770" s="1222"/>
      <c r="BO770" s="1222"/>
    </row>
    <row r="771">
      <c r="A771" s="1222"/>
      <c r="B771" s="1229"/>
      <c r="C771" s="1349"/>
      <c r="D771" s="1229"/>
      <c r="E771" s="1229"/>
      <c r="F771" s="1229"/>
      <c r="G771" s="1229"/>
      <c r="H771" s="1229"/>
      <c r="I771" s="1229"/>
      <c r="J771" s="1229"/>
      <c r="K771" s="1229"/>
      <c r="L771" s="1229"/>
      <c r="M771" s="1229"/>
      <c r="N771" s="1274"/>
      <c r="O771" s="1274"/>
      <c r="P771" s="1229"/>
      <c r="Q771" s="1229"/>
      <c r="R771" s="1229"/>
      <c r="S771" s="1229"/>
      <c r="T771" s="1274"/>
      <c r="U771" s="1274"/>
      <c r="V771" s="1229"/>
      <c r="W771" s="1229"/>
      <c r="X771" s="1229"/>
      <c r="Y771" s="1229"/>
      <c r="Z771" s="1274"/>
      <c r="AA771" s="1274"/>
      <c r="AB771" s="1229"/>
      <c r="AC771" s="1229"/>
      <c r="AD771" s="1229"/>
      <c r="AE771" s="1229"/>
      <c r="AF771" s="1274"/>
      <c r="AG771" s="1274"/>
      <c r="AH771" s="1229"/>
      <c r="AI771" s="1229"/>
      <c r="AJ771" s="1229"/>
      <c r="AK771" s="1229"/>
      <c r="AL771" s="1274"/>
      <c r="AM771" s="1274"/>
      <c r="AN771" s="1229"/>
      <c r="AO771" s="1229"/>
      <c r="AP771" s="1229"/>
      <c r="AQ771" s="1229"/>
      <c r="AR771" s="1274"/>
      <c r="AS771" s="1274"/>
      <c r="AT771" s="1229"/>
      <c r="AU771" s="1229"/>
      <c r="AV771" s="1229"/>
      <c r="AW771" s="1229"/>
      <c r="AX771" s="1274"/>
      <c r="AY771" s="1274"/>
      <c r="AZ771" s="1229"/>
      <c r="BA771" s="1229"/>
      <c r="BB771" s="1229"/>
      <c r="BC771" s="1229"/>
      <c r="BD771" s="1274"/>
      <c r="BE771" s="1274"/>
      <c r="BF771" s="1229"/>
      <c r="BG771" s="1229"/>
      <c r="BH771" s="1229"/>
      <c r="BI771" s="1222"/>
      <c r="BJ771" s="1350"/>
      <c r="BK771" s="1350"/>
      <c r="BL771" s="1222"/>
      <c r="BM771" s="1222"/>
      <c r="BN771" s="1222"/>
      <c r="BO771" s="1222"/>
    </row>
    <row r="772">
      <c r="A772" s="1222"/>
      <c r="B772" s="1229"/>
      <c r="C772" s="1349"/>
      <c r="D772" s="1229"/>
      <c r="E772" s="1229"/>
      <c r="F772" s="1229"/>
      <c r="G772" s="1229"/>
      <c r="H772" s="1229"/>
      <c r="I772" s="1229"/>
      <c r="J772" s="1229"/>
      <c r="K772" s="1229"/>
      <c r="L772" s="1229"/>
      <c r="M772" s="1229"/>
      <c r="N772" s="1274"/>
      <c r="O772" s="1274"/>
      <c r="P772" s="1229"/>
      <c r="Q772" s="1229"/>
      <c r="R772" s="1229"/>
      <c r="S772" s="1229"/>
      <c r="T772" s="1274"/>
      <c r="U772" s="1274"/>
      <c r="V772" s="1229"/>
      <c r="W772" s="1229"/>
      <c r="X772" s="1229"/>
      <c r="Y772" s="1229"/>
      <c r="Z772" s="1274"/>
      <c r="AA772" s="1274"/>
      <c r="AB772" s="1229"/>
      <c r="AC772" s="1229"/>
      <c r="AD772" s="1229"/>
      <c r="AE772" s="1229"/>
      <c r="AF772" s="1274"/>
      <c r="AG772" s="1274"/>
      <c r="AH772" s="1229"/>
      <c r="AI772" s="1229"/>
      <c r="AJ772" s="1229"/>
      <c r="AK772" s="1229"/>
      <c r="AL772" s="1274"/>
      <c r="AM772" s="1274"/>
      <c r="AN772" s="1229"/>
      <c r="AO772" s="1229"/>
      <c r="AP772" s="1229"/>
      <c r="AQ772" s="1229"/>
      <c r="AR772" s="1274"/>
      <c r="AS772" s="1274"/>
      <c r="AT772" s="1229"/>
      <c r="AU772" s="1229"/>
      <c r="AV772" s="1229"/>
      <c r="AW772" s="1229"/>
      <c r="AX772" s="1274"/>
      <c r="AY772" s="1274"/>
      <c r="AZ772" s="1229"/>
      <c r="BA772" s="1229"/>
      <c r="BB772" s="1229"/>
      <c r="BC772" s="1229"/>
      <c r="BD772" s="1274"/>
      <c r="BE772" s="1274"/>
      <c r="BF772" s="1229"/>
      <c r="BG772" s="1229"/>
      <c r="BH772" s="1229"/>
      <c r="BI772" s="1222"/>
      <c r="BJ772" s="1350"/>
      <c r="BK772" s="1350"/>
      <c r="BL772" s="1222"/>
      <c r="BM772" s="1222"/>
      <c r="BN772" s="1222"/>
      <c r="BO772" s="1222"/>
    </row>
    <row r="773">
      <c r="A773" s="1222"/>
      <c r="B773" s="1229"/>
      <c r="C773" s="1349"/>
      <c r="D773" s="1229"/>
      <c r="E773" s="1229"/>
      <c r="F773" s="1229"/>
      <c r="G773" s="1229"/>
      <c r="H773" s="1229"/>
      <c r="I773" s="1229"/>
      <c r="J773" s="1229"/>
      <c r="K773" s="1229"/>
      <c r="L773" s="1229"/>
      <c r="M773" s="1229"/>
      <c r="N773" s="1274"/>
      <c r="O773" s="1274"/>
      <c r="P773" s="1229"/>
      <c r="Q773" s="1229"/>
      <c r="R773" s="1229"/>
      <c r="S773" s="1229"/>
      <c r="T773" s="1274"/>
      <c r="U773" s="1274"/>
      <c r="V773" s="1229"/>
      <c r="W773" s="1229"/>
      <c r="X773" s="1229"/>
      <c r="Y773" s="1229"/>
      <c r="Z773" s="1274"/>
      <c r="AA773" s="1274"/>
      <c r="AB773" s="1229"/>
      <c r="AC773" s="1229"/>
      <c r="AD773" s="1229"/>
      <c r="AE773" s="1229"/>
      <c r="AF773" s="1274"/>
      <c r="AG773" s="1274"/>
      <c r="AH773" s="1229"/>
      <c r="AI773" s="1229"/>
      <c r="AJ773" s="1229"/>
      <c r="AK773" s="1229"/>
      <c r="AL773" s="1274"/>
      <c r="AM773" s="1274"/>
      <c r="AN773" s="1229"/>
      <c r="AO773" s="1229"/>
      <c r="AP773" s="1229"/>
      <c r="AQ773" s="1229"/>
      <c r="AR773" s="1274"/>
      <c r="AS773" s="1274"/>
      <c r="AT773" s="1229"/>
      <c r="AU773" s="1229"/>
      <c r="AV773" s="1229"/>
      <c r="AW773" s="1229"/>
      <c r="AX773" s="1274"/>
      <c r="AY773" s="1274"/>
      <c r="AZ773" s="1229"/>
      <c r="BA773" s="1229"/>
      <c r="BB773" s="1229"/>
      <c r="BC773" s="1229"/>
      <c r="BD773" s="1274"/>
      <c r="BE773" s="1274"/>
      <c r="BF773" s="1229"/>
      <c r="BG773" s="1229"/>
      <c r="BH773" s="1229"/>
      <c r="BI773" s="1222"/>
      <c r="BJ773" s="1350"/>
      <c r="BK773" s="1350"/>
      <c r="BL773" s="1222"/>
      <c r="BM773" s="1222"/>
      <c r="BN773" s="1222"/>
      <c r="BO773" s="1222"/>
    </row>
    <row r="774">
      <c r="A774" s="1222"/>
      <c r="B774" s="1229"/>
      <c r="C774" s="1349"/>
      <c r="D774" s="1229"/>
      <c r="E774" s="1229"/>
      <c r="F774" s="1229"/>
      <c r="G774" s="1229"/>
      <c r="H774" s="1229"/>
      <c r="I774" s="1229"/>
      <c r="J774" s="1229"/>
      <c r="K774" s="1229"/>
      <c r="L774" s="1229"/>
      <c r="M774" s="1229"/>
      <c r="N774" s="1274"/>
      <c r="O774" s="1274"/>
      <c r="P774" s="1229"/>
      <c r="Q774" s="1229"/>
      <c r="R774" s="1229"/>
      <c r="S774" s="1229"/>
      <c r="T774" s="1274"/>
      <c r="U774" s="1274"/>
      <c r="V774" s="1229"/>
      <c r="W774" s="1229"/>
      <c r="X774" s="1229"/>
      <c r="Y774" s="1229"/>
      <c r="Z774" s="1274"/>
      <c r="AA774" s="1274"/>
      <c r="AB774" s="1229"/>
      <c r="AC774" s="1229"/>
      <c r="AD774" s="1229"/>
      <c r="AE774" s="1229"/>
      <c r="AF774" s="1274"/>
      <c r="AG774" s="1274"/>
      <c r="AH774" s="1229"/>
      <c r="AI774" s="1229"/>
      <c r="AJ774" s="1229"/>
      <c r="AK774" s="1229"/>
      <c r="AL774" s="1274"/>
      <c r="AM774" s="1274"/>
      <c r="AN774" s="1229"/>
      <c r="AO774" s="1229"/>
      <c r="AP774" s="1229"/>
      <c r="AQ774" s="1229"/>
      <c r="AR774" s="1274"/>
      <c r="AS774" s="1274"/>
      <c r="AT774" s="1229"/>
      <c r="AU774" s="1229"/>
      <c r="AV774" s="1229"/>
      <c r="AW774" s="1229"/>
      <c r="AX774" s="1274"/>
      <c r="AY774" s="1274"/>
      <c r="AZ774" s="1229"/>
      <c r="BA774" s="1229"/>
      <c r="BB774" s="1229"/>
      <c r="BC774" s="1229"/>
      <c r="BD774" s="1274"/>
      <c r="BE774" s="1274"/>
      <c r="BF774" s="1229"/>
      <c r="BG774" s="1229"/>
      <c r="BH774" s="1229"/>
      <c r="BI774" s="1222"/>
      <c r="BJ774" s="1350"/>
      <c r="BK774" s="1350"/>
      <c r="BL774" s="1222"/>
      <c r="BM774" s="1222"/>
      <c r="BN774" s="1222"/>
      <c r="BO774" s="1222"/>
    </row>
    <row r="775">
      <c r="A775" s="1222"/>
      <c r="B775" s="1229"/>
      <c r="C775" s="1349"/>
      <c r="D775" s="1229"/>
      <c r="E775" s="1229"/>
      <c r="F775" s="1229"/>
      <c r="G775" s="1229"/>
      <c r="H775" s="1229"/>
      <c r="I775" s="1229"/>
      <c r="J775" s="1229"/>
      <c r="K775" s="1229"/>
      <c r="L775" s="1229"/>
      <c r="M775" s="1229"/>
      <c r="N775" s="1274"/>
      <c r="O775" s="1274"/>
      <c r="P775" s="1229"/>
      <c r="Q775" s="1229"/>
      <c r="R775" s="1229"/>
      <c r="S775" s="1229"/>
      <c r="T775" s="1274"/>
      <c r="U775" s="1274"/>
      <c r="V775" s="1229"/>
      <c r="W775" s="1229"/>
      <c r="X775" s="1229"/>
      <c r="Y775" s="1229"/>
      <c r="Z775" s="1274"/>
      <c r="AA775" s="1274"/>
      <c r="AB775" s="1229"/>
      <c r="AC775" s="1229"/>
      <c r="AD775" s="1229"/>
      <c r="AE775" s="1229"/>
      <c r="AF775" s="1274"/>
      <c r="AG775" s="1274"/>
      <c r="AH775" s="1229"/>
      <c r="AI775" s="1229"/>
      <c r="AJ775" s="1229"/>
      <c r="AK775" s="1229"/>
      <c r="AL775" s="1274"/>
      <c r="AM775" s="1274"/>
      <c r="AN775" s="1229"/>
      <c r="AO775" s="1229"/>
      <c r="AP775" s="1229"/>
      <c r="AQ775" s="1229"/>
      <c r="AR775" s="1274"/>
      <c r="AS775" s="1274"/>
      <c r="AT775" s="1229"/>
      <c r="AU775" s="1229"/>
      <c r="AV775" s="1229"/>
      <c r="AW775" s="1229"/>
      <c r="AX775" s="1274"/>
      <c r="AY775" s="1274"/>
      <c r="AZ775" s="1229"/>
      <c r="BA775" s="1229"/>
      <c r="BB775" s="1229"/>
      <c r="BC775" s="1229"/>
      <c r="BD775" s="1274"/>
      <c r="BE775" s="1274"/>
      <c r="BF775" s="1229"/>
      <c r="BG775" s="1229"/>
      <c r="BH775" s="1229"/>
      <c r="BI775" s="1222"/>
      <c r="BJ775" s="1350"/>
      <c r="BK775" s="1350"/>
      <c r="BL775" s="1222"/>
      <c r="BM775" s="1222"/>
      <c r="BN775" s="1222"/>
      <c r="BO775" s="1222"/>
    </row>
    <row r="776">
      <c r="A776" s="1222"/>
      <c r="B776" s="1229"/>
      <c r="C776" s="1349"/>
      <c r="D776" s="1229"/>
      <c r="E776" s="1229"/>
      <c r="F776" s="1229"/>
      <c r="G776" s="1229"/>
      <c r="H776" s="1229"/>
      <c r="I776" s="1229"/>
      <c r="J776" s="1229"/>
      <c r="K776" s="1229"/>
      <c r="L776" s="1229"/>
      <c r="M776" s="1229"/>
      <c r="N776" s="1274"/>
      <c r="O776" s="1274"/>
      <c r="P776" s="1229"/>
      <c r="Q776" s="1229"/>
      <c r="R776" s="1229"/>
      <c r="S776" s="1229"/>
      <c r="T776" s="1274"/>
      <c r="U776" s="1274"/>
      <c r="V776" s="1229"/>
      <c r="W776" s="1229"/>
      <c r="X776" s="1229"/>
      <c r="Y776" s="1229"/>
      <c r="Z776" s="1274"/>
      <c r="AA776" s="1274"/>
      <c r="AB776" s="1229"/>
      <c r="AC776" s="1229"/>
      <c r="AD776" s="1229"/>
      <c r="AE776" s="1229"/>
      <c r="AF776" s="1274"/>
      <c r="AG776" s="1274"/>
      <c r="AH776" s="1229"/>
      <c r="AI776" s="1229"/>
      <c r="AJ776" s="1229"/>
      <c r="AK776" s="1229"/>
      <c r="AL776" s="1274"/>
      <c r="AM776" s="1274"/>
      <c r="AN776" s="1229"/>
      <c r="AO776" s="1229"/>
      <c r="AP776" s="1229"/>
      <c r="AQ776" s="1229"/>
      <c r="AR776" s="1274"/>
      <c r="AS776" s="1274"/>
      <c r="AT776" s="1229"/>
      <c r="AU776" s="1229"/>
      <c r="AV776" s="1229"/>
      <c r="AW776" s="1229"/>
      <c r="AX776" s="1274"/>
      <c r="AY776" s="1274"/>
      <c r="AZ776" s="1229"/>
      <c r="BA776" s="1229"/>
      <c r="BB776" s="1229"/>
      <c r="BC776" s="1229"/>
      <c r="BD776" s="1274"/>
      <c r="BE776" s="1274"/>
      <c r="BF776" s="1229"/>
      <c r="BG776" s="1229"/>
      <c r="BH776" s="1229"/>
      <c r="BI776" s="1222"/>
      <c r="BJ776" s="1350"/>
      <c r="BK776" s="1350"/>
      <c r="BL776" s="1222"/>
      <c r="BM776" s="1222"/>
      <c r="BN776" s="1222"/>
      <c r="BO776" s="1222"/>
    </row>
    <row r="777">
      <c r="A777" s="1222"/>
      <c r="B777" s="1229"/>
      <c r="C777" s="1349"/>
      <c r="D777" s="1229"/>
      <c r="E777" s="1229"/>
      <c r="F777" s="1229"/>
      <c r="G777" s="1229"/>
      <c r="H777" s="1229"/>
      <c r="I777" s="1229"/>
      <c r="J777" s="1229"/>
      <c r="K777" s="1229"/>
      <c r="L777" s="1229"/>
      <c r="M777" s="1229"/>
      <c r="N777" s="1274"/>
      <c r="O777" s="1274"/>
      <c r="P777" s="1229"/>
      <c r="Q777" s="1229"/>
      <c r="R777" s="1229"/>
      <c r="S777" s="1229"/>
      <c r="T777" s="1274"/>
      <c r="U777" s="1274"/>
      <c r="V777" s="1229"/>
      <c r="W777" s="1229"/>
      <c r="X777" s="1229"/>
      <c r="Y777" s="1229"/>
      <c r="Z777" s="1274"/>
      <c r="AA777" s="1274"/>
      <c r="AB777" s="1229"/>
      <c r="AC777" s="1229"/>
      <c r="AD777" s="1229"/>
      <c r="AE777" s="1229"/>
      <c r="AF777" s="1274"/>
      <c r="AG777" s="1274"/>
      <c r="AH777" s="1229"/>
      <c r="AI777" s="1229"/>
      <c r="AJ777" s="1229"/>
      <c r="AK777" s="1229"/>
      <c r="AL777" s="1274"/>
      <c r="AM777" s="1274"/>
      <c r="AN777" s="1229"/>
      <c r="AO777" s="1229"/>
      <c r="AP777" s="1229"/>
      <c r="AQ777" s="1229"/>
      <c r="AR777" s="1274"/>
      <c r="AS777" s="1274"/>
      <c r="AT777" s="1229"/>
      <c r="AU777" s="1229"/>
      <c r="AV777" s="1229"/>
      <c r="AW777" s="1229"/>
      <c r="AX777" s="1274"/>
      <c r="AY777" s="1274"/>
      <c r="AZ777" s="1229"/>
      <c r="BA777" s="1229"/>
      <c r="BB777" s="1229"/>
      <c r="BC777" s="1229"/>
      <c r="BD777" s="1274"/>
      <c r="BE777" s="1274"/>
      <c r="BF777" s="1229"/>
      <c r="BG777" s="1229"/>
      <c r="BH777" s="1229"/>
      <c r="BI777" s="1222"/>
      <c r="BJ777" s="1350"/>
      <c r="BK777" s="1350"/>
      <c r="BL777" s="1222"/>
      <c r="BM777" s="1222"/>
      <c r="BN777" s="1222"/>
      <c r="BO777" s="1222"/>
    </row>
    <row r="778">
      <c r="A778" s="1222"/>
      <c r="B778" s="1229"/>
      <c r="C778" s="1349"/>
      <c r="D778" s="1229"/>
      <c r="E778" s="1229"/>
      <c r="F778" s="1229"/>
      <c r="G778" s="1229"/>
      <c r="H778" s="1229"/>
      <c r="I778" s="1229"/>
      <c r="J778" s="1229"/>
      <c r="K778" s="1229"/>
      <c r="L778" s="1229"/>
      <c r="M778" s="1229"/>
      <c r="N778" s="1274"/>
      <c r="O778" s="1274"/>
      <c r="P778" s="1229"/>
      <c r="Q778" s="1229"/>
      <c r="R778" s="1229"/>
      <c r="S778" s="1229"/>
      <c r="T778" s="1274"/>
      <c r="U778" s="1274"/>
      <c r="V778" s="1229"/>
      <c r="W778" s="1229"/>
      <c r="X778" s="1229"/>
      <c r="Y778" s="1229"/>
      <c r="Z778" s="1274"/>
      <c r="AA778" s="1274"/>
      <c r="AB778" s="1229"/>
      <c r="AC778" s="1229"/>
      <c r="AD778" s="1229"/>
      <c r="AE778" s="1229"/>
      <c r="AF778" s="1274"/>
      <c r="AG778" s="1274"/>
      <c r="AH778" s="1229"/>
      <c r="AI778" s="1229"/>
      <c r="AJ778" s="1229"/>
      <c r="AK778" s="1229"/>
      <c r="AL778" s="1274"/>
      <c r="AM778" s="1274"/>
      <c r="AN778" s="1229"/>
      <c r="AO778" s="1229"/>
      <c r="AP778" s="1229"/>
      <c r="AQ778" s="1229"/>
      <c r="AR778" s="1274"/>
      <c r="AS778" s="1274"/>
      <c r="AT778" s="1229"/>
      <c r="AU778" s="1229"/>
      <c r="AV778" s="1229"/>
      <c r="AW778" s="1229"/>
      <c r="AX778" s="1274"/>
      <c r="AY778" s="1274"/>
      <c r="AZ778" s="1229"/>
      <c r="BA778" s="1229"/>
      <c r="BB778" s="1229"/>
      <c r="BC778" s="1229"/>
      <c r="BD778" s="1274"/>
      <c r="BE778" s="1274"/>
      <c r="BF778" s="1229"/>
      <c r="BG778" s="1229"/>
      <c r="BH778" s="1229"/>
      <c r="BI778" s="1222"/>
      <c r="BJ778" s="1350"/>
      <c r="BK778" s="1350"/>
      <c r="BL778" s="1222"/>
      <c r="BM778" s="1222"/>
      <c r="BN778" s="1222"/>
      <c r="BO778" s="1222"/>
    </row>
    <row r="779">
      <c r="A779" s="1222"/>
      <c r="B779" s="1229"/>
      <c r="C779" s="1349"/>
      <c r="D779" s="1229"/>
      <c r="E779" s="1229"/>
      <c r="F779" s="1229"/>
      <c r="G779" s="1229"/>
      <c r="H779" s="1229"/>
      <c r="I779" s="1229"/>
      <c r="J779" s="1229"/>
      <c r="K779" s="1229"/>
      <c r="L779" s="1229"/>
      <c r="M779" s="1229"/>
      <c r="N779" s="1274"/>
      <c r="O779" s="1274"/>
      <c r="P779" s="1229"/>
      <c r="Q779" s="1229"/>
      <c r="R779" s="1229"/>
      <c r="S779" s="1229"/>
      <c r="T779" s="1274"/>
      <c r="U779" s="1274"/>
      <c r="V779" s="1229"/>
      <c r="W779" s="1229"/>
      <c r="X779" s="1229"/>
      <c r="Y779" s="1229"/>
      <c r="Z779" s="1274"/>
      <c r="AA779" s="1274"/>
      <c r="AB779" s="1229"/>
      <c r="AC779" s="1229"/>
      <c r="AD779" s="1229"/>
      <c r="AE779" s="1229"/>
      <c r="AF779" s="1274"/>
      <c r="AG779" s="1274"/>
      <c r="AH779" s="1229"/>
      <c r="AI779" s="1229"/>
      <c r="AJ779" s="1229"/>
      <c r="AK779" s="1229"/>
      <c r="AL779" s="1274"/>
      <c r="AM779" s="1274"/>
      <c r="AN779" s="1229"/>
      <c r="AO779" s="1229"/>
      <c r="AP779" s="1229"/>
      <c r="AQ779" s="1229"/>
      <c r="AR779" s="1274"/>
      <c r="AS779" s="1274"/>
      <c r="AT779" s="1229"/>
      <c r="AU779" s="1229"/>
      <c r="AV779" s="1229"/>
      <c r="AW779" s="1229"/>
      <c r="AX779" s="1274"/>
      <c r="AY779" s="1274"/>
      <c r="AZ779" s="1229"/>
      <c r="BA779" s="1229"/>
      <c r="BB779" s="1229"/>
      <c r="BC779" s="1229"/>
      <c r="BD779" s="1274"/>
      <c r="BE779" s="1274"/>
      <c r="BF779" s="1229"/>
      <c r="BG779" s="1229"/>
      <c r="BH779" s="1229"/>
      <c r="BI779" s="1222"/>
      <c r="BJ779" s="1350"/>
      <c r="BK779" s="1350"/>
      <c r="BL779" s="1222"/>
      <c r="BM779" s="1222"/>
      <c r="BN779" s="1222"/>
      <c r="BO779" s="1222"/>
    </row>
    <row r="780">
      <c r="A780" s="1222"/>
      <c r="B780" s="1229"/>
      <c r="C780" s="1349"/>
      <c r="D780" s="1229"/>
      <c r="E780" s="1229"/>
      <c r="F780" s="1229"/>
      <c r="G780" s="1229"/>
      <c r="H780" s="1229"/>
      <c r="I780" s="1229"/>
      <c r="J780" s="1229"/>
      <c r="K780" s="1229"/>
      <c r="L780" s="1229"/>
      <c r="M780" s="1229"/>
      <c r="N780" s="1274"/>
      <c r="O780" s="1274"/>
      <c r="P780" s="1229"/>
      <c r="Q780" s="1229"/>
      <c r="R780" s="1229"/>
      <c r="S780" s="1229"/>
      <c r="T780" s="1274"/>
      <c r="U780" s="1274"/>
      <c r="V780" s="1229"/>
      <c r="W780" s="1229"/>
      <c r="X780" s="1229"/>
      <c r="Y780" s="1229"/>
      <c r="Z780" s="1274"/>
      <c r="AA780" s="1274"/>
      <c r="AB780" s="1229"/>
      <c r="AC780" s="1229"/>
      <c r="AD780" s="1229"/>
      <c r="AE780" s="1229"/>
      <c r="AF780" s="1274"/>
      <c r="AG780" s="1274"/>
      <c r="AH780" s="1229"/>
      <c r="AI780" s="1229"/>
      <c r="AJ780" s="1229"/>
      <c r="AK780" s="1229"/>
      <c r="AL780" s="1274"/>
      <c r="AM780" s="1274"/>
      <c r="AN780" s="1229"/>
      <c r="AO780" s="1229"/>
      <c r="AP780" s="1229"/>
      <c r="AQ780" s="1229"/>
      <c r="AR780" s="1274"/>
      <c r="AS780" s="1274"/>
      <c r="AT780" s="1229"/>
      <c r="AU780" s="1229"/>
      <c r="AV780" s="1229"/>
      <c r="AW780" s="1229"/>
      <c r="AX780" s="1274"/>
      <c r="AY780" s="1274"/>
      <c r="AZ780" s="1229"/>
      <c r="BA780" s="1229"/>
      <c r="BB780" s="1229"/>
      <c r="BC780" s="1229"/>
      <c r="BD780" s="1274"/>
      <c r="BE780" s="1274"/>
      <c r="BF780" s="1229"/>
      <c r="BG780" s="1229"/>
      <c r="BH780" s="1229"/>
      <c r="BI780" s="1222"/>
      <c r="BJ780" s="1350"/>
      <c r="BK780" s="1350"/>
      <c r="BL780" s="1222"/>
      <c r="BM780" s="1222"/>
      <c r="BN780" s="1222"/>
      <c r="BO780" s="1222"/>
    </row>
    <row r="781">
      <c r="A781" s="1222"/>
      <c r="B781" s="1229"/>
      <c r="C781" s="1349"/>
      <c r="D781" s="1229"/>
      <c r="E781" s="1229"/>
      <c r="F781" s="1229"/>
      <c r="G781" s="1229"/>
      <c r="H781" s="1229"/>
      <c r="I781" s="1229"/>
      <c r="J781" s="1229"/>
      <c r="K781" s="1229"/>
      <c r="L781" s="1229"/>
      <c r="M781" s="1229"/>
      <c r="N781" s="1274"/>
      <c r="O781" s="1274"/>
      <c r="P781" s="1229"/>
      <c r="Q781" s="1229"/>
      <c r="R781" s="1229"/>
      <c r="S781" s="1229"/>
      <c r="T781" s="1274"/>
      <c r="U781" s="1274"/>
      <c r="V781" s="1229"/>
      <c r="W781" s="1229"/>
      <c r="X781" s="1229"/>
      <c r="Y781" s="1229"/>
      <c r="Z781" s="1274"/>
      <c r="AA781" s="1274"/>
      <c r="AB781" s="1229"/>
      <c r="AC781" s="1229"/>
      <c r="AD781" s="1229"/>
      <c r="AE781" s="1229"/>
      <c r="AF781" s="1274"/>
      <c r="AG781" s="1274"/>
      <c r="AH781" s="1229"/>
      <c r="AI781" s="1229"/>
      <c r="AJ781" s="1229"/>
      <c r="AK781" s="1229"/>
      <c r="AL781" s="1274"/>
      <c r="AM781" s="1274"/>
      <c r="AN781" s="1229"/>
      <c r="AO781" s="1229"/>
      <c r="AP781" s="1229"/>
      <c r="AQ781" s="1229"/>
      <c r="AR781" s="1274"/>
      <c r="AS781" s="1274"/>
      <c r="AT781" s="1229"/>
      <c r="AU781" s="1229"/>
      <c r="AV781" s="1229"/>
      <c r="AW781" s="1229"/>
      <c r="AX781" s="1274"/>
      <c r="AY781" s="1274"/>
      <c r="AZ781" s="1229"/>
      <c r="BA781" s="1229"/>
      <c r="BB781" s="1229"/>
      <c r="BC781" s="1229"/>
      <c r="BD781" s="1274"/>
      <c r="BE781" s="1274"/>
      <c r="BF781" s="1229"/>
      <c r="BG781" s="1229"/>
      <c r="BH781" s="1229"/>
      <c r="BI781" s="1222"/>
      <c r="BJ781" s="1350"/>
      <c r="BK781" s="1350"/>
      <c r="BL781" s="1222"/>
      <c r="BM781" s="1222"/>
      <c r="BN781" s="1222"/>
      <c r="BO781" s="1222"/>
    </row>
    <row r="782">
      <c r="A782" s="1222"/>
      <c r="B782" s="1229"/>
      <c r="C782" s="1349"/>
      <c r="D782" s="1229"/>
      <c r="E782" s="1229"/>
      <c r="F782" s="1229"/>
      <c r="G782" s="1229"/>
      <c r="H782" s="1229"/>
      <c r="I782" s="1229"/>
      <c r="J782" s="1229"/>
      <c r="K782" s="1229"/>
      <c r="L782" s="1229"/>
      <c r="M782" s="1229"/>
      <c r="N782" s="1274"/>
      <c r="O782" s="1274"/>
      <c r="P782" s="1229"/>
      <c r="Q782" s="1229"/>
      <c r="R782" s="1229"/>
      <c r="S782" s="1229"/>
      <c r="T782" s="1274"/>
      <c r="U782" s="1274"/>
      <c r="V782" s="1229"/>
      <c r="W782" s="1229"/>
      <c r="X782" s="1229"/>
      <c r="Y782" s="1229"/>
      <c r="Z782" s="1274"/>
      <c r="AA782" s="1274"/>
      <c r="AB782" s="1229"/>
      <c r="AC782" s="1229"/>
      <c r="AD782" s="1229"/>
      <c r="AE782" s="1229"/>
      <c r="AF782" s="1274"/>
      <c r="AG782" s="1274"/>
      <c r="AH782" s="1229"/>
      <c r="AI782" s="1229"/>
      <c r="AJ782" s="1229"/>
      <c r="AK782" s="1229"/>
      <c r="AL782" s="1274"/>
      <c r="AM782" s="1274"/>
      <c r="AN782" s="1229"/>
      <c r="AO782" s="1229"/>
      <c r="AP782" s="1229"/>
      <c r="AQ782" s="1229"/>
      <c r="AR782" s="1274"/>
      <c r="AS782" s="1274"/>
      <c r="AT782" s="1229"/>
      <c r="AU782" s="1229"/>
      <c r="AV782" s="1229"/>
      <c r="AW782" s="1229"/>
      <c r="AX782" s="1274"/>
      <c r="AY782" s="1274"/>
      <c r="AZ782" s="1229"/>
      <c r="BA782" s="1229"/>
      <c r="BB782" s="1229"/>
      <c r="BC782" s="1229"/>
      <c r="BD782" s="1274"/>
      <c r="BE782" s="1274"/>
      <c r="BF782" s="1229"/>
      <c r="BG782" s="1229"/>
      <c r="BH782" s="1229"/>
      <c r="BI782" s="1222"/>
      <c r="BJ782" s="1350"/>
      <c r="BK782" s="1350"/>
      <c r="BL782" s="1222"/>
      <c r="BM782" s="1222"/>
      <c r="BN782" s="1222"/>
      <c r="BO782" s="1222"/>
    </row>
    <row r="783">
      <c r="A783" s="1222"/>
      <c r="B783" s="1229"/>
      <c r="C783" s="1349"/>
      <c r="D783" s="1229"/>
      <c r="E783" s="1229"/>
      <c r="F783" s="1229"/>
      <c r="G783" s="1229"/>
      <c r="H783" s="1229"/>
      <c r="I783" s="1229"/>
      <c r="J783" s="1229"/>
      <c r="K783" s="1229"/>
      <c r="L783" s="1229"/>
      <c r="M783" s="1229"/>
      <c r="N783" s="1274"/>
      <c r="O783" s="1274"/>
      <c r="P783" s="1229"/>
      <c r="Q783" s="1229"/>
      <c r="R783" s="1229"/>
      <c r="S783" s="1229"/>
      <c r="T783" s="1274"/>
      <c r="U783" s="1274"/>
      <c r="V783" s="1229"/>
      <c r="W783" s="1229"/>
      <c r="X783" s="1229"/>
      <c r="Y783" s="1229"/>
      <c r="Z783" s="1274"/>
      <c r="AA783" s="1274"/>
      <c r="AB783" s="1229"/>
      <c r="AC783" s="1229"/>
      <c r="AD783" s="1229"/>
      <c r="AE783" s="1229"/>
      <c r="AF783" s="1274"/>
      <c r="AG783" s="1274"/>
      <c r="AH783" s="1229"/>
      <c r="AI783" s="1229"/>
      <c r="AJ783" s="1229"/>
      <c r="AK783" s="1229"/>
      <c r="AL783" s="1274"/>
      <c r="AM783" s="1274"/>
      <c r="AN783" s="1229"/>
      <c r="AO783" s="1229"/>
      <c r="AP783" s="1229"/>
      <c r="AQ783" s="1229"/>
      <c r="AR783" s="1274"/>
      <c r="AS783" s="1274"/>
      <c r="AT783" s="1229"/>
      <c r="AU783" s="1229"/>
      <c r="AV783" s="1229"/>
      <c r="AW783" s="1229"/>
      <c r="AX783" s="1274"/>
      <c r="AY783" s="1274"/>
      <c r="AZ783" s="1229"/>
      <c r="BA783" s="1229"/>
      <c r="BB783" s="1229"/>
      <c r="BC783" s="1229"/>
      <c r="BD783" s="1274"/>
      <c r="BE783" s="1274"/>
      <c r="BF783" s="1229"/>
      <c r="BG783" s="1229"/>
      <c r="BH783" s="1229"/>
      <c r="BI783" s="1222"/>
      <c r="BJ783" s="1350"/>
      <c r="BK783" s="1350"/>
      <c r="BL783" s="1222"/>
      <c r="BM783" s="1222"/>
      <c r="BN783" s="1222"/>
      <c r="BO783" s="1222"/>
    </row>
    <row r="784">
      <c r="A784" s="1222"/>
      <c r="B784" s="1229"/>
      <c r="C784" s="1349"/>
      <c r="D784" s="1229"/>
      <c r="E784" s="1229"/>
      <c r="F784" s="1229"/>
      <c r="G784" s="1229"/>
      <c r="H784" s="1229"/>
      <c r="I784" s="1229"/>
      <c r="J784" s="1229"/>
      <c r="K784" s="1229"/>
      <c r="L784" s="1229"/>
      <c r="M784" s="1229"/>
      <c r="N784" s="1274"/>
      <c r="O784" s="1274"/>
      <c r="P784" s="1229"/>
      <c r="Q784" s="1229"/>
      <c r="R784" s="1229"/>
      <c r="S784" s="1229"/>
      <c r="T784" s="1274"/>
      <c r="U784" s="1274"/>
      <c r="V784" s="1229"/>
      <c r="W784" s="1229"/>
      <c r="X784" s="1229"/>
      <c r="Y784" s="1229"/>
      <c r="Z784" s="1274"/>
      <c r="AA784" s="1274"/>
      <c r="AB784" s="1229"/>
      <c r="AC784" s="1229"/>
      <c r="AD784" s="1229"/>
      <c r="AE784" s="1229"/>
      <c r="AF784" s="1274"/>
      <c r="AG784" s="1274"/>
      <c r="AH784" s="1229"/>
      <c r="AI784" s="1229"/>
      <c r="AJ784" s="1229"/>
      <c r="AK784" s="1229"/>
      <c r="AL784" s="1274"/>
      <c r="AM784" s="1274"/>
      <c r="AN784" s="1229"/>
      <c r="AO784" s="1229"/>
      <c r="AP784" s="1229"/>
      <c r="AQ784" s="1229"/>
      <c r="AR784" s="1274"/>
      <c r="AS784" s="1274"/>
      <c r="AT784" s="1229"/>
      <c r="AU784" s="1229"/>
      <c r="AV784" s="1229"/>
      <c r="AW784" s="1229"/>
      <c r="AX784" s="1274"/>
      <c r="AY784" s="1274"/>
      <c r="AZ784" s="1229"/>
      <c r="BA784" s="1229"/>
      <c r="BB784" s="1229"/>
      <c r="BC784" s="1229"/>
      <c r="BD784" s="1274"/>
      <c r="BE784" s="1274"/>
      <c r="BF784" s="1229"/>
      <c r="BG784" s="1229"/>
      <c r="BH784" s="1229"/>
      <c r="BI784" s="1222"/>
      <c r="BJ784" s="1350"/>
      <c r="BK784" s="1350"/>
      <c r="BL784" s="1222"/>
      <c r="BM784" s="1222"/>
      <c r="BN784" s="1222"/>
      <c r="BO784" s="1222"/>
    </row>
    <row r="785">
      <c r="A785" s="1222"/>
      <c r="B785" s="1229"/>
      <c r="C785" s="1349"/>
      <c r="D785" s="1229"/>
      <c r="E785" s="1229"/>
      <c r="F785" s="1229"/>
      <c r="G785" s="1229"/>
      <c r="H785" s="1229"/>
      <c r="I785" s="1229"/>
      <c r="J785" s="1229"/>
      <c r="K785" s="1229"/>
      <c r="L785" s="1229"/>
      <c r="M785" s="1229"/>
      <c r="N785" s="1274"/>
      <c r="O785" s="1274"/>
      <c r="P785" s="1229"/>
      <c r="Q785" s="1229"/>
      <c r="R785" s="1229"/>
      <c r="S785" s="1229"/>
      <c r="T785" s="1274"/>
      <c r="U785" s="1274"/>
      <c r="V785" s="1229"/>
      <c r="W785" s="1229"/>
      <c r="X785" s="1229"/>
      <c r="Y785" s="1229"/>
      <c r="Z785" s="1274"/>
      <c r="AA785" s="1274"/>
      <c r="AB785" s="1229"/>
      <c r="AC785" s="1229"/>
      <c r="AD785" s="1229"/>
      <c r="AE785" s="1229"/>
      <c r="AF785" s="1274"/>
      <c r="AG785" s="1274"/>
      <c r="AH785" s="1229"/>
      <c r="AI785" s="1229"/>
      <c r="AJ785" s="1229"/>
      <c r="AK785" s="1229"/>
      <c r="AL785" s="1274"/>
      <c r="AM785" s="1274"/>
      <c r="AN785" s="1229"/>
      <c r="AO785" s="1229"/>
      <c r="AP785" s="1229"/>
      <c r="AQ785" s="1229"/>
      <c r="AR785" s="1274"/>
      <c r="AS785" s="1274"/>
      <c r="AT785" s="1229"/>
      <c r="AU785" s="1229"/>
      <c r="AV785" s="1229"/>
      <c r="AW785" s="1229"/>
      <c r="AX785" s="1274"/>
      <c r="AY785" s="1274"/>
      <c r="AZ785" s="1229"/>
      <c r="BA785" s="1229"/>
      <c r="BB785" s="1229"/>
      <c r="BC785" s="1229"/>
      <c r="BD785" s="1274"/>
      <c r="BE785" s="1274"/>
      <c r="BF785" s="1229"/>
      <c r="BG785" s="1229"/>
      <c r="BH785" s="1229"/>
      <c r="BI785" s="1222"/>
      <c r="BJ785" s="1350"/>
      <c r="BK785" s="1350"/>
      <c r="BL785" s="1222"/>
      <c r="BM785" s="1222"/>
      <c r="BN785" s="1222"/>
      <c r="BO785" s="1222"/>
    </row>
    <row r="786">
      <c r="A786" s="1222"/>
      <c r="B786" s="1229"/>
      <c r="C786" s="1349"/>
      <c r="D786" s="1229"/>
      <c r="E786" s="1229"/>
      <c r="F786" s="1229"/>
      <c r="G786" s="1229"/>
      <c r="H786" s="1229"/>
      <c r="I786" s="1229"/>
      <c r="J786" s="1229"/>
      <c r="K786" s="1229"/>
      <c r="L786" s="1229"/>
      <c r="M786" s="1229"/>
      <c r="N786" s="1274"/>
      <c r="O786" s="1274"/>
      <c r="P786" s="1229"/>
      <c r="Q786" s="1229"/>
      <c r="R786" s="1229"/>
      <c r="S786" s="1229"/>
      <c r="T786" s="1274"/>
      <c r="U786" s="1274"/>
      <c r="V786" s="1229"/>
      <c r="W786" s="1229"/>
      <c r="X786" s="1229"/>
      <c r="Y786" s="1229"/>
      <c r="Z786" s="1274"/>
      <c r="AA786" s="1274"/>
      <c r="AB786" s="1229"/>
      <c r="AC786" s="1229"/>
      <c r="AD786" s="1229"/>
      <c r="AE786" s="1229"/>
      <c r="AF786" s="1274"/>
      <c r="AG786" s="1274"/>
      <c r="AH786" s="1229"/>
      <c r="AI786" s="1229"/>
      <c r="AJ786" s="1229"/>
      <c r="AK786" s="1229"/>
      <c r="AL786" s="1274"/>
      <c r="AM786" s="1274"/>
      <c r="AN786" s="1229"/>
      <c r="AO786" s="1229"/>
      <c r="AP786" s="1229"/>
      <c r="AQ786" s="1229"/>
      <c r="AR786" s="1274"/>
      <c r="AS786" s="1274"/>
      <c r="AT786" s="1229"/>
      <c r="AU786" s="1229"/>
      <c r="AV786" s="1229"/>
      <c r="AW786" s="1229"/>
      <c r="AX786" s="1274"/>
      <c r="AY786" s="1274"/>
      <c r="AZ786" s="1229"/>
      <c r="BA786" s="1229"/>
      <c r="BB786" s="1229"/>
      <c r="BC786" s="1229"/>
      <c r="BD786" s="1274"/>
      <c r="BE786" s="1274"/>
      <c r="BF786" s="1229"/>
      <c r="BG786" s="1229"/>
      <c r="BH786" s="1229"/>
      <c r="BI786" s="1222"/>
      <c r="BJ786" s="1350"/>
      <c r="BK786" s="1350"/>
      <c r="BL786" s="1222"/>
      <c r="BM786" s="1222"/>
      <c r="BN786" s="1222"/>
      <c r="BO786" s="1222"/>
    </row>
    <row r="787">
      <c r="A787" s="1222"/>
      <c r="B787" s="1229"/>
      <c r="C787" s="1349"/>
      <c r="D787" s="1229"/>
      <c r="E787" s="1229"/>
      <c r="F787" s="1229"/>
      <c r="G787" s="1229"/>
      <c r="H787" s="1229"/>
      <c r="I787" s="1229"/>
      <c r="J787" s="1229"/>
      <c r="K787" s="1229"/>
      <c r="L787" s="1229"/>
      <c r="M787" s="1229"/>
      <c r="N787" s="1274"/>
      <c r="O787" s="1274"/>
      <c r="P787" s="1229"/>
      <c r="Q787" s="1229"/>
      <c r="R787" s="1229"/>
      <c r="S787" s="1229"/>
      <c r="T787" s="1274"/>
      <c r="U787" s="1274"/>
      <c r="V787" s="1229"/>
      <c r="W787" s="1229"/>
      <c r="X787" s="1229"/>
      <c r="Y787" s="1229"/>
      <c r="Z787" s="1274"/>
      <c r="AA787" s="1274"/>
      <c r="AB787" s="1229"/>
      <c r="AC787" s="1229"/>
      <c r="AD787" s="1229"/>
      <c r="AE787" s="1229"/>
      <c r="AF787" s="1274"/>
      <c r="AG787" s="1274"/>
      <c r="AH787" s="1229"/>
      <c r="AI787" s="1229"/>
      <c r="AJ787" s="1229"/>
      <c r="AK787" s="1229"/>
      <c r="AL787" s="1274"/>
      <c r="AM787" s="1274"/>
      <c r="AN787" s="1229"/>
      <c r="AO787" s="1229"/>
      <c r="AP787" s="1229"/>
      <c r="AQ787" s="1229"/>
      <c r="AR787" s="1274"/>
      <c r="AS787" s="1274"/>
      <c r="AT787" s="1229"/>
      <c r="AU787" s="1229"/>
      <c r="AV787" s="1229"/>
      <c r="AW787" s="1229"/>
      <c r="AX787" s="1274"/>
      <c r="AY787" s="1274"/>
      <c r="AZ787" s="1229"/>
      <c r="BA787" s="1229"/>
      <c r="BB787" s="1229"/>
      <c r="BC787" s="1229"/>
      <c r="BD787" s="1274"/>
      <c r="BE787" s="1274"/>
      <c r="BF787" s="1229"/>
      <c r="BG787" s="1229"/>
      <c r="BH787" s="1229"/>
      <c r="BI787" s="1222"/>
      <c r="BJ787" s="1350"/>
      <c r="BK787" s="1350"/>
      <c r="BL787" s="1222"/>
      <c r="BM787" s="1222"/>
      <c r="BN787" s="1222"/>
      <c r="BO787" s="1222"/>
    </row>
    <row r="788">
      <c r="A788" s="1222"/>
      <c r="B788" s="1229"/>
      <c r="C788" s="1349"/>
      <c r="D788" s="1229"/>
      <c r="E788" s="1229"/>
      <c r="F788" s="1229"/>
      <c r="G788" s="1229"/>
      <c r="H788" s="1229"/>
      <c r="I788" s="1229"/>
      <c r="J788" s="1229"/>
      <c r="K788" s="1229"/>
      <c r="L788" s="1229"/>
      <c r="M788" s="1229"/>
      <c r="N788" s="1274"/>
      <c r="O788" s="1274"/>
      <c r="P788" s="1229"/>
      <c r="Q788" s="1229"/>
      <c r="R788" s="1229"/>
      <c r="S788" s="1229"/>
      <c r="T788" s="1274"/>
      <c r="U788" s="1274"/>
      <c r="V788" s="1229"/>
      <c r="W788" s="1229"/>
      <c r="X788" s="1229"/>
      <c r="Y788" s="1229"/>
      <c r="Z788" s="1274"/>
      <c r="AA788" s="1274"/>
      <c r="AB788" s="1229"/>
      <c r="AC788" s="1229"/>
      <c r="AD788" s="1229"/>
      <c r="AE788" s="1229"/>
      <c r="AF788" s="1274"/>
      <c r="AG788" s="1274"/>
      <c r="AH788" s="1229"/>
      <c r="AI788" s="1229"/>
      <c r="AJ788" s="1229"/>
      <c r="AK788" s="1229"/>
      <c r="AL788" s="1274"/>
      <c r="AM788" s="1274"/>
      <c r="AN788" s="1229"/>
      <c r="AO788" s="1229"/>
      <c r="AP788" s="1229"/>
      <c r="AQ788" s="1229"/>
      <c r="AR788" s="1274"/>
      <c r="AS788" s="1274"/>
      <c r="AT788" s="1229"/>
      <c r="AU788" s="1229"/>
      <c r="AV788" s="1229"/>
      <c r="AW788" s="1229"/>
      <c r="AX788" s="1274"/>
      <c r="AY788" s="1274"/>
      <c r="AZ788" s="1229"/>
      <c r="BA788" s="1229"/>
      <c r="BB788" s="1229"/>
      <c r="BC788" s="1229"/>
      <c r="BD788" s="1274"/>
      <c r="BE788" s="1274"/>
      <c r="BF788" s="1229"/>
      <c r="BG788" s="1229"/>
      <c r="BH788" s="1229"/>
      <c r="BI788" s="1222"/>
      <c r="BJ788" s="1350"/>
      <c r="BK788" s="1350"/>
      <c r="BL788" s="1222"/>
      <c r="BM788" s="1222"/>
      <c r="BN788" s="1222"/>
      <c r="BO788" s="1222"/>
    </row>
    <row r="789">
      <c r="A789" s="1222"/>
      <c r="B789" s="1229"/>
      <c r="C789" s="1349"/>
      <c r="D789" s="1229"/>
      <c r="E789" s="1229"/>
      <c r="F789" s="1229"/>
      <c r="G789" s="1229"/>
      <c r="H789" s="1229"/>
      <c r="I789" s="1229"/>
      <c r="J789" s="1229"/>
      <c r="K789" s="1229"/>
      <c r="L789" s="1229"/>
      <c r="M789" s="1229"/>
      <c r="N789" s="1274"/>
      <c r="O789" s="1274"/>
      <c r="P789" s="1229"/>
      <c r="Q789" s="1229"/>
      <c r="R789" s="1229"/>
      <c r="S789" s="1229"/>
      <c r="T789" s="1274"/>
      <c r="U789" s="1274"/>
      <c r="V789" s="1229"/>
      <c r="W789" s="1229"/>
      <c r="X789" s="1229"/>
      <c r="Y789" s="1229"/>
      <c r="Z789" s="1274"/>
      <c r="AA789" s="1274"/>
      <c r="AB789" s="1229"/>
      <c r="AC789" s="1229"/>
      <c r="AD789" s="1229"/>
      <c r="AE789" s="1229"/>
      <c r="AF789" s="1274"/>
      <c r="AG789" s="1274"/>
      <c r="AH789" s="1229"/>
      <c r="AI789" s="1229"/>
      <c r="AJ789" s="1229"/>
      <c r="AK789" s="1229"/>
      <c r="AL789" s="1274"/>
      <c r="AM789" s="1274"/>
      <c r="AN789" s="1229"/>
      <c r="AO789" s="1229"/>
      <c r="AP789" s="1229"/>
      <c r="AQ789" s="1229"/>
      <c r="AR789" s="1274"/>
      <c r="AS789" s="1274"/>
      <c r="AT789" s="1229"/>
      <c r="AU789" s="1229"/>
      <c r="AV789" s="1229"/>
      <c r="AW789" s="1229"/>
      <c r="AX789" s="1274"/>
      <c r="AY789" s="1274"/>
      <c r="AZ789" s="1229"/>
      <c r="BA789" s="1229"/>
      <c r="BB789" s="1229"/>
      <c r="BC789" s="1229"/>
      <c r="BD789" s="1274"/>
      <c r="BE789" s="1274"/>
      <c r="BF789" s="1229"/>
      <c r="BG789" s="1229"/>
      <c r="BH789" s="1229"/>
      <c r="BI789" s="1222"/>
      <c r="BJ789" s="1350"/>
      <c r="BK789" s="1350"/>
      <c r="BL789" s="1222"/>
      <c r="BM789" s="1222"/>
      <c r="BN789" s="1222"/>
      <c r="BO789" s="1222"/>
    </row>
    <row r="790">
      <c r="A790" s="1222"/>
      <c r="B790" s="1229"/>
      <c r="C790" s="1349"/>
      <c r="D790" s="1229"/>
      <c r="E790" s="1229"/>
      <c r="F790" s="1229"/>
      <c r="G790" s="1229"/>
      <c r="H790" s="1229"/>
      <c r="I790" s="1229"/>
      <c r="J790" s="1229"/>
      <c r="K790" s="1229"/>
      <c r="L790" s="1229"/>
      <c r="M790" s="1229"/>
      <c r="N790" s="1274"/>
      <c r="O790" s="1274"/>
      <c r="P790" s="1229"/>
      <c r="Q790" s="1229"/>
      <c r="R790" s="1229"/>
      <c r="S790" s="1229"/>
      <c r="T790" s="1274"/>
      <c r="U790" s="1274"/>
      <c r="V790" s="1229"/>
      <c r="W790" s="1229"/>
      <c r="X790" s="1229"/>
      <c r="Y790" s="1229"/>
      <c r="Z790" s="1274"/>
      <c r="AA790" s="1274"/>
      <c r="AB790" s="1229"/>
      <c r="AC790" s="1229"/>
      <c r="AD790" s="1229"/>
      <c r="AE790" s="1229"/>
      <c r="AF790" s="1274"/>
      <c r="AG790" s="1274"/>
      <c r="AH790" s="1229"/>
      <c r="AI790" s="1229"/>
      <c r="AJ790" s="1229"/>
      <c r="AK790" s="1229"/>
      <c r="AL790" s="1274"/>
      <c r="AM790" s="1274"/>
      <c r="AN790" s="1229"/>
      <c r="AO790" s="1229"/>
      <c r="AP790" s="1229"/>
      <c r="AQ790" s="1229"/>
      <c r="AR790" s="1274"/>
      <c r="AS790" s="1274"/>
      <c r="AT790" s="1229"/>
      <c r="AU790" s="1229"/>
      <c r="AV790" s="1229"/>
      <c r="AW790" s="1229"/>
      <c r="AX790" s="1274"/>
      <c r="AY790" s="1274"/>
      <c r="AZ790" s="1229"/>
      <c r="BA790" s="1229"/>
      <c r="BB790" s="1229"/>
      <c r="BC790" s="1229"/>
      <c r="BD790" s="1274"/>
      <c r="BE790" s="1274"/>
      <c r="BF790" s="1229"/>
      <c r="BG790" s="1229"/>
      <c r="BH790" s="1229"/>
      <c r="BI790" s="1222"/>
      <c r="BJ790" s="1350"/>
      <c r="BK790" s="1350"/>
      <c r="BL790" s="1222"/>
      <c r="BM790" s="1222"/>
      <c r="BN790" s="1222"/>
      <c r="BO790" s="1222"/>
    </row>
    <row r="791">
      <c r="A791" s="1222"/>
      <c r="B791" s="1229"/>
      <c r="C791" s="1349"/>
      <c r="D791" s="1229"/>
      <c r="E791" s="1229"/>
      <c r="F791" s="1229"/>
      <c r="G791" s="1229"/>
      <c r="H791" s="1229"/>
      <c r="I791" s="1229"/>
      <c r="J791" s="1229"/>
      <c r="K791" s="1229"/>
      <c r="L791" s="1229"/>
      <c r="M791" s="1229"/>
      <c r="N791" s="1274"/>
      <c r="O791" s="1274"/>
      <c r="P791" s="1229"/>
      <c r="Q791" s="1229"/>
      <c r="R791" s="1229"/>
      <c r="S791" s="1229"/>
      <c r="T791" s="1274"/>
      <c r="U791" s="1274"/>
      <c r="V791" s="1229"/>
      <c r="W791" s="1229"/>
      <c r="X791" s="1229"/>
      <c r="Y791" s="1229"/>
      <c r="Z791" s="1274"/>
      <c r="AA791" s="1274"/>
      <c r="AB791" s="1229"/>
      <c r="AC791" s="1229"/>
      <c r="AD791" s="1229"/>
      <c r="AE791" s="1229"/>
      <c r="AF791" s="1274"/>
      <c r="AG791" s="1274"/>
      <c r="AH791" s="1229"/>
      <c r="AI791" s="1229"/>
      <c r="AJ791" s="1229"/>
      <c r="AK791" s="1229"/>
      <c r="AL791" s="1274"/>
      <c r="AM791" s="1274"/>
      <c r="AN791" s="1229"/>
      <c r="AO791" s="1229"/>
      <c r="AP791" s="1229"/>
      <c r="AQ791" s="1229"/>
      <c r="AR791" s="1274"/>
      <c r="AS791" s="1274"/>
      <c r="AT791" s="1229"/>
      <c r="AU791" s="1229"/>
      <c r="AV791" s="1229"/>
      <c r="AW791" s="1229"/>
      <c r="AX791" s="1274"/>
      <c r="AY791" s="1274"/>
      <c r="AZ791" s="1229"/>
      <c r="BA791" s="1229"/>
      <c r="BB791" s="1229"/>
      <c r="BC791" s="1229"/>
      <c r="BD791" s="1274"/>
      <c r="BE791" s="1274"/>
      <c r="BF791" s="1229"/>
      <c r="BG791" s="1229"/>
      <c r="BH791" s="1229"/>
      <c r="BI791" s="1222"/>
      <c r="BJ791" s="1350"/>
      <c r="BK791" s="1350"/>
      <c r="BL791" s="1222"/>
      <c r="BM791" s="1222"/>
      <c r="BN791" s="1222"/>
      <c r="BO791" s="1222"/>
    </row>
    <row r="792">
      <c r="A792" s="1222"/>
      <c r="B792" s="1229"/>
      <c r="C792" s="1349"/>
      <c r="D792" s="1229"/>
      <c r="E792" s="1229"/>
      <c r="F792" s="1229"/>
      <c r="G792" s="1229"/>
      <c r="H792" s="1229"/>
      <c r="I792" s="1229"/>
      <c r="J792" s="1229"/>
      <c r="K792" s="1229"/>
      <c r="L792" s="1229"/>
      <c r="M792" s="1229"/>
      <c r="N792" s="1274"/>
      <c r="O792" s="1274"/>
      <c r="P792" s="1229"/>
      <c r="Q792" s="1229"/>
      <c r="R792" s="1229"/>
      <c r="S792" s="1229"/>
      <c r="T792" s="1274"/>
      <c r="U792" s="1274"/>
      <c r="V792" s="1229"/>
      <c r="W792" s="1229"/>
      <c r="X792" s="1229"/>
      <c r="Y792" s="1229"/>
      <c r="Z792" s="1274"/>
      <c r="AA792" s="1274"/>
      <c r="AB792" s="1229"/>
      <c r="AC792" s="1229"/>
      <c r="AD792" s="1229"/>
      <c r="AE792" s="1229"/>
      <c r="AF792" s="1274"/>
      <c r="AG792" s="1274"/>
      <c r="AH792" s="1229"/>
      <c r="AI792" s="1229"/>
      <c r="AJ792" s="1229"/>
      <c r="AK792" s="1229"/>
      <c r="AL792" s="1274"/>
      <c r="AM792" s="1274"/>
      <c r="AN792" s="1229"/>
      <c r="AO792" s="1229"/>
      <c r="AP792" s="1229"/>
      <c r="AQ792" s="1229"/>
      <c r="AR792" s="1274"/>
      <c r="AS792" s="1274"/>
      <c r="AT792" s="1229"/>
      <c r="AU792" s="1229"/>
      <c r="AV792" s="1229"/>
      <c r="AW792" s="1229"/>
      <c r="AX792" s="1274"/>
      <c r="AY792" s="1274"/>
      <c r="AZ792" s="1229"/>
      <c r="BA792" s="1229"/>
      <c r="BB792" s="1229"/>
      <c r="BC792" s="1229"/>
      <c r="BD792" s="1274"/>
      <c r="BE792" s="1274"/>
      <c r="BF792" s="1229"/>
      <c r="BG792" s="1229"/>
      <c r="BH792" s="1229"/>
      <c r="BI792" s="1222"/>
      <c r="BJ792" s="1350"/>
      <c r="BK792" s="1350"/>
      <c r="BL792" s="1222"/>
      <c r="BM792" s="1222"/>
      <c r="BN792" s="1222"/>
      <c r="BO792" s="1222"/>
    </row>
    <row r="793">
      <c r="A793" s="1222"/>
      <c r="B793" s="1229"/>
      <c r="C793" s="1349"/>
      <c r="D793" s="1229"/>
      <c r="E793" s="1229"/>
      <c r="F793" s="1229"/>
      <c r="G793" s="1229"/>
      <c r="H793" s="1229"/>
      <c r="I793" s="1229"/>
      <c r="J793" s="1229"/>
      <c r="K793" s="1229"/>
      <c r="L793" s="1229"/>
      <c r="M793" s="1229"/>
      <c r="N793" s="1274"/>
      <c r="O793" s="1274"/>
      <c r="P793" s="1229"/>
      <c r="Q793" s="1229"/>
      <c r="R793" s="1229"/>
      <c r="S793" s="1229"/>
      <c r="T793" s="1274"/>
      <c r="U793" s="1274"/>
      <c r="V793" s="1229"/>
      <c r="W793" s="1229"/>
      <c r="X793" s="1229"/>
      <c r="Y793" s="1229"/>
      <c r="Z793" s="1274"/>
      <c r="AA793" s="1274"/>
      <c r="AB793" s="1229"/>
      <c r="AC793" s="1229"/>
      <c r="AD793" s="1229"/>
      <c r="AE793" s="1229"/>
      <c r="AF793" s="1274"/>
      <c r="AG793" s="1274"/>
      <c r="AH793" s="1229"/>
      <c r="AI793" s="1229"/>
      <c r="AJ793" s="1229"/>
      <c r="AK793" s="1229"/>
      <c r="AL793" s="1274"/>
      <c r="AM793" s="1274"/>
      <c r="AN793" s="1229"/>
      <c r="AO793" s="1229"/>
      <c r="AP793" s="1229"/>
      <c r="AQ793" s="1229"/>
      <c r="AR793" s="1274"/>
      <c r="AS793" s="1274"/>
      <c r="AT793" s="1229"/>
      <c r="AU793" s="1229"/>
      <c r="AV793" s="1229"/>
      <c r="AW793" s="1229"/>
      <c r="AX793" s="1274"/>
      <c r="AY793" s="1274"/>
      <c r="AZ793" s="1229"/>
      <c r="BA793" s="1229"/>
      <c r="BB793" s="1229"/>
      <c r="BC793" s="1229"/>
      <c r="BD793" s="1274"/>
      <c r="BE793" s="1274"/>
      <c r="BF793" s="1229"/>
      <c r="BG793" s="1229"/>
      <c r="BH793" s="1229"/>
      <c r="BI793" s="1222"/>
      <c r="BJ793" s="1350"/>
      <c r="BK793" s="1350"/>
      <c r="BL793" s="1222"/>
      <c r="BM793" s="1222"/>
      <c r="BN793" s="1222"/>
      <c r="BO793" s="1222"/>
    </row>
    <row r="794">
      <c r="A794" s="1222"/>
      <c r="B794" s="1229"/>
      <c r="C794" s="1349"/>
      <c r="D794" s="1229"/>
      <c r="E794" s="1229"/>
      <c r="F794" s="1229"/>
      <c r="G794" s="1229"/>
      <c r="H794" s="1229"/>
      <c r="I794" s="1229"/>
      <c r="J794" s="1229"/>
      <c r="K794" s="1229"/>
      <c r="L794" s="1229"/>
      <c r="M794" s="1229"/>
      <c r="N794" s="1274"/>
      <c r="O794" s="1274"/>
      <c r="P794" s="1229"/>
      <c r="Q794" s="1229"/>
      <c r="R794" s="1229"/>
      <c r="S794" s="1229"/>
      <c r="T794" s="1274"/>
      <c r="U794" s="1274"/>
      <c r="V794" s="1229"/>
      <c r="W794" s="1229"/>
      <c r="X794" s="1229"/>
      <c r="Y794" s="1229"/>
      <c r="Z794" s="1274"/>
      <c r="AA794" s="1274"/>
      <c r="AB794" s="1229"/>
      <c r="AC794" s="1229"/>
      <c r="AD794" s="1229"/>
      <c r="AE794" s="1229"/>
      <c r="AF794" s="1274"/>
      <c r="AG794" s="1274"/>
      <c r="AH794" s="1229"/>
      <c r="AI794" s="1229"/>
      <c r="AJ794" s="1229"/>
      <c r="AK794" s="1229"/>
      <c r="AL794" s="1274"/>
      <c r="AM794" s="1274"/>
      <c r="AN794" s="1229"/>
      <c r="AO794" s="1229"/>
      <c r="AP794" s="1229"/>
      <c r="AQ794" s="1229"/>
      <c r="AR794" s="1274"/>
      <c r="AS794" s="1274"/>
      <c r="AT794" s="1229"/>
      <c r="AU794" s="1229"/>
      <c r="AV794" s="1229"/>
      <c r="AW794" s="1229"/>
      <c r="AX794" s="1274"/>
      <c r="AY794" s="1274"/>
      <c r="AZ794" s="1229"/>
      <c r="BA794" s="1229"/>
      <c r="BB794" s="1229"/>
      <c r="BC794" s="1229"/>
      <c r="BD794" s="1274"/>
      <c r="BE794" s="1274"/>
      <c r="BF794" s="1229"/>
      <c r="BG794" s="1229"/>
      <c r="BH794" s="1229"/>
      <c r="BI794" s="1222"/>
      <c r="BJ794" s="1350"/>
      <c r="BK794" s="1350"/>
      <c r="BL794" s="1222"/>
      <c r="BM794" s="1222"/>
      <c r="BN794" s="1222"/>
      <c r="BO794" s="1222"/>
    </row>
    <row r="795">
      <c r="A795" s="1222"/>
      <c r="B795" s="1229"/>
      <c r="C795" s="1349"/>
      <c r="D795" s="1229"/>
      <c r="E795" s="1229"/>
      <c r="F795" s="1229"/>
      <c r="G795" s="1229"/>
      <c r="H795" s="1229"/>
      <c r="I795" s="1229"/>
      <c r="J795" s="1229"/>
      <c r="K795" s="1229"/>
      <c r="L795" s="1229"/>
      <c r="M795" s="1229"/>
      <c r="N795" s="1274"/>
      <c r="O795" s="1274"/>
      <c r="P795" s="1229"/>
      <c r="Q795" s="1229"/>
      <c r="R795" s="1229"/>
      <c r="S795" s="1229"/>
      <c r="T795" s="1274"/>
      <c r="U795" s="1274"/>
      <c r="V795" s="1229"/>
      <c r="W795" s="1229"/>
      <c r="X795" s="1229"/>
      <c r="Y795" s="1229"/>
      <c r="Z795" s="1274"/>
      <c r="AA795" s="1274"/>
      <c r="AB795" s="1229"/>
      <c r="AC795" s="1229"/>
      <c r="AD795" s="1229"/>
      <c r="AE795" s="1229"/>
      <c r="AF795" s="1274"/>
      <c r="AG795" s="1274"/>
      <c r="AH795" s="1229"/>
      <c r="AI795" s="1229"/>
      <c r="AJ795" s="1229"/>
      <c r="AK795" s="1229"/>
      <c r="AL795" s="1274"/>
      <c r="AM795" s="1274"/>
      <c r="AN795" s="1229"/>
      <c r="AO795" s="1229"/>
      <c r="AP795" s="1229"/>
      <c r="AQ795" s="1229"/>
      <c r="AR795" s="1274"/>
      <c r="AS795" s="1274"/>
      <c r="AT795" s="1229"/>
      <c r="AU795" s="1229"/>
      <c r="AV795" s="1229"/>
      <c r="AW795" s="1229"/>
      <c r="AX795" s="1274"/>
      <c r="AY795" s="1274"/>
      <c r="AZ795" s="1229"/>
      <c r="BA795" s="1229"/>
      <c r="BB795" s="1229"/>
      <c r="BC795" s="1229"/>
      <c r="BD795" s="1274"/>
      <c r="BE795" s="1274"/>
      <c r="BF795" s="1229"/>
      <c r="BG795" s="1229"/>
      <c r="BH795" s="1229"/>
      <c r="BI795" s="1222"/>
      <c r="BJ795" s="1350"/>
      <c r="BK795" s="1350"/>
      <c r="BL795" s="1222"/>
      <c r="BM795" s="1222"/>
      <c r="BN795" s="1222"/>
      <c r="BO795" s="1222"/>
    </row>
    <row r="796">
      <c r="A796" s="1222"/>
      <c r="B796" s="1229"/>
      <c r="C796" s="1349"/>
      <c r="D796" s="1229"/>
      <c r="E796" s="1229"/>
      <c r="F796" s="1229"/>
      <c r="G796" s="1229"/>
      <c r="H796" s="1229"/>
      <c r="I796" s="1229"/>
      <c r="J796" s="1229"/>
      <c r="K796" s="1229"/>
      <c r="L796" s="1229"/>
      <c r="M796" s="1229"/>
      <c r="N796" s="1274"/>
      <c r="O796" s="1274"/>
      <c r="P796" s="1229"/>
      <c r="Q796" s="1229"/>
      <c r="R796" s="1229"/>
      <c r="S796" s="1229"/>
      <c r="T796" s="1274"/>
      <c r="U796" s="1274"/>
      <c r="V796" s="1229"/>
      <c r="W796" s="1229"/>
      <c r="X796" s="1229"/>
      <c r="Y796" s="1229"/>
      <c r="Z796" s="1274"/>
      <c r="AA796" s="1274"/>
      <c r="AB796" s="1229"/>
      <c r="AC796" s="1229"/>
      <c r="AD796" s="1229"/>
      <c r="AE796" s="1229"/>
      <c r="AF796" s="1274"/>
      <c r="AG796" s="1274"/>
      <c r="AH796" s="1229"/>
      <c r="AI796" s="1229"/>
      <c r="AJ796" s="1229"/>
      <c r="AK796" s="1229"/>
      <c r="AL796" s="1274"/>
      <c r="AM796" s="1274"/>
      <c r="AN796" s="1229"/>
      <c r="AO796" s="1229"/>
      <c r="AP796" s="1229"/>
      <c r="AQ796" s="1229"/>
      <c r="AR796" s="1274"/>
      <c r="AS796" s="1274"/>
      <c r="AT796" s="1229"/>
      <c r="AU796" s="1229"/>
      <c r="AV796" s="1229"/>
      <c r="AW796" s="1229"/>
      <c r="AX796" s="1274"/>
      <c r="AY796" s="1274"/>
      <c r="AZ796" s="1229"/>
      <c r="BA796" s="1229"/>
      <c r="BB796" s="1229"/>
      <c r="BC796" s="1229"/>
      <c r="BD796" s="1274"/>
      <c r="BE796" s="1274"/>
      <c r="BF796" s="1229"/>
      <c r="BG796" s="1229"/>
      <c r="BH796" s="1229"/>
      <c r="BI796" s="1222"/>
      <c r="BJ796" s="1350"/>
      <c r="BK796" s="1350"/>
      <c r="BL796" s="1222"/>
      <c r="BM796" s="1222"/>
      <c r="BN796" s="1222"/>
      <c r="BO796" s="1222"/>
    </row>
    <row r="797">
      <c r="A797" s="1222"/>
      <c r="B797" s="1229"/>
      <c r="C797" s="1349"/>
      <c r="D797" s="1229"/>
      <c r="E797" s="1229"/>
      <c r="F797" s="1229"/>
      <c r="G797" s="1229"/>
      <c r="H797" s="1229"/>
      <c r="I797" s="1229"/>
      <c r="J797" s="1229"/>
      <c r="K797" s="1229"/>
      <c r="L797" s="1229"/>
      <c r="M797" s="1229"/>
      <c r="N797" s="1274"/>
      <c r="O797" s="1274"/>
      <c r="P797" s="1229"/>
      <c r="Q797" s="1229"/>
      <c r="R797" s="1229"/>
      <c r="S797" s="1229"/>
      <c r="T797" s="1274"/>
      <c r="U797" s="1274"/>
      <c r="V797" s="1229"/>
      <c r="W797" s="1229"/>
      <c r="X797" s="1229"/>
      <c r="Y797" s="1229"/>
      <c r="Z797" s="1274"/>
      <c r="AA797" s="1274"/>
      <c r="AB797" s="1229"/>
      <c r="AC797" s="1229"/>
      <c r="AD797" s="1229"/>
      <c r="AE797" s="1229"/>
      <c r="AF797" s="1274"/>
      <c r="AG797" s="1274"/>
      <c r="AH797" s="1229"/>
      <c r="AI797" s="1229"/>
      <c r="AJ797" s="1229"/>
      <c r="AK797" s="1229"/>
      <c r="AL797" s="1274"/>
      <c r="AM797" s="1274"/>
      <c r="AN797" s="1229"/>
      <c r="AO797" s="1229"/>
      <c r="AP797" s="1229"/>
      <c r="AQ797" s="1229"/>
      <c r="AR797" s="1274"/>
      <c r="AS797" s="1274"/>
      <c r="AT797" s="1229"/>
      <c r="AU797" s="1229"/>
      <c r="AV797" s="1229"/>
      <c r="AW797" s="1229"/>
      <c r="AX797" s="1274"/>
      <c r="AY797" s="1274"/>
      <c r="AZ797" s="1229"/>
      <c r="BA797" s="1229"/>
      <c r="BB797" s="1229"/>
      <c r="BC797" s="1229"/>
      <c r="BD797" s="1274"/>
      <c r="BE797" s="1274"/>
      <c r="BF797" s="1229"/>
      <c r="BG797" s="1229"/>
      <c r="BH797" s="1229"/>
      <c r="BI797" s="1222"/>
      <c r="BJ797" s="1350"/>
      <c r="BK797" s="1350"/>
      <c r="BL797" s="1222"/>
      <c r="BM797" s="1222"/>
      <c r="BN797" s="1222"/>
      <c r="BO797" s="1222"/>
    </row>
    <row r="798">
      <c r="A798" s="1222"/>
      <c r="B798" s="1229"/>
      <c r="C798" s="1349"/>
      <c r="D798" s="1229"/>
      <c r="E798" s="1229"/>
      <c r="F798" s="1229"/>
      <c r="G798" s="1229"/>
      <c r="H798" s="1229"/>
      <c r="I798" s="1229"/>
      <c r="J798" s="1229"/>
      <c r="K798" s="1229"/>
      <c r="L798" s="1229"/>
      <c r="M798" s="1229"/>
      <c r="N798" s="1274"/>
      <c r="O798" s="1274"/>
      <c r="P798" s="1229"/>
      <c r="Q798" s="1229"/>
      <c r="R798" s="1229"/>
      <c r="S798" s="1229"/>
      <c r="T798" s="1274"/>
      <c r="U798" s="1274"/>
      <c r="V798" s="1229"/>
      <c r="W798" s="1229"/>
      <c r="X798" s="1229"/>
      <c r="Y798" s="1229"/>
      <c r="Z798" s="1274"/>
      <c r="AA798" s="1274"/>
      <c r="AB798" s="1229"/>
      <c r="AC798" s="1229"/>
      <c r="AD798" s="1229"/>
      <c r="AE798" s="1229"/>
      <c r="AF798" s="1274"/>
      <c r="AG798" s="1274"/>
      <c r="AH798" s="1229"/>
      <c r="AI798" s="1229"/>
      <c r="AJ798" s="1229"/>
      <c r="AK798" s="1229"/>
      <c r="AL798" s="1274"/>
      <c r="AM798" s="1274"/>
      <c r="AN798" s="1229"/>
      <c r="AO798" s="1229"/>
      <c r="AP798" s="1229"/>
      <c r="AQ798" s="1229"/>
      <c r="AR798" s="1274"/>
      <c r="AS798" s="1274"/>
      <c r="AT798" s="1229"/>
      <c r="AU798" s="1229"/>
      <c r="AV798" s="1229"/>
      <c r="AW798" s="1229"/>
      <c r="AX798" s="1274"/>
      <c r="AY798" s="1274"/>
      <c r="AZ798" s="1229"/>
      <c r="BA798" s="1229"/>
      <c r="BB798" s="1229"/>
      <c r="BC798" s="1229"/>
      <c r="BD798" s="1274"/>
      <c r="BE798" s="1274"/>
      <c r="BF798" s="1229"/>
      <c r="BG798" s="1229"/>
      <c r="BH798" s="1229"/>
      <c r="BI798" s="1222"/>
      <c r="BJ798" s="1350"/>
      <c r="BK798" s="1350"/>
      <c r="BL798" s="1222"/>
      <c r="BM798" s="1222"/>
      <c r="BN798" s="1222"/>
      <c r="BO798" s="1222"/>
    </row>
    <row r="799">
      <c r="A799" s="1222"/>
      <c r="B799" s="1229"/>
      <c r="C799" s="1349"/>
      <c r="D799" s="1229"/>
      <c r="E799" s="1229"/>
      <c r="F799" s="1229"/>
      <c r="G799" s="1229"/>
      <c r="H799" s="1229"/>
      <c r="I799" s="1229"/>
      <c r="J799" s="1229"/>
      <c r="K799" s="1229"/>
      <c r="L799" s="1229"/>
      <c r="M799" s="1229"/>
      <c r="N799" s="1274"/>
      <c r="O799" s="1274"/>
      <c r="P799" s="1229"/>
      <c r="Q799" s="1229"/>
      <c r="R799" s="1229"/>
      <c r="S799" s="1229"/>
      <c r="T799" s="1274"/>
      <c r="U799" s="1274"/>
      <c r="V799" s="1229"/>
      <c r="W799" s="1229"/>
      <c r="X799" s="1229"/>
      <c r="Y799" s="1229"/>
      <c r="Z799" s="1274"/>
      <c r="AA799" s="1274"/>
      <c r="AB799" s="1229"/>
      <c r="AC799" s="1229"/>
      <c r="AD799" s="1229"/>
      <c r="AE799" s="1229"/>
      <c r="AF799" s="1274"/>
      <c r="AG799" s="1274"/>
      <c r="AH799" s="1229"/>
      <c r="AI799" s="1229"/>
      <c r="AJ799" s="1229"/>
      <c r="AK799" s="1229"/>
      <c r="AL799" s="1274"/>
      <c r="AM799" s="1274"/>
      <c r="AN799" s="1229"/>
      <c r="AO799" s="1229"/>
      <c r="AP799" s="1229"/>
      <c r="AQ799" s="1229"/>
      <c r="AR799" s="1274"/>
      <c r="AS799" s="1274"/>
      <c r="AT799" s="1229"/>
      <c r="AU799" s="1229"/>
      <c r="AV799" s="1229"/>
      <c r="AW799" s="1229"/>
      <c r="AX799" s="1274"/>
      <c r="AY799" s="1274"/>
      <c r="AZ799" s="1229"/>
      <c r="BA799" s="1229"/>
      <c r="BB799" s="1229"/>
      <c r="BC799" s="1229"/>
      <c r="BD799" s="1274"/>
      <c r="BE799" s="1274"/>
      <c r="BF799" s="1229"/>
      <c r="BG799" s="1229"/>
      <c r="BH799" s="1229"/>
      <c r="BI799" s="1222"/>
      <c r="BJ799" s="1350"/>
      <c r="BK799" s="1350"/>
      <c r="BL799" s="1222"/>
      <c r="BM799" s="1222"/>
      <c r="BN799" s="1222"/>
      <c r="BO799" s="1222"/>
    </row>
    <row r="800">
      <c r="A800" s="1222"/>
      <c r="B800" s="1229"/>
      <c r="C800" s="1349"/>
      <c r="D800" s="1229"/>
      <c r="E800" s="1229"/>
      <c r="F800" s="1229"/>
      <c r="G800" s="1229"/>
      <c r="H800" s="1229"/>
      <c r="I800" s="1229"/>
      <c r="J800" s="1229"/>
      <c r="K800" s="1229"/>
      <c r="L800" s="1229"/>
      <c r="M800" s="1229"/>
      <c r="N800" s="1274"/>
      <c r="O800" s="1274"/>
      <c r="P800" s="1229"/>
      <c r="Q800" s="1229"/>
      <c r="R800" s="1229"/>
      <c r="S800" s="1229"/>
      <c r="T800" s="1274"/>
      <c r="U800" s="1274"/>
      <c r="V800" s="1229"/>
      <c r="W800" s="1229"/>
      <c r="X800" s="1229"/>
      <c r="Y800" s="1229"/>
      <c r="Z800" s="1274"/>
      <c r="AA800" s="1274"/>
      <c r="AB800" s="1229"/>
      <c r="AC800" s="1229"/>
      <c r="AD800" s="1229"/>
      <c r="AE800" s="1229"/>
      <c r="AF800" s="1274"/>
      <c r="AG800" s="1274"/>
      <c r="AH800" s="1229"/>
      <c r="AI800" s="1229"/>
      <c r="AJ800" s="1229"/>
      <c r="AK800" s="1229"/>
      <c r="AL800" s="1274"/>
      <c r="AM800" s="1274"/>
      <c r="AN800" s="1229"/>
      <c r="AO800" s="1229"/>
      <c r="AP800" s="1229"/>
      <c r="AQ800" s="1229"/>
      <c r="AR800" s="1274"/>
      <c r="AS800" s="1274"/>
      <c r="AT800" s="1229"/>
      <c r="AU800" s="1229"/>
      <c r="AV800" s="1229"/>
      <c r="AW800" s="1229"/>
      <c r="AX800" s="1274"/>
      <c r="AY800" s="1274"/>
      <c r="AZ800" s="1229"/>
      <c r="BA800" s="1229"/>
      <c r="BB800" s="1229"/>
      <c r="BC800" s="1229"/>
      <c r="BD800" s="1274"/>
      <c r="BE800" s="1274"/>
      <c r="BF800" s="1229"/>
      <c r="BG800" s="1229"/>
      <c r="BH800" s="1229"/>
      <c r="BI800" s="1222"/>
      <c r="BJ800" s="1350"/>
      <c r="BK800" s="1350"/>
      <c r="BL800" s="1222"/>
      <c r="BM800" s="1222"/>
      <c r="BN800" s="1222"/>
      <c r="BO800" s="1222"/>
    </row>
    <row r="801">
      <c r="A801" s="1222"/>
      <c r="B801" s="1229"/>
      <c r="C801" s="1349"/>
      <c r="D801" s="1229"/>
      <c r="E801" s="1229"/>
      <c r="F801" s="1229"/>
      <c r="G801" s="1229"/>
      <c r="H801" s="1229"/>
      <c r="I801" s="1229"/>
      <c r="J801" s="1229"/>
      <c r="K801" s="1229"/>
      <c r="L801" s="1229"/>
      <c r="M801" s="1229"/>
      <c r="N801" s="1274"/>
      <c r="O801" s="1274"/>
      <c r="P801" s="1229"/>
      <c r="Q801" s="1229"/>
      <c r="R801" s="1229"/>
      <c r="S801" s="1229"/>
      <c r="T801" s="1274"/>
      <c r="U801" s="1274"/>
      <c r="V801" s="1229"/>
      <c r="W801" s="1229"/>
      <c r="X801" s="1229"/>
      <c r="Y801" s="1229"/>
      <c r="Z801" s="1274"/>
      <c r="AA801" s="1274"/>
      <c r="AB801" s="1229"/>
      <c r="AC801" s="1229"/>
      <c r="AD801" s="1229"/>
      <c r="AE801" s="1229"/>
      <c r="AF801" s="1274"/>
      <c r="AG801" s="1274"/>
      <c r="AH801" s="1229"/>
      <c r="AI801" s="1229"/>
      <c r="AJ801" s="1229"/>
      <c r="AK801" s="1229"/>
      <c r="AL801" s="1274"/>
      <c r="AM801" s="1274"/>
      <c r="AN801" s="1229"/>
      <c r="AO801" s="1229"/>
      <c r="AP801" s="1229"/>
      <c r="AQ801" s="1229"/>
      <c r="AR801" s="1274"/>
      <c r="AS801" s="1274"/>
      <c r="AT801" s="1229"/>
      <c r="AU801" s="1229"/>
      <c r="AV801" s="1229"/>
      <c r="AW801" s="1229"/>
      <c r="AX801" s="1274"/>
      <c r="AY801" s="1274"/>
      <c r="AZ801" s="1229"/>
      <c r="BA801" s="1229"/>
      <c r="BB801" s="1229"/>
      <c r="BC801" s="1229"/>
      <c r="BD801" s="1274"/>
      <c r="BE801" s="1274"/>
      <c r="BF801" s="1229"/>
      <c r="BG801" s="1229"/>
      <c r="BH801" s="1229"/>
      <c r="BI801" s="1222"/>
      <c r="BJ801" s="1350"/>
      <c r="BK801" s="1350"/>
      <c r="BL801" s="1222"/>
      <c r="BM801" s="1222"/>
      <c r="BN801" s="1222"/>
      <c r="BO801" s="1222"/>
    </row>
    <row r="802">
      <c r="A802" s="1222"/>
      <c r="B802" s="1229"/>
      <c r="C802" s="1349"/>
      <c r="D802" s="1229"/>
      <c r="E802" s="1229"/>
      <c r="F802" s="1229"/>
      <c r="G802" s="1229"/>
      <c r="H802" s="1229"/>
      <c r="I802" s="1229"/>
      <c r="J802" s="1229"/>
      <c r="K802" s="1229"/>
      <c r="L802" s="1229"/>
      <c r="M802" s="1229"/>
      <c r="N802" s="1274"/>
      <c r="O802" s="1274"/>
      <c r="P802" s="1229"/>
      <c r="Q802" s="1229"/>
      <c r="R802" s="1229"/>
      <c r="S802" s="1229"/>
      <c r="T802" s="1274"/>
      <c r="U802" s="1274"/>
      <c r="V802" s="1229"/>
      <c r="W802" s="1229"/>
      <c r="X802" s="1229"/>
      <c r="Y802" s="1229"/>
      <c r="Z802" s="1274"/>
      <c r="AA802" s="1274"/>
      <c r="AB802" s="1229"/>
      <c r="AC802" s="1229"/>
      <c r="AD802" s="1229"/>
      <c r="AE802" s="1229"/>
      <c r="AF802" s="1274"/>
      <c r="AG802" s="1274"/>
      <c r="AH802" s="1229"/>
      <c r="AI802" s="1229"/>
      <c r="AJ802" s="1229"/>
      <c r="AK802" s="1229"/>
      <c r="AL802" s="1274"/>
      <c r="AM802" s="1274"/>
      <c r="AN802" s="1229"/>
      <c r="AO802" s="1229"/>
      <c r="AP802" s="1229"/>
      <c r="AQ802" s="1229"/>
      <c r="AR802" s="1274"/>
      <c r="AS802" s="1274"/>
      <c r="AT802" s="1229"/>
      <c r="AU802" s="1229"/>
      <c r="AV802" s="1229"/>
      <c r="AW802" s="1229"/>
      <c r="AX802" s="1274"/>
      <c r="AY802" s="1274"/>
      <c r="AZ802" s="1229"/>
      <c r="BA802" s="1229"/>
      <c r="BB802" s="1229"/>
      <c r="BC802" s="1229"/>
      <c r="BD802" s="1274"/>
      <c r="BE802" s="1274"/>
      <c r="BF802" s="1229"/>
      <c r="BG802" s="1229"/>
      <c r="BH802" s="1229"/>
      <c r="BI802" s="1222"/>
      <c r="BJ802" s="1350"/>
      <c r="BK802" s="1350"/>
      <c r="BL802" s="1222"/>
      <c r="BM802" s="1222"/>
      <c r="BN802" s="1222"/>
      <c r="BO802" s="1222"/>
    </row>
    <row r="803">
      <c r="A803" s="1222"/>
      <c r="B803" s="1229"/>
      <c r="C803" s="1349"/>
      <c r="D803" s="1229"/>
      <c r="E803" s="1229"/>
      <c r="F803" s="1229"/>
      <c r="G803" s="1229"/>
      <c r="H803" s="1229"/>
      <c r="I803" s="1229"/>
      <c r="J803" s="1229"/>
      <c r="K803" s="1229"/>
      <c r="L803" s="1229"/>
      <c r="M803" s="1229"/>
      <c r="N803" s="1274"/>
      <c r="O803" s="1274"/>
      <c r="P803" s="1229"/>
      <c r="Q803" s="1229"/>
      <c r="R803" s="1229"/>
      <c r="S803" s="1229"/>
      <c r="T803" s="1274"/>
      <c r="U803" s="1274"/>
      <c r="V803" s="1229"/>
      <c r="W803" s="1229"/>
      <c r="X803" s="1229"/>
      <c r="Y803" s="1229"/>
      <c r="Z803" s="1274"/>
      <c r="AA803" s="1274"/>
      <c r="AB803" s="1229"/>
      <c r="AC803" s="1229"/>
      <c r="AD803" s="1229"/>
      <c r="AE803" s="1229"/>
      <c r="AF803" s="1274"/>
      <c r="AG803" s="1274"/>
      <c r="AH803" s="1229"/>
      <c r="AI803" s="1229"/>
      <c r="AJ803" s="1229"/>
      <c r="AK803" s="1229"/>
      <c r="AL803" s="1274"/>
      <c r="AM803" s="1274"/>
      <c r="AN803" s="1229"/>
      <c r="AO803" s="1229"/>
      <c r="AP803" s="1229"/>
      <c r="AQ803" s="1229"/>
      <c r="AR803" s="1274"/>
      <c r="AS803" s="1274"/>
      <c r="AT803" s="1229"/>
      <c r="AU803" s="1229"/>
      <c r="AV803" s="1229"/>
      <c r="AW803" s="1229"/>
      <c r="AX803" s="1274"/>
      <c r="AY803" s="1274"/>
      <c r="AZ803" s="1229"/>
      <c r="BA803" s="1229"/>
      <c r="BB803" s="1229"/>
      <c r="BC803" s="1229"/>
      <c r="BD803" s="1274"/>
      <c r="BE803" s="1274"/>
      <c r="BF803" s="1229"/>
      <c r="BG803" s="1229"/>
      <c r="BH803" s="1229"/>
      <c r="BI803" s="1222"/>
      <c r="BJ803" s="1350"/>
      <c r="BK803" s="1350"/>
      <c r="BL803" s="1222"/>
      <c r="BM803" s="1222"/>
      <c r="BN803" s="1222"/>
      <c r="BO803" s="1222"/>
    </row>
    <row r="804">
      <c r="A804" s="1222"/>
      <c r="B804" s="1229"/>
      <c r="C804" s="1349"/>
      <c r="D804" s="1229"/>
      <c r="E804" s="1229"/>
      <c r="F804" s="1229"/>
      <c r="G804" s="1229"/>
      <c r="H804" s="1229"/>
      <c r="I804" s="1229"/>
      <c r="J804" s="1229"/>
      <c r="K804" s="1229"/>
      <c r="L804" s="1229"/>
      <c r="M804" s="1229"/>
      <c r="N804" s="1274"/>
      <c r="O804" s="1274"/>
      <c r="P804" s="1229"/>
      <c r="Q804" s="1229"/>
      <c r="R804" s="1229"/>
      <c r="S804" s="1229"/>
      <c r="T804" s="1274"/>
      <c r="U804" s="1274"/>
      <c r="V804" s="1229"/>
      <c r="W804" s="1229"/>
      <c r="X804" s="1229"/>
      <c r="Y804" s="1229"/>
      <c r="Z804" s="1274"/>
      <c r="AA804" s="1274"/>
      <c r="AB804" s="1229"/>
      <c r="AC804" s="1229"/>
      <c r="AD804" s="1229"/>
      <c r="AE804" s="1229"/>
      <c r="AF804" s="1274"/>
      <c r="AG804" s="1274"/>
      <c r="AH804" s="1229"/>
      <c r="AI804" s="1229"/>
      <c r="AJ804" s="1229"/>
      <c r="AK804" s="1229"/>
      <c r="AL804" s="1274"/>
      <c r="AM804" s="1274"/>
      <c r="AN804" s="1229"/>
      <c r="AO804" s="1229"/>
      <c r="AP804" s="1229"/>
      <c r="AQ804" s="1229"/>
      <c r="AR804" s="1274"/>
      <c r="AS804" s="1274"/>
      <c r="AT804" s="1229"/>
      <c r="AU804" s="1229"/>
      <c r="AV804" s="1229"/>
      <c r="AW804" s="1229"/>
      <c r="AX804" s="1274"/>
      <c r="AY804" s="1274"/>
      <c r="AZ804" s="1229"/>
      <c r="BA804" s="1229"/>
      <c r="BB804" s="1229"/>
      <c r="BC804" s="1229"/>
      <c r="BD804" s="1274"/>
      <c r="BE804" s="1274"/>
      <c r="BF804" s="1229"/>
      <c r="BG804" s="1229"/>
      <c r="BH804" s="1229"/>
      <c r="BI804" s="1222"/>
      <c r="BJ804" s="1350"/>
      <c r="BK804" s="1350"/>
      <c r="BL804" s="1222"/>
      <c r="BM804" s="1222"/>
      <c r="BN804" s="1222"/>
      <c r="BO804" s="1222"/>
    </row>
    <row r="805">
      <c r="A805" s="1222"/>
      <c r="B805" s="1229"/>
      <c r="C805" s="1349"/>
      <c r="D805" s="1229"/>
      <c r="E805" s="1229"/>
      <c r="F805" s="1229"/>
      <c r="G805" s="1229"/>
      <c r="H805" s="1229"/>
      <c r="I805" s="1229"/>
      <c r="J805" s="1229"/>
      <c r="K805" s="1229"/>
      <c r="L805" s="1229"/>
      <c r="M805" s="1229"/>
      <c r="N805" s="1274"/>
      <c r="O805" s="1274"/>
      <c r="P805" s="1229"/>
      <c r="Q805" s="1229"/>
      <c r="R805" s="1229"/>
      <c r="S805" s="1229"/>
      <c r="T805" s="1274"/>
      <c r="U805" s="1274"/>
      <c r="V805" s="1229"/>
      <c r="W805" s="1229"/>
      <c r="X805" s="1229"/>
      <c r="Y805" s="1229"/>
      <c r="Z805" s="1274"/>
      <c r="AA805" s="1274"/>
      <c r="AB805" s="1229"/>
      <c r="AC805" s="1229"/>
      <c r="AD805" s="1229"/>
      <c r="AE805" s="1229"/>
      <c r="AF805" s="1274"/>
      <c r="AG805" s="1274"/>
      <c r="AH805" s="1229"/>
      <c r="AI805" s="1229"/>
      <c r="AJ805" s="1229"/>
      <c r="AK805" s="1229"/>
      <c r="AL805" s="1274"/>
      <c r="AM805" s="1274"/>
      <c r="AN805" s="1229"/>
      <c r="AO805" s="1229"/>
      <c r="AP805" s="1229"/>
      <c r="AQ805" s="1229"/>
      <c r="AR805" s="1274"/>
      <c r="AS805" s="1274"/>
      <c r="AT805" s="1229"/>
      <c r="AU805" s="1229"/>
      <c r="AV805" s="1229"/>
      <c r="AW805" s="1229"/>
      <c r="AX805" s="1274"/>
      <c r="AY805" s="1274"/>
      <c r="AZ805" s="1229"/>
      <c r="BA805" s="1229"/>
      <c r="BB805" s="1229"/>
      <c r="BC805" s="1229"/>
      <c r="BD805" s="1274"/>
      <c r="BE805" s="1274"/>
      <c r="BF805" s="1229"/>
      <c r="BG805" s="1229"/>
      <c r="BH805" s="1229"/>
      <c r="BI805" s="1222"/>
      <c r="BJ805" s="1350"/>
      <c r="BK805" s="1350"/>
      <c r="BL805" s="1222"/>
      <c r="BM805" s="1222"/>
      <c r="BN805" s="1222"/>
      <c r="BO805" s="1222"/>
    </row>
    <row r="806">
      <c r="A806" s="1222"/>
      <c r="B806" s="1229"/>
      <c r="C806" s="1349"/>
      <c r="D806" s="1229"/>
      <c r="E806" s="1229"/>
      <c r="F806" s="1229"/>
      <c r="G806" s="1229"/>
      <c r="H806" s="1229"/>
      <c r="I806" s="1229"/>
      <c r="J806" s="1229"/>
      <c r="K806" s="1229"/>
      <c r="L806" s="1229"/>
      <c r="M806" s="1229"/>
      <c r="N806" s="1274"/>
      <c r="O806" s="1274"/>
      <c r="P806" s="1229"/>
      <c r="Q806" s="1229"/>
      <c r="R806" s="1229"/>
      <c r="S806" s="1229"/>
      <c r="T806" s="1274"/>
      <c r="U806" s="1274"/>
      <c r="V806" s="1229"/>
      <c r="W806" s="1229"/>
      <c r="X806" s="1229"/>
      <c r="Y806" s="1229"/>
      <c r="Z806" s="1274"/>
      <c r="AA806" s="1274"/>
      <c r="AB806" s="1229"/>
      <c r="AC806" s="1229"/>
      <c r="AD806" s="1229"/>
      <c r="AE806" s="1229"/>
      <c r="AF806" s="1274"/>
      <c r="AG806" s="1274"/>
      <c r="AH806" s="1229"/>
      <c r="AI806" s="1229"/>
      <c r="AJ806" s="1229"/>
      <c r="AK806" s="1229"/>
      <c r="AL806" s="1274"/>
      <c r="AM806" s="1274"/>
      <c r="AN806" s="1229"/>
      <c r="AO806" s="1229"/>
      <c r="AP806" s="1229"/>
      <c r="AQ806" s="1229"/>
      <c r="AR806" s="1274"/>
      <c r="AS806" s="1274"/>
      <c r="AT806" s="1229"/>
      <c r="AU806" s="1229"/>
      <c r="AV806" s="1229"/>
      <c r="AW806" s="1229"/>
      <c r="AX806" s="1274"/>
      <c r="AY806" s="1274"/>
      <c r="AZ806" s="1229"/>
      <c r="BA806" s="1229"/>
      <c r="BB806" s="1229"/>
      <c r="BC806" s="1229"/>
      <c r="BD806" s="1274"/>
      <c r="BE806" s="1274"/>
      <c r="BF806" s="1229"/>
      <c r="BG806" s="1229"/>
      <c r="BH806" s="1229"/>
      <c r="BI806" s="1222"/>
      <c r="BJ806" s="1350"/>
      <c r="BK806" s="1350"/>
      <c r="BL806" s="1222"/>
      <c r="BM806" s="1222"/>
      <c r="BN806" s="1222"/>
      <c r="BO806" s="1222"/>
    </row>
    <row r="807">
      <c r="A807" s="1222"/>
      <c r="B807" s="1229"/>
      <c r="C807" s="1349"/>
      <c r="D807" s="1229"/>
      <c r="E807" s="1229"/>
      <c r="F807" s="1229"/>
      <c r="G807" s="1229"/>
      <c r="H807" s="1229"/>
      <c r="I807" s="1229"/>
      <c r="J807" s="1229"/>
      <c r="K807" s="1229"/>
      <c r="L807" s="1229"/>
      <c r="M807" s="1229"/>
      <c r="N807" s="1274"/>
      <c r="O807" s="1274"/>
      <c r="P807" s="1229"/>
      <c r="Q807" s="1229"/>
      <c r="R807" s="1229"/>
      <c r="S807" s="1229"/>
      <c r="T807" s="1274"/>
      <c r="U807" s="1274"/>
      <c r="V807" s="1229"/>
      <c r="W807" s="1229"/>
      <c r="X807" s="1229"/>
      <c r="Y807" s="1229"/>
      <c r="Z807" s="1274"/>
      <c r="AA807" s="1274"/>
      <c r="AB807" s="1229"/>
      <c r="AC807" s="1229"/>
      <c r="AD807" s="1229"/>
      <c r="AE807" s="1229"/>
      <c r="AF807" s="1274"/>
      <c r="AG807" s="1274"/>
      <c r="AH807" s="1229"/>
      <c r="AI807" s="1229"/>
      <c r="AJ807" s="1229"/>
      <c r="AK807" s="1229"/>
      <c r="AL807" s="1274"/>
      <c r="AM807" s="1274"/>
      <c r="AN807" s="1229"/>
      <c r="AO807" s="1229"/>
      <c r="AP807" s="1229"/>
      <c r="AQ807" s="1229"/>
      <c r="AR807" s="1274"/>
      <c r="AS807" s="1274"/>
      <c r="AT807" s="1229"/>
      <c r="AU807" s="1229"/>
      <c r="AV807" s="1229"/>
      <c r="AW807" s="1229"/>
      <c r="AX807" s="1274"/>
      <c r="AY807" s="1274"/>
      <c r="AZ807" s="1229"/>
      <c r="BA807" s="1229"/>
      <c r="BB807" s="1229"/>
      <c r="BC807" s="1229"/>
      <c r="BD807" s="1274"/>
      <c r="BE807" s="1274"/>
      <c r="BF807" s="1229"/>
      <c r="BG807" s="1229"/>
      <c r="BH807" s="1229"/>
      <c r="BI807" s="1222"/>
      <c r="BJ807" s="1350"/>
      <c r="BK807" s="1350"/>
      <c r="BL807" s="1222"/>
      <c r="BM807" s="1222"/>
      <c r="BN807" s="1222"/>
      <c r="BO807" s="1222"/>
    </row>
    <row r="808">
      <c r="A808" s="1222"/>
      <c r="B808" s="1229"/>
      <c r="C808" s="1349"/>
      <c r="D808" s="1229"/>
      <c r="E808" s="1229"/>
      <c r="F808" s="1229"/>
      <c r="G808" s="1229"/>
      <c r="H808" s="1229"/>
      <c r="I808" s="1229"/>
      <c r="J808" s="1229"/>
      <c r="K808" s="1229"/>
      <c r="L808" s="1229"/>
      <c r="M808" s="1229"/>
      <c r="N808" s="1274"/>
      <c r="O808" s="1274"/>
      <c r="P808" s="1229"/>
      <c r="Q808" s="1229"/>
      <c r="R808" s="1229"/>
      <c r="S808" s="1229"/>
      <c r="T808" s="1274"/>
      <c r="U808" s="1274"/>
      <c r="V808" s="1229"/>
      <c r="W808" s="1229"/>
      <c r="X808" s="1229"/>
      <c r="Y808" s="1229"/>
      <c r="Z808" s="1274"/>
      <c r="AA808" s="1274"/>
      <c r="AB808" s="1229"/>
      <c r="AC808" s="1229"/>
      <c r="AD808" s="1229"/>
      <c r="AE808" s="1229"/>
      <c r="AF808" s="1274"/>
      <c r="AG808" s="1274"/>
      <c r="AH808" s="1229"/>
      <c r="AI808" s="1229"/>
      <c r="AJ808" s="1229"/>
      <c r="AK808" s="1229"/>
      <c r="AL808" s="1274"/>
      <c r="AM808" s="1274"/>
      <c r="AN808" s="1229"/>
      <c r="AO808" s="1229"/>
      <c r="AP808" s="1229"/>
      <c r="AQ808" s="1229"/>
      <c r="AR808" s="1274"/>
      <c r="AS808" s="1274"/>
      <c r="AT808" s="1229"/>
      <c r="AU808" s="1229"/>
      <c r="AV808" s="1229"/>
      <c r="AW808" s="1229"/>
      <c r="AX808" s="1274"/>
      <c r="AY808" s="1274"/>
      <c r="AZ808" s="1229"/>
      <c r="BA808" s="1229"/>
      <c r="BB808" s="1229"/>
      <c r="BC808" s="1229"/>
      <c r="BD808" s="1274"/>
      <c r="BE808" s="1274"/>
      <c r="BF808" s="1229"/>
      <c r="BG808" s="1229"/>
      <c r="BH808" s="1229"/>
      <c r="BI808" s="1222"/>
      <c r="BJ808" s="1350"/>
      <c r="BK808" s="1350"/>
      <c r="BL808" s="1222"/>
      <c r="BM808" s="1222"/>
      <c r="BN808" s="1222"/>
      <c r="BO808" s="1222"/>
    </row>
    <row r="809">
      <c r="A809" s="1222"/>
      <c r="B809" s="1229"/>
      <c r="C809" s="1349"/>
      <c r="D809" s="1229"/>
      <c r="E809" s="1229"/>
      <c r="F809" s="1229"/>
      <c r="G809" s="1229"/>
      <c r="H809" s="1229"/>
      <c r="I809" s="1229"/>
      <c r="J809" s="1229"/>
      <c r="K809" s="1229"/>
      <c r="L809" s="1229"/>
      <c r="M809" s="1229"/>
      <c r="N809" s="1274"/>
      <c r="O809" s="1274"/>
      <c r="P809" s="1229"/>
      <c r="Q809" s="1229"/>
      <c r="R809" s="1229"/>
      <c r="S809" s="1229"/>
      <c r="T809" s="1274"/>
      <c r="U809" s="1274"/>
      <c r="V809" s="1229"/>
      <c r="W809" s="1229"/>
      <c r="X809" s="1229"/>
      <c r="Y809" s="1229"/>
      <c r="Z809" s="1274"/>
      <c r="AA809" s="1274"/>
      <c r="AB809" s="1229"/>
      <c r="AC809" s="1229"/>
      <c r="AD809" s="1229"/>
      <c r="AE809" s="1229"/>
      <c r="AF809" s="1274"/>
      <c r="AG809" s="1274"/>
      <c r="AH809" s="1229"/>
      <c r="AI809" s="1229"/>
      <c r="AJ809" s="1229"/>
      <c r="AK809" s="1229"/>
      <c r="AL809" s="1274"/>
      <c r="AM809" s="1274"/>
      <c r="AN809" s="1229"/>
      <c r="AO809" s="1229"/>
      <c r="AP809" s="1229"/>
      <c r="AQ809" s="1229"/>
      <c r="AR809" s="1274"/>
      <c r="AS809" s="1274"/>
      <c r="AT809" s="1229"/>
      <c r="AU809" s="1229"/>
      <c r="AV809" s="1229"/>
      <c r="AW809" s="1229"/>
      <c r="AX809" s="1274"/>
      <c r="AY809" s="1274"/>
      <c r="AZ809" s="1229"/>
      <c r="BA809" s="1229"/>
      <c r="BB809" s="1229"/>
      <c r="BC809" s="1229"/>
      <c r="BD809" s="1274"/>
      <c r="BE809" s="1274"/>
      <c r="BF809" s="1229"/>
      <c r="BG809" s="1229"/>
      <c r="BH809" s="1229"/>
      <c r="BI809" s="1222"/>
      <c r="BJ809" s="1350"/>
      <c r="BK809" s="1350"/>
      <c r="BL809" s="1222"/>
      <c r="BM809" s="1222"/>
      <c r="BN809" s="1222"/>
      <c r="BO809" s="1222"/>
    </row>
    <row r="810">
      <c r="A810" s="1222"/>
      <c r="B810" s="1229"/>
      <c r="C810" s="1349"/>
      <c r="D810" s="1229"/>
      <c r="E810" s="1229"/>
      <c r="F810" s="1229"/>
      <c r="G810" s="1229"/>
      <c r="H810" s="1229"/>
      <c r="I810" s="1229"/>
      <c r="J810" s="1229"/>
      <c r="K810" s="1229"/>
      <c r="L810" s="1229"/>
      <c r="M810" s="1229"/>
      <c r="N810" s="1274"/>
      <c r="O810" s="1274"/>
      <c r="P810" s="1229"/>
      <c r="Q810" s="1229"/>
      <c r="R810" s="1229"/>
      <c r="S810" s="1229"/>
      <c r="T810" s="1274"/>
      <c r="U810" s="1274"/>
      <c r="V810" s="1229"/>
      <c r="W810" s="1229"/>
      <c r="X810" s="1229"/>
      <c r="Y810" s="1229"/>
      <c r="Z810" s="1274"/>
      <c r="AA810" s="1274"/>
      <c r="AB810" s="1229"/>
      <c r="AC810" s="1229"/>
      <c r="AD810" s="1229"/>
      <c r="AE810" s="1229"/>
      <c r="AF810" s="1274"/>
      <c r="AG810" s="1274"/>
      <c r="AH810" s="1229"/>
      <c r="AI810" s="1229"/>
      <c r="AJ810" s="1229"/>
      <c r="AK810" s="1229"/>
      <c r="AL810" s="1274"/>
      <c r="AM810" s="1274"/>
      <c r="AN810" s="1229"/>
      <c r="AO810" s="1229"/>
      <c r="AP810" s="1229"/>
      <c r="AQ810" s="1229"/>
      <c r="AR810" s="1274"/>
      <c r="AS810" s="1274"/>
      <c r="AT810" s="1229"/>
      <c r="AU810" s="1229"/>
      <c r="AV810" s="1229"/>
      <c r="AW810" s="1229"/>
      <c r="AX810" s="1274"/>
      <c r="AY810" s="1274"/>
      <c r="AZ810" s="1229"/>
      <c r="BA810" s="1229"/>
      <c r="BB810" s="1229"/>
      <c r="BC810" s="1229"/>
      <c r="BD810" s="1274"/>
      <c r="BE810" s="1274"/>
      <c r="BF810" s="1229"/>
      <c r="BG810" s="1229"/>
      <c r="BH810" s="1229"/>
      <c r="BI810" s="1222"/>
      <c r="BJ810" s="1350"/>
      <c r="BK810" s="1350"/>
      <c r="BL810" s="1222"/>
      <c r="BM810" s="1222"/>
      <c r="BN810" s="1222"/>
      <c r="BO810" s="1222"/>
    </row>
    <row r="811">
      <c r="A811" s="1222"/>
      <c r="B811" s="1229"/>
      <c r="C811" s="1349"/>
      <c r="D811" s="1229"/>
      <c r="E811" s="1229"/>
      <c r="F811" s="1229"/>
      <c r="G811" s="1229"/>
      <c r="H811" s="1229"/>
      <c r="I811" s="1229"/>
      <c r="J811" s="1229"/>
      <c r="K811" s="1229"/>
      <c r="L811" s="1229"/>
      <c r="M811" s="1229"/>
      <c r="N811" s="1274"/>
      <c r="O811" s="1274"/>
      <c r="P811" s="1229"/>
      <c r="Q811" s="1229"/>
      <c r="R811" s="1229"/>
      <c r="S811" s="1229"/>
      <c r="T811" s="1274"/>
      <c r="U811" s="1274"/>
      <c r="V811" s="1229"/>
      <c r="W811" s="1229"/>
      <c r="X811" s="1229"/>
      <c r="Y811" s="1229"/>
      <c r="Z811" s="1274"/>
      <c r="AA811" s="1274"/>
      <c r="AB811" s="1229"/>
      <c r="AC811" s="1229"/>
      <c r="AD811" s="1229"/>
      <c r="AE811" s="1229"/>
      <c r="AF811" s="1274"/>
      <c r="AG811" s="1274"/>
      <c r="AH811" s="1229"/>
      <c r="AI811" s="1229"/>
      <c r="AJ811" s="1229"/>
      <c r="AK811" s="1229"/>
      <c r="AL811" s="1274"/>
      <c r="AM811" s="1274"/>
      <c r="AN811" s="1229"/>
      <c r="AO811" s="1229"/>
      <c r="AP811" s="1229"/>
      <c r="AQ811" s="1229"/>
      <c r="AR811" s="1274"/>
      <c r="AS811" s="1274"/>
      <c r="AT811" s="1229"/>
      <c r="AU811" s="1229"/>
      <c r="AV811" s="1229"/>
      <c r="AW811" s="1229"/>
      <c r="AX811" s="1274"/>
      <c r="AY811" s="1274"/>
      <c r="AZ811" s="1229"/>
      <c r="BA811" s="1229"/>
      <c r="BB811" s="1229"/>
      <c r="BC811" s="1229"/>
      <c r="BD811" s="1274"/>
      <c r="BE811" s="1274"/>
      <c r="BF811" s="1229"/>
      <c r="BG811" s="1229"/>
      <c r="BH811" s="1229"/>
      <c r="BI811" s="1222"/>
      <c r="BJ811" s="1350"/>
      <c r="BK811" s="1350"/>
      <c r="BL811" s="1222"/>
      <c r="BM811" s="1222"/>
      <c r="BN811" s="1222"/>
      <c r="BO811" s="1222"/>
    </row>
    <row r="812">
      <c r="A812" s="1222"/>
      <c r="B812" s="1229"/>
      <c r="C812" s="1349"/>
      <c r="D812" s="1229"/>
      <c r="E812" s="1229"/>
      <c r="F812" s="1229"/>
      <c r="G812" s="1229"/>
      <c r="H812" s="1229"/>
      <c r="I812" s="1229"/>
      <c r="J812" s="1229"/>
      <c r="K812" s="1229"/>
      <c r="L812" s="1229"/>
      <c r="M812" s="1229"/>
      <c r="N812" s="1274"/>
      <c r="O812" s="1274"/>
      <c r="P812" s="1229"/>
      <c r="Q812" s="1229"/>
      <c r="R812" s="1229"/>
      <c r="S812" s="1229"/>
      <c r="T812" s="1274"/>
      <c r="U812" s="1274"/>
      <c r="V812" s="1229"/>
      <c r="W812" s="1229"/>
      <c r="X812" s="1229"/>
      <c r="Y812" s="1229"/>
      <c r="Z812" s="1274"/>
      <c r="AA812" s="1274"/>
      <c r="AB812" s="1229"/>
      <c r="AC812" s="1229"/>
      <c r="AD812" s="1229"/>
      <c r="AE812" s="1229"/>
      <c r="AF812" s="1274"/>
      <c r="AG812" s="1274"/>
      <c r="AH812" s="1229"/>
      <c r="AI812" s="1229"/>
      <c r="AJ812" s="1229"/>
      <c r="AK812" s="1229"/>
      <c r="AL812" s="1274"/>
      <c r="AM812" s="1274"/>
      <c r="AN812" s="1229"/>
      <c r="AO812" s="1229"/>
      <c r="AP812" s="1229"/>
      <c r="AQ812" s="1229"/>
      <c r="AR812" s="1274"/>
      <c r="AS812" s="1274"/>
      <c r="AT812" s="1229"/>
      <c r="AU812" s="1229"/>
      <c r="AV812" s="1229"/>
      <c r="AW812" s="1229"/>
      <c r="AX812" s="1274"/>
      <c r="AY812" s="1274"/>
      <c r="AZ812" s="1229"/>
      <c r="BA812" s="1229"/>
      <c r="BB812" s="1229"/>
      <c r="BC812" s="1229"/>
      <c r="BD812" s="1274"/>
      <c r="BE812" s="1274"/>
      <c r="BF812" s="1229"/>
      <c r="BG812" s="1229"/>
      <c r="BH812" s="1229"/>
      <c r="BI812" s="1222"/>
      <c r="BJ812" s="1350"/>
      <c r="BK812" s="1350"/>
      <c r="BL812" s="1222"/>
      <c r="BM812" s="1222"/>
      <c r="BN812" s="1222"/>
      <c r="BO812" s="1222"/>
    </row>
    <row r="813">
      <c r="A813" s="1222"/>
      <c r="B813" s="1229"/>
      <c r="C813" s="1349"/>
      <c r="D813" s="1229"/>
      <c r="E813" s="1229"/>
      <c r="F813" s="1229"/>
      <c r="G813" s="1229"/>
      <c r="H813" s="1229"/>
      <c r="I813" s="1229"/>
      <c r="J813" s="1229"/>
      <c r="K813" s="1229"/>
      <c r="L813" s="1229"/>
      <c r="M813" s="1229"/>
      <c r="N813" s="1274"/>
      <c r="O813" s="1274"/>
      <c r="P813" s="1229"/>
      <c r="Q813" s="1229"/>
      <c r="R813" s="1229"/>
      <c r="S813" s="1229"/>
      <c r="T813" s="1274"/>
      <c r="U813" s="1274"/>
      <c r="V813" s="1229"/>
      <c r="W813" s="1229"/>
      <c r="X813" s="1229"/>
      <c r="Y813" s="1229"/>
      <c r="Z813" s="1274"/>
      <c r="AA813" s="1274"/>
      <c r="AB813" s="1229"/>
      <c r="AC813" s="1229"/>
      <c r="AD813" s="1229"/>
      <c r="AE813" s="1229"/>
      <c r="AF813" s="1274"/>
      <c r="AG813" s="1274"/>
      <c r="AH813" s="1229"/>
      <c r="AI813" s="1229"/>
      <c r="AJ813" s="1229"/>
      <c r="AK813" s="1229"/>
      <c r="AL813" s="1274"/>
      <c r="AM813" s="1274"/>
      <c r="AN813" s="1229"/>
      <c r="AO813" s="1229"/>
      <c r="AP813" s="1229"/>
      <c r="AQ813" s="1229"/>
      <c r="AR813" s="1274"/>
      <c r="AS813" s="1274"/>
      <c r="AT813" s="1229"/>
      <c r="AU813" s="1229"/>
      <c r="AV813" s="1229"/>
      <c r="AW813" s="1229"/>
      <c r="AX813" s="1274"/>
      <c r="AY813" s="1274"/>
      <c r="AZ813" s="1229"/>
      <c r="BA813" s="1229"/>
      <c r="BB813" s="1229"/>
      <c r="BC813" s="1229"/>
      <c r="BD813" s="1274"/>
      <c r="BE813" s="1274"/>
      <c r="BF813" s="1229"/>
      <c r="BG813" s="1229"/>
      <c r="BH813" s="1229"/>
      <c r="BI813" s="1222"/>
      <c r="BJ813" s="1350"/>
      <c r="BK813" s="1350"/>
      <c r="BL813" s="1222"/>
      <c r="BM813" s="1222"/>
      <c r="BN813" s="1222"/>
      <c r="BO813" s="1222"/>
    </row>
    <row r="814">
      <c r="A814" s="1222"/>
      <c r="B814" s="1229"/>
      <c r="C814" s="1349"/>
      <c r="D814" s="1229"/>
      <c r="E814" s="1229"/>
      <c r="F814" s="1229"/>
      <c r="G814" s="1229"/>
      <c r="H814" s="1229"/>
      <c r="I814" s="1229"/>
      <c r="J814" s="1229"/>
      <c r="K814" s="1229"/>
      <c r="L814" s="1229"/>
      <c r="M814" s="1229"/>
      <c r="N814" s="1274"/>
      <c r="O814" s="1274"/>
      <c r="P814" s="1229"/>
      <c r="Q814" s="1229"/>
      <c r="R814" s="1229"/>
      <c r="S814" s="1229"/>
      <c r="T814" s="1274"/>
      <c r="U814" s="1274"/>
      <c r="V814" s="1229"/>
      <c r="W814" s="1229"/>
      <c r="X814" s="1229"/>
      <c r="Y814" s="1229"/>
      <c r="Z814" s="1274"/>
      <c r="AA814" s="1274"/>
      <c r="AB814" s="1229"/>
      <c r="AC814" s="1229"/>
      <c r="AD814" s="1229"/>
      <c r="AE814" s="1229"/>
      <c r="AF814" s="1274"/>
      <c r="AG814" s="1274"/>
      <c r="AH814" s="1229"/>
      <c r="AI814" s="1229"/>
      <c r="AJ814" s="1229"/>
      <c r="AK814" s="1229"/>
      <c r="AL814" s="1274"/>
      <c r="AM814" s="1274"/>
      <c r="AN814" s="1229"/>
      <c r="AO814" s="1229"/>
      <c r="AP814" s="1229"/>
      <c r="AQ814" s="1229"/>
      <c r="AR814" s="1274"/>
      <c r="AS814" s="1274"/>
      <c r="AT814" s="1229"/>
      <c r="AU814" s="1229"/>
      <c r="AV814" s="1229"/>
      <c r="AW814" s="1229"/>
      <c r="AX814" s="1274"/>
      <c r="AY814" s="1274"/>
      <c r="AZ814" s="1229"/>
      <c r="BA814" s="1229"/>
      <c r="BB814" s="1229"/>
      <c r="BC814" s="1229"/>
      <c r="BD814" s="1274"/>
      <c r="BE814" s="1274"/>
      <c r="BF814" s="1229"/>
      <c r="BG814" s="1229"/>
      <c r="BH814" s="1229"/>
      <c r="BI814" s="1222"/>
      <c r="BJ814" s="1350"/>
      <c r="BK814" s="1350"/>
      <c r="BL814" s="1222"/>
      <c r="BM814" s="1222"/>
      <c r="BN814" s="1222"/>
      <c r="BO814" s="1222"/>
    </row>
    <row r="815">
      <c r="A815" s="1222"/>
      <c r="B815" s="1229"/>
      <c r="C815" s="1349"/>
      <c r="D815" s="1229"/>
      <c r="E815" s="1229"/>
      <c r="F815" s="1229"/>
      <c r="G815" s="1229"/>
      <c r="H815" s="1229"/>
      <c r="I815" s="1229"/>
      <c r="J815" s="1229"/>
      <c r="K815" s="1229"/>
      <c r="L815" s="1229"/>
      <c r="M815" s="1229"/>
      <c r="N815" s="1274"/>
      <c r="O815" s="1274"/>
      <c r="P815" s="1229"/>
      <c r="Q815" s="1229"/>
      <c r="R815" s="1229"/>
      <c r="S815" s="1229"/>
      <c r="T815" s="1274"/>
      <c r="U815" s="1274"/>
      <c r="V815" s="1229"/>
      <c r="W815" s="1229"/>
      <c r="X815" s="1229"/>
      <c r="Y815" s="1229"/>
      <c r="Z815" s="1274"/>
      <c r="AA815" s="1274"/>
      <c r="AB815" s="1229"/>
      <c r="AC815" s="1229"/>
      <c r="AD815" s="1229"/>
      <c r="AE815" s="1229"/>
      <c r="AF815" s="1274"/>
      <c r="AG815" s="1274"/>
      <c r="AH815" s="1229"/>
      <c r="AI815" s="1229"/>
      <c r="AJ815" s="1229"/>
      <c r="AK815" s="1229"/>
      <c r="AL815" s="1274"/>
      <c r="AM815" s="1274"/>
      <c r="AN815" s="1229"/>
      <c r="AO815" s="1229"/>
      <c r="AP815" s="1229"/>
      <c r="AQ815" s="1229"/>
      <c r="AR815" s="1274"/>
      <c r="AS815" s="1274"/>
      <c r="AT815" s="1229"/>
      <c r="AU815" s="1229"/>
      <c r="AV815" s="1229"/>
      <c r="AW815" s="1229"/>
      <c r="AX815" s="1274"/>
      <c r="AY815" s="1274"/>
      <c r="AZ815" s="1229"/>
      <c r="BA815" s="1229"/>
      <c r="BB815" s="1229"/>
      <c r="BC815" s="1229"/>
      <c r="BD815" s="1274"/>
      <c r="BE815" s="1274"/>
      <c r="BF815" s="1229"/>
      <c r="BG815" s="1229"/>
      <c r="BH815" s="1229"/>
      <c r="BI815" s="1222"/>
      <c r="BJ815" s="1350"/>
      <c r="BK815" s="1350"/>
      <c r="BL815" s="1222"/>
      <c r="BM815" s="1222"/>
      <c r="BN815" s="1222"/>
      <c r="BO815" s="1222"/>
    </row>
    <row r="816">
      <c r="A816" s="1222"/>
      <c r="B816" s="1229"/>
      <c r="C816" s="1349"/>
      <c r="D816" s="1229"/>
      <c r="E816" s="1229"/>
      <c r="F816" s="1229"/>
      <c r="G816" s="1229"/>
      <c r="H816" s="1229"/>
      <c r="I816" s="1229"/>
      <c r="J816" s="1229"/>
      <c r="K816" s="1229"/>
      <c r="L816" s="1229"/>
      <c r="M816" s="1229"/>
      <c r="N816" s="1274"/>
      <c r="O816" s="1274"/>
      <c r="P816" s="1229"/>
      <c r="Q816" s="1229"/>
      <c r="R816" s="1229"/>
      <c r="S816" s="1229"/>
      <c r="T816" s="1274"/>
      <c r="U816" s="1274"/>
      <c r="V816" s="1229"/>
      <c r="W816" s="1229"/>
      <c r="X816" s="1229"/>
      <c r="Y816" s="1229"/>
      <c r="Z816" s="1274"/>
      <c r="AA816" s="1274"/>
      <c r="AB816" s="1229"/>
      <c r="AC816" s="1229"/>
      <c r="AD816" s="1229"/>
      <c r="AE816" s="1229"/>
      <c r="AF816" s="1274"/>
      <c r="AG816" s="1274"/>
      <c r="AH816" s="1229"/>
      <c r="AI816" s="1229"/>
      <c r="AJ816" s="1229"/>
      <c r="AK816" s="1229"/>
      <c r="AL816" s="1274"/>
      <c r="AM816" s="1274"/>
      <c r="AN816" s="1229"/>
      <c r="AO816" s="1229"/>
      <c r="AP816" s="1229"/>
      <c r="AQ816" s="1229"/>
      <c r="AR816" s="1274"/>
      <c r="AS816" s="1274"/>
      <c r="AT816" s="1229"/>
      <c r="AU816" s="1229"/>
      <c r="AV816" s="1229"/>
      <c r="AW816" s="1229"/>
      <c r="AX816" s="1274"/>
      <c r="AY816" s="1274"/>
      <c r="AZ816" s="1229"/>
      <c r="BA816" s="1229"/>
      <c r="BB816" s="1229"/>
      <c r="BC816" s="1229"/>
      <c r="BD816" s="1274"/>
      <c r="BE816" s="1274"/>
      <c r="BF816" s="1229"/>
      <c r="BG816" s="1229"/>
      <c r="BH816" s="1229"/>
      <c r="BI816" s="1222"/>
      <c r="BJ816" s="1350"/>
      <c r="BK816" s="1350"/>
      <c r="BL816" s="1222"/>
      <c r="BM816" s="1222"/>
      <c r="BN816" s="1222"/>
      <c r="BO816" s="1222"/>
    </row>
    <row r="817">
      <c r="A817" s="1222"/>
      <c r="B817" s="1229"/>
      <c r="C817" s="1349"/>
      <c r="D817" s="1229"/>
      <c r="E817" s="1229"/>
      <c r="F817" s="1229"/>
      <c r="G817" s="1229"/>
      <c r="H817" s="1229"/>
      <c r="I817" s="1229"/>
      <c r="J817" s="1229"/>
      <c r="K817" s="1229"/>
      <c r="L817" s="1229"/>
      <c r="M817" s="1229"/>
      <c r="N817" s="1274"/>
      <c r="O817" s="1274"/>
      <c r="P817" s="1229"/>
      <c r="Q817" s="1229"/>
      <c r="R817" s="1229"/>
      <c r="S817" s="1229"/>
      <c r="T817" s="1274"/>
      <c r="U817" s="1274"/>
      <c r="V817" s="1229"/>
      <c r="W817" s="1229"/>
      <c r="X817" s="1229"/>
      <c r="Y817" s="1229"/>
      <c r="Z817" s="1274"/>
      <c r="AA817" s="1274"/>
      <c r="AB817" s="1229"/>
      <c r="AC817" s="1229"/>
      <c r="AD817" s="1229"/>
      <c r="AE817" s="1229"/>
      <c r="AF817" s="1274"/>
      <c r="AG817" s="1274"/>
      <c r="AH817" s="1229"/>
      <c r="AI817" s="1229"/>
      <c r="AJ817" s="1229"/>
      <c r="AK817" s="1229"/>
      <c r="AL817" s="1274"/>
      <c r="AM817" s="1274"/>
      <c r="AN817" s="1229"/>
      <c r="AO817" s="1229"/>
      <c r="AP817" s="1229"/>
      <c r="AQ817" s="1229"/>
      <c r="AR817" s="1274"/>
      <c r="AS817" s="1274"/>
      <c r="AT817" s="1229"/>
      <c r="AU817" s="1229"/>
      <c r="AV817" s="1229"/>
      <c r="AW817" s="1229"/>
      <c r="AX817" s="1274"/>
      <c r="AY817" s="1274"/>
      <c r="AZ817" s="1229"/>
      <c r="BA817" s="1229"/>
      <c r="BB817" s="1229"/>
      <c r="BC817" s="1229"/>
      <c r="BD817" s="1274"/>
      <c r="BE817" s="1274"/>
      <c r="BF817" s="1229"/>
      <c r="BG817" s="1229"/>
      <c r="BH817" s="1229"/>
      <c r="BI817" s="1222"/>
      <c r="BJ817" s="1350"/>
      <c r="BK817" s="1350"/>
      <c r="BL817" s="1222"/>
      <c r="BM817" s="1222"/>
      <c r="BN817" s="1222"/>
      <c r="BO817" s="1222"/>
    </row>
    <row r="818">
      <c r="A818" s="1222"/>
      <c r="B818" s="1229"/>
      <c r="C818" s="1349"/>
      <c r="D818" s="1229"/>
      <c r="E818" s="1229"/>
      <c r="F818" s="1229"/>
      <c r="G818" s="1229"/>
      <c r="H818" s="1229"/>
      <c r="I818" s="1229"/>
      <c r="J818" s="1229"/>
      <c r="K818" s="1229"/>
      <c r="L818" s="1229"/>
      <c r="M818" s="1229"/>
      <c r="N818" s="1274"/>
      <c r="O818" s="1274"/>
      <c r="P818" s="1229"/>
      <c r="Q818" s="1229"/>
      <c r="R818" s="1229"/>
      <c r="S818" s="1229"/>
      <c r="T818" s="1274"/>
      <c r="U818" s="1274"/>
      <c r="V818" s="1229"/>
      <c r="W818" s="1229"/>
      <c r="X818" s="1229"/>
      <c r="Y818" s="1229"/>
      <c r="Z818" s="1274"/>
      <c r="AA818" s="1274"/>
      <c r="AB818" s="1229"/>
      <c r="AC818" s="1229"/>
      <c r="AD818" s="1229"/>
      <c r="AE818" s="1229"/>
      <c r="AF818" s="1274"/>
      <c r="AG818" s="1274"/>
      <c r="AH818" s="1229"/>
      <c r="AI818" s="1229"/>
      <c r="AJ818" s="1229"/>
      <c r="AK818" s="1229"/>
      <c r="AL818" s="1274"/>
      <c r="AM818" s="1274"/>
      <c r="AN818" s="1229"/>
      <c r="AO818" s="1229"/>
      <c r="AP818" s="1229"/>
      <c r="AQ818" s="1229"/>
      <c r="AR818" s="1274"/>
      <c r="AS818" s="1274"/>
      <c r="AT818" s="1229"/>
      <c r="AU818" s="1229"/>
      <c r="AV818" s="1229"/>
      <c r="AW818" s="1229"/>
      <c r="AX818" s="1274"/>
      <c r="AY818" s="1274"/>
      <c r="AZ818" s="1229"/>
      <c r="BA818" s="1229"/>
      <c r="BB818" s="1229"/>
      <c r="BC818" s="1229"/>
      <c r="BD818" s="1274"/>
      <c r="BE818" s="1274"/>
      <c r="BF818" s="1229"/>
      <c r="BG818" s="1229"/>
      <c r="BH818" s="1229"/>
      <c r="BI818" s="1222"/>
      <c r="BJ818" s="1350"/>
      <c r="BK818" s="1350"/>
      <c r="BL818" s="1222"/>
      <c r="BM818" s="1222"/>
      <c r="BN818" s="1222"/>
      <c r="BO818" s="1222"/>
    </row>
    <row r="819">
      <c r="A819" s="1222"/>
      <c r="B819" s="1229"/>
      <c r="C819" s="1349"/>
      <c r="D819" s="1229"/>
      <c r="E819" s="1229"/>
      <c r="F819" s="1229"/>
      <c r="G819" s="1229"/>
      <c r="H819" s="1229"/>
      <c r="I819" s="1229"/>
      <c r="J819" s="1229"/>
      <c r="K819" s="1229"/>
      <c r="L819" s="1229"/>
      <c r="M819" s="1229"/>
      <c r="N819" s="1274"/>
      <c r="O819" s="1274"/>
      <c r="P819" s="1229"/>
      <c r="Q819" s="1229"/>
      <c r="R819" s="1229"/>
      <c r="S819" s="1229"/>
      <c r="T819" s="1274"/>
      <c r="U819" s="1274"/>
      <c r="V819" s="1229"/>
      <c r="W819" s="1229"/>
      <c r="X819" s="1229"/>
      <c r="Y819" s="1229"/>
      <c r="Z819" s="1274"/>
      <c r="AA819" s="1274"/>
      <c r="AB819" s="1229"/>
      <c r="AC819" s="1229"/>
      <c r="AD819" s="1229"/>
      <c r="AE819" s="1229"/>
      <c r="AF819" s="1274"/>
      <c r="AG819" s="1274"/>
      <c r="AH819" s="1229"/>
      <c r="AI819" s="1229"/>
      <c r="AJ819" s="1229"/>
      <c r="AK819" s="1229"/>
      <c r="AL819" s="1274"/>
      <c r="AM819" s="1274"/>
      <c r="AN819" s="1229"/>
      <c r="AO819" s="1229"/>
      <c r="AP819" s="1229"/>
      <c r="AQ819" s="1229"/>
      <c r="AR819" s="1274"/>
      <c r="AS819" s="1274"/>
      <c r="AT819" s="1229"/>
      <c r="AU819" s="1229"/>
      <c r="AV819" s="1229"/>
      <c r="AW819" s="1229"/>
      <c r="AX819" s="1274"/>
      <c r="AY819" s="1274"/>
      <c r="AZ819" s="1229"/>
      <c r="BA819" s="1229"/>
      <c r="BB819" s="1229"/>
      <c r="BC819" s="1229"/>
      <c r="BD819" s="1274"/>
      <c r="BE819" s="1274"/>
      <c r="BF819" s="1229"/>
      <c r="BG819" s="1229"/>
      <c r="BH819" s="1229"/>
      <c r="BI819" s="1222"/>
      <c r="BJ819" s="1350"/>
      <c r="BK819" s="1350"/>
      <c r="BL819" s="1222"/>
      <c r="BM819" s="1222"/>
      <c r="BN819" s="1222"/>
      <c r="BO819" s="1222"/>
    </row>
    <row r="820">
      <c r="A820" s="1222"/>
      <c r="B820" s="1229"/>
      <c r="C820" s="1349"/>
      <c r="D820" s="1229"/>
      <c r="E820" s="1229"/>
      <c r="F820" s="1229"/>
      <c r="G820" s="1229"/>
      <c r="H820" s="1229"/>
      <c r="I820" s="1229"/>
      <c r="J820" s="1229"/>
      <c r="K820" s="1229"/>
      <c r="L820" s="1229"/>
      <c r="M820" s="1229"/>
      <c r="N820" s="1351"/>
      <c r="O820" s="1351"/>
      <c r="P820" s="1229"/>
      <c r="Q820" s="1229"/>
      <c r="R820" s="1229"/>
      <c r="S820" s="1229"/>
      <c r="T820" s="1351"/>
      <c r="U820" s="1351"/>
      <c r="V820" s="1229"/>
      <c r="W820" s="1229"/>
      <c r="X820" s="1229"/>
      <c r="Y820" s="1229"/>
      <c r="Z820" s="1351"/>
      <c r="AA820" s="1351"/>
      <c r="AB820" s="1229"/>
      <c r="AC820" s="1229"/>
      <c r="AD820" s="1229"/>
      <c r="AE820" s="1229"/>
      <c r="AF820" s="1351"/>
      <c r="AG820" s="1351"/>
      <c r="AH820" s="1229"/>
      <c r="AI820" s="1229"/>
      <c r="AJ820" s="1229"/>
      <c r="AK820" s="1229"/>
      <c r="AL820" s="1351"/>
      <c r="AM820" s="1351"/>
      <c r="AN820" s="1229"/>
      <c r="AO820" s="1229"/>
      <c r="AP820" s="1229"/>
      <c r="AQ820" s="1229"/>
      <c r="AR820" s="1351"/>
      <c r="AS820" s="1351"/>
      <c r="AT820" s="1229"/>
      <c r="AU820" s="1229"/>
      <c r="AV820" s="1229"/>
      <c r="AW820" s="1229"/>
      <c r="AX820" s="1351"/>
      <c r="AY820" s="1351"/>
      <c r="AZ820" s="1229"/>
      <c r="BA820" s="1229"/>
      <c r="BB820" s="1229"/>
      <c r="BC820" s="1229"/>
      <c r="BD820" s="1351"/>
      <c r="BE820" s="1351"/>
      <c r="BF820" s="1229"/>
      <c r="BG820" s="1229"/>
      <c r="BH820" s="1229"/>
      <c r="BI820" s="1222"/>
      <c r="BJ820" s="1352"/>
      <c r="BK820" s="1352"/>
      <c r="BL820" s="1222"/>
      <c r="BM820" s="1222"/>
      <c r="BN820" s="1222"/>
      <c r="BO820" s="1222"/>
    </row>
  </sheetData>
  <mergeCells count="60">
    <mergeCell ref="F174:F178"/>
    <mergeCell ref="F187:F188"/>
    <mergeCell ref="B189:B192"/>
    <mergeCell ref="F190:F191"/>
    <mergeCell ref="B155:B157"/>
    <mergeCell ref="B160:B163"/>
    <mergeCell ref="F160:F163"/>
    <mergeCell ref="B164:B171"/>
    <mergeCell ref="B174:B178"/>
    <mergeCell ref="B179:B182"/>
    <mergeCell ref="B183:B188"/>
    <mergeCell ref="B1:C1"/>
    <mergeCell ref="D1:F1"/>
    <mergeCell ref="G1:J1"/>
    <mergeCell ref="D2:E2"/>
    <mergeCell ref="H2:I2"/>
    <mergeCell ref="B3:B4"/>
    <mergeCell ref="F5:F7"/>
    <mergeCell ref="B5:B7"/>
    <mergeCell ref="B8:B9"/>
    <mergeCell ref="B14:B15"/>
    <mergeCell ref="B17:B19"/>
    <mergeCell ref="B21:B23"/>
    <mergeCell ref="B26:B27"/>
    <mergeCell ref="F26:F27"/>
    <mergeCell ref="B31:B33"/>
    <mergeCell ref="H34:I34"/>
    <mergeCell ref="B36:B37"/>
    <mergeCell ref="B40:B41"/>
    <mergeCell ref="B42:B43"/>
    <mergeCell ref="B48:B51"/>
    <mergeCell ref="B52:B53"/>
    <mergeCell ref="B55:B57"/>
    <mergeCell ref="F55:F56"/>
    <mergeCell ref="B58:B59"/>
    <mergeCell ref="F58:F59"/>
    <mergeCell ref="F62:F63"/>
    <mergeCell ref="F65:F66"/>
    <mergeCell ref="F68:F70"/>
    <mergeCell ref="B61:B70"/>
    <mergeCell ref="B71:B72"/>
    <mergeCell ref="B73:B75"/>
    <mergeCell ref="B76:B77"/>
    <mergeCell ref="B78:B81"/>
    <mergeCell ref="B82:B83"/>
    <mergeCell ref="B85:B87"/>
    <mergeCell ref="B90:B91"/>
    <mergeCell ref="B92:B95"/>
    <mergeCell ref="B96:B98"/>
    <mergeCell ref="B101:B102"/>
    <mergeCell ref="B103:B104"/>
    <mergeCell ref="B107:B109"/>
    <mergeCell ref="B111:B112"/>
    <mergeCell ref="B121:B124"/>
    <mergeCell ref="B125:B128"/>
    <mergeCell ref="B130:B143"/>
    <mergeCell ref="F130:F140"/>
    <mergeCell ref="B144:B149"/>
    <mergeCell ref="F146:F147"/>
    <mergeCell ref="B152:B154"/>
  </mergeCells>
  <conditionalFormatting sqref="BH1">
    <cfRule type="expression" dxfId="18" priority="1">
      <formula>IF(REGEXMATCH($Q1, "MAX"), TRUE, FALSE)</formula>
    </cfRule>
  </conditionalFormatting>
  <conditionalFormatting sqref="BH1">
    <cfRule type="expression" dxfId="19" priority="2">
      <formula>IF(REGEXMATCH($Q1, "Target"), TRUE, FALSE)</formula>
    </cfRule>
  </conditionalFormatting>
  <conditionalFormatting sqref="H3:H19 I3:I9 I14 I16 H21:H29 I24:I25 H31:H46 I32 I34 I38:I39 I41 I44 H48:H59 I57 H61:H99 I67 I89 I94 H101:H109 I105:I109 H111:H119 H121:H128 I123:I124 H130:H150 H152:H171 I156 H173:I192">
    <cfRule type="cellIs" dxfId="31" priority="3" operator="equal">
      <formula>"Completed"</formula>
    </cfRule>
  </conditionalFormatting>
  <conditionalFormatting sqref="AD1 BB1 BH1">
    <cfRule type="containsText" dxfId="21" priority="4" operator="containsText" text="Target">
      <formula>NOT(ISERROR(SEARCH(("Target"),(AD1))))</formula>
    </cfRule>
  </conditionalFormatting>
  <conditionalFormatting sqref="AD1 BB1 BH1">
    <cfRule type="containsText" dxfId="22" priority="5" operator="containsText" text="Max">
      <formula>NOT(ISERROR(SEARCH(("Max"),(AD1))))</formula>
    </cfRule>
  </conditionalFormatting>
  <conditionalFormatting sqref="G3:G192">
    <cfRule type="containsText" dxfId="32" priority="6" operator="containsText" text="FALSE">
      <formula>NOT(ISERROR(SEARCH(("FALSE"),(G3))))</formula>
    </cfRule>
  </conditionalFormatting>
  <conditionalFormatting sqref="D3:E820 G3:I820">
    <cfRule type="cellIs" dxfId="33" priority="7" operator="equal">
      <formula>"TBD"</formula>
    </cfRule>
  </conditionalFormatting>
  <conditionalFormatting sqref="D3:E820 G3:I820">
    <cfRule type="containsText" dxfId="34" priority="8" operator="containsText" text="S+">
      <formula>NOT(ISERROR(SEARCH(("S+"),(D3))))</formula>
    </cfRule>
  </conditionalFormatting>
  <conditionalFormatting sqref="D3:E820 G3:I820">
    <cfRule type="cellIs" dxfId="35" priority="9" operator="equal">
      <formula>"S"</formula>
    </cfRule>
  </conditionalFormatting>
  <conditionalFormatting sqref="D3:E820 G3:I820">
    <cfRule type="containsText" dxfId="36" priority="10" operator="containsText" text="A">
      <formula>NOT(ISERROR(SEARCH(("A"),(D3))))</formula>
    </cfRule>
  </conditionalFormatting>
  <conditionalFormatting sqref="D3:E820 G3:I820">
    <cfRule type="containsText" dxfId="37" priority="11" operator="containsText" text="B">
      <formula>NOT(ISERROR(SEARCH(("B"),(D3))))</formula>
    </cfRule>
  </conditionalFormatting>
  <conditionalFormatting sqref="D3:E820 G3:I820">
    <cfRule type="containsText" dxfId="38" priority="12" operator="containsText" text="C">
      <formula>NOT(ISERROR(SEARCH(("C"),(D3))))</formula>
    </cfRule>
  </conditionalFormatting>
  <conditionalFormatting sqref="D3:E820 G3:I820">
    <cfRule type="containsText" dxfId="39" priority="13" operator="containsText" text="D">
      <formula>NOT(ISERROR(SEARCH(("D"),(D3))))</formula>
    </cfRule>
  </conditionalFormatting>
  <conditionalFormatting sqref="D3:E820 G3:I820">
    <cfRule type="containsText" dxfId="40" priority="14" operator="containsText" text="F">
      <formula>NOT(ISERROR(SEARCH(("F"),(D3))))</formula>
    </cfRule>
  </conditionalFormatting>
  <conditionalFormatting sqref="D3:E820 G3:I820">
    <cfRule type="containsText" dxfId="41" priority="15" operator="containsText" text="QOL">
      <formula>NOT(ISERROR(SEARCH(("QOL"),(D3))))</formula>
    </cfRule>
  </conditionalFormatting>
  <conditionalFormatting sqref="B3:B820">
    <cfRule type="expression" dxfId="3" priority="16">
      <formula>VALUE(SUBSTITUTE(B:B,"T",""))&gt;=18</formula>
    </cfRule>
  </conditionalFormatting>
  <conditionalFormatting sqref="B3:B820">
    <cfRule type="expression" dxfId="5" priority="17">
      <formula>VALUE(SUBSTITUTE(B:B,"T",""))&gt;=11</formula>
    </cfRule>
  </conditionalFormatting>
  <conditionalFormatting sqref="B3:B820">
    <cfRule type="expression" dxfId="42" priority="18">
      <formula>VALUE(SUBSTITUTE(B:B,"T",""))&gt;=1</formula>
    </cfRule>
  </conditionalFormatting>
  <conditionalFormatting sqref="BN1 O2:O820 U2:U820 AA2:AA820 AG2:AG820 AM2:AM820 AS2:AS820 AY2:AY820 BE2:BE820 BK2:BK820 L3:N820 P3:T820 V3:Z820 AB3:AF820 AH3:AL820 AN3:AR820 AT3:AX820 AZ3:BD820 BF3:BJ820 BL3:BO820">
    <cfRule type="expression" dxfId="32" priority="19">
      <formula>COUNTIF($C$3:$C$19,BN1)</formula>
    </cfRule>
  </conditionalFormatting>
  <conditionalFormatting sqref="BN1 O2:O820 U2:U820 AA2:AA820 AG2:AG820 AM2:AM820 AS2:AS820 AY2:AY820 BE2:BE820 BK2:BK820 L3:N820 P3:T820 V3:Z820 AB3:AF820 AH3:AL820 AN3:AR820 AT3:AX820 AZ3:BD820 BF3:BJ820 BL3:BO820">
    <cfRule type="expression" dxfId="43" priority="20">
      <formula>COUNTIF($C$21:$C$29,BN1)</formula>
    </cfRule>
  </conditionalFormatting>
  <conditionalFormatting sqref="BN1 O2:O820 U2:U820 AA2:AA820 AG2:AG820 AM2:AM820 AS2:AS820 AY2:AY820 BE2:BE820 BK2:BK820 L3:N820 P3:T820 V3:Z820 AB3:AF820 AH3:AL820 AN3:AR820 AT3:AX820 AZ3:BD820 BF3:BJ820 BL3:BO820">
    <cfRule type="expression" dxfId="44" priority="21">
      <formula>COUNTIF($C$31:$C$46,BN1)</formula>
    </cfRule>
  </conditionalFormatting>
  <conditionalFormatting sqref="BN1 O2:O820 U2:U820 AA2:AA820 AG2:AG820 AM2:AM820 AS2:AS820 AY2:AY820 BE2:BE820 BK2:BK820 L3:N820 P3:T820 V3:Z820 AB3:AF820 AH3:AL820 AN3:AR820 AT3:AX820 AZ3:BD820 BF3:BJ820 BL3:BO820">
    <cfRule type="expression" dxfId="45" priority="22">
      <formula>COUNTIF($C$48:$C$59,BN1)</formula>
    </cfRule>
  </conditionalFormatting>
  <conditionalFormatting sqref="BN1 O2:O820 U2:U820 AA2:AA820 AG2:AG820 AM2:AM820 AS2:AS820 AY2:AY820 BE2:BE820 BK2:BK820 L3:N820 P3:T820 V3:Z820 AB3:AF820 AH3:AL820 AN3:AR820 AT3:AX820 AZ3:BD820 BF3:BJ820 BL3:BO820">
    <cfRule type="expression" dxfId="46" priority="23">
      <formula>COUNTIF($C$61:$C$99,BN1)</formula>
    </cfRule>
  </conditionalFormatting>
  <conditionalFormatting sqref="BN1 O2:O820 U2:U820 AA2:AA820 AG2:AG820 AM2:AM820 AS2:AS820 AY2:AY820 BE2:BE820 BK2:BK820 L3:N820 P3:T820 V3:Z820 AB3:AF820 AH3:AL820 AN3:AR820 AT3:AX820 AZ3:BD820 BF3:BJ820 BL3:BO820">
    <cfRule type="expression" dxfId="47" priority="24">
      <formula>COUNTIF($C$101:$C$109,BN1)</formula>
    </cfRule>
  </conditionalFormatting>
  <conditionalFormatting sqref="BN1 O2:O820 U2:U820 AA2:AA820 AG2:AG820 AM2:AM820 AS2:AS820 AY2:AY820 BE2:BE820 BK2:BK820 L3:N820 P3:T820 V3:Z820 AB3:AF820 AH3:AL820 AN3:AR820 AT3:AX820 AZ3:BD820 BF3:BJ820 BL3:BO820">
    <cfRule type="expression" dxfId="48" priority="25">
      <formula>COUNTIF($C$111:$C$119,BN1)</formula>
    </cfRule>
  </conditionalFormatting>
  <conditionalFormatting sqref="BN1 O2:O820 U2:U820 AA2:AA820 AG2:AG820 AM2:AM820 AS2:AS820 AY2:AY820 BE2:BE820 BK2:BK820 L3:N820 P3:T820 V3:Z820 AB3:AF820 AH3:AL820 AN3:AR820 AT3:AX820 AZ3:BD820 BF3:BJ820 BL3:BO820">
    <cfRule type="expression" dxfId="41" priority="26">
      <formula>COUNTIF($C$121:$C$128,BN1)</formula>
    </cfRule>
  </conditionalFormatting>
  <conditionalFormatting sqref="BN1 O2:O820 U2:U820 AA2:AA820 AG2:AG820 AM2:AM820 AS2:AS820 AY2:AY820 BE2:BE820 BK2:BK820 L3:N820 P3:T820 V3:Z820 AB3:AF820 AH3:AL820 AN3:AR820 AT3:AX820 AZ3:BD820 BF3:BJ820 BL3:BO820">
    <cfRule type="expression" dxfId="33" priority="27">
      <formula>COUNTIF($C$130:$C$150,BN1)</formula>
    </cfRule>
  </conditionalFormatting>
  <conditionalFormatting sqref="BN1 O2:O820 U2:U820 AA2:AA820 AG2:AG820 AM2:AM820 AS2:AS820 AY2:AY820 BE2:BE820 BK2:BK820 L3:N820 P3:T820 V3:Z820 AB3:AF820 AH3:AL820 AN3:AR820 AT3:AX820 AZ3:BD820 BF3:BJ820 BL3:BO820">
    <cfRule type="expression" dxfId="49" priority="28">
      <formula>COUNTIF($C$152:$C$171,BN1)</formula>
    </cfRule>
  </conditionalFormatting>
  <conditionalFormatting sqref="BN1 O2:O820 U2:U820 AA2:AA820 AG2:AG820 AM2:AM820 AS2:AS820 AY2:AY820 BE2:BE820 BK2:BK820 L3:N820 P3:T820 V3:Z820 AB3:AF820 AH3:AL820 AN3:AR820 AT3:AX820 AZ3:BD820 BF3:BJ820 BL3:BO820">
    <cfRule type="expression" dxfId="50" priority="29">
      <formula>COUNTIF($C$173:$C$192,BN1)</formula>
    </cfRule>
  </conditionalFormatting>
  <dataValidations>
    <dataValidation type="list" allowBlank="1" showErrorMessage="1" sqref="L2:BM2 BO2">
      <formula1>"S+,S,A,B,C,D,F,QOL,TBD,Completed"</formula1>
    </dataValidation>
    <dataValidation type="list" allowBlank="1" showErrorMessage="1" sqref="BB1">
      <formula1>"Hide,Level,Time"</formula1>
    </dataValidation>
    <dataValidation type="list" allowBlank="1" showErrorMessage="1" sqref="BH1">
      <formula1>'Lab Planner'!$AA$2:$AA$10</formula1>
    </dataValidation>
    <dataValidation type="list" allowBlank="1" showErrorMessage="1" sqref="AD1">
      <formula1>"Never,Max,Target"</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53" t="str">
        <f>IFERROR(__xludf.DUMMYFUNCTION("IFERROR(IMPORTRANGE(""1M5WPXN3RCquT3peDUNjCqTVRPk313n9HbMe-hihzLvg"", ""'The Tier List v27.1.2'!C2:F""), {G2:J1000})"),"Lab Name")</f>
        <v>Lab Name</v>
      </c>
      <c r="B1" s="1353" t="str">
        <f>IFERROR(__xludf.DUMMYFUNCTION("""COMPUTED_VALUE"""),"Ranking")</f>
        <v>Ranking</v>
      </c>
      <c r="C1" s="1353"/>
      <c r="D1" s="1353" t="str">
        <f>IFERROR(__xludf.DUMMYFUNCTION("""COMPUTED_VALUE"""),"Notes")</f>
        <v>Notes</v>
      </c>
      <c r="F1" s="1186" t="s">
        <v>571</v>
      </c>
      <c r="G1" s="1188" t="s">
        <v>404</v>
      </c>
      <c r="H1" s="1188" t="s">
        <v>540</v>
      </c>
      <c r="J1" s="1188" t="s">
        <v>541</v>
      </c>
    </row>
    <row r="2">
      <c r="A2" s="1353" t="str">
        <f>IFERROR(__xludf.DUMMYFUNCTION("""COMPUTED_VALUE"""),"Game Speed")</f>
        <v>Game Speed</v>
      </c>
      <c r="B2" s="1353" t="str">
        <f>IFERROR(__xludf.DUMMYFUNCTION("""COMPUTED_VALUE"""),"S+")</f>
        <v>S+</v>
      </c>
      <c r="C2" s="1353"/>
      <c r="D2" s="1353" t="str">
        <f>IFERROR(__xludf.DUMMYFUNCTION("""COMPUTED_VALUE"""),"Makes everything better. First lab to take to max")</f>
        <v>Makes everything better. First lab to take to max</v>
      </c>
      <c r="G2" s="1188" t="s">
        <v>154</v>
      </c>
      <c r="H2" s="1188" t="s">
        <v>543</v>
      </c>
      <c r="J2" s="1188" t="s">
        <v>572</v>
      </c>
    </row>
    <row r="3">
      <c r="A3" s="1353" t="str">
        <f>IFERROR(__xludf.DUMMYFUNCTION("""COMPUTED_VALUE"""),"Starting Cash")</f>
        <v>Starting Cash</v>
      </c>
      <c r="B3" s="1353" t="str">
        <f>IFERROR(__xludf.DUMMYFUNCTION("""COMPUTED_VALUE"""),"F")</f>
        <v>F</v>
      </c>
      <c r="C3" s="1353"/>
      <c r="D3" s="1353" t="str">
        <f>IFERROR(__xludf.DUMMYFUNCTION("""COMPUTED_VALUE"""),"Irrelevant, easily outdone by enemy kills and even cash/wave")</f>
        <v>Irrelevant, easily outdone by enemy kills and even cash/wave</v>
      </c>
      <c r="G3" s="1188" t="s">
        <v>169</v>
      </c>
      <c r="H3" s="1188" t="s">
        <v>549</v>
      </c>
      <c r="J3" s="1188" t="s">
        <v>573</v>
      </c>
    </row>
    <row r="4">
      <c r="A4" s="1353" t="str">
        <f>IFERROR(__xludf.DUMMYFUNCTION("""COMPUTED_VALUE"""),"Workshop Attack Discount")</f>
        <v>Workshop Attack Discount</v>
      </c>
      <c r="B4" s="1353" t="str">
        <f>IFERROR(__xludf.DUMMYFUNCTION("""COMPUTED_VALUE"""),"D")</f>
        <v>D</v>
      </c>
      <c r="C4" s="1353"/>
      <c r="D4" s="1353" t="str">
        <f>IFERROR(__xludf.DUMMYFUNCTION("""COMPUTED_VALUE"""),"Gaining more coins is more beneficial then spending less coins, utility can be useful for ELS later on. Retroactive on respecs")</f>
        <v>Gaining more coins is more beneficial then spending less coins, utility can be useful for ELS later on. Retroactive on respecs</v>
      </c>
      <c r="G4" s="1188" t="s">
        <v>180</v>
      </c>
      <c r="H4" s="1188" t="s">
        <v>548</v>
      </c>
      <c r="J4" s="1188" t="s">
        <v>574</v>
      </c>
    </row>
    <row r="5">
      <c r="A5" s="1353" t="str">
        <f>IFERROR(__xludf.DUMMYFUNCTION("""COMPUTED_VALUE"""),"Workshop Defense Discount")</f>
        <v>Workshop Defense Discount</v>
      </c>
      <c r="B5" s="1353" t="str">
        <f>IFERROR(__xludf.DUMMYFUNCTION("""COMPUTED_VALUE"""),"D")</f>
        <v>D</v>
      </c>
      <c r="C5" s="1353"/>
      <c r="D5" s="1353"/>
      <c r="G5" s="1188" t="s">
        <v>193</v>
      </c>
      <c r="H5" s="1188" t="s">
        <v>548</v>
      </c>
    </row>
    <row r="6">
      <c r="A6" s="1353" t="str">
        <f>IFERROR(__xludf.DUMMYFUNCTION("""COMPUTED_VALUE"""),"Workshop Utility Discount")</f>
        <v>Workshop Utility Discount</v>
      </c>
      <c r="B6" s="1353" t="str">
        <f>IFERROR(__xludf.DUMMYFUNCTION("""COMPUTED_VALUE"""),"D")</f>
        <v>D</v>
      </c>
      <c r="C6" s="1353" t="str">
        <f>IFERROR(__xludf.DUMMYFUNCTION("""COMPUTED_VALUE"""),"C")</f>
        <v>C</v>
      </c>
      <c r="D6" s="1353"/>
      <c r="G6" s="1188" t="s">
        <v>215</v>
      </c>
      <c r="H6" s="1188" t="s">
        <v>548</v>
      </c>
      <c r="I6" s="1188" t="s">
        <v>547</v>
      </c>
    </row>
    <row r="7">
      <c r="A7" s="1353" t="str">
        <f>IFERROR(__xludf.DUMMYFUNCTION("""COMPUTED_VALUE"""),"Labs Coin Discount")</f>
        <v>Labs Coin Discount</v>
      </c>
      <c r="B7" s="1353" t="str">
        <f>IFERROR(__xludf.DUMMYFUNCTION("""COMPUTED_VALUE"""),"D")</f>
        <v>D</v>
      </c>
      <c r="C7" s="1353" t="str">
        <f>IFERROR(__xludf.DUMMYFUNCTION("""COMPUTED_VALUE"""),"A")</f>
        <v>A</v>
      </c>
      <c r="D7" s="1353" t="str">
        <f>IFERROR(__xludf.DUMMYFUNCTION("""COMPUTED_VALUE"""),"A few early levels are useful, however actual econ labs are much better until Card Masteries or assists/BC labs")</f>
        <v>A few early levels are useful, however actual econ labs are much better until Card Masteries or assists/BC labs</v>
      </c>
      <c r="G7" s="1188" t="s">
        <v>227</v>
      </c>
      <c r="H7" s="1188" t="s">
        <v>548</v>
      </c>
      <c r="I7" s="1188" t="s">
        <v>545</v>
      </c>
      <c r="J7" s="1188" t="s">
        <v>575</v>
      </c>
    </row>
    <row r="8">
      <c r="A8" s="1353" t="str">
        <f>IFERROR(__xludf.DUMMYFUNCTION("""COMPUTED_VALUE"""),"Labs Speed")</f>
        <v>Labs Speed</v>
      </c>
      <c r="B8" s="1353" t="str">
        <f>IFERROR(__xludf.DUMMYFUNCTION("""COMPUTED_VALUE"""),"S")</f>
        <v>S</v>
      </c>
      <c r="C8" s="1353" t="str">
        <f>IFERROR(__xludf.DUMMYFUNCTION("""COMPUTED_VALUE"""),"A")</f>
        <v>A</v>
      </c>
      <c r="D8" s="1353" t="str">
        <f>IFERROR(__xludf.DUMMYFUNCTION("""COMPUTED_VALUE"""),"S tier until level 50; very long after. Should be slotted in whenever a lab slot is not occupied by a high priority lab")</f>
        <v>S tier until level 50; very long after. Should be slotted in whenever a lab slot is not occupied by a high priority lab</v>
      </c>
      <c r="G8" s="1188" t="s">
        <v>238</v>
      </c>
      <c r="H8" s="1188" t="s">
        <v>544</v>
      </c>
      <c r="I8" s="1188" t="s">
        <v>545</v>
      </c>
      <c r="J8" s="1188" t="s">
        <v>576</v>
      </c>
    </row>
    <row r="9">
      <c r="A9" s="1353" t="str">
        <f>IFERROR(__xludf.DUMMYFUNCTION("""COMPUTED_VALUE"""),"Buy Multiplier")</f>
        <v>Buy Multiplier</v>
      </c>
      <c r="B9" s="1353" t="str">
        <f>IFERROR(__xludf.DUMMYFUNCTION("""COMPUTED_VALUE"""),"QOL")</f>
        <v>QOL</v>
      </c>
      <c r="C9" s="1353"/>
      <c r="D9" s="1353" t="str">
        <f>IFERROR(__xludf.DUMMYFUNCTION("""COMPUTED_VALUE"""),"More necessary the more you respec to avoid carpal tunnel, also nice for buying large amounts of things in runs")</f>
        <v>More necessary the more you respec to avoid carpal tunnel, also nice for buying large amounts of things in runs</v>
      </c>
      <c r="G9" s="1188" t="s">
        <v>249</v>
      </c>
      <c r="H9" s="1188" t="s">
        <v>550</v>
      </c>
      <c r="J9" s="1188" t="s">
        <v>577</v>
      </c>
    </row>
    <row r="10">
      <c r="A10" s="1353" t="str">
        <f>IFERROR(__xludf.DUMMYFUNCTION("""COMPUTED_VALUE"""),"More Round Stats")</f>
        <v>More Round Stats</v>
      </c>
      <c r="B10" s="1353" t="str">
        <f>IFERROR(__xludf.DUMMYFUNCTION("""COMPUTED_VALUE"""),"QOL")</f>
        <v>QOL</v>
      </c>
      <c r="C10" s="1353"/>
      <c r="D10" s="1353" t="str">
        <f>IFERROR(__xludf.DUMMYFUNCTION("""COMPUTED_VALUE"""),"Useful data to track progress")</f>
        <v>Useful data to track progress</v>
      </c>
      <c r="G10" s="1188" t="s">
        <v>260</v>
      </c>
      <c r="H10" s="1188" t="s">
        <v>550</v>
      </c>
      <c r="J10" s="1188" t="s">
        <v>578</v>
      </c>
    </row>
    <row r="11">
      <c r="A11" s="1353" t="str">
        <f>IFERROR(__xludf.DUMMYFUNCTION("""COMPUTED_VALUE"""),"Target Priority")</f>
        <v>Target Priority</v>
      </c>
      <c r="B11" s="1353" t="str">
        <f>IFERROR(__xludf.DUMMYFUNCTION("""COMPUTED_VALUE"""),"A")</f>
        <v>A</v>
      </c>
      <c r="C11" s="1353"/>
      <c r="D11" s="1353" t="str">
        <f>IFERROR(__xludf.DUMMYFUNCTION("""COMPUTED_VALUE"""),"Required for every devo strategy. Useful for blender and tournaments")</f>
        <v>Required for every devo strategy. Useful for blender and tournaments</v>
      </c>
      <c r="G11" s="1188" t="s">
        <v>270</v>
      </c>
      <c r="H11" s="1188" t="s">
        <v>545</v>
      </c>
      <c r="J11" s="1188" t="s">
        <v>579</v>
      </c>
    </row>
    <row r="12">
      <c r="A12" s="1353" t="str">
        <f>IFERROR(__xludf.DUMMYFUNCTION("""COMPUTED_VALUE"""),"Card Presets")</f>
        <v>Card Presets</v>
      </c>
      <c r="B12" s="1353" t="str">
        <f>IFERROR(__xludf.DUMMYFUNCTION("""COMPUTED_VALUE"""),"QOL")</f>
        <v>QOL</v>
      </c>
      <c r="C12" s="1353"/>
      <c r="D12" s="1353" t="str">
        <f>IFERROR(__xludf.DUMMYFUNCTION("""COMPUTED_VALUE"""),"Most useful for having different cards for farm, tourney, and various missions")</f>
        <v>Most useful for having different cards for farm, tourney, and various missions</v>
      </c>
      <c r="G12" s="1188" t="s">
        <v>278</v>
      </c>
      <c r="H12" s="1188" t="s">
        <v>550</v>
      </c>
      <c r="J12" s="1188" t="s">
        <v>580</v>
      </c>
    </row>
    <row r="13">
      <c r="A13" s="1353" t="str">
        <f>IFERROR(__xludf.DUMMYFUNCTION("""COMPUTED_VALUE"""),"Workshop Respec")</f>
        <v>Workshop Respec</v>
      </c>
      <c r="B13" s="1353" t="str">
        <f>IFERROR(__xludf.DUMMYFUNCTION("""COMPUTED_VALUE"""),"QOL")</f>
        <v>QOL</v>
      </c>
      <c r="C13" s="1353" t="str">
        <f>IFERROR(__xludf.DUMMYFUNCTION("""COMPUTED_VALUE"""),"S")</f>
        <v>S</v>
      </c>
      <c r="D13" s="1353" t="str">
        <f>IFERROR(__xludf.DUMMYFUNCTION("""COMPUTED_VALUE"""),"Required for devo strategies and almost mandatory for legend league tournaments. If blender and not in legend it's nice to make the buy workshop upgrades mission cheaper")</f>
        <v>Required for devo strategies and almost mandatory for legend league tournaments. If blender and not in legend it's nice to make the buy workshop upgrades mission cheaper</v>
      </c>
      <c r="G13" s="1188" t="s">
        <v>286</v>
      </c>
      <c r="H13" s="1188" t="s">
        <v>550</v>
      </c>
      <c r="I13" s="1188" t="s">
        <v>544</v>
      </c>
      <c r="J13" s="1188" t="s">
        <v>581</v>
      </c>
    </row>
    <row r="14">
      <c r="A14" s="1353" t="str">
        <f>IFERROR(__xludf.DUMMYFUNCTION("""COMPUTED_VALUE"""),"Reroll Daily Mission")</f>
        <v>Reroll Daily Mission</v>
      </c>
      <c r="B14" s="1353" t="str">
        <f>IFERROR(__xludf.DUMMYFUNCTION("""COMPUTED_VALUE"""),"QOL")</f>
        <v>QOL</v>
      </c>
      <c r="C14" s="1353"/>
      <c r="D14" s="1353" t="str">
        <f>IFERROR(__xludf.DUMMYFUNCTION("""COMPUTED_VALUE"""),"Costs 5 gems to use")</f>
        <v>Costs 5 gems to use</v>
      </c>
      <c r="G14" s="1188" t="s">
        <v>294</v>
      </c>
      <c r="H14" s="1188" t="s">
        <v>550</v>
      </c>
      <c r="J14" s="1188" t="s">
        <v>582</v>
      </c>
    </row>
    <row r="15">
      <c r="A15" s="1353" t="str">
        <f>IFERROR(__xludf.DUMMYFUNCTION("""COMPUTED_VALUE"""),"Workshop Enhancements")</f>
        <v>Workshop Enhancements</v>
      </c>
      <c r="B15" s="1353" t="str">
        <f>IFERROR(__xludf.DUMMYFUNCTION("""COMPUTED_VALUE"""),"B")</f>
        <v>B</v>
      </c>
      <c r="C15" s="1353" t="str">
        <f>IFERROR(__xludf.DUMMYFUNCTION("""COMPUTED_VALUE"""),"S")</f>
        <v>S</v>
      </c>
      <c r="D15" s="1353" t="str">
        <f>IFERROR(__xludf.DUMMYFUNCTION("""COMPUTED_VALUE"""),"becomes required to progress after 1T~ LTC")</f>
        <v>becomes required to progress after 1T~ LTC</v>
      </c>
      <c r="G15" s="1188" t="s">
        <v>301</v>
      </c>
      <c r="H15" s="1188" t="s">
        <v>546</v>
      </c>
      <c r="I15" s="1188" t="s">
        <v>544</v>
      </c>
      <c r="J15" s="1188" t="s">
        <v>583</v>
      </c>
    </row>
    <row r="16">
      <c r="A16" s="1353" t="str">
        <f>IFERROR(__xludf.DUMMYFUNCTION("""COMPUTED_VALUE"""),"Enhancement Attack - Coin Discount")</f>
        <v>Enhancement Attack - Coin Discount</v>
      </c>
      <c r="B16" s="1353" t="str">
        <f>IFERROR(__xludf.DUMMYFUNCTION("""COMPUTED_VALUE"""),"B")</f>
        <v>B</v>
      </c>
      <c r="C16" s="1353"/>
      <c r="D16" s="1353" t="str">
        <f>IFERROR(__xludf.DUMMYFUNCTION("""COMPUTED_VALUE"""),"ASPD+ is really good to get cheaper, alongisde the damage that's required by the time this lab is unlocked")</f>
        <v>ASPD+ is really good to get cheaper, alongisde the damage that's required by the time this lab is unlocked</v>
      </c>
      <c r="G16" s="1190" t="s">
        <v>308</v>
      </c>
      <c r="H16" s="1188" t="s">
        <v>546</v>
      </c>
      <c r="J16" s="1188" t="s">
        <v>584</v>
      </c>
    </row>
    <row r="17">
      <c r="A17" s="1353" t="str">
        <f>IFERROR(__xludf.DUMMYFUNCTION("""COMPUTED_VALUE"""),"Enhancement Defense - Coin Discount")</f>
        <v>Enhancement Defense - Coin Discount</v>
      </c>
      <c r="B17" s="1353" t="str">
        <f>IFERROR(__xludf.DUMMYFUNCTION("""COMPUTED_VALUE"""),"B")</f>
        <v>B</v>
      </c>
      <c r="C17" s="1353"/>
      <c r="D17" s="1353" t="str">
        <f>IFERROR(__xludf.DUMMYFUNCTION("""COMPUTED_VALUE"""),"The 500T unlock is Orb Size, the least useful of the three")</f>
        <v>The 500T unlock is Orb Size, the least useful of the three</v>
      </c>
      <c r="G17" s="1190" t="s">
        <v>315</v>
      </c>
      <c r="H17" s="1188" t="s">
        <v>546</v>
      </c>
      <c r="J17" s="1188" t="s">
        <v>585</v>
      </c>
    </row>
    <row r="18">
      <c r="A18" s="1353" t="str">
        <f>IFERROR(__xludf.DUMMYFUNCTION("""COMPUTED_VALUE"""),"Enhancement Utility - Coin Discount")</f>
        <v>Enhancement Utility - Coin Discount</v>
      </c>
      <c r="B18" s="1353" t="str">
        <f>IFERROR(__xludf.DUMMYFUNCTION("""COMPUTED_VALUE"""),"A")</f>
        <v>A</v>
      </c>
      <c r="C18" s="1353"/>
      <c r="D18" s="1353" t="str">
        <f>IFERROR(__xludf.DUMMYFUNCTION("""COMPUTED_VALUE"""),"ELS+ and Coin+ are some of the strongest enchancements in the game")</f>
        <v>ELS+ and Coin+ are some of the strongest enchancements in the game</v>
      </c>
      <c r="G18" s="1190" t="s">
        <v>322</v>
      </c>
      <c r="H18" s="1188" t="s">
        <v>545</v>
      </c>
      <c r="J18" s="1188" t="s">
        <v>586</v>
      </c>
    </row>
    <row r="19">
      <c r="A19" s="1353"/>
      <c r="B19" s="1353"/>
      <c r="C19" s="1353"/>
      <c r="D19" s="1353"/>
    </row>
    <row r="20">
      <c r="A20" s="1353" t="str">
        <f>IFERROR(__xludf.DUMMYFUNCTION("""COMPUTED_VALUE"""),"Damage")</f>
        <v>Damage</v>
      </c>
      <c r="B20" s="1353" t="str">
        <f>IFERROR(__xludf.DUMMYFUNCTION("""COMPUTED_VALUE"""),"B")</f>
        <v>B</v>
      </c>
      <c r="C20" s="1353"/>
      <c r="D20" s="1353" t="str">
        <f>IFERROR(__xludf.DUMMYFUNCTION("""COMPUTED_VALUE"""),"Most useful after owning a damage UW like Chain Lightning, still retains some utility for early towers in tournaments or against protectors/elites")</f>
        <v>Most useful after owning a damage UW like Chain Lightning, still retains some utility for early towers in tournaments or against protectors/elites</v>
      </c>
      <c r="G20" s="1188" t="s">
        <v>155</v>
      </c>
      <c r="H20" s="1188" t="s">
        <v>546</v>
      </c>
      <c r="J20" s="1188" t="s">
        <v>587</v>
      </c>
    </row>
    <row r="21">
      <c r="A21" s="1353" t="str">
        <f>IFERROR(__xludf.DUMMYFUNCTION("""COMPUTED_VALUE"""),"Attack Speed")</f>
        <v>Attack Speed</v>
      </c>
      <c r="B21" s="1353" t="str">
        <f>IFERROR(__xludf.DUMMYFUNCTION("""COMPUTED_VALUE"""),"A")</f>
        <v>A</v>
      </c>
      <c r="C21" s="1353"/>
      <c r="D21" s="1353" t="str">
        <f>IFERROR(__xludf.DUMMYFUNCTION("""COMPUTED_VALUE"""),"Very good lab for increasing both damage and CC, gets very long towards the end")</f>
        <v>Very good lab for increasing both damage and CC, gets very long towards the end</v>
      </c>
      <c r="G21" s="1188" t="s">
        <v>170</v>
      </c>
      <c r="H21" s="1188" t="s">
        <v>545</v>
      </c>
      <c r="J21" s="1188" t="s">
        <v>588</v>
      </c>
    </row>
    <row r="22">
      <c r="A22" s="1353" t="str">
        <f>IFERROR(__xludf.DUMMYFUNCTION("""COMPUTED_VALUE"""),"Critical Factor")</f>
        <v>Critical Factor</v>
      </c>
      <c r="B22" s="1353" t="str">
        <f>IFERROR(__xludf.DUMMYFUNCTION("""COMPUTED_VALUE"""),"A")</f>
        <v>A</v>
      </c>
      <c r="C22" s="1353"/>
      <c r="D22" s="1353" t="str">
        <f>IFERROR(__xludf.DUMMYFUNCTION("""COMPUTED_VALUE"""),"Same as Damage although more significant per level, even more so when using the Ultimate Crit card")</f>
        <v>Same as Damage although more significant per level, even more so when using the Ultimate Crit card</v>
      </c>
      <c r="G22" s="1188" t="s">
        <v>181</v>
      </c>
      <c r="H22" s="1188" t="s">
        <v>545</v>
      </c>
      <c r="J22" s="1188" t="s">
        <v>589</v>
      </c>
    </row>
    <row r="23">
      <c r="A23" s="1353" t="str">
        <f>IFERROR(__xludf.DUMMYFUNCTION("""COMPUTED_VALUE"""),"Range")</f>
        <v>Range</v>
      </c>
      <c r="B23" s="1353" t="str">
        <f>IFERROR(__xludf.DUMMYFUNCTION("""COMPUTED_VALUE"""),"D")</f>
        <v>D</v>
      </c>
      <c r="C23" s="1353" t="str">
        <f>IFERROR(__xludf.DUMMYFUNCTION("""COMPUTED_VALUE"""),"C")</f>
        <v>C</v>
      </c>
      <c r="D23" s="1353" t="str">
        <f>IFERROR(__xludf.DUMMYFUNCTION("""COMPUTED_VALUE"""),"Detrimental in farms if too high. Useful for orb placement in some cases. Helps out in tournaments under some BCs, has a slider to revert the effect")</f>
        <v>Detrimental in farms if too high. Useful for orb placement in some cases. Helps out in tournaments under some BCs, has a slider to revert the effect</v>
      </c>
      <c r="G23" s="1188" t="s">
        <v>195</v>
      </c>
      <c r="H23" s="1188" t="s">
        <v>548</v>
      </c>
      <c r="I23" s="1188" t="s">
        <v>547</v>
      </c>
      <c r="J23" s="1188" t="s">
        <v>590</v>
      </c>
    </row>
    <row r="24">
      <c r="A24" s="1353" t="str">
        <f>IFERROR(__xludf.DUMMYFUNCTION("""COMPUTED_VALUE"""),"Damage / Meter")</f>
        <v>Damage / Meter</v>
      </c>
      <c r="B24" s="1353" t="str">
        <f>IFERROR(__xludf.DUMMYFUNCTION("""COMPUTED_VALUE"""),"F")</f>
        <v>F</v>
      </c>
      <c r="C24" s="1353" t="str">
        <f>IFERROR(__xludf.DUMMYFUNCTION("""COMPUTED_VALUE"""),"A")</f>
        <v>A</v>
      </c>
      <c r="D24" s="1353" t="str">
        <f>IFERROR(__xludf.DUMMYFUNCTION("""COMPUTED_VALUE"""),"Useless until SL+, very helpful with it while also pairing well with Range mastery")</f>
        <v>Useless until SL+, very helpful with it while also pairing well with Range mastery</v>
      </c>
      <c r="G24" s="1188" t="s">
        <v>216</v>
      </c>
      <c r="H24" s="1188" t="s">
        <v>549</v>
      </c>
      <c r="I24" s="1188" t="s">
        <v>545</v>
      </c>
      <c r="J24" s="1188" t="s">
        <v>591</v>
      </c>
    </row>
    <row r="25">
      <c r="A25" s="1353" t="str">
        <f>IFERROR(__xludf.DUMMYFUNCTION("""COMPUTED_VALUE"""),"Super Crit Chance")</f>
        <v>Super Crit Chance</v>
      </c>
      <c r="B25" s="1353" t="str">
        <f>IFERROR(__xludf.DUMMYFUNCTION("""COMPUTED_VALUE"""),"C")</f>
        <v>C</v>
      </c>
      <c r="C25" s="1353"/>
      <c r="D25" s="1353" t="str">
        <f>IFERROR(__xludf.DUMMYFUNCTION("""COMPUTED_VALUE"""),"Gets VERY long for little benefit")</f>
        <v>Gets VERY long for little benefit</v>
      </c>
      <c r="G25" s="1188" t="s">
        <v>228</v>
      </c>
      <c r="H25" s="1188" t="s">
        <v>547</v>
      </c>
      <c r="J25" s="1188" t="s">
        <v>592</v>
      </c>
    </row>
    <row r="26">
      <c r="A26" s="1353" t="str">
        <f>IFERROR(__xludf.DUMMYFUNCTION("""COMPUTED_VALUE"""),"Super Crit Multi")</f>
        <v>Super Crit Multi</v>
      </c>
      <c r="B26" s="1353" t="str">
        <f>IFERROR(__xludf.DUMMYFUNCTION("""COMPUTED_VALUE"""),"C")</f>
        <v>C</v>
      </c>
      <c r="C26" s="1353"/>
      <c r="D26" s="1353"/>
      <c r="G26" s="1188" t="s">
        <v>239</v>
      </c>
      <c r="H26" s="1188" t="s">
        <v>547</v>
      </c>
    </row>
    <row r="27">
      <c r="A27" s="1353" t="str">
        <f>IFERROR(__xludf.DUMMYFUNCTION("""COMPUTED_VALUE"""),"Max Rend Armor Multiplier")</f>
        <v>Max Rend Armor Multiplier</v>
      </c>
      <c r="B27" s="1353" t="str">
        <f>IFERROR(__xludf.DUMMYFUNCTION("""COMPUTED_VALUE"""),"C")</f>
        <v>C</v>
      </c>
      <c r="C27" s="1353"/>
      <c r="D27" s="1353" t="str">
        <f>IFERROR(__xludf.DUMMYFUNCTION("""COMPUTED_VALUE"""),"Decent for extending bullet orbless, helps bullet damage together with AD or HB. Great to pair together with Swamp Rend to further increase its damage potential")</f>
        <v>Decent for extending bullet orbless, helps bullet damage together with AD or HB. Great to pair together with Swamp Rend to further increase its damage potential</v>
      </c>
      <c r="G27" s="1188" t="s">
        <v>250</v>
      </c>
      <c r="H27" s="1188" t="s">
        <v>547</v>
      </c>
      <c r="J27" s="1188" t="s">
        <v>593</v>
      </c>
    </row>
    <row r="28">
      <c r="A28" s="1353" t="str">
        <f>IFERROR(__xludf.DUMMYFUNCTION("""COMPUTED_VALUE"""),"Light Speed Shots")</f>
        <v>Light Speed Shots</v>
      </c>
      <c r="B28" s="1353" t="str">
        <f>IFERROR(__xludf.DUMMYFUNCTION("""COMPUTED_VALUE"""),"S")</f>
        <v>S</v>
      </c>
      <c r="C28" s="1353"/>
      <c r="D28" s="1353" t="str">
        <f>IFERROR(__xludf.DUMMYFUNCTION("""COMPUTED_VALUE"""),"Keeps enemies at tower range much better")</f>
        <v>Keeps enemies at tower range much better</v>
      </c>
      <c r="G28" s="1188" t="s">
        <v>261</v>
      </c>
      <c r="H28" s="1188" t="s">
        <v>544</v>
      </c>
      <c r="J28" s="1188" t="s">
        <v>594</v>
      </c>
    </row>
    <row r="29">
      <c r="A29" s="1353"/>
      <c r="B29" s="1353"/>
      <c r="C29" s="1353"/>
      <c r="D29" s="1353"/>
    </row>
    <row r="30">
      <c r="A30" s="1353" t="str">
        <f>IFERROR(__xludf.DUMMYFUNCTION("""COMPUTED_VALUE"""),"Health")</f>
        <v>Health</v>
      </c>
      <c r="B30" s="1353" t="str">
        <f>IFERROR(__xludf.DUMMYFUNCTION("""COMPUTED_VALUE"""),"B")</f>
        <v>B</v>
      </c>
      <c r="C30" s="1353"/>
      <c r="D30" s="1353" t="str">
        <f>IFERROR(__xludf.DUMMYFUNCTION("""COMPUTED_VALUE"""),"Good, but not game changing lab")</f>
        <v>Good, but not game changing lab</v>
      </c>
      <c r="G30" s="1188" t="s">
        <v>156</v>
      </c>
      <c r="H30" s="1188" t="s">
        <v>546</v>
      </c>
      <c r="J30" s="1188" t="s">
        <v>595</v>
      </c>
    </row>
    <row r="31">
      <c r="A31" s="1353" t="str">
        <f>IFERROR(__xludf.DUMMYFUNCTION("""COMPUTED_VALUE"""),"Health Regen")</f>
        <v>Health Regen</v>
      </c>
      <c r="B31" s="1353" t="str">
        <f>IFERROR(__xludf.DUMMYFUNCTION("""COMPUTED_VALUE"""),"F")</f>
        <v>F</v>
      </c>
      <c r="C31" s="1353" t="str">
        <f>IFERROR(__xludf.DUMMYFUNCTION("""COMPUTED_VALUE"""),"A")</f>
        <v>A</v>
      </c>
      <c r="D31" s="1353" t="str">
        <f>IFERROR(__xludf.DUMMYFUNCTION("""COMPUTED_VALUE"""),"Crucial for eHp, useless before owning WHR or Wall and for Glass Cannon builds")</f>
        <v>Crucial for eHp, useless before owning WHR or Wall and for Glass Cannon builds</v>
      </c>
      <c r="G31" s="1188" t="s">
        <v>171</v>
      </c>
      <c r="H31" s="1188" t="s">
        <v>549</v>
      </c>
      <c r="I31" s="1188" t="s">
        <v>545</v>
      </c>
      <c r="J31" s="1188" t="s">
        <v>596</v>
      </c>
    </row>
    <row r="32">
      <c r="A32" s="1353" t="str">
        <f>IFERROR(__xludf.DUMMYFUNCTION("""COMPUTED_VALUE"""),"Defense Absolute")</f>
        <v>Defense Absolute</v>
      </c>
      <c r="B32" s="1353" t="str">
        <f>IFERROR(__xludf.DUMMYFUNCTION("""COMPUTED_VALUE"""),"F")</f>
        <v>F</v>
      </c>
      <c r="C32" s="1353"/>
      <c r="D32" s="1353" t="str">
        <f>IFERROR(__xludf.DUMMYFUNCTION("""COMPUTED_VALUE"""),"Dabs scales horribly past tier 1")</f>
        <v>Dabs scales horribly past tier 1</v>
      </c>
      <c r="G32" s="1188" t="s">
        <v>182</v>
      </c>
      <c r="H32" s="1188" t="s">
        <v>549</v>
      </c>
      <c r="J32" s="1188" t="s">
        <v>597</v>
      </c>
    </row>
    <row r="33">
      <c r="A33" s="1353" t="str">
        <f>IFERROR(__xludf.DUMMYFUNCTION("""COMPUTED_VALUE"""),"Defense %")</f>
        <v>Defense %</v>
      </c>
      <c r="B33" s="1353" t="str">
        <f>IFERROR(__xludf.DUMMYFUNCTION("""COMPUTED_VALUE"""),"A")</f>
        <v>A</v>
      </c>
      <c r="C33" s="1353" t="str">
        <f>IFERROR(__xludf.DUMMYFUNCTION("""COMPUTED_VALUE"""),"F")</f>
        <v>F</v>
      </c>
      <c r="D33" s="1353" t="str">
        <f>IFERROR(__xludf.DUMMYFUNCTION("""COMPUTED_VALUE"""),"Helps reach the 98% hard cap on defense. Without relics and after fulfilling other requirements only needs 23 levels (5 levels less can be done per def% from relics, alternatively can be used to reach 98% with lower rarity substats)")</f>
        <v>Helps reach the 98% hard cap on defense. Without relics and after fulfilling other requirements only needs 23 levels (5 levels less can be done per def% from relics, alternatively can be used to reach 98% with lower rarity substats)</v>
      </c>
      <c r="G33" s="1188" t="s">
        <v>197</v>
      </c>
      <c r="H33" s="1188" t="s">
        <v>545</v>
      </c>
      <c r="I33" s="1188" t="s">
        <v>549</v>
      </c>
      <c r="J33" s="1188" t="s">
        <v>598</v>
      </c>
    </row>
    <row r="34">
      <c r="A34" s="1353" t="str">
        <f>IFERROR(__xludf.DUMMYFUNCTION("""COMPUTED_VALUE"""),"Orbs Speed")</f>
        <v>Orbs Speed</v>
      </c>
      <c r="B34" s="1353" t="str">
        <f>IFERROR(__xludf.DUMMYFUNCTION("""COMPUTED_VALUE"""),"B")</f>
        <v>B</v>
      </c>
      <c r="C34" s="1353"/>
      <c r="D34" s="1353" t="str">
        <f>IFERROR(__xludf.DUMMYFUNCTION("""COMPUTED_VALUE"""),"Decent to help with orbs clearing enemies better, later good to get more Orb mastery or Orb Boss Hit procs")</f>
        <v>Decent to help with orbs clearing enemies better, later good to get more Orb mastery or Orb Boss Hit procs</v>
      </c>
      <c r="G34" s="1188" t="s">
        <v>217</v>
      </c>
      <c r="H34" s="1188" t="s">
        <v>546</v>
      </c>
      <c r="J34" s="1188" t="s">
        <v>599</v>
      </c>
    </row>
    <row r="35">
      <c r="A35" s="1353" t="str">
        <f>IFERROR(__xludf.DUMMYFUNCTION("""COMPUTED_VALUE"""),"Land Mine Damage")</f>
        <v>Land Mine Damage</v>
      </c>
      <c r="B35" s="1353" t="str">
        <f>IFERROR(__xludf.DUMMYFUNCTION("""COMPUTED_VALUE"""),"D")</f>
        <v>D</v>
      </c>
      <c r="C35" s="1353"/>
      <c r="D35" s="1353" t="str">
        <f>IFERROR(__xludf.DUMMYFUNCTION("""COMPUTED_VALUE"""),"Can help with orbless farms")</f>
        <v>Can help with orbless farms</v>
      </c>
      <c r="G35" s="1188" t="s">
        <v>229</v>
      </c>
      <c r="H35" s="1188" t="s">
        <v>548</v>
      </c>
      <c r="J35" s="1188" t="s">
        <v>600</v>
      </c>
    </row>
    <row r="36">
      <c r="A36" s="1353" t="str">
        <f>IFERROR(__xludf.DUMMYFUNCTION("""COMPUTED_VALUE"""),"Land Mine Decay")</f>
        <v>Land Mine Decay</v>
      </c>
      <c r="B36" s="1353" t="str">
        <f>IFERROR(__xludf.DUMMYFUNCTION("""COMPUTED_VALUE"""),"F")</f>
        <v>F</v>
      </c>
      <c r="C36" s="1353"/>
      <c r="D36" s="1353" t="str">
        <f>IFERROR(__xludf.DUMMYFUNCTION("""COMPUTED_VALUE"""),"Landmines usually explode before having a chance to decay")</f>
        <v>Landmines usually explode before having a chance to decay</v>
      </c>
      <c r="G36" s="1188" t="s">
        <v>240</v>
      </c>
      <c r="H36" s="1188" t="s">
        <v>549</v>
      </c>
      <c r="J36" s="1188" t="s">
        <v>601</v>
      </c>
    </row>
    <row r="37">
      <c r="A37" s="1353" t="str">
        <f>IFERROR(__xludf.DUMMYFUNCTION("""COMPUTED_VALUE"""),"Shockwave Size")</f>
        <v>Shockwave Size</v>
      </c>
      <c r="B37" s="1353" t="str">
        <f>IFERROR(__xludf.DUMMYFUNCTION("""COMPUTED_VALUE"""),"B")</f>
        <v>B</v>
      </c>
      <c r="C37" s="1353"/>
      <c r="D37" s="1353" t="str">
        <f>IFERROR(__xludf.DUMMYFUNCTION("""COMPUTED_VALUE"""),"Damage builds that use ACP can use this lab to tune their shockwave size to only hit things at tower range line now that the lab has a slider")</f>
        <v>Damage builds that use ACP can use this lab to tune their shockwave size to only hit things at tower range line now that the lab has a slider</v>
      </c>
      <c r="G37" s="1188" t="s">
        <v>251</v>
      </c>
      <c r="H37" s="1188" t="s">
        <v>549</v>
      </c>
      <c r="I37" s="1188" t="s">
        <v>546</v>
      </c>
      <c r="J37" s="1188" t="s">
        <v>602</v>
      </c>
    </row>
    <row r="38">
      <c r="A38" s="1353" t="str">
        <f>IFERROR(__xludf.DUMMYFUNCTION("""COMPUTED_VALUE"""),"Orb Boss Hit")</f>
        <v>Orb Boss Hit</v>
      </c>
      <c r="B38" s="1353" t="str">
        <f>IFERROR(__xludf.DUMMYFUNCTION("""COMPUTED_VALUE"""),"D")</f>
        <v>D</v>
      </c>
      <c r="C38" s="1353" t="str">
        <f>IFERROR(__xludf.DUMMYFUNCTION("""COMPUTED_VALUE"""),"S")</f>
        <v>S</v>
      </c>
      <c r="D38" s="1353" t="str">
        <f>IFERROR(__xludf.DUMMYFUNCTION("""COMPUTED_VALUE"""),"Mostly useless until you have developed CC to force bosses to stay in orb line longer")</f>
        <v>Mostly useless until you have developed CC to force bosses to stay in orb line longer</v>
      </c>
      <c r="G38" s="1188" t="s">
        <v>262</v>
      </c>
      <c r="H38" s="1188" t="s">
        <v>548</v>
      </c>
      <c r="I38" s="1188" t="s">
        <v>544</v>
      </c>
      <c r="J38" s="1188" t="s">
        <v>603</v>
      </c>
    </row>
    <row r="39">
      <c r="A39" s="1353" t="str">
        <f>IFERROR(__xludf.DUMMYFUNCTION("""COMPUTED_VALUE"""),"Wall Health")</f>
        <v>Wall Health</v>
      </c>
      <c r="B39" s="1353" t="str">
        <f>IFERROR(__xludf.DUMMYFUNCTION("""COMPUTED_VALUE"""),"B")</f>
        <v>B</v>
      </c>
      <c r="C39" s="1353"/>
      <c r="D39" s="1353" t="str">
        <f>IFERROR(__xludf.DUMMYFUNCTION("""COMPUTED_VALUE"""),"Another health lab")</f>
        <v>Another health lab</v>
      </c>
      <c r="G39" s="1188" t="s">
        <v>271</v>
      </c>
      <c r="H39" s="1188" t="s">
        <v>546</v>
      </c>
      <c r="J39" s="1188" t="s">
        <v>604</v>
      </c>
    </row>
    <row r="40">
      <c r="A40" s="1353" t="str">
        <f>IFERROR(__xludf.DUMMYFUNCTION("""COMPUTED_VALUE"""),"Wall Rebuild")</f>
        <v>Wall Rebuild</v>
      </c>
      <c r="B40" s="1353" t="str">
        <f>IFERROR(__xludf.DUMMYFUNCTION("""COMPUTED_VALUE"""),"D")</f>
        <v>D</v>
      </c>
      <c r="C40" s="1353" t="str">
        <f>IFERROR(__xludf.DUMMYFUNCTION("""COMPUTED_VALUE"""),"A")</f>
        <v>A</v>
      </c>
      <c r="D40" s="1353" t="str">
        <f>IFERROR(__xludf.DUMMYFUNCTION("""COMPUTED_VALUE"""),"Mostly useless unless you're using a Glass Cannon build")</f>
        <v>Mostly useless unless you're using a Glass Cannon build</v>
      </c>
      <c r="G40" s="1188" t="s">
        <v>279</v>
      </c>
      <c r="H40" s="1188" t="s">
        <v>548</v>
      </c>
      <c r="I40" s="1188" t="s">
        <v>545</v>
      </c>
      <c r="J40" s="1188" t="s">
        <v>605</v>
      </c>
    </row>
    <row r="41">
      <c r="A41" s="1353" t="str">
        <f>IFERROR(__xludf.DUMMYFUNCTION("""COMPUTED_VALUE"""),"Wall Regen")</f>
        <v>Wall Regen</v>
      </c>
      <c r="B41" s="1353" t="str">
        <f>IFERROR(__xludf.DUMMYFUNCTION("""COMPUTED_VALUE"""),"A")</f>
        <v>A</v>
      </c>
      <c r="C41" s="1353"/>
      <c r="D41" s="1353" t="str">
        <f>IFERROR(__xludf.DUMMYFUNCTION("""COMPUTED_VALUE"""),"Best eHP tool in the game because Vamps don't turn it off; do at least 10 levels")</f>
        <v>Best eHP tool in the game because Vamps don't turn it off; do at least 10 levels</v>
      </c>
      <c r="G41" s="1188" t="s">
        <v>287</v>
      </c>
      <c r="H41" s="1188" t="s">
        <v>545</v>
      </c>
      <c r="J41" s="1188" t="s">
        <v>606</v>
      </c>
    </row>
    <row r="42">
      <c r="A42" s="1353" t="str">
        <f>IFERROR(__xludf.DUMMYFUNCTION("""COMPUTED_VALUE"""),"Wall Thorns")</f>
        <v>Wall Thorns</v>
      </c>
      <c r="B42" s="1353" t="str">
        <f>IFERROR(__xludf.DUMMYFUNCTION("""COMPUTED_VALUE"""),"S")</f>
        <v>S</v>
      </c>
      <c r="C42" s="1353" t="str">
        <f>IFERROR(__xludf.DUMMYFUNCTION("""COMPUTED_VALUE"""),"C")</f>
        <v>C</v>
      </c>
      <c r="D42" s="1353" t="str">
        <f>IFERROR(__xludf.DUMMYFUNCTION("""COMPUTED_VALUE"""),"Helps kill enemies with wall quicker, useful percentage damage; get to at least 11 ")</f>
        <v>Helps kill enemies with wall quicker, useful percentage damage; get to at least 11 </v>
      </c>
      <c r="G42" s="1188" t="s">
        <v>295</v>
      </c>
      <c r="H42" s="1188" t="s">
        <v>544</v>
      </c>
      <c r="I42" s="1188" t="s">
        <v>547</v>
      </c>
      <c r="J42" s="1188" t="s">
        <v>607</v>
      </c>
    </row>
    <row r="43">
      <c r="A43" s="1353" t="str">
        <f>IFERROR(__xludf.DUMMYFUNCTION("""COMPUTED_VALUE"""),"Wall Invincibility")</f>
        <v>Wall Invincibility</v>
      </c>
      <c r="B43" s="1353" t="str">
        <f>IFERROR(__xludf.DUMMYFUNCTION("""COMPUTED_VALUE"""),"D")</f>
        <v>D</v>
      </c>
      <c r="C43" s="1353" t="str">
        <f>IFERROR(__xludf.DUMMYFUNCTION("""COMPUTED_VALUE"""),"A")</f>
        <v>A</v>
      </c>
      <c r="D43" s="1353" t="str">
        <f>IFERROR(__xludf.DUMMYFUNCTION("""COMPUTED_VALUE"""),"Same as Wall Rebuild")</f>
        <v>Same as Wall Rebuild</v>
      </c>
      <c r="G43" s="1188" t="s">
        <v>302</v>
      </c>
      <c r="H43" s="1188" t="s">
        <v>548</v>
      </c>
      <c r="I43" s="1188" t="s">
        <v>545</v>
      </c>
      <c r="J43" s="1188" t="s">
        <v>608</v>
      </c>
    </row>
    <row r="44">
      <c r="A44" s="1353" t="str">
        <f>IFERROR(__xludf.DUMMYFUNCTION("""COMPUTED_VALUE"""),"Wall Fortification")</f>
        <v>Wall Fortification</v>
      </c>
      <c r="B44" s="1353" t="str">
        <f>IFERROR(__xludf.DUMMYFUNCTION("""COMPUTED_VALUE"""),"A")</f>
        <v>A</v>
      </c>
      <c r="C44" s="1353"/>
      <c r="D44" s="1353" t="str">
        <f>IFERROR(__xludf.DUMMYFUNCTION("""COMPUTED_VALUE"""),"Enables Wall Regen to be the best eHp tool in the game")</f>
        <v>Enables Wall Regen to be the best eHp tool in the game</v>
      </c>
      <c r="G44" s="1188" t="s">
        <v>309</v>
      </c>
      <c r="H44" s="1188" t="s">
        <v>545</v>
      </c>
      <c r="J44" s="1188" t="s">
        <v>609</v>
      </c>
    </row>
    <row r="45">
      <c r="A45" s="1353" t="str">
        <f>IFERROR(__xludf.DUMMYFUNCTION("""COMPUTED_VALUE"""),"Garlic Thorns")</f>
        <v>Garlic Thorns</v>
      </c>
      <c r="B45" s="1353" t="str">
        <f>IFERROR(__xludf.DUMMYFUNCTION("""COMPUTED_VALUE"""),"S+")</f>
        <v>S+</v>
      </c>
      <c r="C45" s="1353"/>
      <c r="D45" s="1353" t="str">
        <f>IFERROR(__xludf.DUMMYFUNCTION("""COMPUTED_VALUE"""),"Solves the vampire problem better than a wooden stake to the heart, if you don't have a problem with vampires you can wait to start/finish this lab")</f>
        <v>Solves the vampire problem better than a wooden stake to the heart, if you don't have a problem with vampires you can wait to start/finish this lab</v>
      </c>
      <c r="G45" s="1188" t="s">
        <v>316</v>
      </c>
      <c r="H45" s="1188" t="s">
        <v>543</v>
      </c>
      <c r="J45" s="1188" t="s">
        <v>610</v>
      </c>
    </row>
    <row r="46">
      <c r="A46" s="1353"/>
      <c r="B46" s="1353"/>
      <c r="C46" s="1353"/>
      <c r="D46" s="1353"/>
    </row>
    <row r="47">
      <c r="A47" s="1353" t="str">
        <f>IFERROR(__xludf.DUMMYFUNCTION("""COMPUTED_VALUE"""),"Cash Bonus")</f>
        <v>Cash Bonus</v>
      </c>
      <c r="B47" s="1353" t="str">
        <f>IFERROR(__xludf.DUMMYFUNCTION("""COMPUTED_VALUE"""),"B")</f>
        <v>B</v>
      </c>
      <c r="C47" s="1353"/>
      <c r="D47" s="1353" t="str">
        <f>IFERROR(__xludf.DUMMYFUNCTION("""COMPUTED_VALUE"""),"Cash has limited usability")</f>
        <v>Cash has limited usability</v>
      </c>
      <c r="G47" s="1188" t="s">
        <v>157</v>
      </c>
      <c r="H47" s="1188" t="s">
        <v>546</v>
      </c>
      <c r="J47" s="1188" t="s">
        <v>611</v>
      </c>
    </row>
    <row r="48">
      <c r="A48" s="1353" t="str">
        <f>IFERROR(__xludf.DUMMYFUNCTION("""COMPUTED_VALUE"""),"Cash / Wave")</f>
        <v>Cash / Wave</v>
      </c>
      <c r="B48" s="1353" t="str">
        <f>IFERROR(__xludf.DUMMYFUNCTION("""COMPUTED_VALUE"""),"F")</f>
        <v>F</v>
      </c>
      <c r="C48" s="1353"/>
      <c r="D48" s="1353" t="str">
        <f>IFERROR(__xludf.DUMMYFUNCTION("""COMPUTED_VALUE"""),"Kills from enemies matter a lot more")</f>
        <v>Kills from enemies matter a lot more</v>
      </c>
      <c r="G48" s="1188" t="s">
        <v>172</v>
      </c>
      <c r="H48" s="1188" t="s">
        <v>549</v>
      </c>
      <c r="J48" s="1188" t="s">
        <v>612</v>
      </c>
    </row>
    <row r="49">
      <c r="A49" s="1353" t="str">
        <f>IFERROR(__xludf.DUMMYFUNCTION("""COMPUTED_VALUE"""),"Coins / Kill Bonus")</f>
        <v>Coins / Kill Bonus</v>
      </c>
      <c r="B49" s="1353" t="str">
        <f>IFERROR(__xludf.DUMMYFUNCTION("""COMPUTED_VALUE"""),"A")</f>
        <v>A</v>
      </c>
      <c r="C49" s="1353"/>
      <c r="D49" s="1353" t="str">
        <f>IFERROR(__xludf.DUMMYFUNCTION("""COMPUTED_VALUE"""),"Excellent lab, eventually max it, but balance it with UW econ labs")</f>
        <v>Excellent lab, eventually max it, but balance it with UW econ labs</v>
      </c>
      <c r="G49" s="1188" t="s">
        <v>183</v>
      </c>
      <c r="H49" s="1188" t="s">
        <v>545</v>
      </c>
      <c r="J49" s="1188" t="s">
        <v>613</v>
      </c>
    </row>
    <row r="50">
      <c r="A50" s="1353" t="str">
        <f>IFERROR(__xludf.DUMMYFUNCTION("""COMPUTED_VALUE"""),"Coins / Wave")</f>
        <v>Coins / Wave</v>
      </c>
      <c r="B50" s="1353" t="str">
        <f>IFERROR(__xludf.DUMMYFUNCTION("""COMPUTED_VALUE"""),"F")</f>
        <v>F</v>
      </c>
      <c r="C50" s="1353"/>
      <c r="D50" s="1353" t="str">
        <f>IFERROR(__xludf.DUMMYFUNCTION("""COMPUTED_VALUE"""),"Coins from enemies quickly become the only coins that matter")</f>
        <v>Coins from enemies quickly become the only coins that matter</v>
      </c>
      <c r="G50" s="1188" t="s">
        <v>199</v>
      </c>
      <c r="H50" s="1188" t="s">
        <v>549</v>
      </c>
      <c r="J50" s="1188" t="s">
        <v>614</v>
      </c>
    </row>
    <row r="51">
      <c r="A51" s="1353" t="str">
        <f>IFERROR(__xludf.DUMMYFUNCTION("""COMPUTED_VALUE"""),"Interest")</f>
        <v>Interest</v>
      </c>
      <c r="B51" s="1353" t="str">
        <f>IFERROR(__xludf.DUMMYFUNCTION("""COMPUTED_VALUE"""),"F")</f>
        <v>F</v>
      </c>
      <c r="C51" s="1353"/>
      <c r="D51" s="1353" t="str">
        <f>IFERROR(__xludf.DUMMYFUNCTION("""COMPUTED_VALUE"""),"Only helps to reach the max which is very easy regardless")</f>
        <v>Only helps to reach the max which is very easy regardless</v>
      </c>
      <c r="G51" s="1188" t="s">
        <v>218</v>
      </c>
      <c r="H51" s="1188" t="s">
        <v>549</v>
      </c>
      <c r="J51" s="1188" t="s">
        <v>615</v>
      </c>
    </row>
    <row r="52">
      <c r="A52" s="1353" t="str">
        <f>IFERROR(__xludf.DUMMYFUNCTION("""COMPUTED_VALUE"""),"Max Interest")</f>
        <v>Max Interest</v>
      </c>
      <c r="B52" s="1353" t="str">
        <f>IFERROR(__xludf.DUMMYFUNCTION("""COMPUTED_VALUE"""),"C")</f>
        <v>C</v>
      </c>
      <c r="C52" s="1353"/>
      <c r="D52" s="1353" t="str">
        <f>IFERROR(__xludf.DUMMYFUNCTION("""COMPUTED_VALUE"""),"Useful for early cash purchases, good for weak/no GT")</f>
        <v>Useful for early cash purchases, good for weak/no GT</v>
      </c>
      <c r="G52" s="1188" t="s">
        <v>230</v>
      </c>
      <c r="H52" s="1188" t="s">
        <v>547</v>
      </c>
      <c r="J52" s="1188" t="s">
        <v>616</v>
      </c>
    </row>
    <row r="53">
      <c r="A53" s="1353" t="str">
        <f>IFERROR(__xludf.DUMMYFUNCTION("""COMPUTED_VALUE"""),"Package After Boss")</f>
        <v>Package After Boss</v>
      </c>
      <c r="B53" s="1353" t="str">
        <f>IFERROR(__xludf.DUMMYFUNCTION("""COMPUTED_VALUE"""),"B")</f>
        <v>B</v>
      </c>
      <c r="C53" s="1353"/>
      <c r="D53" s="1353" t="str">
        <f>IFERROR(__xludf.DUMMYFUNCTION("""COMPUTED_VALUE"""),"Decreases variability of packages, very good for early towers without WHR or Wall and Gcomp users")</f>
        <v>Decreases variability of packages, very good for early towers without WHR or Wall and Gcomp users</v>
      </c>
      <c r="G53" s="1188" t="s">
        <v>241</v>
      </c>
      <c r="H53" s="1188" t="s">
        <v>546</v>
      </c>
      <c r="J53" s="1188" t="s">
        <v>617</v>
      </c>
    </row>
    <row r="54">
      <c r="A54" s="1353" t="str">
        <f>IFERROR(__xludf.DUMMYFUNCTION("""COMPUTED_VALUE"""),"Recovery Package Amount")</f>
        <v>Recovery Package Amount</v>
      </c>
      <c r="B54" s="1353" t="str">
        <f>IFERROR(__xludf.DUMMYFUNCTION("""COMPUTED_VALUE"""),"F")</f>
        <v>F</v>
      </c>
      <c r="C54" s="1353"/>
      <c r="D54" s="1353" t="str">
        <f>IFERROR(__xludf.DUMMYFUNCTION("""COMPUTED_VALUE"""),"Packages become insignificant after wall, very little value per level")</f>
        <v>Packages become insignificant after wall, very little value per level</v>
      </c>
      <c r="G54" s="1188" t="s">
        <v>252</v>
      </c>
      <c r="H54" s="1188" t="s">
        <v>549</v>
      </c>
      <c r="J54" s="1188" t="s">
        <v>618</v>
      </c>
    </row>
    <row r="55">
      <c r="A55" s="1353" t="str">
        <f>IFERROR(__xludf.DUMMYFUNCTION("""COMPUTED_VALUE"""),"Recovery Package Max")</f>
        <v>Recovery Package Max</v>
      </c>
      <c r="B55" s="1353" t="str">
        <f>IFERROR(__xludf.DUMMYFUNCTION("""COMPUTED_VALUE"""),"F")</f>
        <v>F</v>
      </c>
      <c r="C55" s="1353"/>
      <c r="D55" s="1353"/>
      <c r="G55" s="1188" t="s">
        <v>263</v>
      </c>
      <c r="H55" s="1188" t="s">
        <v>549</v>
      </c>
    </row>
    <row r="56">
      <c r="A56" s="1353" t="str">
        <f>IFERROR(__xludf.DUMMYFUNCTION("""COMPUTED_VALUE"""),"Recovery Package Chance")</f>
        <v>Recovery Package Chance</v>
      </c>
      <c r="B56" s="1353" t="str">
        <f>IFERROR(__xludf.DUMMYFUNCTION("""COMPUTED_VALUE"""),"B")</f>
        <v>B</v>
      </c>
      <c r="C56" s="1353" t="str">
        <f>IFERROR(__xludf.DUMMYFUNCTION("""COMPUTED_VALUE"""),"S")</f>
        <v>S</v>
      </c>
      <c r="D56" s="1353" t="str">
        <f>IFERROR(__xludf.DUMMYFUNCTION("""COMPUTED_VALUE"""),"Good with GComp and for getting extra shards out of RPC mastery")</f>
        <v>Good with GComp and for getting extra shards out of RPC mastery</v>
      </c>
      <c r="G56" s="1188" t="s">
        <v>272</v>
      </c>
      <c r="H56" s="1188" t="s">
        <v>546</v>
      </c>
      <c r="I56" s="1188" t="s">
        <v>544</v>
      </c>
      <c r="J56" s="1188" t="s">
        <v>619</v>
      </c>
    </row>
    <row r="57">
      <c r="A57" s="1353" t="str">
        <f>IFERROR(__xludf.DUMMYFUNCTION("""COMPUTED_VALUE"""),"Enemy Attack Level Skip")</f>
        <v>Enemy Attack Level Skip</v>
      </c>
      <c r="B57" s="1353" t="str">
        <f>IFERROR(__xludf.DUMMYFUNCTION("""COMPUTED_VALUE"""),"A")</f>
        <v>A</v>
      </c>
      <c r="C57" s="1353"/>
      <c r="D57" s="1353" t="str">
        <f>IFERROR(__xludf.DUMMYFUNCTION("""COMPUTED_VALUE"""),"More ELS is always good, especially when the lab is less expensive than the WS or WS+ upgrades")</f>
        <v>More ELS is always good, especially when the lab is less expensive than the WS or WS+ upgrades</v>
      </c>
      <c r="G57" s="1188" t="s">
        <v>280</v>
      </c>
      <c r="H57" s="1188" t="s">
        <v>545</v>
      </c>
      <c r="J57" s="1188" t="s">
        <v>620</v>
      </c>
    </row>
    <row r="58">
      <c r="A58" s="1353" t="str">
        <f>IFERROR(__xludf.DUMMYFUNCTION("""COMPUTED_VALUE"""),"Enemy Health Level Skip")</f>
        <v>Enemy Health Level Skip</v>
      </c>
      <c r="B58" s="1353" t="str">
        <f>IFERROR(__xludf.DUMMYFUNCTION("""COMPUTED_VALUE"""),"A")</f>
        <v>A</v>
      </c>
      <c r="C58" s="1353"/>
      <c r="D58" s="1353"/>
      <c r="G58" s="1188" t="s">
        <v>288</v>
      </c>
      <c r="H58" s="1188" t="s">
        <v>545</v>
      </c>
    </row>
    <row r="59">
      <c r="A59" s="1353"/>
      <c r="B59" s="1353"/>
      <c r="C59" s="1353"/>
      <c r="D59" s="1353"/>
    </row>
    <row r="60">
      <c r="A60" s="1353" t="str">
        <f>IFERROR(__xludf.DUMMYFUNCTION("""COMPUTED_VALUE"""),"Missile Despawn Time")</f>
        <v>Missile Despawn Time</v>
      </c>
      <c r="B60" s="1353" t="str">
        <f>IFERROR(__xludf.DUMMYFUNCTION("""COMPUTED_VALUE"""),"F")</f>
        <v>F</v>
      </c>
      <c r="C60" s="1353"/>
      <c r="D60" s="1353" t="str">
        <f>IFERROR(__xludf.DUMMYFUNCTION("""COMPUTED_VALUE"""),"Useless; if a missile lives long enough for this to matter it was not needed")</f>
        <v>Useless; if a missile lives long enough for this to matter it was not needed</v>
      </c>
      <c r="G60" s="1188" t="s">
        <v>158</v>
      </c>
      <c r="H60" s="1188" t="s">
        <v>549</v>
      </c>
      <c r="J60" s="1188" t="s">
        <v>621</v>
      </c>
    </row>
    <row r="61">
      <c r="A61" s="1353" t="str">
        <f>IFERROR(__xludf.DUMMYFUNCTION("""COMPUTED_VALUE"""),"Missiles Explosion")</f>
        <v>Missiles Explosion</v>
      </c>
      <c r="B61" s="1353" t="str">
        <f>IFERROR(__xludf.DUMMYFUNCTION("""COMPUTED_VALUE"""),"A")</f>
        <v>A</v>
      </c>
      <c r="C61" s="1353"/>
      <c r="D61" s="1353" t="str">
        <f>IFERROR(__xludf.DUMMYFUNCTION("""COMPUTED_VALUE"""),"Adds crucial splash damage to Missiles")</f>
        <v>Adds crucial splash damage to Missiles</v>
      </c>
      <c r="G61" s="1188" t="s">
        <v>173</v>
      </c>
      <c r="H61" s="1188" t="s">
        <v>545</v>
      </c>
      <c r="J61" s="1188" t="s">
        <v>622</v>
      </c>
    </row>
    <row r="62">
      <c r="A62" s="1353" t="str">
        <f>IFERROR(__xludf.DUMMYFUNCTION("""COMPUTED_VALUE"""),"Missile Radius")</f>
        <v>Missile Radius</v>
      </c>
      <c r="B62" s="1353" t="str">
        <f>IFERROR(__xludf.DUMMYFUNCTION("""COMPUTED_VALUE"""),"B")</f>
        <v>B</v>
      </c>
      <c r="C62" s="1353"/>
      <c r="D62" s="1353"/>
      <c r="G62" s="1188" t="s">
        <v>184</v>
      </c>
      <c r="H62" s="1188" t="s">
        <v>546</v>
      </c>
    </row>
    <row r="63">
      <c r="A63" s="1353" t="str">
        <f>IFERROR(__xludf.DUMMYFUNCTION("""COMPUTED_VALUE"""),"Chrono Field Duration")</f>
        <v>Chrono Field Duration</v>
      </c>
      <c r="B63" s="1353" t="str">
        <f>IFERROR(__xludf.DUMMYFUNCTION("""COMPUTED_VALUE"""),"A")</f>
        <v>A</v>
      </c>
      <c r="C63" s="1353"/>
      <c r="D63" s="1353" t="str">
        <f>IFERROR(__xludf.DUMMYFUNCTION("""COMPUTED_VALUE"""),"Only research with intention to go for permanent CF")</f>
        <v>Only research with intention to go for permanent CF</v>
      </c>
      <c r="G63" s="1188" t="s">
        <v>201</v>
      </c>
      <c r="H63" s="1188" t="s">
        <v>545</v>
      </c>
      <c r="J63" s="1188" t="s">
        <v>623</v>
      </c>
    </row>
    <row r="64">
      <c r="A64" s="1353" t="str">
        <f>IFERROR(__xludf.DUMMYFUNCTION("""COMPUTED_VALUE"""),"Chrono Field Damage Reduction")</f>
        <v>Chrono Field Damage Reduction</v>
      </c>
      <c r="B64" s="1353" t="str">
        <f>IFERROR(__xludf.DUMMYFUNCTION("""COMPUTED_VALUE"""),"C")</f>
        <v>C</v>
      </c>
      <c r="C64" s="1353"/>
      <c r="D64" s="1353" t="str">
        <f>IFERROR(__xludf.DUMMYFUNCTION("""COMPUTED_VALUE"""),"Very long for any benefit past a certan point")</f>
        <v>Very long for any benefit past a certan point</v>
      </c>
      <c r="G64" s="1188" t="s">
        <v>219</v>
      </c>
      <c r="H64" s="1188" t="s">
        <v>547</v>
      </c>
      <c r="J64" s="1188" t="s">
        <v>624</v>
      </c>
    </row>
    <row r="65">
      <c r="A65" s="1353" t="str">
        <f>IFERROR(__xludf.DUMMYFUNCTION("""COMPUTED_VALUE"""),"Chrono Field Reduction %")</f>
        <v>Chrono Field Reduction %</v>
      </c>
      <c r="B65" s="1353" t="str">
        <f>IFERROR(__xludf.DUMMYFUNCTION("""COMPUTED_VALUE"""),"C")</f>
        <v>C</v>
      </c>
      <c r="C65" s="1353"/>
      <c r="D65" s="1353"/>
      <c r="G65" s="1188" t="s">
        <v>231</v>
      </c>
      <c r="H65" s="1188" t="s">
        <v>547</v>
      </c>
    </row>
    <row r="66">
      <c r="A66" s="1353" t="str">
        <f>IFERROR(__xludf.DUMMYFUNCTION("""COMPUTED_VALUE"""),"Swamp Radius")</f>
        <v>Swamp Radius</v>
      </c>
      <c r="B66" s="1353" t="str">
        <f>IFERROR(__xludf.DUMMYFUNCTION("""COMPUTED_VALUE"""),"F")</f>
        <v>F</v>
      </c>
      <c r="C66" s="1353" t="str">
        <f>IFERROR(__xludf.DUMMYFUNCTION("""COMPUTED_VALUE"""),"A")</f>
        <v>A</v>
      </c>
      <c r="D66" s="1353" t="str">
        <f>IFERROR(__xludf.DUMMYFUNCTION("""COMPUTED_VALUE"""),"Potential footgun regarding where the enemy gets stunned. Proceed with caution. Can be partly counteracted by using a higher range")</f>
        <v>Potential footgun regarding where the enemy gets stunned. Proceed with caution. Can be partly counteracted by using a higher range</v>
      </c>
      <c r="G66" s="1188" t="s">
        <v>242</v>
      </c>
      <c r="H66" s="1188" t="s">
        <v>549</v>
      </c>
      <c r="I66" s="1188" t="s">
        <v>545</v>
      </c>
      <c r="J66" s="1188" t="s">
        <v>625</v>
      </c>
    </row>
    <row r="67">
      <c r="A67" s="1353" t="str">
        <f>IFERROR(__xludf.DUMMYFUNCTION("""COMPUTED_VALUE"""),"Swamp Stun")</f>
        <v>Swamp Stun</v>
      </c>
      <c r="B67" s="1353" t="str">
        <f>IFERROR(__xludf.DUMMYFUNCTION("""COMPUTED_VALUE"""),"A")</f>
        <v>A</v>
      </c>
      <c r="C67" s="1353"/>
      <c r="D67" s="1353" t="str">
        <f>IFERROR(__xludf.DUMMYFUNCTION("""COMPUTED_VALUE"""),"Great complementary source of crowd control")</f>
        <v>Great complementary source of crowd control</v>
      </c>
      <c r="G67" s="1188" t="s">
        <v>253</v>
      </c>
      <c r="H67" s="1188" t="s">
        <v>545</v>
      </c>
      <c r="J67" s="1188" t="s">
        <v>626</v>
      </c>
    </row>
    <row r="68">
      <c r="A68" s="1353" t="str">
        <f>IFERROR(__xludf.DUMMYFUNCTION("""COMPUTED_VALUE"""),"Swamp Stun Chance")</f>
        <v>Swamp Stun Chance</v>
      </c>
      <c r="B68" s="1353" t="str">
        <f>IFERROR(__xludf.DUMMYFUNCTION("""COMPUTED_VALUE"""),"A")</f>
        <v>A</v>
      </c>
      <c r="C68" s="1353"/>
      <c r="D68" s="1353"/>
      <c r="G68" s="1188" t="s">
        <v>264</v>
      </c>
      <c r="H68" s="1188" t="s">
        <v>545</v>
      </c>
    </row>
    <row r="69">
      <c r="A69" s="1353" t="str">
        <f>IFERROR(__xludf.DUMMYFUNCTION("""COMPUTED_VALUE"""),"Swamp Stun Time")</f>
        <v>Swamp Stun Time</v>
      </c>
      <c r="B69" s="1353" t="str">
        <f>IFERROR(__xludf.DUMMYFUNCTION("""COMPUTED_VALUE"""),"A")</f>
        <v>A</v>
      </c>
      <c r="C69" s="1353"/>
      <c r="D69" s="1353"/>
      <c r="G69" s="1188" t="s">
        <v>273</v>
      </c>
      <c r="H69" s="1188" t="s">
        <v>545</v>
      </c>
    </row>
    <row r="70">
      <c r="A70" s="1353" t="str">
        <f>IFERROR(__xludf.DUMMYFUNCTION("""COMPUTED_VALUE"""),"Golden Tower Bonus")</f>
        <v>Golden Tower Bonus</v>
      </c>
      <c r="B70" s="1353" t="str">
        <f>IFERROR(__xludf.DUMMYFUNCTION("""COMPUTED_VALUE"""),"B")</f>
        <v>B</v>
      </c>
      <c r="C70" s="1353"/>
      <c r="D70" s="1353" t="str">
        <f>IFERROR(__xludf.DUMMYFUNCTION("""COMPUTED_VALUE"""),"One of the last econ labs to do")</f>
        <v>One of the last econ labs to do</v>
      </c>
      <c r="G70" s="1188" t="s">
        <v>281</v>
      </c>
      <c r="H70" s="1188" t="s">
        <v>546</v>
      </c>
      <c r="J70" s="1188" t="s">
        <v>627</v>
      </c>
    </row>
    <row r="71">
      <c r="A71" s="1353" t="str">
        <f>IFERROR(__xludf.DUMMYFUNCTION("""COMPUTED_VALUE"""),"Golden Tower Duration")</f>
        <v>Golden Tower Duration</v>
      </c>
      <c r="B71" s="1353" t="str">
        <f>IFERROR(__xludf.DUMMYFUNCTION("""COMPUTED_VALUE"""),"S")</f>
        <v>S</v>
      </c>
      <c r="C71" s="1353"/>
      <c r="D71" s="1353" t="str">
        <f>IFERROR(__xludf.DUMMYFUNCTION("""COMPUTED_VALUE"""),"A lab for something that otherwise costs stones is incredible. Getting duration past BH duration with perk has little value")</f>
        <v>A lab for something that otherwise costs stones is incredible. Getting duration past BH duration with perk has little value</v>
      </c>
      <c r="G71" s="1188" t="s">
        <v>289</v>
      </c>
      <c r="H71" s="1188" t="s">
        <v>544</v>
      </c>
      <c r="J71" s="1188" t="s">
        <v>628</v>
      </c>
    </row>
    <row r="72">
      <c r="A72" s="1353" t="str">
        <f>IFERROR(__xludf.DUMMYFUNCTION("""COMPUTED_VALUE"""),"Chain Lightning Shock")</f>
        <v>Chain Lightning Shock</v>
      </c>
      <c r="B72" s="1353" t="str">
        <f>IFERROR(__xludf.DUMMYFUNCTION("""COMPUTED_VALUE"""),"S")</f>
        <v>S</v>
      </c>
      <c r="C72" s="1353"/>
      <c r="D72" s="1353" t="str">
        <f>IFERROR(__xludf.DUMMYFUNCTION("""COMPUTED_VALUE"""),"Adds a global damage multiplier to CL")</f>
        <v>Adds a global damage multiplier to CL</v>
      </c>
      <c r="G72" s="1188" t="s">
        <v>296</v>
      </c>
      <c r="H72" s="1188" t="s">
        <v>544</v>
      </c>
      <c r="J72" s="1188" t="s">
        <v>629</v>
      </c>
    </row>
    <row r="73">
      <c r="A73" s="1353" t="str">
        <f>IFERROR(__xludf.DUMMYFUNCTION("""COMPUTED_VALUE"""),"Shock Chance")</f>
        <v>Shock Chance</v>
      </c>
      <c r="B73" s="1353" t="str">
        <f>IFERROR(__xludf.DUMMYFUNCTION("""COMPUTED_VALUE"""),"A")</f>
        <v>A</v>
      </c>
      <c r="C73" s="1353"/>
      <c r="D73" s="1353" t="str">
        <f>IFERROR(__xludf.DUMMYFUNCTION("""COMPUTED_VALUE"""),"Shock will stack faster; no need to max, attack speed should handle maxing fast")</f>
        <v>Shock will stack faster; no need to max, attack speed should handle maxing fast</v>
      </c>
      <c r="G73" s="1188" t="s">
        <v>303</v>
      </c>
      <c r="H73" s="1188" t="s">
        <v>545</v>
      </c>
      <c r="J73" s="1188" t="s">
        <v>630</v>
      </c>
    </row>
    <row r="74">
      <c r="A74" s="1353" t="str">
        <f>IFERROR(__xludf.DUMMYFUNCTION("""COMPUTED_VALUE"""),"Shock Multiplier")</f>
        <v>Shock Multiplier</v>
      </c>
      <c r="B74" s="1353" t="str">
        <f>IFERROR(__xludf.DUMMYFUNCTION("""COMPUTED_VALUE"""),"A")</f>
        <v>A</v>
      </c>
      <c r="C74" s="1353"/>
      <c r="D74" s="1353" t="str">
        <f>IFERROR(__xludf.DUMMYFUNCTION("""COMPUTED_VALUE"""),"Shock will stack higher; good to max")</f>
        <v>Shock will stack higher; good to max</v>
      </c>
      <c r="G74" s="1188" t="s">
        <v>310</v>
      </c>
      <c r="H74" s="1188" t="s">
        <v>545</v>
      </c>
      <c r="J74" s="1188" t="s">
        <v>631</v>
      </c>
    </row>
    <row r="75">
      <c r="A75" s="1353" t="str">
        <f>IFERROR(__xludf.DUMMYFUNCTION("""COMPUTED_VALUE"""),"Death Wave Health")</f>
        <v>Death Wave Health</v>
      </c>
      <c r="B75" s="1353" t="str">
        <f>IFERROR(__xludf.DUMMYFUNCTION("""COMPUTED_VALUE"""),"B")</f>
        <v>B</v>
      </c>
      <c r="C75" s="1353"/>
      <c r="D75" s="1353" t="str">
        <f>IFERROR(__xludf.DUMMYFUNCTION("""COMPUTED_VALUE"""),"Very good for farm, dubious use in tourney")</f>
        <v>Very good for farm, dubious use in tourney</v>
      </c>
      <c r="G75" s="1188" t="s">
        <v>317</v>
      </c>
      <c r="H75" s="1188" t="s">
        <v>546</v>
      </c>
      <c r="J75" s="1188" t="s">
        <v>632</v>
      </c>
    </row>
    <row r="76">
      <c r="A76" s="1353" t="str">
        <f>IFERROR(__xludf.DUMMYFUNCTION("""COMPUTED_VALUE"""),"Death Wave Coin Bonus")</f>
        <v>Death Wave Coin Bonus</v>
      </c>
      <c r="B76" s="1353" t="str">
        <f>IFERROR(__xludf.DUMMYFUNCTION("""COMPUTED_VALUE"""),"A")</f>
        <v>A</v>
      </c>
      <c r="C76" s="1353"/>
      <c r="D76" s="1353" t="str">
        <f>IFERROR(__xludf.DUMMYFUNCTION("""COMPUTED_VALUE"""),"More econ always good")</f>
        <v>More econ always good</v>
      </c>
      <c r="G76" s="1188" t="s">
        <v>323</v>
      </c>
      <c r="H76" s="1188" t="s">
        <v>545</v>
      </c>
      <c r="J76" s="1188" t="s">
        <v>633</v>
      </c>
    </row>
    <row r="77">
      <c r="A77" s="1353" t="str">
        <f>IFERROR(__xludf.DUMMYFUNCTION("""COMPUTED_VALUE"""),"Inner Mine Blast Radius")</f>
        <v>Inner Mine Blast Radius</v>
      </c>
      <c r="B77" s="1353" t="str">
        <f>IFERROR(__xludf.DUMMYFUNCTION("""COMPUTED_VALUE"""),"B")</f>
        <v>B</v>
      </c>
      <c r="C77" s="1353"/>
      <c r="D77" s="1353" t="str">
        <f>IFERROR(__xludf.DUMMYFUNCTION("""COMPUTED_VALUE"""),"More radius enables more stuns")</f>
        <v>More radius enables more stuns</v>
      </c>
      <c r="G77" s="1188" t="s">
        <v>328</v>
      </c>
      <c r="H77" s="1188" t="s">
        <v>546</v>
      </c>
      <c r="J77" s="1188" t="s">
        <v>634</v>
      </c>
    </row>
    <row r="78">
      <c r="A78" s="1353" t="str">
        <f>IFERROR(__xludf.DUMMYFUNCTION("""COMPUTED_VALUE"""),"Inner Mine Rotation Speed")</f>
        <v>Inner Mine Rotation Speed</v>
      </c>
      <c r="B78" s="1353" t="str">
        <f>IFERROR(__xludf.DUMMYFUNCTION("""COMPUTED_VALUE"""),"A")</f>
        <v>A</v>
      </c>
      <c r="C78" s="1353"/>
      <c r="D78" s="1353" t="str">
        <f>IFERROR(__xludf.DUMMYFUNCTION("""COMPUTED_VALUE"""),"Helps with hitting bosses by multiple mines")</f>
        <v>Helps with hitting bosses by multiple mines</v>
      </c>
      <c r="G78" s="1188" t="s">
        <v>333</v>
      </c>
      <c r="H78" s="1188" t="s">
        <v>545</v>
      </c>
      <c r="J78" s="1188" t="s">
        <v>635</v>
      </c>
    </row>
    <row r="79">
      <c r="A79" s="1353" t="str">
        <f>IFERROR(__xludf.DUMMYFUNCTION("""COMPUTED_VALUE"""),"Chrono Field Range")</f>
        <v>Chrono Field Range</v>
      </c>
      <c r="B79" s="1353" t="str">
        <f>IFERROR(__xludf.DUMMYFUNCTION("""COMPUTED_VALUE"""),"B")</f>
        <v>B</v>
      </c>
      <c r="C79" s="1353"/>
      <c r="D79" s="1353" t="str">
        <f>IFERROR(__xludf.DUMMYFUNCTION("""COMPUTED_VALUE"""),"The more the better however be wary as it can be harmful without perma CF")</f>
        <v>The more the better however be wary as it can be harmful without perma CF</v>
      </c>
      <c r="G79" s="1188" t="s">
        <v>338</v>
      </c>
      <c r="H79" s="1188" t="s">
        <v>546</v>
      </c>
      <c r="J79" s="1188" t="s">
        <v>636</v>
      </c>
    </row>
    <row r="80">
      <c r="A80" s="1353" t="str">
        <f>IFERROR(__xludf.DUMMYFUNCTION("""COMPUTED_VALUE"""),"Missile Amplifier")</f>
        <v>Missile Amplifier</v>
      </c>
      <c r="B80" s="1353" t="str">
        <f>IFERROR(__xludf.DUMMYFUNCTION("""COMPUTED_VALUE"""),"B")</f>
        <v>B</v>
      </c>
      <c r="C80" s="1353"/>
      <c r="D80" s="1353" t="str">
        <f>IFERROR(__xludf.DUMMYFUNCTION("""COMPUTED_VALUE"""),"Adds an essential SM-only damage multiplier")</f>
        <v>Adds an essential SM-only damage multiplier</v>
      </c>
      <c r="G80" s="1188" t="s">
        <v>343</v>
      </c>
      <c r="H80" s="1188" t="s">
        <v>546</v>
      </c>
      <c r="J80" s="1188" t="s">
        <v>637</v>
      </c>
    </row>
    <row r="81">
      <c r="A81" s="1353" t="str">
        <f>IFERROR(__xludf.DUMMYFUNCTION("""COMPUTED_VALUE"""),"Missile Barrage")</f>
        <v>Missile Barrage</v>
      </c>
      <c r="B81" s="1353" t="str">
        <f>IFERROR(__xludf.DUMMYFUNCTION("""COMPUTED_VALUE"""),"D")</f>
        <v>D</v>
      </c>
      <c r="C81" s="1353"/>
      <c r="D81" s="1353" t="str">
        <f>IFERROR(__xludf.DUMMYFUNCTION("""COMPUTED_VALUE"""),"SM based Panic Button. Helpful with ""SM hits"" event mission")</f>
        <v>SM based Panic Button. Helpful with "SM hits" event mission</v>
      </c>
      <c r="G81" s="1188" t="s">
        <v>346</v>
      </c>
      <c r="H81" s="1188" t="s">
        <v>548</v>
      </c>
      <c r="J81" s="1188" t="s">
        <v>638</v>
      </c>
    </row>
    <row r="82">
      <c r="A82" s="1353" t="str">
        <f>IFERROR(__xludf.DUMMYFUNCTION("""COMPUTED_VALUE"""),"Missile Barrage Quantity")</f>
        <v>Missile Barrage Quantity</v>
      </c>
      <c r="B82" s="1353" t="str">
        <f>IFERROR(__xludf.DUMMYFUNCTION("""COMPUTED_VALUE"""),"D")</f>
        <v>D</v>
      </c>
      <c r="C82" s="1353"/>
      <c r="D82" s="1353" t="str">
        <f>IFERROR(__xludf.DUMMYFUNCTION("""COMPUTED_VALUE"""),"Panic Button gains more missiles")</f>
        <v>Panic Button gains more missiles</v>
      </c>
      <c r="G82" s="1188" t="s">
        <v>348</v>
      </c>
      <c r="H82" s="1188" t="s">
        <v>548</v>
      </c>
      <c r="J82" s="1188" t="s">
        <v>639</v>
      </c>
    </row>
    <row r="83">
      <c r="A83" s="1353" t="str">
        <f>IFERROR(__xludf.DUMMYFUNCTION("""COMPUTED_VALUE"""),"Inner Mine Stun")</f>
        <v>Inner Mine Stun</v>
      </c>
      <c r="B83" s="1353" t="str">
        <f>IFERROR(__xludf.DUMMYFUNCTION("""COMPUTED_VALUE"""),"S")</f>
        <v>S</v>
      </c>
      <c r="C83" s="1353"/>
      <c r="D83" s="1353" t="str">
        <f>IFERROR(__xludf.DUMMYFUNCTION("""COMPUTED_VALUE"""),"Turns ILM into a CC machine when combined with Rotation")</f>
        <v>Turns ILM into a CC machine when combined with Rotation</v>
      </c>
      <c r="G83" s="1188" t="s">
        <v>350</v>
      </c>
      <c r="H83" s="1188" t="s">
        <v>544</v>
      </c>
      <c r="J83" s="1188" t="s">
        <v>640</v>
      </c>
    </row>
    <row r="84">
      <c r="A84" s="1353" t="str">
        <f>IFERROR(__xludf.DUMMYFUNCTION("""COMPUTED_VALUE"""),"Black Hole Damage")</f>
        <v>Black Hole Damage</v>
      </c>
      <c r="B84" s="1353" t="str">
        <f>IFERROR(__xludf.DUMMYFUNCTION("""COMPUTED_VALUE"""),"S")</f>
        <v>S</v>
      </c>
      <c r="C84" s="1353"/>
      <c r="D84" s="1353" t="str">
        <f>IFERROR(__xludf.DUMMYFUNCTION("""COMPUTED_VALUE"""),"Does a % of max enemy health every second they are inside BH, the go to protector killer for early towers")</f>
        <v>Does a % of max enemy health every second they are inside BH, the go to protector killer for early towers</v>
      </c>
      <c r="G84" s="1188" t="s">
        <v>352</v>
      </c>
      <c r="H84" s="1188" t="s">
        <v>544</v>
      </c>
      <c r="J84" s="1188" t="s">
        <v>641</v>
      </c>
    </row>
    <row r="85">
      <c r="A85" s="1353" t="str">
        <f>IFERROR(__xludf.DUMMYFUNCTION("""COMPUTED_VALUE"""),"Extra Black Hole")</f>
        <v>Extra Black Hole</v>
      </c>
      <c r="B85" s="1353" t="str">
        <f>IFERROR(__xludf.DUMMYFUNCTION("""COMPUTED_VALUE"""),"S+")</f>
        <v>S+</v>
      </c>
      <c r="C85" s="1353"/>
      <c r="D85" s="1353" t="str">
        <f>IFERROR(__xludf.DUMMYFUNCTION("""COMPUTED_VALUE"""),"Self explanatory. Probably the only lab to consider rushing before ancestral modules")</f>
        <v>Self explanatory. Probably the only lab to consider rushing before ancestral modules</v>
      </c>
      <c r="G85" s="1188" t="s">
        <v>354</v>
      </c>
      <c r="H85" s="1188" t="s">
        <v>543</v>
      </c>
      <c r="J85" s="1188" t="s">
        <v>642</v>
      </c>
    </row>
    <row r="86">
      <c r="A86" s="1353" t="str">
        <f>IFERROR(__xludf.DUMMYFUNCTION("""COMPUTED_VALUE"""),"Black Hole Coin Bonus")</f>
        <v>Black Hole Coin Bonus</v>
      </c>
      <c r="B86" s="1353" t="str">
        <f>IFERROR(__xludf.DUMMYFUNCTION("""COMPUTED_VALUE"""),"S")</f>
        <v>S</v>
      </c>
      <c r="C86" s="1353"/>
      <c r="D86" s="1353" t="str">
        <f>IFERROR(__xludf.DUMMYFUNCTION("""COMPUTED_VALUE"""),"Best coin multiplier that isn't GT")</f>
        <v>Best coin multiplier that isn't GT</v>
      </c>
      <c r="G86" s="1188" t="s">
        <v>356</v>
      </c>
      <c r="H86" s="1188" t="s">
        <v>544</v>
      </c>
      <c r="J86" s="1188" t="s">
        <v>643</v>
      </c>
    </row>
    <row r="87">
      <c r="A87" s="1353" t="str">
        <f>IFERROR(__xludf.DUMMYFUNCTION("""COMPUTED_VALUE"""),"Spotlight Coin Bonus")</f>
        <v>Spotlight Coin Bonus</v>
      </c>
      <c r="B87" s="1353" t="str">
        <f>IFERROR(__xludf.DUMMYFUNCTION("""COMPUTED_VALUE"""),"A")</f>
        <v>A</v>
      </c>
      <c r="C87" s="1353"/>
      <c r="D87" s="1353" t="str">
        <f>IFERROR(__xludf.DUMMYFUNCTION("""COMPUTED_VALUE"""),"Third best coin multiplier")</f>
        <v>Third best coin multiplier</v>
      </c>
      <c r="G87" s="1188" t="s">
        <v>358</v>
      </c>
      <c r="H87" s="1188" t="s">
        <v>545</v>
      </c>
      <c r="J87" s="1188" t="s">
        <v>644</v>
      </c>
    </row>
    <row r="88">
      <c r="A88" s="1353" t="str">
        <f>IFERROR(__xludf.DUMMYFUNCTION("""COMPUTED_VALUE"""),"Spotlight Missiles")</f>
        <v>Spotlight Missiles</v>
      </c>
      <c r="B88" s="1353" t="str">
        <f>IFERROR(__xludf.DUMMYFUNCTION("""COMPUTED_VALUE"""),"D")</f>
        <v>D</v>
      </c>
      <c r="C88" s="1353" t="str">
        <f>IFERROR(__xludf.DUMMYFUNCTION("""COMPUTED_VALUE"""),"A")</f>
        <v>A</v>
      </c>
      <c r="D88" s="1353" t="str">
        <f>IFERROR(__xludf.DUMMYFUNCTION("""COMPUTED_VALUE"""),"Basically useless prior to owning SM other than for an event mission, enables SLM Orbless with SM")</f>
        <v>Basically useless prior to owning SM other than for an event mission, enables SLM Orbless with SM</v>
      </c>
      <c r="G88" s="1188" t="s">
        <v>360</v>
      </c>
      <c r="H88" s="1188" t="s">
        <v>548</v>
      </c>
      <c r="I88" s="1188" t="s">
        <v>545</v>
      </c>
      <c r="J88" s="1188" t="s">
        <v>645</v>
      </c>
    </row>
    <row r="89">
      <c r="A89" s="1353" t="str">
        <f>IFERROR(__xludf.DUMMYFUNCTION("""COMPUTED_VALUE"""),"Black Hole Disable Ranged Enemies")</f>
        <v>Black Hole Disable Ranged Enemies</v>
      </c>
      <c r="B89" s="1353" t="str">
        <f>IFERROR(__xludf.DUMMYFUNCTION("""COMPUTED_VALUE"""),"C")</f>
        <v>C</v>
      </c>
      <c r="C89" s="1353"/>
      <c r="D89" s="1353" t="str">
        <f>IFERROR(__xludf.DUMMYFUNCTION("""COMPUTED_VALUE"""),"Mostly for perma BH")</f>
        <v>Mostly for perma BH</v>
      </c>
      <c r="G89" s="1188" t="s">
        <v>362</v>
      </c>
      <c r="H89" s="1188" t="s">
        <v>547</v>
      </c>
      <c r="J89" s="1188" t="s">
        <v>646</v>
      </c>
    </row>
    <row r="90">
      <c r="A90" s="1353" t="str">
        <f>IFERROR(__xludf.DUMMYFUNCTION("""COMPUTED_VALUE"""),"Recharge Missile Barrage")</f>
        <v>Recharge Missile Barrage</v>
      </c>
      <c r="B90" s="1353" t="str">
        <f>IFERROR(__xludf.DUMMYFUNCTION("""COMPUTED_VALUE"""),"F")</f>
        <v>F</v>
      </c>
      <c r="C90" s="1353"/>
      <c r="D90" s="1353" t="str">
        <f>IFERROR(__xludf.DUMMYFUNCTION("""COMPUTED_VALUE"""),"Panic Button can be reused, however the cooldown is too long to matter on top of being a lackluster ability")</f>
        <v>Panic Button can be reused, however the cooldown is too long to matter on top of being a lackluster ability</v>
      </c>
      <c r="G90" s="1188" t="s">
        <v>364</v>
      </c>
      <c r="H90" s="1188" t="s">
        <v>549</v>
      </c>
      <c r="J90" s="1188" t="s">
        <v>647</v>
      </c>
    </row>
    <row r="91">
      <c r="A91" s="1353" t="str">
        <f>IFERROR(__xludf.DUMMYFUNCTION("""COMPUTED_VALUE"""),"Swamp Rend")</f>
        <v>Swamp Rend</v>
      </c>
      <c r="B91" s="1353" t="str">
        <f>IFERROR(__xludf.DUMMYFUNCTION("""COMPUTED_VALUE"""),"B")</f>
        <v>B</v>
      </c>
      <c r="C91" s="1353"/>
      <c r="D91" s="1353" t="str">
        <f>IFERROR(__xludf.DUMMYFUNCTION("""COMPUTED_VALUE"""),"An important part in making PS damage matter and even strong. Great against Ultimate Tanks")</f>
        <v>An important part in making PS damage matter and even strong. Great against Ultimate Tanks</v>
      </c>
      <c r="G91" s="1188" t="s">
        <v>366</v>
      </c>
      <c r="H91" s="1188" t="s">
        <v>546</v>
      </c>
      <c r="J91" s="1188" t="s">
        <v>648</v>
      </c>
    </row>
    <row r="92">
      <c r="A92" s="1353" t="str">
        <f>IFERROR(__xludf.DUMMYFUNCTION("""COMPUTED_VALUE"""),"Swamp Rend - Additional Enemies")</f>
        <v>Swamp Rend - Additional Enemies</v>
      </c>
      <c r="B92" s="1353" t="str">
        <f>IFERROR(__xludf.DUMMYFUNCTION("""COMPUTED_VALUE"""),"B")</f>
        <v>B</v>
      </c>
      <c r="C92" s="1353"/>
      <c r="D92" s="1353" t="str">
        <f>IFERROR(__xludf.DUMMYFUNCTION("""COMPUTED_VALUE"""),"When PS has any use in damage, good to make the multiplier affect everything")</f>
        <v>When PS has any use in damage, good to make the multiplier affect everything</v>
      </c>
      <c r="G92" s="1188" t="s">
        <v>368</v>
      </c>
      <c r="H92" s="1188" t="s">
        <v>546</v>
      </c>
      <c r="J92" s="1188" t="s">
        <v>649</v>
      </c>
    </row>
    <row r="93">
      <c r="A93" s="1353" t="str">
        <f>IFERROR(__xludf.DUMMYFUNCTION("""COMPUTED_VALUE"""),"Chain Thunder")</f>
        <v>Chain Thunder</v>
      </c>
      <c r="B93" s="1353" t="str">
        <f>IFERROR(__xludf.DUMMYFUNCTION("""COMPUTED_VALUE"""),"F")</f>
        <v>F</v>
      </c>
      <c r="C93" s="1353" t="str">
        <f>IFERROR(__xludf.DUMMYFUNCTION("""COMPUTED_VALUE"""),"C")</f>
        <v>C</v>
      </c>
      <c r="D93" s="1353" t="str">
        <f>IFERROR(__xludf.DUMMYFUNCTION("""COMPUTED_VALUE"""),"Extremely good at what it does; however the effect of it is not that desirable by the time you unlock it. Basically requires CL+, costs 40q coins to max")</f>
        <v>Extremely good at what it does; however the effect of it is not that desirable by the time you unlock it. Basically requires CL+, costs 40q coins to max</v>
      </c>
      <c r="G93" s="1188" t="s">
        <v>370</v>
      </c>
      <c r="H93" s="1188" t="s">
        <v>549</v>
      </c>
      <c r="I93" s="1188" t="s">
        <v>547</v>
      </c>
      <c r="J93" s="1188" t="s">
        <v>650</v>
      </c>
    </row>
    <row r="94">
      <c r="A94" s="1353" t="str">
        <f>IFERROR(__xludf.DUMMYFUNCTION("""COMPUTED_VALUE"""),"Lightning Amplifier - Scatter")</f>
        <v>Lightning Amplifier - Scatter</v>
      </c>
      <c r="B94" s="1353" t="str">
        <f>IFERROR(__xludf.DUMMYFUNCTION("""COMPUTED_VALUE"""),"S+")</f>
        <v>S+</v>
      </c>
      <c r="C94" s="1353" t="str">
        <f>IFERROR(__xludf.DUMMYFUNCTION("""COMPUTED_VALUE"""),"B")</f>
        <v>B</v>
      </c>
      <c r="D94" s="1353" t="str">
        <f>IFERROR(__xludf.DUMMYFUNCTION("""COMPUTED_VALUE"""),"A few levels solve scatters for the most part. More levels should solve the problem if they ever become a danger again")</f>
        <v>A few levels solve scatters for the most part. More levels should solve the problem if they ever become a danger again</v>
      </c>
      <c r="G94" s="1188" t="s">
        <v>372</v>
      </c>
      <c r="H94" s="1188" t="s">
        <v>543</v>
      </c>
      <c r="I94" s="1188" t="s">
        <v>546</v>
      </c>
      <c r="J94" s="1188" t="s">
        <v>651</v>
      </c>
    </row>
    <row r="95">
      <c r="A95" s="1353" t="str">
        <f>IFERROR(__xludf.DUMMYFUNCTION("""COMPUTED_VALUE"""),"Death Wave Cells Bonus")</f>
        <v>Death Wave Cells Bonus</v>
      </c>
      <c r="B95" s="1353" t="str">
        <f>IFERROR(__xludf.DUMMYFUNCTION("""COMPUTED_VALUE"""),"A")</f>
        <v>A</v>
      </c>
      <c r="C95" s="1353"/>
      <c r="D95" s="1353" t="str">
        <f>IFERROR(__xludf.DUMMYFUNCTION("""COMPUTED_VALUE"""),"The only Cell multiplier in the game outside of WS+")</f>
        <v>The only Cell multiplier in the game outside of WS+</v>
      </c>
      <c r="G95" s="1188" t="s">
        <v>374</v>
      </c>
      <c r="H95" s="1188" t="s">
        <v>545</v>
      </c>
      <c r="J95" s="1188" t="s">
        <v>652</v>
      </c>
    </row>
    <row r="96">
      <c r="A96" s="1353" t="str">
        <f>IFERROR(__xludf.DUMMYFUNCTION("""COMPUTED_VALUE"""),"Death Wave Damage Amplifier")</f>
        <v>Death Wave Damage Amplifier</v>
      </c>
      <c r="B96" s="1353" t="str">
        <f>IFERROR(__xludf.DUMMYFUNCTION("""COMPUTED_VALUE"""),"D")</f>
        <v>D</v>
      </c>
      <c r="C96" s="1353"/>
      <c r="D96" s="1353" t="str">
        <f>IFERROR(__xludf.DUMMYFUNCTION("""COMPUTED_VALUE"""),"Niche use with Ring or Max Devo farming. Decent for bosses with DW+")</f>
        <v>Niche use with Ring or Max Devo farming. Decent for bosses with DW+</v>
      </c>
      <c r="G96" s="1188" t="s">
        <v>376</v>
      </c>
      <c r="H96" s="1188" t="s">
        <v>548</v>
      </c>
      <c r="J96" s="1188" t="s">
        <v>653</v>
      </c>
    </row>
    <row r="97">
      <c r="A97" s="1353" t="str">
        <f>IFERROR(__xludf.DUMMYFUNCTION("""COMPUTED_VALUE"""),"Death Wave Armor Stripping")</f>
        <v>Death Wave Armor Stripping</v>
      </c>
      <c r="B97" s="1353" t="str">
        <f>IFERROR(__xludf.DUMMYFUNCTION("""COMPUTED_VALUE"""),"F")</f>
        <v>F</v>
      </c>
      <c r="C97" s="1353"/>
      <c r="D97" s="1353" t="str">
        <f>IFERROR(__xludf.DUMMYFUNCTION("""COMPUTED_VALUE"""),"Not important, potential footgun regarding killing too far out")</f>
        <v>Not important, potential footgun regarding killing too far out</v>
      </c>
      <c r="G97" s="1188" t="s">
        <v>378</v>
      </c>
      <c r="H97" s="1188" t="s">
        <v>549</v>
      </c>
      <c r="J97" s="1188" t="s">
        <v>654</v>
      </c>
    </row>
    <row r="98">
      <c r="A98" s="1353" t="str">
        <f>IFERROR(__xludf.DUMMYFUNCTION("""COMPUTED_VALUE"""),"Inner Land Mine - Chrono Jump")</f>
        <v>Inner Land Mine - Chrono Jump</v>
      </c>
      <c r="B98" s="1353" t="str">
        <f>IFERROR(__xludf.DUMMYFUNCTION("""COMPUTED_VALUE"""),"B")</f>
        <v>B</v>
      </c>
      <c r="C98" s="1353"/>
      <c r="D98" s="1353" t="str">
        <f>IFERROR(__xludf.DUMMYFUNCTION("""COMPUTED_VALUE"""),"Essential in allowing the full potential of the UW+, leading to being a favourable second damage UW built")</f>
        <v>Essential in allowing the full potential of the UW+, leading to being a favourable second damage UW built</v>
      </c>
      <c r="G98" s="1188" t="s">
        <v>380</v>
      </c>
      <c r="H98" s="1188" t="s">
        <v>546</v>
      </c>
      <c r="J98" s="1188" t="s">
        <v>655</v>
      </c>
    </row>
    <row r="99">
      <c r="A99" s="1353"/>
      <c r="B99" s="1353"/>
      <c r="C99" s="1353"/>
      <c r="D99" s="1353"/>
    </row>
    <row r="100">
      <c r="A100" s="1353" t="str">
        <f>IFERROR(__xludf.DUMMYFUNCTION("""COMPUTED_VALUE"""),"Second Wind Blast")</f>
        <v>Second Wind Blast</v>
      </c>
      <c r="B100" s="1353" t="str">
        <f>IFERROR(__xludf.DUMMYFUNCTION("""COMPUTED_VALUE"""),"C")</f>
        <v>C</v>
      </c>
      <c r="C100" s="1353"/>
      <c r="D100" s="1353" t="str">
        <f>IFERROR(__xludf.DUMMYFUNCTION("""COMPUTED_VALUE"""),"Acts like the nuke card when maxed, great for consistency especially in fleet tiers")</f>
        <v>Acts like the nuke card when maxed, great for consistency especially in fleet tiers</v>
      </c>
      <c r="G100" s="1188" t="s">
        <v>159</v>
      </c>
      <c r="H100" s="1188" t="s">
        <v>548</v>
      </c>
      <c r="J100" s="1188" t="s">
        <v>656</v>
      </c>
    </row>
    <row r="101">
      <c r="A101" s="1353" t="str">
        <f>IFERROR(__xludf.DUMMYFUNCTION("""COMPUTED_VALUE"""),"Double Death Ray")</f>
        <v>Double Death Ray</v>
      </c>
      <c r="B101" s="1353" t="str">
        <f>IFERROR(__xludf.DUMMYFUNCTION("""COMPUTED_VALUE"""),"D")</f>
        <v>D</v>
      </c>
      <c r="C101" s="1353"/>
      <c r="D101" s="1353" t="str">
        <f>IFERROR(__xludf.DUMMYFUNCTION("""COMPUTED_VALUE"""),"Chance too low to be significant value for the lab time")</f>
        <v>Chance too low to be significant value for the lab time</v>
      </c>
      <c r="G101" s="1188" t="s">
        <v>174</v>
      </c>
      <c r="H101" s="1188" t="s">
        <v>548</v>
      </c>
      <c r="J101" s="1188" t="s">
        <v>657</v>
      </c>
    </row>
    <row r="102">
      <c r="A102" s="1353" t="str">
        <f>IFERROR(__xludf.DUMMYFUNCTION("""COMPUTED_VALUE"""),"Extra Orb Adjuster")</f>
        <v>Extra Orb Adjuster</v>
      </c>
      <c r="B102" s="1353" t="str">
        <f>IFERROR(__xludf.DUMMYFUNCTION("""COMPUTED_VALUE"""),"S")</f>
        <v>S</v>
      </c>
      <c r="C102" s="1353"/>
      <c r="D102" s="1353" t="str">
        <f>IFERROR(__xludf.DUMMYFUNCTION("""COMPUTED_VALUE"""),"Makes extra orbs a lot more useful. Allows easy clearing of BH")</f>
        <v>Makes extra orbs a lot more useful. Allows easy clearing of BH</v>
      </c>
      <c r="G102" s="1188" t="s">
        <v>185</v>
      </c>
      <c r="H102" s="1188" t="s">
        <v>544</v>
      </c>
      <c r="J102" s="1188" t="s">
        <v>658</v>
      </c>
    </row>
    <row r="103">
      <c r="A103" s="1353" t="str">
        <f>IFERROR(__xludf.DUMMYFUNCTION("""COMPUTED_VALUE"""),"Extra Extra Orbs")</f>
        <v>Extra Extra Orbs</v>
      </c>
      <c r="B103" s="1353" t="str">
        <f>IFERROR(__xludf.DUMMYFUNCTION("""COMPUTED_VALUE"""),"S")</f>
        <v>S</v>
      </c>
      <c r="C103" s="1353"/>
      <c r="D103" s="1353" t="str">
        <f>IFERROR(__xludf.DUMMYFUNCTION("""COMPUTED_VALUE"""),"The more the merrier")</f>
        <v>The more the merrier</v>
      </c>
      <c r="G103" s="1188" t="s">
        <v>203</v>
      </c>
      <c r="H103" s="1188" t="s">
        <v>544</v>
      </c>
      <c r="J103" s="1188" t="s">
        <v>659</v>
      </c>
    </row>
    <row r="104">
      <c r="A104" s="1353" t="str">
        <f>IFERROR(__xludf.DUMMYFUNCTION("""COMPUTED_VALUE"""),"Energy Shield Extra Hit")</f>
        <v>Energy Shield Extra Hit</v>
      </c>
      <c r="B104" s="1353" t="str">
        <f>IFERROR(__xludf.DUMMYFUNCTION("""COMPUTED_VALUE"""),"D")</f>
        <v>D</v>
      </c>
      <c r="C104" s="1353" t="str">
        <f>IFERROR(__xludf.DUMMYFUNCTION("""COMPUTED_VALUE"""),"S+")</f>
        <v>S+</v>
      </c>
      <c r="D104" s="1353" t="str">
        <f>IFERROR(__xludf.DUMMYFUNCTION("""COMPUTED_VALUE"""),"Okay early for the mission, truly incredible later (Legend tourney or Glass Cannon farm) with the way Death Defy is checked before charge is used")</f>
        <v>Okay early for the mission, truly incredible later (Legend tourney or Glass Cannon farm) with the way Death Defy is checked before charge is used</v>
      </c>
      <c r="G104" s="1188" t="s">
        <v>220</v>
      </c>
      <c r="H104" s="1188" t="s">
        <v>548</v>
      </c>
      <c r="I104" s="1188" t="s">
        <v>543</v>
      </c>
      <c r="J104" s="1188" t="s">
        <v>660</v>
      </c>
    </row>
    <row r="105">
      <c r="A105" s="1353" t="str">
        <f>IFERROR(__xludf.DUMMYFUNCTION("""COMPUTED_VALUE"""),"Super Tower Bonus")</f>
        <v>Super Tower Bonus</v>
      </c>
      <c r="B105" s="1353" t="str">
        <f>IFERROR(__xludf.DUMMYFUNCTION("""COMPUTED_VALUE"""),"D")</f>
        <v>D</v>
      </c>
      <c r="C105" s="1353" t="str">
        <f>IFERROR(__xludf.DUMMYFUNCTION("""COMPUTED_VALUE"""),"A")</f>
        <v>A</v>
      </c>
      <c r="D105" s="1353" t="str">
        <f>IFERROR(__xludf.DUMMYFUNCTION("""COMPUTED_VALUE"""),"Super Tower is a bullet only damage multiplier until you unlock its mastery. Great damage multipler after doing so")</f>
        <v>Super Tower is a bullet only damage multiplier until you unlock its mastery. Great damage multipler after doing so</v>
      </c>
      <c r="G105" s="1188" t="s">
        <v>232</v>
      </c>
      <c r="H105" s="1188" t="s">
        <v>548</v>
      </c>
      <c r="I105" s="1188" t="s">
        <v>545</v>
      </c>
      <c r="J105" s="1188" t="s">
        <v>661</v>
      </c>
    </row>
    <row r="106">
      <c r="A106" s="1353" t="str">
        <f>IFERROR(__xludf.DUMMYFUNCTION("""COMPUTED_VALUE"""),"Recharge Second Wind")</f>
        <v>Recharge Second Wind</v>
      </c>
      <c r="B106" s="1353" t="str">
        <f>IFERROR(__xludf.DUMMYFUNCTION("""COMPUTED_VALUE"""),"D")</f>
        <v>D</v>
      </c>
      <c r="C106" s="1353" t="str">
        <f>IFERROR(__xludf.DUMMYFUNCTION("""COMPUTED_VALUE"""),"A")</f>
        <v>A</v>
      </c>
      <c r="D106" s="1353" t="str">
        <f>IFERROR(__xludf.DUMMYFUNCTION("""COMPUTED_VALUE"""),"Essential to keep the effect of mastery going past 400 waves. Good for Fleets")</f>
        <v>Essential to keep the effect of mastery going past 400 waves. Good for Fleets</v>
      </c>
      <c r="G106" s="1188" t="s">
        <v>243</v>
      </c>
      <c r="H106" s="1188" t="s">
        <v>548</v>
      </c>
      <c r="I106" s="1188" t="s">
        <v>545</v>
      </c>
      <c r="J106" s="1188" t="s">
        <v>662</v>
      </c>
    </row>
    <row r="107">
      <c r="A107" s="1353" t="str">
        <f>IFERROR(__xludf.DUMMYFUNCTION("""COMPUTED_VALUE"""),"Recharge Demon Mode")</f>
        <v>Recharge Demon Mode</v>
      </c>
      <c r="B107" s="1353" t="str">
        <f>IFERROR(__xludf.DUMMYFUNCTION("""COMPUTED_VALUE"""),"QOL")</f>
        <v>QOL</v>
      </c>
      <c r="C107" s="1353" t="str">
        <f>IFERROR(__xludf.DUMMYFUNCTION("""COMPUTED_VALUE"""),"A")</f>
        <v>A</v>
      </c>
      <c r="D107" s="1353" t="str">
        <f>IFERROR(__xludf.DUMMYFUNCTION("""COMPUTED_VALUE"""),"Great for the event mission, essential to keep the effect of mastery going past 300 waves")</f>
        <v>Great for the event mission, essential to keep the effect of mastery going past 300 waves</v>
      </c>
      <c r="G107" s="1188" t="s">
        <v>254</v>
      </c>
      <c r="H107" s="1188" t="s">
        <v>550</v>
      </c>
      <c r="I107" s="1188" t="s">
        <v>545</v>
      </c>
      <c r="J107" s="1188" t="s">
        <v>663</v>
      </c>
    </row>
    <row r="108">
      <c r="A108" s="1353" t="str">
        <f>IFERROR(__xludf.DUMMYFUNCTION("""COMPUTED_VALUE"""),"Recharge Nuke")</f>
        <v>Recharge Nuke</v>
      </c>
      <c r="B108" s="1353" t="str">
        <f>IFERROR(__xludf.DUMMYFUNCTION("""COMPUTED_VALUE"""),"D")</f>
        <v>D</v>
      </c>
      <c r="C108" s="1353" t="str">
        <f>IFERROR(__xludf.DUMMYFUNCTION("""COMPUTED_VALUE"""),"A")</f>
        <v>A</v>
      </c>
      <c r="D108" s="1353" t="str">
        <f>IFERROR(__xludf.DUMMYFUNCTION("""COMPUTED_VALUE"""),"Okay for the event mission when high level, essential to keep the effect of mastery going past 300 waves")</f>
        <v>Okay for the event mission when high level, essential to keep the effect of mastery going past 300 waves</v>
      </c>
      <c r="G108" s="1188" t="s">
        <v>265</v>
      </c>
      <c r="H108" s="1188" t="s">
        <v>548</v>
      </c>
      <c r="I108" s="1188" t="s">
        <v>545</v>
      </c>
      <c r="J108" s="1188" t="s">
        <v>664</v>
      </c>
    </row>
    <row r="109">
      <c r="A109" s="1353"/>
      <c r="B109" s="1353"/>
      <c r="C109" s="1353"/>
      <c r="D109" s="1353"/>
    </row>
    <row r="110">
      <c r="A110" s="1353" t="str">
        <f>IFERROR(__xludf.DUMMYFUNCTION("""COMPUTED_VALUE"""),"Unlock Perks")</f>
        <v>Unlock Perks</v>
      </c>
      <c r="B110" s="1353" t="str">
        <f>IFERROR(__xludf.DUMMYFUNCTION("""COMPUTED_VALUE"""),"S+")</f>
        <v>S+</v>
      </c>
      <c r="C110" s="1353"/>
      <c r="D110" s="1353" t="str">
        <f>IFERROR(__xludf.DUMMYFUNCTION("""COMPUTED_VALUE"""),"Perks are great, they make your tower better at almost everything")</f>
        <v>Perks are great, they make your tower better at almost everything</v>
      </c>
      <c r="G110" s="1188" t="s">
        <v>160</v>
      </c>
      <c r="H110" s="1188" t="s">
        <v>543</v>
      </c>
      <c r="J110" s="1188" t="s">
        <v>665</v>
      </c>
    </row>
    <row r="111">
      <c r="A111" s="1353" t="str">
        <f>IFERROR(__xludf.DUMMYFUNCTION("""COMPUTED_VALUE"""),"Waves Required")</f>
        <v>Waves Required</v>
      </c>
      <c r="B111" s="1353" t="str">
        <f>IFERROR(__xludf.DUMMYFUNCTION("""COMPUTED_VALUE"""),"F")</f>
        <v>F</v>
      </c>
      <c r="C111" s="1353"/>
      <c r="D111" s="1353" t="str">
        <f>IFERROR(__xludf.DUMMYFUNCTION("""COMPUTED_VALUE"""),"Long lab that is almost entirely overshadowed by the Perk wave requirement perk")</f>
        <v>Long lab that is almost entirely overshadowed by the Perk wave requirement perk</v>
      </c>
      <c r="G111" s="1188" t="s">
        <v>175</v>
      </c>
      <c r="H111" s="1188" t="s">
        <v>549</v>
      </c>
      <c r="J111" s="1188" t="s">
        <v>666</v>
      </c>
    </row>
    <row r="112">
      <c r="A112" s="1353" t="str">
        <f>IFERROR(__xludf.DUMMYFUNCTION("""COMPUTED_VALUE"""),"Auto Pick Perks")</f>
        <v>Auto Pick Perks</v>
      </c>
      <c r="B112" s="1353" t="str">
        <f>IFERROR(__xludf.DUMMYFUNCTION("""COMPUTED_VALUE"""),"QOL")</f>
        <v>QOL</v>
      </c>
      <c r="C112" s="1353"/>
      <c r="D112" s="1353" t="str">
        <f>IFERROR(__xludf.DUMMYFUNCTION("""COMPUTED_VALUE"""),"Toggleable. Can be harmful to use if you are able to pick your perks by hand. Really hard to use before 4 perk choices and multiple bans.")</f>
        <v>Toggleable. Can be harmful to use if you are able to pick your perks by hand. Really hard to use before 4 perk choices and multiple bans.</v>
      </c>
      <c r="G112" s="1188" t="s">
        <v>186</v>
      </c>
      <c r="H112" s="1188" t="s">
        <v>550</v>
      </c>
      <c r="J112" s="1188" t="s">
        <v>667</v>
      </c>
    </row>
    <row r="113">
      <c r="A113" s="1353" t="str">
        <f>IFERROR(__xludf.DUMMYFUNCTION("""COMPUTED_VALUE"""),"Standard Perks Bonus")</f>
        <v>Standard Perks Bonus</v>
      </c>
      <c r="B113" s="1353" t="str">
        <f>IFERROR(__xludf.DUMMYFUNCTION("""COMPUTED_VALUE"""),"S")</f>
        <v>S</v>
      </c>
      <c r="C113" s="1353"/>
      <c r="D113" s="1353" t="str">
        <f>IFERROR(__xludf.DUMMYFUNCTION("""COMPUTED_VALUE"""),"Improves all common perks, including Perk wave requirement, leading to stronger and faster perks")</f>
        <v>Improves all common perks, including Perk wave requirement, leading to stronger and faster perks</v>
      </c>
      <c r="G113" s="1188" t="s">
        <v>205</v>
      </c>
      <c r="H113" s="1188" t="s">
        <v>544</v>
      </c>
      <c r="J113" s="1188" t="s">
        <v>668</v>
      </c>
    </row>
    <row r="114">
      <c r="A114" s="1353" t="str">
        <f>IFERROR(__xludf.DUMMYFUNCTION("""COMPUTED_VALUE"""),"Perk Option Quantity")</f>
        <v>Perk Option Quantity</v>
      </c>
      <c r="B114" s="1353" t="str">
        <f>IFERROR(__xludf.DUMMYFUNCTION("""COMPUTED_VALUE"""),"S+")</f>
        <v>S+</v>
      </c>
      <c r="C114" s="1353"/>
      <c r="D114" s="1353" t="str">
        <f>IFERROR(__xludf.DUMMYFUNCTION("""COMPUTED_VALUE"""),"Reduces RNG in perks by a lot")</f>
        <v>Reduces RNG in perks by a lot</v>
      </c>
      <c r="G114" s="1188" t="s">
        <v>221</v>
      </c>
      <c r="H114" s="1188" t="s">
        <v>543</v>
      </c>
      <c r="J114" s="1188" t="s">
        <v>669</v>
      </c>
    </row>
    <row r="115">
      <c r="A115" s="1353" t="str">
        <f>IFERROR(__xludf.DUMMYFUNCTION("""COMPUTED_VALUE"""),"First Perk Choice")</f>
        <v>First Perk Choice</v>
      </c>
      <c r="B115" s="1353" t="str">
        <f>IFERROR(__xludf.DUMMYFUNCTION("""COMPUTED_VALUE"""),"S+")</f>
        <v>S+</v>
      </c>
      <c r="C115" s="1353"/>
      <c r="D115" s="1353" t="str">
        <f>IFERROR(__xludf.DUMMYFUNCTION("""COMPUTED_VALUE"""),"Guarantees you can get PWR first in farm runs")</f>
        <v>Guarantees you can get PWR first in farm runs</v>
      </c>
      <c r="G115" s="1188" t="s">
        <v>233</v>
      </c>
      <c r="H115" s="1188" t="s">
        <v>543</v>
      </c>
      <c r="J115" s="1188" t="s">
        <v>670</v>
      </c>
    </row>
    <row r="116">
      <c r="A116" s="1353" t="str">
        <f>IFERROR(__xludf.DUMMYFUNCTION("""COMPUTED_VALUE"""),"Ban Perks")</f>
        <v>Ban Perks</v>
      </c>
      <c r="B116" s="1353" t="str">
        <f>IFERROR(__xludf.DUMMYFUNCTION("""COMPUTED_VALUE"""),"A")</f>
        <v>A</v>
      </c>
      <c r="C116" s="1353"/>
      <c r="D116" s="1353" t="str">
        <f>IFERROR(__xludf.DUMMYFUNCTION("""COMPUTED_VALUE"""),"Allows you to ban perks that are useless or detrimental to your runs, do not ban Coin Trade Off")</f>
        <v>Allows you to ban perks that are useless or detrimental to your runs, do not ban Coin Trade Off</v>
      </c>
      <c r="G116" s="1188" t="s">
        <v>244</v>
      </c>
      <c r="H116" s="1188" t="s">
        <v>545</v>
      </c>
      <c r="J116" s="1188" t="s">
        <v>671</v>
      </c>
    </row>
    <row r="117">
      <c r="A117" s="1353" t="str">
        <f>IFERROR(__xludf.DUMMYFUNCTION("""COMPUTED_VALUE"""),"Improve Trade-off Perks")</f>
        <v>Improve Trade-off Perks</v>
      </c>
      <c r="B117" s="1353" t="str">
        <f>IFERROR(__xludf.DUMMYFUNCTION("""COMPUTED_VALUE"""),"S")</f>
        <v>S</v>
      </c>
      <c r="C117" s="1353"/>
      <c r="D117" s="1353" t="str">
        <f>IFERROR(__xludf.DUMMYFUNCTION("""COMPUTED_VALUE"""),"Makes TO perks better")</f>
        <v>Makes TO perks better</v>
      </c>
      <c r="G117" s="1188" t="s">
        <v>255</v>
      </c>
      <c r="H117" s="1188" t="s">
        <v>544</v>
      </c>
      <c r="J117" s="1188" t="s">
        <v>672</v>
      </c>
    </row>
    <row r="118">
      <c r="A118" s="1353" t="str">
        <f>IFERROR(__xludf.DUMMYFUNCTION("""COMPUTED_VALUE"""),"Auto Pick Ranking")</f>
        <v>Auto Pick Ranking</v>
      </c>
      <c r="B118" s="1353" t="str">
        <f>IFERROR(__xludf.DUMMYFUNCTION("""COMPUTED_VALUE"""),"QOL")</f>
        <v>QOL</v>
      </c>
      <c r="C118" s="1353"/>
      <c r="D118" s="1353" t="str">
        <f>IFERROR(__xludf.DUMMYFUNCTION("""COMPUTED_VALUE"""),"Improves the consistency of Auto Pick by a lot. Is not a replacement for bans. No need to overdo it")</f>
        <v>Improves the consistency of Auto Pick by a lot. Is not a replacement for bans. No need to overdo it</v>
      </c>
      <c r="G118" s="1188" t="s">
        <v>266</v>
      </c>
      <c r="H118" s="1188" t="s">
        <v>550</v>
      </c>
      <c r="J118" s="1188" t="s">
        <v>673</v>
      </c>
    </row>
    <row r="119">
      <c r="A119" s="1353"/>
      <c r="B119" s="1353"/>
      <c r="C119" s="1353"/>
      <c r="D119" s="1353"/>
    </row>
    <row r="120">
      <c r="A120" s="1353" t="str">
        <f>IFERROR(__xludf.DUMMYFUNCTION("""COMPUTED_VALUE"""),"Flame Bot - Cooldown")</f>
        <v>Flame Bot - Cooldown</v>
      </c>
      <c r="B120" s="1353" t="str">
        <f>IFERROR(__xludf.DUMMYFUNCTION("""COMPUTED_VALUE"""),"C")</f>
        <v>C</v>
      </c>
      <c r="C120" s="1353"/>
      <c r="D120" s="1353" t="str">
        <f>IFERROR(__xludf.DUMMYFUNCTION("""COMPUTED_VALUE"""),"Required for consistent damage reduction")</f>
        <v>Required for consistent damage reduction</v>
      </c>
      <c r="G120" s="1188" t="s">
        <v>161</v>
      </c>
      <c r="H120" s="1188" t="s">
        <v>547</v>
      </c>
      <c r="J120" s="1188" t="s">
        <v>674</v>
      </c>
    </row>
    <row r="121">
      <c r="A121" s="1353" t="str">
        <f>IFERROR(__xludf.DUMMYFUNCTION("""COMPUTED_VALUE"""),"Thunder Bot - Cooldown")</f>
        <v>Thunder Bot - Cooldown</v>
      </c>
      <c r="B121" s="1353" t="str">
        <f>IFERROR(__xludf.DUMMYFUNCTION("""COMPUTED_VALUE"""),"C")</f>
        <v>C</v>
      </c>
      <c r="C121" s="1353"/>
      <c r="D121" s="1353" t="str">
        <f>IFERROR(__xludf.DUMMYFUNCTION("""COMPUTED_VALUE"""),"Improves overall CC potential")</f>
        <v>Improves overall CC potential</v>
      </c>
      <c r="G121" s="1188" t="s">
        <v>176</v>
      </c>
      <c r="H121" s="1188" t="s">
        <v>547</v>
      </c>
      <c r="J121" s="1188" t="s">
        <v>675</v>
      </c>
    </row>
    <row r="122">
      <c r="A122" s="1353" t="str">
        <f>IFERROR(__xludf.DUMMYFUNCTION("""COMPUTED_VALUE"""),"Gold Bot - Cooldown")</f>
        <v>Gold Bot - Cooldown</v>
      </c>
      <c r="B122" s="1353" t="str">
        <f>IFERROR(__xludf.DUMMYFUNCTION("""COMPUTED_VALUE"""),"F")</f>
        <v>F</v>
      </c>
      <c r="C122" s="1353" t="str">
        <f>IFERROR(__xludf.DUMMYFUNCTION("""COMPUTED_VALUE"""),"A")</f>
        <v>A</v>
      </c>
      <c r="D122" s="1353" t="str">
        <f>IFERROR(__xludf.DUMMYFUNCTION("""COMPUTED_VALUE"""),"Can hinder syncing with UWs at certain higher times, best to sync 1:1 ")</f>
        <v>Can hinder syncing with UWs at certain higher times, best to sync 1:1 </v>
      </c>
      <c r="G122" s="1188" t="s">
        <v>187</v>
      </c>
      <c r="H122" s="1188" t="s">
        <v>549</v>
      </c>
      <c r="I122" s="1188" t="s">
        <v>545</v>
      </c>
      <c r="J122" s="1188" t="s">
        <v>676</v>
      </c>
    </row>
    <row r="123">
      <c r="A123" s="1353" t="str">
        <f>IFERROR(__xludf.DUMMYFUNCTION("""COMPUTED_VALUE"""),"Amp Bot - Cooldown")</f>
        <v>Amp Bot - Cooldown</v>
      </c>
      <c r="B123" s="1353" t="str">
        <f>IFERROR(__xludf.DUMMYFUNCTION("""COMPUTED_VALUE"""),"F")</f>
        <v>F</v>
      </c>
      <c r="C123" s="1353" t="str">
        <f>IFERROR(__xludf.DUMMYFUNCTION("""COMPUTED_VALUE"""),"D")</f>
        <v>D</v>
      </c>
      <c r="D123" s="1353" t="str">
        <f>IFERROR(__xludf.DUMMYFUNCTION("""COMPUTED_VALUE"""),"Syncing the bot may be beneficial in some cases, improves consistency")</f>
        <v>Syncing the bot may be beneficial in some cases, improves consistency</v>
      </c>
      <c r="G123" s="1188" t="s">
        <v>207</v>
      </c>
      <c r="H123" s="1188" t="s">
        <v>549</v>
      </c>
      <c r="I123" s="1188" t="s">
        <v>548</v>
      </c>
      <c r="J123" s="1188" t="s">
        <v>677</v>
      </c>
    </row>
    <row r="124">
      <c r="A124" s="1353" t="str">
        <f>IFERROR(__xludf.DUMMYFUNCTION("""COMPUTED_VALUE"""),"Flame Bot - Burn Stack")</f>
        <v>Flame Bot - Burn Stack</v>
      </c>
      <c r="B124" s="1353" t="str">
        <f>IFERROR(__xludf.DUMMYFUNCTION("""COMPUTED_VALUE"""),"F")</f>
        <v>F</v>
      </c>
      <c r="C124" s="1353"/>
      <c r="D124" s="1353" t="str">
        <f>IFERROR(__xludf.DUMMYFUNCTION("""COMPUTED_VALUE"""),"FB is not for damage; not needed")</f>
        <v>FB is not for damage; not needed</v>
      </c>
      <c r="G124" s="1188" t="s">
        <v>222</v>
      </c>
      <c r="H124" s="1188" t="s">
        <v>549</v>
      </c>
      <c r="J124" s="1188" t="s">
        <v>678</v>
      </c>
    </row>
    <row r="125">
      <c r="A125" s="1353" t="str">
        <f>IFERROR(__xludf.DUMMYFUNCTION("""COMPUTED_VALUE"""),"Thunder Bot - Linger Time")</f>
        <v>Thunder Bot - Linger Time</v>
      </c>
      <c r="B125" s="1353" t="str">
        <f>IFERROR(__xludf.DUMMYFUNCTION("""COMPUTED_VALUE"""),"D")</f>
        <v>D</v>
      </c>
      <c r="C125" s="1353"/>
      <c r="D125" s="1353" t="str">
        <f>IFERROR(__xludf.DUMMYFUNCTION("""COMPUTED_VALUE"""),"Only good if you have the bot")</f>
        <v>Only good if you have the bot</v>
      </c>
      <c r="G125" s="1188" t="s">
        <v>234</v>
      </c>
      <c r="H125" s="1188" t="s">
        <v>548</v>
      </c>
      <c r="J125" s="1188" t="s">
        <v>679</v>
      </c>
    </row>
    <row r="126">
      <c r="A126" s="1353" t="str">
        <f>IFERROR(__xludf.DUMMYFUNCTION("""COMPUTED_VALUE"""),"Gold Bot - Duration")</f>
        <v>Gold Bot - Duration</v>
      </c>
      <c r="B126" s="1353" t="str">
        <f>IFERROR(__xludf.DUMMYFUNCTION("""COMPUTED_VALUE"""),"B")</f>
        <v>B</v>
      </c>
      <c r="C126" s="1353"/>
      <c r="D126" s="1353" t="str">
        <f>IFERROR(__xludf.DUMMYFUNCTION("""COMPUTED_VALUE"""),"Great but long lab")</f>
        <v>Great but long lab</v>
      </c>
      <c r="G126" s="1188" t="s">
        <v>245</v>
      </c>
      <c r="H126" s="1188" t="s">
        <v>546</v>
      </c>
      <c r="J126" s="1188" t="s">
        <v>680</v>
      </c>
    </row>
    <row r="127">
      <c r="A127" s="1353" t="str">
        <f>IFERROR(__xludf.DUMMYFUNCTION("""COMPUTED_VALUE"""),"Amp Bot - Duration")</f>
        <v>Amp Bot - Duration</v>
      </c>
      <c r="B127" s="1353" t="str">
        <f>IFERROR(__xludf.DUMMYFUNCTION("""COMPUTED_VALUE"""),"B")</f>
        <v>B</v>
      </c>
      <c r="C127" s="1353"/>
      <c r="D127" s="1353" t="str">
        <f>IFERROR(__xludf.DUMMYFUNCTION("""COMPUTED_VALUE"""),"Improves overall damage and its consistency")</f>
        <v>Improves overall damage and its consistency</v>
      </c>
      <c r="G127" s="1188" t="s">
        <v>256</v>
      </c>
      <c r="H127" s="1188" t="s">
        <v>546</v>
      </c>
      <c r="J127" s="1188" t="s">
        <v>681</v>
      </c>
    </row>
    <row r="128">
      <c r="A128" s="1353"/>
      <c r="B128" s="1353"/>
      <c r="C128" s="1353"/>
      <c r="D128" s="1353"/>
    </row>
    <row r="129">
      <c r="A129" s="1353" t="str">
        <f>IFERROR(__xludf.DUMMYFUNCTION("""COMPUTED_VALUE"""),"Common Enemy Health")</f>
        <v>Common Enemy Health</v>
      </c>
      <c r="B129" s="1353" t="str">
        <f>IFERROR(__xludf.DUMMYFUNCTION("""COMPUTED_VALUE"""),"D")</f>
        <v>D</v>
      </c>
      <c r="C129" s="1353"/>
      <c r="D129" s="1353"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G129" s="1188" t="s">
        <v>162</v>
      </c>
      <c r="H129" s="1188" t="s">
        <v>548</v>
      </c>
      <c r="J129" s="1188" t="s">
        <v>682</v>
      </c>
    </row>
    <row r="130">
      <c r="A130" s="1353" t="str">
        <f>IFERROR(__xludf.DUMMYFUNCTION("""COMPUTED_VALUE"""),"Common Enemy Attack")</f>
        <v>Common Enemy Attack</v>
      </c>
      <c r="B130" s="1353" t="str">
        <f>IFERROR(__xludf.DUMMYFUNCTION("""COMPUTED_VALUE"""),"F")</f>
        <v>F</v>
      </c>
      <c r="C130" s="1353"/>
      <c r="D130" s="1353"/>
      <c r="G130" s="1188" t="s">
        <v>177</v>
      </c>
      <c r="H130" s="1188" t="s">
        <v>549</v>
      </c>
    </row>
    <row r="131">
      <c r="A131" s="1353" t="str">
        <f>IFERROR(__xludf.DUMMYFUNCTION("""COMPUTED_VALUE"""),"Fast Enemy Health")</f>
        <v>Fast Enemy Health</v>
      </c>
      <c r="B131" s="1353" t="str">
        <f>IFERROR(__xludf.DUMMYFUNCTION("""COMPUTED_VALUE"""),"D")</f>
        <v>D</v>
      </c>
      <c r="C131" s="1353"/>
      <c r="D131" s="1353"/>
      <c r="G131" s="1188" t="s">
        <v>188</v>
      </c>
      <c r="H131" s="1188" t="s">
        <v>548</v>
      </c>
    </row>
    <row r="132">
      <c r="A132" s="1353" t="str">
        <f>IFERROR(__xludf.DUMMYFUNCTION("""COMPUTED_VALUE"""),"Fast Enemy Attack")</f>
        <v>Fast Enemy Attack</v>
      </c>
      <c r="B132" s="1353" t="str">
        <f>IFERROR(__xludf.DUMMYFUNCTION("""COMPUTED_VALUE"""),"F")</f>
        <v>F</v>
      </c>
      <c r="C132" s="1353"/>
      <c r="D132" s="1353"/>
      <c r="G132" s="1188" t="s">
        <v>209</v>
      </c>
      <c r="H132" s="1188" t="s">
        <v>549</v>
      </c>
    </row>
    <row r="133">
      <c r="A133" s="1353" t="str">
        <f>IFERROR(__xludf.DUMMYFUNCTION("""COMPUTED_VALUE"""),"Fast Enemy Speed")</f>
        <v>Fast Enemy Speed</v>
      </c>
      <c r="B133" s="1353" t="str">
        <f>IFERROR(__xludf.DUMMYFUNCTION("""COMPUTED_VALUE"""),"C")</f>
        <v>C</v>
      </c>
      <c r="C133" s="1353"/>
      <c r="D133" s="1353"/>
      <c r="G133" s="1188" t="s">
        <v>223</v>
      </c>
      <c r="H133" s="1188" t="s">
        <v>547</v>
      </c>
    </row>
    <row r="134">
      <c r="A134" s="1353" t="str">
        <f>IFERROR(__xludf.DUMMYFUNCTION("""COMPUTED_VALUE"""),"Tank Enemy Health")</f>
        <v>Tank Enemy Health</v>
      </c>
      <c r="B134" s="1353" t="str">
        <f>IFERROR(__xludf.DUMMYFUNCTION("""COMPUTED_VALUE"""),"D")</f>
        <v>D</v>
      </c>
      <c r="C134" s="1353"/>
      <c r="D134" s="1353"/>
      <c r="G134" s="1188" t="s">
        <v>235</v>
      </c>
      <c r="H134" s="1188" t="s">
        <v>548</v>
      </c>
    </row>
    <row r="135">
      <c r="A135" s="1353" t="str">
        <f>IFERROR(__xludf.DUMMYFUNCTION("""COMPUTED_VALUE"""),"Tank Enemy Attack")</f>
        <v>Tank Enemy Attack</v>
      </c>
      <c r="B135" s="1353" t="str">
        <f>IFERROR(__xludf.DUMMYFUNCTION("""COMPUTED_VALUE"""),"F")</f>
        <v>F</v>
      </c>
      <c r="C135" s="1353"/>
      <c r="D135" s="1353"/>
      <c r="G135" s="1188" t="s">
        <v>246</v>
      </c>
      <c r="H135" s="1188" t="s">
        <v>549</v>
      </c>
    </row>
    <row r="136">
      <c r="A136" s="1353" t="str">
        <f>IFERROR(__xludf.DUMMYFUNCTION("""COMPUTED_VALUE"""),"Ranged Enemy Health")</f>
        <v>Ranged Enemy Health</v>
      </c>
      <c r="B136" s="1353" t="str">
        <f>IFERROR(__xludf.DUMMYFUNCTION("""COMPUTED_VALUE"""),"D")</f>
        <v>D</v>
      </c>
      <c r="C136" s="1353"/>
      <c r="D136" s="1353"/>
      <c r="G136" s="1188" t="s">
        <v>257</v>
      </c>
      <c r="H136" s="1188" t="s">
        <v>548</v>
      </c>
    </row>
    <row r="137">
      <c r="A137" s="1353" t="str">
        <f>IFERROR(__xludf.DUMMYFUNCTION("""COMPUTED_VALUE"""),"Ranged Enemy Attack")</f>
        <v>Ranged Enemy Attack</v>
      </c>
      <c r="B137" s="1353" t="str">
        <f>IFERROR(__xludf.DUMMYFUNCTION("""COMPUTED_VALUE"""),"F")</f>
        <v>F</v>
      </c>
      <c r="C137" s="1353"/>
      <c r="D137" s="1353"/>
      <c r="G137" s="1188" t="s">
        <v>267</v>
      </c>
      <c r="H137" s="1188" t="s">
        <v>549</v>
      </c>
    </row>
    <row r="138">
      <c r="A138" s="1353" t="str">
        <f>IFERROR(__xludf.DUMMYFUNCTION("""COMPUTED_VALUE"""),"Boss Health")</f>
        <v>Boss Health</v>
      </c>
      <c r="B138" s="1353" t="str">
        <f>IFERROR(__xludf.DUMMYFUNCTION("""COMPUTED_VALUE"""),"C")</f>
        <v>C</v>
      </c>
      <c r="C138" s="1353"/>
      <c r="D138" s="1353"/>
      <c r="G138" s="1188" t="s">
        <v>275</v>
      </c>
      <c r="H138" s="1188" t="s">
        <v>547</v>
      </c>
    </row>
    <row r="139">
      <c r="A139" s="1353" t="str">
        <f>IFERROR(__xludf.DUMMYFUNCTION("""COMPUTED_VALUE"""),"Boss Attack")</f>
        <v>Boss Attack</v>
      </c>
      <c r="B139" s="1353" t="str">
        <f>IFERROR(__xludf.DUMMYFUNCTION("""COMPUTED_VALUE"""),"F")</f>
        <v>F</v>
      </c>
      <c r="C139" s="1353"/>
      <c r="D139" s="1353"/>
      <c r="G139" s="1188" t="s">
        <v>283</v>
      </c>
      <c r="H139" s="1188" t="s">
        <v>549</v>
      </c>
    </row>
    <row r="140">
      <c r="A140" s="1353" t="str">
        <f>IFERROR(__xludf.DUMMYFUNCTION("""COMPUTED_VALUE"""),"Protector Health")</f>
        <v>Protector Health</v>
      </c>
      <c r="B140" s="1353" t="str">
        <f>IFERROR(__xludf.DUMMYFUNCTION("""COMPUTED_VALUE"""),"C")</f>
        <v>C</v>
      </c>
      <c r="C140" s="1353"/>
      <c r="D140" s="1353" t="str">
        <f>IFERROR(__xludf.DUMMYFUNCTION("""COMPUTED_VALUE"""),"Good with high level CL+ to fully kill protectors with percentage damage")</f>
        <v>Good with high level CL+ to fully kill protectors with percentage damage</v>
      </c>
      <c r="G140" s="1188" t="s">
        <v>291</v>
      </c>
      <c r="H140" s="1188" t="s">
        <v>547</v>
      </c>
      <c r="J140" s="1188" t="s">
        <v>683</v>
      </c>
    </row>
    <row r="141">
      <c r="A141" s="1353" t="str">
        <f>IFERROR(__xludf.DUMMYFUNCTION("""COMPUTED_VALUE"""),"Protector Radius")</f>
        <v>Protector Radius</v>
      </c>
      <c r="B141" s="1353" t="str">
        <f>IFERROR(__xludf.DUMMYFUNCTION("""COMPUTED_VALUE"""),"C")</f>
        <v>C</v>
      </c>
      <c r="C141" s="1353"/>
      <c r="D141" s="1353" t="str">
        <f>IFERROR(__xludf.DUMMYFUNCTION("""COMPUTED_VALUE"""),"Decent value for the lower levels")</f>
        <v>Decent value for the lower levels</v>
      </c>
      <c r="G141" s="1188" t="s">
        <v>298</v>
      </c>
      <c r="H141" s="1188" t="s">
        <v>547</v>
      </c>
      <c r="J141" s="1188" t="s">
        <v>684</v>
      </c>
    </row>
    <row r="142">
      <c r="A142" s="1353" t="str">
        <f>IFERROR(__xludf.DUMMYFUNCTION("""COMPUTED_VALUE"""),"Protector Damage Reduction")</f>
        <v>Protector Damage Reduction</v>
      </c>
      <c r="B142" s="1353" t="str">
        <f>IFERROR(__xludf.DUMMYFUNCTION("""COMPUTED_VALUE"""),"D")</f>
        <v>D</v>
      </c>
      <c r="C142" s="1353"/>
      <c r="D142" s="1353" t="str">
        <f>IFERROR(__xludf.DUMMYFUNCTION("""COMPUTED_VALUE"""),"Lowers Protector's downside to damage")</f>
        <v>Lowers Protector's downside to damage</v>
      </c>
      <c r="G142" s="1188" t="s">
        <v>305</v>
      </c>
      <c r="H142" s="1188" t="s">
        <v>548</v>
      </c>
    </row>
    <row r="143">
      <c r="A143" s="1353" t="str">
        <f>IFERROR(__xludf.DUMMYFUNCTION("""COMPUTED_VALUE"""),"Ray Enemy Attack")</f>
        <v>Ray Enemy Attack</v>
      </c>
      <c r="B143" s="1353" t="str">
        <f>IFERROR(__xludf.DUMMYFUNCTION("""COMPUTED_VALUE"""),"D")</f>
        <v>D</v>
      </c>
      <c r="C143" s="1353"/>
      <c r="D143" s="1353" t="str">
        <f>IFERROR(__xludf.DUMMYFUNCTION("""COMPUTED_VALUE"""),"By the time you unlock this you're very likely past the point where eHP is a realistic build")</f>
        <v>By the time you unlock this you're very likely past the point where eHP is a realistic build</v>
      </c>
      <c r="G143" s="1188" t="s">
        <v>312</v>
      </c>
      <c r="H143" s="1188" t="s">
        <v>548</v>
      </c>
      <c r="J143" s="1188" t="s">
        <v>685</v>
      </c>
    </row>
    <row r="144">
      <c r="A144" s="1353" t="str">
        <f>IFERROR(__xludf.DUMMYFUNCTION("""COMPUTED_VALUE"""),"Ray Enemy Health")</f>
        <v>Ray Enemy Health</v>
      </c>
      <c r="B144" s="1353" t="str">
        <f>IFERROR(__xludf.DUMMYFUNCTION("""COMPUTED_VALUE"""),"A")</f>
        <v>A</v>
      </c>
      <c r="C144" s="1353"/>
      <c r="D144" s="1353" t="str">
        <f>IFERROR(__xludf.DUMMYFUNCTION("""COMPUTED_VALUE"""),"Alongisde CL+ and PC mastery, can leave Rays at only 4.24% hp")</f>
        <v>Alongisde CL+ and PC mastery, can leave Rays at only 4.24% hp</v>
      </c>
      <c r="G144" s="1188" t="s">
        <v>319</v>
      </c>
      <c r="H144" s="1188" t="s">
        <v>545</v>
      </c>
      <c r="J144" s="1188" t="s">
        <v>686</v>
      </c>
    </row>
    <row r="145">
      <c r="A145" s="1353" t="str">
        <f>IFERROR(__xludf.DUMMYFUNCTION("""COMPUTED_VALUE"""),"Vampire Enemy Attack")</f>
        <v>Vampire Enemy Attack</v>
      </c>
      <c r="B145" s="1353" t="str">
        <f>IFERROR(__xludf.DUMMYFUNCTION("""COMPUTED_VALUE"""),"F")</f>
        <v>F</v>
      </c>
      <c r="C145" s="1353"/>
      <c r="D145" s="1353" t="str">
        <f>IFERROR(__xludf.DUMMYFUNCTION("""COMPUTED_VALUE"""),"Vamps with garlic thorns, wall and package+ are a non threat anyway")</f>
        <v>Vamps with garlic thorns, wall and package+ are a non threat anyway</v>
      </c>
      <c r="G145" s="1188" t="s">
        <v>325</v>
      </c>
      <c r="H145" s="1188" t="s">
        <v>549</v>
      </c>
      <c r="J145" s="1188" t="s">
        <v>687</v>
      </c>
    </row>
    <row r="146">
      <c r="A146" s="1353" t="str">
        <f>IFERROR(__xludf.DUMMYFUNCTION("""COMPUTED_VALUE"""),"Vampire Enemy Health")</f>
        <v>Vampire Enemy Health</v>
      </c>
      <c r="B146" s="1353" t="str">
        <f>IFERROR(__xludf.DUMMYFUNCTION("""COMPUTED_VALUE"""),"F")</f>
        <v>F</v>
      </c>
      <c r="C146" s="1353"/>
      <c r="D146" s="1353"/>
      <c r="G146" s="1188" t="s">
        <v>330</v>
      </c>
      <c r="H146" s="1188" t="s">
        <v>549</v>
      </c>
    </row>
    <row r="147">
      <c r="A147" s="1353" t="str">
        <f>IFERROR(__xludf.DUMMYFUNCTION("""COMPUTED_VALUE"""),"Scatter Enemy Attack")</f>
        <v>Scatter Enemy Attack</v>
      </c>
      <c r="B147" s="1353" t="str">
        <f>IFERROR(__xludf.DUMMYFUNCTION("""COMPUTED_VALUE"""),"D")</f>
        <v>D</v>
      </c>
      <c r="C147" s="1353"/>
      <c r="D147" s="1353" t="str">
        <f>IFERROR(__xludf.DUMMYFUNCTION("""COMPUTED_VALUE"""),"By the time you unlock this you're very likely past the point where eHP is a realistic build")</f>
        <v>By the time you unlock this you're very likely past the point where eHP is a realistic build</v>
      </c>
      <c r="G147" s="1188" t="s">
        <v>335</v>
      </c>
      <c r="H147" s="1188" t="s">
        <v>548</v>
      </c>
      <c r="J147" s="1188" t="s">
        <v>685</v>
      </c>
    </row>
    <row r="148">
      <c r="A148" s="1353" t="str">
        <f>IFERROR(__xludf.DUMMYFUNCTION("""COMPUTED_VALUE"""),"Scatter Enemy Health")</f>
        <v>Scatter Enemy Health</v>
      </c>
      <c r="B148" s="1353" t="str">
        <f>IFERROR(__xludf.DUMMYFUNCTION("""COMPUTED_VALUE"""),"D")</f>
        <v>D</v>
      </c>
      <c r="C148" s="1353"/>
      <c r="D148" s="1353" t="str">
        <f>IFERROR(__xludf.DUMMYFUNCTION("""COMPUTED_VALUE"""),"The need to lab it is often replaced by Lightning Amplifier")</f>
        <v>The need to lab it is often replaced by Lightning Amplifier</v>
      </c>
      <c r="G148" s="1188" t="s">
        <v>340</v>
      </c>
      <c r="H148" s="1188" t="s">
        <v>548</v>
      </c>
    </row>
    <row r="149">
      <c r="A149" s="1353" t="str">
        <f>IFERROR(__xludf.DUMMYFUNCTION("""COMPUTED_VALUE"""),"Ranged Enemy Range")</f>
        <v>Ranged Enemy Range</v>
      </c>
      <c r="B149" s="1353" t="str">
        <f>IFERROR(__xludf.DUMMYFUNCTION("""COMPUTED_VALUE"""),"C")</f>
        <v>C</v>
      </c>
      <c r="C149" s="1353"/>
      <c r="D149" s="1353" t="str">
        <f>IFERROR(__xludf.DUMMYFUNCTION("""COMPUTED_VALUE"""),"Good to reduce ranged chips")</f>
        <v>Good to reduce ranged chips</v>
      </c>
      <c r="G149" s="1188" t="s">
        <v>345</v>
      </c>
      <c r="H149" s="1188" t="s">
        <v>547</v>
      </c>
      <c r="J149" s="1188" t="s">
        <v>688</v>
      </c>
    </row>
    <row r="150">
      <c r="A150" s="1353"/>
      <c r="B150" s="1353"/>
      <c r="C150" s="1353"/>
      <c r="D150" s="1353"/>
    </row>
    <row r="151">
      <c r="A151" s="1353" t="str">
        <f>IFERROR(__xludf.DUMMYFUNCTION("""COMPUTED_VALUE"""),"Common Drop Chance")</f>
        <v>Common Drop Chance</v>
      </c>
      <c r="B151" s="1353" t="str">
        <f>IFERROR(__xludf.DUMMYFUNCTION("""COMPUTED_VALUE"""),"S")</f>
        <v>S</v>
      </c>
      <c r="C151" s="1353"/>
      <c r="D151" s="1353" t="str">
        <f>IFERROR(__xludf.DUMMYFUNCTION("""COMPUTED_VALUE"""),"Very important long term for shard income. Affects most stats")</f>
        <v>Very important long term for shard income. Affects most stats</v>
      </c>
      <c r="G151" s="1188" t="s">
        <v>163</v>
      </c>
      <c r="H151" s="1188" t="s">
        <v>544</v>
      </c>
      <c r="J151" s="1188" t="s">
        <v>689</v>
      </c>
    </row>
    <row r="152">
      <c r="A152" s="1353" t="str">
        <f>IFERROR(__xludf.DUMMYFUNCTION("""COMPUTED_VALUE"""),"Reroll Shards")</f>
        <v>Reroll Shards</v>
      </c>
      <c r="B152" s="1353" t="str">
        <f>IFERROR(__xludf.DUMMYFUNCTION("""COMPUTED_VALUE"""),"A")</f>
        <v>A</v>
      </c>
      <c r="C152" s="1353"/>
      <c r="D152" s="1353" t="str">
        <f>IFERROR(__xludf.DUMMYFUNCTION("""COMPUTED_VALUE"""),"The costs of rerolling get really high with better developed modules")</f>
        <v>The costs of rerolling get really high with better developed modules</v>
      </c>
      <c r="G152" s="1188" t="s">
        <v>178</v>
      </c>
      <c r="H152" s="1188" t="s">
        <v>545</v>
      </c>
      <c r="J152" s="1188" t="s">
        <v>690</v>
      </c>
    </row>
    <row r="153">
      <c r="A153" s="1353" t="str">
        <f>IFERROR(__xludf.DUMMYFUNCTION("""COMPUTED_VALUE"""),"Daily Mission Shards")</f>
        <v>Daily Mission Shards</v>
      </c>
      <c r="B153" s="1353" t="str">
        <f>IFERROR(__xludf.DUMMYFUNCTION("""COMPUTED_VALUE"""),"S")</f>
        <v>S</v>
      </c>
      <c r="C153" s="1353"/>
      <c r="D153" s="1353" t="str">
        <f>IFERROR(__xludf.DUMMYFUNCTION("""COMPUTED_VALUE"""),"Very important long term for shard income. Affects most stats")</f>
        <v>Very important long term for shard income. Affects most stats</v>
      </c>
      <c r="G153" s="1188" t="s">
        <v>189</v>
      </c>
      <c r="H153" s="1188" t="s">
        <v>544</v>
      </c>
      <c r="J153" s="1188" t="s">
        <v>689</v>
      </c>
    </row>
    <row r="154">
      <c r="A154" s="1353" t="str">
        <f>IFERROR(__xludf.DUMMYFUNCTION("""COMPUTED_VALUE"""),"Module Shards Cost")</f>
        <v>Module Shards Cost</v>
      </c>
      <c r="B154" s="1353" t="str">
        <f>IFERROR(__xludf.DUMMYFUNCTION("""COMPUTED_VALUE"""),"A")</f>
        <v>A</v>
      </c>
      <c r="C154" s="1353"/>
      <c r="D154" s="1353" t="str">
        <f>IFERROR(__xludf.DUMMYFUNCTION("""COMPUTED_VALUE"""),"Important but also retroactive")</f>
        <v>Important but also retroactive</v>
      </c>
      <c r="G154" s="1188" t="s">
        <v>211</v>
      </c>
      <c r="H154" s="1188" t="s">
        <v>545</v>
      </c>
      <c r="J154" s="1188" t="s">
        <v>691</v>
      </c>
    </row>
    <row r="155">
      <c r="A155" s="1353" t="str">
        <f>IFERROR(__xludf.DUMMYFUNCTION("""COMPUTED_VALUE"""),"Module Coin Cost")</f>
        <v>Module Coin Cost</v>
      </c>
      <c r="B155" s="1353" t="str">
        <f>IFERROR(__xludf.DUMMYFUNCTION("""COMPUTED_VALUE"""),"D")</f>
        <v>D</v>
      </c>
      <c r="C155" s="1353" t="str">
        <f>IFERROR(__xludf.DUMMYFUNCTION("""COMPUTED_VALUE"""),"B")</f>
        <v>B</v>
      </c>
      <c r="D155" s="1353" t="str">
        <f>IFERROR(__xludf.DUMMYFUNCTION("""COMPUTED_VALUE"""),"Useless until level 161+ when costs go into trillions and quadrillions. Retroactive")</f>
        <v>Useless until level 161+ when costs go into trillions and quadrillions. Retroactive</v>
      </c>
      <c r="G155" s="1188" t="s">
        <v>224</v>
      </c>
      <c r="H155" s="1188" t="s">
        <v>548</v>
      </c>
      <c r="I155" s="1188" t="s">
        <v>546</v>
      </c>
      <c r="J155" s="1188" t="s">
        <v>692</v>
      </c>
    </row>
    <row r="156">
      <c r="A156" s="1353" t="str">
        <f>IFERROR(__xludf.DUMMYFUNCTION("""COMPUTED_VALUE"""),"Rare Drop Chance")</f>
        <v>Rare Drop Chance</v>
      </c>
      <c r="B156" s="1353" t="str">
        <f>IFERROR(__xludf.DUMMYFUNCTION("""COMPUTED_VALUE"""),"S")</f>
        <v>S</v>
      </c>
      <c r="C156" s="1353"/>
      <c r="D156" s="1353" t="str">
        <f>IFERROR(__xludf.DUMMYFUNCTION("""COMPUTED_VALUE"""),"Very important long term for fodder and shard income. Each level brings a big increase in the drop rate ")</f>
        <v>Very important long term for fodder and shard income. Each level brings a big increase in the drop rate </v>
      </c>
      <c r="G156" s="1188" t="s">
        <v>236</v>
      </c>
      <c r="H156" s="1188" t="s">
        <v>544</v>
      </c>
      <c r="J156" s="1188" t="s">
        <v>693</v>
      </c>
    </row>
    <row r="157">
      <c r="A157" s="1353" t="str">
        <f>IFERROR(__xludf.DUMMYFUNCTION("""COMPUTED_VALUE"""),"Unmerge Module")</f>
        <v>Unmerge Module</v>
      </c>
      <c r="B157" s="1353" t="str">
        <f>IFERROR(__xludf.DUMMYFUNCTION("""COMPUTED_VALUE"""),"QOL")</f>
        <v>QOL</v>
      </c>
      <c r="C157" s="1353"/>
      <c r="D157" s="1353" t="str">
        <f>IFERROR(__xludf.DUMMYFUNCTION("""COMPUTED_VALUE"""),"Costs 20 gems per unmerge. Shatters fodder on use. Can be used for hoarding modules past inventory limit for Shatter Shards")</f>
        <v>Costs 20 gems per unmerge. Shatters fodder on use. Can be used for hoarding modules past inventory limit for Shatter Shards</v>
      </c>
      <c r="G157" s="1188" t="s">
        <v>247</v>
      </c>
      <c r="H157" s="1188" t="s">
        <v>550</v>
      </c>
      <c r="J157" s="1188" t="s">
        <v>694</v>
      </c>
    </row>
    <row r="158">
      <c r="A158" s="1353" t="str">
        <f>IFERROR(__xludf.DUMMYFUNCTION("""COMPUTED_VALUE"""),"Shatter Shards")</f>
        <v>Shatter Shards</v>
      </c>
      <c r="B158" s="1353" t="str">
        <f>IFERROR(__xludf.DUMMYFUNCTION("""COMPUTED_VALUE"""),"S+")</f>
        <v>S+</v>
      </c>
      <c r="C158" s="1353"/>
      <c r="D158" s="1353" t="str">
        <f>IFERROR(__xludf.DUMMYFUNCTION("""COMPUTED_VALUE"""),"Very important to shard economy, makes getting high mod levels reasonable")</f>
        <v>Very important to shard economy, makes getting high mod levels reasonable</v>
      </c>
      <c r="G158" s="1188" t="s">
        <v>258</v>
      </c>
      <c r="H158" s="1188" t="s">
        <v>543</v>
      </c>
      <c r="J158" s="1188" t="s">
        <v>695</v>
      </c>
    </row>
    <row r="159">
      <c r="A159" s="1353" t="str">
        <f>IFERROR(__xludf.DUMMYFUNCTION("""COMPUTED_VALUE"""),"Cannon Effect Bans")</f>
        <v>Cannon Effect Bans</v>
      </c>
      <c r="B159" s="1353" t="str">
        <f>IFERROR(__xludf.DUMMYFUNCTION("""COMPUTED_VALUE"""),"C")</f>
        <v>C</v>
      </c>
      <c r="C159" s="1353"/>
      <c r="D159" s="1353" t="str">
        <f>IFERROR(__xludf.DUMMYFUNCTION("""COMPUTED_VALUE"""),"Basically another reroll shards lab but arguably worse")</f>
        <v>Basically another reroll shards lab but arguably worse</v>
      </c>
      <c r="G159" s="1188" t="s">
        <v>268</v>
      </c>
      <c r="H159" s="1188" t="s">
        <v>547</v>
      </c>
      <c r="J159" s="1188" t="s">
        <v>696</v>
      </c>
    </row>
    <row r="160">
      <c r="A160" s="1353" t="str">
        <f>IFERROR(__xludf.DUMMYFUNCTION("""COMPUTED_VALUE"""),"Armor Effect Bans")</f>
        <v>Armor Effect Bans</v>
      </c>
      <c r="B160" s="1353" t="str">
        <f>IFERROR(__xludf.DUMMYFUNCTION("""COMPUTED_VALUE"""),"C")</f>
        <v>C</v>
      </c>
      <c r="C160" s="1353"/>
      <c r="D160" s="1353"/>
      <c r="G160" s="1188" t="s">
        <v>276</v>
      </c>
      <c r="H160" s="1188" t="s">
        <v>547</v>
      </c>
    </row>
    <row r="161">
      <c r="A161" s="1353" t="str">
        <f>IFERROR(__xludf.DUMMYFUNCTION("""COMPUTED_VALUE"""),"Generator Effect Bans")</f>
        <v>Generator Effect Bans</v>
      </c>
      <c r="B161" s="1353" t="str">
        <f>IFERROR(__xludf.DUMMYFUNCTION("""COMPUTED_VALUE"""),"C")</f>
        <v>C</v>
      </c>
      <c r="C161" s="1353"/>
      <c r="D161" s="1353"/>
      <c r="G161" s="1188" t="s">
        <v>284</v>
      </c>
      <c r="H161" s="1188" t="s">
        <v>547</v>
      </c>
    </row>
    <row r="162">
      <c r="A162" s="1353" t="str">
        <f>IFERROR(__xludf.DUMMYFUNCTION("""COMPUTED_VALUE"""),"Core Effect Bans")</f>
        <v>Core Effect Bans</v>
      </c>
      <c r="B162" s="1353" t="str">
        <f>IFERROR(__xludf.DUMMYFUNCTION("""COMPUTED_VALUE"""),"C")</f>
        <v>C</v>
      </c>
      <c r="C162" s="1353"/>
      <c r="D162" s="1353"/>
      <c r="G162" s="1188" t="s">
        <v>292</v>
      </c>
      <c r="H162" s="1188" t="s">
        <v>547</v>
      </c>
    </row>
    <row r="163">
      <c r="A163" s="1353" t="str">
        <f>IFERROR(__xludf.DUMMYFUNCTION("""COMPUTED_VALUE"""),"Assist Module Substats - Cannon")</f>
        <v>Assist Module Substats - Cannon</v>
      </c>
      <c r="B163" s="1353" t="str">
        <f>IFERROR(__xludf.DUMMYFUNCTION("""COMPUTED_VALUE"""),"A")</f>
        <v>A</v>
      </c>
      <c r="C163" s="1353"/>
      <c r="D163" s="1353" t="str">
        <f>IFERROR(__xludf.DUMMYFUNCTION("""COMPUTED_VALUE"""),"An addition alongside the stone spending on assist modules, required to achieve 100% efficiency")</f>
        <v>An addition alongside the stone spending on assist modules, required to achieve 100% efficiency</v>
      </c>
      <c r="G163" s="1188" t="s">
        <v>299</v>
      </c>
      <c r="H163" s="1188" t="s">
        <v>545</v>
      </c>
    </row>
    <row r="164">
      <c r="A164" s="1353" t="str">
        <f>IFERROR(__xludf.DUMMYFUNCTION("""COMPUTED_VALUE"""),"Assist Module Substats - Armor")</f>
        <v>Assist Module Substats - Armor</v>
      </c>
      <c r="B164" s="1353" t="str">
        <f>IFERROR(__xludf.DUMMYFUNCTION("""COMPUTED_VALUE"""),"A")</f>
        <v>A</v>
      </c>
      <c r="C164" s="1353"/>
      <c r="D164" s="1353"/>
      <c r="G164" s="1188" t="s">
        <v>306</v>
      </c>
      <c r="H164" s="1188" t="s">
        <v>545</v>
      </c>
    </row>
    <row r="165">
      <c r="A165" s="1353" t="str">
        <f>IFERROR(__xludf.DUMMYFUNCTION("""COMPUTED_VALUE"""),"Assist Module Substats - Generator")</f>
        <v>Assist Module Substats - Generator</v>
      </c>
      <c r="B165" s="1353" t="str">
        <f>IFERROR(__xludf.DUMMYFUNCTION("""COMPUTED_VALUE"""),"S")</f>
        <v>S</v>
      </c>
      <c r="C165" s="1353"/>
      <c r="D165" s="1353"/>
      <c r="G165" s="1188" t="s">
        <v>313</v>
      </c>
      <c r="H165" s="1188" t="s">
        <v>544</v>
      </c>
    </row>
    <row r="166">
      <c r="A166" s="1353" t="str">
        <f>IFERROR(__xludf.DUMMYFUNCTION("""COMPUTED_VALUE"""),"Assist Module Substats - Core")</f>
        <v>Assist Module Substats - Core</v>
      </c>
      <c r="B166" s="1353" t="str">
        <f>IFERROR(__xludf.DUMMYFUNCTION("""COMPUTED_VALUE"""),"S")</f>
        <v>S</v>
      </c>
      <c r="C166" s="1353"/>
      <c r="D166" s="1353"/>
      <c r="G166" s="1188" t="s">
        <v>320</v>
      </c>
      <c r="H166" s="1188" t="s">
        <v>544</v>
      </c>
    </row>
    <row r="167">
      <c r="A167" s="1353" t="str">
        <f>IFERROR(__xludf.DUMMYFUNCTION("""COMPUTED_VALUE"""),"Assist Module Bonus - Cannon")</f>
        <v>Assist Module Bonus - Cannon</v>
      </c>
      <c r="B167" s="1353" t="str">
        <f>IFERROR(__xludf.DUMMYFUNCTION("""COMPUTED_VALUE"""),"B")</f>
        <v>B</v>
      </c>
      <c r="C167" s="1353"/>
      <c r="D167" s="1353"/>
      <c r="G167" s="1188" t="s">
        <v>326</v>
      </c>
      <c r="H167" s="1188" t="s">
        <v>546</v>
      </c>
    </row>
    <row r="168">
      <c r="A168" s="1353" t="str">
        <f>IFERROR(__xludf.DUMMYFUNCTION("""COMPUTED_VALUE"""),"Assist Module Bonus - Armor")</f>
        <v>Assist Module Bonus - Armor</v>
      </c>
      <c r="B168" s="1353" t="str">
        <f>IFERROR(__xludf.DUMMYFUNCTION("""COMPUTED_VALUE"""),"C")</f>
        <v>C</v>
      </c>
      <c r="C168" s="1353"/>
      <c r="D168" s="1353"/>
      <c r="G168" s="1188" t="s">
        <v>331</v>
      </c>
      <c r="H168" s="1188" t="s">
        <v>547</v>
      </c>
    </row>
    <row r="169">
      <c r="A169" s="1353" t="str">
        <f>IFERROR(__xludf.DUMMYFUNCTION("""COMPUTED_VALUE"""),"Assist Module Bonus - Generator")</f>
        <v>Assist Module Bonus - Generator</v>
      </c>
      <c r="B169" s="1353" t="str">
        <f>IFERROR(__xludf.DUMMYFUNCTION("""COMPUTED_VALUE"""),"A")</f>
        <v>A</v>
      </c>
      <c r="C169" s="1353"/>
      <c r="D169" s="1353"/>
      <c r="G169" s="1188" t="s">
        <v>336</v>
      </c>
      <c r="H169" s="1188" t="s">
        <v>545</v>
      </c>
    </row>
    <row r="170">
      <c r="A170" s="1353" t="str">
        <f>IFERROR(__xludf.DUMMYFUNCTION("""COMPUTED_VALUE"""),"Assist Module Bonus - Core")</f>
        <v>Assist Module Bonus - Core</v>
      </c>
      <c r="B170" s="1353" t="str">
        <f>IFERROR(__xludf.DUMMYFUNCTION("""COMPUTED_VALUE"""),"B")</f>
        <v>B</v>
      </c>
      <c r="C170" s="1353"/>
      <c r="D170" s="1353"/>
      <c r="G170" s="1188" t="s">
        <v>341</v>
      </c>
      <c r="H170" s="1188" t="s">
        <v>546</v>
      </c>
    </row>
    <row r="171">
      <c r="A171" s="1353"/>
      <c r="B171" s="1353"/>
      <c r="C171" s="1353"/>
      <c r="D171" s="1353"/>
    </row>
    <row r="172">
      <c r="A172" s="1353" t="str">
        <f>IFERROR(__xludf.DUMMYFUNCTION("""COMPUTED_VALUE"""),"Battle Condition Reduction")</f>
        <v>Battle Condition Reduction</v>
      </c>
      <c r="B172" s="1353" t="str">
        <f>IFERROR(__xludf.DUMMYFUNCTION("""COMPUTED_VALUE"""),"S+")</f>
        <v>S+</v>
      </c>
      <c r="C172" s="1353"/>
      <c r="D172" s="1353" t="str">
        <f>IFERROR(__xludf.DUMMYFUNCTION("""COMPUTED_VALUE"""),"Very strong for those reaching max heat in tournaments. Removes 100% uptime on ultimate enemies. Great for farms in T14 and up")</f>
        <v>Very strong for those reaching max heat in tournaments. Removes 100% uptime on ultimate enemies. Great for farms in T14 and up</v>
      </c>
      <c r="G172" s="1190" t="s">
        <v>164</v>
      </c>
      <c r="H172" s="1188" t="s">
        <v>543</v>
      </c>
      <c r="J172" s="1188" t="s">
        <v>697</v>
      </c>
    </row>
    <row r="173">
      <c r="A173" s="1353" t="str">
        <f>IFERROR(__xludf.DUMMYFUNCTION("""COMPUTED_VALUE"""),"Knockback Resistance")</f>
        <v>Knockback Resistance</v>
      </c>
      <c r="B173" s="1353" t="str">
        <f>IFERROR(__xludf.DUMMYFUNCTION("""COMPUTED_VALUE"""),"C")</f>
        <v>C</v>
      </c>
      <c r="C173" s="1353"/>
      <c r="D173" s="1353" t="str">
        <f>IFERROR(__xludf.DUMMYFUNCTION("""COMPUTED_VALUE"""),"Resistances get far weaker than most battle conditions with how they substract the effect")</f>
        <v>Resistances get far weaker than most battle conditions with how they substract the effect</v>
      </c>
      <c r="G173" s="1190" t="s">
        <v>179</v>
      </c>
      <c r="H173" s="1188" t="s">
        <v>547</v>
      </c>
      <c r="J173" s="1188" t="s">
        <v>698</v>
      </c>
    </row>
    <row r="174">
      <c r="A174" s="1353" t="str">
        <f>IFERROR(__xludf.DUMMYFUNCTION("""COMPUTED_VALUE"""),"Thorns Resistance")</f>
        <v>Thorns Resistance</v>
      </c>
      <c r="B174" s="1353" t="str">
        <f>IFERROR(__xludf.DUMMYFUNCTION("""COMPUTED_VALUE"""),"C")</f>
        <v>C</v>
      </c>
      <c r="C174" s="1353"/>
      <c r="D174" s="1353"/>
      <c r="G174" s="1190" t="s">
        <v>190</v>
      </c>
      <c r="H174" s="1188" t="s">
        <v>547</v>
      </c>
    </row>
    <row r="175">
      <c r="A175" s="1353" t="str">
        <f>IFERROR(__xludf.DUMMYFUNCTION("""COMPUTED_VALUE"""),"Orb Resistance")</f>
        <v>Orb Resistance</v>
      </c>
      <c r="B175" s="1353" t="str">
        <f>IFERROR(__xludf.DUMMYFUNCTION("""COMPUTED_VALUE"""),"C")</f>
        <v>C</v>
      </c>
      <c r="C175" s="1353"/>
      <c r="D175" s="1353"/>
      <c r="G175" s="1190" t="s">
        <v>213</v>
      </c>
      <c r="H175" s="1188" t="s">
        <v>547</v>
      </c>
    </row>
    <row r="176">
      <c r="A176" s="1353" t="str">
        <f>IFERROR(__xludf.DUMMYFUNCTION("""COMPUTED_VALUE"""),"Plasma Cannon Resistance")</f>
        <v>Plasma Cannon Resistance</v>
      </c>
      <c r="B176" s="1353" t="str">
        <f>IFERROR(__xludf.DUMMYFUNCTION("""COMPUTED_VALUE"""),"C")</f>
        <v>C</v>
      </c>
      <c r="C176" s="1353"/>
      <c r="D176" s="1353"/>
      <c r="G176" s="1190" t="s">
        <v>225</v>
      </c>
      <c r="H176" s="1188" t="s">
        <v>547</v>
      </c>
    </row>
    <row r="177">
      <c r="A177" s="1353" t="str">
        <f>IFERROR(__xludf.DUMMYFUNCTION("""COMPUTED_VALUE"""),"Death Ray Resistance")</f>
        <v>Death Ray Resistance</v>
      </c>
      <c r="B177" s="1353" t="str">
        <f>IFERROR(__xludf.DUMMYFUNCTION("""COMPUTED_VALUE"""),"C")</f>
        <v>C</v>
      </c>
      <c r="C177" s="1353"/>
      <c r="D177" s="1353"/>
      <c r="G177" s="1190" t="s">
        <v>237</v>
      </c>
      <c r="H177" s="1188" t="s">
        <v>547</v>
      </c>
    </row>
    <row r="178">
      <c r="A178" s="1353" t="str">
        <f>IFERROR(__xludf.DUMMYFUNCTION("""COMPUTED_VALUE"""),"Armored Enemies")</f>
        <v>Armored Enemies</v>
      </c>
      <c r="B178" s="1353" t="str">
        <f>IFERROR(__xludf.DUMMYFUNCTION("""COMPUTED_VALUE"""),"C")</f>
        <v>C</v>
      </c>
      <c r="C178" s="1353"/>
      <c r="D178" s="1353" t="str">
        <f>IFERROR(__xludf.DUMMYFUNCTION("""COMPUTED_VALUE"""),"Helps avoid losing CL+ damage")</f>
        <v>Helps avoid losing CL+ damage</v>
      </c>
      <c r="G178" s="1190" t="s">
        <v>248</v>
      </c>
      <c r="H178" s="1188" t="s">
        <v>547</v>
      </c>
      <c r="J178" s="1188" t="s">
        <v>699</v>
      </c>
    </row>
    <row r="179">
      <c r="A179" s="1353" t="str">
        <f>IFERROR(__xludf.DUMMYFUNCTION("""COMPUTED_VALUE"""),"Enemy Speed")</f>
        <v>Enemy Speed</v>
      </c>
      <c r="B179" s="1353" t="str">
        <f>IFERROR(__xludf.DUMMYFUNCTION("""COMPUTED_VALUE"""),"F")</f>
        <v>F</v>
      </c>
      <c r="C179" s="1353"/>
      <c r="D179" s="1353" t="str">
        <f>IFERROR(__xludf.DUMMYFUNCTION("""COMPUTED_VALUE"""),"Enemy speed has a cap anyway")</f>
        <v>Enemy speed has a cap anyway</v>
      </c>
      <c r="G179" s="1190" t="s">
        <v>259</v>
      </c>
      <c r="H179" s="1188" t="s">
        <v>549</v>
      </c>
    </row>
    <row r="180">
      <c r="A180" s="1353" t="str">
        <f>IFERROR(__xludf.DUMMYFUNCTION("""COMPUTED_VALUE"""),"More Enemies")</f>
        <v>More Enemies</v>
      </c>
      <c r="B180" s="1353" t="str">
        <f>IFERROR(__xludf.DUMMYFUNCTION("""COMPUTED_VALUE"""),"F")</f>
        <v>F</v>
      </c>
      <c r="C180" s="1353"/>
      <c r="D180" s="1353" t="str">
        <f>IFERROR(__xludf.DUMMYFUNCTION("""COMPUTED_VALUE"""),"More basic enemies can often times be helpful or make an insignificant difference")</f>
        <v>More basic enemies can often times be helpful or make an insignificant difference</v>
      </c>
      <c r="G180" s="1191" t="s">
        <v>269</v>
      </c>
      <c r="H180" s="1188" t="s">
        <v>549</v>
      </c>
    </row>
    <row r="181">
      <c r="A181" s="1353" t="str">
        <f>IFERROR(__xludf.DUMMYFUNCTION("""COMPUTED_VALUE"""),"Enemy Attack Speed")</f>
        <v>Enemy Attack Speed</v>
      </c>
      <c r="B181" s="1353" t="str">
        <f>IFERROR(__xludf.DUMMYFUNCTION("""COMPUTED_VALUE"""),"C")</f>
        <v>C</v>
      </c>
      <c r="C181" s="1353"/>
      <c r="D181" s="1353" t="str">
        <f>IFERROR(__xludf.DUMMYFUNCTION("""COMPUTED_VALUE"""),"Overcharges are not affected by this battle condition, only helpful against Rays")</f>
        <v>Overcharges are not affected by this battle condition, only helpful against Rays</v>
      </c>
      <c r="G181" s="1191" t="s">
        <v>277</v>
      </c>
      <c r="H181" s="1188" t="s">
        <v>547</v>
      </c>
    </row>
    <row r="182">
      <c r="A182" s="1353" t="str">
        <f>IFERROR(__xludf.DUMMYFUNCTION("""COMPUTED_VALUE"""),"Fast's Ultimate")</f>
        <v>Fast's Ultimate</v>
      </c>
      <c r="B182" s="1353" t="str">
        <f>IFERROR(__xludf.DUMMYFUNCTION("""COMPUTED_VALUE"""),"F")</f>
        <v>F</v>
      </c>
      <c r="C182" s="1353"/>
      <c r="D182" s="1353" t="str">
        <f>IFERROR(__xludf.DUMMYFUNCTION("""COMPUTED_VALUE"""),"Low percentage value means insignificant or no difference at most levels")</f>
        <v>Low percentage value means insignificant or no difference at most levels</v>
      </c>
      <c r="G182" s="1191" t="s">
        <v>285</v>
      </c>
      <c r="H182" s="1188" t="s">
        <v>549</v>
      </c>
    </row>
    <row r="183">
      <c r="A183" s="1353" t="str">
        <f>IFERROR(__xludf.DUMMYFUNCTION("""COMPUTED_VALUE"""),"Ranged Ultimate")</f>
        <v>Ranged Ultimate</v>
      </c>
      <c r="B183" s="1353" t="str">
        <f>IFERROR(__xludf.DUMMYFUNCTION("""COMPUTED_VALUE"""),"F")</f>
        <v>F</v>
      </c>
      <c r="C183" s="1353"/>
      <c r="D183" s="1353" t="str">
        <f>IFERROR(__xludf.DUMMYFUNCTION("""COMPUTED_VALUE"""),"Disable duration is irrelevant")</f>
        <v>Disable duration is irrelevant</v>
      </c>
      <c r="G183" s="1191" t="s">
        <v>293</v>
      </c>
      <c r="H183" s="1188" t="s">
        <v>549</v>
      </c>
    </row>
    <row r="184">
      <c r="A184" s="1353" t="str">
        <f>IFERROR(__xludf.DUMMYFUNCTION("""COMPUTED_VALUE"""),"Boss's Ultimate")</f>
        <v>Boss's Ultimate</v>
      </c>
      <c r="B184" s="1353" t="str">
        <f>IFERROR(__xludf.DUMMYFUNCTION("""COMPUTED_VALUE"""),"D")</f>
        <v>D</v>
      </c>
      <c r="C184" s="1353"/>
      <c r="D184" s="1353" t="str">
        <f>IFERROR(__xludf.DUMMYFUNCTION("""COMPUTED_VALUE"""),"Low value, bosses aren't too big of an issue by the time you can lab this")</f>
        <v>Low value, bosses aren't too big of an issue by the time you can lab this</v>
      </c>
      <c r="G184" s="1191" t="s">
        <v>300</v>
      </c>
      <c r="H184" s="1188" t="s">
        <v>548</v>
      </c>
    </row>
    <row r="185">
      <c r="A185" s="1353" t="str">
        <f>IFERROR(__xludf.DUMMYFUNCTION("""COMPUTED_VALUE"""),"Basic's Ultimate")</f>
        <v>Basic's Ultimate</v>
      </c>
      <c r="B185" s="1353" t="str">
        <f>IFERROR(__xludf.DUMMYFUNCTION("""COMPUTED_VALUE"""),"F")</f>
        <v>F</v>
      </c>
      <c r="C185" s="1353"/>
      <c r="D185" s="1353" t="str">
        <f>IFERROR(__xludf.DUMMYFUNCTION("""COMPUTED_VALUE"""),"Doesn't affect the boss or protector chance")</f>
        <v>Doesn't affect the boss or protector chance</v>
      </c>
      <c r="G185" s="1191" t="s">
        <v>307</v>
      </c>
      <c r="H185" s="1188" t="s">
        <v>549</v>
      </c>
    </row>
    <row r="186">
      <c r="A186" s="1353" t="str">
        <f>IFERROR(__xludf.DUMMYFUNCTION("""COMPUTED_VALUE"""),"Tank's Ultimate")</f>
        <v>Tank's Ultimate</v>
      </c>
      <c r="B186" s="1353" t="str">
        <f>IFERROR(__xludf.DUMMYFUNCTION("""COMPUTED_VALUE"""),"D")</f>
        <v>D</v>
      </c>
      <c r="C186" s="1353"/>
      <c r="D186" s="1353" t="str">
        <f>IFERROR(__xludf.DUMMYFUNCTION("""COMPUTED_VALUE"""),"Cuts off a few seconds of duration, can sometimes help lower the danger")</f>
        <v>Cuts off a few seconds of duration, can sometimes help lower the danger</v>
      </c>
      <c r="G186" s="1191" t="s">
        <v>314</v>
      </c>
      <c r="H186" s="1188" t="s">
        <v>548</v>
      </c>
      <c r="J186" s="1188" t="s">
        <v>700</v>
      </c>
    </row>
    <row r="187">
      <c r="A187" s="1353" t="str">
        <f>IFERROR(__xludf.DUMMYFUNCTION("""COMPUTED_VALUE"""),"Protector's Ultimate")</f>
        <v>Protector's Ultimate</v>
      </c>
      <c r="B187" s="1353" t="str">
        <f>IFERROR(__xludf.DUMMYFUNCTION("""COMPUTED_VALUE"""),"D")</f>
        <v>D</v>
      </c>
      <c r="C187" s="1353"/>
      <c r="D187" s="1353"/>
      <c r="G187" s="1191" t="s">
        <v>321</v>
      </c>
      <c r="H187" s="1188" t="s">
        <v>548</v>
      </c>
    </row>
    <row r="188">
      <c r="A188" s="1353" t="str">
        <f>IFERROR(__xludf.DUMMYFUNCTION("""COMPUTED_VALUE"""),"Ultimate Weapon Durations")</f>
        <v>Ultimate Weapon Durations</v>
      </c>
      <c r="B188" s="1353" t="str">
        <f>IFERROR(__xludf.DUMMYFUNCTION("""COMPUTED_VALUE"""),"F")</f>
        <v>F</v>
      </c>
      <c r="C188" s="1353"/>
      <c r="D188" s="1353" t="str">
        <f>IFERROR(__xludf.DUMMYFUNCTION("""COMPUTED_VALUE"""),"Max lab only gives you back 1 second")</f>
        <v>Max lab only gives you back 1 second</v>
      </c>
      <c r="G188" s="1191" t="s">
        <v>327</v>
      </c>
      <c r="H188" s="1188" t="s">
        <v>549</v>
      </c>
      <c r="J188" s="1188" t="s">
        <v>701</v>
      </c>
    </row>
    <row r="189">
      <c r="A189" s="1353" t="str">
        <f>IFERROR(__xludf.DUMMYFUNCTION("""COMPUTED_VALUE"""),"Death Defy Down")</f>
        <v>Death Defy Down</v>
      </c>
      <c r="B189" s="1353" t="str">
        <f>IFERROR(__xludf.DUMMYFUNCTION("""COMPUTED_VALUE"""),"C")</f>
        <v>C</v>
      </c>
      <c r="C189" s="1353"/>
      <c r="D189" s="1353" t="str">
        <f>IFERROR(__xludf.DUMMYFUNCTION("""COMPUTED_VALUE"""),"Extra invincibility is always strong")</f>
        <v>Extra invincibility is always strong</v>
      </c>
      <c r="G189" s="1191" t="s">
        <v>332</v>
      </c>
      <c r="H189" s="1188" t="s">
        <v>547</v>
      </c>
      <c r="J189" s="1188" t="s">
        <v>702</v>
      </c>
    </row>
    <row r="190">
      <c r="A190" s="1353" t="str">
        <f>IFERROR(__xludf.DUMMYFUNCTION("""COMPUTED_VALUE"""),"Energy Shields Down")</f>
        <v>Energy Shields Down</v>
      </c>
      <c r="B190" s="1353" t="str">
        <f>IFERROR(__xludf.DUMMYFUNCTION("""COMPUTED_VALUE"""),"C")</f>
        <v>C</v>
      </c>
      <c r="C190" s="1353"/>
      <c r="D190" s="1353"/>
      <c r="G190" s="1191" t="s">
        <v>337</v>
      </c>
      <c r="H190" s="1188" t="s">
        <v>547</v>
      </c>
    </row>
    <row r="191">
      <c r="A191" s="1353" t="str">
        <f>IFERROR(__xludf.DUMMYFUNCTION("""COMPUTED_VALUE"""),"Enemy Level Skip Reduction")</f>
        <v>Enemy Level Skip Reduction</v>
      </c>
      <c r="B191" s="1353" t="str">
        <f>IFERROR(__xludf.DUMMYFUNCTION("""COMPUTED_VALUE"""),"A")</f>
        <v>A</v>
      </c>
      <c r="C191" s="1353"/>
      <c r="D191" s="1353" t="str">
        <f>IFERROR(__xludf.DUMMYFUNCTION("""COMPUTED_VALUE"""),"Expensive and ELS is still very good in farm and milestones, mostly pointless for tourney with the way ELS BC works there")</f>
        <v>Expensive and ELS is still very good in farm and milestones, mostly pointless for tourney with the way ELS BC works there</v>
      </c>
      <c r="G191" s="1191" t="s">
        <v>342</v>
      </c>
      <c r="H191" s="1188" t="s">
        <v>544</v>
      </c>
      <c r="J191" s="1188" t="s">
        <v>703</v>
      </c>
    </row>
    <row r="192">
      <c r="A192" s="1353"/>
      <c r="B192" s="1353"/>
      <c r="C192" s="1353"/>
      <c r="D192" s="1353"/>
    </row>
    <row r="193">
      <c r="A193" s="1353"/>
      <c r="B193" s="1353"/>
      <c r="C193" s="1353"/>
      <c r="D193" s="1353"/>
    </row>
    <row r="194">
      <c r="A194" s="1353"/>
      <c r="B194" s="1353"/>
      <c r="C194" s="1353"/>
      <c r="D194" s="1353"/>
    </row>
    <row r="195">
      <c r="A195" s="1353"/>
      <c r="B195" s="1353"/>
      <c r="C195" s="1353"/>
      <c r="D195" s="1353"/>
    </row>
    <row r="196">
      <c r="A196" s="1353"/>
      <c r="B196" s="1353"/>
      <c r="C196" s="1353"/>
      <c r="D196" s="1353"/>
    </row>
    <row r="197">
      <c r="A197" s="1353"/>
      <c r="B197" s="1353"/>
      <c r="C197" s="1353"/>
      <c r="D197" s="1353"/>
    </row>
    <row r="198">
      <c r="A198" s="1353"/>
      <c r="B198" s="1353"/>
      <c r="C198" s="1353"/>
      <c r="D198" s="1353"/>
    </row>
    <row r="199">
      <c r="A199" s="1353"/>
      <c r="B199" s="1353"/>
      <c r="C199" s="1353"/>
      <c r="D199" s="1353"/>
    </row>
    <row r="200">
      <c r="A200" s="1353"/>
      <c r="B200" s="1353"/>
      <c r="C200" s="1353"/>
      <c r="D200" s="1353"/>
    </row>
    <row r="201">
      <c r="A201" s="1353"/>
      <c r="B201" s="1353"/>
      <c r="C201" s="1353"/>
      <c r="D201" s="1353"/>
    </row>
    <row r="202">
      <c r="A202" s="1353"/>
      <c r="B202" s="1353"/>
      <c r="C202" s="1353"/>
      <c r="D202" s="1353"/>
    </row>
    <row r="203">
      <c r="A203" s="1353"/>
      <c r="B203" s="1353"/>
      <c r="C203" s="1353"/>
      <c r="D203" s="1353"/>
    </row>
    <row r="204">
      <c r="A204" s="1353"/>
      <c r="B204" s="1353"/>
      <c r="C204" s="1353"/>
      <c r="D204" s="1353"/>
    </row>
    <row r="205">
      <c r="A205" s="1353"/>
      <c r="B205" s="1353"/>
      <c r="C205" s="1353"/>
      <c r="D205" s="1353"/>
    </row>
    <row r="206">
      <c r="A206" s="1353"/>
      <c r="B206" s="1353"/>
      <c r="C206" s="1353"/>
      <c r="D206" s="1353"/>
    </row>
    <row r="207">
      <c r="A207" s="1353"/>
      <c r="B207" s="1353"/>
      <c r="C207" s="1353"/>
      <c r="D207" s="1353"/>
    </row>
    <row r="208">
      <c r="A208" s="1353"/>
      <c r="B208" s="1353"/>
      <c r="C208" s="1353"/>
      <c r="D208" s="1353"/>
    </row>
    <row r="209">
      <c r="A209" s="1353"/>
      <c r="B209" s="1353"/>
      <c r="C209" s="1353"/>
      <c r="D209" s="1353"/>
    </row>
    <row r="210">
      <c r="A210" s="1353"/>
      <c r="B210" s="1353"/>
      <c r="C210" s="1353"/>
      <c r="D210" s="1353"/>
    </row>
    <row r="211">
      <c r="A211" s="1353"/>
      <c r="B211" s="1353"/>
      <c r="C211" s="1353"/>
      <c r="D211" s="1353"/>
    </row>
    <row r="212">
      <c r="A212" s="1353"/>
      <c r="B212" s="1353"/>
      <c r="C212" s="1353"/>
      <c r="D212" s="1353"/>
    </row>
    <row r="213">
      <c r="A213" s="1353"/>
      <c r="B213" s="1353"/>
      <c r="C213" s="1353"/>
      <c r="D213" s="1353"/>
    </row>
    <row r="214">
      <c r="A214" s="1353"/>
      <c r="B214" s="1353"/>
      <c r="C214" s="1353"/>
      <c r="D214" s="1353"/>
    </row>
    <row r="215">
      <c r="A215" s="1353"/>
      <c r="B215" s="1353"/>
      <c r="C215" s="1353"/>
      <c r="D215" s="1353"/>
    </row>
    <row r="216">
      <c r="A216" s="1353"/>
      <c r="B216" s="1353"/>
      <c r="C216" s="1353"/>
      <c r="D216" s="1353"/>
    </row>
    <row r="217">
      <c r="A217" s="1353"/>
      <c r="B217" s="1353"/>
      <c r="C217" s="1353"/>
      <c r="D217" s="1353"/>
    </row>
    <row r="218">
      <c r="A218" s="1353"/>
      <c r="B218" s="1353"/>
      <c r="C218" s="1353"/>
      <c r="D218" s="1353"/>
    </row>
    <row r="219">
      <c r="A219" s="1353"/>
      <c r="B219" s="1353"/>
      <c r="C219" s="1353"/>
      <c r="D219" s="1353"/>
    </row>
    <row r="220">
      <c r="A220" s="1353"/>
      <c r="B220" s="1353"/>
      <c r="C220" s="1353"/>
      <c r="D220" s="1353"/>
    </row>
    <row r="221">
      <c r="A221" s="1353"/>
      <c r="B221" s="1353"/>
      <c r="C221" s="1353"/>
      <c r="D221" s="1353"/>
    </row>
    <row r="222">
      <c r="A222" s="1353"/>
      <c r="B222" s="1353"/>
      <c r="C222" s="1353"/>
      <c r="D222" s="1353"/>
    </row>
    <row r="223">
      <c r="A223" s="1353"/>
      <c r="B223" s="1353"/>
      <c r="C223" s="1353"/>
      <c r="D223" s="1353"/>
    </row>
    <row r="224">
      <c r="A224" s="1353"/>
      <c r="B224" s="1353"/>
      <c r="C224" s="1353"/>
      <c r="D224" s="1353"/>
    </row>
    <row r="225">
      <c r="A225" s="1353"/>
      <c r="B225" s="1353"/>
      <c r="C225" s="1353"/>
      <c r="D225" s="1353"/>
    </row>
    <row r="226">
      <c r="A226" s="1353"/>
      <c r="B226" s="1353"/>
      <c r="C226" s="1353"/>
      <c r="D226" s="1353"/>
    </row>
    <row r="227">
      <c r="A227" s="1353"/>
      <c r="B227" s="1353"/>
      <c r="C227" s="1353"/>
      <c r="D227" s="1353"/>
    </row>
    <row r="228">
      <c r="A228" s="1353"/>
      <c r="B228" s="1353"/>
      <c r="C228" s="1353"/>
      <c r="D228" s="1353"/>
    </row>
    <row r="229">
      <c r="A229" s="1353"/>
      <c r="B229" s="1353"/>
      <c r="C229" s="1353"/>
      <c r="D229" s="1353"/>
    </row>
    <row r="230">
      <c r="A230" s="1353"/>
      <c r="B230" s="1353"/>
      <c r="C230" s="1353"/>
      <c r="D230" s="1353"/>
    </row>
    <row r="231">
      <c r="A231" s="1353"/>
      <c r="B231" s="1353"/>
      <c r="C231" s="1353"/>
      <c r="D231" s="1353"/>
    </row>
    <row r="232">
      <c r="A232" s="1353"/>
      <c r="B232" s="1353"/>
      <c r="C232" s="1353"/>
      <c r="D232" s="1353"/>
    </row>
    <row r="233">
      <c r="A233" s="1353"/>
      <c r="B233" s="1353"/>
      <c r="C233" s="1353"/>
      <c r="D233" s="1353"/>
    </row>
    <row r="234">
      <c r="A234" s="1353"/>
      <c r="B234" s="1353"/>
      <c r="C234" s="1353"/>
      <c r="D234" s="1353"/>
    </row>
    <row r="235">
      <c r="A235" s="1353"/>
      <c r="B235" s="1353"/>
      <c r="C235" s="1353"/>
      <c r="D235" s="1353"/>
    </row>
    <row r="236">
      <c r="A236" s="1353"/>
      <c r="B236" s="1353"/>
      <c r="C236" s="1353"/>
      <c r="D236" s="1353"/>
    </row>
    <row r="237">
      <c r="A237" s="1353"/>
      <c r="B237" s="1353"/>
      <c r="C237" s="1353"/>
      <c r="D237" s="1353"/>
    </row>
    <row r="238">
      <c r="A238" s="1353"/>
      <c r="B238" s="1353"/>
      <c r="C238" s="1353"/>
      <c r="D238" s="1353"/>
    </row>
    <row r="239">
      <c r="A239" s="1353"/>
      <c r="B239" s="1353"/>
      <c r="C239" s="1353"/>
      <c r="D239" s="1353"/>
    </row>
    <row r="240">
      <c r="A240" s="1353"/>
      <c r="B240" s="1353"/>
      <c r="C240" s="1353"/>
      <c r="D240" s="1353"/>
    </row>
    <row r="241">
      <c r="A241" s="1353"/>
      <c r="B241" s="1353"/>
      <c r="C241" s="1353"/>
      <c r="D241" s="1353"/>
    </row>
    <row r="242">
      <c r="A242" s="1353"/>
      <c r="B242" s="1353"/>
      <c r="C242" s="1353"/>
      <c r="D242" s="1353"/>
    </row>
    <row r="243">
      <c r="A243" s="1353"/>
      <c r="B243" s="1353"/>
      <c r="C243" s="1353"/>
      <c r="D243" s="1353"/>
    </row>
    <row r="244">
      <c r="A244" s="1353"/>
      <c r="B244" s="1353"/>
      <c r="C244" s="1353"/>
      <c r="D244" s="1353"/>
    </row>
    <row r="245">
      <c r="A245" s="1353"/>
      <c r="B245" s="1353"/>
      <c r="C245" s="1353"/>
      <c r="D245" s="1353"/>
    </row>
    <row r="246">
      <c r="A246" s="1353"/>
      <c r="B246" s="1353"/>
      <c r="C246" s="1353"/>
      <c r="D246" s="1353"/>
    </row>
    <row r="247">
      <c r="A247" s="1353"/>
      <c r="B247" s="1353"/>
      <c r="C247" s="1353"/>
      <c r="D247" s="1353"/>
    </row>
    <row r="248">
      <c r="A248" s="1353"/>
      <c r="B248" s="1353"/>
      <c r="C248" s="1353"/>
      <c r="D248" s="1353"/>
    </row>
    <row r="249">
      <c r="A249" s="1353"/>
      <c r="B249" s="1353"/>
      <c r="C249" s="1353"/>
      <c r="D249" s="1353"/>
    </row>
    <row r="250">
      <c r="A250" s="1353"/>
      <c r="B250" s="1353"/>
      <c r="C250" s="1353"/>
      <c r="D250" s="1353"/>
    </row>
    <row r="251">
      <c r="A251" s="1353"/>
      <c r="B251" s="1353"/>
      <c r="C251" s="1353"/>
      <c r="D251" s="1353"/>
    </row>
    <row r="252">
      <c r="A252" s="1353"/>
      <c r="B252" s="1353"/>
      <c r="C252" s="1353"/>
      <c r="D252" s="1353"/>
    </row>
    <row r="253">
      <c r="A253" s="1353"/>
      <c r="B253" s="1353"/>
      <c r="C253" s="1353"/>
      <c r="D253" s="1353"/>
    </row>
    <row r="254">
      <c r="A254" s="1353"/>
      <c r="B254" s="1353"/>
      <c r="C254" s="1353"/>
      <c r="D254" s="1353"/>
    </row>
    <row r="255">
      <c r="A255" s="1353"/>
      <c r="B255" s="1353"/>
      <c r="C255" s="1353"/>
      <c r="D255" s="1353"/>
    </row>
    <row r="256">
      <c r="A256" s="1353"/>
      <c r="B256" s="1353"/>
      <c r="C256" s="1353"/>
      <c r="D256" s="1353"/>
    </row>
    <row r="257">
      <c r="A257" s="1353"/>
      <c r="B257" s="1353"/>
      <c r="C257" s="1353"/>
      <c r="D257" s="1353"/>
    </row>
    <row r="258">
      <c r="A258" s="1353"/>
      <c r="B258" s="1353"/>
      <c r="C258" s="1353"/>
      <c r="D258" s="1353"/>
    </row>
    <row r="259">
      <c r="A259" s="1353"/>
      <c r="B259" s="1353"/>
      <c r="C259" s="1353"/>
      <c r="D259" s="1353"/>
    </row>
    <row r="260">
      <c r="A260" s="1353"/>
      <c r="B260" s="1353"/>
      <c r="C260" s="1353"/>
      <c r="D260" s="1353"/>
    </row>
    <row r="261">
      <c r="A261" s="1353"/>
      <c r="B261" s="1353"/>
      <c r="C261" s="1353"/>
      <c r="D261" s="1353"/>
    </row>
    <row r="262">
      <c r="A262" s="1353"/>
      <c r="B262" s="1353"/>
      <c r="C262" s="1353"/>
      <c r="D262" s="1353"/>
    </row>
    <row r="263">
      <c r="A263" s="1353"/>
      <c r="B263" s="1353"/>
      <c r="C263" s="1353"/>
      <c r="D263" s="1353"/>
    </row>
    <row r="264">
      <c r="A264" s="1353"/>
      <c r="B264" s="1353"/>
      <c r="C264" s="1353"/>
      <c r="D264" s="1353"/>
    </row>
    <row r="265">
      <c r="A265" s="1353"/>
      <c r="B265" s="1353"/>
      <c r="C265" s="1353"/>
      <c r="D265" s="1353"/>
    </row>
    <row r="266">
      <c r="A266" s="1353"/>
      <c r="B266" s="1353"/>
      <c r="C266" s="1353"/>
      <c r="D266" s="1353"/>
    </row>
    <row r="267">
      <c r="A267" s="1353"/>
      <c r="B267" s="1353"/>
      <c r="C267" s="1353"/>
      <c r="D267" s="1353"/>
    </row>
    <row r="268">
      <c r="A268" s="1353"/>
      <c r="B268" s="1353"/>
      <c r="C268" s="1353"/>
      <c r="D268" s="1353"/>
    </row>
    <row r="269">
      <c r="A269" s="1353"/>
      <c r="B269" s="1353"/>
      <c r="C269" s="1353"/>
      <c r="D269" s="1353"/>
    </row>
    <row r="270">
      <c r="A270" s="1353"/>
      <c r="B270" s="1353"/>
      <c r="C270" s="1353"/>
      <c r="D270" s="1353"/>
    </row>
    <row r="271">
      <c r="A271" s="1353"/>
      <c r="B271" s="1353"/>
      <c r="C271" s="1353"/>
      <c r="D271" s="1353"/>
    </row>
    <row r="272">
      <c r="A272" s="1353"/>
      <c r="B272" s="1353"/>
      <c r="C272" s="1353"/>
      <c r="D272" s="1353"/>
    </row>
    <row r="273">
      <c r="A273" s="1353"/>
      <c r="B273" s="1353"/>
      <c r="C273" s="1353"/>
      <c r="D273" s="1353"/>
    </row>
    <row r="274">
      <c r="A274" s="1353"/>
      <c r="B274" s="1353"/>
      <c r="C274" s="1353"/>
      <c r="D274" s="1353"/>
    </row>
    <row r="275">
      <c r="A275" s="1353"/>
      <c r="B275" s="1353"/>
      <c r="C275" s="1353"/>
      <c r="D275" s="1353"/>
    </row>
    <row r="276">
      <c r="A276" s="1353"/>
      <c r="B276" s="1353"/>
      <c r="C276" s="1353"/>
      <c r="D276" s="1353"/>
    </row>
    <row r="277">
      <c r="A277" s="1353"/>
      <c r="B277" s="1353"/>
      <c r="C277" s="1353"/>
      <c r="D277" s="1353"/>
    </row>
    <row r="278">
      <c r="A278" s="1353"/>
      <c r="B278" s="1353"/>
      <c r="C278" s="1353"/>
      <c r="D278" s="1353"/>
    </row>
    <row r="279">
      <c r="A279" s="1353"/>
      <c r="B279" s="1353"/>
      <c r="C279" s="1353"/>
      <c r="D279" s="1353"/>
    </row>
    <row r="280">
      <c r="A280" s="1353"/>
      <c r="B280" s="1353"/>
      <c r="C280" s="1353"/>
      <c r="D280" s="1353"/>
    </row>
    <row r="281">
      <c r="A281" s="1353"/>
      <c r="B281" s="1353"/>
      <c r="C281" s="1353"/>
      <c r="D281" s="1353"/>
    </row>
    <row r="282">
      <c r="A282" s="1353"/>
      <c r="B282" s="1353"/>
      <c r="C282" s="1353"/>
      <c r="D282" s="1353"/>
    </row>
    <row r="283">
      <c r="A283" s="1353"/>
      <c r="B283" s="1353"/>
      <c r="C283" s="1353"/>
      <c r="D283" s="1353"/>
    </row>
    <row r="284">
      <c r="A284" s="1353"/>
      <c r="B284" s="1353"/>
      <c r="C284" s="1353"/>
      <c r="D284" s="1353"/>
    </row>
    <row r="285">
      <c r="A285" s="1353"/>
      <c r="B285" s="1353"/>
      <c r="C285" s="1353"/>
      <c r="D285" s="1353"/>
    </row>
    <row r="286">
      <c r="A286" s="1353"/>
      <c r="B286" s="1353"/>
      <c r="C286" s="1353"/>
      <c r="D286" s="1353"/>
    </row>
    <row r="287">
      <c r="A287" s="1353"/>
      <c r="B287" s="1353"/>
      <c r="C287" s="1353"/>
      <c r="D287" s="1353"/>
    </row>
    <row r="288">
      <c r="A288" s="1353"/>
      <c r="B288" s="1353"/>
      <c r="C288" s="1353"/>
      <c r="D288" s="1353"/>
    </row>
    <row r="289">
      <c r="A289" s="1353"/>
      <c r="B289" s="1353"/>
      <c r="C289" s="1353"/>
      <c r="D289" s="1353"/>
    </row>
    <row r="290">
      <c r="A290" s="1353"/>
      <c r="B290" s="1353"/>
      <c r="C290" s="1353"/>
      <c r="D290" s="1353"/>
    </row>
    <row r="291">
      <c r="A291" s="1353"/>
      <c r="B291" s="1353"/>
      <c r="C291" s="1353"/>
      <c r="D291" s="1353"/>
    </row>
    <row r="292">
      <c r="A292" s="1353"/>
      <c r="B292" s="1353"/>
      <c r="C292" s="1353"/>
      <c r="D292" s="1353"/>
    </row>
    <row r="293">
      <c r="A293" s="1353"/>
      <c r="B293" s="1353"/>
      <c r="C293" s="1353"/>
      <c r="D293" s="1353"/>
    </row>
    <row r="294">
      <c r="A294" s="1353"/>
      <c r="B294" s="1353"/>
      <c r="C294" s="1353"/>
      <c r="D294" s="1353"/>
    </row>
    <row r="295">
      <c r="A295" s="1353"/>
      <c r="B295" s="1353"/>
      <c r="C295" s="1353"/>
      <c r="D295" s="1353"/>
    </row>
    <row r="296">
      <c r="A296" s="1353"/>
      <c r="B296" s="1353"/>
      <c r="C296" s="1353"/>
      <c r="D296" s="1353"/>
    </row>
    <row r="297">
      <c r="A297" s="1353"/>
      <c r="B297" s="1353"/>
      <c r="C297" s="1353"/>
      <c r="D297" s="1353"/>
    </row>
    <row r="298">
      <c r="A298" s="1353"/>
      <c r="B298" s="1353"/>
      <c r="C298" s="1353"/>
      <c r="D298" s="1353"/>
    </row>
    <row r="299">
      <c r="A299" s="1353"/>
      <c r="B299" s="1353"/>
      <c r="C299" s="1353"/>
      <c r="D299" s="1353"/>
    </row>
    <row r="300">
      <c r="A300" s="1353"/>
      <c r="B300" s="1353"/>
      <c r="C300" s="1353"/>
      <c r="D300" s="1353"/>
    </row>
    <row r="301">
      <c r="A301" s="1353"/>
      <c r="B301" s="1353"/>
      <c r="C301" s="1353"/>
      <c r="D301" s="1353"/>
    </row>
    <row r="302">
      <c r="A302" s="1353"/>
      <c r="B302" s="1353"/>
      <c r="C302" s="1353"/>
      <c r="D302" s="1353"/>
    </row>
    <row r="303">
      <c r="A303" s="1353"/>
      <c r="B303" s="1353"/>
      <c r="C303" s="1353"/>
      <c r="D303" s="1353"/>
    </row>
    <row r="304">
      <c r="A304" s="1353"/>
      <c r="B304" s="1353"/>
      <c r="C304" s="1353"/>
      <c r="D304" s="1353"/>
    </row>
    <row r="305">
      <c r="A305" s="1353"/>
      <c r="B305" s="1353"/>
      <c r="C305" s="1353"/>
      <c r="D305" s="1353"/>
    </row>
    <row r="306">
      <c r="A306" s="1353"/>
      <c r="B306" s="1353"/>
      <c r="C306" s="1353"/>
      <c r="D306" s="1353"/>
    </row>
    <row r="307">
      <c r="A307" s="1353"/>
      <c r="B307" s="1353"/>
      <c r="C307" s="1353"/>
      <c r="D307" s="1353"/>
    </row>
    <row r="308">
      <c r="A308" s="1353"/>
      <c r="B308" s="1353"/>
      <c r="C308" s="1353"/>
      <c r="D308" s="1353"/>
    </row>
    <row r="309">
      <c r="A309" s="1353"/>
      <c r="B309" s="1353"/>
      <c r="C309" s="1353"/>
      <c r="D309" s="1353"/>
    </row>
    <row r="310">
      <c r="A310" s="1353"/>
      <c r="B310" s="1353"/>
      <c r="C310" s="1353"/>
      <c r="D310" s="1353"/>
    </row>
    <row r="311">
      <c r="A311" s="1353"/>
      <c r="B311" s="1353"/>
      <c r="C311" s="1353"/>
      <c r="D311" s="1353"/>
    </row>
    <row r="312">
      <c r="A312" s="1353"/>
      <c r="B312" s="1353"/>
      <c r="C312" s="1353"/>
      <c r="D312" s="1353"/>
    </row>
    <row r="313">
      <c r="A313" s="1353"/>
      <c r="B313" s="1353"/>
      <c r="C313" s="1353"/>
      <c r="D313" s="1353"/>
    </row>
    <row r="314">
      <c r="A314" s="1353"/>
      <c r="B314" s="1353"/>
      <c r="C314" s="1353"/>
      <c r="D314" s="1353"/>
    </row>
    <row r="315">
      <c r="A315" s="1353"/>
      <c r="B315" s="1353"/>
      <c r="C315" s="1353"/>
      <c r="D315" s="1353"/>
    </row>
    <row r="316">
      <c r="A316" s="1353"/>
      <c r="B316" s="1353"/>
      <c r="C316" s="1353"/>
      <c r="D316" s="1353"/>
    </row>
    <row r="317">
      <c r="A317" s="1353"/>
      <c r="B317" s="1353"/>
      <c r="C317" s="1353"/>
      <c r="D317" s="1353"/>
    </row>
    <row r="318">
      <c r="A318" s="1353"/>
      <c r="B318" s="1353"/>
      <c r="C318" s="1353"/>
      <c r="D318" s="1353"/>
    </row>
    <row r="319">
      <c r="A319" s="1353"/>
      <c r="B319" s="1353"/>
      <c r="C319" s="1353"/>
      <c r="D319" s="1353"/>
    </row>
    <row r="320">
      <c r="A320" s="1353"/>
      <c r="B320" s="1353"/>
      <c r="C320" s="1353"/>
      <c r="D320" s="1353"/>
    </row>
    <row r="321">
      <c r="A321" s="1353"/>
      <c r="B321" s="1353"/>
      <c r="C321" s="1353"/>
      <c r="D321" s="1353"/>
    </row>
    <row r="322">
      <c r="A322" s="1353"/>
      <c r="B322" s="1353"/>
      <c r="C322" s="1353"/>
      <c r="D322" s="1353"/>
    </row>
    <row r="323">
      <c r="A323" s="1353"/>
      <c r="B323" s="1353"/>
      <c r="C323" s="1353"/>
      <c r="D323" s="1353"/>
    </row>
    <row r="324">
      <c r="A324" s="1353"/>
      <c r="B324" s="1353"/>
      <c r="C324" s="1353"/>
      <c r="D324" s="1353"/>
    </row>
    <row r="325">
      <c r="A325" s="1353"/>
      <c r="B325" s="1353"/>
      <c r="C325" s="1353"/>
      <c r="D325" s="1353"/>
    </row>
    <row r="326">
      <c r="A326" s="1353"/>
      <c r="B326" s="1353"/>
      <c r="C326" s="1353"/>
      <c r="D326" s="1353"/>
    </row>
    <row r="327">
      <c r="A327" s="1353"/>
      <c r="B327" s="1353"/>
      <c r="C327" s="1353"/>
      <c r="D327" s="1353"/>
    </row>
    <row r="328">
      <c r="A328" s="1353"/>
      <c r="B328" s="1353"/>
      <c r="C328" s="1353"/>
      <c r="D328" s="1353"/>
    </row>
    <row r="329">
      <c r="A329" s="1353"/>
      <c r="B329" s="1353"/>
      <c r="C329" s="1353"/>
      <c r="D329" s="1353"/>
    </row>
    <row r="330">
      <c r="A330" s="1353"/>
      <c r="B330" s="1353"/>
      <c r="C330" s="1353"/>
      <c r="D330" s="1353"/>
    </row>
    <row r="331">
      <c r="A331" s="1353"/>
      <c r="B331" s="1353"/>
      <c r="C331" s="1353"/>
      <c r="D331" s="1353"/>
    </row>
    <row r="332">
      <c r="A332" s="1353"/>
      <c r="B332" s="1353"/>
      <c r="C332" s="1353"/>
      <c r="D332" s="1353"/>
    </row>
    <row r="333">
      <c r="A333" s="1353"/>
      <c r="B333" s="1353"/>
      <c r="C333" s="1353"/>
      <c r="D333" s="1353"/>
    </row>
    <row r="334">
      <c r="A334" s="1353"/>
      <c r="B334" s="1353"/>
      <c r="C334" s="1353"/>
      <c r="D334" s="1353"/>
    </row>
    <row r="335">
      <c r="A335" s="1353"/>
      <c r="B335" s="1353"/>
      <c r="C335" s="1353"/>
      <c r="D335" s="1353"/>
    </row>
    <row r="336">
      <c r="A336" s="1353"/>
      <c r="B336" s="1353"/>
      <c r="C336" s="1353"/>
      <c r="D336" s="1353"/>
    </row>
    <row r="337">
      <c r="A337" s="1353"/>
      <c r="B337" s="1353"/>
      <c r="C337" s="1353"/>
      <c r="D337" s="1353"/>
    </row>
    <row r="338">
      <c r="A338" s="1353"/>
      <c r="B338" s="1353"/>
      <c r="C338" s="1353"/>
      <c r="D338" s="1353"/>
    </row>
    <row r="339">
      <c r="A339" s="1353"/>
      <c r="B339" s="1353"/>
      <c r="C339" s="1353"/>
      <c r="D339" s="1353"/>
    </row>
    <row r="340">
      <c r="A340" s="1353"/>
      <c r="B340" s="1353"/>
      <c r="C340" s="1353"/>
      <c r="D340" s="1353"/>
    </row>
    <row r="341">
      <c r="A341" s="1353"/>
      <c r="B341" s="1353"/>
      <c r="C341" s="1353"/>
      <c r="D341" s="1353"/>
    </row>
    <row r="342">
      <c r="A342" s="1353"/>
      <c r="B342" s="1353"/>
      <c r="C342" s="1353"/>
      <c r="D342" s="1353"/>
    </row>
    <row r="343">
      <c r="A343" s="1353"/>
      <c r="B343" s="1353"/>
      <c r="C343" s="1353"/>
      <c r="D343" s="1353"/>
    </row>
    <row r="344">
      <c r="A344" s="1353"/>
      <c r="B344" s="1353"/>
      <c r="C344" s="1353"/>
      <c r="D344" s="1353"/>
    </row>
    <row r="345">
      <c r="A345" s="1353"/>
      <c r="B345" s="1353"/>
      <c r="C345" s="1353"/>
      <c r="D345" s="1353"/>
    </row>
    <row r="346">
      <c r="A346" s="1353"/>
      <c r="B346" s="1353"/>
      <c r="C346" s="1353"/>
      <c r="D346" s="1353"/>
    </row>
    <row r="347">
      <c r="A347" s="1353"/>
      <c r="B347" s="1353"/>
      <c r="C347" s="1353"/>
      <c r="D347" s="1353"/>
    </row>
    <row r="348">
      <c r="A348" s="1353"/>
      <c r="B348" s="1353"/>
      <c r="C348" s="1353"/>
      <c r="D348" s="1353"/>
    </row>
    <row r="349">
      <c r="A349" s="1353"/>
      <c r="B349" s="1353"/>
      <c r="C349" s="1353"/>
      <c r="D349" s="1353"/>
    </row>
    <row r="350">
      <c r="A350" s="1353"/>
      <c r="B350" s="1353"/>
      <c r="C350" s="1353"/>
      <c r="D350" s="1353"/>
    </row>
    <row r="351">
      <c r="A351" s="1353"/>
      <c r="B351" s="1353"/>
      <c r="C351" s="1353"/>
      <c r="D351" s="1353"/>
    </row>
    <row r="352">
      <c r="A352" s="1353"/>
      <c r="B352" s="1353"/>
      <c r="C352" s="1353"/>
      <c r="D352" s="1353"/>
    </row>
    <row r="353">
      <c r="A353" s="1353"/>
      <c r="B353" s="1353"/>
      <c r="C353" s="1353"/>
      <c r="D353" s="1353"/>
    </row>
    <row r="354">
      <c r="A354" s="1353"/>
      <c r="B354" s="1353"/>
      <c r="C354" s="1353"/>
      <c r="D354" s="1353"/>
    </row>
    <row r="355">
      <c r="A355" s="1353"/>
      <c r="B355" s="1353"/>
      <c r="C355" s="1353"/>
      <c r="D355" s="1353"/>
    </row>
    <row r="356">
      <c r="A356" s="1353"/>
      <c r="B356" s="1353"/>
      <c r="C356" s="1353"/>
      <c r="D356" s="1353"/>
    </row>
    <row r="357">
      <c r="A357" s="1353"/>
      <c r="B357" s="1353"/>
      <c r="C357" s="1353"/>
      <c r="D357" s="1353"/>
    </row>
    <row r="358">
      <c r="A358" s="1353"/>
      <c r="B358" s="1353"/>
      <c r="C358" s="1353"/>
      <c r="D358" s="1353"/>
    </row>
    <row r="359">
      <c r="A359" s="1353"/>
      <c r="B359" s="1353"/>
      <c r="C359" s="1353"/>
      <c r="D359" s="1353"/>
    </row>
    <row r="360">
      <c r="A360" s="1353"/>
      <c r="B360" s="1353"/>
      <c r="C360" s="1353"/>
      <c r="D360" s="1353"/>
    </row>
    <row r="361">
      <c r="A361" s="1353"/>
      <c r="B361" s="1353"/>
      <c r="C361" s="1353"/>
      <c r="D361" s="1353"/>
    </row>
    <row r="362">
      <c r="A362" s="1353"/>
      <c r="B362" s="1353"/>
      <c r="C362" s="1353"/>
      <c r="D362" s="1353"/>
    </row>
    <row r="363">
      <c r="A363" s="1353"/>
      <c r="B363" s="1353"/>
      <c r="C363" s="1353"/>
      <c r="D363" s="1353"/>
    </row>
    <row r="364">
      <c r="A364" s="1353"/>
      <c r="B364" s="1353"/>
      <c r="C364" s="1353"/>
      <c r="D364" s="1353"/>
    </row>
    <row r="365">
      <c r="A365" s="1353"/>
      <c r="B365" s="1353"/>
      <c r="C365" s="1353"/>
      <c r="D365" s="1353"/>
    </row>
    <row r="366">
      <c r="A366" s="1353"/>
      <c r="B366" s="1353"/>
      <c r="C366" s="1353"/>
      <c r="D366" s="1353"/>
    </row>
    <row r="367">
      <c r="A367" s="1353"/>
      <c r="B367" s="1353"/>
      <c r="C367" s="1353"/>
      <c r="D367" s="1353"/>
    </row>
    <row r="368">
      <c r="A368" s="1353"/>
      <c r="B368" s="1353"/>
      <c r="C368" s="1353"/>
      <c r="D368" s="1353"/>
    </row>
    <row r="369">
      <c r="A369" s="1353"/>
      <c r="B369" s="1353"/>
      <c r="C369" s="1353"/>
      <c r="D369" s="1353"/>
    </row>
    <row r="370">
      <c r="A370" s="1353"/>
      <c r="B370" s="1353"/>
      <c r="C370" s="1353"/>
      <c r="D370" s="1353"/>
    </row>
    <row r="371">
      <c r="A371" s="1353"/>
      <c r="B371" s="1353"/>
      <c r="C371" s="1353"/>
      <c r="D371" s="1353"/>
    </row>
    <row r="372">
      <c r="A372" s="1353"/>
      <c r="B372" s="1353"/>
      <c r="C372" s="1353"/>
      <c r="D372" s="1353"/>
    </row>
    <row r="373">
      <c r="A373" s="1353"/>
      <c r="B373" s="1353"/>
      <c r="C373" s="1353"/>
      <c r="D373" s="1353"/>
    </row>
    <row r="374">
      <c r="A374" s="1353"/>
      <c r="B374" s="1353"/>
      <c r="C374" s="1353"/>
      <c r="D374" s="1353"/>
    </row>
    <row r="375">
      <c r="A375" s="1353"/>
      <c r="B375" s="1353"/>
      <c r="C375" s="1353"/>
      <c r="D375" s="1353"/>
    </row>
    <row r="376">
      <c r="A376" s="1353"/>
      <c r="B376" s="1353"/>
      <c r="C376" s="1353"/>
      <c r="D376" s="1353"/>
    </row>
    <row r="377">
      <c r="A377" s="1353"/>
      <c r="B377" s="1353"/>
      <c r="C377" s="1353"/>
      <c r="D377" s="1353"/>
    </row>
    <row r="378">
      <c r="A378" s="1353"/>
      <c r="B378" s="1353"/>
      <c r="C378" s="1353"/>
      <c r="D378" s="1353"/>
    </row>
    <row r="379">
      <c r="A379" s="1353"/>
      <c r="B379" s="1353"/>
      <c r="C379" s="1353"/>
      <c r="D379" s="1353"/>
    </row>
    <row r="380">
      <c r="A380" s="1353"/>
      <c r="B380" s="1353"/>
      <c r="C380" s="1353"/>
      <c r="D380" s="1353"/>
    </row>
    <row r="381">
      <c r="A381" s="1353"/>
      <c r="B381" s="1353"/>
      <c r="C381" s="1353"/>
      <c r="D381" s="1353"/>
    </row>
    <row r="382">
      <c r="A382" s="1353"/>
      <c r="B382" s="1353"/>
      <c r="C382" s="1353"/>
      <c r="D382" s="1353"/>
    </row>
    <row r="383">
      <c r="A383" s="1353"/>
      <c r="B383" s="1353"/>
      <c r="C383" s="1353"/>
      <c r="D383" s="1353"/>
    </row>
    <row r="384">
      <c r="A384" s="1353"/>
      <c r="B384" s="1353"/>
      <c r="C384" s="1353"/>
      <c r="D384" s="1353"/>
    </row>
    <row r="385">
      <c r="A385" s="1353"/>
      <c r="B385" s="1353"/>
      <c r="C385" s="1353"/>
      <c r="D385" s="1353"/>
    </row>
    <row r="386">
      <c r="A386" s="1353"/>
      <c r="B386" s="1353"/>
      <c r="C386" s="1353"/>
      <c r="D386" s="1353"/>
    </row>
    <row r="387">
      <c r="A387" s="1353"/>
      <c r="B387" s="1353"/>
      <c r="C387" s="1353"/>
      <c r="D387" s="1353"/>
    </row>
    <row r="388">
      <c r="A388" s="1353"/>
      <c r="B388" s="1353"/>
      <c r="C388" s="1353"/>
      <c r="D388" s="1353"/>
    </row>
    <row r="389">
      <c r="A389" s="1353"/>
      <c r="B389" s="1353"/>
      <c r="C389" s="1353"/>
      <c r="D389" s="1353"/>
    </row>
    <row r="390">
      <c r="A390" s="1353"/>
      <c r="B390" s="1353"/>
      <c r="C390" s="1353"/>
      <c r="D390" s="1353"/>
    </row>
    <row r="391">
      <c r="A391" s="1353"/>
      <c r="B391" s="1353"/>
      <c r="C391" s="1353"/>
      <c r="D391" s="1353"/>
    </row>
    <row r="392">
      <c r="A392" s="1353"/>
      <c r="B392" s="1353"/>
      <c r="C392" s="1353"/>
      <c r="D392" s="1353"/>
    </row>
    <row r="393">
      <c r="A393" s="1353"/>
      <c r="B393" s="1353"/>
      <c r="C393" s="1353"/>
      <c r="D393" s="1353"/>
    </row>
    <row r="394">
      <c r="A394" s="1353"/>
      <c r="B394" s="1353"/>
      <c r="C394" s="1353"/>
      <c r="D394" s="1353"/>
    </row>
    <row r="395">
      <c r="A395" s="1353"/>
      <c r="B395" s="1353"/>
      <c r="C395" s="1353"/>
      <c r="D395" s="1353"/>
    </row>
    <row r="396">
      <c r="A396" s="1353"/>
      <c r="B396" s="1353"/>
      <c r="C396" s="1353"/>
      <c r="D396" s="1353"/>
    </row>
    <row r="397">
      <c r="A397" s="1353"/>
      <c r="B397" s="1353"/>
      <c r="C397" s="1353"/>
      <c r="D397" s="1353"/>
    </row>
    <row r="398">
      <c r="A398" s="1353"/>
      <c r="B398" s="1353"/>
      <c r="C398" s="1353"/>
      <c r="D398" s="1353"/>
    </row>
    <row r="399">
      <c r="A399" s="1353"/>
      <c r="B399" s="1353"/>
      <c r="C399" s="1353"/>
      <c r="D399" s="1353"/>
    </row>
    <row r="400">
      <c r="A400" s="1353"/>
      <c r="B400" s="1353"/>
      <c r="C400" s="1353"/>
      <c r="D400" s="1353"/>
    </row>
    <row r="401">
      <c r="A401" s="1353"/>
      <c r="B401" s="1353"/>
      <c r="C401" s="1353"/>
      <c r="D401" s="1353"/>
    </row>
    <row r="402">
      <c r="A402" s="1353"/>
      <c r="B402" s="1353"/>
      <c r="C402" s="1353"/>
      <c r="D402" s="1353"/>
    </row>
    <row r="403">
      <c r="A403" s="1353"/>
      <c r="B403" s="1353"/>
      <c r="C403" s="1353"/>
      <c r="D403" s="1353"/>
    </row>
    <row r="404">
      <c r="A404" s="1353"/>
      <c r="B404" s="1353"/>
      <c r="C404" s="1353"/>
      <c r="D404" s="1353"/>
    </row>
    <row r="405">
      <c r="A405" s="1353"/>
      <c r="B405" s="1353"/>
      <c r="C405" s="1353"/>
      <c r="D405" s="1353"/>
    </row>
    <row r="406">
      <c r="A406" s="1353"/>
      <c r="B406" s="1353"/>
      <c r="C406" s="1353"/>
      <c r="D406" s="1353"/>
    </row>
    <row r="407">
      <c r="A407" s="1353"/>
      <c r="B407" s="1353"/>
      <c r="C407" s="1353"/>
      <c r="D407" s="1353"/>
    </row>
    <row r="408">
      <c r="A408" s="1353"/>
      <c r="B408" s="1353"/>
      <c r="C408" s="1353"/>
      <c r="D408" s="1353"/>
    </row>
    <row r="409">
      <c r="A409" s="1353"/>
      <c r="B409" s="1353"/>
      <c r="C409" s="1353"/>
      <c r="D409" s="1353"/>
    </row>
    <row r="410">
      <c r="A410" s="1353"/>
      <c r="B410" s="1353"/>
      <c r="C410" s="1353"/>
      <c r="D410" s="1353"/>
    </row>
    <row r="411">
      <c r="A411" s="1353"/>
      <c r="B411" s="1353"/>
      <c r="C411" s="1353"/>
      <c r="D411" s="1353"/>
    </row>
    <row r="412">
      <c r="A412" s="1353"/>
      <c r="B412" s="1353"/>
      <c r="C412" s="1353"/>
      <c r="D412" s="1353"/>
    </row>
    <row r="413">
      <c r="A413" s="1353"/>
      <c r="B413" s="1353"/>
      <c r="C413" s="1353"/>
      <c r="D413" s="1353"/>
    </row>
    <row r="414">
      <c r="A414" s="1353"/>
      <c r="B414" s="1353"/>
      <c r="C414" s="1353"/>
      <c r="D414" s="1353"/>
    </row>
    <row r="415">
      <c r="A415" s="1353"/>
      <c r="B415" s="1353"/>
      <c r="C415" s="1353"/>
      <c r="D415" s="1353"/>
    </row>
    <row r="416">
      <c r="A416" s="1353"/>
      <c r="B416" s="1353"/>
      <c r="C416" s="1353"/>
      <c r="D416" s="1353"/>
    </row>
    <row r="417">
      <c r="A417" s="1353"/>
      <c r="B417" s="1353"/>
      <c r="C417" s="1353"/>
      <c r="D417" s="1353"/>
    </row>
    <row r="418">
      <c r="A418" s="1353"/>
      <c r="B418" s="1353"/>
      <c r="C418" s="1353"/>
      <c r="D418" s="1353"/>
    </row>
    <row r="419">
      <c r="A419" s="1353"/>
      <c r="B419" s="1353"/>
      <c r="C419" s="1353"/>
      <c r="D419" s="1353"/>
    </row>
    <row r="420">
      <c r="A420" s="1353"/>
      <c r="B420" s="1353"/>
      <c r="C420" s="1353"/>
      <c r="D420" s="1353"/>
    </row>
    <row r="421">
      <c r="A421" s="1353"/>
      <c r="B421" s="1353"/>
      <c r="C421" s="1353"/>
      <c r="D421" s="1353"/>
    </row>
    <row r="422">
      <c r="A422" s="1353"/>
      <c r="B422" s="1353"/>
      <c r="C422" s="1353"/>
      <c r="D422" s="1353"/>
    </row>
    <row r="423">
      <c r="A423" s="1353"/>
      <c r="B423" s="1353"/>
      <c r="C423" s="1353"/>
      <c r="D423" s="1353"/>
    </row>
    <row r="424">
      <c r="A424" s="1353"/>
      <c r="B424" s="1353"/>
      <c r="C424" s="1353"/>
      <c r="D424" s="1353"/>
    </row>
    <row r="425">
      <c r="A425" s="1353"/>
      <c r="B425" s="1353"/>
      <c r="C425" s="1353"/>
      <c r="D425" s="1353"/>
    </row>
    <row r="426">
      <c r="A426" s="1353"/>
      <c r="B426" s="1353"/>
      <c r="C426" s="1353"/>
      <c r="D426" s="1353"/>
    </row>
    <row r="427">
      <c r="A427" s="1353"/>
      <c r="B427" s="1353"/>
      <c r="C427" s="1353"/>
      <c r="D427" s="1353"/>
    </row>
    <row r="428">
      <c r="A428" s="1353"/>
      <c r="B428" s="1353"/>
      <c r="C428" s="1353"/>
      <c r="D428" s="1353"/>
    </row>
    <row r="429">
      <c r="A429" s="1353"/>
      <c r="B429" s="1353"/>
      <c r="C429" s="1353"/>
      <c r="D429" s="1353"/>
    </row>
    <row r="430">
      <c r="A430" s="1353"/>
      <c r="B430" s="1353"/>
      <c r="C430" s="1353"/>
      <c r="D430" s="1353"/>
    </row>
    <row r="431">
      <c r="A431" s="1353"/>
      <c r="B431" s="1353"/>
      <c r="C431" s="1353"/>
      <c r="D431" s="1353"/>
    </row>
    <row r="432">
      <c r="A432" s="1353"/>
      <c r="B432" s="1353"/>
      <c r="C432" s="1353"/>
      <c r="D432" s="1353"/>
    </row>
    <row r="433">
      <c r="A433" s="1353"/>
      <c r="B433" s="1353"/>
      <c r="C433" s="1353"/>
      <c r="D433" s="1353"/>
    </row>
    <row r="434">
      <c r="A434" s="1353"/>
      <c r="B434" s="1353"/>
      <c r="C434" s="1353"/>
      <c r="D434" s="1353"/>
    </row>
    <row r="435">
      <c r="A435" s="1353"/>
      <c r="B435" s="1353"/>
      <c r="C435" s="1353"/>
      <c r="D435" s="1353"/>
    </row>
    <row r="436">
      <c r="A436" s="1353"/>
      <c r="B436" s="1353"/>
      <c r="C436" s="1353"/>
      <c r="D436" s="1353"/>
    </row>
    <row r="437">
      <c r="A437" s="1353"/>
      <c r="B437" s="1353"/>
      <c r="C437" s="1353"/>
      <c r="D437" s="1353"/>
    </row>
    <row r="438">
      <c r="A438" s="1353"/>
      <c r="B438" s="1353"/>
      <c r="C438" s="1353"/>
      <c r="D438" s="1353"/>
    </row>
    <row r="439">
      <c r="A439" s="1353"/>
      <c r="B439" s="1353"/>
      <c r="C439" s="1353"/>
      <c r="D439" s="1353"/>
    </row>
    <row r="440">
      <c r="A440" s="1353"/>
      <c r="B440" s="1353"/>
      <c r="C440" s="1353"/>
      <c r="D440" s="1353"/>
    </row>
    <row r="441">
      <c r="A441" s="1353"/>
      <c r="B441" s="1353"/>
      <c r="C441" s="1353"/>
      <c r="D441" s="1353"/>
    </row>
    <row r="442">
      <c r="A442" s="1353"/>
      <c r="B442" s="1353"/>
      <c r="C442" s="1353"/>
      <c r="D442" s="1353"/>
    </row>
    <row r="443">
      <c r="A443" s="1353"/>
      <c r="B443" s="1353"/>
      <c r="C443" s="1353"/>
      <c r="D443" s="1353"/>
    </row>
    <row r="444">
      <c r="A444" s="1353"/>
      <c r="B444" s="1353"/>
      <c r="C444" s="1353"/>
      <c r="D444" s="1353"/>
    </row>
    <row r="445">
      <c r="A445" s="1353"/>
      <c r="B445" s="1353"/>
      <c r="C445" s="1353"/>
      <c r="D445" s="1353"/>
    </row>
    <row r="446">
      <c r="A446" s="1353"/>
      <c r="B446" s="1353"/>
      <c r="C446" s="1353"/>
      <c r="D446" s="1353"/>
    </row>
    <row r="447">
      <c r="A447" s="1353"/>
      <c r="B447" s="1353"/>
      <c r="C447" s="1353"/>
      <c r="D447" s="1353"/>
    </row>
    <row r="448">
      <c r="A448" s="1353"/>
      <c r="B448" s="1353"/>
      <c r="C448" s="1353"/>
      <c r="D448" s="1353"/>
    </row>
    <row r="449">
      <c r="A449" s="1353"/>
      <c r="B449" s="1353"/>
      <c r="C449" s="1353"/>
      <c r="D449" s="1353"/>
    </row>
    <row r="450">
      <c r="A450" s="1353"/>
      <c r="B450" s="1353"/>
      <c r="C450" s="1353"/>
      <c r="D450" s="1353"/>
    </row>
    <row r="451">
      <c r="A451" s="1353"/>
      <c r="B451" s="1353"/>
      <c r="C451" s="1353"/>
      <c r="D451" s="1353"/>
    </row>
    <row r="452">
      <c r="A452" s="1353"/>
      <c r="B452" s="1353"/>
      <c r="C452" s="1353"/>
      <c r="D452" s="1353"/>
    </row>
    <row r="453">
      <c r="A453" s="1353"/>
      <c r="B453" s="1353"/>
      <c r="C453" s="1353"/>
      <c r="D453" s="1353"/>
    </row>
    <row r="454">
      <c r="A454" s="1353"/>
      <c r="B454" s="1353"/>
      <c r="C454" s="1353"/>
      <c r="D454" s="1353"/>
    </row>
    <row r="455">
      <c r="A455" s="1353"/>
      <c r="B455" s="1353"/>
      <c r="C455" s="1353"/>
      <c r="D455" s="1353"/>
    </row>
    <row r="456">
      <c r="A456" s="1353"/>
      <c r="B456" s="1353"/>
      <c r="C456" s="1353"/>
      <c r="D456" s="1353"/>
    </row>
    <row r="457">
      <c r="A457" s="1353"/>
      <c r="B457" s="1353"/>
      <c r="C457" s="1353"/>
      <c r="D457" s="1353"/>
    </row>
    <row r="458">
      <c r="A458" s="1353"/>
      <c r="B458" s="1353"/>
      <c r="C458" s="1353"/>
      <c r="D458" s="1353"/>
    </row>
    <row r="459">
      <c r="A459" s="1353"/>
      <c r="B459" s="1353"/>
      <c r="C459" s="1353"/>
      <c r="D459" s="1353"/>
    </row>
    <row r="460">
      <c r="A460" s="1353"/>
      <c r="B460" s="1353"/>
      <c r="C460" s="1353"/>
      <c r="D460" s="1353"/>
    </row>
    <row r="461">
      <c r="A461" s="1353"/>
      <c r="B461" s="1353"/>
      <c r="C461" s="1353"/>
      <c r="D461" s="1353"/>
    </row>
    <row r="462">
      <c r="A462" s="1353"/>
      <c r="B462" s="1353"/>
      <c r="C462" s="1353"/>
      <c r="D462" s="1353"/>
    </row>
    <row r="463">
      <c r="A463" s="1353"/>
      <c r="B463" s="1353"/>
      <c r="C463" s="1353"/>
      <c r="D463" s="1353"/>
    </row>
    <row r="464">
      <c r="A464" s="1353"/>
      <c r="B464" s="1353"/>
      <c r="C464" s="1353"/>
      <c r="D464" s="1353"/>
    </row>
    <row r="465">
      <c r="A465" s="1353"/>
      <c r="B465" s="1353"/>
      <c r="C465" s="1353"/>
      <c r="D465" s="1353"/>
    </row>
    <row r="466">
      <c r="A466" s="1353"/>
      <c r="B466" s="1353"/>
      <c r="C466" s="1353"/>
      <c r="D466" s="1353"/>
    </row>
    <row r="467">
      <c r="A467" s="1353"/>
      <c r="B467" s="1353"/>
      <c r="C467" s="1353"/>
      <c r="D467" s="1353"/>
    </row>
    <row r="468">
      <c r="A468" s="1353"/>
      <c r="B468" s="1353"/>
      <c r="C468" s="1353"/>
      <c r="D468" s="1353"/>
    </row>
    <row r="469">
      <c r="A469" s="1353"/>
      <c r="B469" s="1353"/>
      <c r="C469" s="1353"/>
      <c r="D469" s="1353"/>
    </row>
    <row r="470">
      <c r="A470" s="1353"/>
      <c r="B470" s="1353"/>
      <c r="C470" s="1353"/>
      <c r="D470" s="1353"/>
    </row>
    <row r="471">
      <c r="A471" s="1353"/>
      <c r="B471" s="1353"/>
      <c r="C471" s="1353"/>
      <c r="D471" s="1353"/>
    </row>
    <row r="472">
      <c r="A472" s="1353"/>
      <c r="B472" s="1353"/>
      <c r="C472" s="1353"/>
      <c r="D472" s="1353"/>
    </row>
    <row r="473">
      <c r="A473" s="1353"/>
      <c r="B473" s="1353"/>
      <c r="C473" s="1353"/>
      <c r="D473" s="1353"/>
    </row>
    <row r="474">
      <c r="A474" s="1353"/>
      <c r="B474" s="1353"/>
      <c r="C474" s="1353"/>
      <c r="D474" s="1353"/>
    </row>
    <row r="475">
      <c r="A475" s="1353"/>
      <c r="B475" s="1353"/>
      <c r="C475" s="1353"/>
      <c r="D475" s="1353"/>
    </row>
    <row r="476">
      <c r="A476" s="1353"/>
      <c r="B476" s="1353"/>
      <c r="C476" s="1353"/>
      <c r="D476" s="1353"/>
    </row>
    <row r="477">
      <c r="A477" s="1353"/>
      <c r="B477" s="1353"/>
      <c r="C477" s="1353"/>
      <c r="D477" s="1353"/>
    </row>
    <row r="478">
      <c r="A478" s="1353"/>
      <c r="B478" s="1353"/>
      <c r="C478" s="1353"/>
      <c r="D478" s="1353"/>
    </row>
    <row r="479">
      <c r="A479" s="1353"/>
      <c r="B479" s="1353"/>
      <c r="C479" s="1353"/>
      <c r="D479" s="1353"/>
    </row>
    <row r="480">
      <c r="A480" s="1353"/>
      <c r="B480" s="1353"/>
      <c r="C480" s="1353"/>
      <c r="D480" s="1353"/>
    </row>
    <row r="481">
      <c r="A481" s="1353"/>
      <c r="B481" s="1353"/>
      <c r="C481" s="1353"/>
      <c r="D481" s="1353"/>
    </row>
    <row r="482">
      <c r="A482" s="1353"/>
      <c r="B482" s="1353"/>
      <c r="C482" s="1353"/>
      <c r="D482" s="1353"/>
    </row>
    <row r="483">
      <c r="A483" s="1353"/>
      <c r="B483" s="1353"/>
      <c r="C483" s="1353"/>
      <c r="D483" s="1353"/>
    </row>
    <row r="484">
      <c r="A484" s="1353"/>
      <c r="B484" s="1353"/>
      <c r="C484" s="1353"/>
      <c r="D484" s="1353"/>
    </row>
    <row r="485">
      <c r="A485" s="1353"/>
      <c r="B485" s="1353"/>
      <c r="C485" s="1353"/>
      <c r="D485" s="1353"/>
    </row>
    <row r="486">
      <c r="A486" s="1353"/>
      <c r="B486" s="1353"/>
      <c r="C486" s="1353"/>
      <c r="D486" s="1353"/>
    </row>
    <row r="487">
      <c r="A487" s="1353"/>
      <c r="B487" s="1353"/>
      <c r="C487" s="1353"/>
      <c r="D487" s="1353"/>
    </row>
    <row r="488">
      <c r="A488" s="1353"/>
      <c r="B488" s="1353"/>
      <c r="C488" s="1353"/>
      <c r="D488" s="1353"/>
    </row>
    <row r="489">
      <c r="A489" s="1353"/>
      <c r="B489" s="1353"/>
      <c r="C489" s="1353"/>
      <c r="D489" s="1353"/>
    </row>
    <row r="490">
      <c r="A490" s="1353"/>
      <c r="B490" s="1353"/>
      <c r="C490" s="1353"/>
      <c r="D490" s="1353"/>
    </row>
    <row r="491">
      <c r="A491" s="1353"/>
      <c r="B491" s="1353"/>
      <c r="C491" s="1353"/>
      <c r="D491" s="1353"/>
    </row>
    <row r="492">
      <c r="A492" s="1353"/>
      <c r="B492" s="1353"/>
      <c r="C492" s="1353"/>
      <c r="D492" s="1353"/>
    </row>
    <row r="493">
      <c r="A493" s="1353"/>
      <c r="B493" s="1353"/>
      <c r="C493" s="1353"/>
      <c r="D493" s="1353"/>
    </row>
    <row r="494">
      <c r="A494" s="1353"/>
      <c r="B494" s="1353"/>
      <c r="C494" s="1353"/>
      <c r="D494" s="1353"/>
    </row>
    <row r="495">
      <c r="A495" s="1353"/>
      <c r="B495" s="1353"/>
      <c r="C495" s="1353"/>
      <c r="D495" s="1353"/>
    </row>
    <row r="496">
      <c r="A496" s="1353"/>
      <c r="B496" s="1353"/>
      <c r="C496" s="1353"/>
      <c r="D496" s="1353"/>
    </row>
    <row r="497">
      <c r="A497" s="1353"/>
      <c r="B497" s="1353"/>
      <c r="C497" s="1353"/>
      <c r="D497" s="1353"/>
    </row>
    <row r="498">
      <c r="A498" s="1353"/>
      <c r="B498" s="1353"/>
      <c r="C498" s="1353"/>
      <c r="D498" s="1353"/>
    </row>
    <row r="499">
      <c r="A499" s="1353"/>
      <c r="B499" s="1353"/>
      <c r="C499" s="1353"/>
      <c r="D499" s="1353"/>
    </row>
    <row r="500">
      <c r="A500" s="1353"/>
      <c r="B500" s="1353"/>
      <c r="C500" s="1353"/>
      <c r="D500" s="1353"/>
    </row>
    <row r="501">
      <c r="A501" s="1353"/>
      <c r="B501" s="1353"/>
      <c r="C501" s="1353"/>
      <c r="D501" s="1353"/>
    </row>
    <row r="502">
      <c r="A502" s="1353"/>
      <c r="B502" s="1353"/>
      <c r="C502" s="1353"/>
      <c r="D502" s="1353"/>
    </row>
    <row r="503">
      <c r="A503" s="1353"/>
      <c r="B503" s="1353"/>
      <c r="C503" s="1353"/>
      <c r="D503" s="1353"/>
    </row>
    <row r="504">
      <c r="A504" s="1353"/>
      <c r="B504" s="1353"/>
      <c r="C504" s="1353"/>
      <c r="D504" s="1353"/>
    </row>
    <row r="505">
      <c r="A505" s="1353"/>
      <c r="B505" s="1353"/>
      <c r="C505" s="1353"/>
      <c r="D505" s="1353"/>
    </row>
    <row r="506">
      <c r="A506" s="1353"/>
      <c r="B506" s="1353"/>
      <c r="C506" s="1353"/>
      <c r="D506" s="1353"/>
    </row>
    <row r="507">
      <c r="A507" s="1353"/>
      <c r="B507" s="1353"/>
      <c r="C507" s="1353"/>
      <c r="D507" s="1353"/>
    </row>
    <row r="508">
      <c r="A508" s="1353"/>
      <c r="B508" s="1353"/>
      <c r="C508" s="1353"/>
      <c r="D508" s="1353"/>
    </row>
    <row r="509">
      <c r="A509" s="1353"/>
      <c r="B509" s="1353"/>
      <c r="C509" s="1353"/>
      <c r="D509" s="1353"/>
    </row>
    <row r="510">
      <c r="A510" s="1353"/>
      <c r="B510" s="1353"/>
      <c r="C510" s="1353"/>
      <c r="D510" s="1353"/>
    </row>
    <row r="511">
      <c r="A511" s="1353"/>
      <c r="B511" s="1353"/>
      <c r="C511" s="1353"/>
      <c r="D511" s="1353"/>
    </row>
    <row r="512">
      <c r="A512" s="1353"/>
      <c r="B512" s="1353"/>
      <c r="C512" s="1353"/>
      <c r="D512" s="1353"/>
    </row>
    <row r="513">
      <c r="A513" s="1353"/>
      <c r="B513" s="1353"/>
      <c r="C513" s="1353"/>
      <c r="D513" s="1353"/>
    </row>
    <row r="514">
      <c r="A514" s="1353"/>
      <c r="B514" s="1353"/>
      <c r="C514" s="1353"/>
      <c r="D514" s="1353"/>
    </row>
    <row r="515">
      <c r="A515" s="1353"/>
      <c r="B515" s="1353"/>
      <c r="C515" s="1353"/>
      <c r="D515" s="1353"/>
    </row>
    <row r="516">
      <c r="A516" s="1353"/>
      <c r="B516" s="1353"/>
      <c r="C516" s="1353"/>
      <c r="D516" s="1353"/>
    </row>
    <row r="517">
      <c r="A517" s="1353"/>
      <c r="B517" s="1353"/>
      <c r="C517" s="1353"/>
      <c r="D517" s="1353"/>
    </row>
    <row r="518">
      <c r="A518" s="1353"/>
      <c r="B518" s="1353"/>
      <c r="C518" s="1353"/>
      <c r="D518" s="1353"/>
    </row>
    <row r="519">
      <c r="A519" s="1353"/>
      <c r="B519" s="1353"/>
      <c r="C519" s="1353"/>
      <c r="D519" s="1353"/>
    </row>
    <row r="520">
      <c r="A520" s="1353"/>
      <c r="B520" s="1353"/>
      <c r="C520" s="1353"/>
      <c r="D520" s="1353"/>
    </row>
    <row r="521">
      <c r="A521" s="1353"/>
      <c r="B521" s="1353"/>
      <c r="C521" s="1353"/>
      <c r="D521" s="1353"/>
    </row>
    <row r="522">
      <c r="A522" s="1353"/>
      <c r="B522" s="1353"/>
      <c r="C522" s="1353"/>
      <c r="D522" s="1353"/>
    </row>
    <row r="523">
      <c r="A523" s="1353"/>
      <c r="B523" s="1353"/>
      <c r="C523" s="1353"/>
      <c r="D523" s="1353"/>
    </row>
    <row r="524">
      <c r="A524" s="1353"/>
      <c r="B524" s="1353"/>
      <c r="C524" s="1353"/>
      <c r="D524" s="1353"/>
    </row>
    <row r="525">
      <c r="A525" s="1353"/>
      <c r="B525" s="1353"/>
      <c r="C525" s="1353"/>
      <c r="D525" s="1353"/>
    </row>
    <row r="526">
      <c r="A526" s="1353"/>
      <c r="B526" s="1353"/>
      <c r="C526" s="1353"/>
      <c r="D526" s="1353"/>
    </row>
    <row r="527">
      <c r="A527" s="1353"/>
      <c r="B527" s="1353"/>
      <c r="C527" s="1353"/>
      <c r="D527" s="1353"/>
    </row>
    <row r="528">
      <c r="A528" s="1353"/>
      <c r="B528" s="1353"/>
      <c r="C528" s="1353"/>
      <c r="D528" s="1353"/>
    </row>
    <row r="529">
      <c r="A529" s="1353"/>
      <c r="B529" s="1353"/>
      <c r="C529" s="1353"/>
      <c r="D529" s="1353"/>
    </row>
    <row r="530">
      <c r="A530" s="1353"/>
      <c r="B530" s="1353"/>
      <c r="C530" s="1353"/>
      <c r="D530" s="1353"/>
    </row>
    <row r="531">
      <c r="A531" s="1353"/>
      <c r="B531" s="1353"/>
      <c r="C531" s="1353"/>
      <c r="D531" s="1353"/>
    </row>
    <row r="532">
      <c r="A532" s="1353"/>
      <c r="B532" s="1353"/>
      <c r="C532" s="1353"/>
      <c r="D532" s="1353"/>
    </row>
    <row r="533">
      <c r="A533" s="1353"/>
      <c r="B533" s="1353"/>
      <c r="C533" s="1353"/>
      <c r="D533" s="1353"/>
    </row>
    <row r="534">
      <c r="A534" s="1353"/>
      <c r="B534" s="1353"/>
      <c r="C534" s="1353"/>
      <c r="D534" s="1353"/>
    </row>
    <row r="535">
      <c r="A535" s="1353"/>
      <c r="B535" s="1353"/>
      <c r="C535" s="1353"/>
      <c r="D535" s="1353"/>
    </row>
    <row r="536">
      <c r="A536" s="1353"/>
      <c r="B536" s="1353"/>
      <c r="C536" s="1353"/>
      <c r="D536" s="1353"/>
    </row>
    <row r="537">
      <c r="A537" s="1353"/>
      <c r="B537" s="1353"/>
      <c r="C537" s="1353"/>
      <c r="D537" s="1353"/>
    </row>
    <row r="538">
      <c r="A538" s="1353"/>
      <c r="B538" s="1353"/>
      <c r="C538" s="1353"/>
      <c r="D538" s="1353"/>
    </row>
    <row r="539">
      <c r="A539" s="1353"/>
      <c r="B539" s="1353"/>
      <c r="C539" s="1353"/>
      <c r="D539" s="1353"/>
    </row>
    <row r="540">
      <c r="A540" s="1353"/>
      <c r="B540" s="1353"/>
      <c r="C540" s="1353"/>
      <c r="D540" s="1353"/>
    </row>
    <row r="541">
      <c r="A541" s="1353"/>
      <c r="B541" s="1353"/>
      <c r="C541" s="1353"/>
      <c r="D541" s="1353"/>
    </row>
    <row r="542">
      <c r="A542" s="1353"/>
      <c r="B542" s="1353"/>
      <c r="C542" s="1353"/>
      <c r="D542" s="1353"/>
    </row>
    <row r="543">
      <c r="A543" s="1353"/>
      <c r="B543" s="1353"/>
      <c r="C543" s="1353"/>
      <c r="D543" s="1353"/>
    </row>
    <row r="544">
      <c r="A544" s="1353"/>
      <c r="B544" s="1353"/>
      <c r="C544" s="1353"/>
      <c r="D544" s="1353"/>
    </row>
    <row r="545">
      <c r="A545" s="1353"/>
      <c r="B545" s="1353"/>
      <c r="C545" s="1353"/>
      <c r="D545" s="1353"/>
    </row>
    <row r="546">
      <c r="A546" s="1353"/>
      <c r="B546" s="1353"/>
      <c r="C546" s="1353"/>
      <c r="D546" s="1353"/>
    </row>
    <row r="547">
      <c r="A547" s="1353"/>
      <c r="B547" s="1353"/>
      <c r="C547" s="1353"/>
      <c r="D547" s="1353"/>
    </row>
    <row r="548">
      <c r="A548" s="1353"/>
      <c r="B548" s="1353"/>
      <c r="C548" s="1353"/>
      <c r="D548" s="1353"/>
    </row>
    <row r="549">
      <c r="A549" s="1353"/>
      <c r="B549" s="1353"/>
      <c r="C549" s="1353"/>
      <c r="D549" s="1353"/>
    </row>
    <row r="550">
      <c r="A550" s="1353"/>
      <c r="B550" s="1353"/>
      <c r="C550" s="1353"/>
      <c r="D550" s="1353"/>
    </row>
    <row r="551">
      <c r="A551" s="1353"/>
      <c r="B551" s="1353"/>
      <c r="C551" s="1353"/>
      <c r="D551" s="1353"/>
    </row>
    <row r="552">
      <c r="A552" s="1353"/>
      <c r="B552" s="1353"/>
      <c r="C552" s="1353"/>
      <c r="D552" s="1353"/>
    </row>
    <row r="553">
      <c r="A553" s="1353"/>
      <c r="B553" s="1353"/>
      <c r="C553" s="1353"/>
      <c r="D553" s="1353"/>
    </row>
    <row r="554">
      <c r="A554" s="1353"/>
      <c r="B554" s="1353"/>
      <c r="C554" s="1353"/>
      <c r="D554" s="1353"/>
    </row>
    <row r="555">
      <c r="A555" s="1353"/>
      <c r="B555" s="1353"/>
      <c r="C555" s="1353"/>
      <c r="D555" s="1353"/>
    </row>
    <row r="556">
      <c r="A556" s="1353"/>
      <c r="B556" s="1353"/>
      <c r="C556" s="1353"/>
      <c r="D556" s="1353"/>
    </row>
    <row r="557">
      <c r="A557" s="1353"/>
      <c r="B557" s="1353"/>
      <c r="C557" s="1353"/>
      <c r="D557" s="1353"/>
    </row>
    <row r="558">
      <c r="A558" s="1353"/>
      <c r="B558" s="1353"/>
      <c r="C558" s="1353"/>
      <c r="D558" s="1353"/>
    </row>
    <row r="559">
      <c r="A559" s="1353"/>
      <c r="B559" s="1353"/>
      <c r="C559" s="1353"/>
      <c r="D559" s="1353"/>
    </row>
    <row r="560">
      <c r="A560" s="1353"/>
      <c r="B560" s="1353"/>
      <c r="C560" s="1353"/>
      <c r="D560" s="1353"/>
    </row>
    <row r="561">
      <c r="A561" s="1353"/>
      <c r="B561" s="1353"/>
      <c r="C561" s="1353"/>
      <c r="D561" s="1353"/>
    </row>
    <row r="562">
      <c r="A562" s="1353"/>
      <c r="B562" s="1353"/>
      <c r="C562" s="1353"/>
      <c r="D562" s="1353"/>
    </row>
    <row r="563">
      <c r="A563" s="1353"/>
      <c r="B563" s="1353"/>
      <c r="C563" s="1353"/>
      <c r="D563" s="1353"/>
    </row>
    <row r="564">
      <c r="A564" s="1353"/>
      <c r="B564" s="1353"/>
      <c r="C564" s="1353"/>
      <c r="D564" s="1353"/>
    </row>
    <row r="565">
      <c r="A565" s="1353"/>
      <c r="B565" s="1353"/>
      <c r="C565" s="1353"/>
      <c r="D565" s="1353"/>
    </row>
    <row r="566">
      <c r="A566" s="1353"/>
      <c r="B566" s="1353"/>
      <c r="C566" s="1353"/>
      <c r="D566" s="1353"/>
    </row>
    <row r="567">
      <c r="A567" s="1353"/>
      <c r="B567" s="1353"/>
      <c r="C567" s="1353"/>
      <c r="D567" s="1353"/>
    </row>
    <row r="568">
      <c r="A568" s="1353"/>
      <c r="B568" s="1353"/>
      <c r="C568" s="1353"/>
      <c r="D568" s="1353"/>
    </row>
    <row r="569">
      <c r="A569" s="1353"/>
      <c r="B569" s="1353"/>
      <c r="C569" s="1353"/>
      <c r="D569" s="1353"/>
    </row>
    <row r="570">
      <c r="A570" s="1353"/>
      <c r="B570" s="1353"/>
      <c r="C570" s="1353"/>
      <c r="D570" s="1353"/>
    </row>
    <row r="571">
      <c r="A571" s="1353"/>
      <c r="B571" s="1353"/>
      <c r="C571" s="1353"/>
      <c r="D571" s="1353"/>
    </row>
    <row r="572">
      <c r="A572" s="1353"/>
      <c r="B572" s="1353"/>
      <c r="C572" s="1353"/>
      <c r="D572" s="1353"/>
    </row>
    <row r="573">
      <c r="A573" s="1353"/>
      <c r="B573" s="1353"/>
      <c r="C573" s="1353"/>
      <c r="D573" s="1353"/>
    </row>
    <row r="574">
      <c r="A574" s="1353"/>
      <c r="B574" s="1353"/>
      <c r="C574" s="1353"/>
      <c r="D574" s="1353"/>
    </row>
    <row r="575">
      <c r="A575" s="1353"/>
      <c r="B575" s="1353"/>
      <c r="C575" s="1353"/>
      <c r="D575" s="1353"/>
    </row>
    <row r="576">
      <c r="A576" s="1353"/>
      <c r="B576" s="1353"/>
      <c r="C576" s="1353"/>
      <c r="D576" s="1353"/>
    </row>
    <row r="577">
      <c r="A577" s="1353"/>
      <c r="B577" s="1353"/>
      <c r="C577" s="1353"/>
      <c r="D577" s="1353"/>
    </row>
    <row r="578">
      <c r="A578" s="1353"/>
      <c r="B578" s="1353"/>
      <c r="C578" s="1353"/>
      <c r="D578" s="1353"/>
    </row>
    <row r="579">
      <c r="A579" s="1353"/>
      <c r="B579" s="1353"/>
      <c r="C579" s="1353"/>
      <c r="D579" s="1353"/>
    </row>
    <row r="580">
      <c r="A580" s="1353"/>
      <c r="B580" s="1353"/>
      <c r="C580" s="1353"/>
      <c r="D580" s="1353"/>
    </row>
    <row r="581">
      <c r="A581" s="1353"/>
      <c r="B581" s="1353"/>
      <c r="C581" s="1353"/>
      <c r="D581" s="1353"/>
    </row>
    <row r="582">
      <c r="A582" s="1353"/>
      <c r="B582" s="1353"/>
      <c r="C582" s="1353"/>
      <c r="D582" s="1353"/>
    </row>
    <row r="583">
      <c r="A583" s="1353"/>
      <c r="B583" s="1353"/>
      <c r="C583" s="1353"/>
      <c r="D583" s="1353"/>
    </row>
    <row r="584">
      <c r="A584" s="1353"/>
      <c r="B584" s="1353"/>
      <c r="C584" s="1353"/>
      <c r="D584" s="1353"/>
    </row>
    <row r="585">
      <c r="A585" s="1353"/>
      <c r="B585" s="1353"/>
      <c r="C585" s="1353"/>
      <c r="D585" s="1353"/>
    </row>
    <row r="586">
      <c r="A586" s="1353"/>
      <c r="B586" s="1353"/>
      <c r="C586" s="1353"/>
      <c r="D586" s="1353"/>
    </row>
    <row r="587">
      <c r="A587" s="1353"/>
      <c r="B587" s="1353"/>
      <c r="C587" s="1353"/>
      <c r="D587" s="1353"/>
    </row>
    <row r="588">
      <c r="A588" s="1353"/>
      <c r="B588" s="1353"/>
      <c r="C588" s="1353"/>
      <c r="D588" s="1353"/>
    </row>
    <row r="589">
      <c r="A589" s="1353"/>
      <c r="B589" s="1353"/>
      <c r="C589" s="1353"/>
      <c r="D589" s="1353"/>
    </row>
    <row r="590">
      <c r="A590" s="1353"/>
      <c r="B590" s="1353"/>
      <c r="C590" s="1353"/>
      <c r="D590" s="1353"/>
    </row>
    <row r="591">
      <c r="A591" s="1353"/>
      <c r="B591" s="1353"/>
      <c r="C591" s="1353"/>
      <c r="D591" s="1353"/>
    </row>
    <row r="592">
      <c r="A592" s="1353"/>
      <c r="B592" s="1353"/>
      <c r="C592" s="1353"/>
      <c r="D592" s="1353"/>
    </row>
    <row r="593">
      <c r="A593" s="1353"/>
      <c r="B593" s="1353"/>
      <c r="C593" s="1353"/>
      <c r="D593" s="1353"/>
    </row>
    <row r="594">
      <c r="A594" s="1353"/>
      <c r="B594" s="1353"/>
      <c r="C594" s="1353"/>
      <c r="D594" s="1353"/>
    </row>
    <row r="595">
      <c r="A595" s="1353"/>
      <c r="B595" s="1353"/>
      <c r="C595" s="1353"/>
      <c r="D595" s="1353"/>
    </row>
    <row r="596">
      <c r="A596" s="1353"/>
      <c r="B596" s="1353"/>
      <c r="C596" s="1353"/>
      <c r="D596" s="1353"/>
    </row>
    <row r="597">
      <c r="A597" s="1353"/>
      <c r="B597" s="1353"/>
      <c r="C597" s="1353"/>
      <c r="D597" s="1353"/>
    </row>
    <row r="598">
      <c r="A598" s="1353"/>
      <c r="B598" s="1353"/>
      <c r="C598" s="1353"/>
      <c r="D598" s="1353"/>
    </row>
    <row r="599">
      <c r="A599" s="1353"/>
      <c r="B599" s="1353"/>
      <c r="C599" s="1353"/>
      <c r="D599" s="1353"/>
    </row>
    <row r="600">
      <c r="A600" s="1353"/>
      <c r="B600" s="1353"/>
      <c r="C600" s="1353"/>
      <c r="D600" s="1353"/>
    </row>
    <row r="601">
      <c r="A601" s="1353"/>
      <c r="B601" s="1353"/>
      <c r="C601" s="1353"/>
      <c r="D601" s="1353"/>
    </row>
    <row r="602">
      <c r="A602" s="1353"/>
      <c r="B602" s="1353"/>
      <c r="C602" s="1353"/>
      <c r="D602" s="1353"/>
    </row>
    <row r="603">
      <c r="A603" s="1353"/>
      <c r="B603" s="1353"/>
      <c r="C603" s="1353"/>
      <c r="D603" s="1353"/>
    </row>
    <row r="604">
      <c r="A604" s="1353"/>
      <c r="B604" s="1353"/>
      <c r="C604" s="1353"/>
      <c r="D604" s="1353"/>
    </row>
    <row r="605">
      <c r="A605" s="1353"/>
      <c r="B605" s="1353"/>
      <c r="C605" s="1353"/>
      <c r="D605" s="1353"/>
    </row>
    <row r="606">
      <c r="A606" s="1353"/>
      <c r="B606" s="1353"/>
      <c r="C606" s="1353"/>
      <c r="D606" s="1353"/>
    </row>
    <row r="607">
      <c r="A607" s="1353"/>
      <c r="B607" s="1353"/>
      <c r="C607" s="1353"/>
      <c r="D607" s="1353"/>
    </row>
    <row r="608">
      <c r="A608" s="1353"/>
      <c r="B608" s="1353"/>
      <c r="C608" s="1353"/>
      <c r="D608" s="1353"/>
    </row>
    <row r="609">
      <c r="A609" s="1353"/>
      <c r="B609" s="1353"/>
      <c r="C609" s="1353"/>
      <c r="D609" s="1353"/>
    </row>
    <row r="610">
      <c r="A610" s="1353"/>
      <c r="B610" s="1353"/>
      <c r="C610" s="1353"/>
      <c r="D610" s="1353"/>
    </row>
    <row r="611">
      <c r="A611" s="1353"/>
      <c r="B611" s="1353"/>
      <c r="C611" s="1353"/>
      <c r="D611" s="1353"/>
    </row>
    <row r="612">
      <c r="A612" s="1353"/>
      <c r="B612" s="1353"/>
      <c r="C612" s="1353"/>
      <c r="D612" s="1353"/>
    </row>
    <row r="613">
      <c r="A613" s="1353"/>
      <c r="B613" s="1353"/>
      <c r="C613" s="1353"/>
      <c r="D613" s="1353"/>
    </row>
    <row r="614">
      <c r="A614" s="1353"/>
      <c r="B614" s="1353"/>
      <c r="C614" s="1353"/>
      <c r="D614" s="1353"/>
    </row>
    <row r="615">
      <c r="A615" s="1353"/>
      <c r="B615" s="1353"/>
      <c r="C615" s="1353"/>
      <c r="D615" s="1353"/>
    </row>
    <row r="616">
      <c r="A616" s="1353"/>
      <c r="B616" s="1353"/>
      <c r="C616" s="1353"/>
      <c r="D616" s="1353"/>
    </row>
    <row r="617">
      <c r="A617" s="1353"/>
      <c r="B617" s="1353"/>
      <c r="C617" s="1353"/>
      <c r="D617" s="1353"/>
    </row>
    <row r="618">
      <c r="A618" s="1353"/>
      <c r="B618" s="1353"/>
      <c r="C618" s="1353"/>
      <c r="D618" s="1353"/>
    </row>
    <row r="619">
      <c r="A619" s="1353"/>
      <c r="B619" s="1353"/>
      <c r="C619" s="1353"/>
      <c r="D619" s="1353"/>
    </row>
    <row r="620">
      <c r="A620" s="1353"/>
      <c r="B620" s="1353"/>
      <c r="C620" s="1353"/>
      <c r="D620" s="1353"/>
    </row>
    <row r="621">
      <c r="A621" s="1353"/>
      <c r="B621" s="1353"/>
      <c r="C621" s="1353"/>
      <c r="D621" s="1353"/>
    </row>
    <row r="622">
      <c r="A622" s="1353"/>
      <c r="B622" s="1353"/>
      <c r="C622" s="1353"/>
      <c r="D622" s="1353"/>
    </row>
    <row r="623">
      <c r="A623" s="1353"/>
      <c r="B623" s="1353"/>
      <c r="C623" s="1353"/>
      <c r="D623" s="1353"/>
    </row>
    <row r="624">
      <c r="A624" s="1353"/>
      <c r="B624" s="1353"/>
      <c r="C624" s="1353"/>
      <c r="D624" s="1353"/>
    </row>
    <row r="625">
      <c r="A625" s="1353"/>
      <c r="B625" s="1353"/>
      <c r="C625" s="1353"/>
      <c r="D625" s="1353"/>
    </row>
    <row r="626">
      <c r="A626" s="1353"/>
      <c r="B626" s="1353"/>
      <c r="C626" s="1353"/>
      <c r="D626" s="1353"/>
    </row>
    <row r="627">
      <c r="A627" s="1353"/>
      <c r="B627" s="1353"/>
      <c r="C627" s="1353"/>
      <c r="D627" s="1353"/>
    </row>
    <row r="628">
      <c r="A628" s="1353"/>
      <c r="B628" s="1353"/>
      <c r="C628" s="1353"/>
      <c r="D628" s="1353"/>
    </row>
    <row r="629">
      <c r="A629" s="1353"/>
      <c r="B629" s="1353"/>
      <c r="C629" s="1353"/>
      <c r="D629" s="1353"/>
    </row>
    <row r="630">
      <c r="A630" s="1353"/>
      <c r="B630" s="1353"/>
      <c r="C630" s="1353"/>
      <c r="D630" s="1353"/>
    </row>
    <row r="631">
      <c r="A631" s="1353"/>
      <c r="B631" s="1353"/>
      <c r="C631" s="1353"/>
      <c r="D631" s="1353"/>
    </row>
    <row r="632">
      <c r="A632" s="1353"/>
      <c r="B632" s="1353"/>
      <c r="C632" s="1353"/>
      <c r="D632" s="1353"/>
    </row>
    <row r="633">
      <c r="A633" s="1353"/>
      <c r="B633" s="1353"/>
      <c r="C633" s="1353"/>
      <c r="D633" s="1353"/>
    </row>
    <row r="634">
      <c r="A634" s="1353"/>
      <c r="B634" s="1353"/>
      <c r="C634" s="1353"/>
      <c r="D634" s="1353"/>
    </row>
    <row r="635">
      <c r="A635" s="1353"/>
      <c r="B635" s="1353"/>
      <c r="C635" s="1353"/>
      <c r="D635" s="1353"/>
    </row>
    <row r="636">
      <c r="A636" s="1353"/>
      <c r="B636" s="1353"/>
      <c r="C636" s="1353"/>
      <c r="D636" s="1353"/>
    </row>
    <row r="637">
      <c r="A637" s="1353"/>
      <c r="B637" s="1353"/>
      <c r="C637" s="1353"/>
      <c r="D637" s="1353"/>
    </row>
    <row r="638">
      <c r="A638" s="1353"/>
      <c r="B638" s="1353"/>
      <c r="C638" s="1353"/>
      <c r="D638" s="1353"/>
    </row>
    <row r="639">
      <c r="A639" s="1353"/>
      <c r="B639" s="1353"/>
      <c r="C639" s="1353"/>
      <c r="D639" s="1353"/>
    </row>
    <row r="640">
      <c r="A640" s="1353"/>
      <c r="B640" s="1353"/>
      <c r="C640" s="1353"/>
      <c r="D640" s="1353"/>
    </row>
    <row r="641">
      <c r="A641" s="1353"/>
      <c r="B641" s="1353"/>
      <c r="C641" s="1353"/>
      <c r="D641" s="1353"/>
    </row>
    <row r="642">
      <c r="A642" s="1353"/>
      <c r="B642" s="1353"/>
      <c r="C642" s="1353"/>
      <c r="D642" s="1353"/>
    </row>
    <row r="643">
      <c r="A643" s="1353"/>
      <c r="B643" s="1353"/>
      <c r="C643" s="1353"/>
      <c r="D643" s="1353"/>
    </row>
    <row r="644">
      <c r="A644" s="1353"/>
      <c r="B644" s="1353"/>
      <c r="C644" s="1353"/>
      <c r="D644" s="1353"/>
    </row>
    <row r="645">
      <c r="A645" s="1353"/>
      <c r="B645" s="1353"/>
      <c r="C645" s="1353"/>
      <c r="D645" s="1353"/>
    </row>
    <row r="646">
      <c r="A646" s="1353"/>
      <c r="B646" s="1353"/>
      <c r="C646" s="1353"/>
      <c r="D646" s="1353"/>
    </row>
    <row r="647">
      <c r="A647" s="1353"/>
      <c r="B647" s="1353"/>
      <c r="C647" s="1353"/>
      <c r="D647" s="1353"/>
    </row>
    <row r="648">
      <c r="A648" s="1353"/>
      <c r="B648" s="1353"/>
      <c r="C648" s="1353"/>
      <c r="D648" s="1353"/>
    </row>
    <row r="649">
      <c r="A649" s="1353"/>
      <c r="B649" s="1353"/>
      <c r="C649" s="1353"/>
      <c r="D649" s="1353"/>
    </row>
    <row r="650">
      <c r="A650" s="1353"/>
      <c r="B650" s="1353"/>
      <c r="C650" s="1353"/>
      <c r="D650" s="1353"/>
    </row>
    <row r="651">
      <c r="A651" s="1353"/>
      <c r="B651" s="1353"/>
      <c r="C651" s="1353"/>
      <c r="D651" s="1353"/>
    </row>
    <row r="652">
      <c r="A652" s="1353"/>
      <c r="B652" s="1353"/>
      <c r="C652" s="1353"/>
      <c r="D652" s="1353"/>
    </row>
    <row r="653">
      <c r="A653" s="1353"/>
      <c r="B653" s="1353"/>
      <c r="C653" s="1353"/>
      <c r="D653" s="1353"/>
    </row>
    <row r="654">
      <c r="A654" s="1353"/>
      <c r="B654" s="1353"/>
      <c r="C654" s="1353"/>
      <c r="D654" s="1353"/>
    </row>
    <row r="655">
      <c r="A655" s="1353"/>
      <c r="B655" s="1353"/>
      <c r="C655" s="1353"/>
      <c r="D655" s="1353"/>
    </row>
    <row r="656">
      <c r="A656" s="1353"/>
      <c r="B656" s="1353"/>
      <c r="C656" s="1353"/>
      <c r="D656" s="1353"/>
    </row>
    <row r="657">
      <c r="A657" s="1353"/>
      <c r="B657" s="1353"/>
      <c r="C657" s="1353"/>
      <c r="D657" s="1353"/>
    </row>
    <row r="658">
      <c r="A658" s="1353"/>
      <c r="B658" s="1353"/>
      <c r="C658" s="1353"/>
      <c r="D658" s="1353"/>
    </row>
    <row r="659">
      <c r="A659" s="1353"/>
      <c r="B659" s="1353"/>
      <c r="C659" s="1353"/>
      <c r="D659" s="1353"/>
    </row>
    <row r="660">
      <c r="A660" s="1353"/>
      <c r="B660" s="1353"/>
      <c r="C660" s="1353"/>
      <c r="D660" s="1353"/>
    </row>
    <row r="661">
      <c r="A661" s="1353"/>
      <c r="B661" s="1353"/>
      <c r="C661" s="1353"/>
      <c r="D661" s="1353"/>
    </row>
    <row r="662">
      <c r="A662" s="1353"/>
      <c r="B662" s="1353"/>
      <c r="C662" s="1353"/>
      <c r="D662" s="1353"/>
    </row>
    <row r="663">
      <c r="A663" s="1353"/>
      <c r="B663" s="1353"/>
      <c r="C663" s="1353"/>
      <c r="D663" s="1353"/>
    </row>
    <row r="664">
      <c r="A664" s="1353"/>
      <c r="B664" s="1353"/>
      <c r="C664" s="1353"/>
      <c r="D664" s="1353"/>
    </row>
    <row r="665">
      <c r="A665" s="1353"/>
      <c r="B665" s="1353"/>
      <c r="C665" s="1353"/>
      <c r="D665" s="1353"/>
    </row>
    <row r="666">
      <c r="A666" s="1353"/>
      <c r="B666" s="1353"/>
      <c r="C666" s="1353"/>
      <c r="D666" s="1353"/>
    </row>
    <row r="667">
      <c r="A667" s="1353"/>
      <c r="B667" s="1353"/>
      <c r="C667" s="1353"/>
      <c r="D667" s="1353"/>
    </row>
    <row r="668">
      <c r="A668" s="1353"/>
      <c r="B668" s="1353"/>
      <c r="C668" s="1353"/>
      <c r="D668" s="1353"/>
    </row>
    <row r="669">
      <c r="A669" s="1353"/>
      <c r="B669" s="1353"/>
      <c r="C669" s="1353"/>
      <c r="D669" s="1353"/>
    </row>
    <row r="670">
      <c r="A670" s="1353"/>
      <c r="B670" s="1353"/>
      <c r="C670" s="1353"/>
      <c r="D670" s="1353"/>
    </row>
    <row r="671">
      <c r="A671" s="1353"/>
      <c r="B671" s="1353"/>
      <c r="C671" s="1353"/>
      <c r="D671" s="1353"/>
    </row>
    <row r="672">
      <c r="A672" s="1353"/>
      <c r="B672" s="1353"/>
      <c r="C672" s="1353"/>
      <c r="D672" s="1353"/>
    </row>
    <row r="673">
      <c r="A673" s="1353"/>
      <c r="B673" s="1353"/>
      <c r="C673" s="1353"/>
      <c r="D673" s="1353"/>
    </row>
    <row r="674">
      <c r="A674" s="1353"/>
      <c r="B674" s="1353"/>
      <c r="C674" s="1353"/>
      <c r="D674" s="1353"/>
    </row>
    <row r="675">
      <c r="A675" s="1353"/>
      <c r="B675" s="1353"/>
      <c r="C675" s="1353"/>
      <c r="D675" s="1353"/>
    </row>
    <row r="676">
      <c r="A676" s="1353"/>
      <c r="B676" s="1353"/>
      <c r="C676" s="1353"/>
      <c r="D676" s="1353"/>
    </row>
    <row r="677">
      <c r="A677" s="1353"/>
      <c r="B677" s="1353"/>
      <c r="C677" s="1353"/>
      <c r="D677" s="1353"/>
    </row>
    <row r="678">
      <c r="A678" s="1353"/>
      <c r="B678" s="1353"/>
      <c r="C678" s="1353"/>
      <c r="D678" s="1353"/>
    </row>
    <row r="679">
      <c r="A679" s="1353"/>
      <c r="B679" s="1353"/>
      <c r="C679" s="1353"/>
      <c r="D679" s="1353"/>
    </row>
    <row r="680">
      <c r="A680" s="1353"/>
      <c r="B680" s="1353"/>
      <c r="C680" s="1353"/>
      <c r="D680" s="1353"/>
    </row>
    <row r="681">
      <c r="A681" s="1353"/>
      <c r="B681" s="1353"/>
      <c r="C681" s="1353"/>
      <c r="D681" s="1353"/>
    </row>
    <row r="682">
      <c r="A682" s="1353"/>
      <c r="B682" s="1353"/>
      <c r="C682" s="1353"/>
      <c r="D682" s="1353"/>
    </row>
    <row r="683">
      <c r="A683" s="1353"/>
      <c r="B683" s="1353"/>
      <c r="C683" s="1353"/>
      <c r="D683" s="1353"/>
    </row>
    <row r="684">
      <c r="A684" s="1353"/>
      <c r="B684" s="1353"/>
      <c r="C684" s="1353"/>
      <c r="D684" s="1353"/>
    </row>
    <row r="685">
      <c r="A685" s="1353"/>
      <c r="B685" s="1353"/>
      <c r="C685" s="1353"/>
      <c r="D685" s="1353"/>
    </row>
    <row r="686">
      <c r="A686" s="1353"/>
      <c r="B686" s="1353"/>
      <c r="C686" s="1353"/>
      <c r="D686" s="1353"/>
    </row>
    <row r="687">
      <c r="A687" s="1353"/>
      <c r="B687" s="1353"/>
      <c r="C687" s="1353"/>
      <c r="D687" s="1353"/>
    </row>
    <row r="688">
      <c r="A688" s="1353"/>
      <c r="B688" s="1353"/>
      <c r="C688" s="1353"/>
      <c r="D688" s="1353"/>
    </row>
    <row r="689">
      <c r="A689" s="1353"/>
      <c r="B689" s="1353"/>
      <c r="C689" s="1353"/>
      <c r="D689" s="1353"/>
    </row>
    <row r="690">
      <c r="A690" s="1353"/>
      <c r="B690" s="1353"/>
      <c r="C690" s="1353"/>
      <c r="D690" s="1353"/>
    </row>
    <row r="691">
      <c r="A691" s="1353"/>
      <c r="B691" s="1353"/>
      <c r="C691" s="1353"/>
      <c r="D691" s="1353"/>
    </row>
    <row r="692">
      <c r="A692" s="1353"/>
      <c r="B692" s="1353"/>
      <c r="C692" s="1353"/>
      <c r="D692" s="1353"/>
    </row>
    <row r="693">
      <c r="A693" s="1353"/>
      <c r="B693" s="1353"/>
      <c r="C693" s="1353"/>
      <c r="D693" s="1353"/>
    </row>
    <row r="694">
      <c r="A694" s="1353"/>
      <c r="B694" s="1353"/>
      <c r="C694" s="1353"/>
      <c r="D694" s="1353"/>
    </row>
    <row r="695">
      <c r="A695" s="1353"/>
      <c r="B695" s="1353"/>
      <c r="C695" s="1353"/>
      <c r="D695" s="1353"/>
    </row>
    <row r="696">
      <c r="A696" s="1353"/>
      <c r="B696" s="1353"/>
      <c r="C696" s="1353"/>
      <c r="D696" s="1353"/>
    </row>
    <row r="697">
      <c r="A697" s="1353"/>
      <c r="B697" s="1353"/>
      <c r="C697" s="1353"/>
      <c r="D697" s="1353"/>
    </row>
    <row r="698">
      <c r="A698" s="1353"/>
      <c r="B698" s="1353"/>
      <c r="C698" s="1353"/>
      <c r="D698" s="1353"/>
    </row>
    <row r="699">
      <c r="A699" s="1353"/>
      <c r="B699" s="1353"/>
      <c r="C699" s="1353"/>
      <c r="D699" s="1353"/>
    </row>
    <row r="700">
      <c r="A700" s="1353"/>
      <c r="B700" s="1353"/>
      <c r="C700" s="1353"/>
      <c r="D700" s="1353"/>
    </row>
    <row r="701">
      <c r="A701" s="1353"/>
      <c r="B701" s="1353"/>
      <c r="C701" s="1353"/>
      <c r="D701" s="1353"/>
    </row>
    <row r="702">
      <c r="A702" s="1353"/>
      <c r="B702" s="1353"/>
      <c r="C702" s="1353"/>
      <c r="D702" s="1353"/>
    </row>
    <row r="703">
      <c r="A703" s="1353"/>
      <c r="B703" s="1353"/>
      <c r="C703" s="1353"/>
      <c r="D703" s="1353"/>
    </row>
    <row r="704">
      <c r="A704" s="1353"/>
      <c r="B704" s="1353"/>
      <c r="C704" s="1353"/>
      <c r="D704" s="1353"/>
    </row>
    <row r="705">
      <c r="A705" s="1353"/>
      <c r="B705" s="1353"/>
      <c r="C705" s="1353"/>
      <c r="D705" s="1353"/>
    </row>
    <row r="706">
      <c r="A706" s="1353"/>
      <c r="B706" s="1353"/>
      <c r="C706" s="1353"/>
      <c r="D706" s="1353"/>
    </row>
    <row r="707">
      <c r="A707" s="1353"/>
      <c r="B707" s="1353"/>
      <c r="C707" s="1353"/>
      <c r="D707" s="1353"/>
    </row>
    <row r="708">
      <c r="A708" s="1353"/>
      <c r="B708" s="1353"/>
      <c r="C708" s="1353"/>
      <c r="D708" s="1353"/>
    </row>
    <row r="709">
      <c r="A709" s="1353"/>
      <c r="B709" s="1353"/>
      <c r="C709" s="1353"/>
      <c r="D709" s="1353"/>
    </row>
    <row r="710">
      <c r="A710" s="1353"/>
      <c r="B710" s="1353"/>
      <c r="C710" s="1353"/>
      <c r="D710" s="1353"/>
    </row>
    <row r="711">
      <c r="A711" s="1353"/>
      <c r="B711" s="1353"/>
      <c r="C711" s="1353"/>
      <c r="D711" s="1353"/>
    </row>
    <row r="712">
      <c r="A712" s="1353"/>
      <c r="B712" s="1353"/>
      <c r="C712" s="1353"/>
      <c r="D712" s="1353"/>
    </row>
    <row r="713">
      <c r="A713" s="1353"/>
      <c r="B713" s="1353"/>
      <c r="C713" s="1353"/>
      <c r="D713" s="1353"/>
    </row>
    <row r="714">
      <c r="A714" s="1353"/>
      <c r="B714" s="1353"/>
      <c r="C714" s="1353"/>
      <c r="D714" s="1353"/>
    </row>
    <row r="715">
      <c r="A715" s="1353"/>
      <c r="B715" s="1353"/>
      <c r="C715" s="1353"/>
      <c r="D715" s="1353"/>
    </row>
    <row r="716">
      <c r="A716" s="1353"/>
      <c r="B716" s="1353"/>
      <c r="C716" s="1353"/>
      <c r="D716" s="1353"/>
    </row>
    <row r="717">
      <c r="A717" s="1353"/>
      <c r="B717" s="1353"/>
      <c r="C717" s="1353"/>
      <c r="D717" s="1353"/>
    </row>
    <row r="718">
      <c r="A718" s="1353"/>
      <c r="B718" s="1353"/>
      <c r="C718" s="1353"/>
      <c r="D718" s="1353"/>
    </row>
    <row r="719">
      <c r="A719" s="1353"/>
      <c r="B719" s="1353"/>
      <c r="C719" s="1353"/>
      <c r="D719" s="1353"/>
    </row>
    <row r="720">
      <c r="A720" s="1353"/>
      <c r="B720" s="1353"/>
      <c r="C720" s="1353"/>
      <c r="D720" s="1353"/>
    </row>
    <row r="721">
      <c r="A721" s="1353"/>
      <c r="B721" s="1353"/>
      <c r="C721" s="1353"/>
      <c r="D721" s="1353"/>
    </row>
    <row r="722">
      <c r="A722" s="1353"/>
      <c r="B722" s="1353"/>
      <c r="C722" s="1353"/>
      <c r="D722" s="1353"/>
    </row>
    <row r="723">
      <c r="A723" s="1353"/>
      <c r="B723" s="1353"/>
      <c r="C723" s="1353"/>
      <c r="D723" s="1353"/>
    </row>
    <row r="724">
      <c r="A724" s="1353"/>
      <c r="B724" s="1353"/>
      <c r="C724" s="1353"/>
      <c r="D724" s="1353"/>
    </row>
    <row r="725">
      <c r="A725" s="1353"/>
      <c r="B725" s="1353"/>
      <c r="C725" s="1353"/>
      <c r="D725" s="1353"/>
    </row>
    <row r="726">
      <c r="A726" s="1353"/>
      <c r="B726" s="1353"/>
      <c r="C726" s="1353"/>
      <c r="D726" s="1353"/>
    </row>
    <row r="727">
      <c r="A727" s="1353"/>
      <c r="B727" s="1353"/>
      <c r="C727" s="1353"/>
      <c r="D727" s="1353"/>
    </row>
    <row r="728">
      <c r="A728" s="1353"/>
      <c r="B728" s="1353"/>
      <c r="C728" s="1353"/>
      <c r="D728" s="1353"/>
    </row>
    <row r="729">
      <c r="A729" s="1353"/>
      <c r="B729" s="1353"/>
      <c r="C729" s="1353"/>
      <c r="D729" s="1353"/>
    </row>
    <row r="730">
      <c r="A730" s="1353"/>
      <c r="B730" s="1353"/>
      <c r="C730" s="1353"/>
      <c r="D730" s="1353"/>
    </row>
    <row r="731">
      <c r="A731" s="1353"/>
      <c r="B731" s="1353"/>
      <c r="C731" s="1353"/>
      <c r="D731" s="1353"/>
    </row>
    <row r="732">
      <c r="A732" s="1353"/>
      <c r="B732" s="1353"/>
      <c r="C732" s="1353"/>
      <c r="D732" s="1353"/>
    </row>
    <row r="733">
      <c r="A733" s="1353"/>
      <c r="B733" s="1353"/>
      <c r="C733" s="1353"/>
      <c r="D733" s="1353"/>
    </row>
    <row r="734">
      <c r="A734" s="1353"/>
      <c r="B734" s="1353"/>
      <c r="C734" s="1353"/>
      <c r="D734" s="1353"/>
    </row>
    <row r="735">
      <c r="A735" s="1353"/>
      <c r="B735" s="1353"/>
      <c r="C735" s="1353"/>
      <c r="D735" s="1353"/>
    </row>
    <row r="736">
      <c r="A736" s="1353"/>
      <c r="B736" s="1353"/>
      <c r="C736" s="1353"/>
      <c r="D736" s="1353"/>
    </row>
    <row r="737">
      <c r="A737" s="1353"/>
      <c r="B737" s="1353"/>
      <c r="C737" s="1353"/>
      <c r="D737" s="1353"/>
    </row>
    <row r="738">
      <c r="A738" s="1353"/>
      <c r="B738" s="1353"/>
      <c r="C738" s="1353"/>
      <c r="D738" s="1353"/>
    </row>
    <row r="739">
      <c r="A739" s="1353"/>
      <c r="B739" s="1353"/>
      <c r="C739" s="1353"/>
      <c r="D739" s="1353"/>
    </row>
    <row r="740">
      <c r="A740" s="1353"/>
      <c r="B740" s="1353"/>
      <c r="C740" s="1353"/>
      <c r="D740" s="1353"/>
    </row>
    <row r="741">
      <c r="A741" s="1353"/>
      <c r="B741" s="1353"/>
      <c r="C741" s="1353"/>
      <c r="D741" s="1353"/>
    </row>
    <row r="742">
      <c r="A742" s="1353"/>
      <c r="B742" s="1353"/>
      <c r="C742" s="1353"/>
      <c r="D742" s="1353"/>
    </row>
    <row r="743">
      <c r="A743" s="1353"/>
      <c r="B743" s="1353"/>
      <c r="C743" s="1353"/>
      <c r="D743" s="1353"/>
    </row>
    <row r="744">
      <c r="A744" s="1353"/>
      <c r="B744" s="1353"/>
      <c r="C744" s="1353"/>
      <c r="D744" s="1353"/>
    </row>
    <row r="745">
      <c r="A745" s="1353"/>
      <c r="B745" s="1353"/>
      <c r="C745" s="1353"/>
      <c r="D745" s="1353"/>
    </row>
    <row r="746">
      <c r="A746" s="1353"/>
      <c r="B746" s="1353"/>
      <c r="C746" s="1353"/>
      <c r="D746" s="1353"/>
    </row>
    <row r="747">
      <c r="A747" s="1353"/>
      <c r="B747" s="1353"/>
      <c r="C747" s="1353"/>
      <c r="D747" s="1353"/>
    </row>
    <row r="748">
      <c r="A748" s="1353"/>
      <c r="B748" s="1353"/>
      <c r="C748" s="1353"/>
      <c r="D748" s="1353"/>
    </row>
    <row r="749">
      <c r="A749" s="1353"/>
      <c r="B749" s="1353"/>
      <c r="C749" s="1353"/>
      <c r="D749" s="1353"/>
    </row>
    <row r="750">
      <c r="A750" s="1353"/>
      <c r="B750" s="1353"/>
      <c r="C750" s="1353"/>
      <c r="D750" s="1353"/>
    </row>
    <row r="751">
      <c r="A751" s="1353"/>
      <c r="B751" s="1353"/>
      <c r="C751" s="1353"/>
      <c r="D751" s="1353"/>
    </row>
    <row r="752">
      <c r="A752" s="1353"/>
      <c r="B752" s="1353"/>
      <c r="C752" s="1353"/>
      <c r="D752" s="1353"/>
    </row>
    <row r="753">
      <c r="A753" s="1353"/>
      <c r="B753" s="1353"/>
      <c r="C753" s="1353"/>
      <c r="D753" s="1353"/>
    </row>
    <row r="754">
      <c r="A754" s="1353"/>
      <c r="B754" s="1353"/>
      <c r="C754" s="1353"/>
      <c r="D754" s="1353"/>
    </row>
    <row r="755">
      <c r="A755" s="1353"/>
      <c r="B755" s="1353"/>
      <c r="C755" s="1353"/>
      <c r="D755" s="1353"/>
    </row>
    <row r="756">
      <c r="A756" s="1353"/>
      <c r="B756" s="1353"/>
      <c r="C756" s="1353"/>
      <c r="D756" s="1353"/>
    </row>
    <row r="757">
      <c r="A757" s="1353"/>
      <c r="B757" s="1353"/>
      <c r="C757" s="1353"/>
      <c r="D757" s="1353"/>
    </row>
    <row r="758">
      <c r="A758" s="1353"/>
      <c r="B758" s="1353"/>
      <c r="C758" s="1353"/>
      <c r="D758" s="1353"/>
    </row>
    <row r="759">
      <c r="A759" s="1353"/>
      <c r="B759" s="1353"/>
      <c r="C759" s="1353"/>
      <c r="D759" s="1353"/>
    </row>
    <row r="760">
      <c r="A760" s="1353"/>
      <c r="B760" s="1353"/>
      <c r="C760" s="1353"/>
      <c r="D760" s="1353"/>
    </row>
    <row r="761">
      <c r="A761" s="1353"/>
      <c r="B761" s="1353"/>
      <c r="C761" s="1353"/>
      <c r="D761" s="1353"/>
    </row>
    <row r="762">
      <c r="A762" s="1353"/>
      <c r="B762" s="1353"/>
      <c r="C762" s="1353"/>
      <c r="D762" s="1353"/>
    </row>
    <row r="763">
      <c r="A763" s="1353"/>
      <c r="B763" s="1353"/>
      <c r="C763" s="1353"/>
      <c r="D763" s="1353"/>
    </row>
    <row r="764">
      <c r="A764" s="1353"/>
      <c r="B764" s="1353"/>
      <c r="C764" s="1353"/>
      <c r="D764" s="1353"/>
    </row>
    <row r="765">
      <c r="A765" s="1353"/>
      <c r="B765" s="1353"/>
      <c r="C765" s="1353"/>
      <c r="D765" s="1353"/>
    </row>
    <row r="766">
      <c r="A766" s="1353"/>
      <c r="B766" s="1353"/>
      <c r="C766" s="1353"/>
      <c r="D766" s="1353"/>
    </row>
    <row r="767">
      <c r="A767" s="1353"/>
      <c r="B767" s="1353"/>
      <c r="C767" s="1353"/>
      <c r="D767" s="1353"/>
    </row>
    <row r="768">
      <c r="A768" s="1353"/>
      <c r="B768" s="1353"/>
      <c r="C768" s="1353"/>
      <c r="D768" s="1353"/>
    </row>
    <row r="769">
      <c r="A769" s="1353"/>
      <c r="B769" s="1353"/>
      <c r="C769" s="1353"/>
      <c r="D769" s="1353"/>
    </row>
    <row r="770">
      <c r="A770" s="1353"/>
      <c r="B770" s="1353"/>
      <c r="C770" s="1353"/>
      <c r="D770" s="1353"/>
    </row>
    <row r="771">
      <c r="A771" s="1353"/>
      <c r="B771" s="1353"/>
      <c r="C771" s="1353"/>
      <c r="D771" s="1353"/>
    </row>
    <row r="772">
      <c r="A772" s="1353"/>
      <c r="B772" s="1353"/>
      <c r="C772" s="1353"/>
      <c r="D772" s="1353"/>
    </row>
    <row r="773">
      <c r="A773" s="1353"/>
      <c r="B773" s="1353"/>
      <c r="C773" s="1353"/>
      <c r="D773" s="1353"/>
    </row>
    <row r="774">
      <c r="A774" s="1353"/>
      <c r="B774" s="1353"/>
      <c r="C774" s="1353"/>
      <c r="D774" s="1353"/>
    </row>
    <row r="775">
      <c r="A775" s="1353"/>
      <c r="B775" s="1353"/>
      <c r="C775" s="1353"/>
      <c r="D775" s="1353"/>
    </row>
    <row r="776">
      <c r="A776" s="1353"/>
      <c r="B776" s="1353"/>
      <c r="C776" s="1353"/>
      <c r="D776" s="1353"/>
    </row>
    <row r="777">
      <c r="A777" s="1353"/>
      <c r="B777" s="1353"/>
      <c r="C777" s="1353"/>
      <c r="D777" s="1353"/>
    </row>
    <row r="778">
      <c r="A778" s="1353"/>
      <c r="B778" s="1353"/>
      <c r="C778" s="1353"/>
      <c r="D778" s="1353"/>
    </row>
    <row r="779">
      <c r="A779" s="1353"/>
      <c r="B779" s="1353"/>
      <c r="C779" s="1353"/>
      <c r="D779" s="1353"/>
    </row>
    <row r="780">
      <c r="A780" s="1353"/>
      <c r="B780" s="1353"/>
      <c r="C780" s="1353"/>
      <c r="D780" s="1353"/>
    </row>
    <row r="781">
      <c r="A781" s="1353"/>
      <c r="B781" s="1353"/>
      <c r="C781" s="1353"/>
      <c r="D781" s="1353"/>
    </row>
    <row r="782">
      <c r="A782" s="1353"/>
      <c r="B782" s="1353"/>
      <c r="C782" s="1353"/>
      <c r="D782" s="1353"/>
    </row>
    <row r="783">
      <c r="A783" s="1353"/>
      <c r="B783" s="1353"/>
      <c r="C783" s="1353"/>
      <c r="D783" s="1353"/>
    </row>
    <row r="784">
      <c r="A784" s="1353"/>
      <c r="B784" s="1353"/>
      <c r="C784" s="1353"/>
      <c r="D784" s="1353"/>
    </row>
    <row r="785">
      <c r="A785" s="1353"/>
      <c r="B785" s="1353"/>
      <c r="C785" s="1353"/>
      <c r="D785" s="1353"/>
    </row>
    <row r="786">
      <c r="A786" s="1353"/>
      <c r="B786" s="1353"/>
      <c r="C786" s="1353"/>
      <c r="D786" s="1353"/>
    </row>
    <row r="787">
      <c r="A787" s="1353"/>
      <c r="B787" s="1353"/>
      <c r="C787" s="1353"/>
      <c r="D787" s="1353"/>
    </row>
    <row r="788">
      <c r="A788" s="1353"/>
      <c r="B788" s="1353"/>
      <c r="C788" s="1353"/>
      <c r="D788" s="1353"/>
    </row>
    <row r="789">
      <c r="A789" s="1353"/>
      <c r="B789" s="1353"/>
      <c r="C789" s="1353"/>
      <c r="D789" s="1353"/>
    </row>
    <row r="790">
      <c r="A790" s="1353"/>
      <c r="B790" s="1353"/>
      <c r="C790" s="1353"/>
      <c r="D790" s="1353"/>
    </row>
    <row r="791">
      <c r="A791" s="1353"/>
      <c r="B791" s="1353"/>
      <c r="C791" s="1353"/>
      <c r="D791" s="1353"/>
    </row>
    <row r="792">
      <c r="A792" s="1353"/>
      <c r="B792" s="1353"/>
      <c r="C792" s="1353"/>
      <c r="D792" s="1353"/>
    </row>
    <row r="793">
      <c r="A793" s="1353"/>
      <c r="B793" s="1353"/>
      <c r="C793" s="1353"/>
      <c r="D793" s="1353"/>
    </row>
    <row r="794">
      <c r="A794" s="1353"/>
      <c r="B794" s="1353"/>
      <c r="C794" s="1353"/>
      <c r="D794" s="1353"/>
    </row>
    <row r="795">
      <c r="A795" s="1353"/>
      <c r="B795" s="1353"/>
      <c r="C795" s="1353"/>
      <c r="D795" s="1353"/>
    </row>
    <row r="796">
      <c r="A796" s="1353"/>
      <c r="B796" s="1353"/>
      <c r="C796" s="1353"/>
      <c r="D796" s="1353"/>
    </row>
    <row r="797">
      <c r="A797" s="1353"/>
      <c r="B797" s="1353"/>
      <c r="C797" s="1353"/>
      <c r="D797" s="1353"/>
    </row>
    <row r="798">
      <c r="A798" s="1353"/>
      <c r="B798" s="1353"/>
      <c r="C798" s="1353"/>
      <c r="D798" s="1353"/>
    </row>
    <row r="799">
      <c r="A799" s="1353"/>
      <c r="B799" s="1353"/>
      <c r="C799" s="1353"/>
      <c r="D799" s="1353"/>
    </row>
    <row r="800">
      <c r="A800" s="1353"/>
      <c r="B800" s="1353"/>
      <c r="C800" s="1353"/>
      <c r="D800" s="1353"/>
    </row>
    <row r="801">
      <c r="A801" s="1353"/>
      <c r="B801" s="1353"/>
      <c r="C801" s="1353"/>
      <c r="D801" s="1353"/>
    </row>
    <row r="802">
      <c r="A802" s="1353"/>
      <c r="B802" s="1353"/>
      <c r="C802" s="1353"/>
      <c r="D802" s="1353"/>
    </row>
    <row r="803">
      <c r="A803" s="1353"/>
      <c r="B803" s="1353"/>
      <c r="C803" s="1353"/>
      <c r="D803" s="1353"/>
    </row>
    <row r="804">
      <c r="A804" s="1353"/>
      <c r="B804" s="1353"/>
      <c r="C804" s="1353"/>
      <c r="D804" s="1353"/>
    </row>
    <row r="805">
      <c r="A805" s="1353"/>
      <c r="B805" s="1353"/>
      <c r="C805" s="1353"/>
      <c r="D805" s="1353"/>
    </row>
    <row r="806">
      <c r="A806" s="1353"/>
      <c r="B806" s="1353"/>
      <c r="C806" s="1353"/>
      <c r="D806" s="1353"/>
    </row>
    <row r="807">
      <c r="A807" s="1353"/>
      <c r="B807" s="1353"/>
      <c r="C807" s="1353"/>
      <c r="D807" s="1353"/>
    </row>
    <row r="808">
      <c r="A808" s="1353"/>
      <c r="B808" s="1353"/>
      <c r="C808" s="1353"/>
      <c r="D808" s="1353"/>
    </row>
    <row r="809">
      <c r="A809" s="1353"/>
      <c r="B809" s="1353"/>
      <c r="C809" s="1353"/>
      <c r="D809" s="1353"/>
    </row>
    <row r="810">
      <c r="A810" s="1353"/>
      <c r="B810" s="1353"/>
      <c r="C810" s="1353"/>
      <c r="D810" s="1353"/>
    </row>
    <row r="811">
      <c r="A811" s="1353"/>
      <c r="B811" s="1353"/>
      <c r="C811" s="1353"/>
      <c r="D811" s="1353"/>
    </row>
    <row r="812">
      <c r="A812" s="1353"/>
      <c r="B812" s="1353"/>
      <c r="C812" s="1353"/>
      <c r="D812" s="1353"/>
    </row>
    <row r="813">
      <c r="A813" s="1353"/>
      <c r="B813" s="1353"/>
      <c r="C813" s="1353"/>
      <c r="D813" s="1353"/>
    </row>
    <row r="814">
      <c r="A814" s="1353"/>
      <c r="B814" s="1353"/>
      <c r="C814" s="1353"/>
      <c r="D814" s="1353"/>
    </row>
    <row r="815">
      <c r="A815" s="1353"/>
      <c r="B815" s="1353"/>
      <c r="C815" s="1353"/>
      <c r="D815" s="1353"/>
    </row>
    <row r="816">
      <c r="A816" s="1353"/>
      <c r="B816" s="1353"/>
      <c r="C816" s="1353"/>
      <c r="D816" s="1353"/>
    </row>
    <row r="817">
      <c r="A817" s="1353"/>
      <c r="B817" s="1353"/>
      <c r="C817" s="1353"/>
      <c r="D817" s="1353"/>
    </row>
    <row r="818">
      <c r="A818" s="1353"/>
      <c r="B818" s="1353"/>
      <c r="C818" s="1353"/>
      <c r="D818" s="1353"/>
    </row>
    <row r="819">
      <c r="A819" s="1353"/>
      <c r="B819" s="1353"/>
      <c r="C819" s="1353"/>
      <c r="D819" s="1353"/>
    </row>
    <row r="820">
      <c r="A820" s="1353"/>
      <c r="B820" s="1353"/>
      <c r="C820" s="1353"/>
      <c r="D820" s="1353"/>
    </row>
    <row r="821">
      <c r="A821" s="1353"/>
      <c r="B821" s="1353"/>
      <c r="C821" s="1353"/>
      <c r="D821" s="1353"/>
    </row>
    <row r="822">
      <c r="A822" s="1353"/>
      <c r="B822" s="1353"/>
      <c r="C822" s="1353"/>
      <c r="D822" s="1353"/>
    </row>
    <row r="823">
      <c r="A823" s="1353"/>
      <c r="B823" s="1353"/>
      <c r="C823" s="1353"/>
      <c r="D823" s="1353"/>
    </row>
    <row r="824">
      <c r="A824" s="1353"/>
      <c r="B824" s="1353"/>
      <c r="C824" s="1353"/>
      <c r="D824" s="1353"/>
    </row>
    <row r="825">
      <c r="A825" s="1353"/>
      <c r="B825" s="1353"/>
      <c r="C825" s="1353"/>
      <c r="D825" s="1353"/>
    </row>
    <row r="826">
      <c r="A826" s="1353"/>
      <c r="B826" s="1353"/>
      <c r="C826" s="1353"/>
      <c r="D826" s="1353"/>
    </row>
    <row r="827">
      <c r="A827" s="1353"/>
      <c r="B827" s="1353"/>
      <c r="C827" s="1353"/>
      <c r="D827" s="1353"/>
    </row>
    <row r="828">
      <c r="A828" s="1353"/>
      <c r="B828" s="1353"/>
      <c r="C828" s="1353"/>
      <c r="D828" s="1353"/>
    </row>
    <row r="829">
      <c r="A829" s="1353"/>
      <c r="B829" s="1353"/>
      <c r="C829" s="1353"/>
      <c r="D829" s="1353"/>
    </row>
    <row r="830">
      <c r="A830" s="1353"/>
      <c r="B830" s="1353"/>
      <c r="C830" s="1353"/>
      <c r="D830" s="1353"/>
    </row>
    <row r="831">
      <c r="A831" s="1353"/>
      <c r="B831" s="1353"/>
      <c r="C831" s="1353"/>
      <c r="D831" s="1353"/>
    </row>
    <row r="832">
      <c r="A832" s="1353"/>
      <c r="B832" s="1353"/>
      <c r="C832" s="1353"/>
      <c r="D832" s="1353"/>
    </row>
    <row r="833">
      <c r="A833" s="1353"/>
      <c r="B833" s="1353"/>
      <c r="C833" s="1353"/>
      <c r="D833" s="1353"/>
    </row>
    <row r="834">
      <c r="A834" s="1353"/>
      <c r="B834" s="1353"/>
      <c r="C834" s="1353"/>
      <c r="D834" s="1353"/>
    </row>
    <row r="835">
      <c r="A835" s="1353"/>
      <c r="B835" s="1353"/>
      <c r="C835" s="1353"/>
      <c r="D835" s="1353"/>
    </row>
    <row r="836">
      <c r="A836" s="1353"/>
      <c r="B836" s="1353"/>
      <c r="C836" s="1353"/>
      <c r="D836" s="1353"/>
    </row>
    <row r="837">
      <c r="A837" s="1353"/>
      <c r="B837" s="1353"/>
      <c r="C837" s="1353"/>
      <c r="D837" s="1353"/>
    </row>
    <row r="838">
      <c r="A838" s="1353"/>
      <c r="B838" s="1353"/>
      <c r="C838" s="1353"/>
      <c r="D838" s="1353"/>
    </row>
    <row r="839">
      <c r="A839" s="1353"/>
      <c r="B839" s="1353"/>
      <c r="C839" s="1353"/>
      <c r="D839" s="1353"/>
    </row>
    <row r="840">
      <c r="A840" s="1353"/>
      <c r="B840" s="1353"/>
      <c r="C840" s="1353"/>
      <c r="D840" s="1353"/>
    </row>
    <row r="841">
      <c r="A841" s="1353"/>
      <c r="B841" s="1353"/>
      <c r="C841" s="1353"/>
      <c r="D841" s="1353"/>
    </row>
    <row r="842">
      <c r="A842" s="1353"/>
      <c r="B842" s="1353"/>
      <c r="C842" s="1353"/>
      <c r="D842" s="1353"/>
    </row>
    <row r="843">
      <c r="A843" s="1353"/>
      <c r="B843" s="1353"/>
      <c r="C843" s="1353"/>
      <c r="D843" s="1353"/>
    </row>
    <row r="844">
      <c r="A844" s="1353"/>
      <c r="B844" s="1353"/>
      <c r="C844" s="1353"/>
      <c r="D844" s="1353"/>
    </row>
    <row r="845">
      <c r="A845" s="1353"/>
      <c r="B845" s="1353"/>
      <c r="C845" s="1353"/>
      <c r="D845" s="1353"/>
    </row>
    <row r="846">
      <c r="A846" s="1353"/>
      <c r="B846" s="1353"/>
      <c r="C846" s="1353"/>
      <c r="D846" s="1353"/>
    </row>
    <row r="847">
      <c r="A847" s="1353"/>
      <c r="B847" s="1353"/>
      <c r="C847" s="1353"/>
      <c r="D847" s="1353"/>
    </row>
    <row r="848">
      <c r="A848" s="1353"/>
      <c r="B848" s="1353"/>
      <c r="C848" s="1353"/>
      <c r="D848" s="1353"/>
    </row>
    <row r="849">
      <c r="A849" s="1353"/>
      <c r="B849" s="1353"/>
      <c r="C849" s="1353"/>
      <c r="D849" s="1353"/>
    </row>
    <row r="850">
      <c r="A850" s="1353"/>
      <c r="B850" s="1353"/>
      <c r="C850" s="1353"/>
      <c r="D850" s="1353"/>
    </row>
    <row r="851">
      <c r="A851" s="1353"/>
      <c r="B851" s="1353"/>
      <c r="C851" s="1353"/>
      <c r="D851" s="1353"/>
    </row>
    <row r="852">
      <c r="A852" s="1353"/>
      <c r="B852" s="1353"/>
      <c r="C852" s="1353"/>
      <c r="D852" s="1353"/>
    </row>
    <row r="853">
      <c r="A853" s="1353"/>
      <c r="B853" s="1353"/>
      <c r="C853" s="1353"/>
      <c r="D853" s="1353"/>
    </row>
    <row r="854">
      <c r="A854" s="1353"/>
      <c r="B854" s="1353"/>
      <c r="C854" s="1353"/>
      <c r="D854" s="1353"/>
    </row>
    <row r="855">
      <c r="A855" s="1353"/>
      <c r="B855" s="1353"/>
      <c r="C855" s="1353"/>
      <c r="D855" s="1353"/>
    </row>
    <row r="856">
      <c r="A856" s="1353"/>
      <c r="B856" s="1353"/>
      <c r="C856" s="1353"/>
      <c r="D856" s="1353"/>
    </row>
    <row r="857">
      <c r="A857" s="1353"/>
      <c r="B857" s="1353"/>
      <c r="C857" s="1353"/>
      <c r="D857" s="1353"/>
    </row>
    <row r="858">
      <c r="A858" s="1353"/>
      <c r="B858" s="1353"/>
      <c r="C858" s="1353"/>
      <c r="D858" s="1353"/>
    </row>
    <row r="859">
      <c r="A859" s="1353"/>
      <c r="B859" s="1353"/>
      <c r="C859" s="1353"/>
      <c r="D859" s="1353"/>
    </row>
    <row r="860">
      <c r="A860" s="1353"/>
      <c r="B860" s="1353"/>
      <c r="C860" s="1353"/>
      <c r="D860" s="1353"/>
    </row>
    <row r="861">
      <c r="A861" s="1353"/>
      <c r="B861" s="1353"/>
      <c r="C861" s="1353"/>
      <c r="D861" s="1353"/>
    </row>
    <row r="862">
      <c r="A862" s="1353"/>
      <c r="B862" s="1353"/>
      <c r="C862" s="1353"/>
      <c r="D862" s="1353"/>
    </row>
    <row r="863">
      <c r="A863" s="1353"/>
      <c r="B863" s="1353"/>
      <c r="C863" s="1353"/>
      <c r="D863" s="1353"/>
    </row>
    <row r="864">
      <c r="A864" s="1353"/>
      <c r="B864" s="1353"/>
      <c r="C864" s="1353"/>
      <c r="D864" s="1353"/>
    </row>
    <row r="865">
      <c r="A865" s="1353"/>
      <c r="B865" s="1353"/>
      <c r="C865" s="1353"/>
      <c r="D865" s="1353"/>
    </row>
    <row r="866">
      <c r="A866" s="1353"/>
      <c r="B866" s="1353"/>
      <c r="C866" s="1353"/>
      <c r="D866" s="1353"/>
    </row>
    <row r="867">
      <c r="A867" s="1353"/>
      <c r="B867" s="1353"/>
      <c r="C867" s="1353"/>
      <c r="D867" s="1353"/>
    </row>
    <row r="868">
      <c r="A868" s="1353"/>
      <c r="B868" s="1353"/>
      <c r="C868" s="1353"/>
      <c r="D868" s="1353"/>
    </row>
    <row r="869">
      <c r="A869" s="1353"/>
      <c r="B869" s="1353"/>
      <c r="C869" s="1353"/>
      <c r="D869" s="1353"/>
    </row>
    <row r="870">
      <c r="A870" s="1353"/>
      <c r="B870" s="1353"/>
      <c r="C870" s="1353"/>
      <c r="D870" s="1353"/>
    </row>
    <row r="871">
      <c r="A871" s="1353"/>
      <c r="B871" s="1353"/>
      <c r="C871" s="1353"/>
      <c r="D871" s="1353"/>
    </row>
    <row r="872">
      <c r="A872" s="1353"/>
      <c r="B872" s="1353"/>
      <c r="C872" s="1353"/>
      <c r="D872" s="1353"/>
    </row>
    <row r="873">
      <c r="A873" s="1353"/>
      <c r="B873" s="1353"/>
      <c r="C873" s="1353"/>
      <c r="D873" s="1353"/>
    </row>
    <row r="874">
      <c r="A874" s="1353"/>
      <c r="B874" s="1353"/>
      <c r="C874" s="1353"/>
      <c r="D874" s="1353"/>
    </row>
    <row r="875">
      <c r="A875" s="1353"/>
      <c r="B875" s="1353"/>
      <c r="C875" s="1353"/>
      <c r="D875" s="1353"/>
    </row>
    <row r="876">
      <c r="A876" s="1353"/>
      <c r="B876" s="1353"/>
      <c r="C876" s="1353"/>
      <c r="D876" s="1353"/>
    </row>
    <row r="877">
      <c r="A877" s="1353"/>
      <c r="B877" s="1353"/>
      <c r="C877" s="1353"/>
      <c r="D877" s="1353"/>
    </row>
    <row r="878">
      <c r="A878" s="1353"/>
      <c r="B878" s="1353"/>
      <c r="C878" s="1353"/>
      <c r="D878" s="1353"/>
    </row>
    <row r="879">
      <c r="A879" s="1353"/>
      <c r="B879" s="1353"/>
      <c r="C879" s="1353"/>
      <c r="D879" s="1353"/>
    </row>
    <row r="880">
      <c r="A880" s="1353"/>
      <c r="B880" s="1353"/>
      <c r="C880" s="1353"/>
      <c r="D880" s="1353"/>
    </row>
    <row r="881">
      <c r="A881" s="1353"/>
      <c r="B881" s="1353"/>
      <c r="C881" s="1353"/>
      <c r="D881" s="1353"/>
    </row>
    <row r="882">
      <c r="A882" s="1353"/>
      <c r="B882" s="1353"/>
      <c r="C882" s="1353"/>
      <c r="D882" s="1353"/>
    </row>
    <row r="883">
      <c r="A883" s="1353"/>
      <c r="B883" s="1353"/>
      <c r="C883" s="1353"/>
      <c r="D883" s="1353"/>
    </row>
    <row r="884">
      <c r="A884" s="1353"/>
      <c r="B884" s="1353"/>
      <c r="C884" s="1353"/>
      <c r="D884" s="1353"/>
    </row>
    <row r="885">
      <c r="A885" s="1353"/>
      <c r="B885" s="1353"/>
      <c r="C885" s="1353"/>
      <c r="D885" s="1353"/>
    </row>
    <row r="886">
      <c r="A886" s="1353"/>
      <c r="B886" s="1353"/>
      <c r="C886" s="1353"/>
      <c r="D886" s="1353"/>
    </row>
    <row r="887">
      <c r="A887" s="1353"/>
      <c r="B887" s="1353"/>
      <c r="C887" s="1353"/>
      <c r="D887" s="1353"/>
    </row>
    <row r="888">
      <c r="A888" s="1353"/>
      <c r="B888" s="1353"/>
      <c r="C888" s="1353"/>
      <c r="D888" s="1353"/>
    </row>
    <row r="889">
      <c r="A889" s="1353"/>
      <c r="B889" s="1353"/>
      <c r="C889" s="1353"/>
      <c r="D889" s="1353"/>
    </row>
    <row r="890">
      <c r="A890" s="1353"/>
      <c r="B890" s="1353"/>
      <c r="C890" s="1353"/>
      <c r="D890" s="1353"/>
    </row>
    <row r="891">
      <c r="A891" s="1353"/>
      <c r="B891" s="1353"/>
      <c r="C891" s="1353"/>
      <c r="D891" s="1353"/>
    </row>
    <row r="892">
      <c r="A892" s="1353"/>
      <c r="B892" s="1353"/>
      <c r="C892" s="1353"/>
      <c r="D892" s="1353"/>
    </row>
    <row r="893">
      <c r="A893" s="1353"/>
      <c r="B893" s="1353"/>
      <c r="C893" s="1353"/>
      <c r="D893" s="1353"/>
    </row>
    <row r="894">
      <c r="A894" s="1353"/>
      <c r="B894" s="1353"/>
      <c r="C894" s="1353"/>
      <c r="D894" s="1353"/>
    </row>
    <row r="895">
      <c r="A895" s="1353"/>
      <c r="B895" s="1353"/>
      <c r="C895" s="1353"/>
      <c r="D895" s="1353"/>
    </row>
    <row r="896">
      <c r="A896" s="1353"/>
      <c r="B896" s="1353"/>
      <c r="C896" s="1353"/>
      <c r="D896" s="1353"/>
    </row>
    <row r="897">
      <c r="A897" s="1353"/>
      <c r="B897" s="1353"/>
      <c r="C897" s="1353"/>
      <c r="D897" s="1353"/>
    </row>
    <row r="898">
      <c r="A898" s="1353"/>
      <c r="B898" s="1353"/>
      <c r="C898" s="1353"/>
      <c r="D898" s="1353"/>
    </row>
    <row r="899">
      <c r="A899" s="1353"/>
      <c r="B899" s="1353"/>
      <c r="C899" s="1353"/>
      <c r="D899" s="1353"/>
    </row>
    <row r="900">
      <c r="A900" s="1353"/>
      <c r="B900" s="1353"/>
      <c r="C900" s="1353"/>
      <c r="D900" s="1353"/>
    </row>
    <row r="901">
      <c r="A901" s="1353"/>
      <c r="B901" s="1353"/>
      <c r="C901" s="1353"/>
      <c r="D901" s="1353"/>
    </row>
    <row r="902">
      <c r="A902" s="1353"/>
      <c r="B902" s="1353"/>
      <c r="C902" s="1353"/>
      <c r="D902" s="1353"/>
    </row>
    <row r="903">
      <c r="A903" s="1353"/>
      <c r="B903" s="1353"/>
      <c r="C903" s="1353"/>
      <c r="D903" s="1353"/>
    </row>
    <row r="904">
      <c r="A904" s="1353"/>
      <c r="B904" s="1353"/>
      <c r="C904" s="1353"/>
      <c r="D904" s="1353"/>
    </row>
    <row r="905">
      <c r="A905" s="1353"/>
      <c r="B905" s="1353"/>
      <c r="C905" s="1353"/>
      <c r="D905" s="1353"/>
    </row>
    <row r="906">
      <c r="A906" s="1353"/>
      <c r="B906" s="1353"/>
      <c r="C906" s="1353"/>
      <c r="D906" s="1353"/>
    </row>
    <row r="907">
      <c r="A907" s="1353"/>
      <c r="B907" s="1353"/>
      <c r="C907" s="1353"/>
      <c r="D907" s="1353"/>
    </row>
    <row r="908">
      <c r="A908" s="1353"/>
      <c r="B908" s="1353"/>
      <c r="C908" s="1353"/>
      <c r="D908" s="1353"/>
    </row>
    <row r="909">
      <c r="A909" s="1353"/>
      <c r="B909" s="1353"/>
      <c r="C909" s="1353"/>
      <c r="D909" s="1353"/>
    </row>
    <row r="910">
      <c r="A910" s="1353"/>
      <c r="B910" s="1353"/>
      <c r="C910" s="1353"/>
      <c r="D910" s="1353"/>
    </row>
    <row r="911">
      <c r="A911" s="1353"/>
      <c r="B911" s="1353"/>
      <c r="C911" s="1353"/>
      <c r="D911" s="1353"/>
    </row>
    <row r="912">
      <c r="A912" s="1353"/>
      <c r="B912" s="1353"/>
      <c r="C912" s="1353"/>
      <c r="D912" s="1353"/>
    </row>
    <row r="913">
      <c r="A913" s="1353"/>
      <c r="B913" s="1353"/>
      <c r="C913" s="1353"/>
      <c r="D913" s="1353"/>
    </row>
    <row r="914">
      <c r="A914" s="1353"/>
      <c r="B914" s="1353"/>
      <c r="C914" s="1353"/>
      <c r="D914" s="1353"/>
    </row>
    <row r="915">
      <c r="A915" s="1353"/>
      <c r="B915" s="1353"/>
      <c r="C915" s="1353"/>
      <c r="D915" s="1353"/>
    </row>
    <row r="916">
      <c r="A916" s="1353"/>
      <c r="B916" s="1353"/>
      <c r="C916" s="1353"/>
      <c r="D916" s="1353"/>
    </row>
    <row r="917">
      <c r="A917" s="1353"/>
      <c r="B917" s="1353"/>
      <c r="C917" s="1353"/>
      <c r="D917" s="1353"/>
    </row>
    <row r="918">
      <c r="A918" s="1353"/>
      <c r="B918" s="1353"/>
      <c r="C918" s="1353"/>
      <c r="D918" s="1353"/>
    </row>
    <row r="919">
      <c r="A919" s="1353"/>
      <c r="B919" s="1353"/>
      <c r="C919" s="1353"/>
      <c r="D919" s="1353"/>
    </row>
    <row r="920">
      <c r="A920" s="1353"/>
      <c r="B920" s="1353"/>
      <c r="C920" s="1353"/>
      <c r="D920" s="1353"/>
    </row>
    <row r="921">
      <c r="A921" s="1353"/>
      <c r="B921" s="1353"/>
      <c r="C921" s="1353"/>
      <c r="D921" s="1353"/>
    </row>
    <row r="922">
      <c r="A922" s="1353"/>
      <c r="B922" s="1353"/>
      <c r="C922" s="1353"/>
      <c r="D922" s="1353"/>
    </row>
    <row r="923">
      <c r="A923" s="1353"/>
      <c r="B923" s="1353"/>
      <c r="C923" s="1353"/>
      <c r="D923" s="1353"/>
    </row>
    <row r="924">
      <c r="A924" s="1353"/>
      <c r="B924" s="1353"/>
      <c r="C924" s="1353"/>
      <c r="D924" s="1353"/>
    </row>
    <row r="925">
      <c r="A925" s="1353"/>
      <c r="B925" s="1353"/>
      <c r="C925" s="1353"/>
      <c r="D925" s="1353"/>
    </row>
    <row r="926">
      <c r="A926" s="1353"/>
      <c r="B926" s="1353"/>
      <c r="C926" s="1353"/>
      <c r="D926" s="1353"/>
    </row>
    <row r="927">
      <c r="A927" s="1353"/>
      <c r="B927" s="1353"/>
      <c r="C927" s="1353"/>
      <c r="D927" s="1353"/>
    </row>
    <row r="928">
      <c r="A928" s="1353"/>
      <c r="B928" s="1353"/>
      <c r="C928" s="1353"/>
      <c r="D928" s="1353"/>
    </row>
    <row r="929">
      <c r="A929" s="1353"/>
      <c r="B929" s="1353"/>
      <c r="C929" s="1353"/>
      <c r="D929" s="1353"/>
    </row>
    <row r="930">
      <c r="A930" s="1353"/>
      <c r="B930" s="1353"/>
      <c r="C930" s="1353"/>
      <c r="D930" s="1353"/>
    </row>
    <row r="931">
      <c r="A931" s="1353"/>
      <c r="B931" s="1353"/>
      <c r="C931" s="1353"/>
      <c r="D931" s="1353"/>
    </row>
    <row r="932">
      <c r="A932" s="1353"/>
      <c r="B932" s="1353"/>
      <c r="C932" s="1353"/>
      <c r="D932" s="1353"/>
    </row>
    <row r="933">
      <c r="A933" s="1353"/>
      <c r="B933" s="1353"/>
      <c r="C933" s="1353"/>
      <c r="D933" s="1353"/>
    </row>
    <row r="934">
      <c r="A934" s="1353"/>
      <c r="B934" s="1353"/>
      <c r="C934" s="1353"/>
      <c r="D934" s="1353"/>
    </row>
    <row r="935">
      <c r="A935" s="1353"/>
      <c r="B935" s="1353"/>
      <c r="C935" s="1353"/>
      <c r="D935" s="1353"/>
    </row>
    <row r="936">
      <c r="A936" s="1353"/>
      <c r="B936" s="1353"/>
      <c r="C936" s="1353"/>
      <c r="D936" s="1353"/>
    </row>
    <row r="937">
      <c r="A937" s="1353"/>
      <c r="B937" s="1353"/>
      <c r="C937" s="1353"/>
      <c r="D937" s="1353"/>
    </row>
    <row r="938">
      <c r="A938" s="1353"/>
      <c r="B938" s="1353"/>
      <c r="C938" s="1353"/>
      <c r="D938" s="1353"/>
    </row>
    <row r="939">
      <c r="A939" s="1353"/>
      <c r="B939" s="1353"/>
      <c r="C939" s="1353"/>
      <c r="D939" s="1353"/>
    </row>
    <row r="940">
      <c r="A940" s="1353"/>
      <c r="B940" s="1353"/>
      <c r="C940" s="1353"/>
      <c r="D940" s="1353"/>
    </row>
    <row r="941">
      <c r="A941" s="1353"/>
      <c r="B941" s="1353"/>
      <c r="C941" s="1353"/>
      <c r="D941" s="1353"/>
    </row>
    <row r="942">
      <c r="A942" s="1353"/>
      <c r="B942" s="1353"/>
      <c r="C942" s="1353"/>
      <c r="D942" s="1353"/>
    </row>
    <row r="943">
      <c r="A943" s="1353"/>
      <c r="B943" s="1353"/>
      <c r="C943" s="1353"/>
      <c r="D943" s="1353"/>
    </row>
    <row r="944">
      <c r="A944" s="1353"/>
      <c r="B944" s="1353"/>
      <c r="C944" s="1353"/>
      <c r="D944" s="1353"/>
    </row>
    <row r="945">
      <c r="A945" s="1353"/>
      <c r="B945" s="1353"/>
      <c r="C945" s="1353"/>
      <c r="D945" s="1353"/>
    </row>
    <row r="946">
      <c r="A946" s="1353"/>
      <c r="B946" s="1353"/>
      <c r="C946" s="1353"/>
      <c r="D946" s="1353"/>
    </row>
    <row r="947">
      <c r="A947" s="1353"/>
      <c r="B947" s="1353"/>
      <c r="C947" s="1353"/>
      <c r="D947" s="1353"/>
    </row>
    <row r="948">
      <c r="A948" s="1353"/>
      <c r="B948" s="1353"/>
      <c r="C948" s="1353"/>
      <c r="D948" s="1353"/>
    </row>
    <row r="949">
      <c r="A949" s="1353"/>
      <c r="B949" s="1353"/>
      <c r="C949" s="1353"/>
      <c r="D949" s="1353"/>
    </row>
    <row r="950">
      <c r="A950" s="1353"/>
      <c r="B950" s="1353"/>
      <c r="C950" s="1353"/>
      <c r="D950" s="1353"/>
    </row>
    <row r="951">
      <c r="A951" s="1353"/>
      <c r="B951" s="1353"/>
      <c r="C951" s="1353"/>
      <c r="D951" s="1353"/>
    </row>
    <row r="952">
      <c r="A952" s="1353"/>
      <c r="B952" s="1353"/>
      <c r="C952" s="1353"/>
      <c r="D952" s="1353"/>
    </row>
    <row r="953">
      <c r="A953" s="1353"/>
      <c r="B953" s="1353"/>
      <c r="C953" s="1353"/>
      <c r="D953" s="1353"/>
    </row>
    <row r="954">
      <c r="A954" s="1353"/>
      <c r="B954" s="1353"/>
      <c r="C954" s="1353"/>
      <c r="D954" s="1353"/>
    </row>
    <row r="955">
      <c r="A955" s="1353"/>
      <c r="B955" s="1353"/>
      <c r="C955" s="1353"/>
      <c r="D955" s="1353"/>
    </row>
    <row r="956">
      <c r="A956" s="1353"/>
      <c r="B956" s="1353"/>
      <c r="C956" s="1353"/>
      <c r="D956" s="1353"/>
    </row>
    <row r="957">
      <c r="A957" s="1353"/>
      <c r="B957" s="1353"/>
      <c r="C957" s="1353"/>
      <c r="D957" s="1353"/>
    </row>
    <row r="958">
      <c r="A958" s="1353"/>
      <c r="B958" s="1353"/>
      <c r="C958" s="1353"/>
      <c r="D958" s="1353"/>
    </row>
    <row r="959">
      <c r="A959" s="1353"/>
      <c r="B959" s="1353"/>
      <c r="C959" s="1353"/>
      <c r="D959" s="1353"/>
    </row>
    <row r="960">
      <c r="A960" s="1353"/>
      <c r="B960" s="1353"/>
      <c r="C960" s="1353"/>
      <c r="D960" s="1353"/>
    </row>
    <row r="961">
      <c r="A961" s="1353"/>
      <c r="B961" s="1353"/>
      <c r="C961" s="1353"/>
      <c r="D961" s="1353"/>
    </row>
    <row r="962">
      <c r="A962" s="1353"/>
      <c r="B962" s="1353"/>
      <c r="C962" s="1353"/>
      <c r="D962" s="1353"/>
    </row>
    <row r="963">
      <c r="A963" s="1353"/>
      <c r="B963" s="1353"/>
      <c r="C963" s="1353"/>
      <c r="D963" s="1353"/>
    </row>
    <row r="964">
      <c r="A964" s="1353"/>
      <c r="B964" s="1353"/>
      <c r="C964" s="1353"/>
      <c r="D964" s="1353"/>
    </row>
    <row r="965">
      <c r="A965" s="1353"/>
      <c r="B965" s="1353"/>
      <c r="C965" s="1353"/>
      <c r="D965" s="1353"/>
    </row>
    <row r="966">
      <c r="A966" s="1353"/>
      <c r="B966" s="1353"/>
      <c r="C966" s="1353"/>
      <c r="D966" s="1353"/>
    </row>
    <row r="967">
      <c r="A967" s="1353"/>
      <c r="B967" s="1353"/>
      <c r="C967" s="1353"/>
      <c r="D967" s="1353"/>
    </row>
    <row r="968">
      <c r="A968" s="1353"/>
      <c r="B968" s="1353"/>
      <c r="C968" s="1353"/>
      <c r="D968" s="1353"/>
    </row>
    <row r="969">
      <c r="A969" s="1353"/>
      <c r="B969" s="1353"/>
      <c r="C969" s="1353"/>
      <c r="D969" s="1353"/>
    </row>
    <row r="970">
      <c r="A970" s="1353"/>
      <c r="B970" s="1353"/>
      <c r="C970" s="1353"/>
      <c r="D970" s="1353"/>
    </row>
    <row r="971">
      <c r="A971" s="1353"/>
      <c r="B971" s="1353"/>
      <c r="C971" s="1353"/>
      <c r="D971" s="1353"/>
    </row>
    <row r="972">
      <c r="A972" s="1353"/>
      <c r="B972" s="1353"/>
      <c r="C972" s="1353"/>
      <c r="D972" s="1353"/>
    </row>
    <row r="973">
      <c r="A973" s="1353"/>
      <c r="B973" s="1353"/>
      <c r="C973" s="1353"/>
      <c r="D973" s="1353"/>
    </row>
    <row r="974">
      <c r="A974" s="1353"/>
      <c r="B974" s="1353"/>
      <c r="C974" s="1353"/>
      <c r="D974" s="1353"/>
    </row>
    <row r="975">
      <c r="A975" s="1353"/>
      <c r="B975" s="1353"/>
      <c r="C975" s="1353"/>
      <c r="D975" s="1353"/>
    </row>
    <row r="976">
      <c r="A976" s="1353"/>
      <c r="B976" s="1353"/>
      <c r="C976" s="1353"/>
      <c r="D976" s="1353"/>
    </row>
    <row r="977">
      <c r="A977" s="1353"/>
      <c r="B977" s="1353"/>
      <c r="C977" s="1353"/>
      <c r="D977" s="1353"/>
    </row>
    <row r="978">
      <c r="A978" s="1353"/>
      <c r="B978" s="1353"/>
      <c r="C978" s="1353"/>
      <c r="D978" s="1353"/>
    </row>
    <row r="979">
      <c r="A979" s="1353"/>
      <c r="B979" s="1353"/>
      <c r="C979" s="1353"/>
      <c r="D979" s="1353"/>
    </row>
    <row r="980">
      <c r="A980" s="1353"/>
      <c r="B980" s="1353"/>
      <c r="C980" s="1353"/>
      <c r="D980" s="1353"/>
    </row>
    <row r="981">
      <c r="A981" s="1353"/>
      <c r="B981" s="1353"/>
      <c r="C981" s="1353"/>
      <c r="D981" s="1353"/>
    </row>
    <row r="982">
      <c r="A982" s="1353"/>
      <c r="B982" s="1353"/>
      <c r="C982" s="1353"/>
      <c r="D982" s="1353"/>
    </row>
    <row r="983">
      <c r="A983" s="1353"/>
      <c r="B983" s="1353"/>
      <c r="C983" s="1353"/>
      <c r="D983" s="1353"/>
    </row>
    <row r="984">
      <c r="A984" s="1353"/>
      <c r="B984" s="1353"/>
      <c r="C984" s="1353"/>
      <c r="D984" s="1353"/>
    </row>
    <row r="985">
      <c r="A985" s="1353"/>
      <c r="B985" s="1353"/>
      <c r="C985" s="1353"/>
      <c r="D985" s="1353"/>
    </row>
    <row r="986">
      <c r="A986" s="1353"/>
      <c r="B986" s="1353"/>
      <c r="C986" s="1353"/>
      <c r="D986" s="1353"/>
    </row>
    <row r="987">
      <c r="A987" s="1353"/>
      <c r="B987" s="1353"/>
      <c r="C987" s="1353"/>
      <c r="D987" s="1353"/>
    </row>
    <row r="988">
      <c r="A988" s="1353"/>
      <c r="B988" s="1353"/>
      <c r="C988" s="1353"/>
      <c r="D988" s="1353"/>
    </row>
    <row r="989">
      <c r="A989" s="1353"/>
      <c r="B989" s="1353"/>
      <c r="C989" s="1353"/>
      <c r="D989" s="1353"/>
    </row>
    <row r="990">
      <c r="A990" s="1353"/>
      <c r="B990" s="1353"/>
      <c r="C990" s="1353"/>
      <c r="D990" s="1353"/>
    </row>
    <row r="991">
      <c r="A991" s="1353"/>
      <c r="B991" s="1353"/>
      <c r="C991" s="1353"/>
      <c r="D991" s="1353"/>
    </row>
    <row r="992">
      <c r="A992" s="1353"/>
      <c r="B992" s="1353"/>
      <c r="C992" s="1353"/>
      <c r="D992" s="1353"/>
    </row>
    <row r="993">
      <c r="A993" s="1353"/>
      <c r="B993" s="1353"/>
      <c r="C993" s="1353"/>
      <c r="D993" s="1353"/>
    </row>
    <row r="994">
      <c r="A994" s="1353"/>
      <c r="B994" s="1353"/>
      <c r="C994" s="1353"/>
      <c r="D994" s="1353"/>
    </row>
    <row r="995">
      <c r="A995" s="1353"/>
      <c r="B995" s="1353"/>
      <c r="C995" s="1353"/>
      <c r="D995" s="1353"/>
    </row>
    <row r="996">
      <c r="A996" s="1353"/>
      <c r="B996" s="1353"/>
      <c r="C996" s="1353"/>
      <c r="D996" s="1353"/>
    </row>
    <row r="997">
      <c r="A997" s="1353"/>
      <c r="B997" s="1353"/>
      <c r="C997" s="1353"/>
      <c r="D997" s="1353"/>
    </row>
    <row r="998">
      <c r="A998" s="1353"/>
      <c r="B998" s="1353"/>
      <c r="C998" s="1353"/>
      <c r="D998" s="1353"/>
    </row>
    <row r="999">
      <c r="A999" s="1353"/>
      <c r="B999" s="1353"/>
      <c r="C999" s="1353"/>
      <c r="D999" s="1353"/>
    </row>
    <row r="1000">
      <c r="A1000" s="1353"/>
      <c r="B1000" s="1353"/>
      <c r="C1000" s="1353"/>
      <c r="D1000" s="135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showGridLines="0" workbookViewId="0"/>
  </sheetViews>
  <sheetFormatPr customHeight="1" defaultColWidth="12.63" defaultRowHeight="15.75"/>
  <cols>
    <col customWidth="1" min="1" max="1" width="6.13"/>
    <col customWidth="1" min="2" max="2" width="6.25"/>
    <col customWidth="1" min="3" max="3" width="13.63"/>
    <col customWidth="1" min="4" max="4" width="13.0"/>
    <col customWidth="1" min="5" max="5" width="7.13"/>
    <col customWidth="1" min="6" max="6" width="6.75"/>
    <col customWidth="1" min="7" max="8" width="6.13"/>
    <col customWidth="1" min="9" max="9" width="11.75"/>
    <col customWidth="1" min="10" max="10" width="6.38"/>
    <col customWidth="1" min="11" max="12" width="12.75"/>
    <col customWidth="1" min="13" max="13" width="15.25"/>
    <col customWidth="1" min="14" max="14" width="82.0"/>
  </cols>
  <sheetData>
    <row r="1" ht="14.25" customHeight="1">
      <c r="A1" s="1354"/>
      <c r="B1" s="1354"/>
      <c r="C1" s="1354"/>
      <c r="D1" s="1354"/>
      <c r="E1" s="1354"/>
      <c r="F1" s="1354"/>
      <c r="G1" s="1354"/>
      <c r="H1" s="1354"/>
      <c r="I1" s="1354"/>
      <c r="J1" s="25"/>
      <c r="K1" s="25"/>
      <c r="L1" s="25"/>
      <c r="M1" s="25"/>
      <c r="N1" s="25"/>
    </row>
    <row r="2" ht="14.25" customHeight="1">
      <c r="A2" s="1354"/>
      <c r="B2" s="1355" t="s">
        <v>704</v>
      </c>
      <c r="K2" s="1356"/>
      <c r="L2" s="25"/>
      <c r="M2" s="25"/>
      <c r="N2" s="25"/>
    </row>
    <row r="3" ht="14.25" customHeight="1">
      <c r="A3" s="1354"/>
      <c r="K3" s="1356"/>
      <c r="L3" s="25"/>
      <c r="M3" s="25"/>
      <c r="N3" s="25"/>
    </row>
    <row r="4" ht="14.25" customHeight="1">
      <c r="A4" s="1354"/>
      <c r="K4" s="1356"/>
      <c r="L4" s="25"/>
      <c r="M4" s="25"/>
      <c r="N4" s="25"/>
    </row>
    <row r="5" ht="14.25" customHeight="1">
      <c r="A5" s="1354"/>
      <c r="B5" s="1357"/>
      <c r="C5" s="1357"/>
      <c r="D5" s="1357"/>
      <c r="E5" s="1357"/>
      <c r="F5" s="1357"/>
      <c r="G5" s="1357"/>
      <c r="H5" s="1357"/>
      <c r="I5" s="1357"/>
      <c r="J5" s="1357"/>
      <c r="K5" s="1358"/>
      <c r="L5" s="25"/>
      <c r="M5" s="25"/>
      <c r="N5" s="25"/>
    </row>
    <row r="6" ht="17.25" customHeight="1">
      <c r="A6" s="1354"/>
      <c r="B6" s="1354"/>
      <c r="C6" s="1354"/>
      <c r="D6" s="1354"/>
      <c r="E6" s="1354"/>
      <c r="F6" s="1354"/>
      <c r="G6" s="1359"/>
      <c r="H6" s="1359"/>
      <c r="I6" s="1360"/>
      <c r="J6" s="25"/>
      <c r="K6" s="1361"/>
      <c r="L6" s="25"/>
      <c r="M6" s="25"/>
      <c r="N6" s="25"/>
    </row>
    <row r="7" ht="17.25" customHeight="1">
      <c r="A7" s="1354"/>
      <c r="B7" s="1354"/>
      <c r="C7" s="1362" t="s">
        <v>705</v>
      </c>
      <c r="D7" s="1362" t="s">
        <v>706</v>
      </c>
      <c r="E7" s="1363"/>
      <c r="F7" s="1354"/>
      <c r="G7" s="1364" t="s">
        <v>707</v>
      </c>
      <c r="H7" s="1363"/>
      <c r="I7" s="1365" t="s">
        <v>708</v>
      </c>
      <c r="J7" s="25"/>
      <c r="K7" s="1365" t="s">
        <v>709</v>
      </c>
      <c r="L7" s="25"/>
      <c r="M7" s="1362" t="s">
        <v>710</v>
      </c>
      <c r="N7" s="25"/>
    </row>
    <row r="8" ht="14.25" customHeight="1">
      <c r="A8" s="1354"/>
      <c r="B8" s="1366"/>
      <c r="C8" s="1367">
        <v>23.5</v>
      </c>
      <c r="D8" s="1367">
        <v>3.0</v>
      </c>
      <c r="E8" s="1368"/>
      <c r="F8" s="1366"/>
      <c r="G8" s="1369">
        <v>600.0</v>
      </c>
      <c r="H8" s="1363"/>
      <c r="I8" s="1370">
        <f>G8*(C8/24)*((24-D8*2/7)/24)</f>
        <v>566.5178571</v>
      </c>
      <c r="J8" s="25"/>
      <c r="K8" s="1371">
        <f t="array" ref="K8">XLOOKUP($I$8/5,$C$12:$C$19,$B$12:$B$19,1,-1,-1)</f>
        <v>2</v>
      </c>
      <c r="L8" s="25"/>
      <c r="M8" s="1372">
        <v>11.0</v>
      </c>
      <c r="N8" s="25"/>
    </row>
    <row r="9" ht="14.25" customHeight="1">
      <c r="A9" s="195"/>
      <c r="B9" s="25"/>
      <c r="C9" s="25"/>
      <c r="D9" s="1361"/>
      <c r="E9" s="1361"/>
      <c r="F9" s="1361"/>
      <c r="G9" s="1373"/>
      <c r="H9" s="1366"/>
      <c r="I9" s="25"/>
      <c r="J9" s="25"/>
      <c r="K9" s="25"/>
      <c r="L9" s="25"/>
      <c r="M9" s="25"/>
      <c r="N9" s="25"/>
    </row>
    <row r="10" ht="14.25" customHeight="1">
      <c r="A10" s="195"/>
      <c r="B10" s="1374"/>
      <c r="C10" s="1374"/>
      <c r="D10" s="1375" t="s">
        <v>711</v>
      </c>
      <c r="E10" s="1376"/>
      <c r="F10" s="1377"/>
      <c r="G10" s="1373"/>
      <c r="H10" s="1366"/>
      <c r="I10" s="1366"/>
      <c r="J10" s="25"/>
      <c r="K10" s="25"/>
      <c r="L10" s="25"/>
      <c r="M10" s="25"/>
      <c r="N10" s="25"/>
    </row>
    <row r="11" ht="14.25" customHeight="1">
      <c r="A11" s="195"/>
      <c r="B11" s="1378" t="s">
        <v>712</v>
      </c>
      <c r="C11" s="1378" t="s">
        <v>713</v>
      </c>
      <c r="D11" s="1365" t="s">
        <v>714</v>
      </c>
      <c r="E11" s="1365" t="s">
        <v>715</v>
      </c>
      <c r="F11" s="1365" t="s">
        <v>716</v>
      </c>
      <c r="G11" s="1373"/>
      <c r="H11" s="1379"/>
      <c r="I11" s="1365" t="s">
        <v>717</v>
      </c>
      <c r="J11" s="1365" t="s">
        <v>712</v>
      </c>
      <c r="K11" s="1365" t="s">
        <v>718</v>
      </c>
      <c r="L11" s="25"/>
      <c r="M11" s="1380" t="s">
        <v>719</v>
      </c>
      <c r="N11" s="25"/>
    </row>
    <row r="12">
      <c r="A12" s="25"/>
      <c r="B12" s="1381">
        <v>1.5</v>
      </c>
      <c r="C12" s="1382">
        <v>15.0</v>
      </c>
      <c r="D12" s="1383">
        <f>150%</f>
        <v>1.5</v>
      </c>
      <c r="E12" s="1384"/>
      <c r="F12" s="1385"/>
      <c r="G12" s="25"/>
      <c r="H12" s="25"/>
      <c r="I12" s="1386">
        <v>1.0</v>
      </c>
      <c r="J12" s="1387">
        <f t="shared" ref="J12:J16" si="2">IFERROR(XLOOKUP($K12,$C$12:$C$19,$B$12:$B$19),"1")</f>
        <v>2</v>
      </c>
      <c r="K12" s="1388">
        <f t="array" ref="K12">LET(
  MaxFullBoostCost, XLOOKUP($K$8,$B$12:$B$19,$C$12:$C$19,0),
  NextBoostCost, XLOOKUP($K$8+IF($K$8 &lt; 2,0.5, 1),$B$12:$B$19,$C$12:$C$19, "", -1),
  RemainingLabSlot, COUNTA($I13:$I$16),
  IFERROR(
    IF(MaxFullBoostCost*RemainingLabSlot+NextBoostCost&lt;=$I$8,
    NextBoostCost,
    MaxFullBoostCost),0
))</f>
        <v>100</v>
      </c>
      <c r="L12" s="25"/>
      <c r="M12" s="1389"/>
      <c r="N12" s="25"/>
    </row>
    <row r="13">
      <c r="A13" s="25"/>
      <c r="B13" s="1390">
        <v>2.0</v>
      </c>
      <c r="C13" s="1391">
        <v>100.0</v>
      </c>
      <c r="D13" s="1392">
        <f t="shared" ref="D13:E13" si="1">B13/B12</f>
        <v>1.333333333</v>
      </c>
      <c r="E13" s="1393">
        <f t="shared" si="1"/>
        <v>6.666666667</v>
      </c>
      <c r="F13" s="1392">
        <f t="shared" ref="F13:F19" si="4">D13/E13</f>
        <v>0.2</v>
      </c>
      <c r="G13" s="25"/>
      <c r="H13" s="25"/>
      <c r="I13" s="1394">
        <v>2.0</v>
      </c>
      <c r="J13" s="1387">
        <f t="shared" si="2"/>
        <v>2</v>
      </c>
      <c r="K13" s="1388">
        <f t="shared" ref="K13:K16" si="5">LET(
  MaxFullBoostCost, XLOOKUP($K$8,$B$12:$B$19,$C$12:$C$19,0),
  NextBoostCost, XLOOKUP($K$8+IF($K$8 &lt; 2,0.5, 1),$B$12:$B$19,$C$12:$C$19, "", -1),
  RemainingLabSlot, COUNTA($I14:$I$16),
  IFERROR(
  IF(MaxFullBoostCost*RemainingLabSlot+NextBoostCost+SUM($K$12:$K12)&lt;=$I$8,
    NextBoostCost,
    MaxFullBoostCost),0
))</f>
        <v>100</v>
      </c>
      <c r="L13" s="25"/>
      <c r="M13" s="1395"/>
      <c r="N13" s="25"/>
    </row>
    <row r="14">
      <c r="A14" s="25"/>
      <c r="B14" s="1390">
        <v>3.0</v>
      </c>
      <c r="C14" s="1391">
        <v>840.0</v>
      </c>
      <c r="D14" s="1392">
        <f t="shared" ref="D14:E14" si="3">B14/B13</f>
        <v>1.5</v>
      </c>
      <c r="E14" s="1393">
        <f t="shared" si="3"/>
        <v>8.4</v>
      </c>
      <c r="F14" s="1392">
        <f t="shared" si="4"/>
        <v>0.1785714286</v>
      </c>
      <c r="G14" s="25"/>
      <c r="H14" s="25"/>
      <c r="I14" s="1394">
        <v>3.0</v>
      </c>
      <c r="J14" s="1387">
        <f t="shared" si="2"/>
        <v>2</v>
      </c>
      <c r="K14" s="1388">
        <f t="shared" si="5"/>
        <v>100</v>
      </c>
      <c r="L14" s="25"/>
      <c r="M14" s="1396">
        <f>M8*K17</f>
        <v>5500</v>
      </c>
      <c r="N14" s="25"/>
    </row>
    <row r="15">
      <c r="A15" s="25"/>
      <c r="B15" s="1390">
        <v>4.0</v>
      </c>
      <c r="C15" s="1391">
        <v>3360.0</v>
      </c>
      <c r="D15" s="1392">
        <f t="shared" ref="D15:E15" si="6">B15/B14</f>
        <v>1.333333333</v>
      </c>
      <c r="E15" s="1393">
        <f t="shared" si="6"/>
        <v>4</v>
      </c>
      <c r="F15" s="1392">
        <f t="shared" si="4"/>
        <v>0.3333333333</v>
      </c>
      <c r="G15" s="25"/>
      <c r="H15" s="25"/>
      <c r="I15" s="1394">
        <v>4.0</v>
      </c>
      <c r="J15" s="1387">
        <f t="shared" si="2"/>
        <v>2</v>
      </c>
      <c r="K15" s="1388">
        <f t="shared" si="5"/>
        <v>100</v>
      </c>
      <c r="L15" s="25"/>
      <c r="M15" s="25"/>
      <c r="N15" s="25"/>
    </row>
    <row r="16">
      <c r="A16" s="25"/>
      <c r="B16" s="1390">
        <v>5.0</v>
      </c>
      <c r="C16" s="1391">
        <v>11900.0</v>
      </c>
      <c r="D16" s="1392">
        <f t="shared" ref="D16:E16" si="7">B16/B15</f>
        <v>1.25</v>
      </c>
      <c r="E16" s="1393">
        <f t="shared" si="7"/>
        <v>3.541666667</v>
      </c>
      <c r="F16" s="1392">
        <f t="shared" si="4"/>
        <v>0.3529411765</v>
      </c>
      <c r="G16" s="25"/>
      <c r="H16" s="25"/>
      <c r="I16" s="1394">
        <v>5.0</v>
      </c>
      <c r="J16" s="1387">
        <f t="shared" si="2"/>
        <v>2</v>
      </c>
      <c r="K16" s="1388">
        <f t="shared" si="5"/>
        <v>100</v>
      </c>
      <c r="L16" s="25"/>
      <c r="M16" s="25"/>
      <c r="N16" s="25"/>
    </row>
    <row r="17">
      <c r="A17" s="25"/>
      <c r="B17" s="1390">
        <v>6.0</v>
      </c>
      <c r="C17" s="1391">
        <v>60000.0</v>
      </c>
      <c r="D17" s="1392">
        <f t="shared" ref="D17:E17" si="8">B17/B16</f>
        <v>1.2</v>
      </c>
      <c r="E17" s="1393">
        <f t="shared" si="8"/>
        <v>5.042016807</v>
      </c>
      <c r="F17" s="1392">
        <f t="shared" si="4"/>
        <v>0.238</v>
      </c>
      <c r="G17" s="25"/>
      <c r="H17" s="25"/>
      <c r="I17" s="25"/>
      <c r="J17" s="25"/>
      <c r="K17" s="1397">
        <f>SUM(K12:K16)</f>
        <v>500</v>
      </c>
      <c r="L17" s="25"/>
      <c r="M17" s="25"/>
      <c r="N17" s="25"/>
    </row>
    <row r="18">
      <c r="A18" s="25"/>
      <c r="B18" s="1398">
        <v>7.0</v>
      </c>
      <c r="C18" s="1399">
        <v>250000.0</v>
      </c>
      <c r="D18" s="1392">
        <f t="shared" ref="D18:E18" si="9">B18/B17</f>
        <v>1.166666667</v>
      </c>
      <c r="E18" s="1393">
        <f t="shared" si="9"/>
        <v>4.166666667</v>
      </c>
      <c r="F18" s="1392">
        <f t="shared" si="4"/>
        <v>0.28</v>
      </c>
      <c r="G18" s="25"/>
      <c r="H18" s="25"/>
      <c r="I18" s="25"/>
      <c r="J18" s="25"/>
      <c r="K18" s="25"/>
      <c r="L18" s="25"/>
      <c r="M18" s="25"/>
      <c r="N18" s="25"/>
    </row>
    <row r="19">
      <c r="A19" s="25"/>
      <c r="B19" s="1398">
        <v>8.0</v>
      </c>
      <c r="C19" s="1399">
        <v>1000000.0</v>
      </c>
      <c r="D19" s="1392">
        <f t="shared" ref="D19:E19" si="10">B19/B18</f>
        <v>1.142857143</v>
      </c>
      <c r="E19" s="1393">
        <f t="shared" si="10"/>
        <v>4</v>
      </c>
      <c r="F19" s="1392">
        <f t="shared" si="4"/>
        <v>0.2857142857</v>
      </c>
      <c r="G19" s="25"/>
      <c r="H19" s="25"/>
      <c r="I19" s="25"/>
      <c r="J19" s="25"/>
      <c r="K19" s="25"/>
      <c r="L19" s="25"/>
      <c r="M19" s="25"/>
      <c r="N19" s="25"/>
    </row>
    <row r="20">
      <c r="A20" s="25"/>
      <c r="B20" s="1361"/>
      <c r="C20" s="25"/>
      <c r="D20" s="25"/>
      <c r="E20" s="25"/>
      <c r="F20" s="25"/>
      <c r="G20" s="25"/>
      <c r="H20" s="25"/>
      <c r="I20" s="25"/>
      <c r="J20" s="25"/>
      <c r="K20" s="25"/>
      <c r="L20" s="25"/>
      <c r="M20" s="25"/>
      <c r="N20" s="25"/>
    </row>
    <row r="21">
      <c r="A21" s="25"/>
      <c r="B21" s="1400" t="str">
        <f>CONCATENATE("Cells / hr for next boost level (", IF(K8 = 8, 7, K8)+1, ")")</f>
        <v>Cells / hr for next boost level (3)</v>
      </c>
      <c r="C21" s="1361"/>
      <c r="D21" s="1361"/>
      <c r="E21" s="1400" t="s">
        <v>720</v>
      </c>
      <c r="F21" s="25"/>
      <c r="G21" s="25"/>
      <c r="H21" s="25"/>
      <c r="I21" s="25"/>
      <c r="J21" s="1401" t="s">
        <v>721</v>
      </c>
      <c r="K21" s="25"/>
      <c r="L21" s="25"/>
      <c r="M21" s="25"/>
      <c r="N21" s="25"/>
    </row>
    <row r="22">
      <c r="A22" s="25"/>
      <c r="B22" s="1402">
        <f t="array" ref="B22">IF($K$8 = 8, "Max boost reached, gz!", XLOOKUP($K$8+1,$B$12:$B$19,$C$12:$C$19,0,-1,1)*5)</f>
        <v>4200</v>
      </c>
      <c r="C22" s="9"/>
      <c r="D22" s="25"/>
      <c r="E22" s="1402">
        <f t="array" ref="E22">IF($K$8 = 8, "Impressive!", $K$17+XLOOKUP(MIN($J$12:$J$16)+1,$B$12:$B$19,$C$12:$C$19,0,-1,-1)-MIN($K$12:$K$16))</f>
        <v>1240</v>
      </c>
      <c r="F22" s="9"/>
      <c r="G22" s="25"/>
      <c r="H22" s="25"/>
      <c r="I22" s="25"/>
      <c r="J22" s="1403">
        <f t="array" ref="J22">IF($K$8 = 8, "Just wow!", IFERROR(ROUNDUP(XLOOKUP(MIN($J$12:$J$16)+1,$B$12:$B$19,$C$12:$C$19,0,-1,-1)/(I8-K17),0),"N/A"))</f>
        <v>13</v>
      </c>
      <c r="K22" s="9"/>
      <c r="L22" s="25"/>
      <c r="M22" s="25"/>
      <c r="N22" s="25"/>
    </row>
    <row r="23" ht="231.0" customHeight="1">
      <c r="A23" s="25"/>
      <c r="B23" s="1361"/>
      <c r="C23" s="25"/>
      <c r="D23" s="25"/>
      <c r="E23" s="25"/>
      <c r="F23" s="25"/>
      <c r="G23" s="25"/>
      <c r="H23" s="25"/>
      <c r="I23" s="25"/>
      <c r="J23" s="25"/>
      <c r="K23" s="25"/>
      <c r="L23" s="25"/>
      <c r="M23" s="25"/>
      <c r="N23" s="25"/>
    </row>
  </sheetData>
  <mergeCells count="10">
    <mergeCell ref="B22:C22"/>
    <mergeCell ref="E22:F22"/>
    <mergeCell ref="J22:K22"/>
    <mergeCell ref="B2:K5"/>
    <mergeCell ref="D7:E7"/>
    <mergeCell ref="G7:H7"/>
    <mergeCell ref="D8:E8"/>
    <mergeCell ref="G8:H8"/>
    <mergeCell ref="D10:F10"/>
    <mergeCell ref="M11:M13"/>
  </mergeCells>
  <conditionalFormatting sqref="B12:F19">
    <cfRule type="expression" dxfId="43" priority="1">
      <formula>$B12&lt;=$K$8</formula>
    </cfRule>
  </conditionalFormatting>
  <printOptions/>
  <pageMargins bottom="0.75" footer="0.0" header="0.0" left="0.7" right="0.7" top="0.75"/>
  <pageSetup paperSize="9"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outlineLevelCol="1"/>
  <cols>
    <col customWidth="1" min="1" max="1" width="1.63"/>
    <col customWidth="1" min="2" max="2" width="3.25"/>
    <col customWidth="1" hidden="1" min="3" max="3" width="9.13"/>
    <col customWidth="1" hidden="1" min="4" max="4" width="9.38"/>
    <col customWidth="1" min="5" max="5" width="3.75"/>
    <col customWidth="1" min="6" max="6" width="32.13" outlineLevel="1"/>
    <col customWidth="1" min="7" max="7" width="10.63" outlineLevel="1"/>
    <col customWidth="1" min="8" max="8" width="10.5" outlineLevel="1"/>
    <col customWidth="1" min="9" max="9" width="8.13" outlineLevel="1"/>
    <col customWidth="1" min="10" max="10" width="11.0"/>
    <col customWidth="1" min="11" max="11" width="4.88"/>
    <col customWidth="1" min="12" max="12" width="16.0"/>
    <col collapsed="1" customWidth="1" min="13" max="13" width="2.63"/>
    <col customWidth="1" hidden="1" min="14" max="14" width="14.0" outlineLevel="1"/>
    <col customWidth="1" hidden="1" min="15" max="15" width="5.0" outlineLevel="1"/>
    <col customWidth="1" hidden="1" min="16" max="16" width="13.0" outlineLevel="1"/>
    <col customWidth="1" hidden="1" min="17" max="17" width="6.13" outlineLevel="1"/>
    <col customWidth="1" hidden="1" min="18" max="18" width="4.13" outlineLevel="1"/>
    <col customWidth="1" hidden="1" min="19" max="19" width="29.75" outlineLevel="1"/>
    <col customWidth="1" hidden="1" min="20" max="20" width="9.0" outlineLevel="1"/>
    <col customWidth="1" hidden="1" min="21" max="21" width="10.38" outlineLevel="1"/>
    <col customWidth="1" hidden="1" min="22" max="22" width="9.88" outlineLevel="1"/>
    <col customWidth="1" hidden="1" min="23" max="23" width="10.25" outlineLevel="1"/>
    <col customWidth="1" min="24" max="24" width="210.13"/>
  </cols>
  <sheetData>
    <row r="1" ht="9.0" customHeight="1">
      <c r="A1" s="1404"/>
      <c r="B1" s="1404"/>
      <c r="C1" s="1133"/>
      <c r="D1" s="1404"/>
      <c r="E1" s="1404"/>
      <c r="F1" s="1404"/>
      <c r="G1" s="1404"/>
      <c r="H1" s="1404"/>
      <c r="I1" s="1404"/>
      <c r="J1" s="1405"/>
      <c r="K1" s="1404"/>
      <c r="L1" s="1404"/>
      <c r="M1" s="1404"/>
      <c r="N1" s="1406"/>
      <c r="O1" s="1406"/>
      <c r="P1" s="1406"/>
      <c r="Q1" s="1406"/>
      <c r="R1" s="1406"/>
      <c r="S1" s="1407"/>
      <c r="T1" s="1406"/>
      <c r="U1" s="1406"/>
      <c r="V1" s="1406"/>
      <c r="W1" s="1408"/>
      <c r="X1" s="1409"/>
    </row>
    <row r="2" ht="30.0" customHeight="1">
      <c r="A2" s="1404"/>
      <c r="B2" s="1410"/>
      <c r="C2" s="1411"/>
      <c r="D2" s="1410"/>
      <c r="E2" s="1410"/>
      <c r="F2" s="1412" t="str">
        <f>IFERROR(__xludf.DUMMYFUNCTION("IF(F6&lt;&gt;"""", SPARKLINE(H6:H705), ""Completed ! 🎉"")"),"")</f>
        <v/>
      </c>
      <c r="G2" s="1368"/>
      <c r="H2" s="1368"/>
      <c r="I2" s="1368"/>
      <c r="J2" s="1413"/>
      <c r="K2" s="1414"/>
      <c r="L2" s="1414"/>
      <c r="M2" s="1414"/>
      <c r="N2" s="1415"/>
      <c r="O2" s="1415"/>
      <c r="P2" s="1415"/>
      <c r="Q2" s="1415"/>
      <c r="R2" s="1415"/>
      <c r="S2" s="1400"/>
      <c r="T2" s="1415"/>
      <c r="U2" s="1415"/>
      <c r="V2" s="1415"/>
      <c r="W2" s="1416"/>
      <c r="X2" s="1417"/>
    </row>
    <row r="3" ht="15.75" customHeight="1">
      <c r="A3" s="1404"/>
      <c r="B3" s="1418"/>
      <c r="C3" s="1419">
        <v>1.0</v>
      </c>
      <c r="D3" s="1418"/>
      <c r="E3" s="1420" t="s">
        <v>722</v>
      </c>
      <c r="F3" s="1421"/>
      <c r="G3" s="1422"/>
      <c r="H3" s="1422"/>
      <c r="I3" s="1422"/>
      <c r="J3" s="1423"/>
      <c r="K3" s="1424"/>
      <c r="L3" s="1425" t="s">
        <v>723</v>
      </c>
      <c r="M3" s="1424"/>
      <c r="N3" s="1415"/>
      <c r="O3" s="1415"/>
      <c r="P3" s="1415"/>
      <c r="Q3" s="1415"/>
      <c r="R3" s="1415"/>
      <c r="S3" s="1415"/>
      <c r="T3" s="1415"/>
      <c r="U3" s="1415"/>
      <c r="V3" s="1415"/>
      <c r="W3" s="1416"/>
      <c r="X3" s="1417"/>
    </row>
    <row r="4">
      <c r="A4" s="1404"/>
      <c r="B4" s="1418"/>
      <c r="C4" s="1426">
        <v>2.0</v>
      </c>
      <c r="D4" s="1418"/>
      <c r="E4" s="140"/>
      <c r="F4" s="1427" t="str">
        <f>"Upgrade (" &amp; COUNTA(F6:F705) &amp; IF(F200&lt;&gt;"", "+", ) &amp; ")"</f>
        <v>Upgrade (199+)</v>
      </c>
      <c r="G4" s="1427" t="s">
        <v>146</v>
      </c>
      <c r="H4" s="1428" t="s">
        <v>393</v>
      </c>
      <c r="I4" s="1428" t="s">
        <v>508</v>
      </c>
      <c r="J4" s="1423"/>
      <c r="K4" s="1429"/>
      <c r="L4" s="1430" t="s">
        <v>724</v>
      </c>
      <c r="M4" s="1431"/>
      <c r="N4" s="1432" t="s">
        <v>725</v>
      </c>
      <c r="O4" s="1432"/>
      <c r="P4" s="1432" t="s">
        <v>726</v>
      </c>
      <c r="R4" s="1432"/>
      <c r="S4" s="1433" t="str">
        <f>"Labs (" &amp; COUNTA(S5:S705) &amp;")"</f>
        <v>Labs (116)</v>
      </c>
      <c r="T4" s="1432" t="s">
        <v>727</v>
      </c>
      <c r="U4" s="1432" t="s">
        <v>391</v>
      </c>
      <c r="V4" s="1432" t="s">
        <v>147</v>
      </c>
      <c r="W4" s="1434" t="s">
        <v>728</v>
      </c>
      <c r="X4" s="1435"/>
    </row>
    <row r="5">
      <c r="A5" s="1404"/>
      <c r="B5" s="1418"/>
      <c r="C5" s="1436">
        <v>3.0</v>
      </c>
      <c r="D5" s="1418"/>
      <c r="E5" s="140"/>
      <c r="F5" s="1437"/>
      <c r="G5" s="1437"/>
      <c r="H5" s="1437"/>
      <c r="I5" s="1437"/>
      <c r="J5" s="1423"/>
      <c r="K5" s="1429"/>
      <c r="L5" s="140"/>
      <c r="M5" s="1431"/>
      <c r="N5" s="1438" t="str">
        <f>IFERROR(__xludf.DUMMYFUNCTION("LET(
  data, FILTER('Lab Calculator'!E3:E705, ('Lab Calculator'!E3:E705&lt;&gt;"""") * REGEXMATCH('Lab Calculator'!E3:E705,""T"")),
  uniqueData, UNIQUE(data),
  SORT(
    uniqueData,
    ARRAYFORMULA(VALUE(REGEXEXTRACT(uniqueData,""T(\d+)""))), TRUE,
    ARRAY"&amp;"FORMULA(IFERROR(VALUE(REGEXEXTRACT(uniqueData,""\s(.+)"")),1E+99)), TRUE
  )
)
"),"T1 150")</f>
        <v>T1 150</v>
      </c>
      <c r="O5" s="1439"/>
      <c r="P5" s="1440" t="s">
        <v>729</v>
      </c>
      <c r="Q5" s="1441" t="b">
        <f t="shared" ref="Q5:Q6" si="1">IDS_BOT_OWN(P5)</f>
        <v>1</v>
      </c>
      <c r="R5" s="1442"/>
      <c r="S5" s="1443" t="str">
        <f>IFERROR(__xludf.DUMMYFUNCTION("ARRAYFORMULA(LET(
    unlocked, L22,
    targetTier, VALUE(REGEXEXTRACT(unlocked,""T(\d+)"")),
    targetWave, VALUE(REGEXEXTRACT(unlocked,""\s(\d+)"")),
    data, FILTER(EXPORT!B5:E705,
      BYROW(EXPORT!B5:B705, LAMBDA(b,
        IF(
          DVT_HAS_"&amp;"LAB_UNLOCKED(b, unlocked),
          LET(
            idx, ROW(b) - ROW(EXPORT!B5) + 1,
            curr, INDEX(EXPORT!C5:C705, idx),
            target, INDEX(EXPORT!D5:D705, idx),
            maxv, INDEX(EXPORT!E5:E705, idx),
            curr &lt; IF(OR(IS"&amp;"BLANK(target), L25), maxv, target)
          ),
          FALSE)
      ))
    ),
    exclusions, VSTACK(
      IFERROR(FILTER(P11:P19, Q11:Q19 = FALSE),),
      IFERROR(FILTER(P5:P8, Q5:Q8 = FALSE),)
    ),
    exclusions_regex, IF(COUNTA(exclusions), TEX"&amp;"TJOIN(""|"", TRUE, exclusions), ""^\b$""),
    mask, (NOT(REGEXMATCH(INDEX(data,,1), exclusions_regex))),
    SORT(INDEX(FILTER(data, mask),,1),1, TRUE)
))"),"Area of Effect Mastery")</f>
        <v>Area of Effect Mastery</v>
      </c>
      <c r="T5" s="1417">
        <f t="array" ref="T5:T705">LET(labs, S5:S705, IF(labs &lt;&gt; "" ,VLOOKUP(labs,MS_Labs_Array,2,FALSE), ""))</f>
        <v>0</v>
      </c>
      <c r="U5" s="1417">
        <f t="array" ref="U5:U705">LET(labs, S5:S705, IF(labs &lt;&gt; "" ,VLOOKUP(labs,MS_Labs_Array,4,FALSE), ""))</f>
        <v>9</v>
      </c>
      <c r="V5" s="1417">
        <f>IFERROR(__xludf.DUMMYFUNCTION("MAP(
  S5:S705,
  T5:T705,
  U5:U705,
  LAMBDA(t_val, u_val, max_val,
    IF(
      OR(t_val = """", ISBLANK(t_val)),
      """",
      LET(
        col, MATCH(
          IF(ISNUMBER(SEARCH(""Mastery"", t_val)), ""Card Mastery"", t_val),
          DVT_Lab"&amp;"oratory!B$1:X$1,
          0
        ) - 1,
        Offset, OFFSET(DVT_Laboratory!$B$3, 0, col, 100, 1),
        n, ROWS(Offset),
        targets, SEQUENCE(200, 1, 1, 1),
        rowIndex, SEQUENCE(n, 1, 1, 1),
        timerList, MAP(
          targets,
 "&amp;"         LAMBDA(t,
            SUMPRODUCT(
              Offset * (rowIndex &gt; u_val) * (rowIndex &lt;= u_val + t)
            ) * 24 / LAB_SPEED_TOTAL() / $L$19
          )
        ),
        timerList_filtered,
        FILTER(timerList, timerList &lt; ($L$10 *"&amp;" (1 + $L$13 / 100))),
        nLevelUp, COUNT(UNIQUE(timerList_filtered)),
        target, u_val + nLevelUp,
        targetRounded, FLOOR(target, 5),
        result,
          IF(
            target = max_val,
            target,
            IF(
         "&amp;"     targetRounded &lt; u_val,
              u_val,
              targetRounded
            )
          ),
        result
      )
    )
  )
)
"),0.0)</f>
        <v>0</v>
      </c>
      <c r="W5" s="1416">
        <f t="array" ref="W5:W705">MAP(
  S5:S705,
  T5:T705,
  V5:V705,
  LAMBDA(t_val, u_val, v_val,
    IF(
      t_val = "",
      "",
      LET(
        col_raw, IF(ISNUMBER(SEARCH("Mastery", t_val)), "Card Mastery", t_val),
        col_match, IFERROR(MATCH(col_raw, DVT_Laboratory!B$1:X$1, 0) - 1, -1),
        IF(
          col_match &lt; 0,
          "",
          LET(
            OffsetRange, OFFSET(DVT_Laboratory!$B$3, 0, col_match, 100, 1),
            start_idx, IF(ISNUMBER(u_val), u_val + 1, 9999),
            end_idx,   IF(ISNUMBER(v_val), v_val, 0),
            length, MAX(0, end_idx - start_idx + 1),
            result,
              IF(
                OR(NOT(ISNUMBER(start_idx)), NOT(ISNUMBER(end_idx)), length &lt;= 0),
                0,
                SUM( OFFSET(OffsetRange, start_idx - 1, 0, length, 1) ) / LAB_SPEED_TOTAL() / $L$19
              ),
            result
          )
        )
      )
    )
  )
)
</f>
        <v>0</v>
      </c>
      <c r="X5" s="1417"/>
    </row>
    <row r="6">
      <c r="A6" s="1404"/>
      <c r="B6" s="1418"/>
      <c r="C6" s="1444">
        <v>4.0</v>
      </c>
      <c r="D6" s="1445">
        <f t="shared" ref="D6:D75" si="2">IF(G6&lt;&gt;"", G6*40 + 60, "")</f>
        <v>100</v>
      </c>
      <c r="E6" s="140"/>
      <c r="F6" s="1446" t="str">
        <f>IFERROR(__xludf.DUMMYFUNCTION("ARRAYFORMULA(
  LET(
    limite, IF(L16&lt;500, L16, 500),
    data, FILTER({S5:S705, T5:T705, V5:V705, W5:W705}, (S5:S705 &lt;&gt; """") * (W5:W705 &lt;&gt; """") * (V5:V705 &gt; T5:T705)),
    sorted, SORT(data, 4, TRUE),
    noms, INDEX(sorted,,1),
    act, INDEX(sorted"&amp;",,2),
    obj, INDEX(sorted,,3),
    seqs, MAP(noms, act, obj,
      LAMBDA(n, a, o,
        TEXTJOIN(""♣"", TRUE, ARRAYFORMULA(n &amp; ""♦"" &amp; SEQUENCE(o - a, 1, a + 1)))
      )
    ),
    bigStr, TEXTJOIN(""♣"", TRUE, seqs),
    colOne, TOCOL(SPLIT(bigStr,"&amp;" ""♣""), TRUE),
    pairs, SPLIT(colOne, ""♦""),
    limited, IF(OR(ISBLANK(limite), limite &lt;= 0), pairs, ARRAY_CONSTRAIN(pairs, limite, 2)),
    FILTER(limited, INDEX(limited,,1) &lt;&gt; """")
  )
)
"),"Super Tower Bonus")</f>
        <v>Super Tower Bonus</v>
      </c>
      <c r="G6" s="1447">
        <f>IFERROR(__xludf.DUMMYFUNCTION("""COMPUTED_VALUE"""),1.0)</f>
        <v>1</v>
      </c>
      <c r="H6" s="1448">
        <f t="shared" ref="H6:H200" si="3">IF(F6="", "", LABDURATION_SINGLE_ADJUSTED(IF(ISNUMBER(SEARCH("Mastery",$F6)),"Card Mastery",$F6), $G6)/$L$19)</f>
        <v>0.01319548596</v>
      </c>
      <c r="I6" s="1449" t="str">
        <f t="shared" ref="I6:I200" si="4">IF(F6&lt;&gt;"", FORMAT_NUMBER(LABCOST_SINGLE_ADJUSTED(IF(ISNUMBER(SEARCH("Mastery",F6)),"Card Mastery",F6),G6)), "")</f>
        <v>2.4 B</v>
      </c>
      <c r="J6" s="1423" t="str">
        <f t="shared" ref="J6:J200" si="5">IF(F6&lt;&gt;"", FORMAT_TIME(SUM(H$6:H6)),)</f>
        <v>0d  0h 19m</v>
      </c>
      <c r="K6" s="1450"/>
      <c r="L6" s="140"/>
      <c r="M6" s="1431"/>
      <c r="N6" s="1438" t="str">
        <f>IFERROR(__xludf.DUMMYFUNCTION("""COMPUTED_VALUE"""),"T1 250")</f>
        <v>T1 250</v>
      </c>
      <c r="O6" s="1439"/>
      <c r="P6" s="1440" t="s">
        <v>730</v>
      </c>
      <c r="Q6" s="1441" t="b">
        <f t="shared" si="1"/>
        <v>0</v>
      </c>
      <c r="R6" s="1442"/>
      <c r="S6" s="1451" t="str">
        <f>IFERROR(__xludf.DUMMYFUNCTION("""COMPUTED_VALUE"""),"Armor Effect Bans")</f>
        <v>Armor Effect Bans</v>
      </c>
      <c r="T6" s="1417">
        <v>2.0</v>
      </c>
      <c r="U6" s="1417">
        <v>4.0</v>
      </c>
      <c r="V6" s="1417">
        <f>IFERROR(__xludf.DUMMYFUNCTION("""COMPUTED_VALUE"""),2.0)</f>
        <v>2</v>
      </c>
      <c r="W6" s="1416">
        <v>0.0</v>
      </c>
      <c r="X6" s="1417"/>
    </row>
    <row r="7">
      <c r="A7" s="1404"/>
      <c r="B7" s="1418"/>
      <c r="C7" s="1452">
        <v>5.0</v>
      </c>
      <c r="D7" s="1445">
        <f t="shared" si="2"/>
        <v>140</v>
      </c>
      <c r="E7" s="140"/>
      <c r="F7" s="1446" t="str">
        <f>IFERROR(__xludf.DUMMYFUNCTION("""COMPUTED_VALUE"""),"Super Tower Bonus")</f>
        <v>Super Tower Bonus</v>
      </c>
      <c r="G7" s="1453">
        <f>IFERROR(__xludf.DUMMYFUNCTION("""COMPUTED_VALUE"""),2.0)</f>
        <v>2</v>
      </c>
      <c r="H7" s="1448">
        <f t="shared" si="3"/>
        <v>0.03534978012</v>
      </c>
      <c r="I7" s="1449" t="str">
        <f t="shared" si="4"/>
        <v>3.24 B</v>
      </c>
      <c r="J7" s="1423" t="str">
        <f t="shared" si="5"/>
        <v>0d  1h  9m</v>
      </c>
      <c r="K7" s="1450"/>
      <c r="L7" s="140"/>
      <c r="M7" s="1431"/>
      <c r="N7" s="1438" t="str">
        <f>IFERROR(__xludf.DUMMYFUNCTION("""COMPUTED_VALUE"""),"T1 400")</f>
        <v>T1 400</v>
      </c>
      <c r="O7" s="1439"/>
      <c r="P7" s="1440" t="s">
        <v>731</v>
      </c>
      <c r="Q7" s="1454" t="b">
        <f>IDS_BOT_OWN("Golden Bot")</f>
        <v>1</v>
      </c>
      <c r="R7" s="1442"/>
      <c r="S7" s="1443" t="str">
        <f>IFERROR(__xludf.DUMMYFUNCTION("""COMPUTED_VALUE"""),"Assist Module Bonus - Armor")</f>
        <v>Assist Module Bonus - Armor</v>
      </c>
      <c r="T7" s="1417">
        <v>0.0</v>
      </c>
      <c r="U7" s="1417">
        <v>30.0</v>
      </c>
      <c r="V7" s="1435">
        <f>IFERROR(__xludf.DUMMYFUNCTION("""COMPUTED_VALUE"""),0.0)</f>
        <v>0</v>
      </c>
      <c r="W7" s="1416">
        <v>0.0</v>
      </c>
      <c r="X7" s="1417"/>
    </row>
    <row r="8">
      <c r="A8" s="1404"/>
      <c r="B8" s="1418"/>
      <c r="C8" s="1455">
        <v>6.0</v>
      </c>
      <c r="D8" s="1445">
        <f t="shared" si="2"/>
        <v>180</v>
      </c>
      <c r="E8" s="140"/>
      <c r="F8" s="1446" t="str">
        <f>IFERROR(__xludf.DUMMYFUNCTION("""COMPUTED_VALUE"""),"Super Tower Bonus")</f>
        <v>Super Tower Bonus</v>
      </c>
      <c r="G8" s="1453">
        <f>IFERROR(__xludf.DUMMYFUNCTION("""COMPUTED_VALUE"""),3.0)</f>
        <v>3</v>
      </c>
      <c r="H8" s="1448">
        <f t="shared" si="3"/>
        <v>0.05794539487</v>
      </c>
      <c r="I8" s="1449" t="str">
        <f t="shared" si="4"/>
        <v>4.24 B</v>
      </c>
      <c r="J8" s="1423" t="str">
        <f t="shared" si="5"/>
        <v>0d  2h 33m</v>
      </c>
      <c r="K8" s="1450"/>
      <c r="L8" s="1424"/>
      <c r="M8" s="1431"/>
      <c r="N8" s="1438" t="str">
        <f>IFERROR(__xludf.DUMMYFUNCTION("""COMPUTED_VALUE"""),"T2 20")</f>
        <v>T2 20</v>
      </c>
      <c r="O8" s="1439"/>
      <c r="P8" s="1440" t="s">
        <v>732</v>
      </c>
      <c r="Q8" s="1454" t="b">
        <f>IDS_BOT_OWN("Amplify Bot")</f>
        <v>0</v>
      </c>
      <c r="R8" s="1456"/>
      <c r="S8" s="1457" t="str">
        <f>IFERROR(__xludf.DUMMYFUNCTION("""COMPUTED_VALUE"""),"Assist Module Bonus - Cannon")</f>
        <v>Assist Module Bonus - Cannon</v>
      </c>
      <c r="T8" s="1417">
        <v>0.0</v>
      </c>
      <c r="U8" s="1417">
        <v>30.0</v>
      </c>
      <c r="V8" s="1417">
        <f>IFERROR(__xludf.DUMMYFUNCTION("""COMPUTED_VALUE"""),0.0)</f>
        <v>0</v>
      </c>
      <c r="W8" s="1416">
        <v>0.0</v>
      </c>
      <c r="X8" s="1417"/>
    </row>
    <row r="9">
      <c r="A9" s="1404"/>
      <c r="B9" s="1418"/>
      <c r="C9" s="1458">
        <v>7.0</v>
      </c>
      <c r="D9" s="1445">
        <f t="shared" si="2"/>
        <v>220</v>
      </c>
      <c r="E9" s="140"/>
      <c r="F9" s="1446" t="str">
        <f>IFERROR(__xludf.DUMMYFUNCTION("""COMPUTED_VALUE"""),"Super Tower Bonus")</f>
        <v>Super Tower Bonus</v>
      </c>
      <c r="G9" s="1453">
        <f>IFERROR(__xludf.DUMMYFUNCTION("""COMPUTED_VALUE"""),4.0)</f>
        <v>4</v>
      </c>
      <c r="H9" s="1448">
        <f t="shared" si="3"/>
        <v>0.08182083937</v>
      </c>
      <c r="I9" s="1449" t="str">
        <f t="shared" si="4"/>
        <v>5.55 B</v>
      </c>
      <c r="J9" s="1423" t="str">
        <f t="shared" si="5"/>
        <v>0d  4h 31m</v>
      </c>
      <c r="K9" s="1450"/>
      <c r="L9" s="1459" t="s">
        <v>733</v>
      </c>
      <c r="M9" s="1431"/>
      <c r="N9" s="1438" t="str">
        <f>IFERROR(__xludf.DUMMYFUNCTION("""COMPUTED_VALUE"""),"T2 30")</f>
        <v>T2 30</v>
      </c>
      <c r="O9" s="1439"/>
      <c r="P9" s="1439"/>
      <c r="Q9" s="1442"/>
      <c r="R9" s="1442"/>
      <c r="S9" s="1457" t="str">
        <f>IFERROR(__xludf.DUMMYFUNCTION("""COMPUTED_VALUE"""),"Assist Module Bonus - Core")</f>
        <v>Assist Module Bonus - Core</v>
      </c>
      <c r="T9" s="1417">
        <v>0.0</v>
      </c>
      <c r="U9" s="1417">
        <v>30.0</v>
      </c>
      <c r="V9" s="1417">
        <f>IFERROR(__xludf.DUMMYFUNCTION("""COMPUTED_VALUE"""),0.0)</f>
        <v>0</v>
      </c>
      <c r="W9" s="1416">
        <v>0.0</v>
      </c>
      <c r="X9" s="1417"/>
    </row>
    <row r="10">
      <c r="A10" s="1404"/>
      <c r="B10" s="1418"/>
      <c r="C10" s="1460">
        <v>8.0</v>
      </c>
      <c r="D10" s="1445">
        <f t="shared" si="2"/>
        <v>260</v>
      </c>
      <c r="E10" s="140"/>
      <c r="F10" s="1446" t="str">
        <f>IFERROR(__xludf.DUMMYFUNCTION("""COMPUTED_VALUE"""),"Super Tower Bonus")</f>
        <v>Super Tower Bonus</v>
      </c>
      <c r="G10" s="1453">
        <f>IFERROR(__xludf.DUMMYFUNCTION("""COMPUTED_VALUE"""),5.0)</f>
        <v>5</v>
      </c>
      <c r="H10" s="1448">
        <f t="shared" si="3"/>
        <v>0.1080794151</v>
      </c>
      <c r="I10" s="1449" t="str">
        <f t="shared" si="4"/>
        <v>7.37 B</v>
      </c>
      <c r="J10" s="1423" t="str">
        <f t="shared" si="5"/>
        <v>0d  7h  6m</v>
      </c>
      <c r="K10" s="1450"/>
      <c r="L10" s="1461">
        <v>24.0</v>
      </c>
      <c r="M10" s="1431"/>
      <c r="N10" s="1438" t="str">
        <f>IFERROR(__xludf.DUMMYFUNCTION("""COMPUTED_VALUE"""),"T2 40")</f>
        <v>T2 40</v>
      </c>
      <c r="O10" s="1442"/>
      <c r="P10" s="1432" t="s">
        <v>734</v>
      </c>
      <c r="R10" s="1442"/>
      <c r="S10" s="1457" t="str">
        <f>IFERROR(__xludf.DUMMYFUNCTION("""COMPUTED_VALUE"""),"Assist Module Bonus - Generator")</f>
        <v>Assist Module Bonus - Generator</v>
      </c>
      <c r="T10" s="1417">
        <v>0.0</v>
      </c>
      <c r="U10" s="1417">
        <v>30.0</v>
      </c>
      <c r="V10" s="1417">
        <f>IFERROR(__xludf.DUMMYFUNCTION("""COMPUTED_VALUE"""),0.0)</f>
        <v>0</v>
      </c>
      <c r="W10" s="1416">
        <v>0.0</v>
      </c>
      <c r="X10" s="1417"/>
    </row>
    <row r="11">
      <c r="A11" s="1404"/>
      <c r="B11" s="1418"/>
      <c r="C11" s="1462">
        <v>9.0</v>
      </c>
      <c r="D11" s="1445">
        <f t="shared" si="2"/>
        <v>1220</v>
      </c>
      <c r="E11" s="140"/>
      <c r="F11" s="1446" t="str">
        <f>IFERROR(__xludf.DUMMYFUNCTION("""COMPUTED_VALUE"""),"Workshop Defense Discount")</f>
        <v>Workshop Defense Discount</v>
      </c>
      <c r="G11" s="1453">
        <f>IFERROR(__xludf.DUMMYFUNCTION("""COMPUTED_VALUE"""),29.0)</f>
        <v>29</v>
      </c>
      <c r="H11" s="1448">
        <f t="shared" si="3"/>
        <v>0.1592284727</v>
      </c>
      <c r="I11" s="1449" t="str">
        <f t="shared" si="4"/>
        <v>117.77 K</v>
      </c>
      <c r="J11" s="1423" t="str">
        <f t="shared" si="5"/>
        <v>0d 10h 56m</v>
      </c>
      <c r="K11" s="1431"/>
      <c r="L11" s="1431"/>
      <c r="M11" s="1431"/>
      <c r="N11" s="1438" t="str">
        <f>IFERROR(__xludf.DUMMYFUNCTION("""COMPUTED_VALUE"""),"T2 50")</f>
        <v>T2 50</v>
      </c>
      <c r="O11" s="1442"/>
      <c r="P11" s="1463" t="s">
        <v>735</v>
      </c>
      <c r="Q11" s="1464" t="b">
        <f>IDS_UW_OWN(P11)</f>
        <v>1</v>
      </c>
      <c r="R11" s="1442"/>
      <c r="S11" s="1465" t="str">
        <f>IFERROR(__xludf.DUMMYFUNCTION("""COMPUTED_VALUE"""),"Assist Module Substats - Armor")</f>
        <v>Assist Module Substats - Armor</v>
      </c>
      <c r="T11" s="1417">
        <v>0.0</v>
      </c>
      <c r="U11" s="1417">
        <v>30.0</v>
      </c>
      <c r="V11" s="1417">
        <f>IFERROR(__xludf.DUMMYFUNCTION("""COMPUTED_VALUE"""),0.0)</f>
        <v>0</v>
      </c>
      <c r="W11" s="1416">
        <v>0.0</v>
      </c>
      <c r="X11" s="1417"/>
    </row>
    <row r="12">
      <c r="A12" s="1404"/>
      <c r="B12" s="1418"/>
      <c r="C12" s="1466">
        <v>10.0</v>
      </c>
      <c r="D12" s="1445">
        <f t="shared" si="2"/>
        <v>1260</v>
      </c>
      <c r="E12" s="140"/>
      <c r="F12" s="1446" t="str">
        <f>IFERROR(__xludf.DUMMYFUNCTION("""COMPUTED_VALUE"""),"Workshop Defense Discount")</f>
        <v>Workshop Defense Discount</v>
      </c>
      <c r="G12" s="1453">
        <f>IFERROR(__xludf.DUMMYFUNCTION("""COMPUTED_VALUE"""),30.0)</f>
        <v>30</v>
      </c>
      <c r="H12" s="1448">
        <f t="shared" si="3"/>
        <v>0.1729094114</v>
      </c>
      <c r="I12" s="1449" t="str">
        <f t="shared" si="4"/>
        <v>129.23 K</v>
      </c>
      <c r="J12" s="1423" t="str">
        <f t="shared" si="5"/>
        <v>0d 15h  5m</v>
      </c>
      <c r="K12" s="1431"/>
      <c r="L12" s="1467" t="s">
        <v>736</v>
      </c>
      <c r="M12" s="1431"/>
      <c r="N12" s="1438" t="str">
        <f>IFERROR(__xludf.DUMMYFUNCTION("""COMPUTED_VALUE"""),"T2 60")</f>
        <v>T2 60</v>
      </c>
      <c r="O12" s="1439"/>
      <c r="P12" s="1440" t="s">
        <v>737</v>
      </c>
      <c r="Q12" s="1464" t="b">
        <f>IDS_UW_OWN("Smart Missiles")</f>
        <v>0</v>
      </c>
      <c r="R12" s="1456"/>
      <c r="S12" s="1443" t="str">
        <f>IFERROR(__xludf.DUMMYFUNCTION("""COMPUTED_VALUE"""),"Assist Module Substats - Cannon")</f>
        <v>Assist Module Substats - Cannon</v>
      </c>
      <c r="T12" s="1417">
        <v>0.0</v>
      </c>
      <c r="U12" s="1417">
        <v>30.0</v>
      </c>
      <c r="V12" s="1417">
        <f>IFERROR(__xludf.DUMMYFUNCTION("""COMPUTED_VALUE"""),0.0)</f>
        <v>0</v>
      </c>
      <c r="W12" s="1416">
        <v>0.0</v>
      </c>
      <c r="X12" s="1417"/>
    </row>
    <row r="13">
      <c r="A13" s="1404"/>
      <c r="B13" s="1418"/>
      <c r="C13" s="1468"/>
      <c r="D13" s="1445">
        <f t="shared" si="2"/>
        <v>460</v>
      </c>
      <c r="E13" s="140"/>
      <c r="F13" s="1446" t="str">
        <f>IFERROR(__xludf.DUMMYFUNCTION("""COMPUTED_VALUE"""),"Wall Rebuild")</f>
        <v>Wall Rebuild</v>
      </c>
      <c r="G13" s="1453">
        <f>IFERROR(__xludf.DUMMYFUNCTION("""COMPUTED_VALUE"""),10.0)</f>
        <v>10</v>
      </c>
      <c r="H13" s="1448">
        <f t="shared" si="3"/>
        <v>0.4418060534</v>
      </c>
      <c r="I13" s="1449" t="str">
        <f t="shared" si="4"/>
        <v>6.17 B</v>
      </c>
      <c r="J13" s="1423" t="str">
        <f t="shared" si="5"/>
        <v>1d  1h 41m</v>
      </c>
      <c r="K13" s="1431"/>
      <c r="L13" s="1469">
        <v>10.0</v>
      </c>
      <c r="M13" s="1431"/>
      <c r="N13" s="1438" t="str">
        <f>IFERROR(__xludf.DUMMYFUNCTION("""COMPUTED_VALUE"""),"T2 80")</f>
        <v>T2 80</v>
      </c>
      <c r="O13" s="1439"/>
      <c r="P13" s="1440" t="s">
        <v>738</v>
      </c>
      <c r="Q13" s="1456" t="b">
        <f t="shared" ref="Q13:Q14" si="6">IDS_UW_OWN(P13)</f>
        <v>1</v>
      </c>
      <c r="R13" s="1442"/>
      <c r="S13" s="1443" t="str">
        <f>IFERROR(__xludf.DUMMYFUNCTION("""COMPUTED_VALUE"""),"Assist Module Substats - Core")</f>
        <v>Assist Module Substats - Core</v>
      </c>
      <c r="T13" s="1417">
        <v>0.0</v>
      </c>
      <c r="U13" s="1417">
        <v>30.0</v>
      </c>
      <c r="V13" s="1417">
        <f>IFERROR(__xludf.DUMMYFUNCTION("""COMPUTED_VALUE"""),0.0)</f>
        <v>0</v>
      </c>
      <c r="W13" s="1416">
        <v>0.0</v>
      </c>
      <c r="X13" s="1417"/>
    </row>
    <row r="14">
      <c r="A14" s="1404"/>
      <c r="B14" s="1418"/>
      <c r="C14" s="1470"/>
      <c r="D14" s="1445">
        <f t="shared" si="2"/>
        <v>1180</v>
      </c>
      <c r="E14" s="1471"/>
      <c r="F14" s="1446" t="str">
        <f>IFERROR(__xludf.DUMMYFUNCTION("""COMPUTED_VALUE"""),"Workshop Attack Discount")</f>
        <v>Workshop Attack Discount</v>
      </c>
      <c r="G14" s="1453">
        <f>IFERROR(__xludf.DUMMYFUNCTION("""COMPUTED_VALUE"""),28.0)</f>
        <v>28</v>
      </c>
      <c r="H14" s="1448">
        <f t="shared" si="3"/>
        <v>0.146209515</v>
      </c>
      <c r="I14" s="1449" t="str">
        <f t="shared" si="4"/>
        <v>106.97 K</v>
      </c>
      <c r="J14" s="1423" t="str">
        <f t="shared" si="5"/>
        <v>1d  5h 11m</v>
      </c>
      <c r="K14" s="1431"/>
      <c r="L14" s="1431"/>
      <c r="M14" s="1431"/>
      <c r="N14" s="1438" t="str">
        <f>IFERROR(__xludf.DUMMYFUNCTION("""COMPUTED_VALUE"""),"T2 150")</f>
        <v>T2 150</v>
      </c>
      <c r="O14" s="1442"/>
      <c r="P14" s="1440" t="s">
        <v>739</v>
      </c>
      <c r="Q14" s="1464" t="b">
        <f t="shared" si="6"/>
        <v>1</v>
      </c>
      <c r="R14" s="1442"/>
      <c r="S14" s="1443" t="str">
        <f>IFERROR(__xludf.DUMMYFUNCTION("""COMPUTED_VALUE"""),"Assist Module Substats - Generator")</f>
        <v>Assist Module Substats - Generator</v>
      </c>
      <c r="T14" s="1417">
        <v>0.0</v>
      </c>
      <c r="U14" s="1417">
        <v>30.0</v>
      </c>
      <c r="V14" s="1417">
        <f>IFERROR(__xludf.DUMMYFUNCTION("""COMPUTED_VALUE"""),0.0)</f>
        <v>0</v>
      </c>
      <c r="W14" s="1416">
        <v>0.0</v>
      </c>
      <c r="X14" s="1417"/>
    </row>
    <row r="15">
      <c r="A15" s="1404"/>
      <c r="B15" s="1418"/>
      <c r="C15" s="1470"/>
      <c r="D15" s="1445">
        <f t="shared" si="2"/>
        <v>1220</v>
      </c>
      <c r="E15" s="1471"/>
      <c r="F15" s="1446" t="str">
        <f>IFERROR(__xludf.DUMMYFUNCTION("""COMPUTED_VALUE"""),"Workshop Attack Discount")</f>
        <v>Workshop Attack Discount</v>
      </c>
      <c r="G15" s="1453">
        <f>IFERROR(__xludf.DUMMYFUNCTION("""COMPUTED_VALUE"""),29.0)</f>
        <v>29</v>
      </c>
      <c r="H15" s="1448">
        <f t="shared" si="3"/>
        <v>0.1592284727</v>
      </c>
      <c r="I15" s="1449" t="str">
        <f t="shared" si="4"/>
        <v>117.77 K</v>
      </c>
      <c r="J15" s="1423" t="str">
        <f t="shared" si="5"/>
        <v>1d  9h  1m</v>
      </c>
      <c r="K15" s="1431"/>
      <c r="L15" s="1472" t="s">
        <v>740</v>
      </c>
      <c r="M15" s="1431"/>
      <c r="N15" s="1438" t="str">
        <f>IFERROR(__xludf.DUMMYFUNCTION("""COMPUTED_VALUE"""),"T2 250")</f>
        <v>T2 250</v>
      </c>
      <c r="O15" s="1442"/>
      <c r="P15" s="1440" t="s">
        <v>741</v>
      </c>
      <c r="Q15" s="1464" t="b">
        <f>IDS_UW_OWN("Inner Land Mines")</f>
        <v>0</v>
      </c>
      <c r="R15" s="1442"/>
      <c r="S15" s="1443" t="str">
        <f>IFERROR(__xludf.DUMMYFUNCTION("""COMPUTED_VALUE"""),"Attack Speed")</f>
        <v>Attack Speed</v>
      </c>
      <c r="T15" s="1417">
        <v>75.0</v>
      </c>
      <c r="U15" s="1417">
        <v>99.0</v>
      </c>
      <c r="V15" s="1417">
        <f>IFERROR(__xludf.DUMMYFUNCTION("""COMPUTED_VALUE"""),75.0)</f>
        <v>75</v>
      </c>
      <c r="W15" s="1416">
        <v>0.0</v>
      </c>
      <c r="X15" s="1417"/>
    </row>
    <row r="16">
      <c r="A16" s="1404"/>
      <c r="B16" s="1418"/>
      <c r="C16" s="1470"/>
      <c r="D16" s="1445">
        <f t="shared" si="2"/>
        <v>1260</v>
      </c>
      <c r="E16" s="1471"/>
      <c r="F16" s="1446" t="str">
        <f>IFERROR(__xludf.DUMMYFUNCTION("""COMPUTED_VALUE"""),"Workshop Attack Discount")</f>
        <v>Workshop Attack Discount</v>
      </c>
      <c r="G16" s="1453">
        <f>IFERROR(__xludf.DUMMYFUNCTION("""COMPUTED_VALUE"""),30.0)</f>
        <v>30</v>
      </c>
      <c r="H16" s="1448">
        <f t="shared" si="3"/>
        <v>0.1729094114</v>
      </c>
      <c r="I16" s="1449" t="str">
        <f t="shared" si="4"/>
        <v>129.23 K</v>
      </c>
      <c r="J16" s="1423" t="str">
        <f t="shared" si="5"/>
        <v>1d 13h 10m</v>
      </c>
      <c r="K16" s="1431"/>
      <c r="L16" s="1469">
        <v>200.0</v>
      </c>
      <c r="M16" s="1431"/>
      <c r="N16" s="1438" t="str">
        <f>IFERROR(__xludf.DUMMYFUNCTION("""COMPUTED_VALUE"""),"T2 400")</f>
        <v>T2 400</v>
      </c>
      <c r="O16" s="1439"/>
      <c r="P16" s="1440" t="s">
        <v>742</v>
      </c>
      <c r="Q16" s="1456" t="b">
        <f>IDS_UW_OWN(P16)</f>
        <v>1</v>
      </c>
      <c r="R16" s="1456"/>
      <c r="S16" s="1443" t="str">
        <f>IFERROR(__xludf.DUMMYFUNCTION("""COMPUTED_VALUE"""),"Attack Speed Mastery")</f>
        <v>Attack Speed Mastery</v>
      </c>
      <c r="T16" s="1417">
        <v>0.0</v>
      </c>
      <c r="U16" s="1417">
        <v>9.0</v>
      </c>
      <c r="V16" s="1417">
        <f>IFERROR(__xludf.DUMMYFUNCTION("""COMPUTED_VALUE"""),0.0)</f>
        <v>0</v>
      </c>
      <c r="W16" s="1416">
        <v>0.0</v>
      </c>
      <c r="X16" s="1417"/>
    </row>
    <row r="17">
      <c r="A17" s="1404"/>
      <c r="B17" s="1418"/>
      <c r="C17" s="1470"/>
      <c r="D17" s="1445">
        <f t="shared" si="2"/>
        <v>1420</v>
      </c>
      <c r="E17" s="1471"/>
      <c r="F17" s="1446" t="str">
        <f>IFERROR(__xludf.DUMMYFUNCTION("""COMPUTED_VALUE"""),"Cash Bonus")</f>
        <v>Cash Bonus</v>
      </c>
      <c r="G17" s="1453">
        <f>IFERROR(__xludf.DUMMYFUNCTION("""COMPUTED_VALUE"""),34.0)</f>
        <v>34</v>
      </c>
      <c r="H17" s="1448">
        <f t="shared" si="3"/>
        <v>0.234341239</v>
      </c>
      <c r="I17" s="1449" t="str">
        <f t="shared" si="4"/>
        <v>182.15 K</v>
      </c>
      <c r="J17" s="1423" t="str">
        <f t="shared" si="5"/>
        <v>1d 18h 47m</v>
      </c>
      <c r="K17" s="1431"/>
      <c r="L17" s="1431"/>
      <c r="M17" s="1431"/>
      <c r="N17" s="1438" t="str">
        <f>IFERROR(__xludf.DUMMYFUNCTION("""COMPUTED_VALUE"""),"T2 1000")</f>
        <v>T2 1000</v>
      </c>
      <c r="O17" s="1439"/>
      <c r="P17" s="1440" t="s">
        <v>743</v>
      </c>
      <c r="Q17" s="1464" t="b">
        <f>IDS_UW_OWN("Poison Swamp")</f>
        <v>0</v>
      </c>
      <c r="R17" s="1442"/>
      <c r="S17" s="1443" t="str">
        <f>IFERROR(__xludf.DUMMYFUNCTION("""COMPUTED_VALUE"""),"Auto Pick Ranking")</f>
        <v>Auto Pick Ranking</v>
      </c>
      <c r="T17" s="1417">
        <v>12.0</v>
      </c>
      <c r="U17" s="1417">
        <v>32.0</v>
      </c>
      <c r="V17" s="1417">
        <f>IFERROR(__xludf.DUMMYFUNCTION("""COMPUTED_VALUE"""),12.0)</f>
        <v>12</v>
      </c>
      <c r="W17" s="1416">
        <v>0.0</v>
      </c>
      <c r="X17" s="1417"/>
    </row>
    <row r="18">
      <c r="A18" s="1404"/>
      <c r="B18" s="1410"/>
      <c r="C18" s="1473"/>
      <c r="D18" s="1445">
        <f t="shared" si="2"/>
        <v>1460</v>
      </c>
      <c r="E18" s="1471"/>
      <c r="F18" s="1446" t="str">
        <f>IFERROR(__xludf.DUMMYFUNCTION("""COMPUTED_VALUE"""),"Cash Bonus")</f>
        <v>Cash Bonus</v>
      </c>
      <c r="G18" s="1453">
        <f>IFERROR(__xludf.DUMMYFUNCTION("""COMPUTED_VALUE"""),35.0)</f>
        <v>35</v>
      </c>
      <c r="H18" s="1448">
        <f t="shared" si="3"/>
        <v>0.2514203462</v>
      </c>
      <c r="I18" s="1449" t="str">
        <f t="shared" si="4"/>
        <v>197.22 K</v>
      </c>
      <c r="J18" s="1423" t="str">
        <f t="shared" si="5"/>
        <v>2d  0h 49m</v>
      </c>
      <c r="K18" s="1431"/>
      <c r="L18" s="1472" t="s">
        <v>214</v>
      </c>
      <c r="M18" s="1431"/>
      <c r="N18" s="1438" t="str">
        <f>IFERROR(__xludf.DUMMYFUNCTION("""COMPUTED_VALUE"""),"T3 30")</f>
        <v>T3 30</v>
      </c>
      <c r="O18" s="1442"/>
      <c r="P18" s="1440" t="s">
        <v>744</v>
      </c>
      <c r="Q18" s="1464" t="b">
        <f t="shared" ref="Q18:Q19" si="7">IDS_UW_OWN(P18)</f>
        <v>1</v>
      </c>
      <c r="R18" s="1442"/>
      <c r="S18" s="1443" t="str">
        <f>IFERROR(__xludf.DUMMYFUNCTION("""COMPUTED_VALUE"""),"Ban Perks")</f>
        <v>Ban Perks</v>
      </c>
      <c r="T18" s="1417">
        <v>6.0</v>
      </c>
      <c r="U18" s="1417">
        <v>8.0</v>
      </c>
      <c r="V18" s="1417">
        <f>IFERROR(__xludf.DUMMYFUNCTION("""COMPUTED_VALUE"""),6.0)</f>
        <v>6</v>
      </c>
      <c r="W18" s="1416">
        <v>0.0</v>
      </c>
      <c r="X18" s="1417"/>
    </row>
    <row r="19">
      <c r="A19" s="1404"/>
      <c r="B19" s="1410"/>
      <c r="C19" s="1470"/>
      <c r="D19" s="1445">
        <f t="shared" si="2"/>
        <v>1420</v>
      </c>
      <c r="E19" s="1471"/>
      <c r="F19" s="1446" t="str">
        <f>IFERROR(__xludf.DUMMYFUNCTION("""COMPUTED_VALUE"""),"Range")</f>
        <v>Range</v>
      </c>
      <c r="G19" s="1453">
        <f>IFERROR(__xludf.DUMMYFUNCTION("""COMPUTED_VALUE"""),34.0)</f>
        <v>34</v>
      </c>
      <c r="H19" s="1448">
        <f t="shared" si="3"/>
        <v>0.234341239</v>
      </c>
      <c r="I19" s="1449" t="str">
        <f t="shared" si="4"/>
        <v>182.14 K</v>
      </c>
      <c r="J19" s="1423" t="str">
        <f t="shared" si="5"/>
        <v>2d  6h 27m</v>
      </c>
      <c r="K19" s="1431"/>
      <c r="L19" s="1469">
        <v>4.0</v>
      </c>
      <c r="M19" s="1431"/>
      <c r="N19" s="1438" t="str">
        <f>IFERROR(__xludf.DUMMYFUNCTION("""COMPUTED_VALUE"""),"T3 50")</f>
        <v>T3 50</v>
      </c>
      <c r="O19" s="1442"/>
      <c r="P19" s="1440" t="s">
        <v>745</v>
      </c>
      <c r="Q19" s="1464" t="b">
        <f t="shared" si="7"/>
        <v>1</v>
      </c>
      <c r="R19" s="1442"/>
      <c r="S19" s="1443" t="str">
        <f>IFERROR(__xludf.DUMMYFUNCTION("""COMPUTED_VALUE"""),"Battle Condition Reduction")</f>
        <v>Battle Condition Reduction</v>
      </c>
      <c r="T19" s="1417">
        <v>0.0</v>
      </c>
      <c r="U19" s="1417">
        <v>10.0</v>
      </c>
      <c r="V19" s="1417">
        <f>IFERROR(__xludf.DUMMYFUNCTION("""COMPUTED_VALUE"""),0.0)</f>
        <v>0</v>
      </c>
      <c r="W19" s="1416">
        <v>0.0</v>
      </c>
      <c r="X19" s="1417"/>
    </row>
    <row r="20">
      <c r="A20" s="1404"/>
      <c r="B20" s="1410"/>
      <c r="C20" s="1470"/>
      <c r="D20" s="1445">
        <f t="shared" si="2"/>
        <v>1460</v>
      </c>
      <c r="E20" s="1471"/>
      <c r="F20" s="1446" t="str">
        <f>IFERROR(__xludf.DUMMYFUNCTION("""COMPUTED_VALUE"""),"Range")</f>
        <v>Range</v>
      </c>
      <c r="G20" s="1453">
        <f>IFERROR(__xludf.DUMMYFUNCTION("""COMPUTED_VALUE"""),35.0)</f>
        <v>35</v>
      </c>
      <c r="H20" s="1448">
        <f t="shared" si="3"/>
        <v>0.2514203462</v>
      </c>
      <c r="I20" s="1449" t="str">
        <f t="shared" si="4"/>
        <v>197.22 K</v>
      </c>
      <c r="J20" s="1423" t="str">
        <f t="shared" si="5"/>
        <v>2d 12h 29m</v>
      </c>
      <c r="K20" s="1431"/>
      <c r="L20" s="1431"/>
      <c r="M20" s="1431"/>
      <c r="N20" s="1438" t="str">
        <f>IFERROR(__xludf.DUMMYFUNCTION("""COMPUTED_VALUE"""),"T3 80")</f>
        <v>T3 80</v>
      </c>
      <c r="O20" s="1439"/>
      <c r="P20" s="1439"/>
      <c r="Q20" s="1456"/>
      <c r="R20" s="1456"/>
      <c r="S20" s="1443" t="str">
        <f>IFERROR(__xludf.DUMMYFUNCTION("""COMPUTED_VALUE"""),"Berserker Mastery")</f>
        <v>Berserker Mastery</v>
      </c>
      <c r="T20" s="1417">
        <v>0.0</v>
      </c>
      <c r="U20" s="1417">
        <v>9.0</v>
      </c>
      <c r="V20" s="1417">
        <f>IFERROR(__xludf.DUMMYFUNCTION("""COMPUTED_VALUE"""),0.0)</f>
        <v>0</v>
      </c>
      <c r="W20" s="1416">
        <v>0.0</v>
      </c>
      <c r="X20" s="1417"/>
    </row>
    <row r="21">
      <c r="A21" s="1404"/>
      <c r="B21" s="1410"/>
      <c r="C21" s="1470"/>
      <c r="D21" s="1445">
        <f t="shared" si="2"/>
        <v>100</v>
      </c>
      <c r="E21" s="1471"/>
      <c r="F21" s="1446" t="str">
        <f>IFERROR(__xludf.DUMMYFUNCTION("""COMPUTED_VALUE"""),"Inner Mine Blast Radius")</f>
        <v>Inner Mine Blast Radius</v>
      </c>
      <c r="G21" s="1453">
        <f>IFERROR(__xludf.DUMMYFUNCTION("""COMPUTED_VALUE"""),1.0)</f>
        <v>1</v>
      </c>
      <c r="H21" s="1448">
        <f t="shared" si="3"/>
        <v>0.05295847208</v>
      </c>
      <c r="I21" s="1449" t="str">
        <f t="shared" si="4"/>
        <v>445.76 K</v>
      </c>
      <c r="J21" s="1423" t="str">
        <f t="shared" si="5"/>
        <v>2d 13h 45m</v>
      </c>
      <c r="K21" s="1431"/>
      <c r="L21" s="1472" t="s">
        <v>746</v>
      </c>
      <c r="M21" s="1431"/>
      <c r="N21" s="1438" t="str">
        <f>IFERROR(__xludf.DUMMYFUNCTION("""COMPUTED_VALUE"""),"T3 150")</f>
        <v>T3 150</v>
      </c>
      <c r="O21" s="1438"/>
      <c r="P21" s="1438"/>
      <c r="Q21" s="1438"/>
      <c r="R21" s="1438"/>
      <c r="S21" s="1443" t="str">
        <f>IFERROR(__xludf.DUMMYFUNCTION("""COMPUTED_VALUE"""),"Boss Attack")</f>
        <v>Boss Attack</v>
      </c>
      <c r="T21" s="1417">
        <v>0.0</v>
      </c>
      <c r="U21" s="1417">
        <v>30.0</v>
      </c>
      <c r="V21" s="1417">
        <f>IFERROR(__xludf.DUMMYFUNCTION("""COMPUTED_VALUE"""),5.0)</f>
        <v>5</v>
      </c>
      <c r="W21" s="1416">
        <v>0.9670217002635212</v>
      </c>
      <c r="X21" s="1417"/>
    </row>
    <row r="22">
      <c r="A22" s="1404"/>
      <c r="B22" s="1410"/>
      <c r="C22" s="1470"/>
      <c r="D22" s="1445">
        <f t="shared" si="2"/>
        <v>140</v>
      </c>
      <c r="E22" s="1471"/>
      <c r="F22" s="1446" t="str">
        <f>IFERROR(__xludf.DUMMYFUNCTION("""COMPUTED_VALUE"""),"Inner Mine Blast Radius")</f>
        <v>Inner Mine Blast Radius</v>
      </c>
      <c r="G22" s="1453">
        <f>IFERROR(__xludf.DUMMYFUNCTION("""COMPUTED_VALUE"""),2.0)</f>
        <v>2</v>
      </c>
      <c r="H22" s="1448">
        <f t="shared" si="3"/>
        <v>0.07506863418</v>
      </c>
      <c r="I22" s="1449" t="str">
        <f t="shared" si="4"/>
        <v>875.6 K</v>
      </c>
      <c r="J22" s="1423" t="str">
        <f t="shared" si="5"/>
        <v>2d 15h 33m</v>
      </c>
      <c r="K22" s="1431"/>
      <c r="L22" s="1474" t="str">
        <f>IFERROR(__xludf.DUMMYFUNCTION("LET(
  achievements, FILTER(N5:N705,
    VALUE(REGEXEXTRACT(N5:N705, ""\s(\d+)$"")) &lt;=
    XLOOKUP(
      VALUE(REGEXEXTRACT(N5:N705, ""T(\d+)"")),
      VALUE(REGEXEXTRACT('_IDS'!BZ3:BZ23, ""\d+"")), '_IDS'!CA3:CA23)),
IFERROR(INDEX(
  SORT(achievements"&amp;",
    VALUE(REGEXEXTRACT(achievements, ""T(\d+)"")), FALSE,
    VALUE(REGEXEXTRACT(achievements, ""\s(\d+)$"")), FALSE),
  1), ""T1 150"")
)"),"T19 50")</f>
        <v>T19 50</v>
      </c>
      <c r="M22" s="1431"/>
      <c r="N22" s="1438" t="str">
        <f>IFERROR(__xludf.DUMMYFUNCTION("""COMPUTED_VALUE"""),"T3 200")</f>
        <v>T3 200</v>
      </c>
      <c r="O22" s="1438"/>
      <c r="P22" s="1438"/>
      <c r="Q22" s="1438"/>
      <c r="R22" s="1438"/>
      <c r="S22" s="1443" t="str">
        <f>IFERROR(__xludf.DUMMYFUNCTION("""COMPUTED_VALUE"""),"Boss Health")</f>
        <v>Boss Health</v>
      </c>
      <c r="T22" s="1417">
        <v>0.0</v>
      </c>
      <c r="U22" s="1417">
        <v>30.0</v>
      </c>
      <c r="V22" s="1417">
        <f>IFERROR(__xludf.DUMMYFUNCTION("""COMPUTED_VALUE"""),5.0)</f>
        <v>5</v>
      </c>
      <c r="W22" s="1416">
        <v>0.9670217002635212</v>
      </c>
      <c r="X22" s="1417"/>
    </row>
    <row r="23">
      <c r="A23" s="1404"/>
      <c r="B23" s="1410"/>
      <c r="C23" s="1470"/>
      <c r="D23" s="1445">
        <f t="shared" si="2"/>
        <v>180</v>
      </c>
      <c r="E23" s="1471"/>
      <c r="F23" s="1446" t="str">
        <f>IFERROR(__xludf.DUMMYFUNCTION("""COMPUTED_VALUE"""),"Inner Mine Blast Radius")</f>
        <v>Inner Mine Blast Radius</v>
      </c>
      <c r="G23" s="1453">
        <f>IFERROR(__xludf.DUMMYFUNCTION("""COMPUTED_VALUE"""),3.0)</f>
        <v>3</v>
      </c>
      <c r="H23" s="1448">
        <f t="shared" si="3"/>
        <v>0.09766424894</v>
      </c>
      <c r="I23" s="1449" t="str">
        <f t="shared" si="4"/>
        <v>2.23 M</v>
      </c>
      <c r="J23" s="1423" t="str">
        <f t="shared" si="5"/>
        <v>2d 17h 54m</v>
      </c>
      <c r="K23" s="1431"/>
      <c r="L23" s="1431"/>
      <c r="M23" s="1431"/>
      <c r="N23" s="1438" t="str">
        <f>IFERROR(__xludf.DUMMYFUNCTION("""COMPUTED_VALUE"""),"T3 250")</f>
        <v>T3 250</v>
      </c>
      <c r="O23" s="1438"/>
      <c r="P23" s="1438"/>
      <c r="Q23" s="1438"/>
      <c r="R23" s="1438"/>
      <c r="S23" s="1443" t="str">
        <f>IFERROR(__xludf.DUMMYFUNCTION("""COMPUTED_VALUE"""),"Cannon Effect Bans")</f>
        <v>Cannon Effect Bans</v>
      </c>
      <c r="T23" s="1417">
        <v>0.0</v>
      </c>
      <c r="U23" s="1417">
        <v>4.0</v>
      </c>
      <c r="V23" s="1417">
        <f>IFERROR(__xludf.DUMMYFUNCTION("""COMPUTED_VALUE"""),0.0)</f>
        <v>0</v>
      </c>
      <c r="W23" s="1416">
        <v>0.0</v>
      </c>
      <c r="X23" s="1417"/>
    </row>
    <row r="24">
      <c r="A24" s="1404"/>
      <c r="B24" s="1410"/>
      <c r="C24" s="1470"/>
      <c r="D24" s="1445">
        <f t="shared" si="2"/>
        <v>220</v>
      </c>
      <c r="E24" s="1471"/>
      <c r="F24" s="1446" t="str">
        <f>IFERROR(__xludf.DUMMYFUNCTION("""COMPUTED_VALUE"""),"Inner Mine Blast Radius")</f>
        <v>Inner Mine Blast Radius</v>
      </c>
      <c r="G24" s="1453">
        <f>IFERROR(__xludf.DUMMYFUNCTION("""COMPUTED_VALUE"""),4.0)</f>
        <v>4</v>
      </c>
      <c r="H24" s="1448">
        <f t="shared" si="3"/>
        <v>0.1215396934</v>
      </c>
      <c r="I24" s="1449" t="str">
        <f t="shared" si="4"/>
        <v>6.17 M</v>
      </c>
      <c r="J24" s="1423" t="str">
        <f t="shared" si="5"/>
        <v>2d 20h 49m</v>
      </c>
      <c r="K24" s="1431"/>
      <c r="L24" s="1472" t="s">
        <v>747</v>
      </c>
      <c r="M24" s="1431"/>
      <c r="N24" s="1438" t="str">
        <f>IFERROR(__xludf.DUMMYFUNCTION("""COMPUTED_VALUE"""),"T3 300")</f>
        <v>T3 300</v>
      </c>
      <c r="O24" s="1438"/>
      <c r="P24" s="1438"/>
      <c r="Q24" s="1438"/>
      <c r="R24" s="1438"/>
      <c r="S24" s="1443" t="str">
        <f>IFERROR(__xludf.DUMMYFUNCTION("""COMPUTED_VALUE"""),"Cash / Wave")</f>
        <v>Cash / Wave</v>
      </c>
      <c r="T24" s="1417">
        <v>8.0</v>
      </c>
      <c r="U24" s="1417">
        <v>99.0</v>
      </c>
      <c r="V24" s="1417">
        <f>IFERROR(__xludf.DUMMYFUNCTION("""COMPUTED_VALUE"""),25.0)</f>
        <v>25</v>
      </c>
      <c r="W24" s="1416">
        <v>0.845746799189947</v>
      </c>
      <c r="X24" s="1417"/>
    </row>
    <row r="25">
      <c r="A25" s="1404"/>
      <c r="B25" s="1410"/>
      <c r="C25" s="1470"/>
      <c r="D25" s="1445">
        <f t="shared" si="2"/>
        <v>260</v>
      </c>
      <c r="E25" s="1471"/>
      <c r="F25" s="1446" t="str">
        <f>IFERROR(__xludf.DUMMYFUNCTION("""COMPUTED_VALUE"""),"Inner Mine Blast Radius")</f>
        <v>Inner Mine Blast Radius</v>
      </c>
      <c r="G25" s="1453">
        <f>IFERROR(__xludf.DUMMYFUNCTION("""COMPUTED_VALUE"""),5.0)</f>
        <v>5</v>
      </c>
      <c r="H25" s="1448">
        <f t="shared" si="3"/>
        <v>0.1477982692</v>
      </c>
      <c r="I25" s="1449" t="str">
        <f t="shared" si="4"/>
        <v>15.55 M</v>
      </c>
      <c r="J25" s="1423" t="str">
        <f t="shared" si="5"/>
        <v>3d  0h 21m</v>
      </c>
      <c r="K25" s="1431"/>
      <c r="L25" s="1469" t="b">
        <v>1</v>
      </c>
      <c r="M25" s="1431"/>
      <c r="N25" s="1438" t="str">
        <f>IFERROR(__xludf.DUMMYFUNCTION("""COMPUTED_VALUE"""),"T3 400")</f>
        <v>T3 400</v>
      </c>
      <c r="O25" s="1438"/>
      <c r="P25" s="1438"/>
      <c r="Q25" s="1438"/>
      <c r="R25" s="1438"/>
      <c r="S25" s="1443" t="str">
        <f>IFERROR(__xludf.DUMMYFUNCTION("""COMPUTED_VALUE"""),"Cash Bonus")</f>
        <v>Cash Bonus</v>
      </c>
      <c r="T25" s="1417">
        <v>33.0</v>
      </c>
      <c r="U25" s="1417">
        <v>99.0</v>
      </c>
      <c r="V25" s="1417">
        <f>IFERROR(__xludf.DUMMYFUNCTION("""COMPUTED_VALUE"""),35.0)</f>
        <v>35</v>
      </c>
      <c r="W25" s="1416">
        <v>0.4857615851953532</v>
      </c>
      <c r="X25" s="1417"/>
    </row>
    <row r="26">
      <c r="A26" s="1404"/>
      <c r="B26" s="1410"/>
      <c r="C26" s="1470"/>
      <c r="D26" s="1445">
        <f t="shared" si="2"/>
        <v>100</v>
      </c>
      <c r="E26" s="1471"/>
      <c r="F26" s="1446" t="str">
        <f>IFERROR(__xludf.DUMMYFUNCTION("""COMPUTED_VALUE"""),"Inner Mine Rotation Speed")</f>
        <v>Inner Mine Rotation Speed</v>
      </c>
      <c r="G26" s="1453">
        <f>IFERROR(__xludf.DUMMYFUNCTION("""COMPUTED_VALUE"""),1.0)</f>
        <v>1</v>
      </c>
      <c r="H26" s="1448">
        <f t="shared" si="3"/>
        <v>0.05295847208</v>
      </c>
      <c r="I26" s="1449" t="str">
        <f t="shared" si="4"/>
        <v>445.76 K</v>
      </c>
      <c r="J26" s="1423" t="str">
        <f t="shared" si="5"/>
        <v>3d  1h 38m</v>
      </c>
      <c r="K26" s="1431"/>
      <c r="L26" s="1431"/>
      <c r="M26" s="1431"/>
      <c r="N26" s="1438" t="str">
        <f>IFERROR(__xludf.DUMMYFUNCTION("""COMPUTED_VALUE"""),"T4 30")</f>
        <v>T4 30</v>
      </c>
      <c r="O26" s="1438"/>
      <c r="P26" s="1438"/>
      <c r="Q26" s="1438"/>
      <c r="R26" s="1438"/>
      <c r="S26" s="1443" t="str">
        <f>IFERROR(__xludf.DUMMYFUNCTION("""COMPUTED_VALUE"""),"Cash Mastery")</f>
        <v>Cash Mastery</v>
      </c>
      <c r="T26" s="1417">
        <v>1.0</v>
      </c>
      <c r="U26" s="1417">
        <v>9.0</v>
      </c>
      <c r="V26" s="1417">
        <f>IFERROR(__xludf.DUMMYFUNCTION("""COMPUTED_VALUE"""),1.0)</f>
        <v>1</v>
      </c>
      <c r="W26" s="1416">
        <v>0.0</v>
      </c>
      <c r="X26" s="1417"/>
    </row>
    <row r="27">
      <c r="A27" s="1404"/>
      <c r="B27" s="1410"/>
      <c r="C27" s="1470"/>
      <c r="D27" s="1445">
        <f t="shared" si="2"/>
        <v>140</v>
      </c>
      <c r="E27" s="1471"/>
      <c r="F27" s="1446" t="str">
        <f>IFERROR(__xludf.DUMMYFUNCTION("""COMPUTED_VALUE"""),"Inner Mine Rotation Speed")</f>
        <v>Inner Mine Rotation Speed</v>
      </c>
      <c r="G27" s="1453">
        <f>IFERROR(__xludf.DUMMYFUNCTION("""COMPUTED_VALUE"""),2.0)</f>
        <v>2</v>
      </c>
      <c r="H27" s="1448">
        <f t="shared" si="3"/>
        <v>0.07506863418</v>
      </c>
      <c r="I27" s="1449" t="str">
        <f t="shared" si="4"/>
        <v>875.6 K</v>
      </c>
      <c r="J27" s="1423" t="str">
        <f t="shared" si="5"/>
        <v>3d  3h 26m</v>
      </c>
      <c r="K27" s="1431"/>
      <c r="L27" s="1431"/>
      <c r="M27" s="1431"/>
      <c r="N27" s="1438" t="str">
        <f>IFERROR(__xludf.DUMMYFUNCTION("""COMPUTED_VALUE"""),"T4 50")</f>
        <v>T4 50</v>
      </c>
      <c r="O27" s="1438"/>
      <c r="P27" s="1438"/>
      <c r="Q27" s="1438"/>
      <c r="R27" s="1438"/>
      <c r="S27" s="1443" t="str">
        <f>IFERROR(__xludf.DUMMYFUNCTION("""COMPUTED_VALUE"""),"Chain Thunder")</f>
        <v>Chain Thunder</v>
      </c>
      <c r="T27" s="1417">
        <v>12.0</v>
      </c>
      <c r="U27" s="1417">
        <v>30.0</v>
      </c>
      <c r="V27" s="1417">
        <f>IFERROR(__xludf.DUMMYFUNCTION("""COMPUTED_VALUE"""),12.0)</f>
        <v>12</v>
      </c>
      <c r="W27" s="1416">
        <v>0.0</v>
      </c>
      <c r="X27" s="1417"/>
    </row>
    <row r="28">
      <c r="A28" s="1404"/>
      <c r="B28" s="1410"/>
      <c r="C28" s="1470"/>
      <c r="D28" s="1445">
        <f t="shared" si="2"/>
        <v>180</v>
      </c>
      <c r="E28" s="1471"/>
      <c r="F28" s="1446" t="str">
        <f>IFERROR(__xludf.DUMMYFUNCTION("""COMPUTED_VALUE"""),"Inner Mine Rotation Speed")</f>
        <v>Inner Mine Rotation Speed</v>
      </c>
      <c r="G28" s="1453">
        <f>IFERROR(__xludf.DUMMYFUNCTION("""COMPUTED_VALUE"""),3.0)</f>
        <v>3</v>
      </c>
      <c r="H28" s="1448">
        <f t="shared" si="3"/>
        <v>0.09766424894</v>
      </c>
      <c r="I28" s="1449" t="str">
        <f t="shared" si="4"/>
        <v>2.23 M</v>
      </c>
      <c r="J28" s="1423" t="str">
        <f t="shared" si="5"/>
        <v>3d  5h 46m</v>
      </c>
      <c r="K28" s="1431"/>
      <c r="L28" s="1431"/>
      <c r="M28" s="1431"/>
      <c r="N28" s="1438" t="str">
        <f>IFERROR(__xludf.DUMMYFUNCTION("""COMPUTED_VALUE"""),"T4 70")</f>
        <v>T4 70</v>
      </c>
      <c r="O28" s="1438"/>
      <c r="P28" s="1438"/>
      <c r="Q28" s="1438"/>
      <c r="R28" s="1438"/>
      <c r="S28" s="1443" t="str">
        <f>IFERROR(__xludf.DUMMYFUNCTION("""COMPUTED_VALUE"""),"Chrono Field Range")</f>
        <v>Chrono Field Range</v>
      </c>
      <c r="T28" s="1417">
        <v>17.0</v>
      </c>
      <c r="U28" s="1417">
        <v>20.0</v>
      </c>
      <c r="V28" s="1417">
        <f>IFERROR(__xludf.DUMMYFUNCTION("""COMPUTED_VALUE"""),17.0)</f>
        <v>17</v>
      </c>
      <c r="W28" s="1416">
        <v>0.0</v>
      </c>
      <c r="X28" s="1417"/>
    </row>
    <row r="29">
      <c r="A29" s="1404"/>
      <c r="B29" s="1410"/>
      <c r="C29" s="1470"/>
      <c r="D29" s="1445">
        <f t="shared" si="2"/>
        <v>220</v>
      </c>
      <c r="E29" s="1471"/>
      <c r="F29" s="1446" t="str">
        <f>IFERROR(__xludf.DUMMYFUNCTION("""COMPUTED_VALUE"""),"Inner Mine Rotation Speed")</f>
        <v>Inner Mine Rotation Speed</v>
      </c>
      <c r="G29" s="1453">
        <f>IFERROR(__xludf.DUMMYFUNCTION("""COMPUTED_VALUE"""),4.0)</f>
        <v>4</v>
      </c>
      <c r="H29" s="1448">
        <f t="shared" si="3"/>
        <v>0.1215396934</v>
      </c>
      <c r="I29" s="1449" t="str">
        <f t="shared" si="4"/>
        <v>6.17 M</v>
      </c>
      <c r="J29" s="1423" t="str">
        <f t="shared" si="5"/>
        <v>3d  8h 41m</v>
      </c>
      <c r="K29" s="1431"/>
      <c r="L29" s="1475"/>
      <c r="M29" s="1431"/>
      <c r="N29" s="1438" t="str">
        <f>IFERROR(__xludf.DUMMYFUNCTION("""COMPUTED_VALUE"""),"T4 80")</f>
        <v>T4 80</v>
      </c>
      <c r="O29" s="1438"/>
      <c r="P29" s="1438"/>
      <c r="Q29" s="1438"/>
      <c r="R29" s="1438"/>
      <c r="S29" s="1443" t="str">
        <f>IFERROR(__xludf.DUMMYFUNCTION("""COMPUTED_VALUE"""),"Chrono Field Reduction %")</f>
        <v>Chrono Field Reduction %</v>
      </c>
      <c r="T29" s="1417">
        <v>20.0</v>
      </c>
      <c r="U29" s="1417">
        <v>30.0</v>
      </c>
      <c r="V29" s="1417">
        <f>IFERROR(__xludf.DUMMYFUNCTION("""COMPUTED_VALUE"""),20.0)</f>
        <v>20</v>
      </c>
      <c r="W29" s="1416">
        <v>0.0</v>
      </c>
      <c r="X29" s="1417"/>
    </row>
    <row r="30">
      <c r="A30" s="1404"/>
      <c r="B30" s="1410"/>
      <c r="C30" s="1470"/>
      <c r="D30" s="1445">
        <f t="shared" si="2"/>
        <v>260</v>
      </c>
      <c r="E30" s="1471"/>
      <c r="F30" s="1446" t="str">
        <f>IFERROR(__xludf.DUMMYFUNCTION("""COMPUTED_VALUE"""),"Inner Mine Rotation Speed")</f>
        <v>Inner Mine Rotation Speed</v>
      </c>
      <c r="G30" s="1453">
        <f>IFERROR(__xludf.DUMMYFUNCTION("""COMPUTED_VALUE"""),5.0)</f>
        <v>5</v>
      </c>
      <c r="H30" s="1448">
        <f t="shared" si="3"/>
        <v>0.1477982692</v>
      </c>
      <c r="I30" s="1449" t="str">
        <f t="shared" si="4"/>
        <v>15.55 M</v>
      </c>
      <c r="J30" s="1423" t="str">
        <f t="shared" si="5"/>
        <v>3d 12h 14m</v>
      </c>
      <c r="K30" s="1431"/>
      <c r="L30" s="1431"/>
      <c r="M30" s="1431"/>
      <c r="N30" s="1438" t="str">
        <f>IFERROR(__xludf.DUMMYFUNCTION("""COMPUTED_VALUE"""),"T4 150")</f>
        <v>T4 150</v>
      </c>
      <c r="O30" s="1438"/>
      <c r="P30" s="1438"/>
      <c r="Q30" s="1438"/>
      <c r="R30" s="1438"/>
      <c r="S30" s="1443" t="str">
        <f>IFERROR(__xludf.DUMMYFUNCTION("""COMPUTED_VALUE"""),"Coins / Kill Bonus")</f>
        <v>Coins / Kill Bonus</v>
      </c>
      <c r="T30" s="1417">
        <v>87.0</v>
      </c>
      <c r="U30" s="1417">
        <v>99.0</v>
      </c>
      <c r="V30" s="1417">
        <f>IFERROR(__xludf.DUMMYFUNCTION("""COMPUTED_VALUE"""),87.0)</f>
        <v>87</v>
      </c>
      <c r="W30" s="1416">
        <v>0.0</v>
      </c>
      <c r="X30" s="1417"/>
    </row>
    <row r="31">
      <c r="A31" s="1404"/>
      <c r="B31" s="1410"/>
      <c r="C31" s="1470"/>
      <c r="D31" s="1445">
        <f t="shared" si="2"/>
        <v>540</v>
      </c>
      <c r="E31" s="1471"/>
      <c r="F31" s="1446" t="str">
        <f>IFERROR(__xludf.DUMMYFUNCTION("""COMPUTED_VALUE"""),"Interest")</f>
        <v>Interest</v>
      </c>
      <c r="G31" s="1453">
        <f>IFERROR(__xludf.DUMMYFUNCTION("""COMPUTED_VALUE"""),12.0)</f>
        <v>12</v>
      </c>
      <c r="H31" s="1448">
        <f t="shared" si="3"/>
        <v>0.03031872527</v>
      </c>
      <c r="I31" s="1449" t="str">
        <f t="shared" si="4"/>
        <v>23.25 K</v>
      </c>
      <c r="J31" s="1423" t="str">
        <f t="shared" si="5"/>
        <v>3d 12h 58m</v>
      </c>
      <c r="K31" s="1431"/>
      <c r="L31" s="1431"/>
      <c r="M31" s="1431"/>
      <c r="N31" s="1438" t="str">
        <f>IFERROR(__xludf.DUMMYFUNCTION("""COMPUTED_VALUE"""),"T4 200")</f>
        <v>T4 200</v>
      </c>
      <c r="O31" s="1438"/>
      <c r="P31" s="1438"/>
      <c r="Q31" s="1438"/>
      <c r="R31" s="1438"/>
      <c r="S31" s="1443" t="str">
        <f>IFERROR(__xludf.DUMMYFUNCTION("""COMPUTED_VALUE"""),"Coins / Wave")</f>
        <v>Coins / Wave</v>
      </c>
      <c r="T31" s="1417">
        <v>6.0</v>
      </c>
      <c r="U31" s="1417">
        <v>99.0</v>
      </c>
      <c r="V31" s="1417">
        <f>IFERROR(__xludf.DUMMYFUNCTION("""COMPUTED_VALUE"""),25.0)</f>
        <v>25</v>
      </c>
      <c r="W31" s="1416">
        <v>0.8578831157093186</v>
      </c>
      <c r="X31" s="1417"/>
    </row>
    <row r="32">
      <c r="A32" s="1404"/>
      <c r="B32" s="1410"/>
      <c r="C32" s="1470"/>
      <c r="D32" s="1445">
        <f t="shared" si="2"/>
        <v>580</v>
      </c>
      <c r="E32" s="1471"/>
      <c r="F32" s="1446" t="str">
        <f>IFERROR(__xludf.DUMMYFUNCTION("""COMPUTED_VALUE"""),"Interest")</f>
        <v>Interest</v>
      </c>
      <c r="G32" s="1453">
        <f>IFERROR(__xludf.DUMMYFUNCTION("""COMPUTED_VALUE"""),13.0)</f>
        <v>13</v>
      </c>
      <c r="H32" s="1448">
        <f t="shared" si="3"/>
        <v>0.03733572282</v>
      </c>
      <c r="I32" s="1449" t="str">
        <f t="shared" si="4"/>
        <v>29.73 K</v>
      </c>
      <c r="J32" s="1423" t="str">
        <f t="shared" si="5"/>
        <v>3d 13h 52m</v>
      </c>
      <c r="K32" s="1431"/>
      <c r="L32" s="1431"/>
      <c r="M32" s="1431"/>
      <c r="N32" s="1438" t="str">
        <f>IFERROR(__xludf.DUMMYFUNCTION("""COMPUTED_VALUE"""),"T4 300")</f>
        <v>T4 300</v>
      </c>
      <c r="O32" s="1438"/>
      <c r="P32" s="1438"/>
      <c r="Q32" s="1438"/>
      <c r="R32" s="1438"/>
      <c r="S32" s="1443" t="str">
        <f>IFERROR(__xludf.DUMMYFUNCTION("""COMPUTED_VALUE"""),"Coins Mastery")</f>
        <v>Coins Mastery</v>
      </c>
      <c r="T32" s="1417">
        <v>0.0</v>
      </c>
      <c r="U32" s="1417">
        <v>9.0</v>
      </c>
      <c r="V32" s="1417">
        <f>IFERROR(__xludf.DUMMYFUNCTION("""COMPUTED_VALUE"""),0.0)</f>
        <v>0</v>
      </c>
      <c r="W32" s="1416">
        <v>0.0</v>
      </c>
      <c r="X32" s="1417"/>
    </row>
    <row r="33">
      <c r="A33" s="1404"/>
      <c r="B33" s="1410"/>
      <c r="C33" s="1470"/>
      <c r="D33" s="1445">
        <f t="shared" si="2"/>
        <v>620</v>
      </c>
      <c r="E33" s="1471"/>
      <c r="F33" s="1446" t="str">
        <f>IFERROR(__xludf.DUMMYFUNCTION("""COMPUTED_VALUE"""),"Interest")</f>
        <v>Interest</v>
      </c>
      <c r="G33" s="1453">
        <f>IFERROR(__xludf.DUMMYFUNCTION("""COMPUTED_VALUE"""),14.0)</f>
        <v>14</v>
      </c>
      <c r="H33" s="1448">
        <f t="shared" si="3"/>
        <v>0.04532362569</v>
      </c>
      <c r="I33" s="1449" t="str">
        <f t="shared" si="4"/>
        <v>37.35 K</v>
      </c>
      <c r="J33" s="1423" t="str">
        <f t="shared" si="5"/>
        <v>3d 14h 57m</v>
      </c>
      <c r="K33" s="1431"/>
      <c r="L33" s="1431"/>
      <c r="M33" s="1431"/>
      <c r="N33" s="1438" t="str">
        <f>IFERROR(__xludf.DUMMYFUNCTION("""COMPUTED_VALUE"""),"T5 30")</f>
        <v>T5 30</v>
      </c>
      <c r="O33" s="1438"/>
      <c r="P33" s="1438"/>
      <c r="Q33" s="1438"/>
      <c r="R33" s="1438"/>
      <c r="S33" s="1443" t="str">
        <f>IFERROR(__xludf.DUMMYFUNCTION("""COMPUTED_VALUE"""),"Common Enemy Attack")</f>
        <v>Common Enemy Attack</v>
      </c>
      <c r="T33" s="1417">
        <v>0.0</v>
      </c>
      <c r="U33" s="1417">
        <v>30.0</v>
      </c>
      <c r="V33" s="1417">
        <f>IFERROR(__xludf.DUMMYFUNCTION("""COMPUTED_VALUE"""),5.0)</f>
        <v>5</v>
      </c>
      <c r="W33" s="1416">
        <v>0.9670217002635212</v>
      </c>
      <c r="X33" s="1417"/>
    </row>
    <row r="34">
      <c r="A34" s="1404"/>
      <c r="B34" s="1410"/>
      <c r="C34" s="1470"/>
      <c r="D34" s="1445">
        <f t="shared" si="2"/>
        <v>660</v>
      </c>
      <c r="E34" s="1471"/>
      <c r="F34" s="1446" t="str">
        <f>IFERROR(__xludf.DUMMYFUNCTION("""COMPUTED_VALUE"""),"Interest")</f>
        <v>Interest</v>
      </c>
      <c r="G34" s="1453">
        <f>IFERROR(__xludf.DUMMYFUNCTION("""COMPUTED_VALUE"""),15.0)</f>
        <v>15</v>
      </c>
      <c r="H34" s="1448">
        <f t="shared" si="3"/>
        <v>0.05432656595</v>
      </c>
      <c r="I34" s="1449" t="str">
        <f t="shared" si="4"/>
        <v>46.18 K</v>
      </c>
      <c r="J34" s="1423" t="str">
        <f t="shared" si="5"/>
        <v>3d 16h 15m</v>
      </c>
      <c r="K34" s="1431"/>
      <c r="L34" s="1431"/>
      <c r="M34" s="1431"/>
      <c r="N34" s="1438" t="str">
        <f>IFERROR(__xludf.DUMMYFUNCTION("""COMPUTED_VALUE"""),"T5 40")</f>
        <v>T5 40</v>
      </c>
      <c r="O34" s="1438"/>
      <c r="P34" s="1438"/>
      <c r="Q34" s="1438"/>
      <c r="R34" s="1438"/>
      <c r="S34" s="1443" t="str">
        <f>IFERROR(__xludf.DUMMYFUNCTION("""COMPUTED_VALUE"""),"Common Enemy Health")</f>
        <v>Common Enemy Health</v>
      </c>
      <c r="T34" s="1417">
        <v>0.0</v>
      </c>
      <c r="U34" s="1417">
        <v>30.0</v>
      </c>
      <c r="V34" s="1417">
        <f>IFERROR(__xludf.DUMMYFUNCTION("""COMPUTED_VALUE"""),5.0)</f>
        <v>5</v>
      </c>
      <c r="W34" s="1416">
        <v>0.9670217002635212</v>
      </c>
      <c r="X34" s="1417"/>
    </row>
    <row r="35">
      <c r="A35" s="1404"/>
      <c r="B35" s="1410"/>
      <c r="C35" s="1470"/>
      <c r="D35" s="1445">
        <f t="shared" si="2"/>
        <v>700</v>
      </c>
      <c r="E35" s="1471"/>
      <c r="F35" s="1446" t="str">
        <f>IFERROR(__xludf.DUMMYFUNCTION("""COMPUTED_VALUE"""),"Interest")</f>
        <v>Interest</v>
      </c>
      <c r="G35" s="1453">
        <f>IFERROR(__xludf.DUMMYFUNCTION("""COMPUTED_VALUE"""),16.0)</f>
        <v>16</v>
      </c>
      <c r="H35" s="1448">
        <f t="shared" si="3"/>
        <v>0.06434454358</v>
      </c>
      <c r="I35" s="1449" t="str">
        <f t="shared" si="4"/>
        <v>56.35 K</v>
      </c>
      <c r="J35" s="1423" t="str">
        <f t="shared" si="5"/>
        <v>3d 17h 48m</v>
      </c>
      <c r="K35" s="1431"/>
      <c r="L35" s="1431"/>
      <c r="M35" s="1431"/>
      <c r="N35" s="1438" t="str">
        <f>IFERROR(__xludf.DUMMYFUNCTION("""COMPUTED_VALUE"""),"T5 60")</f>
        <v>T5 60</v>
      </c>
      <c r="O35" s="1438"/>
      <c r="P35" s="1438"/>
      <c r="Q35" s="1438"/>
      <c r="R35" s="1438"/>
      <c r="S35" s="1443" t="str">
        <f>IFERROR(__xludf.DUMMYFUNCTION("""COMPUTED_VALUE"""),"Core Effect Bans")</f>
        <v>Core Effect Bans</v>
      </c>
      <c r="T35" s="1417">
        <v>4.0</v>
      </c>
      <c r="U35" s="1417">
        <v>7.0</v>
      </c>
      <c r="V35" s="1417">
        <f>IFERROR(__xludf.DUMMYFUNCTION("""COMPUTED_VALUE"""),4.0)</f>
        <v>4</v>
      </c>
      <c r="W35" s="1416">
        <v>0.0</v>
      </c>
      <c r="X35" s="1417"/>
    </row>
    <row r="36">
      <c r="A36" s="1404"/>
      <c r="B36" s="1410"/>
      <c r="C36" s="1470"/>
      <c r="D36" s="1445">
        <f t="shared" si="2"/>
        <v>740</v>
      </c>
      <c r="E36" s="1471"/>
      <c r="F36" s="1446" t="str">
        <f>IFERROR(__xludf.DUMMYFUNCTION("""COMPUTED_VALUE"""),"Interest")</f>
        <v>Interest</v>
      </c>
      <c r="G36" s="1453">
        <f>IFERROR(__xludf.DUMMYFUNCTION("""COMPUTED_VALUE"""),17.0)</f>
        <v>17</v>
      </c>
      <c r="H36" s="1448">
        <f t="shared" si="3"/>
        <v>0.07546582272</v>
      </c>
      <c r="I36" s="1449" t="str">
        <f t="shared" si="4"/>
        <v>67.94 K</v>
      </c>
      <c r="J36" s="1423" t="str">
        <f t="shared" si="5"/>
        <v>3d 19h 37m</v>
      </c>
      <c r="K36" s="1431"/>
      <c r="L36" s="1431"/>
      <c r="M36" s="1431"/>
      <c r="N36" s="1438" t="str">
        <f>IFERROR(__xludf.DUMMYFUNCTION("""COMPUTED_VALUE"""),"T5 70")</f>
        <v>T5 70</v>
      </c>
      <c r="O36" s="1438"/>
      <c r="P36" s="1438"/>
      <c r="Q36" s="1438"/>
      <c r="R36" s="1438"/>
      <c r="S36" s="1443" t="str">
        <f>IFERROR(__xludf.DUMMYFUNCTION("""COMPUTED_VALUE"""),"Critical Chance Mastery")</f>
        <v>Critical Chance Mastery</v>
      </c>
      <c r="T36" s="1417">
        <v>0.0</v>
      </c>
      <c r="U36" s="1417">
        <v>9.0</v>
      </c>
      <c r="V36" s="1417">
        <f>IFERROR(__xludf.DUMMYFUNCTION("""COMPUTED_VALUE"""),0.0)</f>
        <v>0</v>
      </c>
      <c r="W36" s="1416">
        <v>0.0</v>
      </c>
      <c r="X36" s="1417"/>
    </row>
    <row r="37">
      <c r="A37" s="1404"/>
      <c r="B37" s="1410"/>
      <c r="C37" s="1470"/>
      <c r="D37" s="1445">
        <f t="shared" si="2"/>
        <v>780</v>
      </c>
      <c r="E37" s="1471"/>
      <c r="F37" s="1446" t="str">
        <f>IFERROR(__xludf.DUMMYFUNCTION("""COMPUTED_VALUE"""),"Interest")</f>
        <v>Interest</v>
      </c>
      <c r="G37" s="1453">
        <f>IFERROR(__xludf.DUMMYFUNCTION("""COMPUTED_VALUE"""),18.0)</f>
        <v>18</v>
      </c>
      <c r="H37" s="1448">
        <f t="shared" si="3"/>
        <v>0.08769040336</v>
      </c>
      <c r="I37" s="1449" t="str">
        <f t="shared" si="4"/>
        <v>81.05 K</v>
      </c>
      <c r="J37" s="1423" t="str">
        <f t="shared" si="5"/>
        <v>3d 21h 43m</v>
      </c>
      <c r="K37" s="1431"/>
      <c r="L37" s="1431"/>
      <c r="M37" s="1431"/>
      <c r="N37" s="1438" t="str">
        <f>IFERROR(__xludf.DUMMYFUNCTION("""COMPUTED_VALUE"""),"T5 80")</f>
        <v>T5 80</v>
      </c>
      <c r="O37" s="1438"/>
      <c r="P37" s="1438"/>
      <c r="Q37" s="1438"/>
      <c r="R37" s="1438"/>
      <c r="S37" s="1443" t="str">
        <f>IFERROR(__xludf.DUMMYFUNCTION("""COMPUTED_VALUE"""),"Critical Coin Mastery")</f>
        <v>Critical Coin Mastery</v>
      </c>
      <c r="T37" s="1417">
        <v>0.0</v>
      </c>
      <c r="U37" s="1417">
        <v>9.0</v>
      </c>
      <c r="V37" s="1417">
        <f>IFERROR(__xludf.DUMMYFUNCTION("""COMPUTED_VALUE"""),0.0)</f>
        <v>0</v>
      </c>
      <c r="W37" s="1416">
        <v>0.0</v>
      </c>
      <c r="X37" s="1417"/>
    </row>
    <row r="38">
      <c r="A38" s="1404"/>
      <c r="B38" s="1410"/>
      <c r="C38" s="1470"/>
      <c r="D38" s="1445">
        <f t="shared" si="2"/>
        <v>820</v>
      </c>
      <c r="E38" s="1471"/>
      <c r="F38" s="1446" t="str">
        <f>IFERROR(__xludf.DUMMYFUNCTION("""COMPUTED_VALUE"""),"Interest")</f>
        <v>Interest</v>
      </c>
      <c r="G38" s="1453">
        <f>IFERROR(__xludf.DUMMYFUNCTION("""COMPUTED_VALUE"""),19.0)</f>
        <v>19</v>
      </c>
      <c r="H38" s="1448">
        <f t="shared" si="3"/>
        <v>0.1011065496</v>
      </c>
      <c r="I38" s="1449" t="str">
        <f t="shared" si="4"/>
        <v>95.77 K</v>
      </c>
      <c r="J38" s="1423" t="str">
        <f t="shared" si="5"/>
        <v>4d  0h  8m</v>
      </c>
      <c r="K38" s="1431"/>
      <c r="L38" s="1431"/>
      <c r="M38" s="1431"/>
      <c r="N38" s="1438" t="str">
        <f>IFERROR(__xludf.DUMMYFUNCTION("""COMPUTED_VALUE"""),"T5 90")</f>
        <v>T5 90</v>
      </c>
      <c r="O38" s="1438"/>
      <c r="P38" s="1438"/>
      <c r="Q38" s="1438"/>
      <c r="R38" s="1438"/>
      <c r="S38" s="1443" t="str">
        <f>IFERROR(__xludf.DUMMYFUNCTION("""COMPUTED_VALUE"""),"Critical Factor")</f>
        <v>Critical Factor</v>
      </c>
      <c r="T38" s="1417">
        <v>83.0</v>
      </c>
      <c r="U38" s="1417">
        <v>99.0</v>
      </c>
      <c r="V38" s="1417">
        <f>IFERROR(__xludf.DUMMYFUNCTION("""COMPUTED_VALUE"""),83.0)</f>
        <v>83</v>
      </c>
      <c r="W38" s="1416">
        <v>0.0</v>
      </c>
      <c r="X38" s="1417"/>
    </row>
    <row r="39">
      <c r="A39" s="1404"/>
      <c r="B39" s="1410"/>
      <c r="C39" s="1470"/>
      <c r="D39" s="1445">
        <f t="shared" si="2"/>
        <v>860</v>
      </c>
      <c r="E39" s="1471"/>
      <c r="F39" s="1446" t="str">
        <f>IFERROR(__xludf.DUMMYFUNCTION("""COMPUTED_VALUE"""),"Interest")</f>
        <v>Interest</v>
      </c>
      <c r="G39" s="1453">
        <f>IFERROR(__xludf.DUMMYFUNCTION("""COMPUTED_VALUE"""),20.0)</f>
        <v>20</v>
      </c>
      <c r="H39" s="1448">
        <f t="shared" si="3"/>
        <v>0.1157583936</v>
      </c>
      <c r="I39" s="1449" t="str">
        <f t="shared" si="4"/>
        <v>112.22 K</v>
      </c>
      <c r="J39" s="1423" t="str">
        <f t="shared" si="5"/>
        <v>4d  2h 55m</v>
      </c>
      <c r="K39" s="1431"/>
      <c r="L39" s="1431"/>
      <c r="M39" s="1431"/>
      <c r="N39" s="1438" t="str">
        <f>IFERROR(__xludf.DUMMYFUNCTION("""COMPUTED_VALUE"""),"T5 150")</f>
        <v>T5 150</v>
      </c>
      <c r="O39" s="1438"/>
      <c r="P39" s="1438"/>
      <c r="Q39" s="1438"/>
      <c r="R39" s="1438"/>
      <c r="S39" s="1443" t="str">
        <f>IFERROR(__xludf.DUMMYFUNCTION("""COMPUTED_VALUE"""),"Damage")</f>
        <v>Damage</v>
      </c>
      <c r="T39" s="1417">
        <v>69.0</v>
      </c>
      <c r="U39" s="1417">
        <v>100.0</v>
      </c>
      <c r="V39" s="1417">
        <f>IFERROR(__xludf.DUMMYFUNCTION("""COMPUTED_VALUE"""),69.0)</f>
        <v>69</v>
      </c>
      <c r="W39" s="1416">
        <v>0.0</v>
      </c>
      <c r="X39" s="1417"/>
    </row>
    <row r="40">
      <c r="A40" s="1404"/>
      <c r="B40" s="1410"/>
      <c r="C40" s="1470"/>
      <c r="D40" s="1445">
        <f t="shared" si="2"/>
        <v>420</v>
      </c>
      <c r="E40" s="1471"/>
      <c r="F40" s="1446" t="str">
        <f>IFERROR(__xludf.DUMMYFUNCTION("""COMPUTED_VALUE"""),"Max Interest")</f>
        <v>Max Interest</v>
      </c>
      <c r="G40" s="1453">
        <f>IFERROR(__xludf.DUMMYFUNCTION("""COMPUTED_VALUE"""),9.0)</f>
        <v>9</v>
      </c>
      <c r="H40" s="1448">
        <f t="shared" si="3"/>
        <v>0.2466982158</v>
      </c>
      <c r="I40" s="1449" t="str">
        <f t="shared" si="4"/>
        <v>108.95 K</v>
      </c>
      <c r="J40" s="1423" t="str">
        <f t="shared" si="5"/>
        <v>4d  8h 50m</v>
      </c>
      <c r="K40" s="1431"/>
      <c r="L40" s="1431"/>
      <c r="M40" s="1431"/>
      <c r="N40" s="1438" t="str">
        <f>IFERROR(__xludf.DUMMYFUNCTION("""COMPUTED_VALUE"""),"T5 200")</f>
        <v>T5 200</v>
      </c>
      <c r="O40" s="1438"/>
      <c r="P40" s="1438"/>
      <c r="Q40" s="1438"/>
      <c r="R40" s="1438"/>
      <c r="S40" s="1443" t="str">
        <f>IFERROR(__xludf.DUMMYFUNCTION("""COMPUTED_VALUE"""),"Damage / Meter")</f>
        <v>Damage / Meter</v>
      </c>
      <c r="T40" s="1417">
        <v>16.0</v>
      </c>
      <c r="U40" s="1417">
        <v>99.0</v>
      </c>
      <c r="V40" s="1417">
        <f>IFERROR(__xludf.DUMMYFUNCTION("""COMPUTED_VALUE"""),25.0)</f>
        <v>25</v>
      </c>
      <c r="W40" s="1416">
        <v>0.6712045016113497</v>
      </c>
      <c r="X40" s="1417"/>
    </row>
    <row r="41">
      <c r="A41" s="1404"/>
      <c r="B41" s="1410"/>
      <c r="C41" s="1470"/>
      <c r="D41" s="1445">
        <f t="shared" si="2"/>
        <v>460</v>
      </c>
      <c r="E41" s="1471"/>
      <c r="F41" s="1446" t="str">
        <f>IFERROR(__xludf.DUMMYFUNCTION("""COMPUTED_VALUE"""),"Max Interest")</f>
        <v>Max Interest</v>
      </c>
      <c r="G41" s="1453">
        <f>IFERROR(__xludf.DUMMYFUNCTION("""COMPUTED_VALUE"""),10.0)</f>
        <v>10</v>
      </c>
      <c r="H41" s="1448">
        <f t="shared" si="3"/>
        <v>0.3724304549</v>
      </c>
      <c r="I41" s="1449" t="str">
        <f t="shared" si="4"/>
        <v>156.01 K</v>
      </c>
      <c r="J41" s="1423" t="str">
        <f t="shared" si="5"/>
        <v>4d 17h 47m</v>
      </c>
      <c r="K41" s="1431"/>
      <c r="L41" s="1431"/>
      <c r="M41" s="1431"/>
      <c r="N41" s="1438" t="str">
        <f>IFERROR(__xludf.DUMMYFUNCTION("""COMPUTED_VALUE"""),"T5 500")</f>
        <v>T5 500</v>
      </c>
      <c r="O41" s="1438"/>
      <c r="P41" s="1438"/>
      <c r="Q41" s="1438"/>
      <c r="R41" s="1438"/>
      <c r="S41" s="1443" t="str">
        <f>IFERROR(__xludf.DUMMYFUNCTION("""COMPUTED_VALUE"""),"Damage Mastery")</f>
        <v>Damage Mastery</v>
      </c>
      <c r="T41" s="1417">
        <v>0.0</v>
      </c>
      <c r="U41" s="1417">
        <v>9.0</v>
      </c>
      <c r="V41" s="1417">
        <f>IFERROR(__xludf.DUMMYFUNCTION("""COMPUTED_VALUE"""),0.0)</f>
        <v>0</v>
      </c>
      <c r="W41" s="1416">
        <v>0.0</v>
      </c>
      <c r="X41" s="1417"/>
    </row>
    <row r="42">
      <c r="A42" s="1404"/>
      <c r="B42" s="1410"/>
      <c r="C42" s="1470"/>
      <c r="D42" s="1445">
        <f t="shared" si="2"/>
        <v>740</v>
      </c>
      <c r="E42" s="1471"/>
      <c r="F42" s="1446" t="str">
        <f>IFERROR(__xludf.DUMMYFUNCTION("""COMPUTED_VALUE"""),"Damage / Meter")</f>
        <v>Damage / Meter</v>
      </c>
      <c r="G42" s="1453">
        <f>IFERROR(__xludf.DUMMYFUNCTION("""COMPUTED_VALUE"""),17.0)</f>
        <v>17</v>
      </c>
      <c r="H42" s="1448">
        <f t="shared" si="3"/>
        <v>0.04347007917</v>
      </c>
      <c r="I42" s="1449" t="str">
        <f t="shared" si="4"/>
        <v>27.36 K</v>
      </c>
      <c r="J42" s="1423" t="str">
        <f t="shared" si="5"/>
        <v>4d 18h 49m</v>
      </c>
      <c r="K42" s="1431"/>
      <c r="L42" s="1431"/>
      <c r="M42" s="1431"/>
      <c r="N42" s="1438" t="str">
        <f>IFERROR(__xludf.DUMMYFUNCTION("""COMPUTED_VALUE"""),"T6 10")</f>
        <v>T6 10</v>
      </c>
      <c r="O42" s="1438"/>
      <c r="P42" s="1438"/>
      <c r="Q42" s="1438"/>
      <c r="R42" s="1438"/>
      <c r="S42" s="1443" t="str">
        <f>IFERROR(__xludf.DUMMYFUNCTION("""COMPUTED_VALUE"""),"Death Ray Mastery")</f>
        <v>Death Ray Mastery</v>
      </c>
      <c r="T42" s="1417">
        <v>0.0</v>
      </c>
      <c r="U42" s="1417">
        <v>9.0</v>
      </c>
      <c r="V42" s="1417">
        <f>IFERROR(__xludf.DUMMYFUNCTION("""COMPUTED_VALUE"""),0.0)</f>
        <v>0</v>
      </c>
      <c r="W42" s="1416">
        <v>0.0</v>
      </c>
      <c r="X42" s="1417"/>
    </row>
    <row r="43">
      <c r="A43" s="1404"/>
      <c r="B43" s="1410"/>
      <c r="C43" s="1470"/>
      <c r="D43" s="1445">
        <f t="shared" si="2"/>
        <v>780</v>
      </c>
      <c r="E43" s="1471"/>
      <c r="F43" s="1446" t="str">
        <f>IFERROR(__xludf.DUMMYFUNCTION("""COMPUTED_VALUE"""),"Damage / Meter")</f>
        <v>Damage / Meter</v>
      </c>
      <c r="G43" s="1453">
        <f>IFERROR(__xludf.DUMMYFUNCTION("""COMPUTED_VALUE"""),18.0)</f>
        <v>18</v>
      </c>
      <c r="H43" s="1448">
        <f t="shared" si="3"/>
        <v>0.049957492</v>
      </c>
      <c r="I43" s="1449" t="str">
        <f t="shared" si="4"/>
        <v>31.98 K</v>
      </c>
      <c r="J43" s="1423" t="str">
        <f t="shared" si="5"/>
        <v>4d 20h  1m</v>
      </c>
      <c r="K43" s="1431"/>
      <c r="L43" s="1431"/>
      <c r="M43" s="1431"/>
      <c r="N43" s="1438" t="str">
        <f>IFERROR(__xludf.DUMMYFUNCTION("""COMPUTED_VALUE"""),"T6 30")</f>
        <v>T6 30</v>
      </c>
      <c r="O43" s="1438"/>
      <c r="P43" s="1438"/>
      <c r="Q43" s="1438"/>
      <c r="R43" s="1438"/>
      <c r="S43" s="1443" t="str">
        <f>IFERROR(__xludf.DUMMYFUNCTION("""COMPUTED_VALUE"""),"Death Wave Armor Stripping")</f>
        <v>Death Wave Armor Stripping</v>
      </c>
      <c r="T43" s="1417">
        <v>0.0</v>
      </c>
      <c r="U43" s="1417">
        <v>10.0</v>
      </c>
      <c r="V43" s="1417">
        <f>IFERROR(__xludf.DUMMYFUNCTION("""COMPUTED_VALUE"""),0.0)</f>
        <v>0</v>
      </c>
      <c r="W43" s="1416">
        <v>0.0</v>
      </c>
      <c r="X43" s="1417"/>
    </row>
    <row r="44">
      <c r="A44" s="1404"/>
      <c r="B44" s="1410"/>
      <c r="C44" s="1470"/>
      <c r="D44" s="1445">
        <f t="shared" si="2"/>
        <v>820</v>
      </c>
      <c r="E44" s="1471"/>
      <c r="F44" s="1446" t="str">
        <f>IFERROR(__xludf.DUMMYFUNCTION("""COMPUTED_VALUE"""),"Damage / Meter")</f>
        <v>Damage / Meter</v>
      </c>
      <c r="G44" s="1453">
        <f>IFERROR(__xludf.DUMMYFUNCTION("""COMPUTED_VALUE"""),19.0)</f>
        <v>19</v>
      </c>
      <c r="H44" s="1448">
        <f t="shared" si="3"/>
        <v>0.05697448955</v>
      </c>
      <c r="I44" s="1449" t="str">
        <f t="shared" si="4"/>
        <v>37.05 K</v>
      </c>
      <c r="J44" s="1423" t="str">
        <f t="shared" si="5"/>
        <v>4d 21h 23m</v>
      </c>
      <c r="K44" s="1431"/>
      <c r="L44" s="1431"/>
      <c r="M44" s="1431"/>
      <c r="N44" s="1438" t="str">
        <f>IFERROR(__xludf.DUMMYFUNCTION("""COMPUTED_VALUE"""),"T6 50")</f>
        <v>T6 50</v>
      </c>
      <c r="O44" s="1438"/>
      <c r="P44" s="1438"/>
      <c r="Q44" s="1438"/>
      <c r="R44" s="1438"/>
      <c r="S44" s="1443" t="str">
        <f>IFERROR(__xludf.DUMMYFUNCTION("""COMPUTED_VALUE"""),"Death Wave Damage Amplifier")</f>
        <v>Death Wave Damage Amplifier</v>
      </c>
      <c r="T44" s="1417">
        <v>2.0</v>
      </c>
      <c r="U44" s="1417">
        <v>30.0</v>
      </c>
      <c r="V44" s="1417">
        <f>IFERROR(__xludf.DUMMYFUNCTION("""COMPUTED_VALUE"""),2.0)</f>
        <v>2</v>
      </c>
      <c r="W44" s="1416">
        <v>0.0</v>
      </c>
      <c r="X44" s="1417"/>
    </row>
    <row r="45">
      <c r="A45" s="1404"/>
      <c r="B45" s="1410"/>
      <c r="C45" s="1470"/>
      <c r="D45" s="1445">
        <f t="shared" si="2"/>
        <v>860</v>
      </c>
      <c r="E45" s="1471"/>
      <c r="F45" s="1446" t="str">
        <f>IFERROR(__xludf.DUMMYFUNCTION("""COMPUTED_VALUE"""),"Damage / Meter")</f>
        <v>Damage / Meter</v>
      </c>
      <c r="G45" s="1453">
        <f>IFERROR(__xludf.DUMMYFUNCTION("""COMPUTED_VALUE"""),20.0)</f>
        <v>20</v>
      </c>
      <c r="H45" s="1448">
        <f t="shared" si="3"/>
        <v>0.06452107182</v>
      </c>
      <c r="I45" s="1449" t="str">
        <f t="shared" si="4"/>
        <v>42.62 K</v>
      </c>
      <c r="J45" s="1423" t="str">
        <f t="shared" si="5"/>
        <v>4d 22h 56m</v>
      </c>
      <c r="K45" s="1431"/>
      <c r="L45" s="1431"/>
      <c r="M45" s="1431"/>
      <c r="N45" s="1438" t="str">
        <f>IFERROR(__xludf.DUMMYFUNCTION("""COMPUTED_VALUE"""),"T6 80")</f>
        <v>T6 80</v>
      </c>
      <c r="O45" s="1438"/>
      <c r="P45" s="1438"/>
      <c r="Q45" s="1438"/>
      <c r="R45" s="1438"/>
      <c r="S45" s="1443" t="str">
        <f>IFERROR(__xludf.DUMMYFUNCTION("""COMPUTED_VALUE"""),"Defense %")</f>
        <v>Defense %</v>
      </c>
      <c r="T45" s="1417">
        <v>28.0</v>
      </c>
      <c r="U45" s="1417">
        <v>50.0</v>
      </c>
      <c r="V45" s="1417">
        <f>IFERROR(__xludf.DUMMYFUNCTION("""COMPUTED_VALUE"""),28.0)</f>
        <v>28</v>
      </c>
      <c r="W45" s="1416">
        <v>0.0</v>
      </c>
      <c r="X45" s="1417"/>
    </row>
    <row r="46">
      <c r="A46" s="1404"/>
      <c r="B46" s="1410"/>
      <c r="C46" s="1470"/>
      <c r="D46" s="1445">
        <f t="shared" si="2"/>
        <v>900</v>
      </c>
      <c r="E46" s="1471"/>
      <c r="F46" s="1446" t="str">
        <f>IFERROR(__xludf.DUMMYFUNCTION("""COMPUTED_VALUE"""),"Damage / Meter")</f>
        <v>Damage / Meter</v>
      </c>
      <c r="G46" s="1453">
        <f>IFERROR(__xludf.DUMMYFUNCTION("""COMPUTED_VALUE"""),21.0)</f>
        <v>21</v>
      </c>
      <c r="H46" s="1448">
        <f t="shared" si="3"/>
        <v>0.07268550294</v>
      </c>
      <c r="I46" s="1449" t="str">
        <f t="shared" si="4"/>
        <v>48.69 K</v>
      </c>
      <c r="J46" s="1423" t="str">
        <f t="shared" si="5"/>
        <v>5d  0h 41m</v>
      </c>
      <c r="K46" s="1431"/>
      <c r="L46" s="1431"/>
      <c r="M46" s="1431"/>
      <c r="N46" s="1438" t="str">
        <f>IFERROR(__xludf.DUMMYFUNCTION("""COMPUTED_VALUE"""),"T6 150")</f>
        <v>T6 150</v>
      </c>
      <c r="O46" s="1438"/>
      <c r="P46" s="1438"/>
      <c r="Q46" s="1438"/>
      <c r="R46" s="1438"/>
      <c r="S46" s="1443" t="str">
        <f>IFERROR(__xludf.DUMMYFUNCTION("""COMPUTED_VALUE"""),"Defense Absolute")</f>
        <v>Defense Absolute</v>
      </c>
      <c r="T46" s="1417">
        <v>14.0</v>
      </c>
      <c r="U46" s="1417">
        <v>100.0</v>
      </c>
      <c r="V46" s="1417">
        <f>IFERROR(__xludf.DUMMYFUNCTION("""COMPUTED_VALUE"""),25.0)</f>
        <v>25</v>
      </c>
      <c r="W46" s="1416">
        <v>0.7407566282823659</v>
      </c>
      <c r="X46" s="1417"/>
    </row>
    <row r="47">
      <c r="A47" s="1404"/>
      <c r="B47" s="1410"/>
      <c r="C47" s="1470"/>
      <c r="D47" s="1445">
        <f t="shared" si="2"/>
        <v>940</v>
      </c>
      <c r="E47" s="1471"/>
      <c r="F47" s="1446" t="str">
        <f>IFERROR(__xludf.DUMMYFUNCTION("""COMPUTED_VALUE"""),"Damage / Meter")</f>
        <v>Damage / Meter</v>
      </c>
      <c r="G47" s="1453">
        <f>IFERROR(__xludf.DUMMYFUNCTION("""COMPUTED_VALUE"""),22.0)</f>
        <v>22</v>
      </c>
      <c r="H47" s="1448">
        <f t="shared" si="3"/>
        <v>0.08137951877</v>
      </c>
      <c r="I47" s="1449" t="str">
        <f t="shared" si="4"/>
        <v>55.3 K</v>
      </c>
      <c r="J47" s="1423" t="str">
        <f t="shared" si="5"/>
        <v>5d  2h 38m</v>
      </c>
      <c r="K47" s="1431"/>
      <c r="L47" s="1431"/>
      <c r="M47" s="1431"/>
      <c r="N47" s="1438" t="str">
        <f>IFERROR(__xludf.DUMMYFUNCTION("""COMPUTED_VALUE"""),"T6 750")</f>
        <v>T6 750</v>
      </c>
      <c r="O47" s="1438"/>
      <c r="P47" s="1438"/>
      <c r="Q47" s="1438"/>
      <c r="R47" s="1438"/>
      <c r="S47" s="1443" t="str">
        <f>IFERROR(__xludf.DUMMYFUNCTION("""COMPUTED_VALUE"""),"Demon Mode Mastery")</f>
        <v>Demon Mode Mastery</v>
      </c>
      <c r="T47" s="1417">
        <v>0.0</v>
      </c>
      <c r="U47" s="1417">
        <v>9.0</v>
      </c>
      <c r="V47" s="1417">
        <f>IFERROR(__xludf.DUMMYFUNCTION("""COMPUTED_VALUE"""),0.0)</f>
        <v>0</v>
      </c>
      <c r="W47" s="1416">
        <v>0.0</v>
      </c>
      <c r="X47" s="1417"/>
    </row>
    <row r="48">
      <c r="A48" s="1404"/>
      <c r="B48" s="1410"/>
      <c r="C48" s="1470"/>
      <c r="D48" s="1445">
        <f t="shared" si="2"/>
        <v>980</v>
      </c>
      <c r="E48" s="1471"/>
      <c r="F48" s="1446" t="str">
        <f>IFERROR(__xludf.DUMMYFUNCTION("""COMPUTED_VALUE"""),"Damage / Meter")</f>
        <v>Damage / Meter</v>
      </c>
      <c r="G48" s="1453">
        <f>IFERROR(__xludf.DUMMYFUNCTION("""COMPUTED_VALUE"""),23.0)</f>
        <v>23</v>
      </c>
      <c r="H48" s="1448">
        <f t="shared" si="3"/>
        <v>0.09064725138</v>
      </c>
      <c r="I48" s="1449" t="str">
        <f t="shared" si="4"/>
        <v>62.44 K</v>
      </c>
      <c r="J48" s="1423" t="str">
        <f t="shared" si="5"/>
        <v>5d  4h 49m</v>
      </c>
      <c r="K48" s="1431"/>
      <c r="L48" s="1431"/>
      <c r="M48" s="1431"/>
      <c r="N48" s="1438" t="str">
        <f>IFERROR(__xludf.DUMMYFUNCTION("""COMPUTED_VALUE"""),"T7 10")</f>
        <v>T7 10</v>
      </c>
      <c r="O48" s="1438"/>
      <c r="P48" s="1438"/>
      <c r="Q48" s="1438"/>
      <c r="R48" s="1438"/>
      <c r="S48" s="1443" t="str">
        <f>IFERROR(__xludf.DUMMYFUNCTION("""COMPUTED_VALUE"""),"Double Death Ray")</f>
        <v>Double Death Ray</v>
      </c>
      <c r="T48" s="1417">
        <v>6.0</v>
      </c>
      <c r="U48" s="1417">
        <v>30.0</v>
      </c>
      <c r="V48" s="1417">
        <f>IFERROR(__xludf.DUMMYFUNCTION("""COMPUTED_VALUE"""),10.0)</f>
        <v>10</v>
      </c>
      <c r="W48" s="1416">
        <v>0.9336137307901967</v>
      </c>
      <c r="X48" s="1417"/>
    </row>
    <row r="49">
      <c r="A49" s="1404"/>
      <c r="B49" s="1410"/>
      <c r="C49" s="1470"/>
      <c r="D49" s="1445">
        <f t="shared" si="2"/>
        <v>1020</v>
      </c>
      <c r="E49" s="1471"/>
      <c r="F49" s="1446" t="str">
        <f>IFERROR(__xludf.DUMMYFUNCTION("""COMPUTED_VALUE"""),"Damage / Meter")</f>
        <v>Damage / Meter</v>
      </c>
      <c r="G49" s="1453">
        <f>IFERROR(__xludf.DUMMYFUNCTION("""COMPUTED_VALUE"""),24.0)</f>
        <v>24</v>
      </c>
      <c r="H49" s="1448">
        <f t="shared" si="3"/>
        <v>0.1005328328</v>
      </c>
      <c r="I49" s="1449" t="str">
        <f t="shared" si="4"/>
        <v>70.15 K</v>
      </c>
      <c r="J49" s="1423" t="str">
        <f t="shared" si="5"/>
        <v>5d  7h 13m</v>
      </c>
      <c r="K49" s="1431"/>
      <c r="L49" s="1431"/>
      <c r="M49" s="1431"/>
      <c r="N49" s="1438" t="str">
        <f>IFERROR(__xludf.DUMMYFUNCTION("""COMPUTED_VALUE"""),"T7 30")</f>
        <v>T7 30</v>
      </c>
      <c r="O49" s="1438"/>
      <c r="P49" s="1438"/>
      <c r="Q49" s="1438"/>
      <c r="R49" s="1438"/>
      <c r="S49" s="1443" t="str">
        <f>IFERROR(__xludf.DUMMYFUNCTION("""COMPUTED_VALUE"""),"Enemy Balance Mastery")</f>
        <v>Enemy Balance Mastery</v>
      </c>
      <c r="T49" s="1417">
        <v>0.0</v>
      </c>
      <c r="U49" s="1417">
        <v>9.0</v>
      </c>
      <c r="V49" s="1417">
        <f>IFERROR(__xludf.DUMMYFUNCTION("""COMPUTED_VALUE"""),0.0)</f>
        <v>0</v>
      </c>
      <c r="W49" s="1416">
        <v>0.0</v>
      </c>
      <c r="X49" s="1417"/>
    </row>
    <row r="50">
      <c r="A50" s="1404"/>
      <c r="B50" s="1410"/>
      <c r="C50" s="1470"/>
      <c r="D50" s="1445">
        <f t="shared" si="2"/>
        <v>1060</v>
      </c>
      <c r="E50" s="1471"/>
      <c r="F50" s="1446" t="str">
        <f>IFERROR(__xludf.DUMMYFUNCTION("""COMPUTED_VALUE"""),"Damage / Meter")</f>
        <v>Damage / Meter</v>
      </c>
      <c r="G50" s="1453">
        <f>IFERROR(__xludf.DUMMYFUNCTION("""COMPUTED_VALUE"""),25.0)</f>
        <v>25</v>
      </c>
      <c r="H50" s="1448">
        <f t="shared" si="3"/>
        <v>0.1110362631</v>
      </c>
      <c r="I50" s="1449" t="str">
        <f t="shared" si="4"/>
        <v>78.44 K</v>
      </c>
      <c r="J50" s="1423" t="str">
        <f t="shared" si="5"/>
        <v>5d  9h 53m</v>
      </c>
      <c r="K50" s="1431"/>
      <c r="L50" s="1431"/>
      <c r="M50" s="1431"/>
      <c r="N50" s="1438" t="str">
        <f>IFERROR(__xludf.DUMMYFUNCTION("""COMPUTED_VALUE"""),"T7 40")</f>
        <v>T7 40</v>
      </c>
      <c r="O50" s="1438"/>
      <c r="P50" s="1438"/>
      <c r="Q50" s="1438"/>
      <c r="R50" s="1438"/>
      <c r="S50" s="1443" t="str">
        <f>IFERROR(__xludf.DUMMYFUNCTION("""COMPUTED_VALUE"""),"Energy Net Mastery")</f>
        <v>Energy Net Mastery</v>
      </c>
      <c r="T50" s="1417">
        <v>0.0</v>
      </c>
      <c r="U50" s="1417">
        <v>9.0</v>
      </c>
      <c r="V50" s="1417">
        <f>IFERROR(__xludf.DUMMYFUNCTION("""COMPUTED_VALUE"""),0.0)</f>
        <v>0</v>
      </c>
      <c r="W50" s="1416">
        <v>0.0</v>
      </c>
      <c r="X50" s="1417"/>
    </row>
    <row r="51">
      <c r="A51" s="1404"/>
      <c r="B51" s="1410"/>
      <c r="C51" s="1470"/>
      <c r="D51" s="1445">
        <f t="shared" si="2"/>
        <v>100</v>
      </c>
      <c r="E51" s="1471"/>
      <c r="F51" s="1446" t="str">
        <f>IFERROR(__xludf.DUMMYFUNCTION("""COMPUTED_VALUE"""),"Land Mine Damage")</f>
        <v>Land Mine Damage</v>
      </c>
      <c r="G51" s="1453">
        <f>IFERROR(__xludf.DUMMYFUNCTION("""COMPUTED_VALUE"""),1.0)</f>
        <v>1</v>
      </c>
      <c r="H51" s="1448">
        <f t="shared" si="3"/>
        <v>0.004369073947</v>
      </c>
      <c r="I51" s="1449" t="str">
        <f t="shared" si="4"/>
        <v>31.84 K</v>
      </c>
      <c r="J51" s="1423" t="str">
        <f t="shared" si="5"/>
        <v>5d  9h 59m</v>
      </c>
      <c r="K51" s="1431"/>
      <c r="L51" s="1431"/>
      <c r="M51" s="1431"/>
      <c r="N51" s="1438" t="str">
        <f>IFERROR(__xludf.DUMMYFUNCTION("""COMPUTED_VALUE"""),"T7 50")</f>
        <v>T7 50</v>
      </c>
      <c r="O51" s="1438"/>
      <c r="P51" s="1438"/>
      <c r="Q51" s="1438"/>
      <c r="R51" s="1438"/>
      <c r="S51" s="1443" t="str">
        <f>IFERROR(__xludf.DUMMYFUNCTION("""COMPUTED_VALUE"""),"Energy Shield Mastery")</f>
        <v>Energy Shield Mastery</v>
      </c>
      <c r="T51" s="1417">
        <v>0.0</v>
      </c>
      <c r="U51" s="1417">
        <v>9.0</v>
      </c>
      <c r="V51" s="1417">
        <f>IFERROR(__xludf.DUMMYFUNCTION("""COMPUTED_VALUE"""),0.0)</f>
        <v>0</v>
      </c>
      <c r="W51" s="1416">
        <v>0.0</v>
      </c>
      <c r="X51" s="1417"/>
    </row>
    <row r="52">
      <c r="A52" s="1404"/>
      <c r="B52" s="1410"/>
      <c r="C52" s="1470"/>
      <c r="D52" s="1445">
        <f t="shared" si="2"/>
        <v>140</v>
      </c>
      <c r="E52" s="1471"/>
      <c r="F52" s="1446" t="str">
        <f>IFERROR(__xludf.DUMMYFUNCTION("""COMPUTED_VALUE"""),"Land Mine Damage")</f>
        <v>Land Mine Damage</v>
      </c>
      <c r="G52" s="1453">
        <f>IFERROR(__xludf.DUMMYFUNCTION("""COMPUTED_VALUE"""),2.0)</f>
        <v>2</v>
      </c>
      <c r="H52" s="1448">
        <f t="shared" si="3"/>
        <v>0.01328375008</v>
      </c>
      <c r="I52" s="1449" t="str">
        <f t="shared" si="4"/>
        <v>184.66 K</v>
      </c>
      <c r="J52" s="1423" t="str">
        <f t="shared" si="5"/>
        <v>5d 10h 19m</v>
      </c>
      <c r="K52" s="1431"/>
      <c r="L52" s="1431"/>
      <c r="M52" s="1431"/>
      <c r="N52" s="1438" t="str">
        <f>IFERROR(__xludf.DUMMYFUNCTION("""COMPUTED_VALUE"""),"T7 60")</f>
        <v>T7 60</v>
      </c>
      <c r="O52" s="1438"/>
      <c r="P52" s="1438"/>
      <c r="Q52" s="1438"/>
      <c r="R52" s="1438"/>
      <c r="S52" s="1443" t="str">
        <f>IFERROR(__xludf.DUMMYFUNCTION("""COMPUTED_VALUE"""),"Extra Defense Mastery")</f>
        <v>Extra Defense Mastery</v>
      </c>
      <c r="T52" s="1417">
        <v>0.0</v>
      </c>
      <c r="U52" s="1417">
        <v>9.0</v>
      </c>
      <c r="V52" s="1417">
        <f>IFERROR(__xludf.DUMMYFUNCTION("""COMPUTED_VALUE"""),0.0)</f>
        <v>0</v>
      </c>
      <c r="W52" s="1416">
        <v>0.0</v>
      </c>
      <c r="X52" s="1417"/>
    </row>
    <row r="53">
      <c r="A53" s="1404"/>
      <c r="B53" s="1410"/>
      <c r="C53" s="1470"/>
      <c r="D53" s="1445">
        <f t="shared" si="2"/>
        <v>180</v>
      </c>
      <c r="E53" s="1471"/>
      <c r="F53" s="1446" t="str">
        <f>IFERROR(__xludf.DUMMYFUNCTION("""COMPUTED_VALUE"""),"Land Mine Damage")</f>
        <v>Land Mine Damage</v>
      </c>
      <c r="G53" s="1453">
        <f>IFERROR(__xludf.DUMMYFUNCTION("""COMPUTED_VALUE"""),3.0)</f>
        <v>3</v>
      </c>
      <c r="H53" s="1448">
        <f t="shared" si="3"/>
        <v>0.02263974682</v>
      </c>
      <c r="I53" s="1449" t="str">
        <f t="shared" si="4"/>
        <v>931.32 K</v>
      </c>
      <c r="J53" s="1423" t="str">
        <f t="shared" si="5"/>
        <v>5d 10h 51m</v>
      </c>
      <c r="K53" s="1431"/>
      <c r="L53" s="1431"/>
      <c r="M53" s="1431"/>
      <c r="N53" s="1438" t="str">
        <f>IFERROR(__xludf.DUMMYFUNCTION("""COMPUTED_VALUE"""),"T7 80")</f>
        <v>T7 80</v>
      </c>
      <c r="O53" s="1438"/>
      <c r="P53" s="1438"/>
      <c r="Q53" s="1438"/>
      <c r="R53" s="1438"/>
      <c r="S53" s="1443" t="str">
        <f>IFERROR(__xludf.DUMMYFUNCTION("""COMPUTED_VALUE"""),"Extra Orb Mastery")</f>
        <v>Extra Orb Mastery</v>
      </c>
      <c r="T53" s="1417">
        <v>0.0</v>
      </c>
      <c r="U53" s="1417">
        <v>9.0</v>
      </c>
      <c r="V53" s="1417">
        <f>IFERROR(__xludf.DUMMYFUNCTION("""COMPUTED_VALUE"""),0.0)</f>
        <v>0</v>
      </c>
      <c r="W53" s="1416">
        <v>0.0</v>
      </c>
      <c r="X53" s="1417"/>
    </row>
    <row r="54">
      <c r="A54" s="1404"/>
      <c r="B54" s="1410"/>
      <c r="C54" s="1470"/>
      <c r="D54" s="1445">
        <f t="shared" si="2"/>
        <v>220</v>
      </c>
      <c r="E54" s="1471"/>
      <c r="F54" s="1446" t="str">
        <f>IFERROR(__xludf.DUMMYFUNCTION("""COMPUTED_VALUE"""),"Land Mine Damage")</f>
        <v>Land Mine Damage</v>
      </c>
      <c r="G54" s="1453">
        <f>IFERROR(__xludf.DUMMYFUNCTION("""COMPUTED_VALUE"""),4.0)</f>
        <v>4</v>
      </c>
      <c r="H54" s="1448">
        <f t="shared" si="3"/>
        <v>0.03327557329</v>
      </c>
      <c r="I54" s="1449" t="str">
        <f t="shared" si="4"/>
        <v>3.13 M</v>
      </c>
      <c r="J54" s="1423" t="str">
        <f t="shared" si="5"/>
        <v>5d 11h 39m</v>
      </c>
      <c r="K54" s="1431"/>
      <c r="L54" s="1431"/>
      <c r="M54" s="1431"/>
      <c r="N54" s="1438" t="str">
        <f>IFERROR(__xludf.DUMMYFUNCTION("""COMPUTED_VALUE"""),"T7 90")</f>
        <v>T7 90</v>
      </c>
      <c r="O54" s="1438"/>
      <c r="P54" s="1438"/>
      <c r="Q54" s="1438"/>
      <c r="R54" s="1438"/>
      <c r="S54" s="1443" t="str">
        <f>IFERROR(__xludf.DUMMYFUNCTION("""COMPUTED_VALUE"""),"Fast Enemy Attack")</f>
        <v>Fast Enemy Attack</v>
      </c>
      <c r="T54" s="1417">
        <v>0.0</v>
      </c>
      <c r="U54" s="1417">
        <v>30.0</v>
      </c>
      <c r="V54" s="1417">
        <f>IFERROR(__xludf.DUMMYFUNCTION("""COMPUTED_VALUE"""),5.0)</f>
        <v>5</v>
      </c>
      <c r="W54" s="1416">
        <v>0.9670217002635212</v>
      </c>
      <c r="X54" s="1417"/>
    </row>
    <row r="55">
      <c r="A55" s="1404"/>
      <c r="B55" s="1410"/>
      <c r="C55" s="1470"/>
      <c r="D55" s="1445">
        <f t="shared" si="2"/>
        <v>260</v>
      </c>
      <c r="E55" s="1471"/>
      <c r="F55" s="1446" t="str">
        <f>IFERROR(__xludf.DUMMYFUNCTION("""COMPUTED_VALUE"""),"Land Mine Damage")</f>
        <v>Land Mine Damage</v>
      </c>
      <c r="G55" s="1453">
        <f>IFERROR(__xludf.DUMMYFUNCTION("""COMPUTED_VALUE"""),5.0)</f>
        <v>5</v>
      </c>
      <c r="H55" s="1448">
        <f t="shared" si="3"/>
        <v>0.04629453101</v>
      </c>
      <c r="I55" s="1449" t="str">
        <f t="shared" si="4"/>
        <v>8.1 M</v>
      </c>
      <c r="J55" s="1423" t="str">
        <f t="shared" si="5"/>
        <v>5d 12h 46m</v>
      </c>
      <c r="K55" s="1431"/>
      <c r="L55" s="1431"/>
      <c r="M55" s="1431"/>
      <c r="N55" s="1438" t="str">
        <f>IFERROR(__xludf.DUMMYFUNCTION("""COMPUTED_VALUE"""),"T8 10")</f>
        <v>T8 10</v>
      </c>
      <c r="O55" s="1438"/>
      <c r="P55" s="1438"/>
      <c r="Q55" s="1438"/>
      <c r="R55" s="1438"/>
      <c r="S55" s="1443" t="str">
        <f>IFERROR(__xludf.DUMMYFUNCTION("""COMPUTED_VALUE"""),"Fast Enemy Health")</f>
        <v>Fast Enemy Health</v>
      </c>
      <c r="T55" s="1417">
        <v>0.0</v>
      </c>
      <c r="U55" s="1417">
        <v>30.0</v>
      </c>
      <c r="V55" s="1417">
        <f>IFERROR(__xludf.DUMMYFUNCTION("""COMPUTED_VALUE"""),5.0)</f>
        <v>5</v>
      </c>
      <c r="W55" s="1416">
        <v>0.9670217002635212</v>
      </c>
      <c r="X55" s="1417"/>
    </row>
    <row r="56">
      <c r="A56" s="1404"/>
      <c r="B56" s="1410"/>
      <c r="C56" s="1470"/>
      <c r="D56" s="1445">
        <f t="shared" si="2"/>
        <v>300</v>
      </c>
      <c r="E56" s="1471"/>
      <c r="F56" s="1446" t="str">
        <f>IFERROR(__xludf.DUMMYFUNCTION("""COMPUTED_VALUE"""),"Land Mine Damage")</f>
        <v>Land Mine Damage</v>
      </c>
      <c r="G56" s="1453">
        <f>IFERROR(__xludf.DUMMYFUNCTION("""COMPUTED_VALUE"""),6.0)</f>
        <v>6</v>
      </c>
      <c r="H56" s="1448">
        <f t="shared" si="3"/>
        <v>0.06293231766</v>
      </c>
      <c r="I56" s="1449" t="str">
        <f t="shared" si="4"/>
        <v>17.7 M</v>
      </c>
      <c r="J56" s="1423" t="str">
        <f t="shared" si="5"/>
        <v>5d 14h 16m</v>
      </c>
      <c r="K56" s="1431"/>
      <c r="L56" s="1431"/>
      <c r="M56" s="1431"/>
      <c r="N56" s="1438" t="str">
        <f>IFERROR(__xludf.DUMMYFUNCTION("""COMPUTED_VALUE"""),"T8 20")</f>
        <v>T8 20</v>
      </c>
      <c r="O56" s="1438"/>
      <c r="P56" s="1438"/>
      <c r="Q56" s="1438"/>
      <c r="R56" s="1438"/>
      <c r="S56" s="1443" t="str">
        <f>IFERROR(__xludf.DUMMYFUNCTION("""COMPUTED_VALUE"""),"Fast Enemy Speed")</f>
        <v>Fast Enemy Speed</v>
      </c>
      <c r="T56" s="1417">
        <v>0.0</v>
      </c>
      <c r="U56" s="1417">
        <v>30.0</v>
      </c>
      <c r="V56" s="1417">
        <f>IFERROR(__xludf.DUMMYFUNCTION("""COMPUTED_VALUE"""),0.0)</f>
        <v>0</v>
      </c>
      <c r="W56" s="1416">
        <v>0.0</v>
      </c>
      <c r="X56" s="1417"/>
    </row>
    <row r="57">
      <c r="A57" s="1404"/>
      <c r="B57" s="1410"/>
      <c r="C57" s="1470"/>
      <c r="D57" s="1445">
        <f t="shared" si="2"/>
        <v>340</v>
      </c>
      <c r="E57" s="1471"/>
      <c r="F57" s="1446" t="str">
        <f>IFERROR(__xludf.DUMMYFUNCTION("""COMPUTED_VALUE"""),"Land Mine Damage")</f>
        <v>Land Mine Damage</v>
      </c>
      <c r="G57" s="1453">
        <f>IFERROR(__xludf.DUMMYFUNCTION("""COMPUTED_VALUE"""),7.0)</f>
        <v>7</v>
      </c>
      <c r="H57" s="1448">
        <f t="shared" si="3"/>
        <v>0.08460115916</v>
      </c>
      <c r="I57" s="1449" t="str">
        <f t="shared" si="4"/>
        <v>34.31 M</v>
      </c>
      <c r="J57" s="1423" t="str">
        <f t="shared" si="5"/>
        <v>5d 16h 18m</v>
      </c>
      <c r="K57" s="1431"/>
      <c r="L57" s="1431"/>
      <c r="M57" s="1431"/>
      <c r="N57" s="1438" t="str">
        <f>IFERROR(__xludf.DUMMYFUNCTION("""COMPUTED_VALUE"""),"T8 50")</f>
        <v>T8 50</v>
      </c>
      <c r="O57" s="1438"/>
      <c r="P57" s="1438"/>
      <c r="Q57" s="1438"/>
      <c r="R57" s="1438"/>
      <c r="S57" s="1443" t="str">
        <f>IFERROR(__xludf.DUMMYFUNCTION("""COMPUTED_VALUE"""),"Flame Bot - Burn Stack")</f>
        <v>Flame Bot - Burn Stack</v>
      </c>
      <c r="T57" s="1417">
        <v>0.0</v>
      </c>
      <c r="U57" s="1417">
        <v>5.0</v>
      </c>
      <c r="V57" s="1417">
        <f>IFERROR(__xludf.DUMMYFUNCTION("""COMPUTED_VALUE"""),0.0)</f>
        <v>0</v>
      </c>
      <c r="W57" s="1416">
        <v>0.0</v>
      </c>
      <c r="X57" s="1417"/>
    </row>
    <row r="58">
      <c r="A58" s="1404"/>
      <c r="B58" s="1410"/>
      <c r="C58" s="1470"/>
      <c r="D58" s="1445">
        <f t="shared" si="2"/>
        <v>380</v>
      </c>
      <c r="E58" s="1471"/>
      <c r="F58" s="1446" t="str">
        <f>IFERROR(__xludf.DUMMYFUNCTION("""COMPUTED_VALUE"""),"Land Mine Damage")</f>
        <v>Land Mine Damage</v>
      </c>
      <c r="G58" s="1453">
        <f>IFERROR(__xludf.DUMMYFUNCTION("""COMPUTED_VALUE"""),8.0)</f>
        <v>8</v>
      </c>
      <c r="H58" s="1448">
        <f t="shared" si="3"/>
        <v>0.1128898097</v>
      </c>
      <c r="I58" s="1449" t="str">
        <f t="shared" si="4"/>
        <v>60.89 M</v>
      </c>
      <c r="J58" s="1423" t="str">
        <f t="shared" si="5"/>
        <v>5d 19h  1m</v>
      </c>
      <c r="K58" s="1431"/>
      <c r="L58" s="1431"/>
      <c r="M58" s="1431"/>
      <c r="N58" s="1438" t="str">
        <f>IFERROR(__xludf.DUMMYFUNCTION("""COMPUTED_VALUE"""),"T8 300")</f>
        <v>T8 300</v>
      </c>
      <c r="O58" s="1438"/>
      <c r="P58" s="1438"/>
      <c r="Q58" s="1438"/>
      <c r="R58" s="1438"/>
      <c r="S58" s="1443" t="str">
        <f>IFERROR(__xludf.DUMMYFUNCTION("""COMPUTED_VALUE"""),"Fortress Mastery")</f>
        <v>Fortress Mastery</v>
      </c>
      <c r="T58" s="1417">
        <v>0.0</v>
      </c>
      <c r="U58" s="1417">
        <v>9.0</v>
      </c>
      <c r="V58" s="1417">
        <f>IFERROR(__xludf.DUMMYFUNCTION("""COMPUTED_VALUE"""),0.0)</f>
        <v>0</v>
      </c>
      <c r="W58" s="1416">
        <v>0.0</v>
      </c>
      <c r="X58" s="1417"/>
    </row>
    <row r="59">
      <c r="A59" s="1404"/>
      <c r="B59" s="1410"/>
      <c r="C59" s="1470"/>
      <c r="D59" s="1445">
        <f t="shared" si="2"/>
        <v>420</v>
      </c>
      <c r="E59" s="1471"/>
      <c r="F59" s="1446" t="str">
        <f>IFERROR(__xludf.DUMMYFUNCTION("""COMPUTED_VALUE"""),"Land Mine Damage")</f>
        <v>Land Mine Damage</v>
      </c>
      <c r="G59" s="1453">
        <f>IFERROR(__xludf.DUMMYFUNCTION("""COMPUTED_VALUE"""),9.0)</f>
        <v>9</v>
      </c>
      <c r="H59" s="1448">
        <f t="shared" si="3"/>
        <v>0.1495635516</v>
      </c>
      <c r="I59" s="1449" t="str">
        <f t="shared" si="4"/>
        <v>101.02 M</v>
      </c>
      <c r="J59" s="1423" t="str">
        <f t="shared" si="5"/>
        <v>5d 22h 36m</v>
      </c>
      <c r="K59" s="1431"/>
      <c r="L59" s="1431"/>
      <c r="M59" s="1431"/>
      <c r="N59" s="1438" t="str">
        <f>IFERROR(__xludf.DUMMYFUNCTION("""COMPUTED_VALUE"""),"T9 10")</f>
        <v>T9 10</v>
      </c>
      <c r="O59" s="1438"/>
      <c r="P59" s="1438"/>
      <c r="Q59" s="1438"/>
      <c r="R59" s="1438"/>
      <c r="S59" s="1443" t="str">
        <f>IFERROR(__xludf.DUMMYFUNCTION("""COMPUTED_VALUE"""),"Free Upgrades Mastery")</f>
        <v>Free Upgrades Mastery</v>
      </c>
      <c r="T59" s="1417">
        <v>0.0</v>
      </c>
      <c r="U59" s="1417">
        <v>9.0</v>
      </c>
      <c r="V59" s="1417">
        <f>IFERROR(__xludf.DUMMYFUNCTION("""COMPUTED_VALUE"""),0.0)</f>
        <v>0</v>
      </c>
      <c r="W59" s="1416">
        <v>0.0</v>
      </c>
      <c r="X59" s="1417"/>
    </row>
    <row r="60">
      <c r="A60" s="1404"/>
      <c r="B60" s="1410"/>
      <c r="C60" s="1470"/>
      <c r="D60" s="1445">
        <f t="shared" si="2"/>
        <v>460</v>
      </c>
      <c r="E60" s="1471"/>
      <c r="F60" s="1446" t="str">
        <f>IFERROR(__xludf.DUMMYFUNCTION("""COMPUTED_VALUE"""),"Land Mine Damage")</f>
        <v>Land Mine Damage</v>
      </c>
      <c r="G60" s="1453">
        <f>IFERROR(__xludf.DUMMYFUNCTION("""COMPUTED_VALUE"""),10.0)</f>
        <v>10</v>
      </c>
      <c r="H60" s="1448">
        <f t="shared" si="3"/>
        <v>0.1964317994</v>
      </c>
      <c r="I60" s="1449" t="str">
        <f t="shared" si="4"/>
        <v>158.88 M</v>
      </c>
      <c r="J60" s="1423" t="str">
        <f t="shared" si="5"/>
        <v>6d  3h 19m</v>
      </c>
      <c r="K60" s="1431"/>
      <c r="L60" s="1431"/>
      <c r="M60" s="1431"/>
      <c r="N60" s="1438" t="str">
        <f>IFERROR(__xludf.DUMMYFUNCTION("""COMPUTED_VALUE"""),"T9 20")</f>
        <v>T9 20</v>
      </c>
      <c r="O60" s="1438"/>
      <c r="P60" s="1438"/>
      <c r="Q60" s="1438"/>
      <c r="R60" s="1438"/>
      <c r="S60" s="1443" t="str">
        <f>IFERROR(__xludf.DUMMYFUNCTION("""COMPUTED_VALUE"""),"Generator Effect Bans")</f>
        <v>Generator Effect Bans</v>
      </c>
      <c r="T60" s="1417">
        <v>1.0</v>
      </c>
      <c r="U60" s="1417">
        <v>3.0</v>
      </c>
      <c r="V60" s="1417">
        <f>IFERROR(__xludf.DUMMYFUNCTION("""COMPUTED_VALUE"""),1.0)</f>
        <v>1</v>
      </c>
      <c r="W60" s="1416">
        <v>0.0</v>
      </c>
      <c r="X60" s="1417"/>
    </row>
    <row r="61">
      <c r="A61" s="1404"/>
      <c r="B61" s="1410"/>
      <c r="C61" s="1470"/>
      <c r="D61" s="1445">
        <f t="shared" si="2"/>
        <v>660</v>
      </c>
      <c r="E61" s="1471"/>
      <c r="F61" s="1446" t="str">
        <f>IFERROR(__xludf.DUMMYFUNCTION("""COMPUTED_VALUE"""),"Defense Absolute")</f>
        <v>Defense Absolute</v>
      </c>
      <c r="G61" s="1453">
        <f>IFERROR(__xludf.DUMMYFUNCTION("""COMPUTED_VALUE"""),15.0)</f>
        <v>15</v>
      </c>
      <c r="H61" s="1448">
        <f t="shared" si="3"/>
        <v>0.03208400767</v>
      </c>
      <c r="I61" s="1449" t="str">
        <f t="shared" si="4"/>
        <v>19.45 K</v>
      </c>
      <c r="J61" s="1423" t="str">
        <f t="shared" si="5"/>
        <v>6d  4h  5m</v>
      </c>
      <c r="K61" s="1431"/>
      <c r="L61" s="1431"/>
      <c r="M61" s="1431"/>
      <c r="N61" s="1438" t="str">
        <f>IFERROR(__xludf.DUMMYFUNCTION("""COMPUTED_VALUE"""),"T9 30")</f>
        <v>T9 30</v>
      </c>
      <c r="O61" s="1438"/>
      <c r="P61" s="1438"/>
      <c r="Q61" s="1438"/>
      <c r="R61" s="1438"/>
      <c r="S61" s="1443" t="str">
        <f>IFERROR(__xludf.DUMMYFUNCTION("""COMPUTED_VALUE"""),"Gold Bot - Cooldown")</f>
        <v>Gold Bot - Cooldown</v>
      </c>
      <c r="T61" s="1417">
        <v>21.0</v>
      </c>
      <c r="U61" s="1417">
        <v>25.0</v>
      </c>
      <c r="V61" s="1417">
        <f>IFERROR(__xludf.DUMMYFUNCTION("""COMPUTED_VALUE"""),21.0)</f>
        <v>21</v>
      </c>
      <c r="W61" s="1416">
        <v>0.0</v>
      </c>
      <c r="X61" s="1417"/>
    </row>
    <row r="62">
      <c r="A62" s="1404"/>
      <c r="B62" s="1410"/>
      <c r="C62" s="1470"/>
      <c r="D62" s="1445">
        <f t="shared" si="2"/>
        <v>700</v>
      </c>
      <c r="E62" s="1471"/>
      <c r="F62" s="1446" t="str">
        <f>IFERROR(__xludf.DUMMYFUNCTION("""COMPUTED_VALUE"""),"Defense Absolute")</f>
        <v>Defense Absolute</v>
      </c>
      <c r="G62" s="1453">
        <f>IFERROR(__xludf.DUMMYFUNCTION("""COMPUTED_VALUE"""),16.0)</f>
        <v>16</v>
      </c>
      <c r="H62" s="1448">
        <f t="shared" si="3"/>
        <v>0.03751225106</v>
      </c>
      <c r="I62" s="1449" t="str">
        <f t="shared" si="4"/>
        <v>23.19 K</v>
      </c>
      <c r="J62" s="1423" t="str">
        <f t="shared" si="5"/>
        <v>6d  4h 59m</v>
      </c>
      <c r="K62" s="1431"/>
      <c r="L62" s="1431"/>
      <c r="M62" s="1431"/>
      <c r="N62" s="1438" t="str">
        <f>IFERROR(__xludf.DUMMYFUNCTION("""COMPUTED_VALUE"""),"T9 40")</f>
        <v>T9 40</v>
      </c>
      <c r="O62" s="1438"/>
      <c r="P62" s="1438"/>
      <c r="Q62" s="1438"/>
      <c r="R62" s="1438"/>
      <c r="S62" s="1443" t="str">
        <f>IFERROR(__xludf.DUMMYFUNCTION("""COMPUTED_VALUE"""),"Gold Bot - Duration")</f>
        <v>Gold Bot - Duration</v>
      </c>
      <c r="T62" s="1417">
        <v>12.0</v>
      </c>
      <c r="U62" s="1417">
        <v>20.0</v>
      </c>
      <c r="V62" s="1417">
        <f>IFERROR(__xludf.DUMMYFUNCTION("""COMPUTED_VALUE"""),12.0)</f>
        <v>12</v>
      </c>
      <c r="W62" s="1416">
        <v>0.0</v>
      </c>
      <c r="X62" s="1417"/>
    </row>
    <row r="63">
      <c r="A63" s="1404"/>
      <c r="B63" s="1410"/>
      <c r="C63" s="1470"/>
      <c r="D63" s="1445">
        <f t="shared" si="2"/>
        <v>740</v>
      </c>
      <c r="E63" s="1471"/>
      <c r="F63" s="1446" t="str">
        <f>IFERROR(__xludf.DUMMYFUNCTION("""COMPUTED_VALUE"""),"Defense Absolute")</f>
        <v>Defense Absolute</v>
      </c>
      <c r="G63" s="1453">
        <f>IFERROR(__xludf.DUMMYFUNCTION("""COMPUTED_VALUE"""),17.0)</f>
        <v>17</v>
      </c>
      <c r="H63" s="1448">
        <f t="shared" si="3"/>
        <v>0.04347007917</v>
      </c>
      <c r="I63" s="1449" t="str">
        <f t="shared" si="4"/>
        <v>27.35 K</v>
      </c>
      <c r="J63" s="1423" t="str">
        <f t="shared" si="5"/>
        <v>6d  6h  2m</v>
      </c>
      <c r="K63" s="1431"/>
      <c r="L63" s="1431"/>
      <c r="M63" s="1431"/>
      <c r="N63" s="1438" t="str">
        <f>IFERROR(__xludf.DUMMYFUNCTION("""COMPUTED_VALUE"""),"T9 50")</f>
        <v>T9 50</v>
      </c>
      <c r="O63" s="1438"/>
      <c r="P63" s="1438"/>
      <c r="Q63" s="1438"/>
      <c r="R63" s="1438"/>
      <c r="S63" s="1443" t="str">
        <f>IFERROR(__xludf.DUMMYFUNCTION("""COMPUTED_VALUE"""),"Golden Tower Bonus")</f>
        <v>Golden Tower Bonus</v>
      </c>
      <c r="T63" s="1417">
        <v>22.0</v>
      </c>
      <c r="U63" s="1417">
        <v>25.0</v>
      </c>
      <c r="V63" s="1417">
        <f>IFERROR(__xludf.DUMMYFUNCTION("""COMPUTED_VALUE"""),22.0)</f>
        <v>22</v>
      </c>
      <c r="W63" s="1416">
        <v>0.0</v>
      </c>
      <c r="X63" s="1417"/>
    </row>
    <row r="64">
      <c r="A64" s="1404"/>
      <c r="B64" s="1410"/>
      <c r="C64" s="1470"/>
      <c r="D64" s="1445">
        <f t="shared" si="2"/>
        <v>780</v>
      </c>
      <c r="E64" s="1471"/>
      <c r="F64" s="1446" t="str">
        <f>IFERROR(__xludf.DUMMYFUNCTION("""COMPUTED_VALUE"""),"Defense Absolute")</f>
        <v>Defense Absolute</v>
      </c>
      <c r="G64" s="1453">
        <f>IFERROR(__xludf.DUMMYFUNCTION("""COMPUTED_VALUE"""),18.0)</f>
        <v>18</v>
      </c>
      <c r="H64" s="1448">
        <f t="shared" si="3"/>
        <v>0.049957492</v>
      </c>
      <c r="I64" s="1449" t="str">
        <f t="shared" si="4"/>
        <v>31.97 K</v>
      </c>
      <c r="J64" s="1423" t="str">
        <f t="shared" si="5"/>
        <v>6d  7h 14m</v>
      </c>
      <c r="K64" s="1431"/>
      <c r="L64" s="1431"/>
      <c r="M64" s="1431"/>
      <c r="N64" s="1438" t="str">
        <f>IFERROR(__xludf.DUMMYFUNCTION("""COMPUTED_VALUE"""),"T9 60")</f>
        <v>T9 60</v>
      </c>
      <c r="O64" s="1438"/>
      <c r="P64" s="1438"/>
      <c r="Q64" s="1438"/>
      <c r="R64" s="1438"/>
      <c r="S64" s="1443" t="str">
        <f>IFERROR(__xludf.DUMMYFUNCTION("""COMPUTED_VALUE"""),"Golden Tower Duration")</f>
        <v>Golden Tower Duration</v>
      </c>
      <c r="T64" s="1417">
        <v>19.0</v>
      </c>
      <c r="U64" s="1417">
        <v>20.0</v>
      </c>
      <c r="V64" s="1417">
        <f>IFERROR(__xludf.DUMMYFUNCTION("""COMPUTED_VALUE"""),19.0)</f>
        <v>19</v>
      </c>
      <c r="W64" s="1416">
        <v>0.0</v>
      </c>
      <c r="X64" s="1417"/>
    </row>
    <row r="65">
      <c r="A65" s="1404"/>
      <c r="B65" s="1410"/>
      <c r="C65" s="1470"/>
      <c r="D65" s="1445">
        <f t="shared" si="2"/>
        <v>820</v>
      </c>
      <c r="E65" s="1471"/>
      <c r="F65" s="1446" t="str">
        <f>IFERROR(__xludf.DUMMYFUNCTION("""COMPUTED_VALUE"""),"Defense Absolute")</f>
        <v>Defense Absolute</v>
      </c>
      <c r="G65" s="1453">
        <f>IFERROR(__xludf.DUMMYFUNCTION("""COMPUTED_VALUE"""),19.0)</f>
        <v>19</v>
      </c>
      <c r="H65" s="1448">
        <f t="shared" si="3"/>
        <v>0.05697448955</v>
      </c>
      <c r="I65" s="1449" t="str">
        <f t="shared" si="4"/>
        <v>37.05 K</v>
      </c>
      <c r="J65" s="1423" t="str">
        <f t="shared" si="5"/>
        <v>6d  8h 36m</v>
      </c>
      <c r="K65" s="1431"/>
      <c r="L65" s="1431"/>
      <c r="M65" s="1431"/>
      <c r="N65" s="1438" t="str">
        <f>IFERROR(__xludf.DUMMYFUNCTION("""COMPUTED_VALUE"""),"T9 300")</f>
        <v>T9 300</v>
      </c>
      <c r="O65" s="1438"/>
      <c r="P65" s="1438"/>
      <c r="Q65" s="1438"/>
      <c r="R65" s="1438"/>
      <c r="S65" s="1443" t="str">
        <f>IFERROR(__xludf.DUMMYFUNCTION("""COMPUTED_VALUE"""),"Health")</f>
        <v>Health</v>
      </c>
      <c r="T65" s="1417">
        <v>68.0</v>
      </c>
      <c r="U65" s="1417">
        <v>100.0</v>
      </c>
      <c r="V65" s="1417">
        <f>IFERROR(__xludf.DUMMYFUNCTION("""COMPUTED_VALUE"""),68.0)</f>
        <v>68</v>
      </c>
      <c r="W65" s="1416">
        <v>0.0</v>
      </c>
      <c r="X65" s="1417"/>
    </row>
    <row r="66">
      <c r="A66" s="1404"/>
      <c r="B66" s="1410"/>
      <c r="C66" s="1470"/>
      <c r="D66" s="1445">
        <f t="shared" si="2"/>
        <v>860</v>
      </c>
      <c r="E66" s="1471"/>
      <c r="F66" s="1446" t="str">
        <f>IFERROR(__xludf.DUMMYFUNCTION("""COMPUTED_VALUE"""),"Defense Absolute")</f>
        <v>Defense Absolute</v>
      </c>
      <c r="G66" s="1453">
        <f>IFERROR(__xludf.DUMMYFUNCTION("""COMPUTED_VALUE"""),20.0)</f>
        <v>20</v>
      </c>
      <c r="H66" s="1448">
        <f t="shared" si="3"/>
        <v>0.06452107182</v>
      </c>
      <c r="I66" s="1449" t="str">
        <f t="shared" si="4"/>
        <v>42.61 K</v>
      </c>
      <c r="J66" s="1423" t="str">
        <f t="shared" si="5"/>
        <v>6d 10h  9m</v>
      </c>
      <c r="K66" s="1431"/>
      <c r="L66" s="1431"/>
      <c r="M66" s="1431"/>
      <c r="N66" s="1438" t="str">
        <f>IFERROR(__xludf.DUMMYFUNCTION("""COMPUTED_VALUE"""),"T9 400")</f>
        <v>T9 400</v>
      </c>
      <c r="O66" s="1438"/>
      <c r="P66" s="1438"/>
      <c r="Q66" s="1438"/>
      <c r="R66" s="1438"/>
      <c r="S66" s="1443" t="str">
        <f>IFERROR(__xludf.DUMMYFUNCTION("""COMPUTED_VALUE"""),"Health Mastery")</f>
        <v>Health Mastery</v>
      </c>
      <c r="T66" s="1417">
        <v>0.0</v>
      </c>
      <c r="U66" s="1417">
        <v>9.0</v>
      </c>
      <c r="V66" s="1417">
        <f>IFERROR(__xludf.DUMMYFUNCTION("""COMPUTED_VALUE"""),0.0)</f>
        <v>0</v>
      </c>
      <c r="W66" s="1416">
        <v>0.0</v>
      </c>
      <c r="X66" s="1417"/>
    </row>
    <row r="67">
      <c r="A67" s="1404"/>
      <c r="B67" s="1410"/>
      <c r="C67" s="1470"/>
      <c r="D67" s="1445">
        <f t="shared" si="2"/>
        <v>900</v>
      </c>
      <c r="E67" s="1471"/>
      <c r="F67" s="1446" t="str">
        <f>IFERROR(__xludf.DUMMYFUNCTION("""COMPUTED_VALUE"""),"Defense Absolute")</f>
        <v>Defense Absolute</v>
      </c>
      <c r="G67" s="1453">
        <f>IFERROR(__xludf.DUMMYFUNCTION("""COMPUTED_VALUE"""),21.0)</f>
        <v>21</v>
      </c>
      <c r="H67" s="1448">
        <f t="shared" si="3"/>
        <v>0.07264137088</v>
      </c>
      <c r="I67" s="1449" t="str">
        <f t="shared" si="4"/>
        <v>48.68 K</v>
      </c>
      <c r="J67" s="1423" t="str">
        <f t="shared" si="5"/>
        <v>6d 11h 53m</v>
      </c>
      <c r="K67" s="1431"/>
      <c r="L67" s="1431"/>
      <c r="M67" s="1431"/>
      <c r="N67" s="1438" t="str">
        <f>IFERROR(__xludf.DUMMYFUNCTION("""COMPUTED_VALUE"""),"T10 40")</f>
        <v>T10 40</v>
      </c>
      <c r="O67" s="1438"/>
      <c r="P67" s="1438"/>
      <c r="Q67" s="1438"/>
      <c r="R67" s="1438"/>
      <c r="S67" s="1443" t="str">
        <f>IFERROR(__xludf.DUMMYFUNCTION("""COMPUTED_VALUE"""),"Health Regen")</f>
        <v>Health Regen</v>
      </c>
      <c r="T67" s="1417">
        <v>68.0</v>
      </c>
      <c r="U67" s="1417">
        <v>100.0</v>
      </c>
      <c r="V67" s="1417">
        <f>IFERROR(__xludf.DUMMYFUNCTION("""COMPUTED_VALUE"""),68.0)</f>
        <v>68</v>
      </c>
      <c r="W67" s="1416">
        <v>0.0</v>
      </c>
      <c r="X67" s="1417"/>
    </row>
    <row r="68">
      <c r="A68" s="1404"/>
      <c r="B68" s="1410"/>
      <c r="C68" s="1470"/>
      <c r="D68" s="1445">
        <f t="shared" si="2"/>
        <v>940</v>
      </c>
      <c r="E68" s="1471"/>
      <c r="F68" s="1446" t="str">
        <f>IFERROR(__xludf.DUMMYFUNCTION("""COMPUTED_VALUE"""),"Defense Absolute")</f>
        <v>Defense Absolute</v>
      </c>
      <c r="G68" s="1453">
        <f>IFERROR(__xludf.DUMMYFUNCTION("""COMPUTED_VALUE"""),22.0)</f>
        <v>22</v>
      </c>
      <c r="H68" s="1448">
        <f t="shared" si="3"/>
        <v>0.08137951877</v>
      </c>
      <c r="I68" s="1449" t="str">
        <f t="shared" si="4"/>
        <v>55.29 K</v>
      </c>
      <c r="J68" s="1423" t="str">
        <f t="shared" si="5"/>
        <v>6d 13h 51m</v>
      </c>
      <c r="K68" s="1431"/>
      <c r="L68" s="1431"/>
      <c r="M68" s="1431"/>
      <c r="N68" s="1438" t="str">
        <f>IFERROR(__xludf.DUMMYFUNCTION("""COMPUTED_VALUE"""),"T10 60")</f>
        <v>T10 60</v>
      </c>
      <c r="O68" s="1438"/>
      <c r="P68" s="1438"/>
      <c r="Q68" s="1438"/>
      <c r="R68" s="1438"/>
      <c r="S68" s="1443" t="str">
        <f>IFERROR(__xludf.DUMMYFUNCTION("""COMPUTED_VALUE"""),"Health Regen Mastery")</f>
        <v>Health Regen Mastery</v>
      </c>
      <c r="T68" s="1417">
        <v>0.0</v>
      </c>
      <c r="U68" s="1417">
        <v>9.0</v>
      </c>
      <c r="V68" s="1417">
        <f>IFERROR(__xludf.DUMMYFUNCTION("""COMPUTED_VALUE"""),0.0)</f>
        <v>0</v>
      </c>
      <c r="W68" s="1416">
        <v>0.0</v>
      </c>
      <c r="X68" s="1417"/>
    </row>
    <row r="69">
      <c r="A69" s="1404"/>
      <c r="B69" s="1410"/>
      <c r="C69" s="1470"/>
      <c r="D69" s="1445">
        <f t="shared" si="2"/>
        <v>980</v>
      </c>
      <c r="E69" s="1471"/>
      <c r="F69" s="1446" t="str">
        <f>IFERROR(__xludf.DUMMYFUNCTION("""COMPUTED_VALUE"""),"Defense Absolute")</f>
        <v>Defense Absolute</v>
      </c>
      <c r="G69" s="1453">
        <f>IFERROR(__xludf.DUMMYFUNCTION("""COMPUTED_VALUE"""),23.0)</f>
        <v>23</v>
      </c>
      <c r="H69" s="1448">
        <f t="shared" si="3"/>
        <v>0.09064725138</v>
      </c>
      <c r="I69" s="1449" t="str">
        <f t="shared" si="4"/>
        <v>62.43 K</v>
      </c>
      <c r="J69" s="1423" t="str">
        <f t="shared" si="5"/>
        <v>6d 16h  1m</v>
      </c>
      <c r="K69" s="1431"/>
      <c r="L69" s="1431"/>
      <c r="M69" s="1431"/>
      <c r="N69" s="1438" t="str">
        <f>IFERROR(__xludf.DUMMYFUNCTION("""COMPUTED_VALUE"""),"T10 70")</f>
        <v>T10 70</v>
      </c>
      <c r="O69" s="1438"/>
      <c r="P69" s="1438"/>
      <c r="Q69" s="1438"/>
      <c r="R69" s="1438"/>
      <c r="S69" s="1443" t="str">
        <f>IFERROR(__xludf.DUMMYFUNCTION("""COMPUTED_VALUE"""),"Inner Mine Blast Radius")</f>
        <v>Inner Mine Blast Radius</v>
      </c>
      <c r="T69" s="1417">
        <v>0.0</v>
      </c>
      <c r="U69" s="1417">
        <v>20.0</v>
      </c>
      <c r="V69" s="1417">
        <f>IFERROR(__xludf.DUMMYFUNCTION("""COMPUTED_VALUE"""),5.0)</f>
        <v>5</v>
      </c>
      <c r="W69" s="1416">
        <v>0.4950293178101459</v>
      </c>
      <c r="X69" s="1417"/>
    </row>
    <row r="70">
      <c r="A70" s="1404"/>
      <c r="B70" s="1410"/>
      <c r="C70" s="1470"/>
      <c r="D70" s="1445">
        <f t="shared" si="2"/>
        <v>1020</v>
      </c>
      <c r="E70" s="1471"/>
      <c r="F70" s="1446" t="str">
        <f>IFERROR(__xludf.DUMMYFUNCTION("""COMPUTED_VALUE"""),"Defense Absolute")</f>
        <v>Defense Absolute</v>
      </c>
      <c r="G70" s="1453">
        <f>IFERROR(__xludf.DUMMYFUNCTION("""COMPUTED_VALUE"""),24.0)</f>
        <v>24</v>
      </c>
      <c r="H70" s="1448">
        <f t="shared" si="3"/>
        <v>0.1005328328</v>
      </c>
      <c r="I70" s="1449" t="str">
        <f t="shared" si="4"/>
        <v>70.14 K</v>
      </c>
      <c r="J70" s="1423" t="str">
        <f t="shared" si="5"/>
        <v>6d 18h 26m</v>
      </c>
      <c r="K70" s="1431"/>
      <c r="L70" s="1431"/>
      <c r="M70" s="1431"/>
      <c r="N70" s="1438" t="str">
        <f>IFERROR(__xludf.DUMMYFUNCTION("""COMPUTED_VALUE"""),"T11 200")</f>
        <v>T11 200</v>
      </c>
      <c r="O70" s="1438"/>
      <c r="P70" s="1438"/>
      <c r="Q70" s="1438"/>
      <c r="R70" s="1438"/>
      <c r="S70" s="1443" t="str">
        <f>IFERROR(__xludf.DUMMYFUNCTION("""COMPUTED_VALUE"""),"Inner Mine Rotation Speed")</f>
        <v>Inner Mine Rotation Speed</v>
      </c>
      <c r="T70" s="1417">
        <v>0.0</v>
      </c>
      <c r="U70" s="1417">
        <v>20.0</v>
      </c>
      <c r="V70" s="1417">
        <f>IFERROR(__xludf.DUMMYFUNCTION("""COMPUTED_VALUE"""),5.0)</f>
        <v>5</v>
      </c>
      <c r="W70" s="1416">
        <v>0.4950293178101459</v>
      </c>
      <c r="X70" s="1417"/>
    </row>
    <row r="71">
      <c r="A71" s="1404"/>
      <c r="B71" s="1410"/>
      <c r="C71" s="1470"/>
      <c r="D71" s="1445">
        <f t="shared" si="2"/>
        <v>1060</v>
      </c>
      <c r="E71" s="1471"/>
      <c r="F71" s="1446" t="str">
        <f>IFERROR(__xludf.DUMMYFUNCTION("""COMPUTED_VALUE"""),"Defense Absolute")</f>
        <v>Defense Absolute</v>
      </c>
      <c r="G71" s="1453">
        <f>IFERROR(__xludf.DUMMYFUNCTION("""COMPUTED_VALUE"""),25.0)</f>
        <v>25</v>
      </c>
      <c r="H71" s="1448">
        <f t="shared" si="3"/>
        <v>0.1110362631</v>
      </c>
      <c r="I71" s="1449" t="str">
        <f t="shared" si="4"/>
        <v>78.43 K</v>
      </c>
      <c r="J71" s="1423" t="str">
        <f t="shared" si="5"/>
        <v>6d 21h  6m</v>
      </c>
      <c r="K71" s="1431"/>
      <c r="L71" s="1431"/>
      <c r="M71" s="1431"/>
      <c r="N71" s="1438" t="str">
        <f>IFERROR(__xludf.DUMMYFUNCTION("""COMPUTED_VALUE"""),"T12 10")</f>
        <v>T12 10</v>
      </c>
      <c r="O71" s="1438"/>
      <c r="P71" s="1438"/>
      <c r="Q71" s="1438"/>
      <c r="R71" s="1438"/>
      <c r="S71" s="1443" t="str">
        <f>IFERROR(__xludf.DUMMYFUNCTION("""COMPUTED_VALUE"""),"Inner Mine Stun")</f>
        <v>Inner Mine Stun</v>
      </c>
      <c r="T71" s="1417">
        <v>0.0</v>
      </c>
      <c r="U71" s="1417">
        <v>1.0</v>
      </c>
      <c r="V71" s="1417">
        <f>IFERROR(__xludf.DUMMYFUNCTION("""COMPUTED_VALUE"""),1.0)</f>
        <v>1</v>
      </c>
      <c r="W71" s="1416">
        <v>0.882597069348766</v>
      </c>
      <c r="X71" s="1417"/>
    </row>
    <row r="72">
      <c r="A72" s="1404"/>
      <c r="B72" s="1410"/>
      <c r="C72" s="1470"/>
      <c r="D72" s="1445">
        <f t="shared" si="2"/>
        <v>420</v>
      </c>
      <c r="E72" s="1471"/>
      <c r="F72" s="1446" t="str">
        <f>IFERROR(__xludf.DUMMYFUNCTION("""COMPUTED_VALUE"""),"Cash / Wave")</f>
        <v>Cash / Wave</v>
      </c>
      <c r="G72" s="1453">
        <f>IFERROR(__xludf.DUMMYFUNCTION("""COMPUTED_VALUE"""),9.0)</f>
        <v>9</v>
      </c>
      <c r="H72" s="1448">
        <f t="shared" si="3"/>
        <v>0.009311864675</v>
      </c>
      <c r="I72" s="1449" t="str">
        <f t="shared" si="4"/>
        <v>4.92 K</v>
      </c>
      <c r="J72" s="1423" t="str">
        <f t="shared" si="5"/>
        <v>6d 21h 19m</v>
      </c>
      <c r="K72" s="1431"/>
      <c r="L72" s="1431"/>
      <c r="M72" s="1431"/>
      <c r="N72" s="1438" t="str">
        <f>IFERROR(__xludf.DUMMYFUNCTION("""COMPUTED_VALUE"""),"T12 60")</f>
        <v>T12 60</v>
      </c>
      <c r="O72" s="1438"/>
      <c r="P72" s="1438"/>
      <c r="Q72" s="1438"/>
      <c r="R72" s="1438"/>
      <c r="S72" s="1443" t="str">
        <f>IFERROR(__xludf.DUMMYFUNCTION("""COMPUTED_VALUE"""),"Interest")</f>
        <v>Interest</v>
      </c>
      <c r="T72" s="1417">
        <v>11.0</v>
      </c>
      <c r="U72" s="1417">
        <v>99.0</v>
      </c>
      <c r="V72" s="1417">
        <f>IFERROR(__xludf.DUMMYFUNCTION("""COMPUTED_VALUE"""),20.0)</f>
        <v>20</v>
      </c>
      <c r="W72" s="1416">
        <v>0.6116703525763237</v>
      </c>
      <c r="X72" s="1417"/>
    </row>
    <row r="73">
      <c r="A73" s="1404"/>
      <c r="B73" s="1410"/>
      <c r="C73" s="1470"/>
      <c r="D73" s="1445">
        <f t="shared" si="2"/>
        <v>460</v>
      </c>
      <c r="E73" s="1471"/>
      <c r="F73" s="1446" t="str">
        <f>IFERROR(__xludf.DUMMYFUNCTION("""COMPUTED_VALUE"""),"Cash / Wave")</f>
        <v>Cash / Wave</v>
      </c>
      <c r="G73" s="1453">
        <f>IFERROR(__xludf.DUMMYFUNCTION("""COMPUTED_VALUE"""),10.0)</f>
        <v>10</v>
      </c>
      <c r="H73" s="1448">
        <f t="shared" si="3"/>
        <v>0.01200392034</v>
      </c>
      <c r="I73" s="1449" t="str">
        <f t="shared" si="4"/>
        <v>6.51 K</v>
      </c>
      <c r="J73" s="1423" t="str">
        <f t="shared" si="5"/>
        <v>6d 21h 36m</v>
      </c>
      <c r="K73" s="1431"/>
      <c r="L73" s="1431"/>
      <c r="M73" s="1431"/>
      <c r="N73" s="1438" t="str">
        <f>IFERROR(__xludf.DUMMYFUNCTION("""COMPUTED_VALUE"""),"T13 10")</f>
        <v>T13 10</v>
      </c>
      <c r="O73" s="1438"/>
      <c r="P73" s="1438"/>
      <c r="Q73" s="1438"/>
      <c r="R73" s="1438"/>
      <c r="S73" s="1443" t="str">
        <f>IFERROR(__xludf.DUMMYFUNCTION("""COMPUTED_VALUE"""),"Intro Sprint Mastery")</f>
        <v>Intro Sprint Mastery</v>
      </c>
      <c r="T73" s="1417">
        <v>0.0</v>
      </c>
      <c r="U73" s="1417">
        <v>9.0</v>
      </c>
      <c r="V73" s="1417">
        <f>IFERROR(__xludf.DUMMYFUNCTION("""COMPUTED_VALUE"""),0.0)</f>
        <v>0</v>
      </c>
      <c r="W73" s="1416">
        <v>0.0</v>
      </c>
      <c r="X73" s="1417"/>
    </row>
    <row r="74">
      <c r="A74" s="1404"/>
      <c r="B74" s="1410"/>
      <c r="C74" s="1470"/>
      <c r="D74" s="1445">
        <f t="shared" si="2"/>
        <v>500</v>
      </c>
      <c r="E74" s="1471"/>
      <c r="F74" s="1446" t="str">
        <f>IFERROR(__xludf.DUMMYFUNCTION("""COMPUTED_VALUE"""),"Cash / Wave")</f>
        <v>Cash / Wave</v>
      </c>
      <c r="G74" s="1453">
        <f>IFERROR(__xludf.DUMMYFUNCTION("""COMPUTED_VALUE"""),11.0)</f>
        <v>11</v>
      </c>
      <c r="H74" s="1448">
        <f t="shared" si="3"/>
        <v>0.0151372966</v>
      </c>
      <c r="I74" s="1449" t="str">
        <f t="shared" si="4"/>
        <v>8.41 K</v>
      </c>
      <c r="J74" s="1423" t="str">
        <f t="shared" si="5"/>
        <v>6d 21h 58m</v>
      </c>
      <c r="K74" s="1431"/>
      <c r="L74" s="1431"/>
      <c r="M74" s="1431"/>
      <c r="N74" s="1438" t="str">
        <f>IFERROR(__xludf.DUMMYFUNCTION("""COMPUTED_VALUE"""),"T13 80")</f>
        <v>T13 80</v>
      </c>
      <c r="O74" s="1438"/>
      <c r="P74" s="1438"/>
      <c r="Q74" s="1438"/>
      <c r="R74" s="1438"/>
      <c r="S74" s="1443" t="str">
        <f>IFERROR(__xludf.DUMMYFUNCTION("""COMPUTED_VALUE"""),"Labs Coin Discount")</f>
        <v>Labs Coin Discount</v>
      </c>
      <c r="T74" s="1417">
        <v>68.0</v>
      </c>
      <c r="U74" s="1417">
        <v>99.0</v>
      </c>
      <c r="V74" s="1417">
        <f>IFERROR(__xludf.DUMMYFUNCTION("""COMPUTED_VALUE"""),68.0)</f>
        <v>68</v>
      </c>
      <c r="W74" s="1416">
        <v>0.0</v>
      </c>
      <c r="X74" s="1417"/>
    </row>
    <row r="75">
      <c r="A75" s="1404"/>
      <c r="B75" s="1410"/>
      <c r="C75" s="1470"/>
      <c r="D75" s="1445">
        <f t="shared" si="2"/>
        <v>540</v>
      </c>
      <c r="E75" s="1471"/>
      <c r="F75" s="1446" t="str">
        <f>IFERROR(__xludf.DUMMYFUNCTION("""COMPUTED_VALUE"""),"Cash / Wave")</f>
        <v>Cash / Wave</v>
      </c>
      <c r="G75" s="1453">
        <f>IFERROR(__xludf.DUMMYFUNCTION("""COMPUTED_VALUE"""),12.0)</f>
        <v>12</v>
      </c>
      <c r="H75" s="1448">
        <f t="shared" si="3"/>
        <v>0.01866786141</v>
      </c>
      <c r="I75" s="1449" t="str">
        <f t="shared" si="4"/>
        <v>10.63 K</v>
      </c>
      <c r="J75" s="1423" t="str">
        <f t="shared" si="5"/>
        <v>6d 22h 25m</v>
      </c>
      <c r="K75" s="1431"/>
      <c r="L75" s="1431"/>
      <c r="M75" s="1431"/>
      <c r="N75" s="1438" t="str">
        <f>IFERROR(__xludf.DUMMYFUNCTION("""COMPUTED_VALUE"""),"T14 20")</f>
        <v>T14 20</v>
      </c>
      <c r="O75" s="1438"/>
      <c r="P75" s="1438"/>
      <c r="Q75" s="1438"/>
      <c r="R75" s="1438"/>
      <c r="S75" s="1443" t="str">
        <f>IFERROR(__xludf.DUMMYFUNCTION("""COMPUTED_VALUE"""),"Labs Speed")</f>
        <v>Labs Speed</v>
      </c>
      <c r="T75" s="1417">
        <v>91.0</v>
      </c>
      <c r="U75" s="1417">
        <v>99.0</v>
      </c>
      <c r="V75" s="1417">
        <f>IFERROR(__xludf.DUMMYFUNCTION("""COMPUTED_VALUE"""),91.0)</f>
        <v>91</v>
      </c>
      <c r="W75" s="1416">
        <v>0.0</v>
      </c>
      <c r="X75" s="1417"/>
    </row>
    <row r="76">
      <c r="A76" s="1404"/>
      <c r="B76" s="1424"/>
      <c r="C76" s="1473"/>
      <c r="D76" s="1476"/>
      <c r="E76" s="1477"/>
      <c r="F76" s="1446" t="str">
        <f>IFERROR(__xludf.DUMMYFUNCTION("""COMPUTED_VALUE"""),"Cash / Wave")</f>
        <v>Cash / Wave</v>
      </c>
      <c r="G76" s="1453">
        <f>IFERROR(__xludf.DUMMYFUNCTION("""COMPUTED_VALUE"""),13.0)</f>
        <v>13</v>
      </c>
      <c r="H76" s="1448">
        <f t="shared" si="3"/>
        <v>0.02268387888</v>
      </c>
      <c r="I76" s="1449" t="str">
        <f t="shared" si="4"/>
        <v>13.21 K</v>
      </c>
      <c r="J76" s="1423" t="str">
        <f t="shared" si="5"/>
        <v>6d 22h 58m</v>
      </c>
      <c r="K76" s="1429"/>
      <c r="L76" s="1429"/>
      <c r="M76" s="1429"/>
      <c r="N76" s="1438" t="str">
        <f>IFERROR(__xludf.DUMMYFUNCTION("""COMPUTED_VALUE"""),"T14 40")</f>
        <v>T14 40</v>
      </c>
      <c r="O76" s="1438"/>
      <c r="P76" s="1438"/>
      <c r="Q76" s="1438"/>
      <c r="R76" s="1438"/>
      <c r="S76" s="1443" t="str">
        <f>IFERROR(__xludf.DUMMYFUNCTION("""COMPUTED_VALUE"""),"Land Mine Damage")</f>
        <v>Land Mine Damage</v>
      </c>
      <c r="T76" s="1417">
        <v>0.0</v>
      </c>
      <c r="U76" s="1417">
        <v>20.0</v>
      </c>
      <c r="V76" s="1417">
        <f>IFERROR(__xludf.DUMMYFUNCTION("""COMPUTED_VALUE"""),10.0)</f>
        <v>10</v>
      </c>
      <c r="W76" s="1416">
        <v>0.7262813125792611</v>
      </c>
      <c r="X76" s="1417"/>
    </row>
    <row r="77">
      <c r="A77" s="1404"/>
      <c r="B77" s="1424"/>
      <c r="C77" s="1473"/>
      <c r="D77" s="1476"/>
      <c r="E77" s="1477"/>
      <c r="F77" s="1446" t="str">
        <f>IFERROR(__xludf.DUMMYFUNCTION("""COMPUTED_VALUE"""),"Cash / Wave")</f>
        <v>Cash / Wave</v>
      </c>
      <c r="G77" s="1453">
        <f>IFERROR(__xludf.DUMMYFUNCTION("""COMPUTED_VALUE"""),14.0)</f>
        <v>14</v>
      </c>
      <c r="H77" s="1448">
        <f t="shared" si="3"/>
        <v>0.02714121694</v>
      </c>
      <c r="I77" s="1449" t="str">
        <f t="shared" si="4"/>
        <v>16.14 K</v>
      </c>
      <c r="J77" s="1423" t="str">
        <f t="shared" si="5"/>
        <v>6d 23h 37m</v>
      </c>
      <c r="K77" s="1429"/>
      <c r="L77" s="1429"/>
      <c r="M77" s="1429"/>
      <c r="N77" s="1438" t="str">
        <f>IFERROR(__xludf.DUMMYFUNCTION("""COMPUTED_VALUE"""),"T14 60")</f>
        <v>T14 60</v>
      </c>
      <c r="O77" s="1438"/>
      <c r="P77" s="1438"/>
      <c r="Q77" s="1438"/>
      <c r="R77" s="1438"/>
      <c r="S77" s="1443" t="str">
        <f>IFERROR(__xludf.DUMMYFUNCTION("""COMPUTED_VALUE"""),"Land Mine Decay")</f>
        <v>Land Mine Decay</v>
      </c>
      <c r="T77" s="1417">
        <v>13.0</v>
      </c>
      <c r="U77" s="1417">
        <v>35.0</v>
      </c>
      <c r="V77" s="1417">
        <f>IFERROR(__xludf.DUMMYFUNCTION("""COMPUTED_VALUE"""),13.0)</f>
        <v>13</v>
      </c>
      <c r="W77" s="1416">
        <v>0.0</v>
      </c>
      <c r="X77" s="1417"/>
    </row>
    <row r="78">
      <c r="A78" s="1404"/>
      <c r="B78" s="1424"/>
      <c r="C78" s="1473"/>
      <c r="D78" s="1476"/>
      <c r="E78" s="1477"/>
      <c r="F78" s="1446" t="str">
        <f>IFERROR(__xludf.DUMMYFUNCTION("""COMPUTED_VALUE"""),"Cash / Wave")</f>
        <v>Cash / Wave</v>
      </c>
      <c r="G78" s="1453">
        <f>IFERROR(__xludf.DUMMYFUNCTION("""COMPUTED_VALUE"""),15.0)</f>
        <v>15</v>
      </c>
      <c r="H78" s="1448">
        <f t="shared" si="3"/>
        <v>0.03208400767</v>
      </c>
      <c r="I78" s="1449" t="str">
        <f t="shared" si="4"/>
        <v>19.46 K</v>
      </c>
      <c r="J78" s="1423" t="str">
        <f t="shared" si="5"/>
        <v>7d  0h 23m</v>
      </c>
      <c r="K78" s="1429"/>
      <c r="L78" s="1429"/>
      <c r="M78" s="1429"/>
      <c r="N78" s="1438" t="str">
        <f>IFERROR(__xludf.DUMMYFUNCTION("""COMPUTED_VALUE"""),"T16 40")</f>
        <v>T16 40</v>
      </c>
      <c r="O78" s="1438"/>
      <c r="P78" s="1438"/>
      <c r="Q78" s="1438"/>
      <c r="R78" s="1438"/>
      <c r="S78" s="1443" t="str">
        <f>IFERROR(__xludf.DUMMYFUNCTION("""COMPUTED_VALUE"""),"Land Mine Stun Mastery")</f>
        <v>Land Mine Stun Mastery</v>
      </c>
      <c r="T78" s="1417">
        <v>0.0</v>
      </c>
      <c r="U78" s="1417">
        <v>9.0</v>
      </c>
      <c r="V78" s="1417">
        <f>IFERROR(__xludf.DUMMYFUNCTION("""COMPUTED_VALUE"""),0.0)</f>
        <v>0</v>
      </c>
      <c r="W78" s="1416">
        <v>0.0</v>
      </c>
      <c r="X78" s="1417"/>
    </row>
    <row r="79">
      <c r="A79" s="1404"/>
      <c r="B79" s="1424"/>
      <c r="C79" s="1473"/>
      <c r="D79" s="1476"/>
      <c r="E79" s="1477"/>
      <c r="F79" s="1446" t="str">
        <f>IFERROR(__xludf.DUMMYFUNCTION("""COMPUTED_VALUE"""),"Cash / Wave")</f>
        <v>Cash / Wave</v>
      </c>
      <c r="G79" s="1453">
        <f>IFERROR(__xludf.DUMMYFUNCTION("""COMPUTED_VALUE"""),16.0)</f>
        <v>16</v>
      </c>
      <c r="H79" s="1448">
        <f t="shared" si="3"/>
        <v>0.03751225106</v>
      </c>
      <c r="I79" s="1449" t="str">
        <f t="shared" si="4"/>
        <v>23.2 K</v>
      </c>
      <c r="J79" s="1423" t="str">
        <f t="shared" si="5"/>
        <v>7d  1h 17m</v>
      </c>
      <c r="K79" s="1429"/>
      <c r="L79" s="1429"/>
      <c r="M79" s="1429"/>
      <c r="N79" s="1438" t="str">
        <f>IFERROR(__xludf.DUMMYFUNCTION("""COMPUTED_VALUE"""),"T16 60")</f>
        <v>T16 60</v>
      </c>
      <c r="O79" s="1438"/>
      <c r="P79" s="1438"/>
      <c r="Q79" s="1438"/>
      <c r="R79" s="1438"/>
      <c r="S79" s="1443" t="str">
        <f>IFERROR(__xludf.DUMMYFUNCTION("""COMPUTED_VALUE"""),"Lightning Amplifier - Scatter")</f>
        <v>Lightning Amplifier - Scatter</v>
      </c>
      <c r="T79" s="1417">
        <v>9.0</v>
      </c>
      <c r="U79" s="1417">
        <v>30.0</v>
      </c>
      <c r="V79" s="1417">
        <f>IFERROR(__xludf.DUMMYFUNCTION("""COMPUTED_VALUE"""),9.0)</f>
        <v>9</v>
      </c>
      <c r="W79" s="1416">
        <v>0.0</v>
      </c>
      <c r="X79" s="1417"/>
    </row>
    <row r="80">
      <c r="A80" s="1404"/>
      <c r="B80" s="1424"/>
      <c r="C80" s="1473"/>
      <c r="D80" s="1476"/>
      <c r="E80" s="1477"/>
      <c r="F80" s="1446" t="str">
        <f>IFERROR(__xludf.DUMMYFUNCTION("""COMPUTED_VALUE"""),"Cash / Wave")</f>
        <v>Cash / Wave</v>
      </c>
      <c r="G80" s="1453">
        <f>IFERROR(__xludf.DUMMYFUNCTION("""COMPUTED_VALUE"""),17.0)</f>
        <v>17</v>
      </c>
      <c r="H80" s="1448">
        <f t="shared" si="3"/>
        <v>0.04347007917</v>
      </c>
      <c r="I80" s="1449" t="str">
        <f t="shared" si="4"/>
        <v>27.36 K</v>
      </c>
      <c r="J80" s="1423" t="str">
        <f t="shared" si="5"/>
        <v>7d  2h 20m</v>
      </c>
      <c r="K80" s="1429"/>
      <c r="L80" s="1429"/>
      <c r="M80" s="1429"/>
      <c r="N80" s="1438" t="str">
        <f>IFERROR(__xludf.DUMMYFUNCTION("""COMPUTED_VALUE"""),"T16 100")</f>
        <v>T16 100</v>
      </c>
      <c r="O80" s="1438"/>
      <c r="P80" s="1438"/>
      <c r="Q80" s="1438"/>
      <c r="R80" s="1438"/>
      <c r="S80" s="1443" t="str">
        <f>IFERROR(__xludf.DUMMYFUNCTION("""COMPUTED_VALUE"""),"Max Interest")</f>
        <v>Max Interest</v>
      </c>
      <c r="T80" s="1417">
        <v>8.0</v>
      </c>
      <c r="U80" s="1417">
        <v>15.0</v>
      </c>
      <c r="V80" s="1417">
        <f>IFERROR(__xludf.DUMMYFUNCTION("""COMPUTED_VALUE"""),10.0)</f>
        <v>10</v>
      </c>
      <c r="W80" s="1416">
        <v>0.6191286707282284</v>
      </c>
      <c r="X80" s="1417"/>
    </row>
    <row r="81">
      <c r="A81" s="1404"/>
      <c r="B81" s="1424"/>
      <c r="C81" s="1473"/>
      <c r="D81" s="1476"/>
      <c r="E81" s="1477"/>
      <c r="F81" s="1446" t="str">
        <f>IFERROR(__xludf.DUMMYFUNCTION("""COMPUTED_VALUE"""),"Cash / Wave")</f>
        <v>Cash / Wave</v>
      </c>
      <c r="G81" s="1453">
        <f>IFERROR(__xludf.DUMMYFUNCTION("""COMPUTED_VALUE"""),18.0)</f>
        <v>18</v>
      </c>
      <c r="H81" s="1448">
        <f t="shared" si="3"/>
        <v>0.049957492</v>
      </c>
      <c r="I81" s="1449" t="str">
        <f t="shared" si="4"/>
        <v>31.98 K</v>
      </c>
      <c r="J81" s="1423" t="str">
        <f t="shared" si="5"/>
        <v>7d  3h 32m</v>
      </c>
      <c r="K81" s="1429"/>
      <c r="L81" s="1429"/>
      <c r="M81" s="1429"/>
      <c r="N81" s="1438" t="str">
        <f>IFERROR(__xludf.DUMMYFUNCTION("""COMPUTED_VALUE"""),"T18 1000")</f>
        <v>T18 1000</v>
      </c>
      <c r="O81" s="1438"/>
      <c r="P81" s="1438"/>
      <c r="Q81" s="1438"/>
      <c r="R81" s="1438"/>
      <c r="S81" s="1443" t="str">
        <f>IFERROR(__xludf.DUMMYFUNCTION("""COMPUTED_VALUE"""),"Max Rend Armor Multiplier")</f>
        <v>Max Rend Armor Multiplier</v>
      </c>
      <c r="T81" s="1417">
        <v>0.0</v>
      </c>
      <c r="U81" s="1417">
        <v>30.0</v>
      </c>
      <c r="V81" s="1417">
        <f>IFERROR(__xludf.DUMMYFUNCTION("""COMPUTED_VALUE"""),0.0)</f>
        <v>0</v>
      </c>
      <c r="W81" s="1416">
        <v>0.0</v>
      </c>
      <c r="X81" s="1417"/>
    </row>
    <row r="82">
      <c r="A82" s="1404"/>
      <c r="B82" s="1424"/>
      <c r="C82" s="1473"/>
      <c r="D82" s="1476"/>
      <c r="E82" s="1477"/>
      <c r="F82" s="1446" t="str">
        <f>IFERROR(__xludf.DUMMYFUNCTION("""COMPUTED_VALUE"""),"Cash / Wave")</f>
        <v>Cash / Wave</v>
      </c>
      <c r="G82" s="1453">
        <f>IFERROR(__xludf.DUMMYFUNCTION("""COMPUTED_VALUE"""),19.0)</f>
        <v>19</v>
      </c>
      <c r="H82" s="1448">
        <f t="shared" si="3"/>
        <v>0.05697448955</v>
      </c>
      <c r="I82" s="1449" t="str">
        <f t="shared" si="4"/>
        <v>37.05 K</v>
      </c>
      <c r="J82" s="1423" t="str">
        <f t="shared" si="5"/>
        <v>7d  4h 54m</v>
      </c>
      <c r="K82" s="1429"/>
      <c r="L82" s="1429"/>
      <c r="M82" s="1429"/>
      <c r="N82" s="1438" t="str">
        <f>IFERROR(__xludf.DUMMYFUNCTION("""COMPUTED_VALUE"""),"T19 50")</f>
        <v>T19 50</v>
      </c>
      <c r="O82" s="1438"/>
      <c r="P82" s="1438"/>
      <c r="Q82" s="1438"/>
      <c r="R82" s="1438"/>
      <c r="S82" s="1443" t="str">
        <f>IFERROR(__xludf.DUMMYFUNCTION("""COMPUTED_VALUE"""),"Module Coin Cost")</f>
        <v>Module Coin Cost</v>
      </c>
      <c r="T82" s="1417">
        <v>23.0</v>
      </c>
      <c r="U82" s="1417">
        <v>30.0</v>
      </c>
      <c r="V82" s="1417">
        <f>IFERROR(__xludf.DUMMYFUNCTION("""COMPUTED_VALUE"""),23.0)</f>
        <v>23</v>
      </c>
      <c r="W82" s="1416">
        <v>0.0</v>
      </c>
      <c r="X82" s="1417"/>
    </row>
    <row r="83">
      <c r="A83" s="1404"/>
      <c r="B83" s="1424"/>
      <c r="C83" s="1473"/>
      <c r="D83" s="1476"/>
      <c r="E83" s="1477"/>
      <c r="F83" s="1446" t="str">
        <f>IFERROR(__xludf.DUMMYFUNCTION("""COMPUTED_VALUE"""),"Cash / Wave")</f>
        <v>Cash / Wave</v>
      </c>
      <c r="G83" s="1453">
        <f>IFERROR(__xludf.DUMMYFUNCTION("""COMPUTED_VALUE"""),20.0)</f>
        <v>20</v>
      </c>
      <c r="H83" s="1448">
        <f t="shared" si="3"/>
        <v>0.06452107182</v>
      </c>
      <c r="I83" s="1449" t="str">
        <f t="shared" si="4"/>
        <v>42.62 K</v>
      </c>
      <c r="J83" s="1423" t="str">
        <f t="shared" si="5"/>
        <v>7d  6h 27m</v>
      </c>
      <c r="K83" s="1429"/>
      <c r="L83" s="1429"/>
      <c r="M83" s="1429"/>
      <c r="N83" s="1438" t="str">
        <f>IFERROR(__xludf.DUMMYFUNCTION("""COMPUTED_VALUE"""),"T19 60")</f>
        <v>T19 60</v>
      </c>
      <c r="O83" s="1438"/>
      <c r="P83" s="1438"/>
      <c r="Q83" s="1438"/>
      <c r="R83" s="1438"/>
      <c r="S83" s="1443" t="str">
        <f>IFERROR(__xludf.DUMMYFUNCTION("""COMPUTED_VALUE"""),"Nuke Mastery")</f>
        <v>Nuke Mastery</v>
      </c>
      <c r="T83" s="1417">
        <v>0.0</v>
      </c>
      <c r="U83" s="1417">
        <v>9.0</v>
      </c>
      <c r="V83" s="1417">
        <f>IFERROR(__xludf.DUMMYFUNCTION("""COMPUTED_VALUE"""),0.0)</f>
        <v>0</v>
      </c>
      <c r="W83" s="1416">
        <v>0.0</v>
      </c>
      <c r="X83" s="1417"/>
    </row>
    <row r="84">
      <c r="A84" s="1404"/>
      <c r="B84" s="1424"/>
      <c r="C84" s="1473"/>
      <c r="D84" s="1476"/>
      <c r="E84" s="1477"/>
      <c r="F84" s="1446" t="str">
        <f>IFERROR(__xludf.DUMMYFUNCTION("""COMPUTED_VALUE"""),"Cash / Wave")</f>
        <v>Cash / Wave</v>
      </c>
      <c r="G84" s="1453">
        <f>IFERROR(__xludf.DUMMYFUNCTION("""COMPUTED_VALUE"""),21.0)</f>
        <v>21</v>
      </c>
      <c r="H84" s="1448">
        <f t="shared" si="3"/>
        <v>0.07268550294</v>
      </c>
      <c r="I84" s="1449" t="str">
        <f t="shared" si="4"/>
        <v>48.69 K</v>
      </c>
      <c r="J84" s="1423" t="str">
        <f t="shared" si="5"/>
        <v>7d  8h 11m</v>
      </c>
      <c r="K84" s="1429"/>
      <c r="L84" s="1429"/>
      <c r="M84" s="1429"/>
      <c r="N84" s="1438" t="str">
        <f>IFERROR(__xludf.DUMMYFUNCTION("""COMPUTED_VALUE"""),"T19 100")</f>
        <v>T19 100</v>
      </c>
      <c r="O84" s="1438"/>
      <c r="P84" s="1438"/>
      <c r="Q84" s="1438"/>
      <c r="R84" s="1438"/>
      <c r="S84" s="1443" t="str">
        <f>IFERROR(__xludf.DUMMYFUNCTION("""COMPUTED_VALUE"""),"Plasma Cannon Mastery")</f>
        <v>Plasma Cannon Mastery</v>
      </c>
      <c r="T84" s="1417">
        <v>0.0</v>
      </c>
      <c r="U84" s="1417">
        <v>9.0</v>
      </c>
      <c r="V84" s="1417">
        <f>IFERROR(__xludf.DUMMYFUNCTION("""COMPUTED_VALUE"""),0.0)</f>
        <v>0</v>
      </c>
      <c r="W84" s="1416">
        <v>0.0</v>
      </c>
      <c r="X84" s="1417"/>
    </row>
    <row r="85">
      <c r="A85" s="1404"/>
      <c r="B85" s="1424"/>
      <c r="C85" s="1473"/>
      <c r="D85" s="1476"/>
      <c r="E85" s="1477"/>
      <c r="F85" s="1446" t="str">
        <f>IFERROR(__xludf.DUMMYFUNCTION("""COMPUTED_VALUE"""),"Cash / Wave")</f>
        <v>Cash / Wave</v>
      </c>
      <c r="G85" s="1453">
        <f>IFERROR(__xludf.DUMMYFUNCTION("""COMPUTED_VALUE"""),22.0)</f>
        <v>22</v>
      </c>
      <c r="H85" s="1448">
        <f t="shared" si="3"/>
        <v>0.08137951877</v>
      </c>
      <c r="I85" s="1449" t="str">
        <f t="shared" si="4"/>
        <v>55.3 K</v>
      </c>
      <c r="J85" s="1423" t="str">
        <f t="shared" si="5"/>
        <v>7d 10h  8m</v>
      </c>
      <c r="K85" s="1429"/>
      <c r="L85" s="1429"/>
      <c r="M85" s="1429"/>
      <c r="N85" s="1438" t="str">
        <f>IFERROR(__xludf.DUMMYFUNCTION("""COMPUTED_VALUE"""),"T19 500")</f>
        <v>T19 500</v>
      </c>
      <c r="O85" s="1438"/>
      <c r="P85" s="1438"/>
      <c r="Q85" s="1438"/>
      <c r="R85" s="1438"/>
      <c r="S85" s="1443" t="str">
        <f>IFERROR(__xludf.DUMMYFUNCTION("""COMPUTED_VALUE"""),"Protector Damage Reduction")</f>
        <v>Protector Damage Reduction</v>
      </c>
      <c r="T85" s="1417">
        <v>0.0</v>
      </c>
      <c r="U85" s="1417">
        <v>20.0</v>
      </c>
      <c r="V85" s="1417">
        <f>IFERROR(__xludf.DUMMYFUNCTION("""COMPUTED_VALUE"""),0.0)</f>
        <v>0</v>
      </c>
      <c r="W85" s="1416">
        <v>0.0</v>
      </c>
      <c r="X85" s="1417"/>
    </row>
    <row r="86">
      <c r="A86" s="1404"/>
      <c r="B86" s="1424"/>
      <c r="C86" s="1473"/>
      <c r="D86" s="1476"/>
      <c r="E86" s="1477"/>
      <c r="F86" s="1446" t="str">
        <f>IFERROR(__xludf.DUMMYFUNCTION("""COMPUTED_VALUE"""),"Cash / Wave")</f>
        <v>Cash / Wave</v>
      </c>
      <c r="G86" s="1453">
        <f>IFERROR(__xludf.DUMMYFUNCTION("""COMPUTED_VALUE"""),23.0)</f>
        <v>23</v>
      </c>
      <c r="H86" s="1448">
        <f t="shared" si="3"/>
        <v>0.09064725138</v>
      </c>
      <c r="I86" s="1449" t="str">
        <f t="shared" si="4"/>
        <v>62.44 K</v>
      </c>
      <c r="J86" s="1423" t="str">
        <f t="shared" si="5"/>
        <v>7d 12h 19m</v>
      </c>
      <c r="K86" s="1429"/>
      <c r="L86" s="1429"/>
      <c r="M86" s="1429"/>
      <c r="N86" s="1438" t="str">
        <f>IFERROR(__xludf.DUMMYFUNCTION("""COMPUTED_VALUE"""),"T20 60")</f>
        <v>T20 60</v>
      </c>
      <c r="O86" s="1438"/>
      <c r="P86" s="1438"/>
      <c r="Q86" s="1438"/>
      <c r="R86" s="1438"/>
      <c r="S86" s="1443" t="str">
        <f>IFERROR(__xludf.DUMMYFUNCTION("""COMPUTED_VALUE"""),"Protector Health")</f>
        <v>Protector Health</v>
      </c>
      <c r="T86" s="1417">
        <v>0.0</v>
      </c>
      <c r="U86" s="1417">
        <v>30.0</v>
      </c>
      <c r="V86" s="1417">
        <f>IFERROR(__xludf.DUMMYFUNCTION("""COMPUTED_VALUE"""),5.0)</f>
        <v>5</v>
      </c>
      <c r="W86" s="1416">
        <v>0.9670217002635212</v>
      </c>
      <c r="X86" s="1417"/>
    </row>
    <row r="87">
      <c r="A87" s="1404"/>
      <c r="B87" s="1424"/>
      <c r="C87" s="1473"/>
      <c r="D87" s="1476"/>
      <c r="E87" s="1477"/>
      <c r="F87" s="1446" t="str">
        <f>IFERROR(__xludf.DUMMYFUNCTION("""COMPUTED_VALUE"""),"Cash / Wave")</f>
        <v>Cash / Wave</v>
      </c>
      <c r="G87" s="1453">
        <f>IFERROR(__xludf.DUMMYFUNCTION("""COMPUTED_VALUE"""),24.0)</f>
        <v>24</v>
      </c>
      <c r="H87" s="1448">
        <f t="shared" si="3"/>
        <v>0.1005328328</v>
      </c>
      <c r="I87" s="1449" t="str">
        <f t="shared" si="4"/>
        <v>70.15 K</v>
      </c>
      <c r="J87" s="1423" t="str">
        <f t="shared" si="5"/>
        <v>7d 14h 44m</v>
      </c>
      <c r="K87" s="1429"/>
      <c r="L87" s="1429"/>
      <c r="M87" s="1429"/>
      <c r="N87" s="1438" t="str">
        <f>IFERROR(__xludf.DUMMYFUNCTION("""COMPUTED_VALUE"""),"T21 60")</f>
        <v>T21 60</v>
      </c>
      <c r="O87" s="1438"/>
      <c r="P87" s="1438"/>
      <c r="Q87" s="1438"/>
      <c r="R87" s="1438"/>
      <c r="S87" s="1443" t="str">
        <f>IFERROR(__xludf.DUMMYFUNCTION("""COMPUTED_VALUE"""),"Protector Radius")</f>
        <v>Protector Radius</v>
      </c>
      <c r="T87" s="1417">
        <v>0.0</v>
      </c>
      <c r="U87" s="1417">
        <v>30.0</v>
      </c>
      <c r="V87" s="1417">
        <f>IFERROR(__xludf.DUMMYFUNCTION("""COMPUTED_VALUE"""),5.0)</f>
        <v>5</v>
      </c>
      <c r="W87" s="1416">
        <v>0.9670217002635212</v>
      </c>
      <c r="X87" s="1417"/>
    </row>
    <row r="88">
      <c r="A88" s="1404"/>
      <c r="B88" s="1424"/>
      <c r="C88" s="1473"/>
      <c r="D88" s="1476"/>
      <c r="E88" s="1477"/>
      <c r="F88" s="1446" t="str">
        <f>IFERROR(__xludf.DUMMYFUNCTION("""COMPUTED_VALUE"""),"Cash / Wave")</f>
        <v>Cash / Wave</v>
      </c>
      <c r="G88" s="1453">
        <f>IFERROR(__xludf.DUMMYFUNCTION("""COMPUTED_VALUE"""),25.0)</f>
        <v>25</v>
      </c>
      <c r="H88" s="1448">
        <f t="shared" si="3"/>
        <v>0.1110362631</v>
      </c>
      <c r="I88" s="1449" t="str">
        <f t="shared" si="4"/>
        <v>78.44 K</v>
      </c>
      <c r="J88" s="1423" t="str">
        <f t="shared" si="5"/>
        <v>7d 17h 24m</v>
      </c>
      <c r="K88" s="1429"/>
      <c r="L88" s="1429"/>
      <c r="M88" s="1429"/>
      <c r="N88" s="1438" t="str">
        <f>IFERROR(__xludf.DUMMYFUNCTION("""COMPUTED_VALUE"""),"T21 1000")</f>
        <v>T21 1000</v>
      </c>
      <c r="O88" s="1438"/>
      <c r="P88" s="1438"/>
      <c r="Q88" s="1438"/>
      <c r="R88" s="1438"/>
      <c r="S88" s="1443" t="str">
        <f>IFERROR(__xludf.DUMMYFUNCTION("""COMPUTED_VALUE"""),"Range")</f>
        <v>Range</v>
      </c>
      <c r="T88" s="1417">
        <v>33.0</v>
      </c>
      <c r="U88" s="1417">
        <v>80.0</v>
      </c>
      <c r="V88" s="1417">
        <f>IFERROR(__xludf.DUMMYFUNCTION("""COMPUTED_VALUE"""),35.0)</f>
        <v>35</v>
      </c>
      <c r="W88" s="1416">
        <v>0.4857615851953532</v>
      </c>
      <c r="X88" s="1417"/>
    </row>
    <row r="89">
      <c r="A89" s="1404"/>
      <c r="B89" s="1424"/>
      <c r="C89" s="1473"/>
      <c r="D89" s="1476"/>
      <c r="E89" s="1477"/>
      <c r="F89" s="1446" t="str">
        <f>IFERROR(__xludf.DUMMYFUNCTION("""COMPUTED_VALUE"""),"Starting Cash")</f>
        <v>Starting Cash</v>
      </c>
      <c r="G89" s="1453">
        <f>IFERROR(__xludf.DUMMYFUNCTION("""COMPUTED_VALUE"""),7.0)</f>
        <v>7</v>
      </c>
      <c r="H89" s="1448">
        <f t="shared" si="3"/>
        <v>0.005119318968</v>
      </c>
      <c r="I89" s="1449" t="str">
        <f t="shared" si="4"/>
        <v>2.52 K</v>
      </c>
      <c r="J89" s="1423" t="str">
        <f t="shared" si="5"/>
        <v>7d 17h 31m</v>
      </c>
      <c r="K89" s="1429"/>
      <c r="L89" s="1429"/>
      <c r="M89" s="1429"/>
      <c r="N89" s="1438"/>
      <c r="O89" s="1438"/>
      <c r="P89" s="1438"/>
      <c r="Q89" s="1438"/>
      <c r="R89" s="1438"/>
      <c r="S89" s="1443" t="str">
        <f>IFERROR(__xludf.DUMMYFUNCTION("""COMPUTED_VALUE"""),"Range Mastery")</f>
        <v>Range Mastery</v>
      </c>
      <c r="T89" s="1417">
        <v>0.0</v>
      </c>
      <c r="U89" s="1417">
        <v>9.0</v>
      </c>
      <c r="V89" s="1417">
        <f>IFERROR(__xludf.DUMMYFUNCTION("""COMPUTED_VALUE"""),0.0)</f>
        <v>0</v>
      </c>
      <c r="W89" s="1416">
        <v>0.0</v>
      </c>
      <c r="X89" s="1417"/>
    </row>
    <row r="90">
      <c r="A90" s="1404"/>
      <c r="B90" s="1424"/>
      <c r="C90" s="1473"/>
      <c r="D90" s="1476"/>
      <c r="E90" s="1477"/>
      <c r="F90" s="1446" t="str">
        <f>IFERROR(__xludf.DUMMYFUNCTION("""COMPUTED_VALUE"""),"Starting Cash")</f>
        <v>Starting Cash</v>
      </c>
      <c r="G90" s="1453">
        <f>IFERROR(__xludf.DUMMYFUNCTION("""COMPUTED_VALUE"""),8.0)</f>
        <v>8</v>
      </c>
      <c r="H90" s="1448">
        <f t="shared" si="3"/>
        <v>0.007016997551</v>
      </c>
      <c r="I90" s="1449" t="str">
        <f t="shared" si="4"/>
        <v>3.59 K</v>
      </c>
      <c r="J90" s="1423" t="str">
        <f t="shared" si="5"/>
        <v>7d 17h 41m</v>
      </c>
      <c r="K90" s="1429"/>
      <c r="L90" s="1429"/>
      <c r="M90" s="1429"/>
      <c r="N90" s="1438"/>
      <c r="O90" s="1438"/>
      <c r="P90" s="1438"/>
      <c r="Q90" s="1438"/>
      <c r="R90" s="1438"/>
      <c r="S90" s="1443" t="str">
        <f>IFERROR(__xludf.DUMMYFUNCTION("""COMPUTED_VALUE"""),"Ranged Enemy Attack")</f>
        <v>Ranged Enemy Attack</v>
      </c>
      <c r="T90" s="1417">
        <v>0.0</v>
      </c>
      <c r="U90" s="1417">
        <v>30.0</v>
      </c>
      <c r="V90" s="1417">
        <f>IFERROR(__xludf.DUMMYFUNCTION("""COMPUTED_VALUE"""),5.0)</f>
        <v>5</v>
      </c>
      <c r="W90" s="1416">
        <v>0.9670217002635212</v>
      </c>
      <c r="X90" s="1417"/>
    </row>
    <row r="91">
      <c r="A91" s="1404"/>
      <c r="B91" s="1424"/>
      <c r="C91" s="1473"/>
      <c r="D91" s="1476"/>
      <c r="E91" s="1477"/>
      <c r="F91" s="1446" t="str">
        <f>IFERROR(__xludf.DUMMYFUNCTION("""COMPUTED_VALUE"""),"Starting Cash")</f>
        <v>Starting Cash</v>
      </c>
      <c r="G91" s="1453">
        <f>IFERROR(__xludf.DUMMYFUNCTION("""COMPUTED_VALUE"""),9.0)</f>
        <v>9</v>
      </c>
      <c r="H91" s="1448">
        <f t="shared" si="3"/>
        <v>0.009311864675</v>
      </c>
      <c r="I91" s="1449" t="str">
        <f t="shared" si="4"/>
        <v>4.91 K</v>
      </c>
      <c r="J91" s="1423" t="str">
        <f t="shared" si="5"/>
        <v>7d 17h 54m</v>
      </c>
      <c r="K91" s="1429"/>
      <c r="L91" s="1429"/>
      <c r="M91" s="1429"/>
      <c r="N91" s="1438"/>
      <c r="O91" s="1438"/>
      <c r="P91" s="1438"/>
      <c r="Q91" s="1438"/>
      <c r="R91" s="1438"/>
      <c r="S91" s="1443" t="str">
        <f>IFERROR(__xludf.DUMMYFUNCTION("""COMPUTED_VALUE"""),"Ranged Enemy Health")</f>
        <v>Ranged Enemy Health</v>
      </c>
      <c r="T91" s="1417">
        <v>0.0</v>
      </c>
      <c r="U91" s="1417">
        <v>30.0</v>
      </c>
      <c r="V91" s="1417">
        <f>IFERROR(__xludf.DUMMYFUNCTION("""COMPUTED_VALUE"""),5.0)</f>
        <v>5</v>
      </c>
      <c r="W91" s="1416">
        <v>0.9670217002635212</v>
      </c>
      <c r="X91" s="1417"/>
    </row>
    <row r="92">
      <c r="A92" s="1404"/>
      <c r="B92" s="1424"/>
      <c r="C92" s="1473"/>
      <c r="D92" s="1476"/>
      <c r="E92" s="1477"/>
      <c r="F92" s="1446" t="str">
        <f>IFERROR(__xludf.DUMMYFUNCTION("""COMPUTED_VALUE"""),"Starting Cash")</f>
        <v>Starting Cash</v>
      </c>
      <c r="G92" s="1453">
        <f>IFERROR(__xludf.DUMMYFUNCTION("""COMPUTED_VALUE"""),10.0)</f>
        <v>10</v>
      </c>
      <c r="H92" s="1448">
        <f t="shared" si="3"/>
        <v>0.01200392034</v>
      </c>
      <c r="I92" s="1449" t="str">
        <f t="shared" si="4"/>
        <v>6.5 K</v>
      </c>
      <c r="J92" s="1423" t="str">
        <f t="shared" si="5"/>
        <v>7d 18h 12m</v>
      </c>
      <c r="K92" s="1429"/>
      <c r="L92" s="1429"/>
      <c r="M92" s="1429"/>
      <c r="N92" s="1438"/>
      <c r="O92" s="1438"/>
      <c r="P92" s="1438"/>
      <c r="Q92" s="1438"/>
      <c r="R92" s="1438"/>
      <c r="S92" s="1443" t="str">
        <f>IFERROR(__xludf.DUMMYFUNCTION("""COMPUTED_VALUE"""),"Ranged Enemy Range")</f>
        <v>Ranged Enemy Range</v>
      </c>
      <c r="T92" s="1417">
        <v>0.0</v>
      </c>
      <c r="U92" s="1417">
        <v>30.0</v>
      </c>
      <c r="V92" s="1417">
        <f>IFERROR(__xludf.DUMMYFUNCTION("""COMPUTED_VALUE"""),0.0)</f>
        <v>0</v>
      </c>
      <c r="W92" s="1416">
        <v>0.0</v>
      </c>
      <c r="X92" s="1417"/>
    </row>
    <row r="93">
      <c r="A93" s="1404"/>
      <c r="B93" s="1424"/>
      <c r="C93" s="1473"/>
      <c r="D93" s="1476"/>
      <c r="E93" s="1477"/>
      <c r="F93" s="1446" t="str">
        <f>IFERROR(__xludf.DUMMYFUNCTION("""COMPUTED_VALUE"""),"Starting Cash")</f>
        <v>Starting Cash</v>
      </c>
      <c r="G93" s="1453">
        <f>IFERROR(__xludf.DUMMYFUNCTION("""COMPUTED_VALUE"""),11.0)</f>
        <v>11</v>
      </c>
      <c r="H93" s="1448">
        <f t="shared" si="3"/>
        <v>0.0151372966</v>
      </c>
      <c r="I93" s="1449" t="str">
        <f t="shared" si="4"/>
        <v>8.41 K</v>
      </c>
      <c r="J93" s="1423" t="str">
        <f t="shared" si="5"/>
        <v>7d 18h 34m</v>
      </c>
      <c r="K93" s="1429"/>
      <c r="L93" s="1429"/>
      <c r="M93" s="1429"/>
      <c r="N93" s="1438"/>
      <c r="O93" s="1438"/>
      <c r="P93" s="1438"/>
      <c r="Q93" s="1438"/>
      <c r="R93" s="1438"/>
      <c r="S93" s="1443" t="str">
        <f>IFERROR(__xludf.DUMMYFUNCTION("""COMPUTED_VALUE"""),"Recharge Demon Mode")</f>
        <v>Recharge Demon Mode</v>
      </c>
      <c r="T93" s="1417">
        <v>4.0</v>
      </c>
      <c r="U93" s="1417">
        <v>7.0</v>
      </c>
      <c r="V93" s="1417">
        <f>IFERROR(__xludf.DUMMYFUNCTION("""COMPUTED_VALUE"""),5.0)</f>
        <v>5</v>
      </c>
      <c r="W93" s="1416">
        <v>0.894938599947465</v>
      </c>
      <c r="X93" s="1417"/>
    </row>
    <row r="94">
      <c r="A94" s="1404"/>
      <c r="B94" s="1424"/>
      <c r="C94" s="1473"/>
      <c r="D94" s="1476"/>
      <c r="E94" s="1477"/>
      <c r="F94" s="1446" t="str">
        <f>IFERROR(__xludf.DUMMYFUNCTION("""COMPUTED_VALUE"""),"Starting Cash")</f>
        <v>Starting Cash</v>
      </c>
      <c r="G94" s="1453">
        <f>IFERROR(__xludf.DUMMYFUNCTION("""COMPUTED_VALUE"""),12.0)</f>
        <v>12</v>
      </c>
      <c r="H94" s="1448">
        <f t="shared" si="3"/>
        <v>0.01866786141</v>
      </c>
      <c r="I94" s="1449" t="str">
        <f t="shared" si="4"/>
        <v>10.63 K</v>
      </c>
      <c r="J94" s="1423" t="str">
        <f t="shared" si="5"/>
        <v>7d 19h  0m</v>
      </c>
      <c r="K94" s="1429"/>
      <c r="L94" s="1429"/>
      <c r="M94" s="1429"/>
      <c r="N94" s="1438"/>
      <c r="O94" s="1438"/>
      <c r="P94" s="1438"/>
      <c r="Q94" s="1438"/>
      <c r="R94" s="1438"/>
      <c r="S94" s="1443" t="str">
        <f>IFERROR(__xludf.DUMMYFUNCTION("""COMPUTED_VALUE"""),"Recharge Nuke")</f>
        <v>Recharge Nuke</v>
      </c>
      <c r="T94" s="1417">
        <v>2.0</v>
      </c>
      <c r="U94" s="1417">
        <v>7.0</v>
      </c>
      <c r="V94" s="1417">
        <f>IFERROR(__xludf.DUMMYFUNCTION("""COMPUTED_VALUE"""),2.0)</f>
        <v>2</v>
      </c>
      <c r="W94" s="1416">
        <v>0.0</v>
      </c>
      <c r="X94" s="1417"/>
    </row>
    <row r="95">
      <c r="A95" s="1404"/>
      <c r="B95" s="1424"/>
      <c r="C95" s="1473"/>
      <c r="D95" s="1476"/>
      <c r="E95" s="1477"/>
      <c r="F95" s="1446" t="str">
        <f>IFERROR(__xludf.DUMMYFUNCTION("""COMPUTED_VALUE"""),"Starting Cash")</f>
        <v>Starting Cash</v>
      </c>
      <c r="G95" s="1453">
        <f>IFERROR(__xludf.DUMMYFUNCTION("""COMPUTED_VALUE"""),13.0)</f>
        <v>13</v>
      </c>
      <c r="H95" s="1448">
        <f t="shared" si="3"/>
        <v>0.02268387888</v>
      </c>
      <c r="I95" s="1449" t="str">
        <f t="shared" si="4"/>
        <v>13.2 K</v>
      </c>
      <c r="J95" s="1423" t="str">
        <f t="shared" si="5"/>
        <v>7d 19h 33m</v>
      </c>
      <c r="K95" s="1429"/>
      <c r="L95" s="1429"/>
      <c r="M95" s="1429"/>
      <c r="N95" s="1438"/>
      <c r="O95" s="1438"/>
      <c r="P95" s="1438"/>
      <c r="Q95" s="1438"/>
      <c r="R95" s="1438"/>
      <c r="S95" s="1443" t="str">
        <f>IFERROR(__xludf.DUMMYFUNCTION("""COMPUTED_VALUE"""),"Recovery Package Amount")</f>
        <v>Recovery Package Amount</v>
      </c>
      <c r="T95" s="1417">
        <v>0.0</v>
      </c>
      <c r="U95" s="1417">
        <v>20.0</v>
      </c>
      <c r="V95" s="1417">
        <f>IFERROR(__xludf.DUMMYFUNCTION("""COMPUTED_VALUE"""),5.0)</f>
        <v>5</v>
      </c>
      <c r="W95" s="1416">
        <v>0.9670217002635212</v>
      </c>
      <c r="X95" s="1417"/>
    </row>
    <row r="96">
      <c r="A96" s="1404"/>
      <c r="B96" s="1424"/>
      <c r="C96" s="1473"/>
      <c r="D96" s="1476"/>
      <c r="E96" s="1477"/>
      <c r="F96" s="1446" t="str">
        <f>IFERROR(__xludf.DUMMYFUNCTION("""COMPUTED_VALUE"""),"Starting Cash")</f>
        <v>Starting Cash</v>
      </c>
      <c r="G96" s="1453">
        <f>IFERROR(__xludf.DUMMYFUNCTION("""COMPUTED_VALUE"""),14.0)</f>
        <v>14</v>
      </c>
      <c r="H96" s="1448">
        <f t="shared" si="3"/>
        <v>0.02714121694</v>
      </c>
      <c r="I96" s="1449" t="str">
        <f t="shared" si="4"/>
        <v>16.13 K</v>
      </c>
      <c r="J96" s="1423" t="str">
        <f t="shared" si="5"/>
        <v>7d 20h 12m</v>
      </c>
      <c r="K96" s="1429"/>
      <c r="L96" s="1429"/>
      <c r="M96" s="1429"/>
      <c r="N96" s="1438"/>
      <c r="O96" s="1438"/>
      <c r="P96" s="1438"/>
      <c r="Q96" s="1438"/>
      <c r="R96" s="1438"/>
      <c r="S96" s="1443" t="str">
        <f>IFERROR(__xludf.DUMMYFUNCTION("""COMPUTED_VALUE"""),"Recovery Package Chance Mastery")</f>
        <v>Recovery Package Chance Mastery</v>
      </c>
      <c r="T96" s="1417">
        <v>3.0</v>
      </c>
      <c r="U96" s="1417">
        <v>9.0</v>
      </c>
      <c r="V96" s="1417">
        <f>IFERROR(__xludf.DUMMYFUNCTION("""COMPUTED_VALUE"""),3.0)</f>
        <v>3</v>
      </c>
      <c r="W96" s="1416">
        <v>0.0</v>
      </c>
      <c r="X96" s="1417"/>
    </row>
    <row r="97">
      <c r="A97" s="1404"/>
      <c r="B97" s="1424"/>
      <c r="C97" s="1473"/>
      <c r="D97" s="1476"/>
      <c r="E97" s="1477"/>
      <c r="F97" s="1446" t="str">
        <f>IFERROR(__xludf.DUMMYFUNCTION("""COMPUTED_VALUE"""),"Starting Cash")</f>
        <v>Starting Cash</v>
      </c>
      <c r="G97" s="1453">
        <f>IFERROR(__xludf.DUMMYFUNCTION("""COMPUTED_VALUE"""),15.0)</f>
        <v>15</v>
      </c>
      <c r="H97" s="1448">
        <f t="shared" si="3"/>
        <v>0.03208400767</v>
      </c>
      <c r="I97" s="1449" t="str">
        <f t="shared" si="4"/>
        <v>19.45 K</v>
      </c>
      <c r="J97" s="1423" t="str">
        <f t="shared" si="5"/>
        <v>7d 20h 58m</v>
      </c>
      <c r="K97" s="1429"/>
      <c r="L97" s="1429"/>
      <c r="M97" s="1429"/>
      <c r="N97" s="1438"/>
      <c r="O97" s="1438"/>
      <c r="P97" s="1438"/>
      <c r="Q97" s="1438"/>
      <c r="R97" s="1438"/>
      <c r="S97" s="1443" t="str">
        <f>IFERROR(__xludf.DUMMYFUNCTION("""COMPUTED_VALUE"""),"Recovery Package Max")</f>
        <v>Recovery Package Max</v>
      </c>
      <c r="T97" s="1417">
        <v>0.0</v>
      </c>
      <c r="U97" s="1417">
        <v>20.0</v>
      </c>
      <c r="V97" s="1417">
        <f>IFERROR(__xludf.DUMMYFUNCTION("""COMPUTED_VALUE"""),5.0)</f>
        <v>5</v>
      </c>
      <c r="W97" s="1416">
        <v>0.9670217002635212</v>
      </c>
      <c r="X97" s="1417"/>
    </row>
    <row r="98">
      <c r="A98" s="1404"/>
      <c r="B98" s="1424"/>
      <c r="C98" s="1473"/>
      <c r="D98" s="1476"/>
      <c r="E98" s="1477"/>
      <c r="F98" s="1446" t="str">
        <f>IFERROR(__xludf.DUMMYFUNCTION("""COMPUTED_VALUE"""),"Starting Cash")</f>
        <v>Starting Cash</v>
      </c>
      <c r="G98" s="1453">
        <f>IFERROR(__xludf.DUMMYFUNCTION("""COMPUTED_VALUE"""),16.0)</f>
        <v>16</v>
      </c>
      <c r="H98" s="1448">
        <f t="shared" si="3"/>
        <v>0.03751225106</v>
      </c>
      <c r="I98" s="1449" t="str">
        <f t="shared" si="4"/>
        <v>23.19 K</v>
      </c>
      <c r="J98" s="1423" t="str">
        <f t="shared" si="5"/>
        <v>7d 21h 52m</v>
      </c>
      <c r="K98" s="1429"/>
      <c r="L98" s="1429"/>
      <c r="M98" s="1429"/>
      <c r="N98" s="1438"/>
      <c r="O98" s="1438"/>
      <c r="P98" s="1438"/>
      <c r="Q98" s="1438"/>
      <c r="R98" s="1438"/>
      <c r="S98" s="1443" t="str">
        <f>IFERROR(__xludf.DUMMYFUNCTION("""COMPUTED_VALUE"""),"Second Wind Mastery")</f>
        <v>Second Wind Mastery</v>
      </c>
      <c r="T98" s="1417">
        <v>0.0</v>
      </c>
      <c r="U98" s="1417">
        <v>9.0</v>
      </c>
      <c r="V98" s="1417">
        <f>IFERROR(__xludf.DUMMYFUNCTION("""COMPUTED_VALUE"""),0.0)</f>
        <v>0</v>
      </c>
      <c r="W98" s="1416">
        <v>0.0</v>
      </c>
      <c r="X98" s="1417"/>
    </row>
    <row r="99">
      <c r="A99" s="1404"/>
      <c r="B99" s="1424"/>
      <c r="C99" s="1473"/>
      <c r="D99" s="1476"/>
      <c r="E99" s="1477"/>
      <c r="F99" s="1446" t="str">
        <f>IFERROR(__xludf.DUMMYFUNCTION("""COMPUTED_VALUE"""),"Starting Cash")</f>
        <v>Starting Cash</v>
      </c>
      <c r="G99" s="1453">
        <f>IFERROR(__xludf.DUMMYFUNCTION("""COMPUTED_VALUE"""),17.0)</f>
        <v>17</v>
      </c>
      <c r="H99" s="1448">
        <f t="shared" si="3"/>
        <v>0.04347007917</v>
      </c>
      <c r="I99" s="1449" t="str">
        <f t="shared" si="4"/>
        <v>27.35 K</v>
      </c>
      <c r="J99" s="1423" t="str">
        <f t="shared" si="5"/>
        <v>7d 22h 55m</v>
      </c>
      <c r="K99" s="1429"/>
      <c r="L99" s="1429"/>
      <c r="M99" s="1429"/>
      <c r="N99" s="1438"/>
      <c r="O99" s="1438"/>
      <c r="P99" s="1438"/>
      <c r="Q99" s="1438"/>
      <c r="R99" s="1438"/>
      <c r="S99" s="1443" t="str">
        <f>IFERROR(__xludf.DUMMYFUNCTION("""COMPUTED_VALUE"""),"Shock Chance")</f>
        <v>Shock Chance</v>
      </c>
      <c r="T99" s="1417">
        <v>14.0</v>
      </c>
      <c r="U99" s="1417">
        <v>30.0</v>
      </c>
      <c r="V99" s="1417">
        <f>IFERROR(__xludf.DUMMYFUNCTION("""COMPUTED_VALUE"""),15.0)</f>
        <v>15</v>
      </c>
      <c r="W99" s="1416">
        <v>0.890496708101375</v>
      </c>
      <c r="X99" s="1417"/>
    </row>
    <row r="100">
      <c r="A100" s="1404"/>
      <c r="B100" s="1424"/>
      <c r="C100" s="1473"/>
      <c r="D100" s="1476"/>
      <c r="E100" s="1477"/>
      <c r="F100" s="1446" t="str">
        <f>IFERROR(__xludf.DUMMYFUNCTION("""COMPUTED_VALUE"""),"Starting Cash")</f>
        <v>Starting Cash</v>
      </c>
      <c r="G100" s="1453">
        <f>IFERROR(__xludf.DUMMYFUNCTION("""COMPUTED_VALUE"""),18.0)</f>
        <v>18</v>
      </c>
      <c r="H100" s="1448">
        <f t="shared" si="3"/>
        <v>0.049957492</v>
      </c>
      <c r="I100" s="1449" t="str">
        <f t="shared" si="4"/>
        <v>31.97 K</v>
      </c>
      <c r="J100" s="1423" t="str">
        <f t="shared" si="5"/>
        <v>8d  0h  7m</v>
      </c>
      <c r="K100" s="1429"/>
      <c r="L100" s="1429"/>
      <c r="M100" s="1429"/>
      <c r="N100" s="1438"/>
      <c r="O100" s="1438"/>
      <c r="P100" s="1438"/>
      <c r="Q100" s="1438"/>
      <c r="R100" s="1438"/>
      <c r="S100" s="1443" t="str">
        <f>IFERROR(__xludf.DUMMYFUNCTION("""COMPUTED_VALUE"""),"Shockwave Size")</f>
        <v>Shockwave Size</v>
      </c>
      <c r="T100" s="1417">
        <v>10.0</v>
      </c>
      <c r="U100" s="1417">
        <v>20.0</v>
      </c>
      <c r="V100" s="1417">
        <f>IFERROR(__xludf.DUMMYFUNCTION("""COMPUTED_VALUE"""),10.0)</f>
        <v>10</v>
      </c>
      <c r="W100" s="1416">
        <v>0.0</v>
      </c>
      <c r="X100" s="1417"/>
    </row>
    <row r="101">
      <c r="A101" s="1404"/>
      <c r="B101" s="1424"/>
      <c r="C101" s="1473"/>
      <c r="D101" s="1476"/>
      <c r="E101" s="1477"/>
      <c r="F101" s="1446" t="str">
        <f>IFERROR(__xludf.DUMMYFUNCTION("""COMPUTED_VALUE"""),"Starting Cash")</f>
        <v>Starting Cash</v>
      </c>
      <c r="G101" s="1453">
        <f>IFERROR(__xludf.DUMMYFUNCTION("""COMPUTED_VALUE"""),19.0)</f>
        <v>19</v>
      </c>
      <c r="H101" s="1448">
        <f t="shared" si="3"/>
        <v>0.05697448955</v>
      </c>
      <c r="I101" s="1449" t="str">
        <f t="shared" si="4"/>
        <v>37.05 K</v>
      </c>
      <c r="J101" s="1423" t="str">
        <f t="shared" si="5"/>
        <v>8d  1h 29m</v>
      </c>
      <c r="K101" s="1429"/>
      <c r="L101" s="1429"/>
      <c r="M101" s="1429"/>
      <c r="N101" s="1438"/>
      <c r="O101" s="1438"/>
      <c r="P101" s="1438"/>
      <c r="Q101" s="1438"/>
      <c r="R101" s="1438"/>
      <c r="S101" s="1443" t="str">
        <f>IFERROR(__xludf.DUMMYFUNCTION("""COMPUTED_VALUE"""),"Slow Aura Mastery")</f>
        <v>Slow Aura Mastery</v>
      </c>
      <c r="T101" s="1417">
        <v>0.0</v>
      </c>
      <c r="U101" s="1417">
        <v>9.0</v>
      </c>
      <c r="V101" s="1417">
        <f>IFERROR(__xludf.DUMMYFUNCTION("""COMPUTED_VALUE"""),0.0)</f>
        <v>0</v>
      </c>
      <c r="W101" s="1416">
        <v>0.0</v>
      </c>
      <c r="X101" s="1417"/>
    </row>
    <row r="102">
      <c r="A102" s="1404"/>
      <c r="B102" s="1424"/>
      <c r="C102" s="1473"/>
      <c r="D102" s="1476"/>
      <c r="E102" s="1477"/>
      <c r="F102" s="1446" t="str">
        <f>IFERROR(__xludf.DUMMYFUNCTION("""COMPUTED_VALUE"""),"Starting Cash")</f>
        <v>Starting Cash</v>
      </c>
      <c r="G102" s="1453">
        <f>IFERROR(__xludf.DUMMYFUNCTION("""COMPUTED_VALUE"""),20.0)</f>
        <v>20</v>
      </c>
      <c r="H102" s="1448">
        <f t="shared" si="3"/>
        <v>0.06452107182</v>
      </c>
      <c r="I102" s="1449" t="str">
        <f t="shared" si="4"/>
        <v>42.61 K</v>
      </c>
      <c r="J102" s="1423" t="str">
        <f t="shared" si="5"/>
        <v>8d  3h  2m</v>
      </c>
      <c r="K102" s="1429"/>
      <c r="L102" s="1429"/>
      <c r="M102" s="1429"/>
      <c r="N102" s="1438"/>
      <c r="O102" s="1438"/>
      <c r="P102" s="1438"/>
      <c r="Q102" s="1438"/>
      <c r="R102" s="1438"/>
      <c r="S102" s="1443" t="str">
        <f>IFERROR(__xludf.DUMMYFUNCTION("""COMPUTED_VALUE"""),"Starting Cash")</f>
        <v>Starting Cash</v>
      </c>
      <c r="T102" s="1417">
        <v>6.0</v>
      </c>
      <c r="U102" s="1417">
        <v>99.0</v>
      </c>
      <c r="V102" s="1417">
        <f>IFERROR(__xludf.DUMMYFUNCTION("""COMPUTED_VALUE"""),25.0)</f>
        <v>25</v>
      </c>
      <c r="W102" s="1416">
        <v>0.8578389836492482</v>
      </c>
      <c r="X102" s="1417"/>
    </row>
    <row r="103">
      <c r="A103" s="1404"/>
      <c r="B103" s="1424"/>
      <c r="C103" s="1473"/>
      <c r="D103" s="1476"/>
      <c r="E103" s="1477"/>
      <c r="F103" s="1446" t="str">
        <f>IFERROR(__xludf.DUMMYFUNCTION("""COMPUTED_VALUE"""),"Starting Cash")</f>
        <v>Starting Cash</v>
      </c>
      <c r="G103" s="1453">
        <f>IFERROR(__xludf.DUMMYFUNCTION("""COMPUTED_VALUE"""),21.0)</f>
        <v>21</v>
      </c>
      <c r="H103" s="1448">
        <f t="shared" si="3"/>
        <v>0.07264137088</v>
      </c>
      <c r="I103" s="1449" t="str">
        <f t="shared" si="4"/>
        <v>48.68 K</v>
      </c>
      <c r="J103" s="1423" t="str">
        <f t="shared" si="5"/>
        <v>8d  4h 46m</v>
      </c>
      <c r="K103" s="1429"/>
      <c r="L103" s="1429"/>
      <c r="M103" s="1429"/>
      <c r="N103" s="1438"/>
      <c r="O103" s="1438"/>
      <c r="P103" s="1438"/>
      <c r="Q103" s="1438"/>
      <c r="R103" s="1438"/>
      <c r="S103" s="1443" t="str">
        <f>IFERROR(__xludf.DUMMYFUNCTION("""COMPUTED_VALUE"""),"Super Crit Chance")</f>
        <v>Super Crit Chance</v>
      </c>
      <c r="T103" s="1417">
        <v>9.0</v>
      </c>
      <c r="U103" s="1417">
        <v>50.0</v>
      </c>
      <c r="V103" s="1417">
        <f>IFERROR(__xludf.DUMMYFUNCTION("""COMPUTED_VALUE"""),10.0)</f>
        <v>10</v>
      </c>
      <c r="W103" s="1416">
        <v>0.9287592041824483</v>
      </c>
      <c r="X103" s="1417"/>
    </row>
    <row r="104">
      <c r="A104" s="1404"/>
      <c r="B104" s="1424"/>
      <c r="C104" s="1473"/>
      <c r="D104" s="1476"/>
      <c r="E104" s="1477"/>
      <c r="F104" s="1446" t="str">
        <f>IFERROR(__xludf.DUMMYFUNCTION("""COMPUTED_VALUE"""),"Starting Cash")</f>
        <v>Starting Cash</v>
      </c>
      <c r="G104" s="1453">
        <f>IFERROR(__xludf.DUMMYFUNCTION("""COMPUTED_VALUE"""),22.0)</f>
        <v>22</v>
      </c>
      <c r="H104" s="1448">
        <f t="shared" si="3"/>
        <v>0.08137951877</v>
      </c>
      <c r="I104" s="1449" t="str">
        <f t="shared" si="4"/>
        <v>55.29 K</v>
      </c>
      <c r="J104" s="1423" t="str">
        <f t="shared" si="5"/>
        <v>8d  6h 44m</v>
      </c>
      <c r="K104" s="1429"/>
      <c r="L104" s="1429"/>
      <c r="M104" s="1429"/>
      <c r="N104" s="1438"/>
      <c r="O104" s="1438"/>
      <c r="P104" s="1438"/>
      <c r="Q104" s="1438"/>
      <c r="R104" s="1438"/>
      <c r="S104" s="1443" t="str">
        <f>IFERROR(__xludf.DUMMYFUNCTION("""COMPUTED_VALUE"""),"Super Crit Multi")</f>
        <v>Super Crit Multi</v>
      </c>
      <c r="T104" s="1417">
        <v>13.0</v>
      </c>
      <c r="U104" s="1417">
        <v>40.0</v>
      </c>
      <c r="V104" s="1417">
        <f>IFERROR(__xludf.DUMMYFUNCTION("""COMPUTED_VALUE"""),13.0)</f>
        <v>13</v>
      </c>
      <c r="W104" s="1416">
        <v>0.0</v>
      </c>
      <c r="X104" s="1417"/>
    </row>
    <row r="105">
      <c r="A105" s="1404"/>
      <c r="B105" s="1424"/>
      <c r="C105" s="1473"/>
      <c r="D105" s="1476"/>
      <c r="E105" s="1477"/>
      <c r="F105" s="1446" t="str">
        <f>IFERROR(__xludf.DUMMYFUNCTION("""COMPUTED_VALUE"""),"Starting Cash")</f>
        <v>Starting Cash</v>
      </c>
      <c r="G105" s="1453">
        <f>IFERROR(__xludf.DUMMYFUNCTION("""COMPUTED_VALUE"""),23.0)</f>
        <v>23</v>
      </c>
      <c r="H105" s="1448">
        <f t="shared" si="3"/>
        <v>0.09064725138</v>
      </c>
      <c r="I105" s="1449" t="str">
        <f t="shared" si="4"/>
        <v>62.43 K</v>
      </c>
      <c r="J105" s="1423" t="str">
        <f t="shared" si="5"/>
        <v>8d  8h 54m</v>
      </c>
      <c r="K105" s="1429"/>
      <c r="L105" s="1429"/>
      <c r="M105" s="1429"/>
      <c r="N105" s="1438"/>
      <c r="O105" s="1438"/>
      <c r="P105" s="1438"/>
      <c r="Q105" s="1438"/>
      <c r="R105" s="1438"/>
      <c r="S105" s="1443" t="str">
        <f>IFERROR(__xludf.DUMMYFUNCTION("""COMPUTED_VALUE"""),"Super Tower Bonus")</f>
        <v>Super Tower Bonus</v>
      </c>
      <c r="T105" s="1417">
        <v>0.0</v>
      </c>
      <c r="U105" s="1417">
        <v>30.0</v>
      </c>
      <c r="V105" s="1417">
        <f>IFERROR(__xludf.DUMMYFUNCTION("""COMPUTED_VALUE"""),5.0)</f>
        <v>5</v>
      </c>
      <c r="W105" s="1416">
        <v>0.29639091543308727</v>
      </c>
      <c r="X105" s="1417"/>
    </row>
    <row r="106">
      <c r="A106" s="1404"/>
      <c r="B106" s="1424"/>
      <c r="C106" s="1473"/>
      <c r="D106" s="1476"/>
      <c r="E106" s="1477"/>
      <c r="F106" s="1446" t="str">
        <f>IFERROR(__xludf.DUMMYFUNCTION("""COMPUTED_VALUE"""),"Starting Cash")</f>
        <v>Starting Cash</v>
      </c>
      <c r="G106" s="1453">
        <f>IFERROR(__xludf.DUMMYFUNCTION("""COMPUTED_VALUE"""),24.0)</f>
        <v>24</v>
      </c>
      <c r="H106" s="1448">
        <f t="shared" si="3"/>
        <v>0.1005328328</v>
      </c>
      <c r="I106" s="1449" t="str">
        <f t="shared" si="4"/>
        <v>70.14 K</v>
      </c>
      <c r="J106" s="1423" t="str">
        <f t="shared" si="5"/>
        <v>8d 11h 19m</v>
      </c>
      <c r="K106" s="1429"/>
      <c r="L106" s="1429"/>
      <c r="M106" s="1429"/>
      <c r="N106" s="1438"/>
      <c r="O106" s="1438"/>
      <c r="P106" s="1438"/>
      <c r="Q106" s="1438"/>
      <c r="R106" s="1438"/>
      <c r="S106" s="1443" t="str">
        <f>IFERROR(__xludf.DUMMYFUNCTION("""COMPUTED_VALUE"""),"Super Tower Mastery")</f>
        <v>Super Tower Mastery</v>
      </c>
      <c r="T106" s="1417">
        <v>0.0</v>
      </c>
      <c r="U106" s="1417">
        <v>9.0</v>
      </c>
      <c r="V106" s="1417">
        <f>IFERROR(__xludf.DUMMYFUNCTION("""COMPUTED_VALUE"""),0.0)</f>
        <v>0</v>
      </c>
      <c r="W106" s="1416">
        <v>0.0</v>
      </c>
      <c r="X106" s="1417"/>
    </row>
    <row r="107">
      <c r="A107" s="1404"/>
      <c r="B107" s="1424"/>
      <c r="C107" s="1473"/>
      <c r="D107" s="1476"/>
      <c r="E107" s="1477"/>
      <c r="F107" s="1446" t="str">
        <f>IFERROR(__xludf.DUMMYFUNCTION("""COMPUTED_VALUE"""),"Starting Cash")</f>
        <v>Starting Cash</v>
      </c>
      <c r="G107" s="1453">
        <f>IFERROR(__xludf.DUMMYFUNCTION("""COMPUTED_VALUE"""),25.0)</f>
        <v>25</v>
      </c>
      <c r="H107" s="1448">
        <f t="shared" si="3"/>
        <v>0.1110362631</v>
      </c>
      <c r="I107" s="1449" t="str">
        <f t="shared" si="4"/>
        <v>78.43 K</v>
      </c>
      <c r="J107" s="1423" t="str">
        <f t="shared" si="5"/>
        <v>8d 13h 59m</v>
      </c>
      <c r="K107" s="1429"/>
      <c r="L107" s="1429"/>
      <c r="M107" s="1429"/>
      <c r="N107" s="1438"/>
      <c r="O107" s="1438"/>
      <c r="P107" s="1438"/>
      <c r="Q107" s="1438"/>
      <c r="R107" s="1438"/>
      <c r="S107" s="1443" t="str">
        <f>IFERROR(__xludf.DUMMYFUNCTION("""COMPUTED_VALUE"""),"Tank Enemy Attack")</f>
        <v>Tank Enemy Attack</v>
      </c>
      <c r="T107" s="1417">
        <v>0.0</v>
      </c>
      <c r="U107" s="1417">
        <v>30.0</v>
      </c>
      <c r="V107" s="1417">
        <f>IFERROR(__xludf.DUMMYFUNCTION("""COMPUTED_VALUE"""),5.0)</f>
        <v>5</v>
      </c>
      <c r="W107" s="1416">
        <v>0.9670217002635212</v>
      </c>
      <c r="X107" s="1417"/>
    </row>
    <row r="108">
      <c r="A108" s="1404"/>
      <c r="B108" s="1424"/>
      <c r="C108" s="1473"/>
      <c r="D108" s="1476"/>
      <c r="E108" s="1477"/>
      <c r="F108" s="1446" t="str">
        <f>IFERROR(__xludf.DUMMYFUNCTION("""COMPUTED_VALUE"""),"Coins / Wave")</f>
        <v>Coins / Wave</v>
      </c>
      <c r="G108" s="1453">
        <f>IFERROR(__xludf.DUMMYFUNCTION("""COMPUTED_VALUE"""),7.0)</f>
        <v>7</v>
      </c>
      <c r="H108" s="1448">
        <f t="shared" si="3"/>
        <v>0.005119318968</v>
      </c>
      <c r="I108" s="1449" t="str">
        <f t="shared" si="4"/>
        <v>2.53 K</v>
      </c>
      <c r="J108" s="1423" t="str">
        <f t="shared" si="5"/>
        <v>8d 14h  6m</v>
      </c>
      <c r="K108" s="1429"/>
      <c r="L108" s="1429"/>
      <c r="M108" s="1429"/>
      <c r="N108" s="1438"/>
      <c r="O108" s="1438"/>
      <c r="P108" s="1438"/>
      <c r="Q108" s="1438"/>
      <c r="R108" s="1438"/>
      <c r="S108" s="1443" t="str">
        <f>IFERROR(__xludf.DUMMYFUNCTION("""COMPUTED_VALUE"""),"Tank Enemy Health")</f>
        <v>Tank Enemy Health</v>
      </c>
      <c r="T108" s="1417">
        <v>0.0</v>
      </c>
      <c r="U108" s="1417">
        <v>30.0</v>
      </c>
      <c r="V108" s="1417">
        <f>IFERROR(__xludf.DUMMYFUNCTION("""COMPUTED_VALUE"""),5.0)</f>
        <v>5</v>
      </c>
      <c r="W108" s="1416">
        <v>0.9670217002635212</v>
      </c>
      <c r="X108" s="1417"/>
    </row>
    <row r="109">
      <c r="A109" s="1404"/>
      <c r="B109" s="1424"/>
      <c r="C109" s="1473"/>
      <c r="D109" s="1476"/>
      <c r="E109" s="1477"/>
      <c r="F109" s="1446" t="str">
        <f>IFERROR(__xludf.DUMMYFUNCTION("""COMPUTED_VALUE"""),"Coins / Wave")</f>
        <v>Coins / Wave</v>
      </c>
      <c r="G109" s="1453">
        <f>IFERROR(__xludf.DUMMYFUNCTION("""COMPUTED_VALUE"""),8.0)</f>
        <v>8</v>
      </c>
      <c r="H109" s="1448">
        <f t="shared" si="3"/>
        <v>0.007016997551</v>
      </c>
      <c r="I109" s="1449" t="str">
        <f t="shared" si="4"/>
        <v>3.6 K</v>
      </c>
      <c r="J109" s="1423" t="str">
        <f t="shared" si="5"/>
        <v>8d 14h 16m</v>
      </c>
      <c r="K109" s="1429"/>
      <c r="L109" s="1429"/>
      <c r="M109" s="1429"/>
      <c r="N109" s="1438"/>
      <c r="O109" s="1438"/>
      <c r="P109" s="1438"/>
      <c r="Q109" s="1438"/>
      <c r="R109" s="1438"/>
      <c r="S109" s="1443" t="str">
        <f>IFERROR(__xludf.DUMMYFUNCTION("""COMPUTED_VALUE"""),"Ultimate Crit Mastery")</f>
        <v>Ultimate Crit Mastery</v>
      </c>
      <c r="T109" s="1417">
        <v>0.0</v>
      </c>
      <c r="U109" s="1417">
        <v>9.0</v>
      </c>
      <c r="V109" s="1417">
        <f>IFERROR(__xludf.DUMMYFUNCTION("""COMPUTED_VALUE"""),0.0)</f>
        <v>0</v>
      </c>
      <c r="W109" s="1416">
        <v>0.0</v>
      </c>
      <c r="X109" s="1417"/>
    </row>
    <row r="110">
      <c r="A110" s="1404"/>
      <c r="B110" s="1424"/>
      <c r="C110" s="1473"/>
      <c r="D110" s="1476"/>
      <c r="E110" s="1477"/>
      <c r="F110" s="1446" t="str">
        <f>IFERROR(__xludf.DUMMYFUNCTION("""COMPUTED_VALUE"""),"Coins / Wave")</f>
        <v>Coins / Wave</v>
      </c>
      <c r="G110" s="1453">
        <f>IFERROR(__xludf.DUMMYFUNCTION("""COMPUTED_VALUE"""),9.0)</f>
        <v>9</v>
      </c>
      <c r="H110" s="1448">
        <f t="shared" si="3"/>
        <v>0.009311864675</v>
      </c>
      <c r="I110" s="1449" t="str">
        <f t="shared" si="4"/>
        <v>4.92 K</v>
      </c>
      <c r="J110" s="1423" t="str">
        <f t="shared" si="5"/>
        <v>8d 14h 30m</v>
      </c>
      <c r="K110" s="1429"/>
      <c r="L110" s="1429"/>
      <c r="M110" s="1429"/>
      <c r="N110" s="1438"/>
      <c r="O110" s="1438"/>
      <c r="P110" s="1438"/>
      <c r="Q110" s="1438"/>
      <c r="R110" s="1438"/>
      <c r="S110" s="1443" t="str">
        <f>IFERROR(__xludf.DUMMYFUNCTION("""COMPUTED_VALUE"""),"Wall Fortification")</f>
        <v>Wall Fortification</v>
      </c>
      <c r="T110" s="1417">
        <v>47.0</v>
      </c>
      <c r="U110" s="1417">
        <v>60.0</v>
      </c>
      <c r="V110" s="1417">
        <f>IFERROR(__xludf.DUMMYFUNCTION("""COMPUTED_VALUE"""),47.0)</f>
        <v>47</v>
      </c>
      <c r="W110" s="1416">
        <v>0.0</v>
      </c>
      <c r="X110" s="1417"/>
    </row>
    <row r="111">
      <c r="A111" s="1404"/>
      <c r="B111" s="1424"/>
      <c r="C111" s="1473"/>
      <c r="D111" s="1476"/>
      <c r="E111" s="1477"/>
      <c r="F111" s="1446" t="str">
        <f>IFERROR(__xludf.DUMMYFUNCTION("""COMPUTED_VALUE"""),"Coins / Wave")</f>
        <v>Coins / Wave</v>
      </c>
      <c r="G111" s="1453">
        <f>IFERROR(__xludf.DUMMYFUNCTION("""COMPUTED_VALUE"""),10.0)</f>
        <v>10</v>
      </c>
      <c r="H111" s="1448">
        <f t="shared" si="3"/>
        <v>0.01200392034</v>
      </c>
      <c r="I111" s="1449" t="str">
        <f t="shared" si="4"/>
        <v>6.51 K</v>
      </c>
      <c r="J111" s="1423" t="str">
        <f t="shared" si="5"/>
        <v>8d 14h 47m</v>
      </c>
      <c r="K111" s="1429"/>
      <c r="L111" s="1429"/>
      <c r="M111" s="1429"/>
      <c r="N111" s="1438"/>
      <c r="O111" s="1438"/>
      <c r="P111" s="1438"/>
      <c r="Q111" s="1438"/>
      <c r="R111" s="1438"/>
      <c r="S111" s="1443" t="str">
        <f>IFERROR(__xludf.DUMMYFUNCTION("""COMPUTED_VALUE"""),"Wall Invincibility")</f>
        <v>Wall Invincibility</v>
      </c>
      <c r="T111" s="1417">
        <v>0.0</v>
      </c>
      <c r="U111" s="1417">
        <v>10.0</v>
      </c>
      <c r="V111" s="1417">
        <f>IFERROR(__xludf.DUMMYFUNCTION("""COMPUTED_VALUE"""),0.0)</f>
        <v>0</v>
      </c>
      <c r="W111" s="1416">
        <v>0.0</v>
      </c>
      <c r="X111" s="1417"/>
    </row>
    <row r="112">
      <c r="A112" s="1404"/>
      <c r="B112" s="1424"/>
      <c r="C112" s="1473"/>
      <c r="D112" s="1476"/>
      <c r="E112" s="1477"/>
      <c r="F112" s="1446" t="str">
        <f>IFERROR(__xludf.DUMMYFUNCTION("""COMPUTED_VALUE"""),"Coins / Wave")</f>
        <v>Coins / Wave</v>
      </c>
      <c r="G112" s="1453">
        <f>IFERROR(__xludf.DUMMYFUNCTION("""COMPUTED_VALUE"""),11.0)</f>
        <v>11</v>
      </c>
      <c r="H112" s="1448">
        <f t="shared" si="3"/>
        <v>0.0151372966</v>
      </c>
      <c r="I112" s="1449" t="str">
        <f t="shared" si="4"/>
        <v>8.41 K</v>
      </c>
      <c r="J112" s="1423" t="str">
        <f t="shared" si="5"/>
        <v>8d 15h  9m</v>
      </c>
      <c r="K112" s="1429"/>
      <c r="L112" s="1429"/>
      <c r="M112" s="1429"/>
      <c r="N112" s="1438"/>
      <c r="O112" s="1438"/>
      <c r="P112" s="1438"/>
      <c r="Q112" s="1438"/>
      <c r="R112" s="1438"/>
      <c r="S112" s="1443" t="str">
        <f>IFERROR(__xludf.DUMMYFUNCTION("""COMPUTED_VALUE"""),"Wall Rebuild")</f>
        <v>Wall Rebuild</v>
      </c>
      <c r="T112" s="1417">
        <v>9.0</v>
      </c>
      <c r="U112" s="1417">
        <v>20.0</v>
      </c>
      <c r="V112" s="1417">
        <f>IFERROR(__xludf.DUMMYFUNCTION("""COMPUTED_VALUE"""),10.0)</f>
        <v>10</v>
      </c>
      <c r="W112" s="1416">
        <v>0.44180605336519313</v>
      </c>
      <c r="X112" s="1417"/>
    </row>
    <row r="113">
      <c r="A113" s="1404"/>
      <c r="B113" s="1424"/>
      <c r="C113" s="1473"/>
      <c r="D113" s="1476"/>
      <c r="E113" s="1477"/>
      <c r="F113" s="1446" t="str">
        <f>IFERROR(__xludf.DUMMYFUNCTION("""COMPUTED_VALUE"""),"Coins / Wave")</f>
        <v>Coins / Wave</v>
      </c>
      <c r="G113" s="1453">
        <f>IFERROR(__xludf.DUMMYFUNCTION("""COMPUTED_VALUE"""),12.0)</f>
        <v>12</v>
      </c>
      <c r="H113" s="1448">
        <f t="shared" si="3"/>
        <v>0.01866786141</v>
      </c>
      <c r="I113" s="1449" t="str">
        <f t="shared" si="4"/>
        <v>10.63 K</v>
      </c>
      <c r="J113" s="1423" t="str">
        <f t="shared" si="5"/>
        <v>8d 15h 36m</v>
      </c>
      <c r="K113" s="1429"/>
      <c r="L113" s="1429"/>
      <c r="M113" s="1429"/>
      <c r="N113" s="1438"/>
      <c r="O113" s="1438"/>
      <c r="P113" s="1438"/>
      <c r="Q113" s="1438"/>
      <c r="R113" s="1438"/>
      <c r="S113" s="1443" t="str">
        <f>IFERROR(__xludf.DUMMYFUNCTION("""COMPUTED_VALUE"""),"Wall Regen")</f>
        <v>Wall Regen</v>
      </c>
      <c r="T113" s="1417">
        <v>21.0</v>
      </c>
      <c r="U113" s="1417">
        <v>30.0</v>
      </c>
      <c r="V113" s="1417">
        <f>IFERROR(__xludf.DUMMYFUNCTION("""COMPUTED_VALUE"""),21.0)</f>
        <v>21</v>
      </c>
      <c r="W113" s="1416">
        <v>0.0</v>
      </c>
      <c r="X113" s="1417"/>
    </row>
    <row r="114">
      <c r="A114" s="1404"/>
      <c r="B114" s="1424"/>
      <c r="C114" s="1473"/>
      <c r="D114" s="1476"/>
      <c r="E114" s="1477"/>
      <c r="F114" s="1446" t="str">
        <f>IFERROR(__xludf.DUMMYFUNCTION("""COMPUTED_VALUE"""),"Coins / Wave")</f>
        <v>Coins / Wave</v>
      </c>
      <c r="G114" s="1453">
        <f>IFERROR(__xludf.DUMMYFUNCTION("""COMPUTED_VALUE"""),13.0)</f>
        <v>13</v>
      </c>
      <c r="H114" s="1448">
        <f t="shared" si="3"/>
        <v>0.02268387888</v>
      </c>
      <c r="I114" s="1449" t="str">
        <f t="shared" si="4"/>
        <v>13.21 K</v>
      </c>
      <c r="J114" s="1423" t="str">
        <f t="shared" si="5"/>
        <v>8d 16h  8m</v>
      </c>
      <c r="K114" s="1429"/>
      <c r="L114" s="1429"/>
      <c r="M114" s="1429"/>
      <c r="N114" s="1438"/>
      <c r="O114" s="1438"/>
      <c r="P114" s="1438"/>
      <c r="Q114" s="1438"/>
      <c r="R114" s="1438"/>
      <c r="S114" s="1443" t="str">
        <f>IFERROR(__xludf.DUMMYFUNCTION("""COMPUTED_VALUE"""),"Wall Thorns")</f>
        <v>Wall Thorns</v>
      </c>
      <c r="T114" s="1417">
        <v>15.0</v>
      </c>
      <c r="U114" s="1417">
        <v>20.0</v>
      </c>
      <c r="V114" s="1417">
        <f>IFERROR(__xludf.DUMMYFUNCTION("""COMPUTED_VALUE"""),15.0)</f>
        <v>15</v>
      </c>
      <c r="W114" s="1416">
        <v>0.0</v>
      </c>
      <c r="X114" s="1417"/>
    </row>
    <row r="115">
      <c r="A115" s="1404"/>
      <c r="B115" s="1424"/>
      <c r="C115" s="1473"/>
      <c r="D115" s="1476"/>
      <c r="E115" s="1477"/>
      <c r="F115" s="1446" t="str">
        <f>IFERROR(__xludf.DUMMYFUNCTION("""COMPUTED_VALUE"""),"Coins / Wave")</f>
        <v>Coins / Wave</v>
      </c>
      <c r="G115" s="1453">
        <f>IFERROR(__xludf.DUMMYFUNCTION("""COMPUTED_VALUE"""),14.0)</f>
        <v>14</v>
      </c>
      <c r="H115" s="1448">
        <f t="shared" si="3"/>
        <v>0.02714121694</v>
      </c>
      <c r="I115" s="1449" t="str">
        <f t="shared" si="4"/>
        <v>16.14 K</v>
      </c>
      <c r="J115" s="1423" t="str">
        <f t="shared" si="5"/>
        <v>8d 16h 47m</v>
      </c>
      <c r="K115" s="1429"/>
      <c r="L115" s="1429"/>
      <c r="M115" s="1429"/>
      <c r="N115" s="1438"/>
      <c r="O115" s="1438"/>
      <c r="P115" s="1438"/>
      <c r="Q115" s="1438"/>
      <c r="R115" s="1438"/>
      <c r="S115" s="1443" t="str">
        <f>IFERROR(__xludf.DUMMYFUNCTION("""COMPUTED_VALUE"""),"Wave Accelerator Mastery")</f>
        <v>Wave Accelerator Mastery</v>
      </c>
      <c r="T115" s="1417">
        <v>0.0</v>
      </c>
      <c r="U115" s="1417">
        <v>9.0</v>
      </c>
      <c r="V115" s="1417">
        <f>IFERROR(__xludf.DUMMYFUNCTION("""COMPUTED_VALUE"""),0.0)</f>
        <v>0</v>
      </c>
      <c r="W115" s="1416">
        <v>0.0</v>
      </c>
      <c r="X115" s="1417"/>
    </row>
    <row r="116">
      <c r="A116" s="1404"/>
      <c r="B116" s="1424"/>
      <c r="C116" s="1473"/>
      <c r="D116" s="1476"/>
      <c r="E116" s="1477"/>
      <c r="F116" s="1446" t="str">
        <f>IFERROR(__xludf.DUMMYFUNCTION("""COMPUTED_VALUE"""),"Coins / Wave")</f>
        <v>Coins / Wave</v>
      </c>
      <c r="G116" s="1453">
        <f>IFERROR(__xludf.DUMMYFUNCTION("""COMPUTED_VALUE"""),15.0)</f>
        <v>15</v>
      </c>
      <c r="H116" s="1448">
        <f t="shared" si="3"/>
        <v>0.03208400767</v>
      </c>
      <c r="I116" s="1449" t="str">
        <f t="shared" si="4"/>
        <v>19.46 K</v>
      </c>
      <c r="J116" s="1423" t="str">
        <f t="shared" si="5"/>
        <v>8d 17h 34m</v>
      </c>
      <c r="K116" s="1429"/>
      <c r="L116" s="1429"/>
      <c r="M116" s="1429"/>
      <c r="N116" s="1438"/>
      <c r="O116" s="1438"/>
      <c r="P116" s="1438"/>
      <c r="Q116" s="1438"/>
      <c r="R116" s="1438"/>
      <c r="S116" s="1443" t="str">
        <f>IFERROR(__xludf.DUMMYFUNCTION("""COMPUTED_VALUE"""),"Wave Skip Mastery")</f>
        <v>Wave Skip Mastery</v>
      </c>
      <c r="T116" s="1417">
        <v>0.0</v>
      </c>
      <c r="U116" s="1417">
        <v>9.0</v>
      </c>
      <c r="V116" s="1417">
        <f>IFERROR(__xludf.DUMMYFUNCTION("""COMPUTED_VALUE"""),0.0)</f>
        <v>0</v>
      </c>
      <c r="W116" s="1416">
        <v>0.0</v>
      </c>
      <c r="X116" s="1417"/>
    </row>
    <row r="117">
      <c r="A117" s="1404"/>
      <c r="B117" s="1424"/>
      <c r="C117" s="1473"/>
      <c r="D117" s="1476"/>
      <c r="E117" s="1477"/>
      <c r="F117" s="1446" t="str">
        <f>IFERROR(__xludf.DUMMYFUNCTION("""COMPUTED_VALUE"""),"Coins / Wave")</f>
        <v>Coins / Wave</v>
      </c>
      <c r="G117" s="1453">
        <f>IFERROR(__xludf.DUMMYFUNCTION("""COMPUTED_VALUE"""),16.0)</f>
        <v>16</v>
      </c>
      <c r="H117" s="1448">
        <f t="shared" si="3"/>
        <v>0.03751225106</v>
      </c>
      <c r="I117" s="1449" t="str">
        <f t="shared" si="4"/>
        <v>23.2 K</v>
      </c>
      <c r="J117" s="1423" t="str">
        <f t="shared" si="5"/>
        <v>8d 18h 28m</v>
      </c>
      <c r="K117" s="1429"/>
      <c r="L117" s="1429"/>
      <c r="M117" s="1429"/>
      <c r="N117" s="1438"/>
      <c r="O117" s="1438"/>
      <c r="P117" s="1438"/>
      <c r="Q117" s="1438"/>
      <c r="R117" s="1438"/>
      <c r="S117" s="1443" t="str">
        <f>IFERROR(__xludf.DUMMYFUNCTION("""COMPUTED_VALUE"""),"Waves Required")</f>
        <v>Waves Required</v>
      </c>
      <c r="T117" s="1417">
        <v>13.0</v>
      </c>
      <c r="U117" s="1417">
        <v>100.0</v>
      </c>
      <c r="V117" s="1417">
        <f>IFERROR(__xludf.DUMMYFUNCTION("""COMPUTED_VALUE"""),13.0)</f>
        <v>13</v>
      </c>
      <c r="W117" s="1416">
        <v>0.0</v>
      </c>
      <c r="X117" s="1417"/>
    </row>
    <row r="118">
      <c r="A118" s="1404"/>
      <c r="B118" s="1424"/>
      <c r="C118" s="1473"/>
      <c r="D118" s="1476"/>
      <c r="E118" s="1477"/>
      <c r="F118" s="1446" t="str">
        <f>IFERROR(__xludf.DUMMYFUNCTION("""COMPUTED_VALUE"""),"Coins / Wave")</f>
        <v>Coins / Wave</v>
      </c>
      <c r="G118" s="1453">
        <f>IFERROR(__xludf.DUMMYFUNCTION("""COMPUTED_VALUE"""),17.0)</f>
        <v>17</v>
      </c>
      <c r="H118" s="1448">
        <f t="shared" si="3"/>
        <v>0.04347007917</v>
      </c>
      <c r="I118" s="1449" t="str">
        <f t="shared" si="4"/>
        <v>27.36 K</v>
      </c>
      <c r="J118" s="1423" t="str">
        <f t="shared" si="5"/>
        <v>8d 19h 30m</v>
      </c>
      <c r="K118" s="1429"/>
      <c r="L118" s="1429"/>
      <c r="M118" s="1429"/>
      <c r="N118" s="1438"/>
      <c r="O118" s="1438"/>
      <c r="P118" s="1438"/>
      <c r="Q118" s="1438"/>
      <c r="R118" s="1438"/>
      <c r="S118" s="1443" t="str">
        <f>IFERROR(__xludf.DUMMYFUNCTION("""COMPUTED_VALUE"""),"Workshop Attack Discount")</f>
        <v>Workshop Attack Discount</v>
      </c>
      <c r="T118" s="1417">
        <v>27.0</v>
      </c>
      <c r="U118" s="1417">
        <v>99.0</v>
      </c>
      <c r="V118" s="1417">
        <f>IFERROR(__xludf.DUMMYFUNCTION("""COMPUTED_VALUE"""),30.0)</f>
        <v>30</v>
      </c>
      <c r="W118" s="1416">
        <v>0.478347399103519</v>
      </c>
      <c r="X118" s="1417"/>
    </row>
    <row r="119">
      <c r="A119" s="1404"/>
      <c r="B119" s="1424"/>
      <c r="C119" s="1473"/>
      <c r="D119" s="1476"/>
      <c r="E119" s="1477"/>
      <c r="F119" s="1446" t="str">
        <f>IFERROR(__xludf.DUMMYFUNCTION("""COMPUTED_VALUE"""),"Coins / Wave")</f>
        <v>Coins / Wave</v>
      </c>
      <c r="G119" s="1453">
        <f>IFERROR(__xludf.DUMMYFUNCTION("""COMPUTED_VALUE"""),18.0)</f>
        <v>18</v>
      </c>
      <c r="H119" s="1448">
        <f t="shared" si="3"/>
        <v>0.049957492</v>
      </c>
      <c r="I119" s="1449" t="str">
        <f t="shared" si="4"/>
        <v>31.98 K</v>
      </c>
      <c r="J119" s="1423" t="str">
        <f t="shared" si="5"/>
        <v>8d 20h 42m</v>
      </c>
      <c r="K119" s="1429"/>
      <c r="L119" s="1429"/>
      <c r="M119" s="1429"/>
      <c r="N119" s="1438"/>
      <c r="O119" s="1438"/>
      <c r="P119" s="1438"/>
      <c r="Q119" s="1438"/>
      <c r="R119" s="1438"/>
      <c r="S119" s="1443" t="str">
        <f>IFERROR(__xludf.DUMMYFUNCTION("""COMPUTED_VALUE"""),"Workshop Defense Discount")</f>
        <v>Workshop Defense Discount</v>
      </c>
      <c r="T119" s="1417">
        <v>28.0</v>
      </c>
      <c r="U119" s="1417">
        <v>99.0</v>
      </c>
      <c r="V119" s="1417">
        <f>IFERROR(__xludf.DUMMYFUNCTION("""COMPUTED_VALUE"""),30.0)</f>
        <v>30</v>
      </c>
      <c r="W119" s="1416">
        <v>0.33213788409014516</v>
      </c>
      <c r="X119" s="1417"/>
    </row>
    <row r="120">
      <c r="A120" s="1404"/>
      <c r="B120" s="1424"/>
      <c r="C120" s="1473"/>
      <c r="D120" s="1476"/>
      <c r="E120" s="1477"/>
      <c r="F120" s="1446" t="str">
        <f>IFERROR(__xludf.DUMMYFUNCTION("""COMPUTED_VALUE"""),"Coins / Wave")</f>
        <v>Coins / Wave</v>
      </c>
      <c r="G120" s="1453">
        <f>IFERROR(__xludf.DUMMYFUNCTION("""COMPUTED_VALUE"""),19.0)</f>
        <v>19</v>
      </c>
      <c r="H120" s="1448">
        <f t="shared" si="3"/>
        <v>0.05697448955</v>
      </c>
      <c r="I120" s="1449" t="str">
        <f t="shared" si="4"/>
        <v>37.05 K</v>
      </c>
      <c r="J120" s="1423" t="str">
        <f t="shared" si="5"/>
        <v>8d 22h  4m</v>
      </c>
      <c r="K120" s="1429"/>
      <c r="L120" s="1429"/>
      <c r="M120" s="1429"/>
      <c r="N120" s="1438"/>
      <c r="O120" s="1438"/>
      <c r="P120" s="1438"/>
      <c r="Q120" s="1438"/>
      <c r="R120" s="1438"/>
      <c r="S120" s="1443" t="str">
        <f>IFERROR(__xludf.DUMMYFUNCTION("""COMPUTED_VALUE"""),"Workshop Utility Discount")</f>
        <v>Workshop Utility Discount</v>
      </c>
      <c r="T120" s="1417">
        <v>41.0</v>
      </c>
      <c r="U120" s="1417">
        <v>99.0</v>
      </c>
      <c r="V120" s="1417">
        <f>IFERROR(__xludf.DUMMYFUNCTION("""COMPUTED_VALUE"""),41.0)</f>
        <v>41</v>
      </c>
      <c r="W120" s="1416">
        <v>0.0</v>
      </c>
      <c r="X120" s="1417"/>
    </row>
    <row r="121">
      <c r="A121" s="1404"/>
      <c r="B121" s="1424"/>
      <c r="C121" s="1473"/>
      <c r="D121" s="1476"/>
      <c r="E121" s="1477"/>
      <c r="F121" s="1446" t="str">
        <f>IFERROR(__xludf.DUMMYFUNCTION("""COMPUTED_VALUE"""),"Coins / Wave")</f>
        <v>Coins / Wave</v>
      </c>
      <c r="G121" s="1453">
        <f>IFERROR(__xludf.DUMMYFUNCTION("""COMPUTED_VALUE"""),20.0)</f>
        <v>20</v>
      </c>
      <c r="H121" s="1448">
        <f t="shared" si="3"/>
        <v>0.06452107182</v>
      </c>
      <c r="I121" s="1449" t="str">
        <f t="shared" si="4"/>
        <v>42.62 K</v>
      </c>
      <c r="J121" s="1423" t="str">
        <f t="shared" si="5"/>
        <v>8d 23h 37m</v>
      </c>
      <c r="K121" s="1429"/>
      <c r="L121" s="1429"/>
      <c r="M121" s="1429"/>
      <c r="N121" s="1438"/>
      <c r="O121" s="1438"/>
      <c r="P121" s="1438"/>
      <c r="Q121" s="1438"/>
      <c r="R121" s="1438"/>
      <c r="S121" s="1443"/>
      <c r="T121" s="1417" t="s">
        <v>455</v>
      </c>
      <c r="U121" s="1417" t="s">
        <v>455</v>
      </c>
      <c r="V121" s="1417" t="str">
        <f>IFERROR(__xludf.DUMMYFUNCTION("""COMPUTED_VALUE"""),"")</f>
        <v/>
      </c>
      <c r="W121" s="1416" t="s">
        <v>455</v>
      </c>
      <c r="X121" s="1417"/>
    </row>
    <row r="122">
      <c r="A122" s="1404"/>
      <c r="B122" s="1424"/>
      <c r="C122" s="1473"/>
      <c r="D122" s="1476"/>
      <c r="E122" s="1477"/>
      <c r="F122" s="1446" t="str">
        <f>IFERROR(__xludf.DUMMYFUNCTION("""COMPUTED_VALUE"""),"Coins / Wave")</f>
        <v>Coins / Wave</v>
      </c>
      <c r="G122" s="1453">
        <f>IFERROR(__xludf.DUMMYFUNCTION("""COMPUTED_VALUE"""),21.0)</f>
        <v>21</v>
      </c>
      <c r="H122" s="1448">
        <f t="shared" si="3"/>
        <v>0.07268550294</v>
      </c>
      <c r="I122" s="1449" t="str">
        <f t="shared" si="4"/>
        <v>48.69 K</v>
      </c>
      <c r="J122" s="1423" t="str">
        <f t="shared" si="5"/>
        <v>9d  1h 22m</v>
      </c>
      <c r="K122" s="1429"/>
      <c r="L122" s="1429"/>
      <c r="M122" s="1429"/>
      <c r="N122" s="1438"/>
      <c r="O122" s="1438"/>
      <c r="P122" s="1438"/>
      <c r="Q122" s="1438"/>
      <c r="R122" s="1438"/>
      <c r="S122" s="1443"/>
      <c r="T122" s="1417" t="s">
        <v>455</v>
      </c>
      <c r="U122" s="1417" t="s">
        <v>455</v>
      </c>
      <c r="V122" s="1417" t="str">
        <f>IFERROR(__xludf.DUMMYFUNCTION("""COMPUTED_VALUE"""),"")</f>
        <v/>
      </c>
      <c r="W122" s="1416" t="s">
        <v>455</v>
      </c>
      <c r="X122" s="1417"/>
    </row>
    <row r="123">
      <c r="A123" s="1404"/>
      <c r="B123" s="1424"/>
      <c r="C123" s="1473"/>
      <c r="D123" s="1476"/>
      <c r="E123" s="1477"/>
      <c r="F123" s="1446" t="str">
        <f>IFERROR(__xludf.DUMMYFUNCTION("""COMPUTED_VALUE"""),"Coins / Wave")</f>
        <v>Coins / Wave</v>
      </c>
      <c r="G123" s="1453">
        <f>IFERROR(__xludf.DUMMYFUNCTION("""COMPUTED_VALUE"""),22.0)</f>
        <v>22</v>
      </c>
      <c r="H123" s="1448">
        <f t="shared" si="3"/>
        <v>0.08137951877</v>
      </c>
      <c r="I123" s="1449" t="str">
        <f t="shared" si="4"/>
        <v>55.3 K</v>
      </c>
      <c r="J123" s="1423" t="str">
        <f t="shared" si="5"/>
        <v>9d  3h 19m</v>
      </c>
      <c r="K123" s="1429"/>
      <c r="L123" s="1429"/>
      <c r="M123" s="1429"/>
      <c r="N123" s="1438"/>
      <c r="O123" s="1438"/>
      <c r="P123" s="1438"/>
      <c r="Q123" s="1438"/>
      <c r="R123" s="1438"/>
      <c r="S123" s="1443"/>
      <c r="T123" s="1417" t="s">
        <v>455</v>
      </c>
      <c r="U123" s="1417" t="s">
        <v>455</v>
      </c>
      <c r="V123" s="1417" t="str">
        <f>IFERROR(__xludf.DUMMYFUNCTION("""COMPUTED_VALUE"""),"")</f>
        <v/>
      </c>
      <c r="W123" s="1416" t="s">
        <v>455</v>
      </c>
      <c r="X123" s="1417"/>
    </row>
    <row r="124">
      <c r="A124" s="1404"/>
      <c r="B124" s="1424"/>
      <c r="C124" s="1473"/>
      <c r="D124" s="1476"/>
      <c r="E124" s="1477"/>
      <c r="F124" s="1446" t="str">
        <f>IFERROR(__xludf.DUMMYFUNCTION("""COMPUTED_VALUE"""),"Coins / Wave")</f>
        <v>Coins / Wave</v>
      </c>
      <c r="G124" s="1453">
        <f>IFERROR(__xludf.DUMMYFUNCTION("""COMPUTED_VALUE"""),23.0)</f>
        <v>23</v>
      </c>
      <c r="H124" s="1448">
        <f t="shared" si="3"/>
        <v>0.09064725138</v>
      </c>
      <c r="I124" s="1449" t="str">
        <f t="shared" si="4"/>
        <v>62.44 K</v>
      </c>
      <c r="J124" s="1423" t="str">
        <f t="shared" si="5"/>
        <v>9d  5h 30m</v>
      </c>
      <c r="K124" s="1429"/>
      <c r="L124" s="1429"/>
      <c r="M124" s="1429"/>
      <c r="N124" s="1438"/>
      <c r="O124" s="1438"/>
      <c r="P124" s="1438"/>
      <c r="Q124" s="1438"/>
      <c r="R124" s="1438"/>
      <c r="S124" s="1443"/>
      <c r="T124" s="1417" t="s">
        <v>455</v>
      </c>
      <c r="U124" s="1417" t="s">
        <v>455</v>
      </c>
      <c r="V124" s="1417" t="str">
        <f>IFERROR(__xludf.DUMMYFUNCTION("""COMPUTED_VALUE"""),"")</f>
        <v/>
      </c>
      <c r="W124" s="1416" t="s">
        <v>455</v>
      </c>
      <c r="X124" s="1417"/>
    </row>
    <row r="125">
      <c r="A125" s="1404"/>
      <c r="B125" s="1424"/>
      <c r="C125" s="1473"/>
      <c r="D125" s="1476"/>
      <c r="E125" s="1477"/>
      <c r="F125" s="1446" t="str">
        <f>IFERROR(__xludf.DUMMYFUNCTION("""COMPUTED_VALUE"""),"Coins / Wave")</f>
        <v>Coins / Wave</v>
      </c>
      <c r="G125" s="1453">
        <f>IFERROR(__xludf.DUMMYFUNCTION("""COMPUTED_VALUE"""),24.0)</f>
        <v>24</v>
      </c>
      <c r="H125" s="1448">
        <f t="shared" si="3"/>
        <v>0.1005328328</v>
      </c>
      <c r="I125" s="1449" t="str">
        <f t="shared" si="4"/>
        <v>70.15 K</v>
      </c>
      <c r="J125" s="1423" t="str">
        <f t="shared" si="5"/>
        <v>9d  7h 54m</v>
      </c>
      <c r="K125" s="1429"/>
      <c r="L125" s="1429"/>
      <c r="M125" s="1429"/>
      <c r="N125" s="1438"/>
      <c r="O125" s="1438"/>
      <c r="P125" s="1438"/>
      <c r="Q125" s="1438"/>
      <c r="R125" s="1438"/>
      <c r="S125" s="1443"/>
      <c r="T125" s="1417" t="s">
        <v>455</v>
      </c>
      <c r="U125" s="1417" t="s">
        <v>455</v>
      </c>
      <c r="V125" s="1417" t="str">
        <f>IFERROR(__xludf.DUMMYFUNCTION("""COMPUTED_VALUE"""),"")</f>
        <v/>
      </c>
      <c r="W125" s="1416" t="s">
        <v>455</v>
      </c>
      <c r="X125" s="1417"/>
    </row>
    <row r="126">
      <c r="A126" s="1404"/>
      <c r="B126" s="1424"/>
      <c r="C126" s="1473"/>
      <c r="D126" s="1476"/>
      <c r="E126" s="1477"/>
      <c r="F126" s="1446" t="str">
        <f>IFERROR(__xludf.DUMMYFUNCTION("""COMPUTED_VALUE"""),"Coins / Wave")</f>
        <v>Coins / Wave</v>
      </c>
      <c r="G126" s="1453">
        <f>IFERROR(__xludf.DUMMYFUNCTION("""COMPUTED_VALUE"""),25.0)</f>
        <v>25</v>
      </c>
      <c r="H126" s="1448">
        <f t="shared" si="3"/>
        <v>0.1110362631</v>
      </c>
      <c r="I126" s="1449" t="str">
        <f t="shared" si="4"/>
        <v>78.44 K</v>
      </c>
      <c r="J126" s="1423" t="str">
        <f t="shared" si="5"/>
        <v>9d 10h 34m</v>
      </c>
      <c r="K126" s="1429"/>
      <c r="L126" s="1429"/>
      <c r="M126" s="1429"/>
      <c r="N126" s="1438"/>
      <c r="O126" s="1438"/>
      <c r="P126" s="1438"/>
      <c r="Q126" s="1438"/>
      <c r="R126" s="1438"/>
      <c r="S126" s="1443"/>
      <c r="T126" s="1417" t="s">
        <v>455</v>
      </c>
      <c r="U126" s="1417" t="s">
        <v>455</v>
      </c>
      <c r="V126" s="1417" t="str">
        <f>IFERROR(__xludf.DUMMYFUNCTION("""COMPUTED_VALUE"""),"")</f>
        <v/>
      </c>
      <c r="W126" s="1416" t="s">
        <v>455</v>
      </c>
      <c r="X126" s="1417"/>
    </row>
    <row r="127">
      <c r="A127" s="1404"/>
      <c r="B127" s="1424"/>
      <c r="C127" s="1473"/>
      <c r="D127" s="1476"/>
      <c r="E127" s="1477"/>
      <c r="F127" s="1446" t="str">
        <f>IFERROR(__xludf.DUMMYFUNCTION("""COMPUTED_VALUE"""),"Inner Mine Stun")</f>
        <v>Inner Mine Stun</v>
      </c>
      <c r="G127" s="1453">
        <f>IFERROR(__xludf.DUMMYFUNCTION("""COMPUTED_VALUE"""),1.0)</f>
        <v>1</v>
      </c>
      <c r="H127" s="1448">
        <f t="shared" si="3"/>
        <v>0.8825970693</v>
      </c>
      <c r="I127" s="1449">
        <f t="shared" si="4"/>
        <v>0</v>
      </c>
      <c r="J127" s="1423" t="str">
        <f t="shared" si="5"/>
        <v>10d  7h 45m</v>
      </c>
      <c r="K127" s="1429"/>
      <c r="L127" s="1429"/>
      <c r="M127" s="1429"/>
      <c r="N127" s="1438"/>
      <c r="O127" s="1438"/>
      <c r="P127" s="1438"/>
      <c r="Q127" s="1438"/>
      <c r="R127" s="1438"/>
      <c r="S127" s="1443"/>
      <c r="T127" s="1417" t="s">
        <v>455</v>
      </c>
      <c r="U127" s="1417" t="s">
        <v>455</v>
      </c>
      <c r="V127" s="1417" t="str">
        <f>IFERROR(__xludf.DUMMYFUNCTION("""COMPUTED_VALUE"""),"")</f>
        <v/>
      </c>
      <c r="W127" s="1416" t="s">
        <v>455</v>
      </c>
      <c r="X127" s="1417"/>
    </row>
    <row r="128">
      <c r="A128" s="1404"/>
      <c r="B128" s="1424"/>
      <c r="C128" s="1473"/>
      <c r="D128" s="1476"/>
      <c r="E128" s="1477"/>
      <c r="F128" s="1446" t="str">
        <f>IFERROR(__xludf.DUMMYFUNCTION("""COMPUTED_VALUE"""),"Shock Chance")</f>
        <v>Shock Chance</v>
      </c>
      <c r="G128" s="1453">
        <f>IFERROR(__xludf.DUMMYFUNCTION("""COMPUTED_VALUE"""),15.0)</f>
        <v>15</v>
      </c>
      <c r="H128" s="1448">
        <f t="shared" si="3"/>
        <v>0.8904967081</v>
      </c>
      <c r="I128" s="1449" t="str">
        <f t="shared" si="4"/>
        <v>2.35 B</v>
      </c>
      <c r="J128" s="1423" t="str">
        <f t="shared" si="5"/>
        <v>11d  5h  7m</v>
      </c>
      <c r="K128" s="1429"/>
      <c r="L128" s="1429"/>
      <c r="M128" s="1429"/>
      <c r="N128" s="1438"/>
      <c r="O128" s="1438"/>
      <c r="P128" s="1438"/>
      <c r="Q128" s="1438"/>
      <c r="R128" s="1438"/>
      <c r="S128" s="1443"/>
      <c r="T128" s="1417" t="s">
        <v>455</v>
      </c>
      <c r="U128" s="1417" t="s">
        <v>455</v>
      </c>
      <c r="V128" s="1417" t="str">
        <f>IFERROR(__xludf.DUMMYFUNCTION("""COMPUTED_VALUE"""),"")</f>
        <v/>
      </c>
      <c r="W128" s="1416" t="s">
        <v>455</v>
      </c>
      <c r="X128" s="1417"/>
    </row>
    <row r="129">
      <c r="A129" s="1404"/>
      <c r="B129" s="1424"/>
      <c r="C129" s="1473"/>
      <c r="D129" s="1476"/>
      <c r="E129" s="1477"/>
      <c r="F129" s="1446" t="str">
        <f>IFERROR(__xludf.DUMMYFUNCTION("""COMPUTED_VALUE"""),"Recharge Demon Mode")</f>
        <v>Recharge Demon Mode</v>
      </c>
      <c r="G129" s="1453">
        <f>IFERROR(__xludf.DUMMYFUNCTION("""COMPUTED_VALUE"""),5.0)</f>
        <v>5</v>
      </c>
      <c r="H129" s="1448">
        <f t="shared" si="3"/>
        <v>0.8949385999</v>
      </c>
      <c r="I129" s="1449" t="str">
        <f t="shared" si="4"/>
        <v>2.44 T</v>
      </c>
      <c r="J129" s="1423" t="str">
        <f t="shared" si="5"/>
        <v>12d  2h 36m</v>
      </c>
      <c r="K129" s="1429"/>
      <c r="L129" s="1429"/>
      <c r="M129" s="1429"/>
      <c r="N129" s="1438"/>
      <c r="O129" s="1438"/>
      <c r="P129" s="1438"/>
      <c r="Q129" s="1438"/>
      <c r="R129" s="1438"/>
      <c r="S129" s="1443"/>
      <c r="T129" s="1417" t="s">
        <v>455</v>
      </c>
      <c r="U129" s="1417" t="s">
        <v>455</v>
      </c>
      <c r="V129" s="1417" t="str">
        <f>IFERROR(__xludf.DUMMYFUNCTION("""COMPUTED_VALUE"""),"")</f>
        <v/>
      </c>
      <c r="W129" s="1416" t="s">
        <v>455</v>
      </c>
      <c r="X129" s="1417"/>
    </row>
    <row r="130">
      <c r="A130" s="1404"/>
      <c r="B130" s="1424"/>
      <c r="C130" s="1473"/>
      <c r="D130" s="1476"/>
      <c r="E130" s="1477"/>
      <c r="F130" s="1446" t="str">
        <f>IFERROR(__xludf.DUMMYFUNCTION("""COMPUTED_VALUE"""),"Super Crit Chance")</f>
        <v>Super Crit Chance</v>
      </c>
      <c r="G130" s="1453">
        <f>IFERROR(__xludf.DUMMYFUNCTION("""COMPUTED_VALUE"""),10.0)</f>
        <v>10</v>
      </c>
      <c r="H130" s="1448">
        <f t="shared" si="3"/>
        <v>0.9287592042</v>
      </c>
      <c r="I130" s="1449" t="str">
        <f t="shared" si="4"/>
        <v>41.65 M</v>
      </c>
      <c r="J130" s="1423" t="str">
        <f t="shared" si="5"/>
        <v>13d  0h 54m</v>
      </c>
      <c r="K130" s="1429"/>
      <c r="L130" s="1429"/>
      <c r="M130" s="1429"/>
      <c r="N130" s="1438"/>
      <c r="O130" s="1438"/>
      <c r="P130" s="1438"/>
      <c r="Q130" s="1438"/>
      <c r="R130" s="1438"/>
      <c r="S130" s="1443"/>
      <c r="T130" s="1417" t="s">
        <v>455</v>
      </c>
      <c r="U130" s="1417" t="s">
        <v>455</v>
      </c>
      <c r="V130" s="1417" t="str">
        <f>IFERROR(__xludf.DUMMYFUNCTION("""COMPUTED_VALUE"""),"")</f>
        <v/>
      </c>
      <c r="W130" s="1416" t="s">
        <v>455</v>
      </c>
      <c r="X130" s="1417"/>
    </row>
    <row r="131">
      <c r="A131" s="1404"/>
      <c r="B131" s="1424"/>
      <c r="C131" s="1473"/>
      <c r="D131" s="1476"/>
      <c r="E131" s="1477"/>
      <c r="F131" s="1446" t="str">
        <f>IFERROR(__xludf.DUMMYFUNCTION("""COMPUTED_VALUE"""),"Double Death Ray")</f>
        <v>Double Death Ray</v>
      </c>
      <c r="G131" s="1453">
        <f>IFERROR(__xludf.DUMMYFUNCTION("""COMPUTED_VALUE"""),7.0)</f>
        <v>7</v>
      </c>
      <c r="H131" s="1448">
        <f t="shared" si="3"/>
        <v>0.1622735849</v>
      </c>
      <c r="I131" s="1449" t="str">
        <f t="shared" si="4"/>
        <v>137.45 M</v>
      </c>
      <c r="J131" s="1423" t="str">
        <f t="shared" si="5"/>
        <v>13d  4h 47m</v>
      </c>
      <c r="K131" s="1429"/>
      <c r="L131" s="1429"/>
      <c r="M131" s="1429"/>
      <c r="N131" s="1438"/>
      <c r="O131" s="1438"/>
      <c r="P131" s="1438"/>
      <c r="Q131" s="1438"/>
      <c r="R131" s="1438"/>
      <c r="S131" s="1443"/>
      <c r="T131" s="1417" t="s">
        <v>455</v>
      </c>
      <c r="U131" s="1417" t="s">
        <v>455</v>
      </c>
      <c r="V131" s="1417" t="str">
        <f>IFERROR(__xludf.DUMMYFUNCTION("""COMPUTED_VALUE"""),"")</f>
        <v/>
      </c>
      <c r="W131" s="1416" t="s">
        <v>455</v>
      </c>
      <c r="X131" s="1417"/>
    </row>
    <row r="132">
      <c r="A132" s="1404"/>
      <c r="B132" s="1424"/>
      <c r="C132" s="1473"/>
      <c r="D132" s="1476"/>
      <c r="E132" s="1477"/>
      <c r="F132" s="1446" t="str">
        <f>IFERROR(__xludf.DUMMYFUNCTION("""COMPUTED_VALUE"""),"Double Death Ray")</f>
        <v>Double Death Ray</v>
      </c>
      <c r="G132" s="1453">
        <f>IFERROR(__xludf.DUMMYFUNCTION("""COMPUTED_VALUE"""),8.0)</f>
        <v>8</v>
      </c>
      <c r="H132" s="1448">
        <f t="shared" si="3"/>
        <v>0.2038018534</v>
      </c>
      <c r="I132" s="1449" t="str">
        <f t="shared" si="4"/>
        <v>264.73 M</v>
      </c>
      <c r="J132" s="1423" t="str">
        <f t="shared" si="5"/>
        <v>13d  9h 41m</v>
      </c>
      <c r="K132" s="1429"/>
      <c r="L132" s="1429"/>
      <c r="M132" s="1429"/>
      <c r="N132" s="1438"/>
      <c r="O132" s="1438"/>
      <c r="P132" s="1438"/>
      <c r="Q132" s="1438"/>
      <c r="R132" s="1438"/>
      <c r="S132" s="1443"/>
      <c r="T132" s="1417" t="s">
        <v>455</v>
      </c>
      <c r="U132" s="1417" t="s">
        <v>455</v>
      </c>
      <c r="V132" s="1417" t="str">
        <f>IFERROR(__xludf.DUMMYFUNCTION("""COMPUTED_VALUE"""),"")</f>
        <v/>
      </c>
      <c r="W132" s="1416" t="s">
        <v>455</v>
      </c>
      <c r="X132" s="1417"/>
    </row>
    <row r="133">
      <c r="A133" s="1404"/>
      <c r="B133" s="1424"/>
      <c r="C133" s="1473"/>
      <c r="D133" s="1476"/>
      <c r="E133" s="1477"/>
      <c r="F133" s="1446" t="str">
        <f>IFERROR(__xludf.DUMMYFUNCTION("""COMPUTED_VALUE"""),"Double Death Ray")</f>
        <v>Double Death Ray</v>
      </c>
      <c r="G133" s="1453">
        <f>IFERROR(__xludf.DUMMYFUNCTION("""COMPUTED_VALUE"""),9.0)</f>
        <v>9</v>
      </c>
      <c r="H133" s="1448">
        <f t="shared" si="3"/>
        <v>0.2537152133</v>
      </c>
      <c r="I133" s="1449" t="str">
        <f t="shared" si="4"/>
        <v>474.17 M</v>
      </c>
      <c r="J133" s="1423" t="str">
        <f t="shared" si="5"/>
        <v>13d 15h 46m</v>
      </c>
      <c r="K133" s="1429"/>
      <c r="L133" s="1429"/>
      <c r="M133" s="1429"/>
      <c r="N133" s="1438"/>
      <c r="O133" s="1438"/>
      <c r="P133" s="1438"/>
      <c r="Q133" s="1438"/>
      <c r="R133" s="1438"/>
      <c r="S133" s="1443"/>
      <c r="T133" s="1417" t="s">
        <v>455</v>
      </c>
      <c r="U133" s="1417" t="s">
        <v>455</v>
      </c>
      <c r="V133" s="1417" t="str">
        <f>IFERROR(__xludf.DUMMYFUNCTION("""COMPUTED_VALUE"""),"")</f>
        <v/>
      </c>
      <c r="W133" s="1416" t="s">
        <v>455</v>
      </c>
      <c r="X133" s="1417"/>
    </row>
    <row r="134">
      <c r="A134" s="1404"/>
      <c r="B134" s="1424"/>
      <c r="C134" s="1473"/>
      <c r="D134" s="1476"/>
      <c r="E134" s="1477"/>
      <c r="F134" s="1446" t="str">
        <f>IFERROR(__xludf.DUMMYFUNCTION("""COMPUTED_VALUE"""),"Double Death Ray")</f>
        <v>Double Death Ray</v>
      </c>
      <c r="G134" s="1453">
        <f>IFERROR(__xludf.DUMMYFUNCTION("""COMPUTED_VALUE"""),10.0)</f>
        <v>10</v>
      </c>
      <c r="H134" s="1448">
        <f t="shared" si="3"/>
        <v>0.3138230792</v>
      </c>
      <c r="I134" s="1449" t="str">
        <f t="shared" si="4"/>
        <v>803.96 M</v>
      </c>
      <c r="J134" s="1423" t="str">
        <f t="shared" si="5"/>
        <v>13d 23h 18m</v>
      </c>
      <c r="K134" s="1429"/>
      <c r="L134" s="1429"/>
      <c r="M134" s="1429"/>
      <c r="N134" s="1438"/>
      <c r="O134" s="1438"/>
      <c r="P134" s="1438"/>
      <c r="Q134" s="1438"/>
      <c r="R134" s="1438"/>
      <c r="S134" s="1443"/>
      <c r="T134" s="1417" t="s">
        <v>455</v>
      </c>
      <c r="U134" s="1417" t="s">
        <v>455</v>
      </c>
      <c r="V134" s="1417" t="str">
        <f>IFERROR(__xludf.DUMMYFUNCTION("""COMPUTED_VALUE"""),"")</f>
        <v/>
      </c>
      <c r="W134" s="1416" t="s">
        <v>455</v>
      </c>
      <c r="X134" s="1417"/>
    </row>
    <row r="135">
      <c r="A135" s="1404"/>
      <c r="B135" s="1424"/>
      <c r="C135" s="1473"/>
      <c r="D135" s="1476"/>
      <c r="E135" s="1477"/>
      <c r="F135" s="1446" t="str">
        <f>IFERROR(__xludf.DUMMYFUNCTION("""COMPUTED_VALUE"""),"Boss Attack")</f>
        <v>Boss Attack</v>
      </c>
      <c r="G135" s="1453">
        <f>IFERROR(__xludf.DUMMYFUNCTION("""COMPUTED_VALUE"""),1.0)</f>
        <v>1</v>
      </c>
      <c r="H135" s="1448">
        <f t="shared" si="3"/>
        <v>0.1470921562</v>
      </c>
      <c r="I135" s="1449" t="str">
        <f t="shared" si="4"/>
        <v>63.69 B</v>
      </c>
      <c r="J135" s="1423" t="str">
        <f t="shared" si="5"/>
        <v>14d  2h 50m</v>
      </c>
      <c r="K135" s="1429"/>
      <c r="L135" s="1429"/>
      <c r="M135" s="1429"/>
      <c r="N135" s="1438"/>
      <c r="O135" s="1438"/>
      <c r="P135" s="1438"/>
      <c r="Q135" s="1438"/>
      <c r="R135" s="1438"/>
      <c r="S135" s="1443"/>
      <c r="T135" s="1417" t="s">
        <v>455</v>
      </c>
      <c r="U135" s="1417" t="s">
        <v>455</v>
      </c>
      <c r="V135" s="1417" t="str">
        <f>IFERROR(__xludf.DUMMYFUNCTION("""COMPUTED_VALUE"""),"")</f>
        <v/>
      </c>
      <c r="W135" s="1416" t="s">
        <v>455</v>
      </c>
      <c r="X135" s="1417"/>
    </row>
    <row r="136">
      <c r="A136" s="1404"/>
      <c r="B136" s="1424"/>
      <c r="C136" s="1473"/>
      <c r="D136" s="1476"/>
      <c r="E136" s="1477"/>
      <c r="F136" s="1446" t="str">
        <f>IFERROR(__xludf.DUMMYFUNCTION("""COMPUTED_VALUE"""),"Boss Attack")</f>
        <v>Boss Attack</v>
      </c>
      <c r="G136" s="1453">
        <f>IFERROR(__xludf.DUMMYFUNCTION("""COMPUTED_VALUE"""),2.0)</f>
        <v>2</v>
      </c>
      <c r="H136" s="1448">
        <f t="shared" si="3"/>
        <v>0.1692023183</v>
      </c>
      <c r="I136" s="1449" t="str">
        <f t="shared" si="4"/>
        <v>95.58 B</v>
      </c>
      <c r="J136" s="1423" t="str">
        <f t="shared" si="5"/>
        <v>14d  6h 53m</v>
      </c>
      <c r="K136" s="1429"/>
      <c r="L136" s="1429"/>
      <c r="M136" s="1429"/>
      <c r="N136" s="1438"/>
      <c r="O136" s="1438"/>
      <c r="P136" s="1438"/>
      <c r="Q136" s="1438"/>
      <c r="R136" s="1438"/>
      <c r="S136" s="1443"/>
      <c r="T136" s="1417" t="s">
        <v>455</v>
      </c>
      <c r="U136" s="1417" t="s">
        <v>455</v>
      </c>
      <c r="V136" s="1417" t="str">
        <f>IFERROR(__xludf.DUMMYFUNCTION("""COMPUTED_VALUE"""),"")</f>
        <v/>
      </c>
      <c r="W136" s="1416" t="s">
        <v>455</v>
      </c>
      <c r="X136" s="1417"/>
    </row>
    <row r="137">
      <c r="A137" s="1404"/>
      <c r="B137" s="1424"/>
      <c r="C137" s="1473"/>
      <c r="D137" s="1476"/>
      <c r="E137" s="1477"/>
      <c r="F137" s="1446" t="str">
        <f>IFERROR(__xludf.DUMMYFUNCTION("""COMPUTED_VALUE"""),"Boss Attack")</f>
        <v>Boss Attack</v>
      </c>
      <c r="G137" s="1453">
        <f>IFERROR(__xludf.DUMMYFUNCTION("""COMPUTED_VALUE"""),3.0)</f>
        <v>3</v>
      </c>
      <c r="H137" s="1448">
        <f t="shared" si="3"/>
        <v>0.1918420651</v>
      </c>
      <c r="I137" s="1449" t="str">
        <f t="shared" si="4"/>
        <v>127.62 B</v>
      </c>
      <c r="J137" s="1423" t="str">
        <f t="shared" si="5"/>
        <v>14d 11h 30m</v>
      </c>
      <c r="K137" s="1429"/>
      <c r="L137" s="1429"/>
      <c r="M137" s="1429"/>
      <c r="N137" s="1438"/>
      <c r="O137" s="1438"/>
      <c r="P137" s="1438"/>
      <c r="Q137" s="1438"/>
      <c r="R137" s="1438"/>
      <c r="S137" s="1443"/>
      <c r="T137" s="1417" t="s">
        <v>455</v>
      </c>
      <c r="U137" s="1417" t="s">
        <v>455</v>
      </c>
      <c r="V137" s="1417" t="str">
        <f>IFERROR(__xludf.DUMMYFUNCTION("""COMPUTED_VALUE"""),"")</f>
        <v/>
      </c>
      <c r="W137" s="1416" t="s">
        <v>455</v>
      </c>
      <c r="X137" s="1417"/>
    </row>
    <row r="138">
      <c r="A138" s="1404"/>
      <c r="B138" s="1424"/>
      <c r="C138" s="1473"/>
      <c r="D138" s="1476"/>
      <c r="E138" s="1477"/>
      <c r="F138" s="1446" t="str">
        <f>IFERROR(__xludf.DUMMYFUNCTION("""COMPUTED_VALUE"""),"Boss Attack")</f>
        <v>Boss Attack</v>
      </c>
      <c r="G138" s="1453">
        <f>IFERROR(__xludf.DUMMYFUNCTION("""COMPUTED_VALUE"""),4.0)</f>
        <v>4</v>
      </c>
      <c r="H138" s="1448">
        <f t="shared" si="3"/>
        <v>0.215982302</v>
      </c>
      <c r="I138" s="1449" t="str">
        <f t="shared" si="4"/>
        <v>159.97 B</v>
      </c>
      <c r="J138" s="1423" t="str">
        <f t="shared" si="5"/>
        <v>14d 16h 41m</v>
      </c>
      <c r="K138" s="1429"/>
      <c r="L138" s="1429"/>
      <c r="M138" s="1429"/>
      <c r="N138" s="1438"/>
      <c r="O138" s="1438"/>
      <c r="P138" s="1438"/>
      <c r="Q138" s="1438"/>
      <c r="R138" s="1438"/>
      <c r="S138" s="1443"/>
      <c r="T138" s="1417" t="s">
        <v>455</v>
      </c>
      <c r="U138" s="1417" t="s">
        <v>455</v>
      </c>
      <c r="V138" s="1417" t="str">
        <f>IFERROR(__xludf.DUMMYFUNCTION("""COMPUTED_VALUE"""),"")</f>
        <v/>
      </c>
      <c r="W138" s="1416" t="s">
        <v>455</v>
      </c>
      <c r="X138" s="1417"/>
    </row>
    <row r="139">
      <c r="A139" s="1404"/>
      <c r="B139" s="1424"/>
      <c r="C139" s="1473"/>
      <c r="D139" s="1476"/>
      <c r="E139" s="1477"/>
      <c r="F139" s="1446" t="str">
        <f>IFERROR(__xludf.DUMMYFUNCTION("""COMPUTED_VALUE"""),"Boss Attack")</f>
        <v>Boss Attack</v>
      </c>
      <c r="G139" s="1453">
        <f>IFERROR(__xludf.DUMMYFUNCTION("""COMPUTED_VALUE"""),5.0)</f>
        <v>5</v>
      </c>
      <c r="H139" s="1448">
        <f t="shared" si="3"/>
        <v>0.2429028586</v>
      </c>
      <c r="I139" s="1449" t="str">
        <f t="shared" si="4"/>
        <v>192.84 B</v>
      </c>
      <c r="J139" s="1423" t="str">
        <f t="shared" si="5"/>
        <v>14d 22h 31m</v>
      </c>
      <c r="K139" s="1429"/>
      <c r="L139" s="1429"/>
      <c r="M139" s="1429"/>
      <c r="N139" s="1438"/>
      <c r="O139" s="1438"/>
      <c r="P139" s="1438"/>
      <c r="Q139" s="1438"/>
      <c r="R139" s="1438"/>
      <c r="S139" s="1443"/>
      <c r="T139" s="1417" t="s">
        <v>455</v>
      </c>
      <c r="U139" s="1417" t="s">
        <v>455</v>
      </c>
      <c r="V139" s="1417" t="str">
        <f>IFERROR(__xludf.DUMMYFUNCTION("""COMPUTED_VALUE"""),"")</f>
        <v/>
      </c>
      <c r="W139" s="1416" t="s">
        <v>455</v>
      </c>
      <c r="X139" s="1417"/>
    </row>
    <row r="140">
      <c r="A140" s="1404"/>
      <c r="B140" s="1424"/>
      <c r="C140" s="1473"/>
      <c r="D140" s="1476"/>
      <c r="E140" s="1477"/>
      <c r="F140" s="1446" t="str">
        <f>IFERROR(__xludf.DUMMYFUNCTION("""COMPUTED_VALUE"""),"Boss Health")</f>
        <v>Boss Health</v>
      </c>
      <c r="G140" s="1453">
        <f>IFERROR(__xludf.DUMMYFUNCTION("""COMPUTED_VALUE"""),1.0)</f>
        <v>1</v>
      </c>
      <c r="H140" s="1448">
        <f t="shared" si="3"/>
        <v>0.1470921562</v>
      </c>
      <c r="I140" s="1449" t="str">
        <f t="shared" si="4"/>
        <v>63.69 B</v>
      </c>
      <c r="J140" s="1423" t="str">
        <f t="shared" si="5"/>
        <v>15d  2h  2m</v>
      </c>
      <c r="K140" s="1429"/>
      <c r="L140" s="1429"/>
      <c r="M140" s="1429"/>
      <c r="N140" s="1438"/>
      <c r="O140" s="1438"/>
      <c r="P140" s="1438"/>
      <c r="Q140" s="1438"/>
      <c r="R140" s="1438"/>
      <c r="S140" s="1443"/>
      <c r="T140" s="1417" t="s">
        <v>455</v>
      </c>
      <c r="U140" s="1417" t="s">
        <v>455</v>
      </c>
      <c r="V140" s="1417" t="str">
        <f>IFERROR(__xludf.DUMMYFUNCTION("""COMPUTED_VALUE"""),"")</f>
        <v/>
      </c>
      <c r="W140" s="1416" t="s">
        <v>455</v>
      </c>
      <c r="X140" s="1417"/>
    </row>
    <row r="141">
      <c r="A141" s="1404"/>
      <c r="B141" s="1424"/>
      <c r="C141" s="1473"/>
      <c r="D141" s="1476"/>
      <c r="E141" s="1477"/>
      <c r="F141" s="1446" t="str">
        <f>IFERROR(__xludf.DUMMYFUNCTION("""COMPUTED_VALUE"""),"Boss Health")</f>
        <v>Boss Health</v>
      </c>
      <c r="G141" s="1453">
        <f>IFERROR(__xludf.DUMMYFUNCTION("""COMPUTED_VALUE"""),2.0)</f>
        <v>2</v>
      </c>
      <c r="H141" s="1448">
        <f t="shared" si="3"/>
        <v>0.1692023183</v>
      </c>
      <c r="I141" s="1449" t="str">
        <f t="shared" si="4"/>
        <v>95.58 B</v>
      </c>
      <c r="J141" s="1423" t="str">
        <f t="shared" si="5"/>
        <v>15d  6h  6m</v>
      </c>
      <c r="K141" s="1429"/>
      <c r="L141" s="1429"/>
      <c r="M141" s="1429"/>
      <c r="N141" s="1438"/>
      <c r="O141" s="1438"/>
      <c r="P141" s="1438"/>
      <c r="Q141" s="1438"/>
      <c r="R141" s="1438"/>
      <c r="S141" s="1443"/>
      <c r="T141" s="1417" t="s">
        <v>455</v>
      </c>
      <c r="U141" s="1417" t="s">
        <v>455</v>
      </c>
      <c r="V141" s="1417" t="str">
        <f>IFERROR(__xludf.DUMMYFUNCTION("""COMPUTED_VALUE"""),"")</f>
        <v/>
      </c>
      <c r="W141" s="1416" t="s">
        <v>455</v>
      </c>
      <c r="X141" s="1417"/>
    </row>
    <row r="142">
      <c r="A142" s="1404"/>
      <c r="B142" s="1424"/>
      <c r="C142" s="1473"/>
      <c r="D142" s="1476"/>
      <c r="E142" s="1477"/>
      <c r="F142" s="1446" t="str">
        <f>IFERROR(__xludf.DUMMYFUNCTION("""COMPUTED_VALUE"""),"Boss Health")</f>
        <v>Boss Health</v>
      </c>
      <c r="G142" s="1453">
        <f>IFERROR(__xludf.DUMMYFUNCTION("""COMPUTED_VALUE"""),3.0)</f>
        <v>3</v>
      </c>
      <c r="H142" s="1448">
        <f t="shared" si="3"/>
        <v>0.1918420651</v>
      </c>
      <c r="I142" s="1449" t="str">
        <f t="shared" si="4"/>
        <v>127.62 B</v>
      </c>
      <c r="J142" s="1423" t="str">
        <f t="shared" si="5"/>
        <v>15d 10h 42m</v>
      </c>
      <c r="K142" s="1429"/>
      <c r="L142" s="1429"/>
      <c r="M142" s="1429"/>
      <c r="N142" s="1438"/>
      <c r="O142" s="1438"/>
      <c r="P142" s="1438"/>
      <c r="Q142" s="1438"/>
      <c r="R142" s="1438"/>
      <c r="S142" s="1443"/>
      <c r="T142" s="1417" t="s">
        <v>455</v>
      </c>
      <c r="U142" s="1417" t="s">
        <v>455</v>
      </c>
      <c r="V142" s="1417" t="str">
        <f>IFERROR(__xludf.DUMMYFUNCTION("""COMPUTED_VALUE"""),"")</f>
        <v/>
      </c>
      <c r="W142" s="1416" t="s">
        <v>455</v>
      </c>
      <c r="X142" s="1417"/>
    </row>
    <row r="143">
      <c r="A143" s="1404"/>
      <c r="B143" s="1424"/>
      <c r="C143" s="1473"/>
      <c r="D143" s="1476"/>
      <c r="E143" s="1477"/>
      <c r="F143" s="1446" t="str">
        <f>IFERROR(__xludf.DUMMYFUNCTION("""COMPUTED_VALUE"""),"Boss Health")</f>
        <v>Boss Health</v>
      </c>
      <c r="G143" s="1453">
        <f>IFERROR(__xludf.DUMMYFUNCTION("""COMPUTED_VALUE"""),4.0)</f>
        <v>4</v>
      </c>
      <c r="H143" s="1448">
        <f t="shared" si="3"/>
        <v>0.215982302</v>
      </c>
      <c r="I143" s="1449" t="str">
        <f t="shared" si="4"/>
        <v>159.97 B</v>
      </c>
      <c r="J143" s="1423" t="str">
        <f t="shared" si="5"/>
        <v>15d 15h 53m</v>
      </c>
      <c r="K143" s="1429"/>
      <c r="L143" s="1429"/>
      <c r="M143" s="1429"/>
      <c r="N143" s="1438"/>
      <c r="O143" s="1438"/>
      <c r="P143" s="1438"/>
      <c r="Q143" s="1438"/>
      <c r="R143" s="1438"/>
      <c r="S143" s="1443"/>
      <c r="T143" s="1417" t="s">
        <v>455</v>
      </c>
      <c r="U143" s="1417" t="s">
        <v>455</v>
      </c>
      <c r="V143" s="1417" t="str">
        <f>IFERROR(__xludf.DUMMYFUNCTION("""COMPUTED_VALUE"""),"")</f>
        <v/>
      </c>
      <c r="W143" s="1416" t="s">
        <v>455</v>
      </c>
      <c r="X143" s="1417"/>
    </row>
    <row r="144">
      <c r="A144" s="1404"/>
      <c r="B144" s="1424"/>
      <c r="C144" s="1473"/>
      <c r="D144" s="1476"/>
      <c r="E144" s="1477"/>
      <c r="F144" s="1446" t="str">
        <f>IFERROR(__xludf.DUMMYFUNCTION("""COMPUTED_VALUE"""),"Boss Health")</f>
        <v>Boss Health</v>
      </c>
      <c r="G144" s="1453">
        <f>IFERROR(__xludf.DUMMYFUNCTION("""COMPUTED_VALUE"""),5.0)</f>
        <v>5</v>
      </c>
      <c r="H144" s="1448">
        <f t="shared" si="3"/>
        <v>0.2429028586</v>
      </c>
      <c r="I144" s="1449" t="str">
        <f t="shared" si="4"/>
        <v>192.84 B</v>
      </c>
      <c r="J144" s="1423" t="str">
        <f t="shared" si="5"/>
        <v>15d 21h 43m</v>
      </c>
      <c r="K144" s="1429"/>
      <c r="L144" s="1429"/>
      <c r="M144" s="1429"/>
      <c r="N144" s="1438"/>
      <c r="O144" s="1438"/>
      <c r="P144" s="1438"/>
      <c r="Q144" s="1438"/>
      <c r="R144" s="1438"/>
      <c r="S144" s="1443"/>
      <c r="T144" s="1417" t="s">
        <v>455</v>
      </c>
      <c r="U144" s="1417" t="s">
        <v>455</v>
      </c>
      <c r="V144" s="1417" t="str">
        <f>IFERROR(__xludf.DUMMYFUNCTION("""COMPUTED_VALUE"""),"")</f>
        <v/>
      </c>
      <c r="W144" s="1416" t="s">
        <v>455</v>
      </c>
      <c r="X144" s="1417"/>
    </row>
    <row r="145">
      <c r="A145" s="1404"/>
      <c r="B145" s="1424"/>
      <c r="C145" s="1473"/>
      <c r="D145" s="1476"/>
      <c r="E145" s="1477"/>
      <c r="F145" s="1446" t="str">
        <f>IFERROR(__xludf.DUMMYFUNCTION("""COMPUTED_VALUE"""),"Common Enemy Attack")</f>
        <v>Common Enemy Attack</v>
      </c>
      <c r="G145" s="1453">
        <f>IFERROR(__xludf.DUMMYFUNCTION("""COMPUTED_VALUE"""),1.0)</f>
        <v>1</v>
      </c>
      <c r="H145" s="1448">
        <f t="shared" si="3"/>
        <v>0.1470921562</v>
      </c>
      <c r="I145" s="1449" t="str">
        <f t="shared" si="4"/>
        <v>31.84 B</v>
      </c>
      <c r="J145" s="1423" t="str">
        <f t="shared" si="5"/>
        <v>16d  1h 15m</v>
      </c>
      <c r="K145" s="1429"/>
      <c r="L145" s="1429"/>
      <c r="M145" s="1429"/>
      <c r="N145" s="1438"/>
      <c r="O145" s="1438"/>
      <c r="P145" s="1438"/>
      <c r="Q145" s="1438"/>
      <c r="R145" s="1438"/>
      <c r="S145" s="1443"/>
      <c r="T145" s="1417" t="s">
        <v>455</v>
      </c>
      <c r="U145" s="1417" t="s">
        <v>455</v>
      </c>
      <c r="V145" s="1417" t="str">
        <f>IFERROR(__xludf.DUMMYFUNCTION("""COMPUTED_VALUE"""),"")</f>
        <v/>
      </c>
      <c r="W145" s="1416" t="s">
        <v>455</v>
      </c>
      <c r="X145" s="1417"/>
    </row>
    <row r="146">
      <c r="A146" s="1404"/>
      <c r="B146" s="1424"/>
      <c r="C146" s="1473"/>
      <c r="D146" s="1476"/>
      <c r="E146" s="1477"/>
      <c r="F146" s="1446" t="str">
        <f>IFERROR(__xludf.DUMMYFUNCTION("""COMPUTED_VALUE"""),"Common Enemy Attack")</f>
        <v>Common Enemy Attack</v>
      </c>
      <c r="G146" s="1453">
        <f>IFERROR(__xludf.DUMMYFUNCTION("""COMPUTED_VALUE"""),2.0)</f>
        <v>2</v>
      </c>
      <c r="H146" s="1448">
        <f t="shared" si="3"/>
        <v>0.1692023183</v>
      </c>
      <c r="I146" s="1449" t="str">
        <f t="shared" si="4"/>
        <v>47.82 B</v>
      </c>
      <c r="J146" s="1423" t="str">
        <f t="shared" si="5"/>
        <v>16d  5h 18m</v>
      </c>
      <c r="K146" s="1429"/>
      <c r="L146" s="1429"/>
      <c r="M146" s="1429"/>
      <c r="N146" s="1438"/>
      <c r="O146" s="1438"/>
      <c r="P146" s="1438"/>
      <c r="Q146" s="1438"/>
      <c r="R146" s="1438"/>
      <c r="S146" s="1443"/>
      <c r="T146" s="1417" t="s">
        <v>455</v>
      </c>
      <c r="U146" s="1417" t="s">
        <v>455</v>
      </c>
      <c r="V146" s="1417" t="str">
        <f>IFERROR(__xludf.DUMMYFUNCTION("""COMPUTED_VALUE"""),"")</f>
        <v/>
      </c>
      <c r="W146" s="1416" t="s">
        <v>455</v>
      </c>
      <c r="X146" s="1417"/>
    </row>
    <row r="147">
      <c r="A147" s="1404"/>
      <c r="B147" s="1424"/>
      <c r="C147" s="1473"/>
      <c r="D147" s="1476"/>
      <c r="E147" s="1477"/>
      <c r="F147" s="1446" t="str">
        <f>IFERROR(__xludf.DUMMYFUNCTION("""COMPUTED_VALUE"""),"Common Enemy Attack")</f>
        <v>Common Enemy Attack</v>
      </c>
      <c r="G147" s="1453">
        <f>IFERROR(__xludf.DUMMYFUNCTION("""COMPUTED_VALUE"""),3.0)</f>
        <v>3</v>
      </c>
      <c r="H147" s="1448">
        <f t="shared" si="3"/>
        <v>0.1918420651</v>
      </c>
      <c r="I147" s="1449" t="str">
        <f t="shared" si="4"/>
        <v>63.94 B</v>
      </c>
      <c r="J147" s="1423" t="str">
        <f t="shared" si="5"/>
        <v>16d  9h 55m</v>
      </c>
      <c r="K147" s="1429"/>
      <c r="L147" s="1429"/>
      <c r="M147" s="1429"/>
      <c r="N147" s="1438"/>
      <c r="O147" s="1438"/>
      <c r="P147" s="1438"/>
      <c r="Q147" s="1438"/>
      <c r="R147" s="1438"/>
      <c r="S147" s="1443"/>
      <c r="T147" s="1417" t="s">
        <v>455</v>
      </c>
      <c r="U147" s="1417" t="s">
        <v>455</v>
      </c>
      <c r="V147" s="1417" t="str">
        <f>IFERROR(__xludf.DUMMYFUNCTION("""COMPUTED_VALUE"""),"")</f>
        <v/>
      </c>
      <c r="W147" s="1416" t="s">
        <v>455</v>
      </c>
      <c r="X147" s="1417"/>
    </row>
    <row r="148">
      <c r="A148" s="1404"/>
      <c r="B148" s="1424"/>
      <c r="C148" s="1473"/>
      <c r="D148" s="1476"/>
      <c r="E148" s="1477"/>
      <c r="F148" s="1446" t="str">
        <f>IFERROR(__xludf.DUMMYFUNCTION("""COMPUTED_VALUE"""),"Common Enemy Attack")</f>
        <v>Common Enemy Attack</v>
      </c>
      <c r="G148" s="1453">
        <f>IFERROR(__xludf.DUMMYFUNCTION("""COMPUTED_VALUE"""),4.0)</f>
        <v>4</v>
      </c>
      <c r="H148" s="1448">
        <f t="shared" si="3"/>
        <v>0.215982302</v>
      </c>
      <c r="I148" s="1449" t="str">
        <f t="shared" si="4"/>
        <v>80.37 B</v>
      </c>
      <c r="J148" s="1423" t="str">
        <f t="shared" si="5"/>
        <v>16d 15h  6m</v>
      </c>
      <c r="K148" s="1429"/>
      <c r="L148" s="1429"/>
      <c r="M148" s="1429"/>
      <c r="N148" s="1438"/>
      <c r="O148" s="1438"/>
      <c r="P148" s="1438"/>
      <c r="Q148" s="1438"/>
      <c r="R148" s="1438"/>
      <c r="S148" s="1443"/>
      <c r="T148" s="1417" t="s">
        <v>455</v>
      </c>
      <c r="U148" s="1417" t="s">
        <v>455</v>
      </c>
      <c r="V148" s="1417" t="str">
        <f>IFERROR(__xludf.DUMMYFUNCTION("""COMPUTED_VALUE"""),"")</f>
        <v/>
      </c>
      <c r="W148" s="1416" t="s">
        <v>455</v>
      </c>
      <c r="X148" s="1417"/>
    </row>
    <row r="149">
      <c r="A149" s="1404"/>
      <c r="B149" s="1424"/>
      <c r="C149" s="1473"/>
      <c r="D149" s="1476"/>
      <c r="E149" s="1477"/>
      <c r="F149" s="1446" t="str">
        <f>IFERROR(__xludf.DUMMYFUNCTION("""COMPUTED_VALUE"""),"Common Enemy Attack")</f>
        <v>Common Enemy Attack</v>
      </c>
      <c r="G149" s="1453">
        <f>IFERROR(__xludf.DUMMYFUNCTION("""COMPUTED_VALUE"""),5.0)</f>
        <v>5</v>
      </c>
      <c r="H149" s="1448">
        <f t="shared" si="3"/>
        <v>0.2429028586</v>
      </c>
      <c r="I149" s="1449" t="str">
        <f t="shared" si="4"/>
        <v>97.32 B</v>
      </c>
      <c r="J149" s="1423" t="str">
        <f t="shared" si="5"/>
        <v>16d 20h 56m</v>
      </c>
      <c r="K149" s="1429"/>
      <c r="L149" s="1429"/>
      <c r="M149" s="1429"/>
      <c r="N149" s="1438"/>
      <c r="O149" s="1438"/>
      <c r="P149" s="1438"/>
      <c r="Q149" s="1438"/>
      <c r="R149" s="1438"/>
      <c r="S149" s="1443"/>
      <c r="T149" s="1417" t="s">
        <v>455</v>
      </c>
      <c r="U149" s="1417" t="s">
        <v>455</v>
      </c>
      <c r="V149" s="1417" t="str">
        <f>IFERROR(__xludf.DUMMYFUNCTION("""COMPUTED_VALUE"""),"")</f>
        <v/>
      </c>
      <c r="W149" s="1416" t="s">
        <v>455</v>
      </c>
      <c r="X149" s="1417"/>
    </row>
    <row r="150">
      <c r="A150" s="1404"/>
      <c r="B150" s="1424"/>
      <c r="C150" s="1473"/>
      <c r="D150" s="1476"/>
      <c r="E150" s="1477"/>
      <c r="F150" s="1446" t="str">
        <f>IFERROR(__xludf.DUMMYFUNCTION("""COMPUTED_VALUE"""),"Common Enemy Health")</f>
        <v>Common Enemy Health</v>
      </c>
      <c r="G150" s="1453">
        <f>IFERROR(__xludf.DUMMYFUNCTION("""COMPUTED_VALUE"""),1.0)</f>
        <v>1</v>
      </c>
      <c r="H150" s="1448">
        <f t="shared" si="3"/>
        <v>0.1470921562</v>
      </c>
      <c r="I150" s="1449" t="str">
        <f t="shared" si="4"/>
        <v>31.84 B</v>
      </c>
      <c r="J150" s="1423" t="str">
        <f t="shared" si="5"/>
        <v>17d  0h 27m</v>
      </c>
      <c r="K150" s="1429"/>
      <c r="L150" s="1429"/>
      <c r="M150" s="1429"/>
      <c r="N150" s="1438"/>
      <c r="O150" s="1438"/>
      <c r="P150" s="1438"/>
      <c r="Q150" s="1438"/>
      <c r="R150" s="1438"/>
      <c r="S150" s="1443"/>
      <c r="T150" s="1417" t="s">
        <v>455</v>
      </c>
      <c r="U150" s="1417" t="s">
        <v>455</v>
      </c>
      <c r="V150" s="1417" t="str">
        <f>IFERROR(__xludf.DUMMYFUNCTION("""COMPUTED_VALUE"""),"")</f>
        <v/>
      </c>
      <c r="W150" s="1416" t="s">
        <v>455</v>
      </c>
      <c r="X150" s="1417"/>
    </row>
    <row r="151">
      <c r="A151" s="1404"/>
      <c r="B151" s="1424"/>
      <c r="C151" s="1473"/>
      <c r="D151" s="1476"/>
      <c r="E151" s="1477"/>
      <c r="F151" s="1446" t="str">
        <f>IFERROR(__xludf.DUMMYFUNCTION("""COMPUTED_VALUE"""),"Common Enemy Health")</f>
        <v>Common Enemy Health</v>
      </c>
      <c r="G151" s="1453">
        <f>IFERROR(__xludf.DUMMYFUNCTION("""COMPUTED_VALUE"""),2.0)</f>
        <v>2</v>
      </c>
      <c r="H151" s="1448">
        <f t="shared" si="3"/>
        <v>0.1692023183</v>
      </c>
      <c r="I151" s="1449" t="str">
        <f t="shared" si="4"/>
        <v>47.82 B</v>
      </c>
      <c r="J151" s="1423" t="str">
        <f t="shared" si="5"/>
        <v>17d  4h 31m</v>
      </c>
      <c r="K151" s="1429"/>
      <c r="L151" s="1429"/>
      <c r="M151" s="1429"/>
      <c r="N151" s="1438"/>
      <c r="O151" s="1438"/>
      <c r="P151" s="1438"/>
      <c r="Q151" s="1438"/>
      <c r="R151" s="1438"/>
      <c r="S151" s="1443"/>
      <c r="T151" s="1417" t="s">
        <v>455</v>
      </c>
      <c r="U151" s="1417" t="s">
        <v>455</v>
      </c>
      <c r="V151" s="1417" t="str">
        <f>IFERROR(__xludf.DUMMYFUNCTION("""COMPUTED_VALUE"""),"")</f>
        <v/>
      </c>
      <c r="W151" s="1416" t="s">
        <v>455</v>
      </c>
      <c r="X151" s="1417"/>
    </row>
    <row r="152">
      <c r="A152" s="1404"/>
      <c r="B152" s="1424"/>
      <c r="C152" s="1473"/>
      <c r="D152" s="1476"/>
      <c r="E152" s="1477"/>
      <c r="F152" s="1446" t="str">
        <f>IFERROR(__xludf.DUMMYFUNCTION("""COMPUTED_VALUE"""),"Common Enemy Health")</f>
        <v>Common Enemy Health</v>
      </c>
      <c r="G152" s="1453">
        <f>IFERROR(__xludf.DUMMYFUNCTION("""COMPUTED_VALUE"""),3.0)</f>
        <v>3</v>
      </c>
      <c r="H152" s="1448">
        <f t="shared" si="3"/>
        <v>0.1918420651</v>
      </c>
      <c r="I152" s="1449" t="str">
        <f t="shared" si="4"/>
        <v>63.94 B</v>
      </c>
      <c r="J152" s="1423" t="str">
        <f t="shared" si="5"/>
        <v>17d  9h  7m</v>
      </c>
      <c r="K152" s="1429"/>
      <c r="L152" s="1429"/>
      <c r="M152" s="1429"/>
      <c r="N152" s="1438"/>
      <c r="O152" s="1438"/>
      <c r="P152" s="1438"/>
      <c r="Q152" s="1438"/>
      <c r="R152" s="1438"/>
      <c r="S152" s="1443"/>
      <c r="T152" s="1417" t="s">
        <v>455</v>
      </c>
      <c r="U152" s="1417" t="s">
        <v>455</v>
      </c>
      <c r="V152" s="1417" t="str">
        <f>IFERROR(__xludf.DUMMYFUNCTION("""COMPUTED_VALUE"""),"")</f>
        <v/>
      </c>
      <c r="W152" s="1416" t="s">
        <v>455</v>
      </c>
      <c r="X152" s="1417"/>
    </row>
    <row r="153">
      <c r="A153" s="1404"/>
      <c r="B153" s="1424"/>
      <c r="C153" s="1473"/>
      <c r="D153" s="1476"/>
      <c r="E153" s="1477"/>
      <c r="F153" s="1446" t="str">
        <f>IFERROR(__xludf.DUMMYFUNCTION("""COMPUTED_VALUE"""),"Common Enemy Health")</f>
        <v>Common Enemy Health</v>
      </c>
      <c r="G153" s="1453">
        <f>IFERROR(__xludf.DUMMYFUNCTION("""COMPUTED_VALUE"""),4.0)</f>
        <v>4</v>
      </c>
      <c r="H153" s="1448">
        <f t="shared" si="3"/>
        <v>0.215982302</v>
      </c>
      <c r="I153" s="1449" t="str">
        <f t="shared" si="4"/>
        <v>80.37 B</v>
      </c>
      <c r="J153" s="1423" t="str">
        <f t="shared" si="5"/>
        <v>17d 14h 18m</v>
      </c>
      <c r="K153" s="1429"/>
      <c r="L153" s="1429"/>
      <c r="M153" s="1429"/>
      <c r="N153" s="1438"/>
      <c r="O153" s="1438"/>
      <c r="P153" s="1438"/>
      <c r="Q153" s="1438"/>
      <c r="R153" s="1438"/>
      <c r="S153" s="1443"/>
      <c r="T153" s="1417" t="s">
        <v>455</v>
      </c>
      <c r="U153" s="1417" t="s">
        <v>455</v>
      </c>
      <c r="V153" s="1417" t="str">
        <f>IFERROR(__xludf.DUMMYFUNCTION("""COMPUTED_VALUE"""),"")</f>
        <v/>
      </c>
      <c r="W153" s="1416" t="s">
        <v>455</v>
      </c>
      <c r="X153" s="1417"/>
    </row>
    <row r="154">
      <c r="A154" s="1404"/>
      <c r="B154" s="1424"/>
      <c r="C154" s="1473"/>
      <c r="D154" s="1476"/>
      <c r="E154" s="1477"/>
      <c r="F154" s="1446" t="str">
        <f>IFERROR(__xludf.DUMMYFUNCTION("""COMPUTED_VALUE"""),"Common Enemy Health")</f>
        <v>Common Enemy Health</v>
      </c>
      <c r="G154" s="1453">
        <f>IFERROR(__xludf.DUMMYFUNCTION("""COMPUTED_VALUE"""),5.0)</f>
        <v>5</v>
      </c>
      <c r="H154" s="1448">
        <f t="shared" si="3"/>
        <v>0.2429028586</v>
      </c>
      <c r="I154" s="1449" t="str">
        <f t="shared" si="4"/>
        <v>97.32 B</v>
      </c>
      <c r="J154" s="1423" t="str">
        <f t="shared" si="5"/>
        <v>17d 20h  8m</v>
      </c>
      <c r="K154" s="1429"/>
      <c r="L154" s="1429"/>
      <c r="M154" s="1429"/>
      <c r="N154" s="1438"/>
      <c r="O154" s="1438"/>
      <c r="P154" s="1438"/>
      <c r="Q154" s="1438"/>
      <c r="R154" s="1438"/>
      <c r="S154" s="1443"/>
      <c r="T154" s="1417" t="s">
        <v>455</v>
      </c>
      <c r="U154" s="1417" t="s">
        <v>455</v>
      </c>
      <c r="V154" s="1417" t="str">
        <f>IFERROR(__xludf.DUMMYFUNCTION("""COMPUTED_VALUE"""),"")</f>
        <v/>
      </c>
      <c r="W154" s="1416" t="s">
        <v>455</v>
      </c>
      <c r="X154" s="1417"/>
    </row>
    <row r="155">
      <c r="A155" s="1404"/>
      <c r="B155" s="1424"/>
      <c r="C155" s="1473"/>
      <c r="D155" s="1476"/>
      <c r="E155" s="1477"/>
      <c r="F155" s="1446" t="str">
        <f>IFERROR(__xludf.DUMMYFUNCTION("""COMPUTED_VALUE"""),"Fast Enemy Attack")</f>
        <v>Fast Enemy Attack</v>
      </c>
      <c r="G155" s="1453">
        <f>IFERROR(__xludf.DUMMYFUNCTION("""COMPUTED_VALUE"""),1.0)</f>
        <v>1</v>
      </c>
      <c r="H155" s="1448">
        <f t="shared" si="3"/>
        <v>0.1470921562</v>
      </c>
      <c r="I155" s="1449" t="str">
        <f t="shared" si="4"/>
        <v>47.77 B</v>
      </c>
      <c r="J155" s="1423" t="str">
        <f t="shared" si="5"/>
        <v>17d 23h 40m</v>
      </c>
      <c r="K155" s="1429"/>
      <c r="L155" s="1429"/>
      <c r="M155" s="1429"/>
      <c r="N155" s="1438"/>
      <c r="O155" s="1438"/>
      <c r="P155" s="1438"/>
      <c r="Q155" s="1438"/>
      <c r="R155" s="1438"/>
      <c r="S155" s="1443"/>
      <c r="T155" s="1417" t="s">
        <v>455</v>
      </c>
      <c r="U155" s="1417" t="s">
        <v>455</v>
      </c>
      <c r="V155" s="1417" t="str">
        <f>IFERROR(__xludf.DUMMYFUNCTION("""COMPUTED_VALUE"""),"")</f>
        <v/>
      </c>
      <c r="W155" s="1416" t="s">
        <v>455</v>
      </c>
      <c r="X155" s="1417"/>
    </row>
    <row r="156">
      <c r="A156" s="1404"/>
      <c r="B156" s="1424"/>
      <c r="C156" s="1473"/>
      <c r="D156" s="1476"/>
      <c r="E156" s="1477"/>
      <c r="F156" s="1446" t="str">
        <f>IFERROR(__xludf.DUMMYFUNCTION("""COMPUTED_VALUE"""),"Fast Enemy Attack")</f>
        <v>Fast Enemy Attack</v>
      </c>
      <c r="G156" s="1453">
        <f>IFERROR(__xludf.DUMMYFUNCTION("""COMPUTED_VALUE"""),2.0)</f>
        <v>2</v>
      </c>
      <c r="H156" s="1448">
        <f t="shared" si="3"/>
        <v>0.1692023183</v>
      </c>
      <c r="I156" s="1449" t="str">
        <f t="shared" si="4"/>
        <v>71.7 B</v>
      </c>
      <c r="J156" s="1423" t="str">
        <f t="shared" si="5"/>
        <v>18d  3h 44m</v>
      </c>
      <c r="K156" s="1429"/>
      <c r="L156" s="1429"/>
      <c r="M156" s="1429"/>
      <c r="N156" s="1438"/>
      <c r="O156" s="1438"/>
      <c r="P156" s="1438"/>
      <c r="Q156" s="1438"/>
      <c r="R156" s="1438"/>
      <c r="S156" s="1443"/>
      <c r="T156" s="1417" t="s">
        <v>455</v>
      </c>
      <c r="U156" s="1417" t="s">
        <v>455</v>
      </c>
      <c r="V156" s="1417" t="str">
        <f>IFERROR(__xludf.DUMMYFUNCTION("""COMPUTED_VALUE"""),"")</f>
        <v/>
      </c>
      <c r="W156" s="1416" t="s">
        <v>455</v>
      </c>
      <c r="X156" s="1417"/>
    </row>
    <row r="157">
      <c r="A157" s="1404"/>
      <c r="B157" s="1424"/>
      <c r="C157" s="1473"/>
      <c r="D157" s="1476"/>
      <c r="E157" s="1477"/>
      <c r="F157" s="1446" t="str">
        <f>IFERROR(__xludf.DUMMYFUNCTION("""COMPUTED_VALUE"""),"Fast Enemy Attack")</f>
        <v>Fast Enemy Attack</v>
      </c>
      <c r="G157" s="1453">
        <f>IFERROR(__xludf.DUMMYFUNCTION("""COMPUTED_VALUE"""),3.0)</f>
        <v>3</v>
      </c>
      <c r="H157" s="1448">
        <f t="shared" si="3"/>
        <v>0.1918420651</v>
      </c>
      <c r="I157" s="1449" t="str">
        <f t="shared" si="4"/>
        <v>95.78 B</v>
      </c>
      <c r="J157" s="1423" t="str">
        <f t="shared" si="5"/>
        <v>18d  8h 20m</v>
      </c>
      <c r="K157" s="1429"/>
      <c r="L157" s="1429"/>
      <c r="M157" s="1429"/>
      <c r="N157" s="1438"/>
      <c r="O157" s="1438"/>
      <c r="P157" s="1438"/>
      <c r="Q157" s="1438"/>
      <c r="R157" s="1438"/>
      <c r="S157" s="1443"/>
      <c r="T157" s="1417" t="s">
        <v>455</v>
      </c>
      <c r="U157" s="1417" t="s">
        <v>455</v>
      </c>
      <c r="V157" s="1417" t="str">
        <f>IFERROR(__xludf.DUMMYFUNCTION("""COMPUTED_VALUE"""),"")</f>
        <v/>
      </c>
      <c r="W157" s="1416" t="s">
        <v>455</v>
      </c>
      <c r="X157" s="1417"/>
    </row>
    <row r="158">
      <c r="A158" s="1404"/>
      <c r="B158" s="1424"/>
      <c r="C158" s="1473"/>
      <c r="D158" s="1476"/>
      <c r="E158" s="1477"/>
      <c r="F158" s="1446" t="str">
        <f>IFERROR(__xludf.DUMMYFUNCTION("""COMPUTED_VALUE"""),"Fast Enemy Attack")</f>
        <v>Fast Enemy Attack</v>
      </c>
      <c r="G158" s="1453">
        <f>IFERROR(__xludf.DUMMYFUNCTION("""COMPUTED_VALUE"""),4.0)</f>
        <v>4</v>
      </c>
      <c r="H158" s="1448">
        <f t="shared" si="3"/>
        <v>0.215982302</v>
      </c>
      <c r="I158" s="1449" t="str">
        <f t="shared" si="4"/>
        <v>120.17 B</v>
      </c>
      <c r="J158" s="1423" t="str">
        <f t="shared" si="5"/>
        <v>18d 13h 31m</v>
      </c>
      <c r="K158" s="1429"/>
      <c r="L158" s="1429"/>
      <c r="M158" s="1429"/>
      <c r="N158" s="1438"/>
      <c r="O158" s="1438"/>
      <c r="P158" s="1438"/>
      <c r="Q158" s="1438"/>
      <c r="R158" s="1438"/>
      <c r="S158" s="1443"/>
      <c r="T158" s="1417" t="s">
        <v>455</v>
      </c>
      <c r="U158" s="1417" t="s">
        <v>455</v>
      </c>
      <c r="V158" s="1417" t="str">
        <f>IFERROR(__xludf.DUMMYFUNCTION("""COMPUTED_VALUE"""),"")</f>
        <v/>
      </c>
      <c r="W158" s="1416" t="s">
        <v>455</v>
      </c>
      <c r="X158" s="1417"/>
    </row>
    <row r="159">
      <c r="A159" s="1404"/>
      <c r="B159" s="1424"/>
      <c r="C159" s="1473"/>
      <c r="D159" s="1476"/>
      <c r="E159" s="1477"/>
      <c r="F159" s="1446" t="str">
        <f>IFERROR(__xludf.DUMMYFUNCTION("""COMPUTED_VALUE"""),"Fast Enemy Attack")</f>
        <v>Fast Enemy Attack</v>
      </c>
      <c r="G159" s="1453">
        <f>IFERROR(__xludf.DUMMYFUNCTION("""COMPUTED_VALUE"""),5.0)</f>
        <v>5</v>
      </c>
      <c r="H159" s="1448">
        <f t="shared" si="3"/>
        <v>0.2429028586</v>
      </c>
      <c r="I159" s="1449" t="str">
        <f t="shared" si="4"/>
        <v>145.08 B</v>
      </c>
      <c r="J159" s="1423" t="str">
        <f t="shared" si="5"/>
        <v>18d 19h 21m</v>
      </c>
      <c r="K159" s="1429"/>
      <c r="L159" s="1429"/>
      <c r="M159" s="1429"/>
      <c r="N159" s="1438"/>
      <c r="O159" s="1438"/>
      <c r="P159" s="1438"/>
      <c r="Q159" s="1438"/>
      <c r="R159" s="1438"/>
      <c r="S159" s="1443"/>
      <c r="T159" s="1417" t="s">
        <v>455</v>
      </c>
      <c r="U159" s="1417" t="s">
        <v>455</v>
      </c>
      <c r="V159" s="1417" t="str">
        <f>IFERROR(__xludf.DUMMYFUNCTION("""COMPUTED_VALUE"""),"")</f>
        <v/>
      </c>
      <c r="W159" s="1416" t="s">
        <v>455</v>
      </c>
      <c r="X159" s="1417"/>
    </row>
    <row r="160">
      <c r="A160" s="1404"/>
      <c r="B160" s="1424"/>
      <c r="C160" s="1473"/>
      <c r="D160" s="1476"/>
      <c r="E160" s="1477"/>
      <c r="F160" s="1446" t="str">
        <f>IFERROR(__xludf.DUMMYFUNCTION("""COMPUTED_VALUE"""),"Fast Enemy Health")</f>
        <v>Fast Enemy Health</v>
      </c>
      <c r="G160" s="1453">
        <f>IFERROR(__xludf.DUMMYFUNCTION("""COMPUTED_VALUE"""),1.0)</f>
        <v>1</v>
      </c>
      <c r="H160" s="1448">
        <f t="shared" si="3"/>
        <v>0.1470921562</v>
      </c>
      <c r="I160" s="1449" t="str">
        <f t="shared" si="4"/>
        <v>47.77 B</v>
      </c>
      <c r="J160" s="1423" t="str">
        <f t="shared" si="5"/>
        <v>18d 22h 52m</v>
      </c>
      <c r="K160" s="1429"/>
      <c r="L160" s="1429"/>
      <c r="M160" s="1429"/>
      <c r="N160" s="1438"/>
      <c r="O160" s="1438"/>
      <c r="P160" s="1438"/>
      <c r="Q160" s="1438"/>
      <c r="R160" s="1438"/>
      <c r="S160" s="1443"/>
      <c r="T160" s="1417" t="s">
        <v>455</v>
      </c>
      <c r="U160" s="1417" t="s">
        <v>455</v>
      </c>
      <c r="V160" s="1417" t="str">
        <f>IFERROR(__xludf.DUMMYFUNCTION("""COMPUTED_VALUE"""),"")</f>
        <v/>
      </c>
      <c r="W160" s="1416" t="s">
        <v>455</v>
      </c>
      <c r="X160" s="1417"/>
    </row>
    <row r="161">
      <c r="A161" s="1404"/>
      <c r="B161" s="1424"/>
      <c r="C161" s="1473"/>
      <c r="D161" s="1476"/>
      <c r="E161" s="1477"/>
      <c r="F161" s="1446" t="str">
        <f>IFERROR(__xludf.DUMMYFUNCTION("""COMPUTED_VALUE"""),"Fast Enemy Health")</f>
        <v>Fast Enemy Health</v>
      </c>
      <c r="G161" s="1453">
        <f>IFERROR(__xludf.DUMMYFUNCTION("""COMPUTED_VALUE"""),2.0)</f>
        <v>2</v>
      </c>
      <c r="H161" s="1448">
        <f t="shared" si="3"/>
        <v>0.1692023183</v>
      </c>
      <c r="I161" s="1449" t="str">
        <f t="shared" si="4"/>
        <v>71.7 B</v>
      </c>
      <c r="J161" s="1423" t="str">
        <f t="shared" si="5"/>
        <v>19d  2h 56m</v>
      </c>
      <c r="K161" s="1429"/>
      <c r="L161" s="1429"/>
      <c r="M161" s="1429"/>
      <c r="N161" s="1438"/>
      <c r="O161" s="1438"/>
      <c r="P161" s="1438"/>
      <c r="Q161" s="1438"/>
      <c r="R161" s="1438"/>
      <c r="S161" s="1443"/>
      <c r="T161" s="1417" t="s">
        <v>455</v>
      </c>
      <c r="U161" s="1417" t="s">
        <v>455</v>
      </c>
      <c r="V161" s="1417" t="str">
        <f>IFERROR(__xludf.DUMMYFUNCTION("""COMPUTED_VALUE"""),"")</f>
        <v/>
      </c>
      <c r="W161" s="1416" t="s">
        <v>455</v>
      </c>
      <c r="X161" s="1417"/>
    </row>
    <row r="162">
      <c r="A162" s="1404"/>
      <c r="B162" s="1424"/>
      <c r="C162" s="1473"/>
      <c r="D162" s="1476"/>
      <c r="E162" s="1477"/>
      <c r="F162" s="1446" t="str">
        <f>IFERROR(__xludf.DUMMYFUNCTION("""COMPUTED_VALUE"""),"Fast Enemy Health")</f>
        <v>Fast Enemy Health</v>
      </c>
      <c r="G162" s="1453">
        <f>IFERROR(__xludf.DUMMYFUNCTION("""COMPUTED_VALUE"""),3.0)</f>
        <v>3</v>
      </c>
      <c r="H162" s="1448">
        <f t="shared" si="3"/>
        <v>0.1918420651</v>
      </c>
      <c r="I162" s="1449" t="str">
        <f t="shared" si="4"/>
        <v>95.78 B</v>
      </c>
      <c r="J162" s="1423" t="str">
        <f t="shared" si="5"/>
        <v>19d  7h 32m</v>
      </c>
      <c r="K162" s="1429"/>
      <c r="L162" s="1429"/>
      <c r="M162" s="1429"/>
      <c r="N162" s="1438"/>
      <c r="O162" s="1438"/>
      <c r="P162" s="1438"/>
      <c r="Q162" s="1438"/>
      <c r="R162" s="1438"/>
      <c r="S162" s="1443"/>
      <c r="T162" s="1417" t="s">
        <v>455</v>
      </c>
      <c r="U162" s="1417" t="s">
        <v>455</v>
      </c>
      <c r="V162" s="1417" t="str">
        <f>IFERROR(__xludf.DUMMYFUNCTION("""COMPUTED_VALUE"""),"")</f>
        <v/>
      </c>
      <c r="W162" s="1416" t="s">
        <v>455</v>
      </c>
      <c r="X162" s="1417"/>
    </row>
    <row r="163">
      <c r="A163" s="1404"/>
      <c r="B163" s="1424"/>
      <c r="C163" s="1473"/>
      <c r="D163" s="1476"/>
      <c r="E163" s="1477"/>
      <c r="F163" s="1446" t="str">
        <f>IFERROR(__xludf.DUMMYFUNCTION("""COMPUTED_VALUE"""),"Fast Enemy Health")</f>
        <v>Fast Enemy Health</v>
      </c>
      <c r="G163" s="1453">
        <f>IFERROR(__xludf.DUMMYFUNCTION("""COMPUTED_VALUE"""),4.0)</f>
        <v>4</v>
      </c>
      <c r="H163" s="1448">
        <f t="shared" si="3"/>
        <v>0.215982302</v>
      </c>
      <c r="I163" s="1449" t="str">
        <f t="shared" si="4"/>
        <v>120.17 B</v>
      </c>
      <c r="J163" s="1423" t="str">
        <f t="shared" si="5"/>
        <v>19d 12h 43m</v>
      </c>
      <c r="K163" s="1429"/>
      <c r="L163" s="1429"/>
      <c r="M163" s="1429"/>
      <c r="N163" s="1438"/>
      <c r="O163" s="1438"/>
      <c r="P163" s="1438"/>
      <c r="Q163" s="1438"/>
      <c r="R163" s="1438"/>
      <c r="S163" s="1443"/>
      <c r="T163" s="1417" t="s">
        <v>455</v>
      </c>
      <c r="U163" s="1417" t="s">
        <v>455</v>
      </c>
      <c r="V163" s="1417" t="str">
        <f>IFERROR(__xludf.DUMMYFUNCTION("""COMPUTED_VALUE"""),"")</f>
        <v/>
      </c>
      <c r="W163" s="1416" t="s">
        <v>455</v>
      </c>
      <c r="X163" s="1417"/>
    </row>
    <row r="164">
      <c r="A164" s="1404"/>
      <c r="B164" s="1424"/>
      <c r="C164" s="1473"/>
      <c r="D164" s="1476"/>
      <c r="E164" s="1477"/>
      <c r="F164" s="1446" t="str">
        <f>IFERROR(__xludf.DUMMYFUNCTION("""COMPUTED_VALUE"""),"Fast Enemy Health")</f>
        <v>Fast Enemy Health</v>
      </c>
      <c r="G164" s="1453">
        <f>IFERROR(__xludf.DUMMYFUNCTION("""COMPUTED_VALUE"""),5.0)</f>
        <v>5</v>
      </c>
      <c r="H164" s="1448">
        <f t="shared" si="3"/>
        <v>0.2429028586</v>
      </c>
      <c r="I164" s="1449" t="str">
        <f t="shared" si="4"/>
        <v>145.08 B</v>
      </c>
      <c r="J164" s="1423" t="str">
        <f t="shared" si="5"/>
        <v>19d 18h 33m</v>
      </c>
      <c r="K164" s="1429"/>
      <c r="L164" s="1429"/>
      <c r="M164" s="1429"/>
      <c r="N164" s="1438"/>
      <c r="O164" s="1438"/>
      <c r="P164" s="1438"/>
      <c r="Q164" s="1438"/>
      <c r="R164" s="1438"/>
      <c r="S164" s="1443"/>
      <c r="T164" s="1417" t="s">
        <v>455</v>
      </c>
      <c r="U164" s="1417" t="s">
        <v>455</v>
      </c>
      <c r="V164" s="1417" t="str">
        <f>IFERROR(__xludf.DUMMYFUNCTION("""COMPUTED_VALUE"""),"")</f>
        <v/>
      </c>
      <c r="W164" s="1416" t="s">
        <v>455</v>
      </c>
      <c r="X164" s="1417"/>
    </row>
    <row r="165">
      <c r="A165" s="1404"/>
      <c r="B165" s="1424"/>
      <c r="C165" s="1473"/>
      <c r="D165" s="1476"/>
      <c r="E165" s="1477"/>
      <c r="F165" s="1446" t="str">
        <f>IFERROR(__xludf.DUMMYFUNCTION("""COMPUTED_VALUE"""),"Protector Health")</f>
        <v>Protector Health</v>
      </c>
      <c r="G165" s="1453">
        <f>IFERROR(__xludf.DUMMYFUNCTION("""COMPUTED_VALUE"""),1.0)</f>
        <v>1</v>
      </c>
      <c r="H165" s="1448">
        <f t="shared" si="3"/>
        <v>0.1470921562</v>
      </c>
      <c r="I165" s="1449" t="str">
        <f t="shared" si="4"/>
        <v>63.69 B</v>
      </c>
      <c r="J165" s="1423" t="str">
        <f t="shared" si="5"/>
        <v>19d 22h  5m</v>
      </c>
      <c r="K165" s="1429"/>
      <c r="L165" s="1429"/>
      <c r="M165" s="1429"/>
      <c r="N165" s="1438"/>
      <c r="O165" s="1438"/>
      <c r="P165" s="1438"/>
      <c r="Q165" s="1438"/>
      <c r="R165" s="1438"/>
      <c r="S165" s="1443"/>
      <c r="T165" s="1417" t="s">
        <v>455</v>
      </c>
      <c r="U165" s="1417" t="s">
        <v>455</v>
      </c>
      <c r="V165" s="1417" t="str">
        <f>IFERROR(__xludf.DUMMYFUNCTION("""COMPUTED_VALUE"""),"")</f>
        <v/>
      </c>
      <c r="W165" s="1416" t="s">
        <v>455</v>
      </c>
      <c r="X165" s="1417"/>
    </row>
    <row r="166">
      <c r="A166" s="1404"/>
      <c r="B166" s="1424"/>
      <c r="C166" s="1473"/>
      <c r="D166" s="1476"/>
      <c r="E166" s="1477"/>
      <c r="F166" s="1446" t="str">
        <f>IFERROR(__xludf.DUMMYFUNCTION("""COMPUTED_VALUE"""),"Protector Health")</f>
        <v>Protector Health</v>
      </c>
      <c r="G166" s="1453">
        <f>IFERROR(__xludf.DUMMYFUNCTION("""COMPUTED_VALUE"""),2.0)</f>
        <v>2</v>
      </c>
      <c r="H166" s="1448">
        <f t="shared" si="3"/>
        <v>0.1692023183</v>
      </c>
      <c r="I166" s="1449" t="str">
        <f t="shared" si="4"/>
        <v>95.58 B</v>
      </c>
      <c r="J166" s="1423" t="str">
        <f t="shared" si="5"/>
        <v>20d  2h  9m</v>
      </c>
      <c r="K166" s="1429"/>
      <c r="L166" s="1429"/>
      <c r="M166" s="1429"/>
      <c r="N166" s="1438"/>
      <c r="O166" s="1438"/>
      <c r="P166" s="1438"/>
      <c r="Q166" s="1438"/>
      <c r="R166" s="1438"/>
      <c r="S166" s="1443"/>
      <c r="T166" s="1417" t="s">
        <v>455</v>
      </c>
      <c r="U166" s="1417" t="s">
        <v>455</v>
      </c>
      <c r="V166" s="1417" t="str">
        <f>IFERROR(__xludf.DUMMYFUNCTION("""COMPUTED_VALUE"""),"")</f>
        <v/>
      </c>
      <c r="W166" s="1416" t="s">
        <v>455</v>
      </c>
      <c r="X166" s="1417"/>
    </row>
    <row r="167">
      <c r="A167" s="1404"/>
      <c r="B167" s="1424"/>
      <c r="C167" s="1473"/>
      <c r="D167" s="1476"/>
      <c r="E167" s="1477"/>
      <c r="F167" s="1446" t="str">
        <f>IFERROR(__xludf.DUMMYFUNCTION("""COMPUTED_VALUE"""),"Protector Health")</f>
        <v>Protector Health</v>
      </c>
      <c r="G167" s="1453">
        <f>IFERROR(__xludf.DUMMYFUNCTION("""COMPUTED_VALUE"""),3.0)</f>
        <v>3</v>
      </c>
      <c r="H167" s="1448">
        <f t="shared" si="3"/>
        <v>0.1918420651</v>
      </c>
      <c r="I167" s="1449" t="str">
        <f t="shared" si="4"/>
        <v>127.62 B</v>
      </c>
      <c r="J167" s="1423" t="str">
        <f t="shared" si="5"/>
        <v>20d  6h 45m</v>
      </c>
      <c r="K167" s="1429"/>
      <c r="L167" s="1429"/>
      <c r="M167" s="1429"/>
      <c r="N167" s="1438"/>
      <c r="O167" s="1438"/>
      <c r="P167" s="1438"/>
      <c r="Q167" s="1438"/>
      <c r="R167" s="1438"/>
      <c r="S167" s="1443"/>
      <c r="T167" s="1417" t="s">
        <v>455</v>
      </c>
      <c r="U167" s="1417" t="s">
        <v>455</v>
      </c>
      <c r="V167" s="1417" t="str">
        <f>IFERROR(__xludf.DUMMYFUNCTION("""COMPUTED_VALUE"""),"")</f>
        <v/>
      </c>
      <c r="W167" s="1416" t="s">
        <v>455</v>
      </c>
      <c r="X167" s="1417"/>
    </row>
    <row r="168">
      <c r="A168" s="1404"/>
      <c r="B168" s="1424"/>
      <c r="C168" s="1473"/>
      <c r="D168" s="1476"/>
      <c r="E168" s="1477"/>
      <c r="F168" s="1446" t="str">
        <f>IFERROR(__xludf.DUMMYFUNCTION("""COMPUTED_VALUE"""),"Protector Health")</f>
        <v>Protector Health</v>
      </c>
      <c r="G168" s="1453">
        <f>IFERROR(__xludf.DUMMYFUNCTION("""COMPUTED_VALUE"""),4.0)</f>
        <v>4</v>
      </c>
      <c r="H168" s="1448">
        <f t="shared" si="3"/>
        <v>0.215982302</v>
      </c>
      <c r="I168" s="1449" t="str">
        <f t="shared" si="4"/>
        <v>159.97 B</v>
      </c>
      <c r="J168" s="1423" t="str">
        <f t="shared" si="5"/>
        <v>20d 11h 56m</v>
      </c>
      <c r="K168" s="1429"/>
      <c r="L168" s="1429"/>
      <c r="M168" s="1429"/>
      <c r="N168" s="1438"/>
      <c r="O168" s="1438"/>
      <c r="P168" s="1438"/>
      <c r="Q168" s="1438"/>
      <c r="R168" s="1438"/>
      <c r="S168" s="1443"/>
      <c r="T168" s="1417" t="s">
        <v>455</v>
      </c>
      <c r="U168" s="1417" t="s">
        <v>455</v>
      </c>
      <c r="V168" s="1417" t="str">
        <f>IFERROR(__xludf.DUMMYFUNCTION("""COMPUTED_VALUE"""),"")</f>
        <v/>
      </c>
      <c r="W168" s="1416" t="s">
        <v>455</v>
      </c>
      <c r="X168" s="1417"/>
    </row>
    <row r="169">
      <c r="A169" s="1404"/>
      <c r="B169" s="1424"/>
      <c r="C169" s="1473"/>
      <c r="D169" s="1476"/>
      <c r="E169" s="1477"/>
      <c r="F169" s="1446" t="str">
        <f>IFERROR(__xludf.DUMMYFUNCTION("""COMPUTED_VALUE"""),"Protector Health")</f>
        <v>Protector Health</v>
      </c>
      <c r="G169" s="1453">
        <f>IFERROR(__xludf.DUMMYFUNCTION("""COMPUTED_VALUE"""),5.0)</f>
        <v>5</v>
      </c>
      <c r="H169" s="1448">
        <f t="shared" si="3"/>
        <v>0.2429028586</v>
      </c>
      <c r="I169" s="1449" t="str">
        <f t="shared" si="4"/>
        <v>192.84 B</v>
      </c>
      <c r="J169" s="1423" t="str">
        <f t="shared" si="5"/>
        <v>20d 17h 46m</v>
      </c>
      <c r="K169" s="1429"/>
      <c r="L169" s="1429"/>
      <c r="M169" s="1429"/>
      <c r="N169" s="1438"/>
      <c r="O169" s="1438"/>
      <c r="P169" s="1438"/>
      <c r="Q169" s="1438"/>
      <c r="R169" s="1438"/>
      <c r="S169" s="1443"/>
      <c r="T169" s="1417" t="s">
        <v>455</v>
      </c>
      <c r="U169" s="1417" t="s">
        <v>455</v>
      </c>
      <c r="V169" s="1417" t="str">
        <f>IFERROR(__xludf.DUMMYFUNCTION("""COMPUTED_VALUE"""),"")</f>
        <v/>
      </c>
      <c r="W169" s="1416" t="s">
        <v>455</v>
      </c>
      <c r="X169" s="1417"/>
    </row>
    <row r="170">
      <c r="A170" s="1404"/>
      <c r="B170" s="1424"/>
      <c r="C170" s="1473"/>
      <c r="D170" s="1476"/>
      <c r="E170" s="1477"/>
      <c r="F170" s="1446" t="str">
        <f>IFERROR(__xludf.DUMMYFUNCTION("""COMPUTED_VALUE"""),"Protector Radius")</f>
        <v>Protector Radius</v>
      </c>
      <c r="G170" s="1453">
        <f>IFERROR(__xludf.DUMMYFUNCTION("""COMPUTED_VALUE"""),1.0)</f>
        <v>1</v>
      </c>
      <c r="H170" s="1448">
        <f t="shared" si="3"/>
        <v>0.1470921562</v>
      </c>
      <c r="I170" s="1449" t="str">
        <f t="shared" si="4"/>
        <v>63.69 B</v>
      </c>
      <c r="J170" s="1423" t="str">
        <f t="shared" si="5"/>
        <v>20d 21h 17m</v>
      </c>
      <c r="K170" s="1429"/>
      <c r="L170" s="1429"/>
      <c r="M170" s="1429"/>
      <c r="N170" s="1438"/>
      <c r="O170" s="1438"/>
      <c r="P170" s="1438"/>
      <c r="Q170" s="1438"/>
      <c r="R170" s="1438"/>
      <c r="S170" s="1443"/>
      <c r="T170" s="1417" t="s">
        <v>455</v>
      </c>
      <c r="U170" s="1417" t="s">
        <v>455</v>
      </c>
      <c r="V170" s="1417" t="str">
        <f>IFERROR(__xludf.DUMMYFUNCTION("""COMPUTED_VALUE"""),"")</f>
        <v/>
      </c>
      <c r="W170" s="1416" t="s">
        <v>455</v>
      </c>
      <c r="X170" s="1417"/>
    </row>
    <row r="171">
      <c r="A171" s="1404"/>
      <c r="B171" s="1424"/>
      <c r="C171" s="1473"/>
      <c r="D171" s="1476"/>
      <c r="E171" s="1477"/>
      <c r="F171" s="1446" t="str">
        <f>IFERROR(__xludf.DUMMYFUNCTION("""COMPUTED_VALUE"""),"Protector Radius")</f>
        <v>Protector Radius</v>
      </c>
      <c r="G171" s="1453">
        <f>IFERROR(__xludf.DUMMYFUNCTION("""COMPUTED_VALUE"""),2.0)</f>
        <v>2</v>
      </c>
      <c r="H171" s="1448">
        <f t="shared" si="3"/>
        <v>0.1692023183</v>
      </c>
      <c r="I171" s="1449" t="str">
        <f t="shared" si="4"/>
        <v>95.58 B</v>
      </c>
      <c r="J171" s="1423" t="str">
        <f t="shared" si="5"/>
        <v>21d  1h 21m</v>
      </c>
      <c r="K171" s="1429"/>
      <c r="L171" s="1429"/>
      <c r="M171" s="1429"/>
      <c r="N171" s="1438"/>
      <c r="O171" s="1438"/>
      <c r="P171" s="1438"/>
      <c r="Q171" s="1438"/>
      <c r="R171" s="1438"/>
      <c r="S171" s="1443"/>
      <c r="T171" s="1417" t="s">
        <v>455</v>
      </c>
      <c r="U171" s="1417" t="s">
        <v>455</v>
      </c>
      <c r="V171" s="1417" t="str">
        <f>IFERROR(__xludf.DUMMYFUNCTION("""COMPUTED_VALUE"""),"")</f>
        <v/>
      </c>
      <c r="W171" s="1416" t="s">
        <v>455</v>
      </c>
      <c r="X171" s="1417"/>
    </row>
    <row r="172">
      <c r="A172" s="1404"/>
      <c r="B172" s="1424"/>
      <c r="C172" s="1473"/>
      <c r="D172" s="1476"/>
      <c r="E172" s="1477"/>
      <c r="F172" s="1446" t="str">
        <f>IFERROR(__xludf.DUMMYFUNCTION("""COMPUTED_VALUE"""),"Protector Radius")</f>
        <v>Protector Radius</v>
      </c>
      <c r="G172" s="1453">
        <f>IFERROR(__xludf.DUMMYFUNCTION("""COMPUTED_VALUE"""),3.0)</f>
        <v>3</v>
      </c>
      <c r="H172" s="1448">
        <f t="shared" si="3"/>
        <v>0.1918420651</v>
      </c>
      <c r="I172" s="1449" t="str">
        <f t="shared" si="4"/>
        <v>127.62 B</v>
      </c>
      <c r="J172" s="1423" t="str">
        <f t="shared" si="5"/>
        <v>21d  5h 57m</v>
      </c>
      <c r="K172" s="1429"/>
      <c r="L172" s="1429"/>
      <c r="M172" s="1429"/>
      <c r="N172" s="1438"/>
      <c r="O172" s="1438"/>
      <c r="P172" s="1438"/>
      <c r="Q172" s="1438"/>
      <c r="R172" s="1438"/>
      <c r="S172" s="1443"/>
      <c r="T172" s="1417" t="s">
        <v>455</v>
      </c>
      <c r="U172" s="1417" t="s">
        <v>455</v>
      </c>
      <c r="V172" s="1417" t="str">
        <f>IFERROR(__xludf.DUMMYFUNCTION("""COMPUTED_VALUE"""),"")</f>
        <v/>
      </c>
      <c r="W172" s="1416" t="s">
        <v>455</v>
      </c>
      <c r="X172" s="1417"/>
    </row>
    <row r="173">
      <c r="A173" s="1404"/>
      <c r="B173" s="1424"/>
      <c r="C173" s="1473"/>
      <c r="D173" s="1476"/>
      <c r="E173" s="1477"/>
      <c r="F173" s="1446" t="str">
        <f>IFERROR(__xludf.DUMMYFUNCTION("""COMPUTED_VALUE"""),"Protector Radius")</f>
        <v>Protector Radius</v>
      </c>
      <c r="G173" s="1453">
        <f>IFERROR(__xludf.DUMMYFUNCTION("""COMPUTED_VALUE"""),4.0)</f>
        <v>4</v>
      </c>
      <c r="H173" s="1448">
        <f t="shared" si="3"/>
        <v>0.215982302</v>
      </c>
      <c r="I173" s="1449" t="str">
        <f t="shared" si="4"/>
        <v>159.97 B</v>
      </c>
      <c r="J173" s="1423" t="str">
        <f t="shared" si="5"/>
        <v>21d 11h  8m</v>
      </c>
      <c r="K173" s="1429"/>
      <c r="L173" s="1429"/>
      <c r="M173" s="1429"/>
      <c r="N173" s="1438"/>
      <c r="O173" s="1438"/>
      <c r="P173" s="1438"/>
      <c r="Q173" s="1438"/>
      <c r="R173" s="1438"/>
      <c r="S173" s="1443"/>
      <c r="T173" s="1417" t="s">
        <v>455</v>
      </c>
      <c r="U173" s="1417" t="s">
        <v>455</v>
      </c>
      <c r="V173" s="1417" t="str">
        <f>IFERROR(__xludf.DUMMYFUNCTION("""COMPUTED_VALUE"""),"")</f>
        <v/>
      </c>
      <c r="W173" s="1416" t="s">
        <v>455</v>
      </c>
      <c r="X173" s="1417"/>
    </row>
    <row r="174">
      <c r="A174" s="1404"/>
      <c r="B174" s="1424"/>
      <c r="C174" s="1473"/>
      <c r="D174" s="1476"/>
      <c r="E174" s="1477"/>
      <c r="F174" s="1446" t="str">
        <f>IFERROR(__xludf.DUMMYFUNCTION("""COMPUTED_VALUE"""),"Protector Radius")</f>
        <v>Protector Radius</v>
      </c>
      <c r="G174" s="1453">
        <f>IFERROR(__xludf.DUMMYFUNCTION("""COMPUTED_VALUE"""),5.0)</f>
        <v>5</v>
      </c>
      <c r="H174" s="1448">
        <f t="shared" si="3"/>
        <v>0.2429028586</v>
      </c>
      <c r="I174" s="1449" t="str">
        <f t="shared" si="4"/>
        <v>192.84 B</v>
      </c>
      <c r="J174" s="1423" t="str">
        <f t="shared" si="5"/>
        <v>21d 16h 58m</v>
      </c>
      <c r="K174" s="1429"/>
      <c r="L174" s="1429"/>
      <c r="M174" s="1429"/>
      <c r="N174" s="1438"/>
      <c r="O174" s="1438"/>
      <c r="P174" s="1438"/>
      <c r="Q174" s="1438"/>
      <c r="R174" s="1438"/>
      <c r="S174" s="1443"/>
      <c r="T174" s="1417" t="s">
        <v>455</v>
      </c>
      <c r="U174" s="1417" t="s">
        <v>455</v>
      </c>
      <c r="V174" s="1417" t="str">
        <f>IFERROR(__xludf.DUMMYFUNCTION("""COMPUTED_VALUE"""),"")</f>
        <v/>
      </c>
      <c r="W174" s="1416" t="s">
        <v>455</v>
      </c>
      <c r="X174" s="1417"/>
    </row>
    <row r="175">
      <c r="A175" s="1404"/>
      <c r="B175" s="1424"/>
      <c r="C175" s="1473"/>
      <c r="D175" s="1476"/>
      <c r="E175" s="1477"/>
      <c r="F175" s="1446" t="str">
        <f>IFERROR(__xludf.DUMMYFUNCTION("""COMPUTED_VALUE"""),"Ranged Enemy Attack")</f>
        <v>Ranged Enemy Attack</v>
      </c>
      <c r="G175" s="1453">
        <f>IFERROR(__xludf.DUMMYFUNCTION("""COMPUTED_VALUE"""),1.0)</f>
        <v>1</v>
      </c>
      <c r="H175" s="1448">
        <f t="shared" si="3"/>
        <v>0.1470921562</v>
      </c>
      <c r="I175" s="1449" t="str">
        <f t="shared" si="4"/>
        <v>47.77 B</v>
      </c>
      <c r="J175" s="1423" t="str">
        <f t="shared" si="5"/>
        <v>21d 20h 30m</v>
      </c>
      <c r="K175" s="1429"/>
      <c r="L175" s="1429"/>
      <c r="M175" s="1429"/>
      <c r="N175" s="1438"/>
      <c r="O175" s="1438"/>
      <c r="P175" s="1438"/>
      <c r="Q175" s="1438"/>
      <c r="R175" s="1438"/>
      <c r="S175" s="1443"/>
      <c r="T175" s="1417" t="s">
        <v>455</v>
      </c>
      <c r="U175" s="1417" t="s">
        <v>455</v>
      </c>
      <c r="V175" s="1417" t="str">
        <f>IFERROR(__xludf.DUMMYFUNCTION("""COMPUTED_VALUE"""),"")</f>
        <v/>
      </c>
      <c r="W175" s="1416" t="s">
        <v>455</v>
      </c>
      <c r="X175" s="1417"/>
    </row>
    <row r="176">
      <c r="A176" s="1404"/>
      <c r="B176" s="1424"/>
      <c r="C176" s="1473"/>
      <c r="D176" s="1476"/>
      <c r="E176" s="1477"/>
      <c r="F176" s="1446" t="str">
        <f>IFERROR(__xludf.DUMMYFUNCTION("""COMPUTED_VALUE"""),"Ranged Enemy Attack")</f>
        <v>Ranged Enemy Attack</v>
      </c>
      <c r="G176" s="1453">
        <f>IFERROR(__xludf.DUMMYFUNCTION("""COMPUTED_VALUE"""),2.0)</f>
        <v>2</v>
      </c>
      <c r="H176" s="1448">
        <f t="shared" si="3"/>
        <v>0.1692023183</v>
      </c>
      <c r="I176" s="1449" t="str">
        <f t="shared" si="4"/>
        <v>71.7 B</v>
      </c>
      <c r="J176" s="1423" t="str">
        <f t="shared" si="5"/>
        <v>22d  0h 34m</v>
      </c>
      <c r="K176" s="1429"/>
      <c r="L176" s="1429"/>
      <c r="M176" s="1429"/>
      <c r="N176" s="1438"/>
      <c r="O176" s="1438"/>
      <c r="P176" s="1438"/>
      <c r="Q176" s="1438"/>
      <c r="R176" s="1438"/>
      <c r="S176" s="1443"/>
      <c r="T176" s="1417" t="s">
        <v>455</v>
      </c>
      <c r="U176" s="1417" t="s">
        <v>455</v>
      </c>
      <c r="V176" s="1417" t="str">
        <f>IFERROR(__xludf.DUMMYFUNCTION("""COMPUTED_VALUE"""),"")</f>
        <v/>
      </c>
      <c r="W176" s="1416" t="s">
        <v>455</v>
      </c>
      <c r="X176" s="1417"/>
    </row>
    <row r="177">
      <c r="A177" s="1404"/>
      <c r="B177" s="1424"/>
      <c r="C177" s="1473"/>
      <c r="D177" s="1476"/>
      <c r="E177" s="1477"/>
      <c r="F177" s="1446" t="str">
        <f>IFERROR(__xludf.DUMMYFUNCTION("""COMPUTED_VALUE"""),"Ranged Enemy Attack")</f>
        <v>Ranged Enemy Attack</v>
      </c>
      <c r="G177" s="1453">
        <f>IFERROR(__xludf.DUMMYFUNCTION("""COMPUTED_VALUE"""),3.0)</f>
        <v>3</v>
      </c>
      <c r="H177" s="1448">
        <f t="shared" si="3"/>
        <v>0.1918420651</v>
      </c>
      <c r="I177" s="1449" t="str">
        <f t="shared" si="4"/>
        <v>95.78 B</v>
      </c>
      <c r="J177" s="1423" t="str">
        <f t="shared" si="5"/>
        <v>22d  5h 10m</v>
      </c>
      <c r="K177" s="1429"/>
      <c r="L177" s="1429"/>
      <c r="M177" s="1429"/>
      <c r="N177" s="1438"/>
      <c r="O177" s="1438"/>
      <c r="P177" s="1438"/>
      <c r="Q177" s="1438"/>
      <c r="R177" s="1438"/>
      <c r="S177" s="1443"/>
      <c r="T177" s="1417" t="s">
        <v>455</v>
      </c>
      <c r="U177" s="1417" t="s">
        <v>455</v>
      </c>
      <c r="V177" s="1417" t="str">
        <f>IFERROR(__xludf.DUMMYFUNCTION("""COMPUTED_VALUE"""),"")</f>
        <v/>
      </c>
      <c r="W177" s="1416" t="s">
        <v>455</v>
      </c>
      <c r="X177" s="1417"/>
    </row>
    <row r="178">
      <c r="A178" s="1404"/>
      <c r="B178" s="1424"/>
      <c r="C178" s="1473"/>
      <c r="D178" s="1476"/>
      <c r="E178" s="1477"/>
      <c r="F178" s="1446" t="str">
        <f>IFERROR(__xludf.DUMMYFUNCTION("""COMPUTED_VALUE"""),"Ranged Enemy Attack")</f>
        <v>Ranged Enemy Attack</v>
      </c>
      <c r="G178" s="1453">
        <f>IFERROR(__xludf.DUMMYFUNCTION("""COMPUTED_VALUE"""),4.0)</f>
        <v>4</v>
      </c>
      <c r="H178" s="1448">
        <f t="shared" si="3"/>
        <v>0.215982302</v>
      </c>
      <c r="I178" s="1449" t="str">
        <f t="shared" si="4"/>
        <v>120.17 B</v>
      </c>
      <c r="J178" s="1423" t="str">
        <f t="shared" si="5"/>
        <v>22d 10h 21m</v>
      </c>
      <c r="K178" s="1429"/>
      <c r="L178" s="1429"/>
      <c r="M178" s="1429"/>
      <c r="N178" s="1438"/>
      <c r="O178" s="1438"/>
      <c r="P178" s="1438"/>
      <c r="Q178" s="1438"/>
      <c r="R178" s="1438"/>
      <c r="S178" s="1443"/>
      <c r="T178" s="1417" t="s">
        <v>455</v>
      </c>
      <c r="U178" s="1417" t="s">
        <v>455</v>
      </c>
      <c r="V178" s="1417" t="str">
        <f>IFERROR(__xludf.DUMMYFUNCTION("""COMPUTED_VALUE"""),"")</f>
        <v/>
      </c>
      <c r="W178" s="1416" t="s">
        <v>455</v>
      </c>
      <c r="X178" s="1417"/>
    </row>
    <row r="179">
      <c r="A179" s="1404"/>
      <c r="B179" s="1424"/>
      <c r="C179" s="1473"/>
      <c r="D179" s="1476"/>
      <c r="E179" s="1477"/>
      <c r="F179" s="1446" t="str">
        <f>IFERROR(__xludf.DUMMYFUNCTION("""COMPUTED_VALUE"""),"Ranged Enemy Attack")</f>
        <v>Ranged Enemy Attack</v>
      </c>
      <c r="G179" s="1453">
        <f>IFERROR(__xludf.DUMMYFUNCTION("""COMPUTED_VALUE"""),5.0)</f>
        <v>5</v>
      </c>
      <c r="H179" s="1448">
        <f t="shared" si="3"/>
        <v>0.2429028586</v>
      </c>
      <c r="I179" s="1449" t="str">
        <f t="shared" si="4"/>
        <v>145.08 B</v>
      </c>
      <c r="J179" s="1423" t="str">
        <f t="shared" si="5"/>
        <v>22d 16h 11m</v>
      </c>
      <c r="K179" s="1429"/>
      <c r="L179" s="1429"/>
      <c r="M179" s="1429"/>
      <c r="N179" s="1438"/>
      <c r="O179" s="1438"/>
      <c r="P179" s="1438"/>
      <c r="Q179" s="1438"/>
      <c r="R179" s="1438"/>
      <c r="S179" s="1443"/>
      <c r="T179" s="1417" t="s">
        <v>455</v>
      </c>
      <c r="U179" s="1417" t="s">
        <v>455</v>
      </c>
      <c r="V179" s="1417" t="str">
        <f>IFERROR(__xludf.DUMMYFUNCTION("""COMPUTED_VALUE"""),"")</f>
        <v/>
      </c>
      <c r="W179" s="1416" t="s">
        <v>455</v>
      </c>
      <c r="X179" s="1417"/>
    </row>
    <row r="180">
      <c r="A180" s="1404"/>
      <c r="B180" s="1424"/>
      <c r="C180" s="1473"/>
      <c r="D180" s="1476"/>
      <c r="E180" s="1477"/>
      <c r="F180" s="1446" t="str">
        <f>IFERROR(__xludf.DUMMYFUNCTION("""COMPUTED_VALUE"""),"Ranged Enemy Health")</f>
        <v>Ranged Enemy Health</v>
      </c>
      <c r="G180" s="1453">
        <f>IFERROR(__xludf.DUMMYFUNCTION("""COMPUTED_VALUE"""),1.0)</f>
        <v>1</v>
      </c>
      <c r="H180" s="1448">
        <f t="shared" si="3"/>
        <v>0.1470921562</v>
      </c>
      <c r="I180" s="1449" t="str">
        <f t="shared" si="4"/>
        <v>47.77 B</v>
      </c>
      <c r="J180" s="1423" t="str">
        <f t="shared" si="5"/>
        <v>22d 19h 42m</v>
      </c>
      <c r="K180" s="1429"/>
      <c r="L180" s="1429"/>
      <c r="M180" s="1429"/>
      <c r="N180" s="1438"/>
      <c r="O180" s="1438"/>
      <c r="P180" s="1438"/>
      <c r="Q180" s="1438"/>
      <c r="R180" s="1438"/>
      <c r="S180" s="1443"/>
      <c r="T180" s="1417" t="s">
        <v>455</v>
      </c>
      <c r="U180" s="1417" t="s">
        <v>455</v>
      </c>
      <c r="V180" s="1417" t="str">
        <f>IFERROR(__xludf.DUMMYFUNCTION("""COMPUTED_VALUE"""),"")</f>
        <v/>
      </c>
      <c r="W180" s="1416" t="s">
        <v>455</v>
      </c>
      <c r="X180" s="1417"/>
    </row>
    <row r="181">
      <c r="A181" s="1404"/>
      <c r="B181" s="1424"/>
      <c r="C181" s="1473"/>
      <c r="D181" s="1476"/>
      <c r="E181" s="1477"/>
      <c r="F181" s="1446" t="str">
        <f>IFERROR(__xludf.DUMMYFUNCTION("""COMPUTED_VALUE"""),"Ranged Enemy Health")</f>
        <v>Ranged Enemy Health</v>
      </c>
      <c r="G181" s="1453">
        <f>IFERROR(__xludf.DUMMYFUNCTION("""COMPUTED_VALUE"""),2.0)</f>
        <v>2</v>
      </c>
      <c r="H181" s="1448">
        <f t="shared" si="3"/>
        <v>0.1692023183</v>
      </c>
      <c r="I181" s="1449" t="str">
        <f t="shared" si="4"/>
        <v>71.7 B</v>
      </c>
      <c r="J181" s="1423" t="str">
        <f t="shared" si="5"/>
        <v>22d 23h 46m</v>
      </c>
      <c r="K181" s="1429"/>
      <c r="L181" s="1429"/>
      <c r="M181" s="1429"/>
      <c r="N181" s="1438"/>
      <c r="O181" s="1438"/>
      <c r="P181" s="1438"/>
      <c r="Q181" s="1438"/>
      <c r="R181" s="1438"/>
      <c r="S181" s="1443"/>
      <c r="T181" s="1417" t="s">
        <v>455</v>
      </c>
      <c r="U181" s="1417" t="s">
        <v>455</v>
      </c>
      <c r="V181" s="1417" t="str">
        <f>IFERROR(__xludf.DUMMYFUNCTION("""COMPUTED_VALUE"""),"")</f>
        <v/>
      </c>
      <c r="W181" s="1416" t="s">
        <v>455</v>
      </c>
      <c r="X181" s="1417"/>
    </row>
    <row r="182">
      <c r="A182" s="1404"/>
      <c r="B182" s="1424"/>
      <c r="C182" s="1473"/>
      <c r="D182" s="1476"/>
      <c r="E182" s="1477"/>
      <c r="F182" s="1446" t="str">
        <f>IFERROR(__xludf.DUMMYFUNCTION("""COMPUTED_VALUE"""),"Ranged Enemy Health")</f>
        <v>Ranged Enemy Health</v>
      </c>
      <c r="G182" s="1453">
        <f>IFERROR(__xludf.DUMMYFUNCTION("""COMPUTED_VALUE"""),3.0)</f>
        <v>3</v>
      </c>
      <c r="H182" s="1448">
        <f t="shared" si="3"/>
        <v>0.1918420651</v>
      </c>
      <c r="I182" s="1449" t="str">
        <f t="shared" si="4"/>
        <v>95.78 B</v>
      </c>
      <c r="J182" s="1423" t="str">
        <f t="shared" si="5"/>
        <v>23d  4h 22m</v>
      </c>
      <c r="K182" s="1429"/>
      <c r="L182" s="1429"/>
      <c r="M182" s="1429"/>
      <c r="N182" s="1438"/>
      <c r="O182" s="1438"/>
      <c r="P182" s="1438"/>
      <c r="Q182" s="1438"/>
      <c r="R182" s="1438"/>
      <c r="S182" s="1443"/>
      <c r="T182" s="1417" t="s">
        <v>455</v>
      </c>
      <c r="U182" s="1417" t="s">
        <v>455</v>
      </c>
      <c r="V182" s="1417" t="str">
        <f>IFERROR(__xludf.DUMMYFUNCTION("""COMPUTED_VALUE"""),"")</f>
        <v/>
      </c>
      <c r="W182" s="1416" t="s">
        <v>455</v>
      </c>
      <c r="X182" s="1417"/>
    </row>
    <row r="183">
      <c r="A183" s="1404"/>
      <c r="B183" s="1424"/>
      <c r="C183" s="1473"/>
      <c r="D183" s="1476"/>
      <c r="E183" s="1477"/>
      <c r="F183" s="1446" t="str">
        <f>IFERROR(__xludf.DUMMYFUNCTION("""COMPUTED_VALUE"""),"Ranged Enemy Health")</f>
        <v>Ranged Enemy Health</v>
      </c>
      <c r="G183" s="1453">
        <f>IFERROR(__xludf.DUMMYFUNCTION("""COMPUTED_VALUE"""),4.0)</f>
        <v>4</v>
      </c>
      <c r="H183" s="1448">
        <f t="shared" si="3"/>
        <v>0.215982302</v>
      </c>
      <c r="I183" s="1449" t="str">
        <f t="shared" si="4"/>
        <v>120.17 B</v>
      </c>
      <c r="J183" s="1423" t="str">
        <f t="shared" si="5"/>
        <v>23d  9h 33m</v>
      </c>
      <c r="K183" s="1429"/>
      <c r="L183" s="1429"/>
      <c r="M183" s="1429"/>
      <c r="N183" s="1438"/>
      <c r="O183" s="1438"/>
      <c r="P183" s="1438"/>
      <c r="Q183" s="1438"/>
      <c r="R183" s="1438"/>
      <c r="S183" s="1443"/>
      <c r="T183" s="1417" t="s">
        <v>455</v>
      </c>
      <c r="U183" s="1417" t="s">
        <v>455</v>
      </c>
      <c r="V183" s="1417" t="str">
        <f>IFERROR(__xludf.DUMMYFUNCTION("""COMPUTED_VALUE"""),"")</f>
        <v/>
      </c>
      <c r="W183" s="1416" t="s">
        <v>455</v>
      </c>
      <c r="X183" s="1417"/>
    </row>
    <row r="184">
      <c r="A184" s="1404"/>
      <c r="B184" s="1424"/>
      <c r="C184" s="1473"/>
      <c r="D184" s="1476"/>
      <c r="E184" s="1477"/>
      <c r="F184" s="1446" t="str">
        <f>IFERROR(__xludf.DUMMYFUNCTION("""COMPUTED_VALUE"""),"Ranged Enemy Health")</f>
        <v>Ranged Enemy Health</v>
      </c>
      <c r="G184" s="1453">
        <f>IFERROR(__xludf.DUMMYFUNCTION("""COMPUTED_VALUE"""),5.0)</f>
        <v>5</v>
      </c>
      <c r="H184" s="1448">
        <f t="shared" si="3"/>
        <v>0.2429028586</v>
      </c>
      <c r="I184" s="1449" t="str">
        <f t="shared" si="4"/>
        <v>145.08 B</v>
      </c>
      <c r="J184" s="1423" t="str">
        <f t="shared" si="5"/>
        <v>23d 15h 23m</v>
      </c>
      <c r="K184" s="1429"/>
      <c r="L184" s="1429"/>
      <c r="M184" s="1429"/>
      <c r="N184" s="1438"/>
      <c r="O184" s="1438"/>
      <c r="P184" s="1438"/>
      <c r="Q184" s="1438"/>
      <c r="R184" s="1438"/>
      <c r="S184" s="1443"/>
      <c r="T184" s="1417" t="s">
        <v>455</v>
      </c>
      <c r="U184" s="1417" t="s">
        <v>455</v>
      </c>
      <c r="V184" s="1417" t="str">
        <f>IFERROR(__xludf.DUMMYFUNCTION("""COMPUTED_VALUE"""),"")</f>
        <v/>
      </c>
      <c r="W184" s="1416" t="s">
        <v>455</v>
      </c>
      <c r="X184" s="1417"/>
    </row>
    <row r="185">
      <c r="A185" s="1404"/>
      <c r="B185" s="1424"/>
      <c r="C185" s="1473"/>
      <c r="D185" s="1476"/>
      <c r="E185" s="1477"/>
      <c r="F185" s="1446" t="str">
        <f>IFERROR(__xludf.DUMMYFUNCTION("""COMPUTED_VALUE"""),"Recovery Package Amount")</f>
        <v>Recovery Package Amount</v>
      </c>
      <c r="G185" s="1453">
        <f>IFERROR(__xludf.DUMMYFUNCTION("""COMPUTED_VALUE"""),1.0)</f>
        <v>1</v>
      </c>
      <c r="H185" s="1448">
        <f t="shared" si="3"/>
        <v>0.1470921562</v>
      </c>
      <c r="I185" s="1449" t="str">
        <f t="shared" si="4"/>
        <v>19.91 B</v>
      </c>
      <c r="J185" s="1423" t="str">
        <f t="shared" si="5"/>
        <v>23d 18h 55m</v>
      </c>
      <c r="K185" s="1429"/>
      <c r="L185" s="1429"/>
      <c r="M185" s="1429"/>
      <c r="N185" s="1438"/>
      <c r="O185" s="1438"/>
      <c r="P185" s="1438"/>
      <c r="Q185" s="1438"/>
      <c r="R185" s="1438"/>
      <c r="S185" s="1443"/>
      <c r="T185" s="1417" t="s">
        <v>455</v>
      </c>
      <c r="U185" s="1417" t="s">
        <v>455</v>
      </c>
      <c r="V185" s="1417" t="str">
        <f>IFERROR(__xludf.DUMMYFUNCTION("""COMPUTED_VALUE"""),"")</f>
        <v/>
      </c>
      <c r="W185" s="1416" t="s">
        <v>455</v>
      </c>
      <c r="X185" s="1417"/>
    </row>
    <row r="186">
      <c r="A186" s="1404"/>
      <c r="B186" s="1424"/>
      <c r="C186" s="1473"/>
      <c r="D186" s="1476"/>
      <c r="E186" s="1477"/>
      <c r="F186" s="1446" t="str">
        <f>IFERROR(__xludf.DUMMYFUNCTION("""COMPUTED_VALUE"""),"Recovery Package Amount")</f>
        <v>Recovery Package Amount</v>
      </c>
      <c r="G186" s="1453">
        <f>IFERROR(__xludf.DUMMYFUNCTION("""COMPUTED_VALUE"""),2.0)</f>
        <v>2</v>
      </c>
      <c r="H186" s="1448">
        <f t="shared" si="3"/>
        <v>0.1692023183</v>
      </c>
      <c r="I186" s="1449" t="str">
        <f t="shared" si="4"/>
        <v>23.94 B</v>
      </c>
      <c r="J186" s="1423" t="str">
        <f t="shared" si="5"/>
        <v>23d 22h 59m</v>
      </c>
      <c r="K186" s="1429"/>
      <c r="L186" s="1429"/>
      <c r="M186" s="1429"/>
      <c r="N186" s="1417"/>
      <c r="O186" s="1417"/>
      <c r="P186" s="1417"/>
      <c r="Q186" s="1417"/>
      <c r="R186" s="1417"/>
      <c r="S186" s="1443"/>
      <c r="T186" s="1417" t="s">
        <v>455</v>
      </c>
      <c r="U186" s="1417" t="s">
        <v>455</v>
      </c>
      <c r="V186" s="1417" t="str">
        <f>IFERROR(__xludf.DUMMYFUNCTION("""COMPUTED_VALUE"""),"")</f>
        <v/>
      </c>
      <c r="W186" s="1416" t="s">
        <v>455</v>
      </c>
      <c r="X186" s="1417"/>
    </row>
    <row r="187">
      <c r="A187" s="1404"/>
      <c r="B187" s="1424"/>
      <c r="C187" s="1473"/>
      <c r="D187" s="1476"/>
      <c r="E187" s="1477"/>
      <c r="F187" s="1446" t="str">
        <f>IFERROR(__xludf.DUMMYFUNCTION("""COMPUTED_VALUE"""),"Recovery Package Amount")</f>
        <v>Recovery Package Amount</v>
      </c>
      <c r="G187" s="1453">
        <f>IFERROR(__xludf.DUMMYFUNCTION("""COMPUTED_VALUE"""),3.0)</f>
        <v>3</v>
      </c>
      <c r="H187" s="1448">
        <f t="shared" si="3"/>
        <v>0.1918420651</v>
      </c>
      <c r="I187" s="1449" t="str">
        <f t="shared" si="4"/>
        <v>28.12 B</v>
      </c>
      <c r="J187" s="1423" t="str">
        <f t="shared" si="5"/>
        <v>24d  3h 35m</v>
      </c>
      <c r="K187" s="1429"/>
      <c r="L187" s="1429"/>
      <c r="M187" s="1429"/>
      <c r="N187" s="1417"/>
      <c r="O187" s="1417"/>
      <c r="P187" s="1417"/>
      <c r="Q187" s="1417"/>
      <c r="R187" s="1417"/>
      <c r="S187" s="1443"/>
      <c r="T187" s="1417" t="s">
        <v>455</v>
      </c>
      <c r="U187" s="1417" t="s">
        <v>455</v>
      </c>
      <c r="V187" s="1417" t="str">
        <f>IFERROR(__xludf.DUMMYFUNCTION("""COMPUTED_VALUE"""),"")</f>
        <v/>
      </c>
      <c r="W187" s="1416" t="s">
        <v>455</v>
      </c>
      <c r="X187" s="1417"/>
    </row>
    <row r="188">
      <c r="A188" s="1404"/>
      <c r="B188" s="1424"/>
      <c r="C188" s="1473"/>
      <c r="D188" s="1476"/>
      <c r="E188" s="1477"/>
      <c r="F188" s="1446" t="str">
        <f>IFERROR(__xludf.DUMMYFUNCTION("""COMPUTED_VALUE"""),"Recovery Package Amount")</f>
        <v>Recovery Package Amount</v>
      </c>
      <c r="G188" s="1453">
        <f>IFERROR(__xludf.DUMMYFUNCTION("""COMPUTED_VALUE"""),4.0)</f>
        <v>4</v>
      </c>
      <c r="H188" s="1448">
        <f t="shared" si="3"/>
        <v>0.215982302</v>
      </c>
      <c r="I188" s="1449" t="str">
        <f t="shared" si="4"/>
        <v>32.61 B</v>
      </c>
      <c r="J188" s="1423" t="str">
        <f t="shared" si="5"/>
        <v>24d  8h 46m</v>
      </c>
      <c r="K188" s="1429"/>
      <c r="L188" s="1429"/>
      <c r="M188" s="1429"/>
      <c r="N188" s="1417"/>
      <c r="O188" s="1417"/>
      <c r="P188" s="1417"/>
      <c r="Q188" s="1417"/>
      <c r="R188" s="1417"/>
      <c r="S188" s="1443"/>
      <c r="T188" s="1417" t="s">
        <v>455</v>
      </c>
      <c r="U188" s="1417" t="s">
        <v>455</v>
      </c>
      <c r="V188" s="1417" t="str">
        <f>IFERROR(__xludf.DUMMYFUNCTION("""COMPUTED_VALUE"""),"")</f>
        <v/>
      </c>
      <c r="W188" s="1416" t="s">
        <v>455</v>
      </c>
      <c r="X188" s="1417"/>
    </row>
    <row r="189">
      <c r="A189" s="1404"/>
      <c r="B189" s="1424"/>
      <c r="C189" s="1473"/>
      <c r="D189" s="1476"/>
      <c r="E189" s="1477"/>
      <c r="F189" s="1446" t="str">
        <f>IFERROR(__xludf.DUMMYFUNCTION("""COMPUTED_VALUE"""),"Recovery Package Amount")</f>
        <v>Recovery Package Amount</v>
      </c>
      <c r="G189" s="1453">
        <f>IFERROR(__xludf.DUMMYFUNCTION("""COMPUTED_VALUE"""),5.0)</f>
        <v>5</v>
      </c>
      <c r="H189" s="1448">
        <f t="shared" si="3"/>
        <v>0.2429028586</v>
      </c>
      <c r="I189" s="1449" t="str">
        <f t="shared" si="4"/>
        <v>37.62 B</v>
      </c>
      <c r="J189" s="1423" t="str">
        <f t="shared" si="5"/>
        <v>24d 14h 36m</v>
      </c>
      <c r="K189" s="1429"/>
      <c r="L189" s="1429"/>
      <c r="M189" s="1429"/>
      <c r="N189" s="1417"/>
      <c r="O189" s="1417"/>
      <c r="P189" s="1417"/>
      <c r="Q189" s="1417"/>
      <c r="R189" s="1417"/>
      <c r="S189" s="1443"/>
      <c r="T189" s="1417" t="s">
        <v>455</v>
      </c>
      <c r="U189" s="1417" t="s">
        <v>455</v>
      </c>
      <c r="V189" s="1417" t="str">
        <f>IFERROR(__xludf.DUMMYFUNCTION("""COMPUTED_VALUE"""),"")</f>
        <v/>
      </c>
      <c r="W189" s="1416" t="s">
        <v>455</v>
      </c>
      <c r="X189" s="1417"/>
    </row>
    <row r="190">
      <c r="A190" s="1404"/>
      <c r="B190" s="1424"/>
      <c r="C190" s="1473"/>
      <c r="D190" s="1476"/>
      <c r="E190" s="1477"/>
      <c r="F190" s="1446" t="str">
        <f>IFERROR(__xludf.DUMMYFUNCTION("""COMPUTED_VALUE"""),"Recovery Package Max")</f>
        <v>Recovery Package Max</v>
      </c>
      <c r="G190" s="1453">
        <f>IFERROR(__xludf.DUMMYFUNCTION("""COMPUTED_VALUE"""),1.0)</f>
        <v>1</v>
      </c>
      <c r="H190" s="1448">
        <f t="shared" si="3"/>
        <v>0.1470921562</v>
      </c>
      <c r="I190" s="1449" t="str">
        <f t="shared" si="4"/>
        <v>19.91 B</v>
      </c>
      <c r="J190" s="1423" t="str">
        <f t="shared" si="5"/>
        <v>24d 18h  7m</v>
      </c>
      <c r="K190" s="1429"/>
      <c r="L190" s="1429"/>
      <c r="M190" s="1429"/>
      <c r="N190" s="1417"/>
      <c r="O190" s="1417"/>
      <c r="P190" s="1417"/>
      <c r="Q190" s="1417"/>
      <c r="R190" s="1417"/>
      <c r="S190" s="1443"/>
      <c r="T190" s="1417" t="s">
        <v>455</v>
      </c>
      <c r="U190" s="1417" t="s">
        <v>455</v>
      </c>
      <c r="V190" s="1417" t="str">
        <f>IFERROR(__xludf.DUMMYFUNCTION("""COMPUTED_VALUE"""),"")</f>
        <v/>
      </c>
      <c r="W190" s="1416" t="s">
        <v>455</v>
      </c>
      <c r="X190" s="1417"/>
    </row>
    <row r="191">
      <c r="A191" s="1404"/>
      <c r="B191" s="1424"/>
      <c r="C191" s="1473"/>
      <c r="D191" s="1476"/>
      <c r="E191" s="1477"/>
      <c r="F191" s="1446" t="str">
        <f>IFERROR(__xludf.DUMMYFUNCTION("""COMPUTED_VALUE"""),"Recovery Package Max")</f>
        <v>Recovery Package Max</v>
      </c>
      <c r="G191" s="1453">
        <f>IFERROR(__xludf.DUMMYFUNCTION("""COMPUTED_VALUE"""),2.0)</f>
        <v>2</v>
      </c>
      <c r="H191" s="1448">
        <f t="shared" si="3"/>
        <v>0.1692023183</v>
      </c>
      <c r="I191" s="1449" t="str">
        <f t="shared" si="4"/>
        <v>23.94 B</v>
      </c>
      <c r="J191" s="1423" t="str">
        <f t="shared" si="5"/>
        <v>24d 22h 11m</v>
      </c>
      <c r="K191" s="1429"/>
      <c r="L191" s="1429"/>
      <c r="M191" s="1429"/>
      <c r="N191" s="1417"/>
      <c r="O191" s="1417"/>
      <c r="P191" s="1417"/>
      <c r="Q191" s="1417"/>
      <c r="R191" s="1417"/>
      <c r="S191" s="1443"/>
      <c r="T191" s="1417" t="s">
        <v>455</v>
      </c>
      <c r="U191" s="1417" t="s">
        <v>455</v>
      </c>
      <c r="V191" s="1417" t="str">
        <f>IFERROR(__xludf.DUMMYFUNCTION("""COMPUTED_VALUE"""),"")</f>
        <v/>
      </c>
      <c r="W191" s="1416" t="s">
        <v>455</v>
      </c>
      <c r="X191" s="1417"/>
    </row>
    <row r="192">
      <c r="A192" s="1404"/>
      <c r="B192" s="1424"/>
      <c r="C192" s="1473"/>
      <c r="D192" s="1476"/>
      <c r="E192" s="1477"/>
      <c r="F192" s="1446" t="str">
        <f>IFERROR(__xludf.DUMMYFUNCTION("""COMPUTED_VALUE"""),"Recovery Package Max")</f>
        <v>Recovery Package Max</v>
      </c>
      <c r="G192" s="1453">
        <f>IFERROR(__xludf.DUMMYFUNCTION("""COMPUTED_VALUE"""),3.0)</f>
        <v>3</v>
      </c>
      <c r="H192" s="1448">
        <f t="shared" si="3"/>
        <v>0.1918420651</v>
      </c>
      <c r="I192" s="1449" t="str">
        <f t="shared" si="4"/>
        <v>23.94 B</v>
      </c>
      <c r="J192" s="1423" t="str">
        <f t="shared" si="5"/>
        <v>25d  2h 47m</v>
      </c>
      <c r="K192" s="1429"/>
      <c r="L192" s="1429"/>
      <c r="M192" s="1429"/>
      <c r="N192" s="1417"/>
      <c r="O192" s="1417"/>
      <c r="P192" s="1417"/>
      <c r="Q192" s="1417"/>
      <c r="R192" s="1417"/>
      <c r="S192" s="1443"/>
      <c r="T192" s="1417" t="s">
        <v>455</v>
      </c>
      <c r="U192" s="1417" t="s">
        <v>455</v>
      </c>
      <c r="V192" s="1417" t="str">
        <f>IFERROR(__xludf.DUMMYFUNCTION("""COMPUTED_VALUE"""),"")</f>
        <v/>
      </c>
      <c r="W192" s="1416" t="s">
        <v>455</v>
      </c>
      <c r="X192" s="1417"/>
    </row>
    <row r="193">
      <c r="A193" s="1404"/>
      <c r="B193" s="1424"/>
      <c r="C193" s="1473"/>
      <c r="D193" s="1476"/>
      <c r="E193" s="1477"/>
      <c r="F193" s="1446" t="str">
        <f>IFERROR(__xludf.DUMMYFUNCTION("""COMPUTED_VALUE"""),"Recovery Package Max")</f>
        <v>Recovery Package Max</v>
      </c>
      <c r="G193" s="1453">
        <f>IFERROR(__xludf.DUMMYFUNCTION("""COMPUTED_VALUE"""),4.0)</f>
        <v>4</v>
      </c>
      <c r="H193" s="1448">
        <f t="shared" si="3"/>
        <v>0.215982302</v>
      </c>
      <c r="I193" s="1449" t="str">
        <f t="shared" si="4"/>
        <v>32.61 B</v>
      </c>
      <c r="J193" s="1423" t="str">
        <f t="shared" si="5"/>
        <v>25d  7h 58m</v>
      </c>
      <c r="K193" s="1429"/>
      <c r="L193" s="1429"/>
      <c r="M193" s="1429"/>
      <c r="N193" s="1417"/>
      <c r="O193" s="1417"/>
      <c r="P193" s="1417"/>
      <c r="Q193" s="1417"/>
      <c r="R193" s="1417"/>
      <c r="S193" s="1443"/>
      <c r="T193" s="1417" t="s">
        <v>455</v>
      </c>
      <c r="U193" s="1417" t="s">
        <v>455</v>
      </c>
      <c r="V193" s="1417" t="str">
        <f>IFERROR(__xludf.DUMMYFUNCTION("""COMPUTED_VALUE"""),"")</f>
        <v/>
      </c>
      <c r="W193" s="1416" t="s">
        <v>455</v>
      </c>
      <c r="X193" s="1417"/>
    </row>
    <row r="194">
      <c r="A194" s="1404"/>
      <c r="B194" s="1424"/>
      <c r="C194" s="1473"/>
      <c r="D194" s="1476"/>
      <c r="E194" s="1477"/>
      <c r="F194" s="1446" t="str">
        <f>IFERROR(__xludf.DUMMYFUNCTION("""COMPUTED_VALUE"""),"Recovery Package Max")</f>
        <v>Recovery Package Max</v>
      </c>
      <c r="G194" s="1453">
        <f>IFERROR(__xludf.DUMMYFUNCTION("""COMPUTED_VALUE"""),5.0)</f>
        <v>5</v>
      </c>
      <c r="H194" s="1448">
        <f t="shared" si="3"/>
        <v>0.2429028586</v>
      </c>
      <c r="I194" s="1449" t="str">
        <f t="shared" si="4"/>
        <v>37.62 B</v>
      </c>
      <c r="J194" s="1423" t="str">
        <f t="shared" si="5"/>
        <v>25d 13h 48m</v>
      </c>
      <c r="K194" s="1429"/>
      <c r="L194" s="1429"/>
      <c r="M194" s="1429"/>
      <c r="N194" s="1417"/>
      <c r="O194" s="1417"/>
      <c r="P194" s="1417"/>
      <c r="Q194" s="1417"/>
      <c r="R194" s="1417"/>
      <c r="S194" s="1443"/>
      <c r="T194" s="1417" t="s">
        <v>455</v>
      </c>
      <c r="U194" s="1417" t="s">
        <v>455</v>
      </c>
      <c r="V194" s="1417" t="str">
        <f>IFERROR(__xludf.DUMMYFUNCTION("""COMPUTED_VALUE"""),"")</f>
        <v/>
      </c>
      <c r="W194" s="1416" t="s">
        <v>455</v>
      </c>
      <c r="X194" s="1417"/>
    </row>
    <row r="195">
      <c r="A195" s="1404"/>
      <c r="B195" s="1424"/>
      <c r="C195" s="1473"/>
      <c r="D195" s="1476"/>
      <c r="E195" s="1477"/>
      <c r="F195" s="1446" t="str">
        <f>IFERROR(__xludf.DUMMYFUNCTION("""COMPUTED_VALUE"""),"Tank Enemy Attack")</f>
        <v>Tank Enemy Attack</v>
      </c>
      <c r="G195" s="1453">
        <f>IFERROR(__xludf.DUMMYFUNCTION("""COMPUTED_VALUE"""),1.0)</f>
        <v>1</v>
      </c>
      <c r="H195" s="1448">
        <f t="shared" si="3"/>
        <v>0.1470921562</v>
      </c>
      <c r="I195" s="1449" t="str">
        <f t="shared" si="4"/>
        <v>47.77 B</v>
      </c>
      <c r="J195" s="1423" t="str">
        <f t="shared" si="5"/>
        <v>25d 17h 20m</v>
      </c>
      <c r="K195" s="1429"/>
      <c r="L195" s="1429"/>
      <c r="M195" s="1429"/>
      <c r="N195" s="1417"/>
      <c r="O195" s="1417"/>
      <c r="P195" s="1417"/>
      <c r="Q195" s="1417"/>
      <c r="R195" s="1417"/>
      <c r="S195" s="1443"/>
      <c r="T195" s="1417" t="s">
        <v>455</v>
      </c>
      <c r="U195" s="1417" t="s">
        <v>455</v>
      </c>
      <c r="V195" s="1417" t="str">
        <f>IFERROR(__xludf.DUMMYFUNCTION("""COMPUTED_VALUE"""),"")</f>
        <v/>
      </c>
      <c r="W195" s="1416" t="s">
        <v>455</v>
      </c>
      <c r="X195" s="1417"/>
    </row>
    <row r="196">
      <c r="A196" s="1404"/>
      <c r="B196" s="1424"/>
      <c r="C196" s="1473"/>
      <c r="D196" s="1476"/>
      <c r="E196" s="1477"/>
      <c r="F196" s="1446" t="str">
        <f>IFERROR(__xludf.DUMMYFUNCTION("""COMPUTED_VALUE"""),"Tank Enemy Attack")</f>
        <v>Tank Enemy Attack</v>
      </c>
      <c r="G196" s="1453">
        <f>IFERROR(__xludf.DUMMYFUNCTION("""COMPUTED_VALUE"""),2.0)</f>
        <v>2</v>
      </c>
      <c r="H196" s="1448">
        <f t="shared" si="3"/>
        <v>0.1692023183</v>
      </c>
      <c r="I196" s="1449" t="str">
        <f t="shared" si="4"/>
        <v>71.7 B</v>
      </c>
      <c r="J196" s="1423" t="str">
        <f t="shared" si="5"/>
        <v>25d 21h 24m</v>
      </c>
      <c r="K196" s="1429"/>
      <c r="L196" s="1429"/>
      <c r="M196" s="1429"/>
      <c r="N196" s="1417"/>
      <c r="O196" s="1417"/>
      <c r="P196" s="1417"/>
      <c r="Q196" s="1417"/>
      <c r="R196" s="1417"/>
      <c r="S196" s="1443"/>
      <c r="T196" s="1417" t="s">
        <v>455</v>
      </c>
      <c r="U196" s="1417" t="s">
        <v>455</v>
      </c>
      <c r="V196" s="1417" t="str">
        <f>IFERROR(__xludf.DUMMYFUNCTION("""COMPUTED_VALUE"""),"")</f>
        <v/>
      </c>
      <c r="W196" s="1416" t="s">
        <v>455</v>
      </c>
      <c r="X196" s="1417"/>
    </row>
    <row r="197">
      <c r="A197" s="1404"/>
      <c r="B197" s="1424"/>
      <c r="C197" s="1473"/>
      <c r="D197" s="1476"/>
      <c r="E197" s="1477"/>
      <c r="F197" s="1446" t="str">
        <f>IFERROR(__xludf.DUMMYFUNCTION("""COMPUTED_VALUE"""),"Tank Enemy Attack")</f>
        <v>Tank Enemy Attack</v>
      </c>
      <c r="G197" s="1453">
        <f>IFERROR(__xludf.DUMMYFUNCTION("""COMPUTED_VALUE"""),3.0)</f>
        <v>3</v>
      </c>
      <c r="H197" s="1448">
        <f t="shared" si="3"/>
        <v>0.1918420651</v>
      </c>
      <c r="I197" s="1449" t="str">
        <f t="shared" si="4"/>
        <v>95.78 B</v>
      </c>
      <c r="J197" s="1423" t="str">
        <f t="shared" si="5"/>
        <v>26d  2h  0m</v>
      </c>
      <c r="K197" s="1429"/>
      <c r="L197" s="1429"/>
      <c r="M197" s="1429"/>
      <c r="N197" s="1417"/>
      <c r="O197" s="1417"/>
      <c r="P197" s="1417"/>
      <c r="Q197" s="1417"/>
      <c r="R197" s="1417"/>
      <c r="S197" s="1443"/>
      <c r="T197" s="1417" t="s">
        <v>455</v>
      </c>
      <c r="U197" s="1417" t="s">
        <v>455</v>
      </c>
      <c r="V197" s="1417" t="str">
        <f>IFERROR(__xludf.DUMMYFUNCTION("""COMPUTED_VALUE"""),"")</f>
        <v/>
      </c>
      <c r="W197" s="1416" t="s">
        <v>455</v>
      </c>
      <c r="X197" s="1417"/>
    </row>
    <row r="198">
      <c r="A198" s="1404"/>
      <c r="B198" s="1424"/>
      <c r="C198" s="1473"/>
      <c r="D198" s="1476"/>
      <c r="E198" s="1477"/>
      <c r="F198" s="1446" t="str">
        <f>IFERROR(__xludf.DUMMYFUNCTION("""COMPUTED_VALUE"""),"Tank Enemy Attack")</f>
        <v>Tank Enemy Attack</v>
      </c>
      <c r="G198" s="1453">
        <f>IFERROR(__xludf.DUMMYFUNCTION("""COMPUTED_VALUE"""),4.0)</f>
        <v>4</v>
      </c>
      <c r="H198" s="1448">
        <f t="shared" si="3"/>
        <v>0.215982302</v>
      </c>
      <c r="I198" s="1449" t="str">
        <f t="shared" si="4"/>
        <v>120.17 B</v>
      </c>
      <c r="J198" s="1423" t="str">
        <f t="shared" si="5"/>
        <v>26d  7h 11m</v>
      </c>
      <c r="K198" s="1429"/>
      <c r="L198" s="1429"/>
      <c r="M198" s="1429"/>
      <c r="N198" s="1417"/>
      <c r="O198" s="1417"/>
      <c r="P198" s="1417"/>
      <c r="Q198" s="1417"/>
      <c r="R198" s="1417"/>
      <c r="S198" s="1443"/>
      <c r="T198" s="1417" t="s">
        <v>455</v>
      </c>
      <c r="U198" s="1417" t="s">
        <v>455</v>
      </c>
      <c r="V198" s="1417" t="str">
        <f>IFERROR(__xludf.DUMMYFUNCTION("""COMPUTED_VALUE"""),"")</f>
        <v/>
      </c>
      <c r="W198" s="1416" t="s">
        <v>455</v>
      </c>
      <c r="X198" s="1417"/>
    </row>
    <row r="199">
      <c r="A199" s="1404"/>
      <c r="B199" s="1424"/>
      <c r="C199" s="1473"/>
      <c r="D199" s="1476"/>
      <c r="E199" s="1477"/>
      <c r="F199" s="1446" t="str">
        <f>IFERROR(__xludf.DUMMYFUNCTION("""COMPUTED_VALUE"""),"Tank Enemy Attack")</f>
        <v>Tank Enemy Attack</v>
      </c>
      <c r="G199" s="1453">
        <f>IFERROR(__xludf.DUMMYFUNCTION("""COMPUTED_VALUE"""),5.0)</f>
        <v>5</v>
      </c>
      <c r="H199" s="1448">
        <f t="shared" si="3"/>
        <v>0.2429028586</v>
      </c>
      <c r="I199" s="1449" t="str">
        <f t="shared" si="4"/>
        <v>145.08 B</v>
      </c>
      <c r="J199" s="1423" t="str">
        <f t="shared" si="5"/>
        <v>26d 13h  1m</v>
      </c>
      <c r="K199" s="1429"/>
      <c r="L199" s="1429"/>
      <c r="M199" s="1429"/>
      <c r="N199" s="1417"/>
      <c r="O199" s="1417"/>
      <c r="P199" s="1417"/>
      <c r="Q199" s="1417"/>
      <c r="R199" s="1417"/>
      <c r="S199" s="1443"/>
      <c r="T199" s="1417" t="s">
        <v>455</v>
      </c>
      <c r="U199" s="1417" t="s">
        <v>455</v>
      </c>
      <c r="V199" s="1417" t="str">
        <f>IFERROR(__xludf.DUMMYFUNCTION("""COMPUTED_VALUE"""),"")</f>
        <v/>
      </c>
      <c r="W199" s="1416" t="s">
        <v>455</v>
      </c>
      <c r="X199" s="1417"/>
    </row>
    <row r="200">
      <c r="A200" s="1404"/>
      <c r="B200" s="1424"/>
      <c r="C200" s="1473"/>
      <c r="D200" s="1476"/>
      <c r="E200" s="1477"/>
      <c r="F200" s="1446" t="str">
        <f>IFERROR(__xludf.DUMMYFUNCTION("""COMPUTED_VALUE"""),"Tank Enemy Health")</f>
        <v>Tank Enemy Health</v>
      </c>
      <c r="G200" s="1453">
        <f>IFERROR(__xludf.DUMMYFUNCTION("""COMPUTED_VALUE"""),1.0)</f>
        <v>1</v>
      </c>
      <c r="H200" s="1448">
        <f t="shared" si="3"/>
        <v>0.1470921562</v>
      </c>
      <c r="I200" s="1449" t="str">
        <f t="shared" si="4"/>
        <v>47.77 B</v>
      </c>
      <c r="J200" s="1423" t="str">
        <f t="shared" si="5"/>
        <v>26d 16h 32m</v>
      </c>
      <c r="K200" s="1429"/>
      <c r="L200" s="1429"/>
      <c r="M200" s="1429"/>
      <c r="N200" s="1417"/>
      <c r="O200" s="1417"/>
      <c r="P200" s="1417"/>
      <c r="Q200" s="1417"/>
      <c r="R200" s="1417"/>
      <c r="S200" s="1443"/>
      <c r="T200" s="1417" t="s">
        <v>455</v>
      </c>
      <c r="U200" s="1417" t="s">
        <v>455</v>
      </c>
      <c r="V200" s="1417" t="str">
        <f>IFERROR(__xludf.DUMMYFUNCTION("""COMPUTED_VALUE"""),"")</f>
        <v/>
      </c>
      <c r="W200" s="1416" t="s">
        <v>455</v>
      </c>
      <c r="X200" s="1417"/>
    </row>
    <row r="201">
      <c r="A201" s="1404"/>
      <c r="B201" s="1424"/>
      <c r="C201" s="1473"/>
      <c r="D201" s="1476"/>
      <c r="E201" s="1477"/>
      <c r="F201" s="1424" t="str">
        <f>IFERROR(__xludf.DUMMYFUNCTION("""COMPUTED_VALUE"""),"Tank Enemy Health")</f>
        <v>Tank Enemy Health</v>
      </c>
      <c r="G201" s="1424">
        <f>IFERROR(__xludf.DUMMYFUNCTION("""COMPUTED_VALUE"""),2.0)</f>
        <v>2</v>
      </c>
      <c r="H201" s="1424"/>
      <c r="I201" s="1424"/>
      <c r="J201" s="1423"/>
      <c r="K201" s="1429"/>
      <c r="L201" s="1429"/>
      <c r="M201" s="1429"/>
      <c r="N201" s="1417"/>
      <c r="O201" s="1417"/>
      <c r="P201" s="1417"/>
      <c r="Q201" s="1417"/>
      <c r="R201" s="1417"/>
      <c r="S201" s="1443"/>
      <c r="T201" s="1417" t="s">
        <v>455</v>
      </c>
      <c r="U201" s="1417" t="s">
        <v>455</v>
      </c>
      <c r="V201" s="1417" t="str">
        <f>IFERROR(__xludf.DUMMYFUNCTION("""COMPUTED_VALUE"""),"")</f>
        <v/>
      </c>
      <c r="W201" s="1416" t="s">
        <v>455</v>
      </c>
      <c r="X201" s="1417"/>
    </row>
    <row r="202">
      <c r="A202" s="1404"/>
      <c r="B202" s="1424"/>
      <c r="C202" s="1473"/>
      <c r="D202" s="1476"/>
      <c r="E202" s="1477"/>
      <c r="F202" s="1424" t="str">
        <f>IFERROR(__xludf.DUMMYFUNCTION("""COMPUTED_VALUE"""),"Tank Enemy Health")</f>
        <v>Tank Enemy Health</v>
      </c>
      <c r="G202" s="1424">
        <f>IFERROR(__xludf.DUMMYFUNCTION("""COMPUTED_VALUE"""),3.0)</f>
        <v>3</v>
      </c>
      <c r="H202" s="1424"/>
      <c r="I202" s="1424"/>
      <c r="J202" s="1423"/>
      <c r="K202" s="1429"/>
      <c r="L202" s="1429"/>
      <c r="M202" s="1429"/>
      <c r="N202" s="1417"/>
      <c r="O202" s="1417"/>
      <c r="P202" s="1417"/>
      <c r="Q202" s="1417"/>
      <c r="R202" s="1417"/>
      <c r="S202" s="1443"/>
      <c r="T202" s="1417" t="s">
        <v>455</v>
      </c>
      <c r="U202" s="1417" t="s">
        <v>455</v>
      </c>
      <c r="V202" s="1417" t="str">
        <f>IFERROR(__xludf.DUMMYFUNCTION("""COMPUTED_VALUE"""),"")</f>
        <v/>
      </c>
      <c r="W202" s="1416" t="s">
        <v>455</v>
      </c>
      <c r="X202" s="1417"/>
    </row>
    <row r="203">
      <c r="A203" s="1404"/>
      <c r="B203" s="1424"/>
      <c r="C203" s="1473"/>
      <c r="D203" s="1476"/>
      <c r="E203" s="1477"/>
      <c r="F203" s="1424" t="str">
        <f>IFERROR(__xludf.DUMMYFUNCTION("""COMPUTED_VALUE"""),"Tank Enemy Health")</f>
        <v>Tank Enemy Health</v>
      </c>
      <c r="G203" s="1424">
        <f>IFERROR(__xludf.DUMMYFUNCTION("""COMPUTED_VALUE"""),4.0)</f>
        <v>4</v>
      </c>
      <c r="H203" s="1424"/>
      <c r="I203" s="1424"/>
      <c r="J203" s="1423"/>
      <c r="K203" s="1429"/>
      <c r="L203" s="1429"/>
      <c r="M203" s="1429"/>
      <c r="N203" s="1417"/>
      <c r="O203" s="1417"/>
      <c r="P203" s="1417"/>
      <c r="Q203" s="1417"/>
      <c r="R203" s="1417"/>
      <c r="S203" s="1443"/>
      <c r="T203" s="1417" t="s">
        <v>455</v>
      </c>
      <c r="U203" s="1417" t="s">
        <v>455</v>
      </c>
      <c r="V203" s="1417" t="str">
        <f>IFERROR(__xludf.DUMMYFUNCTION("""COMPUTED_VALUE"""),"")</f>
        <v/>
      </c>
      <c r="W203" s="1416" t="s">
        <v>455</v>
      </c>
      <c r="X203" s="1417"/>
    </row>
    <row r="204">
      <c r="A204" s="1404"/>
      <c r="B204" s="1424"/>
      <c r="C204" s="1473"/>
      <c r="D204" s="1476"/>
      <c r="E204" s="1477"/>
      <c r="F204" s="1424" t="str">
        <f>IFERROR(__xludf.DUMMYFUNCTION("""COMPUTED_VALUE"""),"Tank Enemy Health")</f>
        <v>Tank Enemy Health</v>
      </c>
      <c r="G204" s="1424">
        <f>IFERROR(__xludf.DUMMYFUNCTION("""COMPUTED_VALUE"""),5.0)</f>
        <v>5</v>
      </c>
      <c r="H204" s="1424"/>
      <c r="I204" s="1424"/>
      <c r="J204" s="1423"/>
      <c r="K204" s="1429"/>
      <c r="L204" s="1429"/>
      <c r="M204" s="1429"/>
      <c r="N204" s="1417"/>
      <c r="O204" s="1417"/>
      <c r="P204" s="1417"/>
      <c r="Q204" s="1417"/>
      <c r="R204" s="1417"/>
      <c r="S204" s="1443"/>
      <c r="T204" s="1417" t="s">
        <v>455</v>
      </c>
      <c r="U204" s="1417" t="s">
        <v>455</v>
      </c>
      <c r="V204" s="1417" t="str">
        <f>IFERROR(__xludf.DUMMYFUNCTION("""COMPUTED_VALUE"""),"")</f>
        <v/>
      </c>
      <c r="W204" s="1416" t="s">
        <v>455</v>
      </c>
      <c r="X204" s="1417"/>
    </row>
    <row r="205">
      <c r="A205" s="1404"/>
      <c r="B205" s="1424"/>
      <c r="C205" s="1473"/>
      <c r="D205" s="1476"/>
      <c r="E205" s="1477"/>
      <c r="F205" s="1424"/>
      <c r="G205" s="1424"/>
      <c r="H205" s="1424"/>
      <c r="I205" s="1424"/>
      <c r="J205" s="1423"/>
      <c r="K205" s="1429"/>
      <c r="L205" s="1429"/>
      <c r="M205" s="1429"/>
      <c r="N205" s="1417"/>
      <c r="O205" s="1417"/>
      <c r="P205" s="1417"/>
      <c r="Q205" s="1417"/>
      <c r="R205" s="1417"/>
      <c r="S205" s="1443"/>
      <c r="T205" s="1417" t="s">
        <v>455</v>
      </c>
      <c r="U205" s="1417" t="s">
        <v>455</v>
      </c>
      <c r="V205" s="1417" t="str">
        <f>IFERROR(__xludf.DUMMYFUNCTION("""COMPUTED_VALUE"""),"")</f>
        <v/>
      </c>
      <c r="W205" s="1416" t="s">
        <v>455</v>
      </c>
      <c r="X205" s="1417"/>
    </row>
    <row r="206">
      <c r="A206" s="1404"/>
      <c r="B206" s="1424"/>
      <c r="C206" s="1473"/>
      <c r="D206" s="1476"/>
      <c r="E206" s="1477"/>
      <c r="F206" s="1424"/>
      <c r="G206" s="1424"/>
      <c r="H206" s="1424"/>
      <c r="I206" s="1424"/>
      <c r="J206" s="1423"/>
      <c r="K206" s="1429"/>
      <c r="L206" s="1429"/>
      <c r="M206" s="1429"/>
      <c r="N206" s="1417"/>
      <c r="O206" s="1417"/>
      <c r="P206" s="1417"/>
      <c r="Q206" s="1417"/>
      <c r="R206" s="1417"/>
      <c r="S206" s="1443"/>
      <c r="T206" s="1417" t="s">
        <v>455</v>
      </c>
      <c r="U206" s="1417" t="s">
        <v>455</v>
      </c>
      <c r="V206" s="1417" t="str">
        <f>IFERROR(__xludf.DUMMYFUNCTION("""COMPUTED_VALUE"""),"")</f>
        <v/>
      </c>
      <c r="W206" s="1416" t="s">
        <v>455</v>
      </c>
      <c r="X206" s="1417"/>
    </row>
    <row r="207">
      <c r="A207" s="1404"/>
      <c r="B207" s="1424"/>
      <c r="C207" s="1473"/>
      <c r="D207" s="1476"/>
      <c r="E207" s="1477"/>
      <c r="F207" s="1424"/>
      <c r="G207" s="1424"/>
      <c r="H207" s="1424"/>
      <c r="I207" s="1424"/>
      <c r="J207" s="1423"/>
      <c r="K207" s="1429"/>
      <c r="L207" s="1429"/>
      <c r="M207" s="1429"/>
      <c r="N207" s="1417"/>
      <c r="O207" s="1417"/>
      <c r="P207" s="1417"/>
      <c r="Q207" s="1417"/>
      <c r="R207" s="1417"/>
      <c r="S207" s="1443"/>
      <c r="T207" s="1417" t="s">
        <v>455</v>
      </c>
      <c r="U207" s="1417" t="s">
        <v>455</v>
      </c>
      <c r="V207" s="1417" t="str">
        <f>IFERROR(__xludf.DUMMYFUNCTION("""COMPUTED_VALUE"""),"")</f>
        <v/>
      </c>
      <c r="W207" s="1416" t="s">
        <v>455</v>
      </c>
      <c r="X207" s="1417"/>
    </row>
    <row r="208">
      <c r="A208" s="1404"/>
      <c r="B208" s="1424"/>
      <c r="C208" s="1473"/>
      <c r="D208" s="1476"/>
      <c r="E208" s="1477"/>
      <c r="F208" s="1424"/>
      <c r="G208" s="1424"/>
      <c r="H208" s="1424"/>
      <c r="I208" s="1424"/>
      <c r="J208" s="1423"/>
      <c r="K208" s="1429"/>
      <c r="L208" s="1429"/>
      <c r="M208" s="1429"/>
      <c r="N208" s="1417"/>
      <c r="O208" s="1417"/>
      <c r="P208" s="1417"/>
      <c r="Q208" s="1417"/>
      <c r="R208" s="1417"/>
      <c r="S208" s="1443"/>
      <c r="T208" s="1417" t="s">
        <v>455</v>
      </c>
      <c r="U208" s="1417" t="s">
        <v>455</v>
      </c>
      <c r="V208" s="1417" t="str">
        <f>IFERROR(__xludf.DUMMYFUNCTION("""COMPUTED_VALUE"""),"")</f>
        <v/>
      </c>
      <c r="W208" s="1416" t="s">
        <v>455</v>
      </c>
      <c r="X208" s="1417"/>
    </row>
    <row r="209">
      <c r="A209" s="1404"/>
      <c r="B209" s="1424"/>
      <c r="C209" s="1473"/>
      <c r="D209" s="1476"/>
      <c r="E209" s="1477"/>
      <c r="F209" s="1424"/>
      <c r="G209" s="1424"/>
      <c r="H209" s="1424"/>
      <c r="I209" s="1424"/>
      <c r="J209" s="1423"/>
      <c r="K209" s="1429"/>
      <c r="L209" s="1429"/>
      <c r="M209" s="1429"/>
      <c r="N209" s="1417"/>
      <c r="O209" s="1417"/>
      <c r="P209" s="1417"/>
      <c r="Q209" s="1417"/>
      <c r="R209" s="1417"/>
      <c r="S209" s="1443"/>
      <c r="T209" s="1417" t="s">
        <v>455</v>
      </c>
      <c r="U209" s="1417" t="s">
        <v>455</v>
      </c>
      <c r="V209" s="1417" t="str">
        <f>IFERROR(__xludf.DUMMYFUNCTION("""COMPUTED_VALUE"""),"")</f>
        <v/>
      </c>
      <c r="W209" s="1416" t="s">
        <v>455</v>
      </c>
      <c r="X209" s="1417"/>
    </row>
    <row r="210">
      <c r="A210" s="1404"/>
      <c r="B210" s="1424"/>
      <c r="C210" s="1473"/>
      <c r="D210" s="1476"/>
      <c r="E210" s="1477"/>
      <c r="F210" s="1424"/>
      <c r="G210" s="1424"/>
      <c r="H210" s="1424"/>
      <c r="I210" s="1424"/>
      <c r="J210" s="1423"/>
      <c r="K210" s="1429"/>
      <c r="L210" s="1429"/>
      <c r="M210" s="1429"/>
      <c r="N210" s="1417"/>
      <c r="O210" s="1417"/>
      <c r="P210" s="1417"/>
      <c r="Q210" s="1417"/>
      <c r="R210" s="1417"/>
      <c r="S210" s="1443"/>
      <c r="T210" s="1417" t="s">
        <v>455</v>
      </c>
      <c r="U210" s="1417" t="s">
        <v>455</v>
      </c>
      <c r="V210" s="1417" t="str">
        <f>IFERROR(__xludf.DUMMYFUNCTION("""COMPUTED_VALUE"""),"")</f>
        <v/>
      </c>
      <c r="W210" s="1416" t="s">
        <v>455</v>
      </c>
      <c r="X210" s="1417"/>
    </row>
    <row r="211">
      <c r="A211" s="1404"/>
      <c r="B211" s="1424"/>
      <c r="C211" s="1473"/>
      <c r="D211" s="1476"/>
      <c r="E211" s="1477"/>
      <c r="F211" s="1424"/>
      <c r="G211" s="1424"/>
      <c r="H211" s="1424"/>
      <c r="I211" s="1424"/>
      <c r="J211" s="1423"/>
      <c r="K211" s="1429"/>
      <c r="L211" s="1429"/>
      <c r="M211" s="1429"/>
      <c r="N211" s="1417"/>
      <c r="O211" s="1417"/>
      <c r="P211" s="1417"/>
      <c r="Q211" s="1417"/>
      <c r="R211" s="1417"/>
      <c r="S211" s="1443"/>
      <c r="T211" s="1417" t="s">
        <v>455</v>
      </c>
      <c r="U211" s="1417" t="s">
        <v>455</v>
      </c>
      <c r="V211" s="1417" t="str">
        <f>IFERROR(__xludf.DUMMYFUNCTION("""COMPUTED_VALUE"""),"")</f>
        <v/>
      </c>
      <c r="W211" s="1416" t="s">
        <v>455</v>
      </c>
      <c r="X211" s="1417"/>
    </row>
    <row r="212">
      <c r="A212" s="1404"/>
      <c r="B212" s="1424"/>
      <c r="C212" s="1473"/>
      <c r="D212" s="1476"/>
      <c r="E212" s="1477"/>
      <c r="F212" s="1424"/>
      <c r="G212" s="1424"/>
      <c r="H212" s="1424"/>
      <c r="I212" s="1424"/>
      <c r="J212" s="1423"/>
      <c r="K212" s="1429"/>
      <c r="L212" s="1429"/>
      <c r="M212" s="1429"/>
      <c r="N212" s="1417"/>
      <c r="O212" s="1417"/>
      <c r="P212" s="1417"/>
      <c r="Q212" s="1417"/>
      <c r="R212" s="1417"/>
      <c r="S212" s="1443"/>
      <c r="T212" s="1417" t="s">
        <v>455</v>
      </c>
      <c r="U212" s="1417" t="s">
        <v>455</v>
      </c>
      <c r="V212" s="1417" t="str">
        <f>IFERROR(__xludf.DUMMYFUNCTION("""COMPUTED_VALUE"""),"")</f>
        <v/>
      </c>
      <c r="W212" s="1416" t="s">
        <v>455</v>
      </c>
      <c r="X212" s="1417"/>
    </row>
    <row r="213">
      <c r="A213" s="1404"/>
      <c r="B213" s="1424"/>
      <c r="C213" s="1473"/>
      <c r="D213" s="1476"/>
      <c r="E213" s="1477"/>
      <c r="F213" s="1424"/>
      <c r="G213" s="1424"/>
      <c r="H213" s="1424"/>
      <c r="I213" s="1424"/>
      <c r="J213" s="1423"/>
      <c r="K213" s="1429"/>
      <c r="L213" s="1429"/>
      <c r="M213" s="1429"/>
      <c r="N213" s="1417"/>
      <c r="O213" s="1417"/>
      <c r="P213" s="1417"/>
      <c r="Q213" s="1417"/>
      <c r="R213" s="1417"/>
      <c r="S213" s="1443"/>
      <c r="T213" s="1417" t="s">
        <v>455</v>
      </c>
      <c r="U213" s="1417" t="s">
        <v>455</v>
      </c>
      <c r="V213" s="1417" t="str">
        <f>IFERROR(__xludf.DUMMYFUNCTION("""COMPUTED_VALUE"""),"")</f>
        <v/>
      </c>
      <c r="W213" s="1416" t="s">
        <v>455</v>
      </c>
      <c r="X213" s="1417"/>
    </row>
    <row r="214">
      <c r="A214" s="1404"/>
      <c r="B214" s="1424"/>
      <c r="C214" s="1473"/>
      <c r="D214" s="1476"/>
      <c r="E214" s="1477"/>
      <c r="F214" s="1424"/>
      <c r="G214" s="1424"/>
      <c r="H214" s="1424"/>
      <c r="I214" s="1424"/>
      <c r="J214" s="1423"/>
      <c r="K214" s="1429"/>
      <c r="L214" s="1429"/>
      <c r="M214" s="1429"/>
      <c r="N214" s="1417"/>
      <c r="O214" s="1417"/>
      <c r="P214" s="1417"/>
      <c r="Q214" s="1417"/>
      <c r="R214" s="1417"/>
      <c r="S214" s="1443"/>
      <c r="T214" s="1417" t="s">
        <v>455</v>
      </c>
      <c r="U214" s="1417" t="s">
        <v>455</v>
      </c>
      <c r="V214" s="1417" t="str">
        <f>IFERROR(__xludf.DUMMYFUNCTION("""COMPUTED_VALUE"""),"")</f>
        <v/>
      </c>
      <c r="W214" s="1416" t="s">
        <v>455</v>
      </c>
      <c r="X214" s="1417"/>
    </row>
    <row r="215">
      <c r="A215" s="1404"/>
      <c r="B215" s="1424"/>
      <c r="C215" s="1473"/>
      <c r="D215" s="1476"/>
      <c r="E215" s="1477"/>
      <c r="F215" s="1424"/>
      <c r="G215" s="1424"/>
      <c r="H215" s="1424"/>
      <c r="I215" s="1424"/>
      <c r="J215" s="1423"/>
      <c r="K215" s="1429"/>
      <c r="L215" s="1429"/>
      <c r="M215" s="1429"/>
      <c r="N215" s="1417"/>
      <c r="O215" s="1417"/>
      <c r="P215" s="1417"/>
      <c r="Q215" s="1417"/>
      <c r="R215" s="1417"/>
      <c r="S215" s="1443"/>
      <c r="T215" s="1417" t="s">
        <v>455</v>
      </c>
      <c r="U215" s="1417" t="s">
        <v>455</v>
      </c>
      <c r="V215" s="1417" t="str">
        <f>IFERROR(__xludf.DUMMYFUNCTION("""COMPUTED_VALUE"""),"")</f>
        <v/>
      </c>
      <c r="W215" s="1416" t="s">
        <v>455</v>
      </c>
      <c r="X215" s="1417"/>
    </row>
    <row r="216">
      <c r="A216" s="1404"/>
      <c r="B216" s="1424"/>
      <c r="C216" s="1473"/>
      <c r="D216" s="1476"/>
      <c r="E216" s="1477"/>
      <c r="F216" s="1424"/>
      <c r="G216" s="1424"/>
      <c r="H216" s="1424"/>
      <c r="I216" s="1424"/>
      <c r="J216" s="1423"/>
      <c r="K216" s="1429"/>
      <c r="L216" s="1429"/>
      <c r="M216" s="1429"/>
      <c r="N216" s="1417"/>
      <c r="O216" s="1417"/>
      <c r="P216" s="1417"/>
      <c r="Q216" s="1417"/>
      <c r="R216" s="1417"/>
      <c r="S216" s="1443"/>
      <c r="T216" s="1417" t="s">
        <v>455</v>
      </c>
      <c r="U216" s="1417" t="s">
        <v>455</v>
      </c>
      <c r="V216" s="1417" t="str">
        <f>IFERROR(__xludf.DUMMYFUNCTION("""COMPUTED_VALUE"""),"")</f>
        <v/>
      </c>
      <c r="W216" s="1416" t="s">
        <v>455</v>
      </c>
      <c r="X216" s="1417"/>
    </row>
    <row r="217">
      <c r="A217" s="1404"/>
      <c r="B217" s="1424"/>
      <c r="C217" s="1473"/>
      <c r="D217" s="1476"/>
      <c r="E217" s="1477"/>
      <c r="F217" s="1424"/>
      <c r="G217" s="1424"/>
      <c r="H217" s="1424"/>
      <c r="I217" s="1424"/>
      <c r="J217" s="1423"/>
      <c r="K217" s="1429"/>
      <c r="L217" s="1429"/>
      <c r="M217" s="1429"/>
      <c r="N217" s="1417"/>
      <c r="O217" s="1417"/>
      <c r="P217" s="1417"/>
      <c r="Q217" s="1417"/>
      <c r="R217" s="1417"/>
      <c r="S217" s="1443"/>
      <c r="T217" s="1417" t="s">
        <v>455</v>
      </c>
      <c r="U217" s="1417" t="s">
        <v>455</v>
      </c>
      <c r="V217" s="1417" t="str">
        <f>IFERROR(__xludf.DUMMYFUNCTION("""COMPUTED_VALUE"""),"")</f>
        <v/>
      </c>
      <c r="W217" s="1416" t="s">
        <v>455</v>
      </c>
      <c r="X217" s="1417"/>
    </row>
    <row r="218">
      <c r="A218" s="1404"/>
      <c r="B218" s="1424"/>
      <c r="C218" s="1473"/>
      <c r="D218" s="1476"/>
      <c r="E218" s="1477"/>
      <c r="F218" s="1424"/>
      <c r="G218" s="1424"/>
      <c r="H218" s="1424"/>
      <c r="I218" s="1424"/>
      <c r="J218" s="1423"/>
      <c r="K218" s="1429"/>
      <c r="L218" s="1429"/>
      <c r="M218" s="1429"/>
      <c r="N218" s="1417"/>
      <c r="O218" s="1417"/>
      <c r="P218" s="1417"/>
      <c r="Q218" s="1417"/>
      <c r="R218" s="1417"/>
      <c r="S218" s="1443"/>
      <c r="T218" s="1417" t="s">
        <v>455</v>
      </c>
      <c r="U218" s="1417" t="s">
        <v>455</v>
      </c>
      <c r="V218" s="1417" t="str">
        <f>IFERROR(__xludf.DUMMYFUNCTION("""COMPUTED_VALUE"""),"")</f>
        <v/>
      </c>
      <c r="W218" s="1416" t="s">
        <v>455</v>
      </c>
      <c r="X218" s="1417"/>
    </row>
    <row r="219">
      <c r="A219" s="1404"/>
      <c r="B219" s="1424"/>
      <c r="C219" s="1473"/>
      <c r="D219" s="1476"/>
      <c r="E219" s="1477"/>
      <c r="F219" s="1424"/>
      <c r="G219" s="1424"/>
      <c r="H219" s="1424"/>
      <c r="I219" s="1424"/>
      <c r="J219" s="1423"/>
      <c r="K219" s="1429"/>
      <c r="L219" s="1429"/>
      <c r="M219" s="1429"/>
      <c r="N219" s="1417"/>
      <c r="O219" s="1417"/>
      <c r="P219" s="1417"/>
      <c r="Q219" s="1417"/>
      <c r="R219" s="1417"/>
      <c r="S219" s="1443"/>
      <c r="T219" s="1417" t="s">
        <v>455</v>
      </c>
      <c r="U219" s="1417" t="s">
        <v>455</v>
      </c>
      <c r="V219" s="1417" t="str">
        <f>IFERROR(__xludf.DUMMYFUNCTION("""COMPUTED_VALUE"""),"")</f>
        <v/>
      </c>
      <c r="W219" s="1416" t="s">
        <v>455</v>
      </c>
      <c r="X219" s="1417"/>
    </row>
    <row r="220">
      <c r="A220" s="1404"/>
      <c r="B220" s="1424"/>
      <c r="C220" s="1473"/>
      <c r="D220" s="1476"/>
      <c r="E220" s="1477"/>
      <c r="F220" s="1424"/>
      <c r="G220" s="1424"/>
      <c r="H220" s="1424"/>
      <c r="I220" s="1424"/>
      <c r="J220" s="1423"/>
      <c r="K220" s="1429"/>
      <c r="L220" s="1429"/>
      <c r="M220" s="1429"/>
      <c r="N220" s="1417"/>
      <c r="O220" s="1417"/>
      <c r="P220" s="1417"/>
      <c r="Q220" s="1417"/>
      <c r="R220" s="1417"/>
      <c r="S220" s="1443"/>
      <c r="T220" s="1417" t="s">
        <v>455</v>
      </c>
      <c r="U220" s="1417" t="s">
        <v>455</v>
      </c>
      <c r="V220" s="1417" t="str">
        <f>IFERROR(__xludf.DUMMYFUNCTION("""COMPUTED_VALUE"""),"")</f>
        <v/>
      </c>
      <c r="W220" s="1416" t="s">
        <v>455</v>
      </c>
      <c r="X220" s="1417"/>
    </row>
    <row r="221">
      <c r="A221" s="1404"/>
      <c r="B221" s="1424"/>
      <c r="C221" s="1473"/>
      <c r="D221" s="1476"/>
      <c r="E221" s="1477"/>
      <c r="F221" s="1424"/>
      <c r="G221" s="1424"/>
      <c r="H221" s="1424"/>
      <c r="I221" s="1424"/>
      <c r="J221" s="1423"/>
      <c r="K221" s="1429"/>
      <c r="L221" s="1429"/>
      <c r="M221" s="1429"/>
      <c r="N221" s="1417"/>
      <c r="O221" s="1417"/>
      <c r="P221" s="1417"/>
      <c r="Q221" s="1417"/>
      <c r="R221" s="1417"/>
      <c r="S221" s="1443"/>
      <c r="T221" s="1417" t="s">
        <v>455</v>
      </c>
      <c r="U221" s="1417" t="s">
        <v>455</v>
      </c>
      <c r="V221" s="1417" t="str">
        <f>IFERROR(__xludf.DUMMYFUNCTION("""COMPUTED_VALUE"""),"")</f>
        <v/>
      </c>
      <c r="W221" s="1416" t="s">
        <v>455</v>
      </c>
      <c r="X221" s="1417"/>
    </row>
    <row r="222">
      <c r="A222" s="1404"/>
      <c r="B222" s="1424"/>
      <c r="C222" s="1473"/>
      <c r="D222" s="1476"/>
      <c r="E222" s="1477"/>
      <c r="F222" s="1424"/>
      <c r="G222" s="1424"/>
      <c r="H222" s="1424"/>
      <c r="I222" s="1424"/>
      <c r="J222" s="1423"/>
      <c r="K222" s="1429"/>
      <c r="L222" s="1429"/>
      <c r="M222" s="1429"/>
      <c r="N222" s="1417"/>
      <c r="O222" s="1417"/>
      <c r="P222" s="1417"/>
      <c r="Q222" s="1417"/>
      <c r="R222" s="1417"/>
      <c r="S222" s="1443"/>
      <c r="T222" s="1417" t="s">
        <v>455</v>
      </c>
      <c r="U222" s="1417" t="s">
        <v>455</v>
      </c>
      <c r="V222" s="1417" t="str">
        <f>IFERROR(__xludf.DUMMYFUNCTION("""COMPUTED_VALUE"""),"")</f>
        <v/>
      </c>
      <c r="W222" s="1416" t="s">
        <v>455</v>
      </c>
      <c r="X222" s="1417"/>
    </row>
    <row r="223">
      <c r="A223" s="1404"/>
      <c r="B223" s="1424"/>
      <c r="C223" s="1473"/>
      <c r="D223" s="1476"/>
      <c r="E223" s="1477"/>
      <c r="F223" s="1424"/>
      <c r="G223" s="1424"/>
      <c r="H223" s="1424"/>
      <c r="I223" s="1424"/>
      <c r="J223" s="1423"/>
      <c r="K223" s="1429"/>
      <c r="L223" s="1429"/>
      <c r="M223" s="1429"/>
      <c r="N223" s="1417"/>
      <c r="O223" s="1417"/>
      <c r="P223" s="1417"/>
      <c r="Q223" s="1417"/>
      <c r="R223" s="1417"/>
      <c r="S223" s="1443"/>
      <c r="T223" s="1417" t="s">
        <v>455</v>
      </c>
      <c r="U223" s="1417" t="s">
        <v>455</v>
      </c>
      <c r="V223" s="1417" t="str">
        <f>IFERROR(__xludf.DUMMYFUNCTION("""COMPUTED_VALUE"""),"")</f>
        <v/>
      </c>
      <c r="W223" s="1416" t="s">
        <v>455</v>
      </c>
      <c r="X223" s="1417"/>
    </row>
    <row r="224">
      <c r="A224" s="1404"/>
      <c r="B224" s="1424"/>
      <c r="C224" s="1473"/>
      <c r="D224" s="1476"/>
      <c r="E224" s="1477"/>
      <c r="F224" s="1424"/>
      <c r="G224" s="1424"/>
      <c r="H224" s="1424"/>
      <c r="I224" s="1424"/>
      <c r="J224" s="1423"/>
      <c r="K224" s="1429"/>
      <c r="L224" s="1429"/>
      <c r="M224" s="1429"/>
      <c r="N224" s="1417"/>
      <c r="O224" s="1417"/>
      <c r="P224" s="1417"/>
      <c r="Q224" s="1417"/>
      <c r="R224" s="1417"/>
      <c r="S224" s="1443"/>
      <c r="T224" s="1417" t="s">
        <v>455</v>
      </c>
      <c r="U224" s="1417" t="s">
        <v>455</v>
      </c>
      <c r="V224" s="1417" t="str">
        <f>IFERROR(__xludf.DUMMYFUNCTION("""COMPUTED_VALUE"""),"")</f>
        <v/>
      </c>
      <c r="W224" s="1416" t="s">
        <v>455</v>
      </c>
      <c r="X224" s="1417"/>
    </row>
    <row r="225">
      <c r="A225" s="1404"/>
      <c r="B225" s="1424"/>
      <c r="C225" s="1473"/>
      <c r="D225" s="1476"/>
      <c r="E225" s="1477"/>
      <c r="F225" s="1424"/>
      <c r="G225" s="1424"/>
      <c r="H225" s="1424"/>
      <c r="I225" s="1424"/>
      <c r="J225" s="1423"/>
      <c r="K225" s="1429"/>
      <c r="L225" s="1429"/>
      <c r="M225" s="1429"/>
      <c r="N225" s="1417"/>
      <c r="O225" s="1417"/>
      <c r="P225" s="1417"/>
      <c r="Q225" s="1417"/>
      <c r="R225" s="1417"/>
      <c r="S225" s="1443"/>
      <c r="T225" s="1417" t="s">
        <v>455</v>
      </c>
      <c r="U225" s="1417" t="s">
        <v>455</v>
      </c>
      <c r="V225" s="1417" t="str">
        <f>IFERROR(__xludf.DUMMYFUNCTION("""COMPUTED_VALUE"""),"")</f>
        <v/>
      </c>
      <c r="W225" s="1416" t="s">
        <v>455</v>
      </c>
      <c r="X225" s="1417"/>
    </row>
    <row r="226">
      <c r="A226" s="1404"/>
      <c r="B226" s="1424"/>
      <c r="C226" s="1473"/>
      <c r="D226" s="1476"/>
      <c r="E226" s="1477"/>
      <c r="F226" s="1424"/>
      <c r="G226" s="1424"/>
      <c r="H226" s="1424"/>
      <c r="I226" s="1424"/>
      <c r="J226" s="1423"/>
      <c r="K226" s="1429"/>
      <c r="L226" s="1429"/>
      <c r="M226" s="1429"/>
      <c r="N226" s="1417"/>
      <c r="O226" s="1417"/>
      <c r="P226" s="1417"/>
      <c r="Q226" s="1417"/>
      <c r="R226" s="1417"/>
      <c r="S226" s="1443"/>
      <c r="T226" s="1417" t="s">
        <v>455</v>
      </c>
      <c r="U226" s="1417" t="s">
        <v>455</v>
      </c>
      <c r="V226" s="1417" t="str">
        <f>IFERROR(__xludf.DUMMYFUNCTION("""COMPUTED_VALUE"""),"")</f>
        <v/>
      </c>
      <c r="W226" s="1416" t="s">
        <v>455</v>
      </c>
      <c r="X226" s="1417"/>
    </row>
    <row r="227">
      <c r="A227" s="1404"/>
      <c r="B227" s="1424"/>
      <c r="C227" s="1473"/>
      <c r="D227" s="1476"/>
      <c r="E227" s="1477"/>
      <c r="F227" s="1424"/>
      <c r="G227" s="1424"/>
      <c r="H227" s="1424"/>
      <c r="I227" s="1424"/>
      <c r="J227" s="1423"/>
      <c r="K227" s="1429"/>
      <c r="L227" s="1429"/>
      <c r="M227" s="1429"/>
      <c r="N227" s="1417"/>
      <c r="O227" s="1417"/>
      <c r="P227" s="1417"/>
      <c r="Q227" s="1417"/>
      <c r="R227" s="1417"/>
      <c r="S227" s="1443"/>
      <c r="T227" s="1417" t="s">
        <v>455</v>
      </c>
      <c r="U227" s="1417" t="s">
        <v>455</v>
      </c>
      <c r="V227" s="1417" t="str">
        <f>IFERROR(__xludf.DUMMYFUNCTION("""COMPUTED_VALUE"""),"")</f>
        <v/>
      </c>
      <c r="W227" s="1416" t="s">
        <v>455</v>
      </c>
      <c r="X227" s="1417"/>
    </row>
    <row r="228">
      <c r="A228" s="1404"/>
      <c r="B228" s="1424"/>
      <c r="C228" s="1473"/>
      <c r="D228" s="1476"/>
      <c r="E228" s="1477"/>
      <c r="F228" s="1424"/>
      <c r="G228" s="1424"/>
      <c r="H228" s="1424"/>
      <c r="I228" s="1424"/>
      <c r="J228" s="1423"/>
      <c r="K228" s="1429"/>
      <c r="L228" s="1429"/>
      <c r="M228" s="1429"/>
      <c r="N228" s="1417"/>
      <c r="O228" s="1417"/>
      <c r="P228" s="1417"/>
      <c r="Q228" s="1417"/>
      <c r="R228" s="1417"/>
      <c r="S228" s="1443"/>
      <c r="T228" s="1417" t="s">
        <v>455</v>
      </c>
      <c r="U228" s="1417" t="s">
        <v>455</v>
      </c>
      <c r="V228" s="1417" t="str">
        <f>IFERROR(__xludf.DUMMYFUNCTION("""COMPUTED_VALUE"""),"")</f>
        <v/>
      </c>
      <c r="W228" s="1416" t="s">
        <v>455</v>
      </c>
      <c r="X228" s="1417"/>
    </row>
    <row r="229">
      <c r="A229" s="1404"/>
      <c r="B229" s="1424"/>
      <c r="C229" s="1473"/>
      <c r="D229" s="1476"/>
      <c r="E229" s="1477"/>
      <c r="F229" s="1424"/>
      <c r="G229" s="1424"/>
      <c r="H229" s="1424"/>
      <c r="I229" s="1424"/>
      <c r="J229" s="1423"/>
      <c r="K229" s="1429"/>
      <c r="L229" s="1429"/>
      <c r="M229" s="1429"/>
      <c r="N229" s="1417"/>
      <c r="O229" s="1417"/>
      <c r="P229" s="1417"/>
      <c r="Q229" s="1417"/>
      <c r="R229" s="1417"/>
      <c r="S229" s="1443"/>
      <c r="T229" s="1417" t="s">
        <v>455</v>
      </c>
      <c r="U229" s="1417" t="s">
        <v>455</v>
      </c>
      <c r="V229" s="1417" t="str">
        <f>IFERROR(__xludf.DUMMYFUNCTION("""COMPUTED_VALUE"""),"")</f>
        <v/>
      </c>
      <c r="W229" s="1416" t="s">
        <v>455</v>
      </c>
      <c r="X229" s="1417"/>
    </row>
    <row r="230">
      <c r="A230" s="1404"/>
      <c r="B230" s="1424"/>
      <c r="C230" s="1473"/>
      <c r="D230" s="1476"/>
      <c r="E230" s="1477"/>
      <c r="F230" s="1424"/>
      <c r="G230" s="1424"/>
      <c r="H230" s="1424"/>
      <c r="I230" s="1424"/>
      <c r="J230" s="1423"/>
      <c r="K230" s="1429"/>
      <c r="L230" s="1429"/>
      <c r="M230" s="1429"/>
      <c r="N230" s="1417"/>
      <c r="O230" s="1417"/>
      <c r="P230" s="1417"/>
      <c r="Q230" s="1417"/>
      <c r="R230" s="1417"/>
      <c r="S230" s="1443"/>
      <c r="T230" s="1417" t="s">
        <v>455</v>
      </c>
      <c r="U230" s="1417" t="s">
        <v>455</v>
      </c>
      <c r="V230" s="1417" t="str">
        <f>IFERROR(__xludf.DUMMYFUNCTION("""COMPUTED_VALUE"""),"")</f>
        <v/>
      </c>
      <c r="W230" s="1416" t="s">
        <v>455</v>
      </c>
      <c r="X230" s="1417"/>
    </row>
    <row r="231">
      <c r="A231" s="1404"/>
      <c r="B231" s="1424"/>
      <c r="C231" s="1473"/>
      <c r="D231" s="1476"/>
      <c r="E231" s="1477"/>
      <c r="F231" s="1424"/>
      <c r="G231" s="1424"/>
      <c r="H231" s="1424"/>
      <c r="I231" s="1424"/>
      <c r="J231" s="1423"/>
      <c r="K231" s="1429"/>
      <c r="L231" s="1429"/>
      <c r="M231" s="1429"/>
      <c r="N231" s="1417"/>
      <c r="O231" s="1417"/>
      <c r="P231" s="1417"/>
      <c r="Q231" s="1417"/>
      <c r="R231" s="1417"/>
      <c r="S231" s="1443"/>
      <c r="T231" s="1417" t="s">
        <v>455</v>
      </c>
      <c r="U231" s="1417" t="s">
        <v>455</v>
      </c>
      <c r="V231" s="1417" t="str">
        <f>IFERROR(__xludf.DUMMYFUNCTION("""COMPUTED_VALUE"""),"")</f>
        <v/>
      </c>
      <c r="W231" s="1416" t="s">
        <v>455</v>
      </c>
      <c r="X231" s="1417"/>
    </row>
    <row r="232">
      <c r="A232" s="1404"/>
      <c r="B232" s="1424"/>
      <c r="C232" s="1473"/>
      <c r="D232" s="1476"/>
      <c r="E232" s="1477"/>
      <c r="F232" s="1424"/>
      <c r="G232" s="1424"/>
      <c r="H232" s="1424"/>
      <c r="I232" s="1424"/>
      <c r="J232" s="1423"/>
      <c r="K232" s="1429"/>
      <c r="L232" s="1429"/>
      <c r="M232" s="1429"/>
      <c r="N232" s="1417"/>
      <c r="O232" s="1417"/>
      <c r="P232" s="1417"/>
      <c r="Q232" s="1417"/>
      <c r="R232" s="1417"/>
      <c r="S232" s="1443"/>
      <c r="T232" s="1417" t="s">
        <v>455</v>
      </c>
      <c r="U232" s="1417" t="s">
        <v>455</v>
      </c>
      <c r="V232" s="1417" t="str">
        <f>IFERROR(__xludf.DUMMYFUNCTION("""COMPUTED_VALUE"""),"")</f>
        <v/>
      </c>
      <c r="W232" s="1416" t="s">
        <v>455</v>
      </c>
      <c r="X232" s="1417"/>
    </row>
    <row r="233">
      <c r="A233" s="1404"/>
      <c r="B233" s="1424"/>
      <c r="C233" s="1473"/>
      <c r="D233" s="1476"/>
      <c r="E233" s="1477"/>
      <c r="F233" s="1424"/>
      <c r="G233" s="1424"/>
      <c r="H233" s="1424"/>
      <c r="I233" s="1424"/>
      <c r="J233" s="1423"/>
      <c r="K233" s="1429"/>
      <c r="L233" s="1429"/>
      <c r="M233" s="1429"/>
      <c r="N233" s="1417"/>
      <c r="O233" s="1417"/>
      <c r="P233" s="1417"/>
      <c r="Q233" s="1417"/>
      <c r="R233" s="1417"/>
      <c r="S233" s="1443"/>
      <c r="T233" s="1417" t="s">
        <v>455</v>
      </c>
      <c r="U233" s="1417" t="s">
        <v>455</v>
      </c>
      <c r="V233" s="1417" t="str">
        <f>IFERROR(__xludf.DUMMYFUNCTION("""COMPUTED_VALUE"""),"")</f>
        <v/>
      </c>
      <c r="W233" s="1416" t="s">
        <v>455</v>
      </c>
      <c r="X233" s="1417"/>
    </row>
    <row r="234">
      <c r="A234" s="1404"/>
      <c r="B234" s="1424"/>
      <c r="C234" s="1473"/>
      <c r="D234" s="1476"/>
      <c r="E234" s="1477"/>
      <c r="F234" s="1424"/>
      <c r="G234" s="1424"/>
      <c r="H234" s="1424"/>
      <c r="I234" s="1424"/>
      <c r="J234" s="1423"/>
      <c r="K234" s="1429"/>
      <c r="L234" s="1429"/>
      <c r="M234" s="1429"/>
      <c r="N234" s="1417"/>
      <c r="O234" s="1417"/>
      <c r="P234" s="1417"/>
      <c r="Q234" s="1417"/>
      <c r="R234" s="1417"/>
      <c r="S234" s="1443"/>
      <c r="T234" s="1417" t="s">
        <v>455</v>
      </c>
      <c r="U234" s="1417" t="s">
        <v>455</v>
      </c>
      <c r="V234" s="1417" t="str">
        <f>IFERROR(__xludf.DUMMYFUNCTION("""COMPUTED_VALUE"""),"")</f>
        <v/>
      </c>
      <c r="W234" s="1416" t="s">
        <v>455</v>
      </c>
      <c r="X234" s="1417"/>
    </row>
    <row r="235">
      <c r="A235" s="1404"/>
      <c r="B235" s="1424"/>
      <c r="C235" s="1473"/>
      <c r="D235" s="1476"/>
      <c r="E235" s="1477"/>
      <c r="F235" s="1424"/>
      <c r="G235" s="1424"/>
      <c r="H235" s="1424"/>
      <c r="I235" s="1424"/>
      <c r="J235" s="1423"/>
      <c r="K235" s="1429"/>
      <c r="L235" s="1429"/>
      <c r="M235" s="1429"/>
      <c r="N235" s="1417"/>
      <c r="O235" s="1417"/>
      <c r="P235" s="1417"/>
      <c r="Q235" s="1417"/>
      <c r="R235" s="1417"/>
      <c r="S235" s="1443"/>
      <c r="T235" s="1417" t="s">
        <v>455</v>
      </c>
      <c r="U235" s="1417" t="s">
        <v>455</v>
      </c>
      <c r="V235" s="1417" t="str">
        <f>IFERROR(__xludf.DUMMYFUNCTION("""COMPUTED_VALUE"""),"")</f>
        <v/>
      </c>
      <c r="W235" s="1416" t="s">
        <v>455</v>
      </c>
      <c r="X235" s="1417"/>
    </row>
    <row r="236">
      <c r="A236" s="1404"/>
      <c r="B236" s="1424"/>
      <c r="C236" s="1473"/>
      <c r="D236" s="1476"/>
      <c r="E236" s="1477"/>
      <c r="F236" s="1424"/>
      <c r="G236" s="1424"/>
      <c r="H236" s="1424"/>
      <c r="I236" s="1424"/>
      <c r="J236" s="1423"/>
      <c r="K236" s="1429"/>
      <c r="L236" s="1429"/>
      <c r="M236" s="1429"/>
      <c r="N236" s="1417"/>
      <c r="O236" s="1417"/>
      <c r="P236" s="1417"/>
      <c r="Q236" s="1417"/>
      <c r="R236" s="1417"/>
      <c r="S236" s="1443"/>
      <c r="T236" s="1417" t="s">
        <v>455</v>
      </c>
      <c r="U236" s="1417" t="s">
        <v>455</v>
      </c>
      <c r="V236" s="1417" t="str">
        <f>IFERROR(__xludf.DUMMYFUNCTION("""COMPUTED_VALUE"""),"")</f>
        <v/>
      </c>
      <c r="W236" s="1416" t="s">
        <v>455</v>
      </c>
      <c r="X236" s="1417"/>
    </row>
    <row r="237">
      <c r="A237" s="1404"/>
      <c r="B237" s="1424"/>
      <c r="C237" s="1473"/>
      <c r="D237" s="1476"/>
      <c r="E237" s="1477"/>
      <c r="F237" s="1424"/>
      <c r="G237" s="1424"/>
      <c r="H237" s="1424"/>
      <c r="I237" s="1424"/>
      <c r="J237" s="1423"/>
      <c r="K237" s="1429"/>
      <c r="L237" s="1429"/>
      <c r="M237" s="1429"/>
      <c r="N237" s="1417"/>
      <c r="O237" s="1417"/>
      <c r="P237" s="1417"/>
      <c r="Q237" s="1417"/>
      <c r="R237" s="1417"/>
      <c r="S237" s="1443"/>
      <c r="T237" s="1417" t="s">
        <v>455</v>
      </c>
      <c r="U237" s="1417" t="s">
        <v>455</v>
      </c>
      <c r="V237" s="1417" t="str">
        <f>IFERROR(__xludf.DUMMYFUNCTION("""COMPUTED_VALUE"""),"")</f>
        <v/>
      </c>
      <c r="W237" s="1416" t="s">
        <v>455</v>
      </c>
      <c r="X237" s="1417"/>
    </row>
    <row r="238">
      <c r="A238" s="1404"/>
      <c r="B238" s="1424"/>
      <c r="C238" s="1473"/>
      <c r="D238" s="1476"/>
      <c r="E238" s="1477"/>
      <c r="F238" s="1424"/>
      <c r="G238" s="1424"/>
      <c r="H238" s="1424"/>
      <c r="I238" s="1424"/>
      <c r="J238" s="1423"/>
      <c r="K238" s="1429"/>
      <c r="L238" s="1429"/>
      <c r="M238" s="1429"/>
      <c r="N238" s="1417"/>
      <c r="O238" s="1417"/>
      <c r="P238" s="1417"/>
      <c r="Q238" s="1417"/>
      <c r="R238" s="1417"/>
      <c r="S238" s="1443"/>
      <c r="T238" s="1417" t="s">
        <v>455</v>
      </c>
      <c r="U238" s="1417" t="s">
        <v>455</v>
      </c>
      <c r="V238" s="1417" t="str">
        <f>IFERROR(__xludf.DUMMYFUNCTION("""COMPUTED_VALUE"""),"")</f>
        <v/>
      </c>
      <c r="W238" s="1416" t="s">
        <v>455</v>
      </c>
      <c r="X238" s="1417"/>
    </row>
    <row r="239">
      <c r="A239" s="1404"/>
      <c r="B239" s="1424"/>
      <c r="C239" s="1473"/>
      <c r="D239" s="1476"/>
      <c r="E239" s="1477"/>
      <c r="F239" s="1424"/>
      <c r="G239" s="1424"/>
      <c r="H239" s="1424"/>
      <c r="I239" s="1424"/>
      <c r="J239" s="1423"/>
      <c r="K239" s="1429"/>
      <c r="L239" s="1429"/>
      <c r="M239" s="1429"/>
      <c r="N239" s="1417"/>
      <c r="O239" s="1417"/>
      <c r="P239" s="1417"/>
      <c r="Q239" s="1417"/>
      <c r="R239" s="1417"/>
      <c r="S239" s="1443"/>
      <c r="T239" s="1417" t="s">
        <v>455</v>
      </c>
      <c r="U239" s="1417" t="s">
        <v>455</v>
      </c>
      <c r="V239" s="1417" t="str">
        <f>IFERROR(__xludf.DUMMYFUNCTION("""COMPUTED_VALUE"""),"")</f>
        <v/>
      </c>
      <c r="W239" s="1416" t="s">
        <v>455</v>
      </c>
      <c r="X239" s="1417"/>
    </row>
    <row r="240">
      <c r="A240" s="1404"/>
      <c r="B240" s="1424"/>
      <c r="C240" s="1473"/>
      <c r="D240" s="1476"/>
      <c r="E240" s="1477"/>
      <c r="F240" s="1424"/>
      <c r="G240" s="1424"/>
      <c r="H240" s="1424"/>
      <c r="I240" s="1424"/>
      <c r="J240" s="1423"/>
      <c r="K240" s="1429"/>
      <c r="L240" s="1429"/>
      <c r="M240" s="1429"/>
      <c r="N240" s="1417"/>
      <c r="O240" s="1417"/>
      <c r="P240" s="1417"/>
      <c r="Q240" s="1417"/>
      <c r="R240" s="1417"/>
      <c r="S240" s="1443"/>
      <c r="T240" s="1417" t="s">
        <v>455</v>
      </c>
      <c r="U240" s="1417" t="s">
        <v>455</v>
      </c>
      <c r="V240" s="1417" t="str">
        <f>IFERROR(__xludf.DUMMYFUNCTION("""COMPUTED_VALUE"""),"")</f>
        <v/>
      </c>
      <c r="W240" s="1416" t="s">
        <v>455</v>
      </c>
      <c r="X240" s="1417"/>
    </row>
    <row r="241">
      <c r="A241" s="1404"/>
      <c r="B241" s="1424"/>
      <c r="C241" s="1473"/>
      <c r="D241" s="1476"/>
      <c r="E241" s="1477"/>
      <c r="F241" s="1424"/>
      <c r="G241" s="1424"/>
      <c r="H241" s="1424"/>
      <c r="I241" s="1424"/>
      <c r="J241" s="1423"/>
      <c r="K241" s="1429"/>
      <c r="L241" s="1429"/>
      <c r="M241" s="1429"/>
      <c r="N241" s="1417"/>
      <c r="O241" s="1417"/>
      <c r="P241" s="1417"/>
      <c r="Q241" s="1417"/>
      <c r="R241" s="1417"/>
      <c r="S241" s="1443"/>
      <c r="T241" s="1417" t="s">
        <v>455</v>
      </c>
      <c r="U241" s="1417" t="s">
        <v>455</v>
      </c>
      <c r="V241" s="1417" t="str">
        <f>IFERROR(__xludf.DUMMYFUNCTION("""COMPUTED_VALUE"""),"")</f>
        <v/>
      </c>
      <c r="W241" s="1416" t="s">
        <v>455</v>
      </c>
      <c r="X241" s="1417"/>
    </row>
    <row r="242">
      <c r="A242" s="1404"/>
      <c r="B242" s="1424"/>
      <c r="C242" s="1473"/>
      <c r="D242" s="1476"/>
      <c r="E242" s="1477"/>
      <c r="F242" s="1424"/>
      <c r="G242" s="1424"/>
      <c r="H242" s="1424"/>
      <c r="I242" s="1424"/>
      <c r="J242" s="1423"/>
      <c r="K242" s="1429"/>
      <c r="L242" s="1429"/>
      <c r="M242" s="1429"/>
      <c r="N242" s="1417"/>
      <c r="O242" s="1417"/>
      <c r="P242" s="1417"/>
      <c r="Q242" s="1417"/>
      <c r="R242" s="1417"/>
      <c r="S242" s="1443"/>
      <c r="T242" s="1417" t="s">
        <v>455</v>
      </c>
      <c r="U242" s="1417" t="s">
        <v>455</v>
      </c>
      <c r="V242" s="1417" t="str">
        <f>IFERROR(__xludf.DUMMYFUNCTION("""COMPUTED_VALUE"""),"")</f>
        <v/>
      </c>
      <c r="W242" s="1416" t="s">
        <v>455</v>
      </c>
      <c r="X242" s="1417"/>
    </row>
    <row r="243">
      <c r="A243" s="1404"/>
      <c r="B243" s="1424"/>
      <c r="C243" s="1473"/>
      <c r="D243" s="1476"/>
      <c r="E243" s="1477"/>
      <c r="F243" s="1424"/>
      <c r="G243" s="1424"/>
      <c r="H243" s="1424"/>
      <c r="I243" s="1424"/>
      <c r="J243" s="1423"/>
      <c r="K243" s="1429"/>
      <c r="L243" s="1429"/>
      <c r="M243" s="1429"/>
      <c r="N243" s="1417"/>
      <c r="O243" s="1417"/>
      <c r="P243" s="1417"/>
      <c r="Q243" s="1417"/>
      <c r="R243" s="1417"/>
      <c r="S243" s="1443"/>
      <c r="T243" s="1417" t="s">
        <v>455</v>
      </c>
      <c r="U243" s="1417" t="s">
        <v>455</v>
      </c>
      <c r="V243" s="1417" t="str">
        <f>IFERROR(__xludf.DUMMYFUNCTION("""COMPUTED_VALUE"""),"")</f>
        <v/>
      </c>
      <c r="W243" s="1416" t="s">
        <v>455</v>
      </c>
      <c r="X243" s="1417"/>
    </row>
    <row r="244">
      <c r="A244" s="1404"/>
      <c r="B244" s="1424"/>
      <c r="C244" s="1473"/>
      <c r="D244" s="1476"/>
      <c r="E244" s="1477"/>
      <c r="F244" s="1424"/>
      <c r="G244" s="1424"/>
      <c r="H244" s="1424"/>
      <c r="I244" s="1424"/>
      <c r="J244" s="1423"/>
      <c r="K244" s="1429"/>
      <c r="L244" s="1429"/>
      <c r="M244" s="1429"/>
      <c r="N244" s="1417"/>
      <c r="O244" s="1417"/>
      <c r="P244" s="1417"/>
      <c r="Q244" s="1417"/>
      <c r="R244" s="1417"/>
      <c r="S244" s="1443"/>
      <c r="T244" s="1417" t="s">
        <v>455</v>
      </c>
      <c r="U244" s="1417" t="s">
        <v>455</v>
      </c>
      <c r="V244" s="1417" t="str">
        <f>IFERROR(__xludf.DUMMYFUNCTION("""COMPUTED_VALUE"""),"")</f>
        <v/>
      </c>
      <c r="W244" s="1416" t="s">
        <v>455</v>
      </c>
      <c r="X244" s="1417"/>
    </row>
    <row r="245">
      <c r="A245" s="1404"/>
      <c r="B245" s="1424"/>
      <c r="C245" s="1473"/>
      <c r="D245" s="1476"/>
      <c r="E245" s="1477"/>
      <c r="F245" s="1424"/>
      <c r="G245" s="1424"/>
      <c r="H245" s="1424"/>
      <c r="I245" s="1424"/>
      <c r="J245" s="1423"/>
      <c r="K245" s="1429"/>
      <c r="L245" s="1429"/>
      <c r="M245" s="1429"/>
      <c r="N245" s="1417"/>
      <c r="O245" s="1417"/>
      <c r="P245" s="1417"/>
      <c r="Q245" s="1417"/>
      <c r="R245" s="1417"/>
      <c r="S245" s="1443"/>
      <c r="T245" s="1417" t="s">
        <v>455</v>
      </c>
      <c r="U245" s="1417" t="s">
        <v>455</v>
      </c>
      <c r="V245" s="1417" t="str">
        <f>IFERROR(__xludf.DUMMYFUNCTION("""COMPUTED_VALUE"""),"")</f>
        <v/>
      </c>
      <c r="W245" s="1416" t="s">
        <v>455</v>
      </c>
      <c r="X245" s="1417"/>
    </row>
    <row r="246">
      <c r="A246" s="1404"/>
      <c r="B246" s="1424"/>
      <c r="C246" s="1473"/>
      <c r="D246" s="1476"/>
      <c r="E246" s="1477"/>
      <c r="F246" s="1424"/>
      <c r="G246" s="1424"/>
      <c r="H246" s="1424"/>
      <c r="I246" s="1424"/>
      <c r="J246" s="1423"/>
      <c r="K246" s="1429"/>
      <c r="L246" s="1429"/>
      <c r="M246" s="1429"/>
      <c r="N246" s="1417"/>
      <c r="O246" s="1417"/>
      <c r="P246" s="1417"/>
      <c r="Q246" s="1417"/>
      <c r="R246" s="1417"/>
      <c r="S246" s="1443"/>
      <c r="T246" s="1417" t="s">
        <v>455</v>
      </c>
      <c r="U246" s="1417" t="s">
        <v>455</v>
      </c>
      <c r="V246" s="1417" t="str">
        <f>IFERROR(__xludf.DUMMYFUNCTION("""COMPUTED_VALUE"""),"")</f>
        <v/>
      </c>
      <c r="W246" s="1416" t="s">
        <v>455</v>
      </c>
      <c r="X246" s="1417"/>
    </row>
    <row r="247">
      <c r="A247" s="1404"/>
      <c r="B247" s="1424"/>
      <c r="C247" s="1473"/>
      <c r="D247" s="1476"/>
      <c r="E247" s="1477"/>
      <c r="F247" s="1424"/>
      <c r="G247" s="1424"/>
      <c r="H247" s="1424"/>
      <c r="I247" s="1424"/>
      <c r="J247" s="1423"/>
      <c r="K247" s="1429"/>
      <c r="L247" s="1429"/>
      <c r="M247" s="1429"/>
      <c r="N247" s="1417"/>
      <c r="O247" s="1417"/>
      <c r="P247" s="1417"/>
      <c r="Q247" s="1417"/>
      <c r="R247" s="1417"/>
      <c r="S247" s="1443"/>
      <c r="T247" s="1417" t="s">
        <v>455</v>
      </c>
      <c r="U247" s="1417" t="s">
        <v>455</v>
      </c>
      <c r="V247" s="1417" t="str">
        <f>IFERROR(__xludf.DUMMYFUNCTION("""COMPUTED_VALUE"""),"")</f>
        <v/>
      </c>
      <c r="W247" s="1416" t="s">
        <v>455</v>
      </c>
      <c r="X247" s="1417"/>
    </row>
    <row r="248">
      <c r="A248" s="1404"/>
      <c r="B248" s="1424"/>
      <c r="C248" s="1473"/>
      <c r="D248" s="1476"/>
      <c r="E248" s="1477"/>
      <c r="F248" s="1424"/>
      <c r="G248" s="1424"/>
      <c r="H248" s="1424"/>
      <c r="I248" s="1424"/>
      <c r="J248" s="1423"/>
      <c r="K248" s="1429"/>
      <c r="L248" s="1429"/>
      <c r="M248" s="1429"/>
      <c r="N248" s="1417"/>
      <c r="O248" s="1417"/>
      <c r="P248" s="1417"/>
      <c r="Q248" s="1417"/>
      <c r="R248" s="1417"/>
      <c r="S248" s="1443"/>
      <c r="T248" s="1417" t="s">
        <v>455</v>
      </c>
      <c r="U248" s="1417" t="s">
        <v>455</v>
      </c>
      <c r="V248" s="1417" t="str">
        <f>IFERROR(__xludf.DUMMYFUNCTION("""COMPUTED_VALUE"""),"")</f>
        <v/>
      </c>
      <c r="W248" s="1416" t="s">
        <v>455</v>
      </c>
      <c r="X248" s="1417"/>
    </row>
    <row r="249">
      <c r="A249" s="1404"/>
      <c r="B249" s="1424"/>
      <c r="C249" s="1473"/>
      <c r="D249" s="1476"/>
      <c r="E249" s="1477"/>
      <c r="F249" s="1424"/>
      <c r="G249" s="1424"/>
      <c r="H249" s="1424"/>
      <c r="I249" s="1424"/>
      <c r="J249" s="1423"/>
      <c r="K249" s="1429"/>
      <c r="L249" s="1429"/>
      <c r="M249" s="1429"/>
      <c r="N249" s="1417"/>
      <c r="O249" s="1417"/>
      <c r="P249" s="1417"/>
      <c r="Q249" s="1417"/>
      <c r="R249" s="1417"/>
      <c r="S249" s="1443"/>
      <c r="T249" s="1417" t="s">
        <v>455</v>
      </c>
      <c r="U249" s="1417" t="s">
        <v>455</v>
      </c>
      <c r="V249" s="1417" t="str">
        <f>IFERROR(__xludf.DUMMYFUNCTION("""COMPUTED_VALUE"""),"")</f>
        <v/>
      </c>
      <c r="W249" s="1416" t="s">
        <v>455</v>
      </c>
      <c r="X249" s="1417"/>
    </row>
    <row r="250">
      <c r="A250" s="1404"/>
      <c r="B250" s="1424"/>
      <c r="C250" s="1473"/>
      <c r="D250" s="1476"/>
      <c r="E250" s="1477"/>
      <c r="F250" s="1424"/>
      <c r="G250" s="1424"/>
      <c r="H250" s="1424"/>
      <c r="I250" s="1424"/>
      <c r="J250" s="1423"/>
      <c r="K250" s="1429"/>
      <c r="L250" s="1429"/>
      <c r="M250" s="1429"/>
      <c r="N250" s="1417"/>
      <c r="O250" s="1417"/>
      <c r="P250" s="1417"/>
      <c r="Q250" s="1417"/>
      <c r="R250" s="1417"/>
      <c r="S250" s="1443"/>
      <c r="T250" s="1417" t="s">
        <v>455</v>
      </c>
      <c r="U250" s="1417" t="s">
        <v>455</v>
      </c>
      <c r="V250" s="1417" t="str">
        <f>IFERROR(__xludf.DUMMYFUNCTION("""COMPUTED_VALUE"""),"")</f>
        <v/>
      </c>
      <c r="W250" s="1416" t="s">
        <v>455</v>
      </c>
      <c r="X250" s="1417"/>
    </row>
    <row r="251">
      <c r="A251" s="1404"/>
      <c r="B251" s="1424"/>
      <c r="C251" s="1473"/>
      <c r="D251" s="1476"/>
      <c r="E251" s="1477"/>
      <c r="F251" s="1424"/>
      <c r="G251" s="1424"/>
      <c r="H251" s="1424"/>
      <c r="I251" s="1424"/>
      <c r="J251" s="1423"/>
      <c r="K251" s="1429"/>
      <c r="L251" s="1429"/>
      <c r="M251" s="1429"/>
      <c r="N251" s="1417"/>
      <c r="O251" s="1417"/>
      <c r="P251" s="1417"/>
      <c r="Q251" s="1417"/>
      <c r="R251" s="1417"/>
      <c r="S251" s="1443"/>
      <c r="T251" s="1417" t="s">
        <v>455</v>
      </c>
      <c r="U251" s="1417" t="s">
        <v>455</v>
      </c>
      <c r="V251" s="1417" t="str">
        <f>IFERROR(__xludf.DUMMYFUNCTION("""COMPUTED_VALUE"""),"")</f>
        <v/>
      </c>
      <c r="W251" s="1416" t="s">
        <v>455</v>
      </c>
      <c r="X251" s="1417"/>
    </row>
    <row r="252">
      <c r="A252" s="1404"/>
      <c r="B252" s="1424"/>
      <c r="C252" s="1473"/>
      <c r="D252" s="1476"/>
      <c r="E252" s="1477"/>
      <c r="F252" s="1424"/>
      <c r="G252" s="1424"/>
      <c r="H252" s="1424"/>
      <c r="I252" s="1424"/>
      <c r="J252" s="1423"/>
      <c r="K252" s="1429"/>
      <c r="L252" s="1429"/>
      <c r="M252" s="1429"/>
      <c r="N252" s="1417"/>
      <c r="O252" s="1417"/>
      <c r="P252" s="1417"/>
      <c r="Q252" s="1417"/>
      <c r="R252" s="1417"/>
      <c r="S252" s="1443"/>
      <c r="T252" s="1417" t="s">
        <v>455</v>
      </c>
      <c r="U252" s="1417" t="s">
        <v>455</v>
      </c>
      <c r="V252" s="1417" t="str">
        <f>IFERROR(__xludf.DUMMYFUNCTION("""COMPUTED_VALUE"""),"")</f>
        <v/>
      </c>
      <c r="W252" s="1416" t="s">
        <v>455</v>
      </c>
      <c r="X252" s="1417"/>
    </row>
    <row r="253">
      <c r="A253" s="1404"/>
      <c r="B253" s="1424"/>
      <c r="C253" s="1473"/>
      <c r="D253" s="1476"/>
      <c r="E253" s="1477"/>
      <c r="F253" s="1424"/>
      <c r="G253" s="1424"/>
      <c r="H253" s="1424"/>
      <c r="I253" s="1424"/>
      <c r="J253" s="1423"/>
      <c r="K253" s="1429"/>
      <c r="L253" s="1429"/>
      <c r="M253" s="1429"/>
      <c r="N253" s="1417"/>
      <c r="O253" s="1417"/>
      <c r="P253" s="1417"/>
      <c r="Q253" s="1417"/>
      <c r="R253" s="1417"/>
      <c r="S253" s="1443"/>
      <c r="T253" s="1417" t="s">
        <v>455</v>
      </c>
      <c r="U253" s="1417" t="s">
        <v>455</v>
      </c>
      <c r="V253" s="1417" t="str">
        <f>IFERROR(__xludf.DUMMYFUNCTION("""COMPUTED_VALUE"""),"")</f>
        <v/>
      </c>
      <c r="W253" s="1416" t="s">
        <v>455</v>
      </c>
      <c r="X253" s="1417"/>
    </row>
    <row r="254">
      <c r="A254" s="1404"/>
      <c r="B254" s="1424"/>
      <c r="C254" s="1473"/>
      <c r="D254" s="1476"/>
      <c r="E254" s="1477"/>
      <c r="F254" s="1424"/>
      <c r="G254" s="1424"/>
      <c r="H254" s="1424"/>
      <c r="I254" s="1424"/>
      <c r="J254" s="1423"/>
      <c r="K254" s="1429"/>
      <c r="L254" s="1429"/>
      <c r="M254" s="1429"/>
      <c r="N254" s="1417"/>
      <c r="O254" s="1417"/>
      <c r="P254" s="1417"/>
      <c r="Q254" s="1417"/>
      <c r="R254" s="1417"/>
      <c r="S254" s="1443"/>
      <c r="T254" s="1417" t="s">
        <v>455</v>
      </c>
      <c r="U254" s="1417" t="s">
        <v>455</v>
      </c>
      <c r="V254" s="1417" t="str">
        <f>IFERROR(__xludf.DUMMYFUNCTION("""COMPUTED_VALUE"""),"")</f>
        <v/>
      </c>
      <c r="W254" s="1416" t="s">
        <v>455</v>
      </c>
      <c r="X254" s="1417"/>
    </row>
    <row r="255">
      <c r="A255" s="1404"/>
      <c r="B255" s="1424"/>
      <c r="C255" s="1473"/>
      <c r="D255" s="1476"/>
      <c r="E255" s="1477"/>
      <c r="F255" s="1424"/>
      <c r="G255" s="1424"/>
      <c r="H255" s="1424"/>
      <c r="I255" s="1424"/>
      <c r="J255" s="1423"/>
      <c r="K255" s="1429"/>
      <c r="L255" s="1429"/>
      <c r="M255" s="1429"/>
      <c r="N255" s="1417"/>
      <c r="O255" s="1417"/>
      <c r="P255" s="1417"/>
      <c r="Q255" s="1417"/>
      <c r="R255" s="1417"/>
      <c r="S255" s="1443"/>
      <c r="T255" s="1417" t="s">
        <v>455</v>
      </c>
      <c r="U255" s="1417" t="s">
        <v>455</v>
      </c>
      <c r="V255" s="1417" t="str">
        <f>IFERROR(__xludf.DUMMYFUNCTION("""COMPUTED_VALUE"""),"")</f>
        <v/>
      </c>
      <c r="W255" s="1416" t="s">
        <v>455</v>
      </c>
      <c r="X255" s="1417"/>
    </row>
    <row r="256">
      <c r="A256" s="1404"/>
      <c r="B256" s="1424"/>
      <c r="C256" s="1473"/>
      <c r="D256" s="1476"/>
      <c r="E256" s="1477"/>
      <c r="F256" s="1424"/>
      <c r="G256" s="1424"/>
      <c r="H256" s="1424"/>
      <c r="I256" s="1424"/>
      <c r="J256" s="1423"/>
      <c r="K256" s="1429"/>
      <c r="L256" s="1429"/>
      <c r="M256" s="1429"/>
      <c r="N256" s="1417"/>
      <c r="O256" s="1417"/>
      <c r="P256" s="1417"/>
      <c r="Q256" s="1417"/>
      <c r="R256" s="1417"/>
      <c r="S256" s="1443"/>
      <c r="T256" s="1417" t="s">
        <v>455</v>
      </c>
      <c r="U256" s="1417" t="s">
        <v>455</v>
      </c>
      <c r="V256" s="1417" t="str">
        <f>IFERROR(__xludf.DUMMYFUNCTION("""COMPUTED_VALUE"""),"")</f>
        <v/>
      </c>
      <c r="W256" s="1416" t="s">
        <v>455</v>
      </c>
      <c r="X256" s="1417"/>
    </row>
    <row r="257">
      <c r="A257" s="1404"/>
      <c r="B257" s="1424"/>
      <c r="C257" s="1473"/>
      <c r="D257" s="1476"/>
      <c r="E257" s="1477"/>
      <c r="F257" s="1424"/>
      <c r="G257" s="1424"/>
      <c r="H257" s="1424"/>
      <c r="I257" s="1424"/>
      <c r="J257" s="1423"/>
      <c r="K257" s="1429"/>
      <c r="L257" s="1429"/>
      <c r="M257" s="1429"/>
      <c r="N257" s="1417"/>
      <c r="O257" s="1417"/>
      <c r="P257" s="1417"/>
      <c r="Q257" s="1417"/>
      <c r="R257" s="1417"/>
      <c r="S257" s="1443"/>
      <c r="T257" s="1417" t="s">
        <v>455</v>
      </c>
      <c r="U257" s="1417" t="s">
        <v>455</v>
      </c>
      <c r="V257" s="1417" t="str">
        <f>IFERROR(__xludf.DUMMYFUNCTION("""COMPUTED_VALUE"""),"")</f>
        <v/>
      </c>
      <c r="W257" s="1416" t="s">
        <v>455</v>
      </c>
      <c r="X257" s="1417"/>
    </row>
    <row r="258">
      <c r="A258" s="1404"/>
      <c r="B258" s="1424"/>
      <c r="C258" s="1473"/>
      <c r="D258" s="1476"/>
      <c r="E258" s="1477"/>
      <c r="F258" s="1424"/>
      <c r="G258" s="1424"/>
      <c r="H258" s="1424"/>
      <c r="I258" s="1424"/>
      <c r="J258" s="1423"/>
      <c r="K258" s="1429"/>
      <c r="L258" s="1429"/>
      <c r="M258" s="1429"/>
      <c r="N258" s="1417"/>
      <c r="O258" s="1417"/>
      <c r="P258" s="1417"/>
      <c r="Q258" s="1417"/>
      <c r="R258" s="1417"/>
      <c r="S258" s="1443"/>
      <c r="T258" s="1417" t="s">
        <v>455</v>
      </c>
      <c r="U258" s="1417" t="s">
        <v>455</v>
      </c>
      <c r="V258" s="1417" t="str">
        <f>IFERROR(__xludf.DUMMYFUNCTION("""COMPUTED_VALUE"""),"")</f>
        <v/>
      </c>
      <c r="W258" s="1416" t="s">
        <v>455</v>
      </c>
      <c r="X258" s="1417"/>
    </row>
    <row r="259">
      <c r="A259" s="1404"/>
      <c r="B259" s="1424"/>
      <c r="C259" s="1473"/>
      <c r="D259" s="1476"/>
      <c r="E259" s="1477"/>
      <c r="F259" s="1424"/>
      <c r="G259" s="1424"/>
      <c r="H259" s="1424"/>
      <c r="I259" s="1424"/>
      <c r="J259" s="1423"/>
      <c r="K259" s="1429"/>
      <c r="L259" s="1429"/>
      <c r="M259" s="1429"/>
      <c r="N259" s="1417"/>
      <c r="O259" s="1417"/>
      <c r="P259" s="1417"/>
      <c r="Q259" s="1417"/>
      <c r="R259" s="1417"/>
      <c r="S259" s="1443"/>
      <c r="T259" s="1417" t="s">
        <v>455</v>
      </c>
      <c r="U259" s="1417" t="s">
        <v>455</v>
      </c>
      <c r="V259" s="1417" t="str">
        <f>IFERROR(__xludf.DUMMYFUNCTION("""COMPUTED_VALUE"""),"")</f>
        <v/>
      </c>
      <c r="W259" s="1416" t="s">
        <v>455</v>
      </c>
      <c r="X259" s="1417"/>
    </row>
    <row r="260">
      <c r="A260" s="1404"/>
      <c r="B260" s="1424"/>
      <c r="C260" s="1473"/>
      <c r="D260" s="1476"/>
      <c r="E260" s="1477"/>
      <c r="F260" s="1424"/>
      <c r="G260" s="1424"/>
      <c r="H260" s="1424"/>
      <c r="I260" s="1424"/>
      <c r="J260" s="1423"/>
      <c r="K260" s="1429"/>
      <c r="L260" s="1429"/>
      <c r="M260" s="1429"/>
      <c r="N260" s="1417"/>
      <c r="O260" s="1417"/>
      <c r="P260" s="1417"/>
      <c r="Q260" s="1417"/>
      <c r="R260" s="1417"/>
      <c r="S260" s="1443"/>
      <c r="T260" s="1417" t="s">
        <v>455</v>
      </c>
      <c r="U260" s="1417" t="s">
        <v>455</v>
      </c>
      <c r="V260" s="1417" t="str">
        <f>IFERROR(__xludf.DUMMYFUNCTION("""COMPUTED_VALUE"""),"")</f>
        <v/>
      </c>
      <c r="W260" s="1416" t="s">
        <v>455</v>
      </c>
      <c r="X260" s="1417"/>
    </row>
    <row r="261">
      <c r="A261" s="1404"/>
      <c r="B261" s="1424"/>
      <c r="C261" s="1473"/>
      <c r="D261" s="1476"/>
      <c r="E261" s="1477"/>
      <c r="F261" s="1424"/>
      <c r="G261" s="1424"/>
      <c r="H261" s="1424"/>
      <c r="I261" s="1424"/>
      <c r="J261" s="1423"/>
      <c r="K261" s="1429"/>
      <c r="L261" s="1429"/>
      <c r="M261" s="1429"/>
      <c r="N261" s="1417"/>
      <c r="O261" s="1417"/>
      <c r="P261" s="1417"/>
      <c r="Q261" s="1417"/>
      <c r="R261" s="1417"/>
      <c r="S261" s="1443"/>
      <c r="T261" s="1417" t="s">
        <v>455</v>
      </c>
      <c r="U261" s="1417" t="s">
        <v>455</v>
      </c>
      <c r="V261" s="1417" t="str">
        <f>IFERROR(__xludf.DUMMYFUNCTION("""COMPUTED_VALUE"""),"")</f>
        <v/>
      </c>
      <c r="W261" s="1416" t="s">
        <v>455</v>
      </c>
      <c r="X261" s="1417"/>
    </row>
    <row r="262">
      <c r="A262" s="1404"/>
      <c r="B262" s="1424"/>
      <c r="C262" s="1473"/>
      <c r="D262" s="1476"/>
      <c r="E262" s="1477"/>
      <c r="F262" s="1424"/>
      <c r="G262" s="1424"/>
      <c r="H262" s="1424"/>
      <c r="I262" s="1424"/>
      <c r="J262" s="1423"/>
      <c r="K262" s="1429"/>
      <c r="L262" s="1429"/>
      <c r="M262" s="1429"/>
      <c r="N262" s="1417"/>
      <c r="O262" s="1417"/>
      <c r="P262" s="1417"/>
      <c r="Q262" s="1417"/>
      <c r="R262" s="1417"/>
      <c r="S262" s="1443"/>
      <c r="T262" s="1417" t="s">
        <v>455</v>
      </c>
      <c r="U262" s="1417" t="s">
        <v>455</v>
      </c>
      <c r="V262" s="1417" t="str">
        <f>IFERROR(__xludf.DUMMYFUNCTION("""COMPUTED_VALUE"""),"")</f>
        <v/>
      </c>
      <c r="W262" s="1416" t="s">
        <v>455</v>
      </c>
      <c r="X262" s="1417"/>
    </row>
    <row r="263">
      <c r="A263" s="1404"/>
      <c r="B263" s="1424"/>
      <c r="C263" s="1473"/>
      <c r="D263" s="1476"/>
      <c r="E263" s="1477"/>
      <c r="F263" s="1424"/>
      <c r="G263" s="1424"/>
      <c r="H263" s="1424"/>
      <c r="I263" s="1424"/>
      <c r="J263" s="1423"/>
      <c r="K263" s="1429"/>
      <c r="L263" s="1429"/>
      <c r="M263" s="1429"/>
      <c r="N263" s="1417"/>
      <c r="O263" s="1417"/>
      <c r="P263" s="1417"/>
      <c r="Q263" s="1417"/>
      <c r="R263" s="1417"/>
      <c r="S263" s="1443"/>
      <c r="T263" s="1417" t="s">
        <v>455</v>
      </c>
      <c r="U263" s="1417" t="s">
        <v>455</v>
      </c>
      <c r="V263" s="1417" t="str">
        <f>IFERROR(__xludf.DUMMYFUNCTION("""COMPUTED_VALUE"""),"")</f>
        <v/>
      </c>
      <c r="W263" s="1416" t="s">
        <v>455</v>
      </c>
      <c r="X263" s="1417"/>
    </row>
    <row r="264">
      <c r="A264" s="1404"/>
      <c r="B264" s="1424"/>
      <c r="C264" s="1473"/>
      <c r="D264" s="1476"/>
      <c r="E264" s="1477"/>
      <c r="F264" s="1424"/>
      <c r="G264" s="1424"/>
      <c r="H264" s="1424"/>
      <c r="I264" s="1424"/>
      <c r="J264" s="1423"/>
      <c r="K264" s="1429"/>
      <c r="L264" s="1429"/>
      <c r="M264" s="1429"/>
      <c r="N264" s="1417"/>
      <c r="O264" s="1417"/>
      <c r="P264" s="1417"/>
      <c r="Q264" s="1417"/>
      <c r="R264" s="1417"/>
      <c r="S264" s="1443"/>
      <c r="T264" s="1417" t="s">
        <v>455</v>
      </c>
      <c r="U264" s="1417" t="s">
        <v>455</v>
      </c>
      <c r="V264" s="1417" t="str">
        <f>IFERROR(__xludf.DUMMYFUNCTION("""COMPUTED_VALUE"""),"")</f>
        <v/>
      </c>
      <c r="W264" s="1416" t="s">
        <v>455</v>
      </c>
      <c r="X264" s="1417"/>
    </row>
    <row r="265">
      <c r="A265" s="1404"/>
      <c r="B265" s="1424"/>
      <c r="C265" s="1473"/>
      <c r="D265" s="1476"/>
      <c r="E265" s="1477"/>
      <c r="F265" s="1424"/>
      <c r="G265" s="1424"/>
      <c r="H265" s="1424"/>
      <c r="I265" s="1424"/>
      <c r="J265" s="1423"/>
      <c r="K265" s="1429"/>
      <c r="L265" s="1429"/>
      <c r="M265" s="1429"/>
      <c r="N265" s="1417"/>
      <c r="O265" s="1417"/>
      <c r="P265" s="1417"/>
      <c r="Q265" s="1417"/>
      <c r="R265" s="1417"/>
      <c r="S265" s="1443"/>
      <c r="T265" s="1417" t="s">
        <v>455</v>
      </c>
      <c r="U265" s="1417" t="s">
        <v>455</v>
      </c>
      <c r="V265" s="1417" t="str">
        <f>IFERROR(__xludf.DUMMYFUNCTION("""COMPUTED_VALUE"""),"")</f>
        <v/>
      </c>
      <c r="W265" s="1416" t="s">
        <v>455</v>
      </c>
      <c r="X265" s="1417"/>
    </row>
    <row r="266">
      <c r="A266" s="1404"/>
      <c r="B266" s="1424"/>
      <c r="C266" s="1473"/>
      <c r="D266" s="1476"/>
      <c r="E266" s="1477"/>
      <c r="F266" s="1424"/>
      <c r="G266" s="1424"/>
      <c r="H266" s="1424"/>
      <c r="I266" s="1424"/>
      <c r="J266" s="1423"/>
      <c r="K266" s="1429"/>
      <c r="L266" s="1429"/>
      <c r="M266" s="1429"/>
      <c r="N266" s="1417"/>
      <c r="O266" s="1417"/>
      <c r="P266" s="1417"/>
      <c r="Q266" s="1417"/>
      <c r="R266" s="1417"/>
      <c r="S266" s="1443"/>
      <c r="T266" s="1417" t="s">
        <v>455</v>
      </c>
      <c r="U266" s="1417" t="s">
        <v>455</v>
      </c>
      <c r="V266" s="1417" t="str">
        <f>IFERROR(__xludf.DUMMYFUNCTION("""COMPUTED_VALUE"""),"")</f>
        <v/>
      </c>
      <c r="W266" s="1416" t="s">
        <v>455</v>
      </c>
      <c r="X266" s="1417"/>
    </row>
    <row r="267">
      <c r="A267" s="1404"/>
      <c r="B267" s="1424"/>
      <c r="C267" s="1473"/>
      <c r="D267" s="1476"/>
      <c r="E267" s="1477"/>
      <c r="F267" s="1424"/>
      <c r="G267" s="1424"/>
      <c r="H267" s="1424"/>
      <c r="I267" s="1424"/>
      <c r="J267" s="1423"/>
      <c r="K267" s="1429"/>
      <c r="L267" s="1429"/>
      <c r="M267" s="1429"/>
      <c r="N267" s="1417"/>
      <c r="O267" s="1417"/>
      <c r="P267" s="1417"/>
      <c r="Q267" s="1417"/>
      <c r="R267" s="1417"/>
      <c r="S267" s="1443"/>
      <c r="T267" s="1417" t="s">
        <v>455</v>
      </c>
      <c r="U267" s="1417" t="s">
        <v>455</v>
      </c>
      <c r="V267" s="1417" t="str">
        <f>IFERROR(__xludf.DUMMYFUNCTION("""COMPUTED_VALUE"""),"")</f>
        <v/>
      </c>
      <c r="W267" s="1416" t="s">
        <v>455</v>
      </c>
      <c r="X267" s="1417"/>
    </row>
    <row r="268">
      <c r="A268" s="1404"/>
      <c r="B268" s="1424"/>
      <c r="C268" s="1473"/>
      <c r="D268" s="1476"/>
      <c r="E268" s="1477"/>
      <c r="F268" s="1424"/>
      <c r="G268" s="1424"/>
      <c r="H268" s="1424"/>
      <c r="I268" s="1424"/>
      <c r="J268" s="1423"/>
      <c r="K268" s="1429"/>
      <c r="L268" s="1429"/>
      <c r="M268" s="1429"/>
      <c r="N268" s="1417"/>
      <c r="O268" s="1417"/>
      <c r="P268" s="1417"/>
      <c r="Q268" s="1417"/>
      <c r="R268" s="1417"/>
      <c r="S268" s="1443"/>
      <c r="T268" s="1417" t="s">
        <v>455</v>
      </c>
      <c r="U268" s="1417" t="s">
        <v>455</v>
      </c>
      <c r="V268" s="1417" t="str">
        <f>IFERROR(__xludf.DUMMYFUNCTION("""COMPUTED_VALUE"""),"")</f>
        <v/>
      </c>
      <c r="W268" s="1416" t="s">
        <v>455</v>
      </c>
      <c r="X268" s="1417"/>
    </row>
    <row r="269">
      <c r="A269" s="1404"/>
      <c r="B269" s="1424"/>
      <c r="C269" s="1473"/>
      <c r="D269" s="1476"/>
      <c r="E269" s="1477"/>
      <c r="F269" s="1424"/>
      <c r="G269" s="1424"/>
      <c r="H269" s="1424"/>
      <c r="I269" s="1424"/>
      <c r="J269" s="1423"/>
      <c r="K269" s="1429"/>
      <c r="L269" s="1429"/>
      <c r="M269" s="1429"/>
      <c r="N269" s="1417"/>
      <c r="O269" s="1417"/>
      <c r="P269" s="1417"/>
      <c r="Q269" s="1417"/>
      <c r="R269" s="1417"/>
      <c r="S269" s="1443"/>
      <c r="T269" s="1417" t="s">
        <v>455</v>
      </c>
      <c r="U269" s="1417" t="s">
        <v>455</v>
      </c>
      <c r="V269" s="1417" t="str">
        <f>IFERROR(__xludf.DUMMYFUNCTION("""COMPUTED_VALUE"""),"")</f>
        <v/>
      </c>
      <c r="W269" s="1416" t="s">
        <v>455</v>
      </c>
      <c r="X269" s="1417"/>
    </row>
    <row r="270">
      <c r="A270" s="1404"/>
      <c r="B270" s="1424"/>
      <c r="C270" s="1473"/>
      <c r="D270" s="1476"/>
      <c r="E270" s="1477"/>
      <c r="F270" s="1424"/>
      <c r="G270" s="1424"/>
      <c r="H270" s="1424"/>
      <c r="I270" s="1424"/>
      <c r="J270" s="1423"/>
      <c r="K270" s="1429"/>
      <c r="L270" s="1429"/>
      <c r="M270" s="1429"/>
      <c r="N270" s="1417"/>
      <c r="O270" s="1417"/>
      <c r="P270" s="1417"/>
      <c r="Q270" s="1417"/>
      <c r="R270" s="1417"/>
      <c r="S270" s="1443"/>
      <c r="T270" s="1417" t="s">
        <v>455</v>
      </c>
      <c r="U270" s="1417" t="s">
        <v>455</v>
      </c>
      <c r="V270" s="1417" t="str">
        <f>IFERROR(__xludf.DUMMYFUNCTION("""COMPUTED_VALUE"""),"")</f>
        <v/>
      </c>
      <c r="W270" s="1416" t="s">
        <v>455</v>
      </c>
      <c r="X270" s="1417"/>
    </row>
    <row r="271">
      <c r="A271" s="1404"/>
      <c r="B271" s="1424"/>
      <c r="C271" s="1473"/>
      <c r="D271" s="1476"/>
      <c r="E271" s="1477"/>
      <c r="F271" s="1424"/>
      <c r="G271" s="1424"/>
      <c r="H271" s="1424"/>
      <c r="I271" s="1424"/>
      <c r="J271" s="1423"/>
      <c r="K271" s="1429"/>
      <c r="L271" s="1429"/>
      <c r="M271" s="1429"/>
      <c r="N271" s="1417"/>
      <c r="O271" s="1417"/>
      <c r="P271" s="1417"/>
      <c r="Q271" s="1417"/>
      <c r="R271" s="1417"/>
      <c r="S271" s="1443"/>
      <c r="T271" s="1417" t="s">
        <v>455</v>
      </c>
      <c r="U271" s="1417" t="s">
        <v>455</v>
      </c>
      <c r="V271" s="1417" t="str">
        <f>IFERROR(__xludf.DUMMYFUNCTION("""COMPUTED_VALUE"""),"")</f>
        <v/>
      </c>
      <c r="W271" s="1416" t="s">
        <v>455</v>
      </c>
      <c r="X271" s="1417"/>
    </row>
    <row r="272">
      <c r="A272" s="1404"/>
      <c r="B272" s="1424"/>
      <c r="C272" s="1473"/>
      <c r="D272" s="1476"/>
      <c r="E272" s="1477"/>
      <c r="F272" s="1424"/>
      <c r="G272" s="1424"/>
      <c r="H272" s="1424"/>
      <c r="I272" s="1424"/>
      <c r="J272" s="1423"/>
      <c r="K272" s="1429"/>
      <c r="L272" s="1429"/>
      <c r="M272" s="1429"/>
      <c r="N272" s="1417"/>
      <c r="O272" s="1417"/>
      <c r="P272" s="1417"/>
      <c r="Q272" s="1417"/>
      <c r="R272" s="1417"/>
      <c r="S272" s="1443"/>
      <c r="T272" s="1417" t="s">
        <v>455</v>
      </c>
      <c r="U272" s="1417" t="s">
        <v>455</v>
      </c>
      <c r="V272" s="1417" t="str">
        <f>IFERROR(__xludf.DUMMYFUNCTION("""COMPUTED_VALUE"""),"")</f>
        <v/>
      </c>
      <c r="W272" s="1416" t="s">
        <v>455</v>
      </c>
      <c r="X272" s="1417"/>
    </row>
    <row r="273">
      <c r="A273" s="1404"/>
      <c r="B273" s="1424"/>
      <c r="C273" s="1473"/>
      <c r="D273" s="1476"/>
      <c r="E273" s="1477"/>
      <c r="F273" s="1424"/>
      <c r="G273" s="1424"/>
      <c r="H273" s="1424"/>
      <c r="I273" s="1424"/>
      <c r="J273" s="1423"/>
      <c r="K273" s="1429"/>
      <c r="L273" s="1429"/>
      <c r="M273" s="1429"/>
      <c r="N273" s="1417"/>
      <c r="O273" s="1417"/>
      <c r="P273" s="1417"/>
      <c r="Q273" s="1417"/>
      <c r="R273" s="1417"/>
      <c r="S273" s="1443"/>
      <c r="T273" s="1417" t="s">
        <v>455</v>
      </c>
      <c r="U273" s="1417" t="s">
        <v>455</v>
      </c>
      <c r="V273" s="1417" t="str">
        <f>IFERROR(__xludf.DUMMYFUNCTION("""COMPUTED_VALUE"""),"")</f>
        <v/>
      </c>
      <c r="W273" s="1416" t="s">
        <v>455</v>
      </c>
      <c r="X273" s="1417"/>
    </row>
    <row r="274">
      <c r="A274" s="1404"/>
      <c r="B274" s="1424"/>
      <c r="C274" s="1473"/>
      <c r="D274" s="1476"/>
      <c r="E274" s="1477"/>
      <c r="F274" s="1424"/>
      <c r="G274" s="1424"/>
      <c r="H274" s="1424"/>
      <c r="I274" s="1424"/>
      <c r="J274" s="1423"/>
      <c r="K274" s="1429"/>
      <c r="L274" s="1429"/>
      <c r="M274" s="1429"/>
      <c r="N274" s="1417"/>
      <c r="O274" s="1417"/>
      <c r="P274" s="1417"/>
      <c r="Q274" s="1417"/>
      <c r="R274" s="1417"/>
      <c r="S274" s="1443"/>
      <c r="T274" s="1417" t="s">
        <v>455</v>
      </c>
      <c r="U274" s="1417" t="s">
        <v>455</v>
      </c>
      <c r="V274" s="1417" t="str">
        <f>IFERROR(__xludf.DUMMYFUNCTION("""COMPUTED_VALUE"""),"")</f>
        <v/>
      </c>
      <c r="W274" s="1416" t="s">
        <v>455</v>
      </c>
      <c r="X274" s="1417"/>
    </row>
    <row r="275">
      <c r="A275" s="1404"/>
      <c r="B275" s="1424"/>
      <c r="C275" s="1473"/>
      <c r="D275" s="1476"/>
      <c r="E275" s="1477"/>
      <c r="F275" s="1424"/>
      <c r="G275" s="1424"/>
      <c r="H275" s="1424"/>
      <c r="I275" s="1424"/>
      <c r="J275" s="1423"/>
      <c r="K275" s="1429"/>
      <c r="L275" s="1429"/>
      <c r="M275" s="1429"/>
      <c r="N275" s="1417"/>
      <c r="O275" s="1417"/>
      <c r="P275" s="1417"/>
      <c r="Q275" s="1417"/>
      <c r="R275" s="1417"/>
      <c r="S275" s="1443"/>
      <c r="T275" s="1417" t="s">
        <v>455</v>
      </c>
      <c r="U275" s="1417" t="s">
        <v>455</v>
      </c>
      <c r="V275" s="1417" t="str">
        <f>IFERROR(__xludf.DUMMYFUNCTION("""COMPUTED_VALUE"""),"")</f>
        <v/>
      </c>
      <c r="W275" s="1416" t="s">
        <v>455</v>
      </c>
      <c r="X275" s="1417"/>
    </row>
    <row r="276">
      <c r="A276" s="1404"/>
      <c r="B276" s="1424"/>
      <c r="C276" s="1473"/>
      <c r="D276" s="1476"/>
      <c r="E276" s="1477"/>
      <c r="F276" s="1424"/>
      <c r="G276" s="1424"/>
      <c r="H276" s="1424"/>
      <c r="I276" s="1424"/>
      <c r="J276" s="1423"/>
      <c r="K276" s="1429"/>
      <c r="L276" s="1429"/>
      <c r="M276" s="1429"/>
      <c r="N276" s="1417"/>
      <c r="O276" s="1417"/>
      <c r="P276" s="1417"/>
      <c r="Q276" s="1417"/>
      <c r="R276" s="1417"/>
      <c r="S276" s="1443"/>
      <c r="T276" s="1417" t="s">
        <v>455</v>
      </c>
      <c r="U276" s="1417" t="s">
        <v>455</v>
      </c>
      <c r="V276" s="1417" t="str">
        <f>IFERROR(__xludf.DUMMYFUNCTION("""COMPUTED_VALUE"""),"")</f>
        <v/>
      </c>
      <c r="W276" s="1416" t="s">
        <v>455</v>
      </c>
      <c r="X276" s="1417"/>
    </row>
    <row r="277">
      <c r="A277" s="1404"/>
      <c r="B277" s="1424"/>
      <c r="C277" s="1473"/>
      <c r="D277" s="1476"/>
      <c r="E277" s="1477"/>
      <c r="F277" s="1424"/>
      <c r="G277" s="1424"/>
      <c r="H277" s="1424"/>
      <c r="I277" s="1424"/>
      <c r="J277" s="1423"/>
      <c r="K277" s="1429"/>
      <c r="L277" s="1429"/>
      <c r="M277" s="1429"/>
      <c r="N277" s="1417"/>
      <c r="O277" s="1417"/>
      <c r="P277" s="1417"/>
      <c r="Q277" s="1417"/>
      <c r="R277" s="1417"/>
      <c r="S277" s="1443"/>
      <c r="T277" s="1417" t="s">
        <v>455</v>
      </c>
      <c r="U277" s="1417" t="s">
        <v>455</v>
      </c>
      <c r="V277" s="1417" t="str">
        <f>IFERROR(__xludf.DUMMYFUNCTION("""COMPUTED_VALUE"""),"")</f>
        <v/>
      </c>
      <c r="W277" s="1416" t="s">
        <v>455</v>
      </c>
      <c r="X277" s="1417"/>
    </row>
    <row r="278">
      <c r="A278" s="1404"/>
      <c r="B278" s="1424"/>
      <c r="C278" s="1473"/>
      <c r="D278" s="1476"/>
      <c r="E278" s="1477"/>
      <c r="F278" s="1424"/>
      <c r="G278" s="1424"/>
      <c r="H278" s="1424"/>
      <c r="I278" s="1424"/>
      <c r="J278" s="1423"/>
      <c r="K278" s="1429"/>
      <c r="L278" s="1429"/>
      <c r="M278" s="1429"/>
      <c r="N278" s="1417"/>
      <c r="O278" s="1417"/>
      <c r="P278" s="1417"/>
      <c r="Q278" s="1417"/>
      <c r="R278" s="1417"/>
      <c r="S278" s="1443"/>
      <c r="T278" s="1417" t="s">
        <v>455</v>
      </c>
      <c r="U278" s="1417" t="s">
        <v>455</v>
      </c>
      <c r="V278" s="1417" t="str">
        <f>IFERROR(__xludf.DUMMYFUNCTION("""COMPUTED_VALUE"""),"")</f>
        <v/>
      </c>
      <c r="W278" s="1416" t="s">
        <v>455</v>
      </c>
      <c r="X278" s="1417"/>
    </row>
    <row r="279">
      <c r="A279" s="1404"/>
      <c r="B279" s="1424"/>
      <c r="C279" s="1473"/>
      <c r="D279" s="1476"/>
      <c r="E279" s="1477"/>
      <c r="F279" s="1424"/>
      <c r="G279" s="1424"/>
      <c r="H279" s="1424"/>
      <c r="I279" s="1424"/>
      <c r="J279" s="1423"/>
      <c r="K279" s="1429"/>
      <c r="L279" s="1429"/>
      <c r="M279" s="1429"/>
      <c r="N279" s="1417"/>
      <c r="O279" s="1417"/>
      <c r="P279" s="1417"/>
      <c r="Q279" s="1417"/>
      <c r="R279" s="1417"/>
      <c r="S279" s="1443"/>
      <c r="T279" s="1417" t="s">
        <v>455</v>
      </c>
      <c r="U279" s="1417" t="s">
        <v>455</v>
      </c>
      <c r="V279" s="1417" t="str">
        <f>IFERROR(__xludf.DUMMYFUNCTION("""COMPUTED_VALUE"""),"")</f>
        <v/>
      </c>
      <c r="W279" s="1416" t="s">
        <v>455</v>
      </c>
      <c r="X279" s="1417"/>
    </row>
    <row r="280">
      <c r="A280" s="1404"/>
      <c r="B280" s="1424"/>
      <c r="C280" s="1473"/>
      <c r="D280" s="1476"/>
      <c r="E280" s="1477"/>
      <c r="F280" s="1424"/>
      <c r="G280" s="1424"/>
      <c r="H280" s="1424"/>
      <c r="I280" s="1424"/>
      <c r="J280" s="1423"/>
      <c r="K280" s="1429"/>
      <c r="L280" s="1429"/>
      <c r="M280" s="1429"/>
      <c r="N280" s="1417"/>
      <c r="O280" s="1417"/>
      <c r="P280" s="1417"/>
      <c r="Q280" s="1417"/>
      <c r="R280" s="1417"/>
      <c r="S280" s="1443"/>
      <c r="T280" s="1417" t="s">
        <v>455</v>
      </c>
      <c r="U280" s="1417" t="s">
        <v>455</v>
      </c>
      <c r="V280" s="1417" t="str">
        <f>IFERROR(__xludf.DUMMYFUNCTION("""COMPUTED_VALUE"""),"")</f>
        <v/>
      </c>
      <c r="W280" s="1416" t="s">
        <v>455</v>
      </c>
      <c r="X280" s="1417"/>
    </row>
    <row r="281">
      <c r="A281" s="1404"/>
      <c r="B281" s="1424"/>
      <c r="C281" s="1473"/>
      <c r="D281" s="1476"/>
      <c r="E281" s="1477"/>
      <c r="F281" s="1424"/>
      <c r="G281" s="1424"/>
      <c r="H281" s="1424"/>
      <c r="I281" s="1424"/>
      <c r="J281" s="1423"/>
      <c r="K281" s="1429"/>
      <c r="L281" s="1429"/>
      <c r="M281" s="1429"/>
      <c r="N281" s="1417"/>
      <c r="O281" s="1417"/>
      <c r="P281" s="1417"/>
      <c r="Q281" s="1417"/>
      <c r="R281" s="1417"/>
      <c r="S281" s="1443"/>
      <c r="T281" s="1417" t="s">
        <v>455</v>
      </c>
      <c r="U281" s="1417" t="s">
        <v>455</v>
      </c>
      <c r="V281" s="1417" t="str">
        <f>IFERROR(__xludf.DUMMYFUNCTION("""COMPUTED_VALUE"""),"")</f>
        <v/>
      </c>
      <c r="W281" s="1416" t="s">
        <v>455</v>
      </c>
      <c r="X281" s="1417"/>
    </row>
    <row r="282">
      <c r="A282" s="1404"/>
      <c r="B282" s="1424"/>
      <c r="C282" s="1473"/>
      <c r="D282" s="1476"/>
      <c r="E282" s="1477"/>
      <c r="F282" s="1424"/>
      <c r="G282" s="1424"/>
      <c r="H282" s="1424"/>
      <c r="I282" s="1424"/>
      <c r="J282" s="1423"/>
      <c r="K282" s="1429"/>
      <c r="L282" s="1429"/>
      <c r="M282" s="1429"/>
      <c r="N282" s="1417"/>
      <c r="O282" s="1417"/>
      <c r="P282" s="1417"/>
      <c r="Q282" s="1417"/>
      <c r="R282" s="1417"/>
      <c r="S282" s="1443"/>
      <c r="T282" s="1417" t="s">
        <v>455</v>
      </c>
      <c r="U282" s="1417" t="s">
        <v>455</v>
      </c>
      <c r="V282" s="1417" t="str">
        <f>IFERROR(__xludf.DUMMYFUNCTION("""COMPUTED_VALUE"""),"")</f>
        <v/>
      </c>
      <c r="W282" s="1416" t="s">
        <v>455</v>
      </c>
      <c r="X282" s="1417"/>
    </row>
    <row r="283">
      <c r="A283" s="1404"/>
      <c r="B283" s="1424"/>
      <c r="C283" s="1473"/>
      <c r="D283" s="1476"/>
      <c r="E283" s="1477"/>
      <c r="F283" s="1424"/>
      <c r="G283" s="1424"/>
      <c r="H283" s="1424"/>
      <c r="I283" s="1424"/>
      <c r="J283" s="1423"/>
      <c r="K283" s="1429"/>
      <c r="L283" s="1429"/>
      <c r="M283" s="1429"/>
      <c r="N283" s="1417"/>
      <c r="O283" s="1417"/>
      <c r="P283" s="1417"/>
      <c r="Q283" s="1417"/>
      <c r="R283" s="1417"/>
      <c r="S283" s="1443"/>
      <c r="T283" s="1417" t="s">
        <v>455</v>
      </c>
      <c r="U283" s="1417" t="s">
        <v>455</v>
      </c>
      <c r="V283" s="1417" t="str">
        <f>IFERROR(__xludf.DUMMYFUNCTION("""COMPUTED_VALUE"""),"")</f>
        <v/>
      </c>
      <c r="W283" s="1416" t="s">
        <v>455</v>
      </c>
      <c r="X283" s="1417"/>
    </row>
    <row r="284">
      <c r="A284" s="1404"/>
      <c r="B284" s="1424"/>
      <c r="C284" s="1473"/>
      <c r="D284" s="1476"/>
      <c r="E284" s="1477"/>
      <c r="F284" s="1424"/>
      <c r="G284" s="1424"/>
      <c r="H284" s="1424"/>
      <c r="I284" s="1424"/>
      <c r="J284" s="1423"/>
      <c r="K284" s="1429"/>
      <c r="L284" s="1429"/>
      <c r="M284" s="1429"/>
      <c r="N284" s="1417"/>
      <c r="O284" s="1417"/>
      <c r="P284" s="1417"/>
      <c r="Q284" s="1417"/>
      <c r="R284" s="1417"/>
      <c r="S284" s="1443"/>
      <c r="T284" s="1417" t="s">
        <v>455</v>
      </c>
      <c r="U284" s="1417" t="s">
        <v>455</v>
      </c>
      <c r="V284" s="1417" t="str">
        <f>IFERROR(__xludf.DUMMYFUNCTION("""COMPUTED_VALUE"""),"")</f>
        <v/>
      </c>
      <c r="W284" s="1416" t="s">
        <v>455</v>
      </c>
      <c r="X284" s="1417"/>
    </row>
    <row r="285">
      <c r="A285" s="1404"/>
      <c r="B285" s="1424"/>
      <c r="C285" s="1473"/>
      <c r="D285" s="1476"/>
      <c r="E285" s="1477"/>
      <c r="F285" s="1424"/>
      <c r="G285" s="1424"/>
      <c r="H285" s="1424"/>
      <c r="I285" s="1424"/>
      <c r="J285" s="1423"/>
      <c r="K285" s="1429"/>
      <c r="L285" s="1429"/>
      <c r="M285" s="1429"/>
      <c r="N285" s="1417"/>
      <c r="O285" s="1417"/>
      <c r="P285" s="1417"/>
      <c r="Q285" s="1417"/>
      <c r="R285" s="1417"/>
      <c r="S285" s="1443"/>
      <c r="T285" s="1417" t="s">
        <v>455</v>
      </c>
      <c r="U285" s="1417" t="s">
        <v>455</v>
      </c>
      <c r="V285" s="1417" t="str">
        <f>IFERROR(__xludf.DUMMYFUNCTION("""COMPUTED_VALUE"""),"")</f>
        <v/>
      </c>
      <c r="W285" s="1416" t="s">
        <v>455</v>
      </c>
      <c r="X285" s="1417"/>
    </row>
    <row r="286">
      <c r="A286" s="1404"/>
      <c r="B286" s="1424"/>
      <c r="C286" s="1473"/>
      <c r="D286" s="1476"/>
      <c r="E286" s="1477"/>
      <c r="F286" s="1424"/>
      <c r="G286" s="1424"/>
      <c r="H286" s="1424"/>
      <c r="I286" s="1424"/>
      <c r="J286" s="1423"/>
      <c r="K286" s="1429"/>
      <c r="L286" s="1429"/>
      <c r="M286" s="1429"/>
      <c r="N286" s="1417"/>
      <c r="O286" s="1417"/>
      <c r="P286" s="1417"/>
      <c r="Q286" s="1417"/>
      <c r="R286" s="1417"/>
      <c r="S286" s="1443"/>
      <c r="T286" s="1417" t="s">
        <v>455</v>
      </c>
      <c r="U286" s="1417" t="s">
        <v>455</v>
      </c>
      <c r="V286" s="1417" t="str">
        <f>IFERROR(__xludf.DUMMYFUNCTION("""COMPUTED_VALUE"""),"")</f>
        <v/>
      </c>
      <c r="W286" s="1416" t="s">
        <v>455</v>
      </c>
      <c r="X286" s="1417"/>
    </row>
    <row r="287">
      <c r="A287" s="1404"/>
      <c r="B287" s="1424"/>
      <c r="C287" s="1473"/>
      <c r="D287" s="1476"/>
      <c r="E287" s="1477"/>
      <c r="F287" s="1424"/>
      <c r="G287" s="1424"/>
      <c r="H287" s="1424"/>
      <c r="I287" s="1424"/>
      <c r="J287" s="1423"/>
      <c r="K287" s="1429"/>
      <c r="L287" s="1429"/>
      <c r="M287" s="1429"/>
      <c r="N287" s="1417"/>
      <c r="O287" s="1417"/>
      <c r="P287" s="1417"/>
      <c r="Q287" s="1417"/>
      <c r="R287" s="1417"/>
      <c r="S287" s="1443"/>
      <c r="T287" s="1417" t="s">
        <v>455</v>
      </c>
      <c r="U287" s="1417" t="s">
        <v>455</v>
      </c>
      <c r="V287" s="1417" t="str">
        <f>IFERROR(__xludf.DUMMYFUNCTION("""COMPUTED_VALUE"""),"")</f>
        <v/>
      </c>
      <c r="W287" s="1416" t="s">
        <v>455</v>
      </c>
      <c r="X287" s="1417"/>
    </row>
    <row r="288">
      <c r="A288" s="1404"/>
      <c r="B288" s="1424"/>
      <c r="C288" s="1473"/>
      <c r="D288" s="1476"/>
      <c r="E288" s="1477"/>
      <c r="F288" s="1424"/>
      <c r="G288" s="1424"/>
      <c r="H288" s="1424"/>
      <c r="I288" s="1424"/>
      <c r="J288" s="1423"/>
      <c r="K288" s="1429"/>
      <c r="L288" s="1429"/>
      <c r="M288" s="1429"/>
      <c r="N288" s="1417"/>
      <c r="O288" s="1417"/>
      <c r="P288" s="1417"/>
      <c r="Q288" s="1417"/>
      <c r="R288" s="1417"/>
      <c r="S288" s="1443"/>
      <c r="T288" s="1417" t="s">
        <v>455</v>
      </c>
      <c r="U288" s="1417" t="s">
        <v>455</v>
      </c>
      <c r="V288" s="1417" t="str">
        <f>IFERROR(__xludf.DUMMYFUNCTION("""COMPUTED_VALUE"""),"")</f>
        <v/>
      </c>
      <c r="W288" s="1416" t="s">
        <v>455</v>
      </c>
      <c r="X288" s="1417"/>
    </row>
    <row r="289">
      <c r="A289" s="1404"/>
      <c r="B289" s="1424"/>
      <c r="C289" s="1473"/>
      <c r="D289" s="1476"/>
      <c r="E289" s="1477"/>
      <c r="F289" s="1424"/>
      <c r="G289" s="1424"/>
      <c r="H289" s="1424"/>
      <c r="I289" s="1424"/>
      <c r="J289" s="1423"/>
      <c r="K289" s="1429"/>
      <c r="L289" s="1429"/>
      <c r="M289" s="1429"/>
      <c r="N289" s="1417"/>
      <c r="O289" s="1417"/>
      <c r="P289" s="1417"/>
      <c r="Q289" s="1417"/>
      <c r="R289" s="1417"/>
      <c r="S289" s="1443"/>
      <c r="T289" s="1417" t="s">
        <v>455</v>
      </c>
      <c r="U289" s="1417" t="s">
        <v>455</v>
      </c>
      <c r="V289" s="1417" t="str">
        <f>IFERROR(__xludf.DUMMYFUNCTION("""COMPUTED_VALUE"""),"")</f>
        <v/>
      </c>
      <c r="W289" s="1416" t="s">
        <v>455</v>
      </c>
      <c r="X289" s="1417"/>
    </row>
    <row r="290">
      <c r="A290" s="1404"/>
      <c r="B290" s="1424"/>
      <c r="C290" s="1473"/>
      <c r="D290" s="1476"/>
      <c r="E290" s="1477"/>
      <c r="F290" s="1424"/>
      <c r="G290" s="1424"/>
      <c r="H290" s="1424"/>
      <c r="I290" s="1424"/>
      <c r="J290" s="1423"/>
      <c r="K290" s="1429"/>
      <c r="L290" s="1429"/>
      <c r="M290" s="1429"/>
      <c r="N290" s="1417"/>
      <c r="O290" s="1417"/>
      <c r="P290" s="1417"/>
      <c r="Q290" s="1417"/>
      <c r="R290" s="1417"/>
      <c r="S290" s="1443"/>
      <c r="T290" s="1417" t="s">
        <v>455</v>
      </c>
      <c r="U290" s="1417" t="s">
        <v>455</v>
      </c>
      <c r="V290" s="1417" t="str">
        <f>IFERROR(__xludf.DUMMYFUNCTION("""COMPUTED_VALUE"""),"")</f>
        <v/>
      </c>
      <c r="W290" s="1416" t="s">
        <v>455</v>
      </c>
      <c r="X290" s="1417"/>
    </row>
    <row r="291">
      <c r="A291" s="1404"/>
      <c r="B291" s="1424"/>
      <c r="C291" s="1473"/>
      <c r="D291" s="1476"/>
      <c r="E291" s="1477"/>
      <c r="F291" s="1424"/>
      <c r="G291" s="1424"/>
      <c r="H291" s="1424"/>
      <c r="I291" s="1424"/>
      <c r="J291" s="1423"/>
      <c r="K291" s="1429"/>
      <c r="L291" s="1429"/>
      <c r="M291" s="1429"/>
      <c r="N291" s="1417"/>
      <c r="O291" s="1417"/>
      <c r="P291" s="1417"/>
      <c r="Q291" s="1417"/>
      <c r="R291" s="1417"/>
      <c r="S291" s="1443"/>
      <c r="T291" s="1417" t="s">
        <v>455</v>
      </c>
      <c r="U291" s="1417" t="s">
        <v>455</v>
      </c>
      <c r="V291" s="1417" t="str">
        <f>IFERROR(__xludf.DUMMYFUNCTION("""COMPUTED_VALUE"""),"")</f>
        <v/>
      </c>
      <c r="W291" s="1416" t="s">
        <v>455</v>
      </c>
      <c r="X291" s="1417"/>
    </row>
    <row r="292">
      <c r="A292" s="1404"/>
      <c r="B292" s="1424"/>
      <c r="C292" s="1473"/>
      <c r="D292" s="1476"/>
      <c r="E292" s="1477"/>
      <c r="F292" s="1424"/>
      <c r="G292" s="1424"/>
      <c r="H292" s="1424"/>
      <c r="I292" s="1424"/>
      <c r="J292" s="1423"/>
      <c r="K292" s="1429"/>
      <c r="L292" s="1429"/>
      <c r="M292" s="1429"/>
      <c r="N292" s="1417"/>
      <c r="O292" s="1417"/>
      <c r="P292" s="1417"/>
      <c r="Q292" s="1417"/>
      <c r="R292" s="1417"/>
      <c r="S292" s="1443"/>
      <c r="T292" s="1417" t="s">
        <v>455</v>
      </c>
      <c r="U292" s="1417" t="s">
        <v>455</v>
      </c>
      <c r="V292" s="1417" t="str">
        <f>IFERROR(__xludf.DUMMYFUNCTION("""COMPUTED_VALUE"""),"")</f>
        <v/>
      </c>
      <c r="W292" s="1416" t="s">
        <v>455</v>
      </c>
      <c r="X292" s="1417"/>
    </row>
    <row r="293">
      <c r="A293" s="1404"/>
      <c r="B293" s="1424"/>
      <c r="C293" s="1473"/>
      <c r="D293" s="1476"/>
      <c r="E293" s="1477"/>
      <c r="F293" s="1424"/>
      <c r="G293" s="1424"/>
      <c r="H293" s="1424"/>
      <c r="I293" s="1424"/>
      <c r="J293" s="1423"/>
      <c r="K293" s="1429"/>
      <c r="L293" s="1429"/>
      <c r="M293" s="1429"/>
      <c r="N293" s="1417"/>
      <c r="O293" s="1417"/>
      <c r="P293" s="1417"/>
      <c r="Q293" s="1417"/>
      <c r="R293" s="1417"/>
      <c r="S293" s="1443"/>
      <c r="T293" s="1417" t="s">
        <v>455</v>
      </c>
      <c r="U293" s="1417" t="s">
        <v>455</v>
      </c>
      <c r="V293" s="1417" t="str">
        <f>IFERROR(__xludf.DUMMYFUNCTION("""COMPUTED_VALUE"""),"")</f>
        <v/>
      </c>
      <c r="W293" s="1416" t="s">
        <v>455</v>
      </c>
      <c r="X293" s="1417"/>
    </row>
    <row r="294">
      <c r="A294" s="1404"/>
      <c r="B294" s="1424"/>
      <c r="C294" s="1473"/>
      <c r="D294" s="1476"/>
      <c r="E294" s="1477"/>
      <c r="F294" s="1424"/>
      <c r="G294" s="1424"/>
      <c r="H294" s="1424"/>
      <c r="I294" s="1424"/>
      <c r="J294" s="1423"/>
      <c r="K294" s="1429"/>
      <c r="L294" s="1429"/>
      <c r="M294" s="1429"/>
      <c r="N294" s="1417"/>
      <c r="O294" s="1417"/>
      <c r="P294" s="1417"/>
      <c r="Q294" s="1417"/>
      <c r="R294" s="1417"/>
      <c r="S294" s="1443"/>
      <c r="T294" s="1417" t="s">
        <v>455</v>
      </c>
      <c r="U294" s="1417" t="s">
        <v>455</v>
      </c>
      <c r="V294" s="1417" t="str">
        <f>IFERROR(__xludf.DUMMYFUNCTION("""COMPUTED_VALUE"""),"")</f>
        <v/>
      </c>
      <c r="W294" s="1416" t="s">
        <v>455</v>
      </c>
      <c r="X294" s="1417"/>
    </row>
    <row r="295">
      <c r="A295" s="1404"/>
      <c r="B295" s="1424"/>
      <c r="C295" s="1473"/>
      <c r="D295" s="1476"/>
      <c r="E295" s="1477"/>
      <c r="F295" s="1424"/>
      <c r="G295" s="1424"/>
      <c r="H295" s="1424"/>
      <c r="I295" s="1424"/>
      <c r="J295" s="1423"/>
      <c r="K295" s="1429"/>
      <c r="L295" s="1429"/>
      <c r="M295" s="1429"/>
      <c r="N295" s="1417"/>
      <c r="O295" s="1417"/>
      <c r="P295" s="1417"/>
      <c r="Q295" s="1417"/>
      <c r="R295" s="1417"/>
      <c r="S295" s="1443"/>
      <c r="T295" s="1417" t="s">
        <v>455</v>
      </c>
      <c r="U295" s="1417" t="s">
        <v>455</v>
      </c>
      <c r="V295" s="1417" t="str">
        <f>IFERROR(__xludf.DUMMYFUNCTION("""COMPUTED_VALUE"""),"")</f>
        <v/>
      </c>
      <c r="W295" s="1416" t="s">
        <v>455</v>
      </c>
      <c r="X295" s="1417"/>
    </row>
    <row r="296">
      <c r="A296" s="1404"/>
      <c r="B296" s="1424"/>
      <c r="C296" s="1473"/>
      <c r="D296" s="1476"/>
      <c r="E296" s="1477"/>
      <c r="F296" s="1424"/>
      <c r="G296" s="1424"/>
      <c r="H296" s="1424"/>
      <c r="I296" s="1424"/>
      <c r="J296" s="1423"/>
      <c r="K296" s="1429"/>
      <c r="L296" s="1429"/>
      <c r="M296" s="1429"/>
      <c r="N296" s="1417"/>
      <c r="O296" s="1417"/>
      <c r="P296" s="1417"/>
      <c r="Q296" s="1417"/>
      <c r="R296" s="1417"/>
      <c r="S296" s="1443"/>
      <c r="T296" s="1417" t="s">
        <v>455</v>
      </c>
      <c r="U296" s="1417" t="s">
        <v>455</v>
      </c>
      <c r="V296" s="1417" t="str">
        <f>IFERROR(__xludf.DUMMYFUNCTION("""COMPUTED_VALUE"""),"")</f>
        <v/>
      </c>
      <c r="W296" s="1416" t="s">
        <v>455</v>
      </c>
      <c r="X296" s="1417"/>
    </row>
    <row r="297">
      <c r="A297" s="1404"/>
      <c r="B297" s="1424"/>
      <c r="C297" s="1473"/>
      <c r="D297" s="1476"/>
      <c r="E297" s="1477"/>
      <c r="F297" s="1424"/>
      <c r="G297" s="1424"/>
      <c r="H297" s="1424"/>
      <c r="I297" s="1424"/>
      <c r="J297" s="1423"/>
      <c r="K297" s="1429"/>
      <c r="L297" s="1429"/>
      <c r="M297" s="1429"/>
      <c r="N297" s="1417"/>
      <c r="O297" s="1417"/>
      <c r="P297" s="1417"/>
      <c r="Q297" s="1417"/>
      <c r="R297" s="1417"/>
      <c r="S297" s="1443"/>
      <c r="T297" s="1417" t="s">
        <v>455</v>
      </c>
      <c r="U297" s="1417" t="s">
        <v>455</v>
      </c>
      <c r="V297" s="1417" t="str">
        <f>IFERROR(__xludf.DUMMYFUNCTION("""COMPUTED_VALUE"""),"")</f>
        <v/>
      </c>
      <c r="W297" s="1416" t="s">
        <v>455</v>
      </c>
      <c r="X297" s="1417"/>
    </row>
    <row r="298">
      <c r="A298" s="1404"/>
      <c r="B298" s="1424"/>
      <c r="C298" s="1473"/>
      <c r="D298" s="1476"/>
      <c r="E298" s="1477"/>
      <c r="F298" s="1424"/>
      <c r="G298" s="1424"/>
      <c r="H298" s="1424"/>
      <c r="I298" s="1424"/>
      <c r="J298" s="1423"/>
      <c r="K298" s="1429"/>
      <c r="L298" s="1429"/>
      <c r="M298" s="1429"/>
      <c r="N298" s="1417"/>
      <c r="O298" s="1417"/>
      <c r="P298" s="1417"/>
      <c r="Q298" s="1417"/>
      <c r="R298" s="1417"/>
      <c r="S298" s="1443"/>
      <c r="T298" s="1417" t="s">
        <v>455</v>
      </c>
      <c r="U298" s="1417" t="s">
        <v>455</v>
      </c>
      <c r="V298" s="1417" t="str">
        <f>IFERROR(__xludf.DUMMYFUNCTION("""COMPUTED_VALUE"""),"")</f>
        <v/>
      </c>
      <c r="W298" s="1416" t="s">
        <v>455</v>
      </c>
      <c r="X298" s="1417"/>
    </row>
    <row r="299">
      <c r="A299" s="1404"/>
      <c r="B299" s="1424"/>
      <c r="C299" s="1473"/>
      <c r="D299" s="1476"/>
      <c r="E299" s="1477"/>
      <c r="F299" s="1424"/>
      <c r="G299" s="1424"/>
      <c r="H299" s="1424"/>
      <c r="I299" s="1424"/>
      <c r="J299" s="1423"/>
      <c r="K299" s="1429"/>
      <c r="L299" s="1429"/>
      <c r="M299" s="1429"/>
      <c r="N299" s="1417"/>
      <c r="O299" s="1417"/>
      <c r="P299" s="1417"/>
      <c r="Q299" s="1417"/>
      <c r="R299" s="1417"/>
      <c r="S299" s="1443"/>
      <c r="T299" s="1417" t="s">
        <v>455</v>
      </c>
      <c r="U299" s="1417" t="s">
        <v>455</v>
      </c>
      <c r="V299" s="1417" t="str">
        <f>IFERROR(__xludf.DUMMYFUNCTION("""COMPUTED_VALUE"""),"")</f>
        <v/>
      </c>
      <c r="W299" s="1416" t="s">
        <v>455</v>
      </c>
      <c r="X299" s="1417"/>
    </row>
    <row r="300">
      <c r="A300" s="1404"/>
      <c r="B300" s="1424"/>
      <c r="C300" s="1473"/>
      <c r="D300" s="1476"/>
      <c r="E300" s="1477"/>
      <c r="F300" s="1424"/>
      <c r="G300" s="1424"/>
      <c r="H300" s="1424"/>
      <c r="I300" s="1424"/>
      <c r="J300" s="1423"/>
      <c r="K300" s="1429"/>
      <c r="L300" s="1429"/>
      <c r="M300" s="1429"/>
      <c r="N300" s="1417"/>
      <c r="O300" s="1417"/>
      <c r="P300" s="1417"/>
      <c r="Q300" s="1417"/>
      <c r="R300" s="1417"/>
      <c r="S300" s="1443"/>
      <c r="T300" s="1417" t="s">
        <v>455</v>
      </c>
      <c r="U300" s="1417" t="s">
        <v>455</v>
      </c>
      <c r="V300" s="1417" t="str">
        <f>IFERROR(__xludf.DUMMYFUNCTION("""COMPUTED_VALUE"""),"")</f>
        <v/>
      </c>
      <c r="W300" s="1416" t="s">
        <v>455</v>
      </c>
      <c r="X300" s="1417"/>
    </row>
    <row r="301">
      <c r="A301" s="1404"/>
      <c r="B301" s="1424"/>
      <c r="C301" s="1473"/>
      <c r="D301" s="1476"/>
      <c r="E301" s="1477"/>
      <c r="F301" s="1424"/>
      <c r="G301" s="1424"/>
      <c r="H301" s="1424"/>
      <c r="I301" s="1424"/>
      <c r="J301" s="1423"/>
      <c r="K301" s="1429"/>
      <c r="L301" s="1429"/>
      <c r="M301" s="1429"/>
      <c r="N301" s="1417"/>
      <c r="O301" s="1417"/>
      <c r="P301" s="1417"/>
      <c r="Q301" s="1417"/>
      <c r="R301" s="1417"/>
      <c r="S301" s="1443"/>
      <c r="T301" s="1417" t="s">
        <v>455</v>
      </c>
      <c r="U301" s="1417" t="s">
        <v>455</v>
      </c>
      <c r="V301" s="1417" t="str">
        <f>IFERROR(__xludf.DUMMYFUNCTION("""COMPUTED_VALUE"""),"")</f>
        <v/>
      </c>
      <c r="W301" s="1416" t="s">
        <v>455</v>
      </c>
      <c r="X301" s="1417"/>
    </row>
    <row r="302">
      <c r="A302" s="1404"/>
      <c r="B302" s="1424"/>
      <c r="C302" s="1473"/>
      <c r="D302" s="1476"/>
      <c r="E302" s="1477"/>
      <c r="F302" s="1424"/>
      <c r="G302" s="1424"/>
      <c r="H302" s="1424"/>
      <c r="I302" s="1424"/>
      <c r="J302" s="1423"/>
      <c r="K302" s="1429"/>
      <c r="L302" s="1429"/>
      <c r="M302" s="1429"/>
      <c r="N302" s="1417"/>
      <c r="O302" s="1417"/>
      <c r="P302" s="1417"/>
      <c r="Q302" s="1417"/>
      <c r="R302" s="1417"/>
      <c r="S302" s="1443"/>
      <c r="T302" s="1417" t="s">
        <v>455</v>
      </c>
      <c r="U302" s="1417" t="s">
        <v>455</v>
      </c>
      <c r="V302" s="1417" t="str">
        <f>IFERROR(__xludf.DUMMYFUNCTION("""COMPUTED_VALUE"""),"")</f>
        <v/>
      </c>
      <c r="W302" s="1416" t="s">
        <v>455</v>
      </c>
      <c r="X302" s="1417"/>
    </row>
    <row r="303">
      <c r="A303" s="1404"/>
      <c r="B303" s="1424"/>
      <c r="C303" s="1473"/>
      <c r="D303" s="1476"/>
      <c r="E303" s="1477"/>
      <c r="F303" s="1424"/>
      <c r="G303" s="1424"/>
      <c r="H303" s="1424"/>
      <c r="I303" s="1424"/>
      <c r="J303" s="1423"/>
      <c r="K303" s="1429"/>
      <c r="L303" s="1429"/>
      <c r="M303" s="1429"/>
      <c r="N303" s="1417"/>
      <c r="O303" s="1417"/>
      <c r="P303" s="1417"/>
      <c r="Q303" s="1417"/>
      <c r="R303" s="1417"/>
      <c r="S303" s="1443"/>
      <c r="T303" s="1417" t="s">
        <v>455</v>
      </c>
      <c r="U303" s="1417" t="s">
        <v>455</v>
      </c>
      <c r="V303" s="1417" t="str">
        <f>IFERROR(__xludf.DUMMYFUNCTION("""COMPUTED_VALUE"""),"")</f>
        <v/>
      </c>
      <c r="W303" s="1416" t="s">
        <v>455</v>
      </c>
      <c r="X303" s="1417"/>
    </row>
    <row r="304">
      <c r="A304" s="1404"/>
      <c r="B304" s="1424"/>
      <c r="C304" s="1473"/>
      <c r="D304" s="1476"/>
      <c r="E304" s="1477"/>
      <c r="F304" s="1424"/>
      <c r="G304" s="1424"/>
      <c r="H304" s="1424"/>
      <c r="I304" s="1424"/>
      <c r="J304" s="1423"/>
      <c r="K304" s="1429"/>
      <c r="L304" s="1429"/>
      <c r="M304" s="1429"/>
      <c r="N304" s="1417"/>
      <c r="O304" s="1417"/>
      <c r="P304" s="1417"/>
      <c r="Q304" s="1417"/>
      <c r="R304" s="1417"/>
      <c r="S304" s="1443"/>
      <c r="T304" s="1417" t="s">
        <v>455</v>
      </c>
      <c r="U304" s="1417" t="s">
        <v>455</v>
      </c>
      <c r="V304" s="1417" t="str">
        <f>IFERROR(__xludf.DUMMYFUNCTION("""COMPUTED_VALUE"""),"")</f>
        <v/>
      </c>
      <c r="W304" s="1416" t="s">
        <v>455</v>
      </c>
      <c r="X304" s="1417"/>
    </row>
    <row r="305">
      <c r="A305" s="1404"/>
      <c r="B305" s="1424"/>
      <c r="C305" s="1473"/>
      <c r="D305" s="1476"/>
      <c r="E305" s="1477"/>
      <c r="F305" s="1424"/>
      <c r="G305" s="1424"/>
      <c r="H305" s="1424"/>
      <c r="I305" s="1424"/>
      <c r="J305" s="1423"/>
      <c r="K305" s="1429"/>
      <c r="L305" s="1429"/>
      <c r="M305" s="1429"/>
      <c r="N305" s="1417"/>
      <c r="O305" s="1417"/>
      <c r="P305" s="1417"/>
      <c r="Q305" s="1417"/>
      <c r="R305" s="1417"/>
      <c r="S305" s="1443"/>
      <c r="T305" s="1417" t="s">
        <v>455</v>
      </c>
      <c r="U305" s="1417" t="s">
        <v>455</v>
      </c>
      <c r="V305" s="1417" t="str">
        <f>IFERROR(__xludf.DUMMYFUNCTION("""COMPUTED_VALUE"""),"")</f>
        <v/>
      </c>
      <c r="W305" s="1416" t="s">
        <v>455</v>
      </c>
      <c r="X305" s="1417"/>
    </row>
    <row r="306">
      <c r="A306" s="1404"/>
      <c r="B306" s="1424"/>
      <c r="C306" s="1473"/>
      <c r="D306" s="1476"/>
      <c r="E306" s="1477"/>
      <c r="F306" s="1424"/>
      <c r="G306" s="1424"/>
      <c r="H306" s="1424"/>
      <c r="I306" s="1424"/>
      <c r="J306" s="1423"/>
      <c r="K306" s="1429"/>
      <c r="L306" s="1429"/>
      <c r="M306" s="1429"/>
      <c r="N306" s="1417"/>
      <c r="O306" s="1417"/>
      <c r="P306" s="1417"/>
      <c r="Q306" s="1417"/>
      <c r="R306" s="1417"/>
      <c r="S306" s="1443"/>
      <c r="T306" s="1417" t="s">
        <v>455</v>
      </c>
      <c r="U306" s="1417" t="s">
        <v>455</v>
      </c>
      <c r="V306" s="1417" t="str">
        <f>IFERROR(__xludf.DUMMYFUNCTION("""COMPUTED_VALUE"""),"")</f>
        <v/>
      </c>
      <c r="W306" s="1416" t="s">
        <v>455</v>
      </c>
      <c r="X306" s="1417"/>
    </row>
    <row r="307">
      <c r="A307" s="1404"/>
      <c r="B307" s="1424"/>
      <c r="C307" s="1473"/>
      <c r="D307" s="1476"/>
      <c r="E307" s="1477"/>
      <c r="F307" s="1424"/>
      <c r="G307" s="1424"/>
      <c r="H307" s="1424"/>
      <c r="I307" s="1424"/>
      <c r="J307" s="1423"/>
      <c r="K307" s="1429"/>
      <c r="L307" s="1429"/>
      <c r="M307" s="1429"/>
      <c r="N307" s="1417"/>
      <c r="O307" s="1417"/>
      <c r="P307" s="1417"/>
      <c r="Q307" s="1417"/>
      <c r="R307" s="1417"/>
      <c r="S307" s="1443"/>
      <c r="T307" s="1417" t="s">
        <v>455</v>
      </c>
      <c r="U307" s="1417" t="s">
        <v>455</v>
      </c>
      <c r="V307" s="1417" t="str">
        <f>IFERROR(__xludf.DUMMYFUNCTION("""COMPUTED_VALUE"""),"")</f>
        <v/>
      </c>
      <c r="W307" s="1416" t="s">
        <v>455</v>
      </c>
      <c r="X307" s="1417"/>
    </row>
    <row r="308">
      <c r="A308" s="1404"/>
      <c r="B308" s="1424"/>
      <c r="C308" s="1473"/>
      <c r="D308" s="1476"/>
      <c r="E308" s="1477"/>
      <c r="F308" s="1424"/>
      <c r="G308" s="1424"/>
      <c r="H308" s="1424"/>
      <c r="I308" s="1424"/>
      <c r="J308" s="1423"/>
      <c r="K308" s="1429"/>
      <c r="L308" s="1429"/>
      <c r="M308" s="1429"/>
      <c r="N308" s="1417"/>
      <c r="O308" s="1417"/>
      <c r="P308" s="1417"/>
      <c r="Q308" s="1417"/>
      <c r="R308" s="1417"/>
      <c r="S308" s="1443"/>
      <c r="T308" s="1417" t="s">
        <v>455</v>
      </c>
      <c r="U308" s="1417" t="s">
        <v>455</v>
      </c>
      <c r="V308" s="1417" t="str">
        <f>IFERROR(__xludf.DUMMYFUNCTION("""COMPUTED_VALUE"""),"")</f>
        <v/>
      </c>
      <c r="W308" s="1416" t="s">
        <v>455</v>
      </c>
      <c r="X308" s="1417"/>
    </row>
    <row r="309">
      <c r="A309" s="1404"/>
      <c r="B309" s="1424"/>
      <c r="C309" s="1473"/>
      <c r="D309" s="1476"/>
      <c r="E309" s="1477"/>
      <c r="F309" s="1424"/>
      <c r="G309" s="1424"/>
      <c r="H309" s="1424"/>
      <c r="I309" s="1424"/>
      <c r="J309" s="1423"/>
      <c r="K309" s="1429"/>
      <c r="L309" s="1429"/>
      <c r="M309" s="1429"/>
      <c r="N309" s="1417"/>
      <c r="O309" s="1417"/>
      <c r="P309" s="1417"/>
      <c r="Q309" s="1417"/>
      <c r="R309" s="1417"/>
      <c r="S309" s="1443"/>
      <c r="T309" s="1417" t="s">
        <v>455</v>
      </c>
      <c r="U309" s="1417" t="s">
        <v>455</v>
      </c>
      <c r="V309" s="1417" t="str">
        <f>IFERROR(__xludf.DUMMYFUNCTION("""COMPUTED_VALUE"""),"")</f>
        <v/>
      </c>
      <c r="W309" s="1416" t="s">
        <v>455</v>
      </c>
      <c r="X309" s="1417"/>
    </row>
    <row r="310">
      <c r="A310" s="1404"/>
      <c r="B310" s="1424"/>
      <c r="C310" s="1473"/>
      <c r="D310" s="1476"/>
      <c r="E310" s="1477"/>
      <c r="F310" s="1424"/>
      <c r="G310" s="1424"/>
      <c r="H310" s="1424"/>
      <c r="I310" s="1424"/>
      <c r="J310" s="1423"/>
      <c r="K310" s="1429"/>
      <c r="L310" s="1429"/>
      <c r="M310" s="1429"/>
      <c r="N310" s="1417"/>
      <c r="O310" s="1417"/>
      <c r="P310" s="1417"/>
      <c r="Q310" s="1417"/>
      <c r="R310" s="1417"/>
      <c r="S310" s="1443"/>
      <c r="T310" s="1417" t="s">
        <v>455</v>
      </c>
      <c r="U310" s="1417" t="s">
        <v>455</v>
      </c>
      <c r="V310" s="1417" t="str">
        <f>IFERROR(__xludf.DUMMYFUNCTION("""COMPUTED_VALUE"""),"")</f>
        <v/>
      </c>
      <c r="W310" s="1416" t="s">
        <v>455</v>
      </c>
      <c r="X310" s="1417"/>
    </row>
    <row r="311">
      <c r="A311" s="1404"/>
      <c r="B311" s="1424"/>
      <c r="C311" s="1473"/>
      <c r="D311" s="1476"/>
      <c r="E311" s="1477"/>
      <c r="F311" s="1424"/>
      <c r="G311" s="1424"/>
      <c r="H311" s="1424"/>
      <c r="I311" s="1424"/>
      <c r="J311" s="1423"/>
      <c r="K311" s="1429"/>
      <c r="L311" s="1429"/>
      <c r="M311" s="1429"/>
      <c r="N311" s="1417"/>
      <c r="O311" s="1417"/>
      <c r="P311" s="1417"/>
      <c r="Q311" s="1417"/>
      <c r="R311" s="1417"/>
      <c r="S311" s="1443"/>
      <c r="T311" s="1417" t="s">
        <v>455</v>
      </c>
      <c r="U311" s="1417" t="s">
        <v>455</v>
      </c>
      <c r="V311" s="1417" t="str">
        <f>IFERROR(__xludf.DUMMYFUNCTION("""COMPUTED_VALUE"""),"")</f>
        <v/>
      </c>
      <c r="W311" s="1416" t="s">
        <v>455</v>
      </c>
      <c r="X311" s="1417"/>
    </row>
    <row r="312">
      <c r="A312" s="1404"/>
      <c r="B312" s="1424"/>
      <c r="C312" s="1473"/>
      <c r="D312" s="1476"/>
      <c r="E312" s="1477"/>
      <c r="F312" s="1424"/>
      <c r="G312" s="1424"/>
      <c r="H312" s="1424"/>
      <c r="I312" s="1424"/>
      <c r="J312" s="1423"/>
      <c r="K312" s="1429"/>
      <c r="L312" s="1429"/>
      <c r="M312" s="1429"/>
      <c r="N312" s="1417"/>
      <c r="O312" s="1417"/>
      <c r="P312" s="1417"/>
      <c r="Q312" s="1417"/>
      <c r="R312" s="1417"/>
      <c r="S312" s="1443"/>
      <c r="T312" s="1417" t="s">
        <v>455</v>
      </c>
      <c r="U312" s="1417" t="s">
        <v>455</v>
      </c>
      <c r="V312" s="1417" t="str">
        <f>IFERROR(__xludf.DUMMYFUNCTION("""COMPUTED_VALUE"""),"")</f>
        <v/>
      </c>
      <c r="W312" s="1416" t="s">
        <v>455</v>
      </c>
      <c r="X312" s="1417"/>
    </row>
    <row r="313">
      <c r="A313" s="1404"/>
      <c r="B313" s="1424"/>
      <c r="C313" s="1473"/>
      <c r="D313" s="1476"/>
      <c r="E313" s="1477"/>
      <c r="F313" s="1424"/>
      <c r="G313" s="1424"/>
      <c r="H313" s="1424"/>
      <c r="I313" s="1424"/>
      <c r="J313" s="1423"/>
      <c r="K313" s="1429"/>
      <c r="L313" s="1429"/>
      <c r="M313" s="1429"/>
      <c r="N313" s="1417"/>
      <c r="O313" s="1417"/>
      <c r="P313" s="1417"/>
      <c r="Q313" s="1417"/>
      <c r="R313" s="1417"/>
      <c r="S313" s="1443"/>
      <c r="T313" s="1417" t="s">
        <v>455</v>
      </c>
      <c r="U313" s="1417" t="s">
        <v>455</v>
      </c>
      <c r="V313" s="1417" t="str">
        <f>IFERROR(__xludf.DUMMYFUNCTION("""COMPUTED_VALUE"""),"")</f>
        <v/>
      </c>
      <c r="W313" s="1416" t="s">
        <v>455</v>
      </c>
      <c r="X313" s="1417"/>
    </row>
    <row r="314">
      <c r="A314" s="1404"/>
      <c r="B314" s="1424"/>
      <c r="C314" s="1473"/>
      <c r="D314" s="1476"/>
      <c r="E314" s="1477"/>
      <c r="F314" s="1424"/>
      <c r="G314" s="1424"/>
      <c r="H314" s="1424"/>
      <c r="I314" s="1424"/>
      <c r="J314" s="1423"/>
      <c r="K314" s="1429"/>
      <c r="L314" s="1429"/>
      <c r="M314" s="1429"/>
      <c r="N314" s="1417"/>
      <c r="O314" s="1417"/>
      <c r="P314" s="1417"/>
      <c r="Q314" s="1417"/>
      <c r="R314" s="1417"/>
      <c r="S314" s="1443"/>
      <c r="T314" s="1417" t="s">
        <v>455</v>
      </c>
      <c r="U314" s="1417" t="s">
        <v>455</v>
      </c>
      <c r="V314" s="1417" t="str">
        <f>IFERROR(__xludf.DUMMYFUNCTION("""COMPUTED_VALUE"""),"")</f>
        <v/>
      </c>
      <c r="W314" s="1416" t="s">
        <v>455</v>
      </c>
      <c r="X314" s="1417"/>
    </row>
    <row r="315">
      <c r="A315" s="1404"/>
      <c r="B315" s="1424"/>
      <c r="C315" s="1473"/>
      <c r="D315" s="1476"/>
      <c r="E315" s="1477"/>
      <c r="F315" s="1424"/>
      <c r="G315" s="1424"/>
      <c r="H315" s="1424"/>
      <c r="I315" s="1424"/>
      <c r="J315" s="1423"/>
      <c r="K315" s="1429"/>
      <c r="L315" s="1429"/>
      <c r="M315" s="1429"/>
      <c r="N315" s="1417"/>
      <c r="O315" s="1417"/>
      <c r="P315" s="1417"/>
      <c r="Q315" s="1417"/>
      <c r="R315" s="1417"/>
      <c r="S315" s="1443"/>
      <c r="T315" s="1417" t="s">
        <v>455</v>
      </c>
      <c r="U315" s="1417" t="s">
        <v>455</v>
      </c>
      <c r="V315" s="1417" t="str">
        <f>IFERROR(__xludf.DUMMYFUNCTION("""COMPUTED_VALUE"""),"")</f>
        <v/>
      </c>
      <c r="W315" s="1416" t="s">
        <v>455</v>
      </c>
      <c r="X315" s="1417"/>
    </row>
    <row r="316">
      <c r="A316" s="1404"/>
      <c r="B316" s="1424"/>
      <c r="C316" s="1473"/>
      <c r="D316" s="1476"/>
      <c r="E316" s="1477"/>
      <c r="F316" s="1424"/>
      <c r="G316" s="1424"/>
      <c r="H316" s="1424"/>
      <c r="I316" s="1424"/>
      <c r="J316" s="1423"/>
      <c r="K316" s="1429"/>
      <c r="L316" s="1429"/>
      <c r="M316" s="1429"/>
      <c r="N316" s="1417"/>
      <c r="O316" s="1417"/>
      <c r="P316" s="1417"/>
      <c r="Q316" s="1417"/>
      <c r="R316" s="1417"/>
      <c r="S316" s="1443"/>
      <c r="T316" s="1417" t="s">
        <v>455</v>
      </c>
      <c r="U316" s="1417" t="s">
        <v>455</v>
      </c>
      <c r="V316" s="1417" t="str">
        <f>IFERROR(__xludf.DUMMYFUNCTION("""COMPUTED_VALUE"""),"")</f>
        <v/>
      </c>
      <c r="W316" s="1416" t="s">
        <v>455</v>
      </c>
      <c r="X316" s="1417"/>
    </row>
    <row r="317">
      <c r="A317" s="1404"/>
      <c r="B317" s="1424"/>
      <c r="C317" s="1473"/>
      <c r="D317" s="1476"/>
      <c r="E317" s="1477"/>
      <c r="F317" s="1424"/>
      <c r="G317" s="1424"/>
      <c r="H317" s="1424"/>
      <c r="I317" s="1424"/>
      <c r="J317" s="1423"/>
      <c r="K317" s="1429"/>
      <c r="L317" s="1429"/>
      <c r="M317" s="1429"/>
      <c r="N317" s="1417"/>
      <c r="O317" s="1417"/>
      <c r="P317" s="1417"/>
      <c r="Q317" s="1417"/>
      <c r="R317" s="1417"/>
      <c r="S317" s="1443"/>
      <c r="T317" s="1417" t="s">
        <v>455</v>
      </c>
      <c r="U317" s="1417" t="s">
        <v>455</v>
      </c>
      <c r="V317" s="1417" t="str">
        <f>IFERROR(__xludf.DUMMYFUNCTION("""COMPUTED_VALUE"""),"")</f>
        <v/>
      </c>
      <c r="W317" s="1416" t="s">
        <v>455</v>
      </c>
      <c r="X317" s="1417"/>
    </row>
    <row r="318">
      <c r="A318" s="1404"/>
      <c r="B318" s="1424"/>
      <c r="C318" s="1473"/>
      <c r="D318" s="1476"/>
      <c r="E318" s="1477"/>
      <c r="F318" s="1424"/>
      <c r="G318" s="1424"/>
      <c r="H318" s="1424"/>
      <c r="I318" s="1424"/>
      <c r="J318" s="1423"/>
      <c r="K318" s="1429"/>
      <c r="L318" s="1429"/>
      <c r="M318" s="1429"/>
      <c r="N318" s="1417"/>
      <c r="O318" s="1417"/>
      <c r="P318" s="1417"/>
      <c r="Q318" s="1417"/>
      <c r="R318" s="1417"/>
      <c r="S318" s="1443"/>
      <c r="T318" s="1417" t="s">
        <v>455</v>
      </c>
      <c r="U318" s="1417" t="s">
        <v>455</v>
      </c>
      <c r="V318" s="1417" t="str">
        <f>IFERROR(__xludf.DUMMYFUNCTION("""COMPUTED_VALUE"""),"")</f>
        <v/>
      </c>
      <c r="W318" s="1416" t="s">
        <v>455</v>
      </c>
      <c r="X318" s="1417"/>
    </row>
    <row r="319">
      <c r="A319" s="1404"/>
      <c r="B319" s="1424"/>
      <c r="C319" s="1473"/>
      <c r="D319" s="1476"/>
      <c r="E319" s="1477"/>
      <c r="F319" s="1424"/>
      <c r="G319" s="1424"/>
      <c r="H319" s="1424"/>
      <c r="I319" s="1424"/>
      <c r="J319" s="1423"/>
      <c r="K319" s="1429"/>
      <c r="L319" s="1429"/>
      <c r="M319" s="1429"/>
      <c r="N319" s="1417"/>
      <c r="O319" s="1417"/>
      <c r="P319" s="1417"/>
      <c r="Q319" s="1417"/>
      <c r="R319" s="1417"/>
      <c r="S319" s="1443"/>
      <c r="T319" s="1417" t="s">
        <v>455</v>
      </c>
      <c r="U319" s="1417" t="s">
        <v>455</v>
      </c>
      <c r="V319" s="1417" t="str">
        <f>IFERROR(__xludf.DUMMYFUNCTION("""COMPUTED_VALUE"""),"")</f>
        <v/>
      </c>
      <c r="W319" s="1416" t="s">
        <v>455</v>
      </c>
      <c r="X319" s="1417"/>
    </row>
    <row r="320">
      <c r="A320" s="1404"/>
      <c r="B320" s="1424"/>
      <c r="C320" s="1473"/>
      <c r="D320" s="1476"/>
      <c r="E320" s="1477"/>
      <c r="F320" s="1424"/>
      <c r="G320" s="1424"/>
      <c r="H320" s="1424"/>
      <c r="I320" s="1424"/>
      <c r="J320" s="1423"/>
      <c r="K320" s="1429"/>
      <c r="L320" s="1429"/>
      <c r="M320" s="1429"/>
      <c r="N320" s="1417"/>
      <c r="O320" s="1417"/>
      <c r="P320" s="1417"/>
      <c r="Q320" s="1417"/>
      <c r="R320" s="1417"/>
      <c r="S320" s="1443"/>
      <c r="T320" s="1417" t="s">
        <v>455</v>
      </c>
      <c r="U320" s="1417" t="s">
        <v>455</v>
      </c>
      <c r="V320" s="1417" t="str">
        <f>IFERROR(__xludf.DUMMYFUNCTION("""COMPUTED_VALUE"""),"")</f>
        <v/>
      </c>
      <c r="W320" s="1416" t="s">
        <v>455</v>
      </c>
      <c r="X320" s="1417"/>
    </row>
    <row r="321">
      <c r="A321" s="1404"/>
      <c r="B321" s="1424"/>
      <c r="C321" s="1473"/>
      <c r="D321" s="1476"/>
      <c r="E321" s="1477"/>
      <c r="F321" s="1424"/>
      <c r="G321" s="1424"/>
      <c r="H321" s="1424"/>
      <c r="I321" s="1424"/>
      <c r="J321" s="1423"/>
      <c r="K321" s="1429"/>
      <c r="L321" s="1429"/>
      <c r="M321" s="1429"/>
      <c r="N321" s="1417"/>
      <c r="O321" s="1417"/>
      <c r="P321" s="1417"/>
      <c r="Q321" s="1417"/>
      <c r="R321" s="1417"/>
      <c r="S321" s="1443"/>
      <c r="T321" s="1417" t="s">
        <v>455</v>
      </c>
      <c r="U321" s="1417" t="s">
        <v>455</v>
      </c>
      <c r="V321" s="1417" t="str">
        <f>IFERROR(__xludf.DUMMYFUNCTION("""COMPUTED_VALUE"""),"")</f>
        <v/>
      </c>
      <c r="W321" s="1416" t="s">
        <v>455</v>
      </c>
      <c r="X321" s="1417"/>
    </row>
    <row r="322">
      <c r="A322" s="1404"/>
      <c r="B322" s="1424"/>
      <c r="C322" s="1473"/>
      <c r="D322" s="1476"/>
      <c r="E322" s="1477"/>
      <c r="F322" s="1424"/>
      <c r="G322" s="1424"/>
      <c r="H322" s="1424"/>
      <c r="I322" s="1424"/>
      <c r="J322" s="1423"/>
      <c r="K322" s="1429"/>
      <c r="L322" s="1429"/>
      <c r="M322" s="1429"/>
      <c r="N322" s="1417"/>
      <c r="O322" s="1417"/>
      <c r="P322" s="1417"/>
      <c r="Q322" s="1417"/>
      <c r="R322" s="1417"/>
      <c r="S322" s="1443"/>
      <c r="T322" s="1417" t="s">
        <v>455</v>
      </c>
      <c r="U322" s="1417" t="s">
        <v>455</v>
      </c>
      <c r="V322" s="1417" t="str">
        <f>IFERROR(__xludf.DUMMYFUNCTION("""COMPUTED_VALUE"""),"")</f>
        <v/>
      </c>
      <c r="W322" s="1416" t="s">
        <v>455</v>
      </c>
      <c r="X322" s="1417"/>
    </row>
    <row r="323">
      <c r="A323" s="1404"/>
      <c r="B323" s="1424"/>
      <c r="C323" s="1473"/>
      <c r="D323" s="1476"/>
      <c r="E323" s="1477"/>
      <c r="F323" s="1424"/>
      <c r="G323" s="1424"/>
      <c r="H323" s="1424"/>
      <c r="I323" s="1424"/>
      <c r="J323" s="1423"/>
      <c r="K323" s="1429"/>
      <c r="L323" s="1429"/>
      <c r="M323" s="1429"/>
      <c r="N323" s="1417"/>
      <c r="O323" s="1417"/>
      <c r="P323" s="1417"/>
      <c r="Q323" s="1417"/>
      <c r="R323" s="1417"/>
      <c r="S323" s="1443"/>
      <c r="T323" s="1417" t="s">
        <v>455</v>
      </c>
      <c r="U323" s="1417" t="s">
        <v>455</v>
      </c>
      <c r="V323" s="1417" t="str">
        <f>IFERROR(__xludf.DUMMYFUNCTION("""COMPUTED_VALUE"""),"")</f>
        <v/>
      </c>
      <c r="W323" s="1416" t="s">
        <v>455</v>
      </c>
      <c r="X323" s="1417"/>
    </row>
    <row r="324">
      <c r="A324" s="1404"/>
      <c r="B324" s="1424"/>
      <c r="C324" s="1473"/>
      <c r="D324" s="1476"/>
      <c r="E324" s="1477"/>
      <c r="F324" s="1424"/>
      <c r="G324" s="1424"/>
      <c r="H324" s="1424"/>
      <c r="I324" s="1424"/>
      <c r="J324" s="1423"/>
      <c r="K324" s="1429"/>
      <c r="L324" s="1429"/>
      <c r="M324" s="1429"/>
      <c r="N324" s="1417"/>
      <c r="O324" s="1417"/>
      <c r="P324" s="1417"/>
      <c r="Q324" s="1417"/>
      <c r="R324" s="1417"/>
      <c r="S324" s="1443"/>
      <c r="T324" s="1417" t="s">
        <v>455</v>
      </c>
      <c r="U324" s="1417" t="s">
        <v>455</v>
      </c>
      <c r="V324" s="1417" t="str">
        <f>IFERROR(__xludf.DUMMYFUNCTION("""COMPUTED_VALUE"""),"")</f>
        <v/>
      </c>
      <c r="W324" s="1416" t="s">
        <v>455</v>
      </c>
      <c r="X324" s="1417"/>
    </row>
    <row r="325">
      <c r="A325" s="1404"/>
      <c r="B325" s="1424"/>
      <c r="C325" s="1473"/>
      <c r="D325" s="1476"/>
      <c r="E325" s="1477"/>
      <c r="F325" s="1424"/>
      <c r="G325" s="1424"/>
      <c r="H325" s="1424"/>
      <c r="I325" s="1424"/>
      <c r="J325" s="1423"/>
      <c r="K325" s="1429"/>
      <c r="L325" s="1429"/>
      <c r="M325" s="1429"/>
      <c r="N325" s="1417"/>
      <c r="O325" s="1417"/>
      <c r="P325" s="1417"/>
      <c r="Q325" s="1417"/>
      <c r="R325" s="1417"/>
      <c r="S325" s="1443"/>
      <c r="T325" s="1417" t="s">
        <v>455</v>
      </c>
      <c r="U325" s="1417" t="s">
        <v>455</v>
      </c>
      <c r="V325" s="1417" t="str">
        <f>IFERROR(__xludf.DUMMYFUNCTION("""COMPUTED_VALUE"""),"")</f>
        <v/>
      </c>
      <c r="W325" s="1416" t="s">
        <v>455</v>
      </c>
      <c r="X325" s="1417"/>
    </row>
    <row r="326">
      <c r="A326" s="1404"/>
      <c r="B326" s="1424"/>
      <c r="C326" s="1473"/>
      <c r="D326" s="1476"/>
      <c r="E326" s="1477"/>
      <c r="F326" s="1424"/>
      <c r="G326" s="1424"/>
      <c r="H326" s="1424"/>
      <c r="I326" s="1424"/>
      <c r="J326" s="1423"/>
      <c r="K326" s="1429"/>
      <c r="L326" s="1429"/>
      <c r="M326" s="1429"/>
      <c r="N326" s="1417"/>
      <c r="O326" s="1417"/>
      <c r="P326" s="1417"/>
      <c r="Q326" s="1417"/>
      <c r="R326" s="1417"/>
      <c r="S326" s="1443"/>
      <c r="T326" s="1417" t="s">
        <v>455</v>
      </c>
      <c r="U326" s="1417" t="s">
        <v>455</v>
      </c>
      <c r="V326" s="1417" t="str">
        <f>IFERROR(__xludf.DUMMYFUNCTION("""COMPUTED_VALUE"""),"")</f>
        <v/>
      </c>
      <c r="W326" s="1416" t="s">
        <v>455</v>
      </c>
      <c r="X326" s="1417"/>
    </row>
    <row r="327">
      <c r="A327" s="1404"/>
      <c r="B327" s="1424"/>
      <c r="C327" s="1473"/>
      <c r="D327" s="1476"/>
      <c r="E327" s="1477"/>
      <c r="F327" s="1424"/>
      <c r="G327" s="1424"/>
      <c r="H327" s="1424"/>
      <c r="I327" s="1424"/>
      <c r="J327" s="1423"/>
      <c r="K327" s="1429"/>
      <c r="L327" s="1429"/>
      <c r="M327" s="1429"/>
      <c r="N327" s="1417"/>
      <c r="O327" s="1417"/>
      <c r="P327" s="1417"/>
      <c r="Q327" s="1417"/>
      <c r="R327" s="1417"/>
      <c r="S327" s="1443"/>
      <c r="T327" s="1417" t="s">
        <v>455</v>
      </c>
      <c r="U327" s="1417" t="s">
        <v>455</v>
      </c>
      <c r="V327" s="1417" t="str">
        <f>IFERROR(__xludf.DUMMYFUNCTION("""COMPUTED_VALUE"""),"")</f>
        <v/>
      </c>
      <c r="W327" s="1416" t="s">
        <v>455</v>
      </c>
      <c r="X327" s="1417"/>
    </row>
    <row r="328">
      <c r="A328" s="1404"/>
      <c r="B328" s="1424"/>
      <c r="C328" s="1473"/>
      <c r="D328" s="1476"/>
      <c r="E328" s="1477"/>
      <c r="F328" s="1424"/>
      <c r="G328" s="1424"/>
      <c r="H328" s="1424"/>
      <c r="I328" s="1424"/>
      <c r="J328" s="1423"/>
      <c r="K328" s="1429"/>
      <c r="L328" s="1429"/>
      <c r="M328" s="1429"/>
      <c r="N328" s="1417"/>
      <c r="O328" s="1417"/>
      <c r="P328" s="1417"/>
      <c r="Q328" s="1417"/>
      <c r="R328" s="1417"/>
      <c r="S328" s="1443"/>
      <c r="T328" s="1417" t="s">
        <v>455</v>
      </c>
      <c r="U328" s="1417" t="s">
        <v>455</v>
      </c>
      <c r="V328" s="1417" t="str">
        <f>IFERROR(__xludf.DUMMYFUNCTION("""COMPUTED_VALUE"""),"")</f>
        <v/>
      </c>
      <c r="W328" s="1416" t="s">
        <v>455</v>
      </c>
      <c r="X328" s="1417"/>
    </row>
    <row r="329">
      <c r="A329" s="1404"/>
      <c r="B329" s="1424"/>
      <c r="C329" s="1473"/>
      <c r="D329" s="1476"/>
      <c r="E329" s="1477"/>
      <c r="F329" s="1424"/>
      <c r="G329" s="1424"/>
      <c r="H329" s="1424"/>
      <c r="I329" s="1424"/>
      <c r="J329" s="1423"/>
      <c r="K329" s="1429"/>
      <c r="L329" s="1429"/>
      <c r="M329" s="1429"/>
      <c r="N329" s="1417"/>
      <c r="O329" s="1417"/>
      <c r="P329" s="1417"/>
      <c r="Q329" s="1417"/>
      <c r="R329" s="1417"/>
      <c r="S329" s="1443"/>
      <c r="T329" s="1417" t="s">
        <v>455</v>
      </c>
      <c r="U329" s="1417" t="s">
        <v>455</v>
      </c>
      <c r="V329" s="1417" t="str">
        <f>IFERROR(__xludf.DUMMYFUNCTION("""COMPUTED_VALUE"""),"")</f>
        <v/>
      </c>
      <c r="W329" s="1416" t="s">
        <v>455</v>
      </c>
      <c r="X329" s="1417"/>
    </row>
    <row r="330">
      <c r="A330" s="1404"/>
      <c r="B330" s="1424"/>
      <c r="C330" s="1473"/>
      <c r="D330" s="1476"/>
      <c r="E330" s="1477"/>
      <c r="F330" s="1424"/>
      <c r="G330" s="1424"/>
      <c r="H330" s="1424"/>
      <c r="I330" s="1424"/>
      <c r="J330" s="1423"/>
      <c r="K330" s="1429"/>
      <c r="L330" s="1429"/>
      <c r="M330" s="1429"/>
      <c r="N330" s="1417"/>
      <c r="O330" s="1417"/>
      <c r="P330" s="1417"/>
      <c r="Q330" s="1417"/>
      <c r="R330" s="1417"/>
      <c r="S330" s="1443"/>
      <c r="T330" s="1417" t="s">
        <v>455</v>
      </c>
      <c r="U330" s="1417" t="s">
        <v>455</v>
      </c>
      <c r="V330" s="1417" t="str">
        <f>IFERROR(__xludf.DUMMYFUNCTION("""COMPUTED_VALUE"""),"")</f>
        <v/>
      </c>
      <c r="W330" s="1416" t="s">
        <v>455</v>
      </c>
      <c r="X330" s="1417"/>
    </row>
    <row r="331">
      <c r="A331" s="1404"/>
      <c r="B331" s="1424"/>
      <c r="C331" s="1473"/>
      <c r="D331" s="1476"/>
      <c r="E331" s="1477"/>
      <c r="F331" s="1424"/>
      <c r="G331" s="1424"/>
      <c r="H331" s="1424"/>
      <c r="I331" s="1424"/>
      <c r="J331" s="1423"/>
      <c r="K331" s="1429"/>
      <c r="L331" s="1429"/>
      <c r="M331" s="1429"/>
      <c r="N331" s="1417"/>
      <c r="O331" s="1417"/>
      <c r="P331" s="1417"/>
      <c r="Q331" s="1417"/>
      <c r="R331" s="1417"/>
      <c r="S331" s="1443"/>
      <c r="T331" s="1417" t="s">
        <v>455</v>
      </c>
      <c r="U331" s="1417" t="s">
        <v>455</v>
      </c>
      <c r="V331" s="1417" t="str">
        <f>IFERROR(__xludf.DUMMYFUNCTION("""COMPUTED_VALUE"""),"")</f>
        <v/>
      </c>
      <c r="W331" s="1416" t="s">
        <v>455</v>
      </c>
      <c r="X331" s="1417"/>
    </row>
    <row r="332">
      <c r="A332" s="1404"/>
      <c r="B332" s="1424"/>
      <c r="C332" s="1473"/>
      <c r="D332" s="1476"/>
      <c r="E332" s="1477"/>
      <c r="F332" s="1424"/>
      <c r="G332" s="1424"/>
      <c r="H332" s="1424"/>
      <c r="I332" s="1424"/>
      <c r="J332" s="1423"/>
      <c r="K332" s="1429"/>
      <c r="L332" s="1429"/>
      <c r="M332" s="1429"/>
      <c r="N332" s="1417"/>
      <c r="O332" s="1417"/>
      <c r="P332" s="1417"/>
      <c r="Q332" s="1417"/>
      <c r="R332" s="1417"/>
      <c r="S332" s="1443"/>
      <c r="T332" s="1417" t="s">
        <v>455</v>
      </c>
      <c r="U332" s="1417" t="s">
        <v>455</v>
      </c>
      <c r="V332" s="1417" t="str">
        <f>IFERROR(__xludf.DUMMYFUNCTION("""COMPUTED_VALUE"""),"")</f>
        <v/>
      </c>
      <c r="W332" s="1416" t="s">
        <v>455</v>
      </c>
      <c r="X332" s="1417"/>
    </row>
    <row r="333">
      <c r="A333" s="1404"/>
      <c r="B333" s="1424"/>
      <c r="C333" s="1473"/>
      <c r="D333" s="1476"/>
      <c r="E333" s="1477"/>
      <c r="F333" s="1424"/>
      <c r="G333" s="1424"/>
      <c r="H333" s="1424"/>
      <c r="I333" s="1424"/>
      <c r="J333" s="1423"/>
      <c r="K333" s="1429"/>
      <c r="L333" s="1429"/>
      <c r="M333" s="1429"/>
      <c r="N333" s="1417"/>
      <c r="O333" s="1417"/>
      <c r="P333" s="1417"/>
      <c r="Q333" s="1417"/>
      <c r="R333" s="1417"/>
      <c r="S333" s="1443"/>
      <c r="T333" s="1417" t="s">
        <v>455</v>
      </c>
      <c r="U333" s="1417" t="s">
        <v>455</v>
      </c>
      <c r="V333" s="1417" t="str">
        <f>IFERROR(__xludf.DUMMYFUNCTION("""COMPUTED_VALUE"""),"")</f>
        <v/>
      </c>
      <c r="W333" s="1416" t="s">
        <v>455</v>
      </c>
      <c r="X333" s="1417"/>
    </row>
    <row r="334">
      <c r="A334" s="1404"/>
      <c r="B334" s="1424"/>
      <c r="C334" s="1473"/>
      <c r="D334" s="1476"/>
      <c r="E334" s="1477"/>
      <c r="F334" s="1424"/>
      <c r="G334" s="1424"/>
      <c r="H334" s="1424"/>
      <c r="I334" s="1424"/>
      <c r="J334" s="1423"/>
      <c r="K334" s="1429"/>
      <c r="L334" s="1429"/>
      <c r="M334" s="1429"/>
      <c r="N334" s="1417"/>
      <c r="O334" s="1417"/>
      <c r="P334" s="1417"/>
      <c r="Q334" s="1417"/>
      <c r="R334" s="1417"/>
      <c r="S334" s="1443"/>
      <c r="T334" s="1417" t="s">
        <v>455</v>
      </c>
      <c r="U334" s="1417" t="s">
        <v>455</v>
      </c>
      <c r="V334" s="1417" t="str">
        <f>IFERROR(__xludf.DUMMYFUNCTION("""COMPUTED_VALUE"""),"")</f>
        <v/>
      </c>
      <c r="W334" s="1416" t="s">
        <v>455</v>
      </c>
      <c r="X334" s="1417"/>
    </row>
    <row r="335">
      <c r="A335" s="1404"/>
      <c r="B335" s="1424"/>
      <c r="C335" s="1473"/>
      <c r="D335" s="1476"/>
      <c r="E335" s="1477"/>
      <c r="F335" s="1424"/>
      <c r="G335" s="1424"/>
      <c r="H335" s="1424"/>
      <c r="I335" s="1424"/>
      <c r="J335" s="1423"/>
      <c r="K335" s="1429"/>
      <c r="L335" s="1429"/>
      <c r="M335" s="1429"/>
      <c r="N335" s="1417"/>
      <c r="O335" s="1417"/>
      <c r="P335" s="1417"/>
      <c r="Q335" s="1417"/>
      <c r="R335" s="1417"/>
      <c r="S335" s="1443"/>
      <c r="T335" s="1417" t="s">
        <v>455</v>
      </c>
      <c r="U335" s="1417" t="s">
        <v>455</v>
      </c>
      <c r="V335" s="1417" t="str">
        <f>IFERROR(__xludf.DUMMYFUNCTION("""COMPUTED_VALUE"""),"")</f>
        <v/>
      </c>
      <c r="W335" s="1416" t="s">
        <v>455</v>
      </c>
      <c r="X335" s="1417"/>
    </row>
    <row r="336">
      <c r="A336" s="1404"/>
      <c r="B336" s="1424"/>
      <c r="C336" s="1473"/>
      <c r="D336" s="1476"/>
      <c r="E336" s="1477"/>
      <c r="F336" s="1424"/>
      <c r="G336" s="1424"/>
      <c r="H336" s="1424"/>
      <c r="I336" s="1424"/>
      <c r="J336" s="1423"/>
      <c r="K336" s="1429"/>
      <c r="L336" s="1429"/>
      <c r="M336" s="1429"/>
      <c r="N336" s="1417"/>
      <c r="O336" s="1417"/>
      <c r="P336" s="1417"/>
      <c r="Q336" s="1417"/>
      <c r="R336" s="1417"/>
      <c r="S336" s="1443"/>
      <c r="T336" s="1417" t="s">
        <v>455</v>
      </c>
      <c r="U336" s="1417" t="s">
        <v>455</v>
      </c>
      <c r="V336" s="1417" t="str">
        <f>IFERROR(__xludf.DUMMYFUNCTION("""COMPUTED_VALUE"""),"")</f>
        <v/>
      </c>
      <c r="W336" s="1416" t="s">
        <v>455</v>
      </c>
      <c r="X336" s="1417"/>
    </row>
    <row r="337">
      <c r="A337" s="1404"/>
      <c r="B337" s="1424"/>
      <c r="C337" s="1473"/>
      <c r="D337" s="1476"/>
      <c r="E337" s="1477"/>
      <c r="F337" s="1424"/>
      <c r="G337" s="1424"/>
      <c r="H337" s="1424"/>
      <c r="I337" s="1424"/>
      <c r="J337" s="1423"/>
      <c r="K337" s="1429"/>
      <c r="L337" s="1429"/>
      <c r="M337" s="1429"/>
      <c r="N337" s="1417"/>
      <c r="O337" s="1417"/>
      <c r="P337" s="1417"/>
      <c r="Q337" s="1417"/>
      <c r="R337" s="1417"/>
      <c r="S337" s="1443"/>
      <c r="T337" s="1417" t="s">
        <v>455</v>
      </c>
      <c r="U337" s="1417" t="s">
        <v>455</v>
      </c>
      <c r="V337" s="1417" t="str">
        <f>IFERROR(__xludf.DUMMYFUNCTION("""COMPUTED_VALUE"""),"")</f>
        <v/>
      </c>
      <c r="W337" s="1416" t="s">
        <v>455</v>
      </c>
      <c r="X337" s="1417"/>
    </row>
    <row r="338">
      <c r="A338" s="1404"/>
      <c r="B338" s="1424"/>
      <c r="C338" s="1473"/>
      <c r="D338" s="1476"/>
      <c r="E338" s="1477"/>
      <c r="F338" s="1424"/>
      <c r="G338" s="1424"/>
      <c r="H338" s="1424"/>
      <c r="I338" s="1424"/>
      <c r="J338" s="1423"/>
      <c r="K338" s="1429"/>
      <c r="L338" s="1429"/>
      <c r="M338" s="1429"/>
      <c r="N338" s="1417"/>
      <c r="O338" s="1417"/>
      <c r="P338" s="1417"/>
      <c r="Q338" s="1417"/>
      <c r="R338" s="1417"/>
      <c r="S338" s="1443"/>
      <c r="T338" s="1417" t="s">
        <v>455</v>
      </c>
      <c r="U338" s="1417" t="s">
        <v>455</v>
      </c>
      <c r="V338" s="1417" t="str">
        <f>IFERROR(__xludf.DUMMYFUNCTION("""COMPUTED_VALUE"""),"")</f>
        <v/>
      </c>
      <c r="W338" s="1416" t="s">
        <v>455</v>
      </c>
      <c r="X338" s="1417"/>
    </row>
    <row r="339">
      <c r="A339" s="1404"/>
      <c r="B339" s="1424"/>
      <c r="C339" s="1473"/>
      <c r="D339" s="1476"/>
      <c r="E339" s="1477"/>
      <c r="F339" s="1424"/>
      <c r="G339" s="1424"/>
      <c r="H339" s="1424"/>
      <c r="I339" s="1424"/>
      <c r="J339" s="1423"/>
      <c r="K339" s="1429"/>
      <c r="L339" s="1429"/>
      <c r="M339" s="1429"/>
      <c r="N339" s="1417"/>
      <c r="O339" s="1417"/>
      <c r="P339" s="1417"/>
      <c r="Q339" s="1417"/>
      <c r="R339" s="1417"/>
      <c r="S339" s="1443"/>
      <c r="T339" s="1417" t="s">
        <v>455</v>
      </c>
      <c r="U339" s="1417" t="s">
        <v>455</v>
      </c>
      <c r="V339" s="1417" t="str">
        <f>IFERROR(__xludf.DUMMYFUNCTION("""COMPUTED_VALUE"""),"")</f>
        <v/>
      </c>
      <c r="W339" s="1416" t="s">
        <v>455</v>
      </c>
      <c r="X339" s="1417"/>
    </row>
    <row r="340">
      <c r="A340" s="1404"/>
      <c r="B340" s="1424"/>
      <c r="C340" s="1473"/>
      <c r="D340" s="1476"/>
      <c r="E340" s="1477"/>
      <c r="F340" s="1424"/>
      <c r="G340" s="1424"/>
      <c r="H340" s="1424"/>
      <c r="I340" s="1424"/>
      <c r="J340" s="1423"/>
      <c r="K340" s="1429"/>
      <c r="L340" s="1429"/>
      <c r="M340" s="1429"/>
      <c r="N340" s="1417"/>
      <c r="O340" s="1417"/>
      <c r="P340" s="1417"/>
      <c r="Q340" s="1417"/>
      <c r="R340" s="1417"/>
      <c r="S340" s="1443"/>
      <c r="T340" s="1417" t="s">
        <v>455</v>
      </c>
      <c r="U340" s="1417" t="s">
        <v>455</v>
      </c>
      <c r="V340" s="1417" t="str">
        <f>IFERROR(__xludf.DUMMYFUNCTION("""COMPUTED_VALUE"""),"")</f>
        <v/>
      </c>
      <c r="W340" s="1416" t="s">
        <v>455</v>
      </c>
      <c r="X340" s="1417"/>
    </row>
    <row r="341">
      <c r="A341" s="1404"/>
      <c r="B341" s="1424"/>
      <c r="C341" s="1473"/>
      <c r="D341" s="1476"/>
      <c r="E341" s="1477"/>
      <c r="F341" s="1424"/>
      <c r="G341" s="1424"/>
      <c r="H341" s="1424"/>
      <c r="I341" s="1424"/>
      <c r="J341" s="1423"/>
      <c r="K341" s="1429"/>
      <c r="L341" s="1429"/>
      <c r="M341" s="1429"/>
      <c r="N341" s="1417"/>
      <c r="O341" s="1417"/>
      <c r="P341" s="1417"/>
      <c r="Q341" s="1417"/>
      <c r="R341" s="1417"/>
      <c r="S341" s="1443"/>
      <c r="T341" s="1417" t="s">
        <v>455</v>
      </c>
      <c r="U341" s="1417" t="s">
        <v>455</v>
      </c>
      <c r="V341" s="1417" t="str">
        <f>IFERROR(__xludf.DUMMYFUNCTION("""COMPUTED_VALUE"""),"")</f>
        <v/>
      </c>
      <c r="W341" s="1416" t="s">
        <v>455</v>
      </c>
      <c r="X341" s="1417"/>
    </row>
    <row r="342">
      <c r="A342" s="1404"/>
      <c r="B342" s="1424"/>
      <c r="C342" s="1473"/>
      <c r="D342" s="1476"/>
      <c r="E342" s="1477"/>
      <c r="F342" s="1424"/>
      <c r="G342" s="1424"/>
      <c r="H342" s="1424"/>
      <c r="I342" s="1424"/>
      <c r="J342" s="1423"/>
      <c r="K342" s="1429"/>
      <c r="L342" s="1429"/>
      <c r="M342" s="1429"/>
      <c r="N342" s="1417"/>
      <c r="O342" s="1417"/>
      <c r="P342" s="1417"/>
      <c r="Q342" s="1417"/>
      <c r="R342" s="1417"/>
      <c r="S342" s="1443"/>
      <c r="T342" s="1417" t="s">
        <v>455</v>
      </c>
      <c r="U342" s="1417" t="s">
        <v>455</v>
      </c>
      <c r="V342" s="1417" t="str">
        <f>IFERROR(__xludf.DUMMYFUNCTION("""COMPUTED_VALUE"""),"")</f>
        <v/>
      </c>
      <c r="W342" s="1416" t="s">
        <v>455</v>
      </c>
      <c r="X342" s="1417"/>
    </row>
    <row r="343">
      <c r="A343" s="1404"/>
      <c r="B343" s="1424"/>
      <c r="C343" s="1473"/>
      <c r="D343" s="1476"/>
      <c r="E343" s="1477"/>
      <c r="F343" s="1424"/>
      <c r="G343" s="1424"/>
      <c r="H343" s="1424"/>
      <c r="I343" s="1424"/>
      <c r="J343" s="1423"/>
      <c r="K343" s="1429"/>
      <c r="L343" s="1429"/>
      <c r="M343" s="1429"/>
      <c r="N343" s="1417"/>
      <c r="O343" s="1417"/>
      <c r="P343" s="1417"/>
      <c r="Q343" s="1417"/>
      <c r="R343" s="1417"/>
      <c r="S343" s="1443"/>
      <c r="T343" s="1417" t="s">
        <v>455</v>
      </c>
      <c r="U343" s="1417" t="s">
        <v>455</v>
      </c>
      <c r="V343" s="1417" t="str">
        <f>IFERROR(__xludf.DUMMYFUNCTION("""COMPUTED_VALUE"""),"")</f>
        <v/>
      </c>
      <c r="W343" s="1416" t="s">
        <v>455</v>
      </c>
      <c r="X343" s="1417"/>
    </row>
    <row r="344">
      <c r="A344" s="1404"/>
      <c r="B344" s="1424"/>
      <c r="C344" s="1473"/>
      <c r="D344" s="1476"/>
      <c r="E344" s="1477"/>
      <c r="F344" s="1424"/>
      <c r="G344" s="1424"/>
      <c r="H344" s="1424"/>
      <c r="I344" s="1424"/>
      <c r="J344" s="1423"/>
      <c r="K344" s="1429"/>
      <c r="L344" s="1429"/>
      <c r="M344" s="1429"/>
      <c r="N344" s="1417"/>
      <c r="O344" s="1417"/>
      <c r="P344" s="1417"/>
      <c r="Q344" s="1417"/>
      <c r="R344" s="1417"/>
      <c r="S344" s="1443"/>
      <c r="T344" s="1417" t="s">
        <v>455</v>
      </c>
      <c r="U344" s="1417" t="s">
        <v>455</v>
      </c>
      <c r="V344" s="1417" t="str">
        <f>IFERROR(__xludf.DUMMYFUNCTION("""COMPUTED_VALUE"""),"")</f>
        <v/>
      </c>
      <c r="W344" s="1416" t="s">
        <v>455</v>
      </c>
      <c r="X344" s="1417"/>
    </row>
    <row r="345">
      <c r="A345" s="1404"/>
      <c r="B345" s="1424"/>
      <c r="C345" s="1473"/>
      <c r="D345" s="1476"/>
      <c r="E345" s="1477"/>
      <c r="F345" s="1424"/>
      <c r="G345" s="1424"/>
      <c r="H345" s="1424"/>
      <c r="I345" s="1424"/>
      <c r="J345" s="1423"/>
      <c r="K345" s="1429"/>
      <c r="L345" s="1429"/>
      <c r="M345" s="1429"/>
      <c r="N345" s="1417"/>
      <c r="O345" s="1417"/>
      <c r="P345" s="1417"/>
      <c r="Q345" s="1417"/>
      <c r="R345" s="1417"/>
      <c r="S345" s="1443"/>
      <c r="T345" s="1417" t="s">
        <v>455</v>
      </c>
      <c r="U345" s="1417" t="s">
        <v>455</v>
      </c>
      <c r="V345" s="1417" t="str">
        <f>IFERROR(__xludf.DUMMYFUNCTION("""COMPUTED_VALUE"""),"")</f>
        <v/>
      </c>
      <c r="W345" s="1416" t="s">
        <v>455</v>
      </c>
      <c r="X345" s="1417"/>
    </row>
    <row r="346">
      <c r="A346" s="1404"/>
      <c r="B346" s="1424"/>
      <c r="C346" s="1473"/>
      <c r="D346" s="1476"/>
      <c r="E346" s="1477"/>
      <c r="F346" s="1424"/>
      <c r="G346" s="1424"/>
      <c r="H346" s="1424"/>
      <c r="I346" s="1424"/>
      <c r="J346" s="1423"/>
      <c r="K346" s="1429"/>
      <c r="L346" s="1429"/>
      <c r="M346" s="1429"/>
      <c r="N346" s="1417"/>
      <c r="O346" s="1417"/>
      <c r="P346" s="1417"/>
      <c r="Q346" s="1417"/>
      <c r="R346" s="1417"/>
      <c r="S346" s="1443"/>
      <c r="T346" s="1417" t="s">
        <v>455</v>
      </c>
      <c r="U346" s="1417" t="s">
        <v>455</v>
      </c>
      <c r="V346" s="1417" t="str">
        <f>IFERROR(__xludf.DUMMYFUNCTION("""COMPUTED_VALUE"""),"")</f>
        <v/>
      </c>
      <c r="W346" s="1416" t="s">
        <v>455</v>
      </c>
      <c r="X346" s="1417"/>
    </row>
    <row r="347">
      <c r="A347" s="1404"/>
      <c r="B347" s="1424"/>
      <c r="C347" s="1473"/>
      <c r="D347" s="1476"/>
      <c r="E347" s="1477"/>
      <c r="F347" s="1424"/>
      <c r="G347" s="1424"/>
      <c r="H347" s="1424"/>
      <c r="I347" s="1424"/>
      <c r="J347" s="1423"/>
      <c r="K347" s="1429"/>
      <c r="L347" s="1429"/>
      <c r="M347" s="1429"/>
      <c r="N347" s="1417"/>
      <c r="O347" s="1417"/>
      <c r="P347" s="1417"/>
      <c r="Q347" s="1417"/>
      <c r="R347" s="1417"/>
      <c r="S347" s="1443"/>
      <c r="T347" s="1417" t="s">
        <v>455</v>
      </c>
      <c r="U347" s="1417" t="s">
        <v>455</v>
      </c>
      <c r="V347" s="1417" t="str">
        <f>IFERROR(__xludf.DUMMYFUNCTION("""COMPUTED_VALUE"""),"")</f>
        <v/>
      </c>
      <c r="W347" s="1416" t="s">
        <v>455</v>
      </c>
      <c r="X347" s="1417"/>
    </row>
    <row r="348">
      <c r="A348" s="1404"/>
      <c r="B348" s="1424"/>
      <c r="C348" s="1473"/>
      <c r="D348" s="1476"/>
      <c r="E348" s="1477"/>
      <c r="F348" s="1424"/>
      <c r="G348" s="1424"/>
      <c r="H348" s="1424"/>
      <c r="I348" s="1424"/>
      <c r="J348" s="1423"/>
      <c r="K348" s="1429"/>
      <c r="L348" s="1429"/>
      <c r="M348" s="1429"/>
      <c r="N348" s="1417"/>
      <c r="O348" s="1417"/>
      <c r="P348" s="1417"/>
      <c r="Q348" s="1417"/>
      <c r="R348" s="1417"/>
      <c r="S348" s="1443"/>
      <c r="T348" s="1417" t="s">
        <v>455</v>
      </c>
      <c r="U348" s="1417" t="s">
        <v>455</v>
      </c>
      <c r="V348" s="1417" t="str">
        <f>IFERROR(__xludf.DUMMYFUNCTION("""COMPUTED_VALUE"""),"")</f>
        <v/>
      </c>
      <c r="W348" s="1416" t="s">
        <v>455</v>
      </c>
      <c r="X348" s="1417"/>
    </row>
    <row r="349">
      <c r="A349" s="1404"/>
      <c r="B349" s="1424"/>
      <c r="C349" s="1473"/>
      <c r="D349" s="1476"/>
      <c r="E349" s="1477"/>
      <c r="F349" s="1424"/>
      <c r="G349" s="1424"/>
      <c r="H349" s="1424"/>
      <c r="I349" s="1424"/>
      <c r="J349" s="1423"/>
      <c r="K349" s="1429"/>
      <c r="L349" s="1429"/>
      <c r="M349" s="1429"/>
      <c r="N349" s="1417"/>
      <c r="O349" s="1417"/>
      <c r="P349" s="1417"/>
      <c r="Q349" s="1417"/>
      <c r="R349" s="1417"/>
      <c r="S349" s="1443"/>
      <c r="T349" s="1417" t="s">
        <v>455</v>
      </c>
      <c r="U349" s="1417" t="s">
        <v>455</v>
      </c>
      <c r="V349" s="1417" t="str">
        <f>IFERROR(__xludf.DUMMYFUNCTION("""COMPUTED_VALUE"""),"")</f>
        <v/>
      </c>
      <c r="W349" s="1416" t="s">
        <v>455</v>
      </c>
      <c r="X349" s="1417"/>
    </row>
    <row r="350">
      <c r="A350" s="1404"/>
      <c r="B350" s="1424"/>
      <c r="C350" s="1473"/>
      <c r="D350" s="1476"/>
      <c r="E350" s="1477"/>
      <c r="F350" s="1424"/>
      <c r="G350" s="1424"/>
      <c r="H350" s="1424"/>
      <c r="I350" s="1424"/>
      <c r="J350" s="1423"/>
      <c r="K350" s="1429"/>
      <c r="L350" s="1429"/>
      <c r="M350" s="1429"/>
      <c r="N350" s="1417"/>
      <c r="O350" s="1417"/>
      <c r="P350" s="1417"/>
      <c r="Q350" s="1417"/>
      <c r="R350" s="1417"/>
      <c r="S350" s="1443"/>
      <c r="T350" s="1417" t="s">
        <v>455</v>
      </c>
      <c r="U350" s="1417" t="s">
        <v>455</v>
      </c>
      <c r="V350" s="1417" t="str">
        <f>IFERROR(__xludf.DUMMYFUNCTION("""COMPUTED_VALUE"""),"")</f>
        <v/>
      </c>
      <c r="W350" s="1416" t="s">
        <v>455</v>
      </c>
      <c r="X350" s="1417"/>
    </row>
    <row r="351">
      <c r="A351" s="1404"/>
      <c r="B351" s="1424"/>
      <c r="C351" s="1473"/>
      <c r="D351" s="1476"/>
      <c r="E351" s="1477"/>
      <c r="F351" s="1424"/>
      <c r="G351" s="1424"/>
      <c r="H351" s="1424"/>
      <c r="I351" s="1424"/>
      <c r="J351" s="1423"/>
      <c r="K351" s="1429"/>
      <c r="L351" s="1429"/>
      <c r="M351" s="1429"/>
      <c r="N351" s="1417"/>
      <c r="O351" s="1417"/>
      <c r="P351" s="1417"/>
      <c r="Q351" s="1417"/>
      <c r="R351" s="1417"/>
      <c r="S351" s="1443"/>
      <c r="T351" s="1417" t="s">
        <v>455</v>
      </c>
      <c r="U351" s="1417" t="s">
        <v>455</v>
      </c>
      <c r="V351" s="1417" t="str">
        <f>IFERROR(__xludf.DUMMYFUNCTION("""COMPUTED_VALUE"""),"")</f>
        <v/>
      </c>
      <c r="W351" s="1416" t="s">
        <v>455</v>
      </c>
      <c r="X351" s="1417"/>
    </row>
    <row r="352">
      <c r="A352" s="1404"/>
      <c r="B352" s="1424"/>
      <c r="C352" s="1473"/>
      <c r="D352" s="1476"/>
      <c r="E352" s="1477"/>
      <c r="F352" s="1424"/>
      <c r="G352" s="1424"/>
      <c r="H352" s="1424"/>
      <c r="I352" s="1424"/>
      <c r="J352" s="1423"/>
      <c r="K352" s="1429"/>
      <c r="L352" s="1429"/>
      <c r="M352" s="1429"/>
      <c r="N352" s="1417"/>
      <c r="O352" s="1417"/>
      <c r="P352" s="1417"/>
      <c r="Q352" s="1417"/>
      <c r="R352" s="1417"/>
      <c r="S352" s="1443"/>
      <c r="T352" s="1417" t="s">
        <v>455</v>
      </c>
      <c r="U352" s="1417" t="s">
        <v>455</v>
      </c>
      <c r="V352" s="1417" t="str">
        <f>IFERROR(__xludf.DUMMYFUNCTION("""COMPUTED_VALUE"""),"")</f>
        <v/>
      </c>
      <c r="W352" s="1416" t="s">
        <v>455</v>
      </c>
      <c r="X352" s="1417"/>
    </row>
    <row r="353">
      <c r="A353" s="1404"/>
      <c r="B353" s="1424"/>
      <c r="C353" s="1473"/>
      <c r="D353" s="1476"/>
      <c r="E353" s="1477"/>
      <c r="F353" s="1424"/>
      <c r="G353" s="1424"/>
      <c r="H353" s="1424"/>
      <c r="I353" s="1424"/>
      <c r="J353" s="1423"/>
      <c r="K353" s="1429"/>
      <c r="L353" s="1429"/>
      <c r="M353" s="1429"/>
      <c r="N353" s="1417"/>
      <c r="O353" s="1417"/>
      <c r="P353" s="1417"/>
      <c r="Q353" s="1417"/>
      <c r="R353" s="1417"/>
      <c r="S353" s="1443"/>
      <c r="T353" s="1417" t="s">
        <v>455</v>
      </c>
      <c r="U353" s="1417" t="s">
        <v>455</v>
      </c>
      <c r="V353" s="1417" t="str">
        <f>IFERROR(__xludf.DUMMYFUNCTION("""COMPUTED_VALUE"""),"")</f>
        <v/>
      </c>
      <c r="W353" s="1416" t="s">
        <v>455</v>
      </c>
      <c r="X353" s="1417"/>
    </row>
    <row r="354">
      <c r="A354" s="1404"/>
      <c r="B354" s="1424"/>
      <c r="C354" s="1473"/>
      <c r="D354" s="1476"/>
      <c r="E354" s="1477"/>
      <c r="F354" s="1424"/>
      <c r="G354" s="1424"/>
      <c r="H354" s="1424"/>
      <c r="I354" s="1424"/>
      <c r="J354" s="1423"/>
      <c r="K354" s="1429"/>
      <c r="L354" s="1429"/>
      <c r="M354" s="1429"/>
      <c r="N354" s="1417"/>
      <c r="O354" s="1417"/>
      <c r="P354" s="1417"/>
      <c r="Q354" s="1417"/>
      <c r="R354" s="1417"/>
      <c r="S354" s="1443"/>
      <c r="T354" s="1417" t="s">
        <v>455</v>
      </c>
      <c r="U354" s="1417" t="s">
        <v>455</v>
      </c>
      <c r="V354" s="1417" t="str">
        <f>IFERROR(__xludf.DUMMYFUNCTION("""COMPUTED_VALUE"""),"")</f>
        <v/>
      </c>
      <c r="W354" s="1416" t="s">
        <v>455</v>
      </c>
      <c r="X354" s="1417"/>
    </row>
    <row r="355">
      <c r="A355" s="1404"/>
      <c r="B355" s="1424"/>
      <c r="C355" s="1473"/>
      <c r="D355" s="1476"/>
      <c r="E355" s="1477"/>
      <c r="F355" s="1424"/>
      <c r="G355" s="1424"/>
      <c r="H355" s="1424"/>
      <c r="I355" s="1424"/>
      <c r="J355" s="1423"/>
      <c r="K355" s="1429"/>
      <c r="L355" s="1429"/>
      <c r="M355" s="1429"/>
      <c r="N355" s="1417"/>
      <c r="O355" s="1417"/>
      <c r="P355" s="1417"/>
      <c r="Q355" s="1417"/>
      <c r="R355" s="1417"/>
      <c r="S355" s="1443"/>
      <c r="T355" s="1417" t="s">
        <v>455</v>
      </c>
      <c r="U355" s="1417" t="s">
        <v>455</v>
      </c>
      <c r="V355" s="1417" t="str">
        <f>IFERROR(__xludf.DUMMYFUNCTION("""COMPUTED_VALUE"""),"")</f>
        <v/>
      </c>
      <c r="W355" s="1416" t="s">
        <v>455</v>
      </c>
      <c r="X355" s="1417"/>
    </row>
    <row r="356">
      <c r="A356" s="1404"/>
      <c r="B356" s="1424"/>
      <c r="C356" s="1473"/>
      <c r="D356" s="1476"/>
      <c r="E356" s="1477"/>
      <c r="F356" s="1424"/>
      <c r="G356" s="1424"/>
      <c r="H356" s="1424"/>
      <c r="I356" s="1424"/>
      <c r="J356" s="1423"/>
      <c r="K356" s="1429"/>
      <c r="L356" s="1429"/>
      <c r="M356" s="1429"/>
      <c r="N356" s="1417"/>
      <c r="O356" s="1417"/>
      <c r="P356" s="1417"/>
      <c r="Q356" s="1417"/>
      <c r="R356" s="1417"/>
      <c r="S356" s="1443"/>
      <c r="T356" s="1417" t="s">
        <v>455</v>
      </c>
      <c r="U356" s="1417" t="s">
        <v>455</v>
      </c>
      <c r="V356" s="1417" t="str">
        <f>IFERROR(__xludf.DUMMYFUNCTION("""COMPUTED_VALUE"""),"")</f>
        <v/>
      </c>
      <c r="W356" s="1416" t="s">
        <v>455</v>
      </c>
      <c r="X356" s="1417"/>
    </row>
    <row r="357">
      <c r="A357" s="1404"/>
      <c r="B357" s="1424"/>
      <c r="C357" s="1473"/>
      <c r="D357" s="1476"/>
      <c r="E357" s="1477"/>
      <c r="F357" s="1424"/>
      <c r="G357" s="1424"/>
      <c r="H357" s="1424"/>
      <c r="I357" s="1424"/>
      <c r="J357" s="1423"/>
      <c r="K357" s="1429"/>
      <c r="L357" s="1429"/>
      <c r="M357" s="1429"/>
      <c r="N357" s="1417"/>
      <c r="O357" s="1417"/>
      <c r="P357" s="1417"/>
      <c r="Q357" s="1417"/>
      <c r="R357" s="1417"/>
      <c r="S357" s="1443"/>
      <c r="T357" s="1417" t="s">
        <v>455</v>
      </c>
      <c r="U357" s="1417" t="s">
        <v>455</v>
      </c>
      <c r="V357" s="1417" t="str">
        <f>IFERROR(__xludf.DUMMYFUNCTION("""COMPUTED_VALUE"""),"")</f>
        <v/>
      </c>
      <c r="W357" s="1416" t="s">
        <v>455</v>
      </c>
      <c r="X357" s="1417"/>
    </row>
    <row r="358">
      <c r="A358" s="1404"/>
      <c r="B358" s="1424"/>
      <c r="C358" s="1473"/>
      <c r="D358" s="1476"/>
      <c r="E358" s="1477"/>
      <c r="F358" s="1424"/>
      <c r="G358" s="1424"/>
      <c r="H358" s="1424"/>
      <c r="I358" s="1424"/>
      <c r="J358" s="1423"/>
      <c r="K358" s="1429"/>
      <c r="L358" s="1429"/>
      <c r="M358" s="1429"/>
      <c r="N358" s="1417"/>
      <c r="O358" s="1417"/>
      <c r="P358" s="1417"/>
      <c r="Q358" s="1417"/>
      <c r="R358" s="1417"/>
      <c r="S358" s="1443"/>
      <c r="T358" s="1417" t="s">
        <v>455</v>
      </c>
      <c r="U358" s="1417" t="s">
        <v>455</v>
      </c>
      <c r="V358" s="1417" t="str">
        <f>IFERROR(__xludf.DUMMYFUNCTION("""COMPUTED_VALUE"""),"")</f>
        <v/>
      </c>
      <c r="W358" s="1416" t="s">
        <v>455</v>
      </c>
      <c r="X358" s="1417"/>
    </row>
    <row r="359">
      <c r="A359" s="1404"/>
      <c r="B359" s="1424"/>
      <c r="C359" s="1473"/>
      <c r="D359" s="1476"/>
      <c r="E359" s="1477"/>
      <c r="F359" s="1424"/>
      <c r="G359" s="1424"/>
      <c r="H359" s="1424"/>
      <c r="I359" s="1424"/>
      <c r="J359" s="1423"/>
      <c r="K359" s="1429"/>
      <c r="L359" s="1429"/>
      <c r="M359" s="1429"/>
      <c r="N359" s="1417"/>
      <c r="O359" s="1417"/>
      <c r="P359" s="1417"/>
      <c r="Q359" s="1417"/>
      <c r="R359" s="1417"/>
      <c r="S359" s="1443"/>
      <c r="T359" s="1417" t="s">
        <v>455</v>
      </c>
      <c r="U359" s="1417" t="s">
        <v>455</v>
      </c>
      <c r="V359" s="1417" t="str">
        <f>IFERROR(__xludf.DUMMYFUNCTION("""COMPUTED_VALUE"""),"")</f>
        <v/>
      </c>
      <c r="W359" s="1416" t="s">
        <v>455</v>
      </c>
      <c r="X359" s="1417"/>
    </row>
    <row r="360">
      <c r="A360" s="1404"/>
      <c r="B360" s="1424"/>
      <c r="C360" s="1473"/>
      <c r="D360" s="1476"/>
      <c r="E360" s="1477"/>
      <c r="F360" s="1424"/>
      <c r="G360" s="1424"/>
      <c r="H360" s="1424"/>
      <c r="I360" s="1424"/>
      <c r="J360" s="1423"/>
      <c r="K360" s="1429"/>
      <c r="L360" s="1429"/>
      <c r="M360" s="1429"/>
      <c r="N360" s="1417"/>
      <c r="O360" s="1417"/>
      <c r="P360" s="1417"/>
      <c r="Q360" s="1417"/>
      <c r="R360" s="1417"/>
      <c r="S360" s="1443"/>
      <c r="T360" s="1417" t="s">
        <v>455</v>
      </c>
      <c r="U360" s="1417" t="s">
        <v>455</v>
      </c>
      <c r="V360" s="1417" t="str">
        <f>IFERROR(__xludf.DUMMYFUNCTION("""COMPUTED_VALUE"""),"")</f>
        <v/>
      </c>
      <c r="W360" s="1416" t="s">
        <v>455</v>
      </c>
      <c r="X360" s="1417"/>
    </row>
    <row r="361">
      <c r="A361" s="1404"/>
      <c r="B361" s="1424"/>
      <c r="C361" s="1473"/>
      <c r="D361" s="1476"/>
      <c r="E361" s="1477"/>
      <c r="F361" s="1424"/>
      <c r="G361" s="1424"/>
      <c r="H361" s="1424"/>
      <c r="I361" s="1424"/>
      <c r="J361" s="1423"/>
      <c r="K361" s="1429"/>
      <c r="L361" s="1429"/>
      <c r="M361" s="1429"/>
      <c r="N361" s="1417"/>
      <c r="O361" s="1417"/>
      <c r="P361" s="1417"/>
      <c r="Q361" s="1417"/>
      <c r="R361" s="1417"/>
      <c r="S361" s="1443"/>
      <c r="T361" s="1417" t="s">
        <v>455</v>
      </c>
      <c r="U361" s="1417" t="s">
        <v>455</v>
      </c>
      <c r="V361" s="1417" t="str">
        <f>IFERROR(__xludf.DUMMYFUNCTION("""COMPUTED_VALUE"""),"")</f>
        <v/>
      </c>
      <c r="W361" s="1416" t="s">
        <v>455</v>
      </c>
      <c r="X361" s="1417"/>
    </row>
    <row r="362">
      <c r="A362" s="1404"/>
      <c r="B362" s="1424"/>
      <c r="C362" s="1473"/>
      <c r="D362" s="1476"/>
      <c r="E362" s="1477"/>
      <c r="F362" s="1424"/>
      <c r="G362" s="1424"/>
      <c r="H362" s="1424"/>
      <c r="I362" s="1424"/>
      <c r="J362" s="1423"/>
      <c r="K362" s="1429"/>
      <c r="L362" s="1429"/>
      <c r="M362" s="1429"/>
      <c r="N362" s="1417"/>
      <c r="O362" s="1417"/>
      <c r="P362" s="1417"/>
      <c r="Q362" s="1417"/>
      <c r="R362" s="1417"/>
      <c r="S362" s="1443"/>
      <c r="T362" s="1417" t="s">
        <v>455</v>
      </c>
      <c r="U362" s="1417" t="s">
        <v>455</v>
      </c>
      <c r="V362" s="1417" t="str">
        <f>IFERROR(__xludf.DUMMYFUNCTION("""COMPUTED_VALUE"""),"")</f>
        <v/>
      </c>
      <c r="W362" s="1416" t="s">
        <v>455</v>
      </c>
      <c r="X362" s="1417"/>
    </row>
    <row r="363">
      <c r="A363" s="1404"/>
      <c r="B363" s="1424"/>
      <c r="C363" s="1473"/>
      <c r="D363" s="1476"/>
      <c r="E363" s="1477"/>
      <c r="F363" s="1424"/>
      <c r="G363" s="1424"/>
      <c r="H363" s="1424"/>
      <c r="I363" s="1424"/>
      <c r="J363" s="1423"/>
      <c r="K363" s="1429"/>
      <c r="L363" s="1429"/>
      <c r="M363" s="1429"/>
      <c r="N363" s="1417"/>
      <c r="O363" s="1417"/>
      <c r="P363" s="1417"/>
      <c r="Q363" s="1417"/>
      <c r="R363" s="1417"/>
      <c r="S363" s="1443"/>
      <c r="T363" s="1417" t="s">
        <v>455</v>
      </c>
      <c r="U363" s="1417" t="s">
        <v>455</v>
      </c>
      <c r="V363" s="1417" t="str">
        <f>IFERROR(__xludf.DUMMYFUNCTION("""COMPUTED_VALUE"""),"")</f>
        <v/>
      </c>
      <c r="W363" s="1416" t="s">
        <v>455</v>
      </c>
      <c r="X363" s="1417"/>
    </row>
    <row r="364">
      <c r="A364" s="1404"/>
      <c r="B364" s="1424"/>
      <c r="C364" s="1473"/>
      <c r="D364" s="1476"/>
      <c r="E364" s="1477"/>
      <c r="F364" s="1424"/>
      <c r="G364" s="1424"/>
      <c r="H364" s="1424"/>
      <c r="I364" s="1424"/>
      <c r="J364" s="1423"/>
      <c r="K364" s="1429"/>
      <c r="L364" s="1429"/>
      <c r="M364" s="1429"/>
      <c r="N364" s="1417"/>
      <c r="O364" s="1417"/>
      <c r="P364" s="1417"/>
      <c r="Q364" s="1417"/>
      <c r="R364" s="1417"/>
      <c r="S364" s="1443"/>
      <c r="T364" s="1417" t="s">
        <v>455</v>
      </c>
      <c r="U364" s="1417" t="s">
        <v>455</v>
      </c>
      <c r="V364" s="1417" t="str">
        <f>IFERROR(__xludf.DUMMYFUNCTION("""COMPUTED_VALUE"""),"")</f>
        <v/>
      </c>
      <c r="W364" s="1416" t="s">
        <v>455</v>
      </c>
      <c r="X364" s="1417"/>
    </row>
    <row r="365">
      <c r="A365" s="1404"/>
      <c r="B365" s="1424"/>
      <c r="C365" s="1473"/>
      <c r="D365" s="1476"/>
      <c r="E365" s="1477"/>
      <c r="F365" s="1424"/>
      <c r="G365" s="1424"/>
      <c r="H365" s="1424"/>
      <c r="I365" s="1424"/>
      <c r="J365" s="1423"/>
      <c r="K365" s="1429"/>
      <c r="L365" s="1429"/>
      <c r="M365" s="1429"/>
      <c r="N365" s="1417"/>
      <c r="O365" s="1417"/>
      <c r="P365" s="1417"/>
      <c r="Q365" s="1417"/>
      <c r="R365" s="1417"/>
      <c r="S365" s="1443"/>
      <c r="T365" s="1417" t="s">
        <v>455</v>
      </c>
      <c r="U365" s="1417" t="s">
        <v>455</v>
      </c>
      <c r="V365" s="1417" t="str">
        <f>IFERROR(__xludf.DUMMYFUNCTION("""COMPUTED_VALUE"""),"")</f>
        <v/>
      </c>
      <c r="W365" s="1416" t="s">
        <v>455</v>
      </c>
      <c r="X365" s="1417"/>
    </row>
    <row r="366">
      <c r="A366" s="1404"/>
      <c r="B366" s="1424"/>
      <c r="C366" s="1473"/>
      <c r="D366" s="1476"/>
      <c r="E366" s="1477"/>
      <c r="F366" s="1424"/>
      <c r="G366" s="1424"/>
      <c r="H366" s="1424"/>
      <c r="I366" s="1424"/>
      <c r="J366" s="1423"/>
      <c r="K366" s="1429"/>
      <c r="L366" s="1429"/>
      <c r="M366" s="1429"/>
      <c r="N366" s="1417"/>
      <c r="O366" s="1417"/>
      <c r="P366" s="1417"/>
      <c r="Q366" s="1417"/>
      <c r="R366" s="1417"/>
      <c r="S366" s="1443"/>
      <c r="T366" s="1417" t="s">
        <v>455</v>
      </c>
      <c r="U366" s="1417" t="s">
        <v>455</v>
      </c>
      <c r="V366" s="1417" t="str">
        <f>IFERROR(__xludf.DUMMYFUNCTION("""COMPUTED_VALUE"""),"")</f>
        <v/>
      </c>
      <c r="W366" s="1416" t="s">
        <v>455</v>
      </c>
      <c r="X366" s="1417"/>
    </row>
    <row r="367">
      <c r="A367" s="1404"/>
      <c r="B367" s="1424"/>
      <c r="C367" s="1473"/>
      <c r="D367" s="1476"/>
      <c r="E367" s="1477"/>
      <c r="F367" s="1424"/>
      <c r="G367" s="1424"/>
      <c r="H367" s="1424"/>
      <c r="I367" s="1424"/>
      <c r="J367" s="1423"/>
      <c r="K367" s="1429"/>
      <c r="L367" s="1429"/>
      <c r="M367" s="1429"/>
      <c r="N367" s="1417"/>
      <c r="O367" s="1417"/>
      <c r="P367" s="1417"/>
      <c r="Q367" s="1417"/>
      <c r="R367" s="1417"/>
      <c r="S367" s="1443"/>
      <c r="T367" s="1417" t="s">
        <v>455</v>
      </c>
      <c r="U367" s="1417" t="s">
        <v>455</v>
      </c>
      <c r="V367" s="1417" t="str">
        <f>IFERROR(__xludf.DUMMYFUNCTION("""COMPUTED_VALUE"""),"")</f>
        <v/>
      </c>
      <c r="W367" s="1416" t="s">
        <v>455</v>
      </c>
      <c r="X367" s="1417"/>
    </row>
    <row r="368">
      <c r="A368" s="1404"/>
      <c r="B368" s="1424"/>
      <c r="C368" s="1473"/>
      <c r="D368" s="1476"/>
      <c r="E368" s="1477"/>
      <c r="F368" s="1424"/>
      <c r="G368" s="1424"/>
      <c r="H368" s="1424"/>
      <c r="I368" s="1424"/>
      <c r="J368" s="1423"/>
      <c r="K368" s="1429"/>
      <c r="L368" s="1429"/>
      <c r="M368" s="1429"/>
      <c r="N368" s="1417"/>
      <c r="O368" s="1417"/>
      <c r="P368" s="1417"/>
      <c r="Q368" s="1417"/>
      <c r="R368" s="1417"/>
      <c r="S368" s="1443"/>
      <c r="T368" s="1417" t="s">
        <v>455</v>
      </c>
      <c r="U368" s="1417" t="s">
        <v>455</v>
      </c>
      <c r="V368" s="1417" t="str">
        <f>IFERROR(__xludf.DUMMYFUNCTION("""COMPUTED_VALUE"""),"")</f>
        <v/>
      </c>
      <c r="W368" s="1416" t="s">
        <v>455</v>
      </c>
      <c r="X368" s="1417"/>
    </row>
    <row r="369">
      <c r="A369" s="1404"/>
      <c r="B369" s="1424"/>
      <c r="C369" s="1473"/>
      <c r="D369" s="1476"/>
      <c r="E369" s="1477"/>
      <c r="F369" s="1424"/>
      <c r="G369" s="1424"/>
      <c r="H369" s="1424"/>
      <c r="I369" s="1424"/>
      <c r="J369" s="1423"/>
      <c r="K369" s="1429"/>
      <c r="L369" s="1429"/>
      <c r="M369" s="1429"/>
      <c r="N369" s="1417"/>
      <c r="O369" s="1417"/>
      <c r="P369" s="1417"/>
      <c r="Q369" s="1417"/>
      <c r="R369" s="1417"/>
      <c r="S369" s="1443"/>
      <c r="T369" s="1417" t="s">
        <v>455</v>
      </c>
      <c r="U369" s="1417" t="s">
        <v>455</v>
      </c>
      <c r="V369" s="1417" t="str">
        <f>IFERROR(__xludf.DUMMYFUNCTION("""COMPUTED_VALUE"""),"")</f>
        <v/>
      </c>
      <c r="W369" s="1416" t="s">
        <v>455</v>
      </c>
      <c r="X369" s="1417"/>
    </row>
    <row r="370">
      <c r="A370" s="1404"/>
      <c r="B370" s="1424"/>
      <c r="C370" s="1473"/>
      <c r="D370" s="1476"/>
      <c r="E370" s="1477"/>
      <c r="F370" s="1424"/>
      <c r="G370" s="1424"/>
      <c r="H370" s="1424"/>
      <c r="I370" s="1424"/>
      <c r="J370" s="1423"/>
      <c r="K370" s="1429"/>
      <c r="L370" s="1429"/>
      <c r="M370" s="1429"/>
      <c r="N370" s="1417"/>
      <c r="O370" s="1417"/>
      <c r="P370" s="1417"/>
      <c r="Q370" s="1417"/>
      <c r="R370" s="1417"/>
      <c r="S370" s="1443"/>
      <c r="T370" s="1417" t="s">
        <v>455</v>
      </c>
      <c r="U370" s="1417" t="s">
        <v>455</v>
      </c>
      <c r="V370" s="1417" t="str">
        <f>IFERROR(__xludf.DUMMYFUNCTION("""COMPUTED_VALUE"""),"")</f>
        <v/>
      </c>
      <c r="W370" s="1416" t="s">
        <v>455</v>
      </c>
      <c r="X370" s="1417"/>
    </row>
    <row r="371">
      <c r="A371" s="1404"/>
      <c r="B371" s="1424"/>
      <c r="C371" s="1473"/>
      <c r="D371" s="1476"/>
      <c r="E371" s="1477"/>
      <c r="F371" s="1424"/>
      <c r="G371" s="1424"/>
      <c r="H371" s="1424"/>
      <c r="I371" s="1424"/>
      <c r="J371" s="1423"/>
      <c r="K371" s="1429"/>
      <c r="L371" s="1429"/>
      <c r="M371" s="1429"/>
      <c r="N371" s="1417"/>
      <c r="O371" s="1417"/>
      <c r="P371" s="1417"/>
      <c r="Q371" s="1417"/>
      <c r="R371" s="1417"/>
      <c r="S371" s="1443"/>
      <c r="T371" s="1417" t="s">
        <v>455</v>
      </c>
      <c r="U371" s="1417" t="s">
        <v>455</v>
      </c>
      <c r="V371" s="1417" t="str">
        <f>IFERROR(__xludf.DUMMYFUNCTION("""COMPUTED_VALUE"""),"")</f>
        <v/>
      </c>
      <c r="W371" s="1416" t="s">
        <v>455</v>
      </c>
      <c r="X371" s="1417"/>
    </row>
    <row r="372">
      <c r="A372" s="1404"/>
      <c r="B372" s="1424"/>
      <c r="C372" s="1473"/>
      <c r="D372" s="1476"/>
      <c r="E372" s="1477"/>
      <c r="F372" s="1424"/>
      <c r="G372" s="1424"/>
      <c r="H372" s="1424"/>
      <c r="I372" s="1424"/>
      <c r="J372" s="1423"/>
      <c r="K372" s="1429"/>
      <c r="L372" s="1429"/>
      <c r="M372" s="1429"/>
      <c r="N372" s="1417"/>
      <c r="O372" s="1417"/>
      <c r="P372" s="1417"/>
      <c r="Q372" s="1417"/>
      <c r="R372" s="1417"/>
      <c r="S372" s="1443"/>
      <c r="T372" s="1417" t="s">
        <v>455</v>
      </c>
      <c r="U372" s="1417" t="s">
        <v>455</v>
      </c>
      <c r="V372" s="1417" t="str">
        <f>IFERROR(__xludf.DUMMYFUNCTION("""COMPUTED_VALUE"""),"")</f>
        <v/>
      </c>
      <c r="W372" s="1416" t="s">
        <v>455</v>
      </c>
      <c r="X372" s="1417"/>
    </row>
    <row r="373">
      <c r="A373" s="1404"/>
      <c r="B373" s="1424"/>
      <c r="C373" s="1473"/>
      <c r="D373" s="1476"/>
      <c r="E373" s="1477"/>
      <c r="F373" s="1424"/>
      <c r="G373" s="1424"/>
      <c r="H373" s="1424"/>
      <c r="I373" s="1424"/>
      <c r="J373" s="1423"/>
      <c r="K373" s="1429"/>
      <c r="L373" s="1429"/>
      <c r="M373" s="1429"/>
      <c r="N373" s="1417"/>
      <c r="O373" s="1417"/>
      <c r="P373" s="1417"/>
      <c r="Q373" s="1417"/>
      <c r="R373" s="1417"/>
      <c r="S373" s="1443"/>
      <c r="T373" s="1417" t="s">
        <v>455</v>
      </c>
      <c r="U373" s="1417" t="s">
        <v>455</v>
      </c>
      <c r="V373" s="1417" t="str">
        <f>IFERROR(__xludf.DUMMYFUNCTION("""COMPUTED_VALUE"""),"")</f>
        <v/>
      </c>
      <c r="W373" s="1416" t="s">
        <v>455</v>
      </c>
      <c r="X373" s="1417"/>
    </row>
    <row r="374">
      <c r="A374" s="1404"/>
      <c r="B374" s="1424"/>
      <c r="C374" s="1473"/>
      <c r="D374" s="1476"/>
      <c r="E374" s="1477"/>
      <c r="F374" s="1424"/>
      <c r="G374" s="1424"/>
      <c r="H374" s="1424"/>
      <c r="I374" s="1424"/>
      <c r="J374" s="1423"/>
      <c r="K374" s="1429"/>
      <c r="L374" s="1429"/>
      <c r="M374" s="1429"/>
      <c r="N374" s="1417"/>
      <c r="O374" s="1417"/>
      <c r="P374" s="1417"/>
      <c r="Q374" s="1417"/>
      <c r="R374" s="1417"/>
      <c r="S374" s="1443"/>
      <c r="T374" s="1417" t="s">
        <v>455</v>
      </c>
      <c r="U374" s="1417" t="s">
        <v>455</v>
      </c>
      <c r="V374" s="1417" t="str">
        <f>IFERROR(__xludf.DUMMYFUNCTION("""COMPUTED_VALUE"""),"")</f>
        <v/>
      </c>
      <c r="W374" s="1416" t="s">
        <v>455</v>
      </c>
      <c r="X374" s="1417"/>
    </row>
    <row r="375">
      <c r="A375" s="1404"/>
      <c r="B375" s="1424"/>
      <c r="C375" s="1473"/>
      <c r="D375" s="1476"/>
      <c r="E375" s="1477"/>
      <c r="F375" s="1424"/>
      <c r="G375" s="1424"/>
      <c r="H375" s="1424"/>
      <c r="I375" s="1424"/>
      <c r="J375" s="1423"/>
      <c r="K375" s="1429"/>
      <c r="L375" s="1429"/>
      <c r="M375" s="1429"/>
      <c r="N375" s="1417"/>
      <c r="O375" s="1417"/>
      <c r="P375" s="1417"/>
      <c r="Q375" s="1417"/>
      <c r="R375" s="1417"/>
      <c r="S375" s="1443"/>
      <c r="T375" s="1417" t="s">
        <v>455</v>
      </c>
      <c r="U375" s="1417" t="s">
        <v>455</v>
      </c>
      <c r="V375" s="1417" t="str">
        <f>IFERROR(__xludf.DUMMYFUNCTION("""COMPUTED_VALUE"""),"")</f>
        <v/>
      </c>
      <c r="W375" s="1416" t="s">
        <v>455</v>
      </c>
      <c r="X375" s="1417"/>
    </row>
    <row r="376">
      <c r="A376" s="1404"/>
      <c r="B376" s="1424"/>
      <c r="C376" s="1473"/>
      <c r="D376" s="1476"/>
      <c r="E376" s="1477"/>
      <c r="F376" s="1424"/>
      <c r="G376" s="1424"/>
      <c r="H376" s="1424"/>
      <c r="I376" s="1424"/>
      <c r="J376" s="1423"/>
      <c r="K376" s="1429"/>
      <c r="L376" s="1429"/>
      <c r="M376" s="1429"/>
      <c r="N376" s="1417"/>
      <c r="O376" s="1417"/>
      <c r="P376" s="1417"/>
      <c r="Q376" s="1417"/>
      <c r="R376" s="1417"/>
      <c r="S376" s="1443"/>
      <c r="T376" s="1417" t="s">
        <v>455</v>
      </c>
      <c r="U376" s="1417" t="s">
        <v>455</v>
      </c>
      <c r="V376" s="1417" t="str">
        <f>IFERROR(__xludf.DUMMYFUNCTION("""COMPUTED_VALUE"""),"")</f>
        <v/>
      </c>
      <c r="W376" s="1416" t="s">
        <v>455</v>
      </c>
      <c r="X376" s="1417"/>
    </row>
    <row r="377">
      <c r="A377" s="1404"/>
      <c r="B377" s="1424"/>
      <c r="C377" s="1473"/>
      <c r="D377" s="1476"/>
      <c r="E377" s="1477"/>
      <c r="F377" s="1424"/>
      <c r="G377" s="1424"/>
      <c r="H377" s="1424"/>
      <c r="I377" s="1424"/>
      <c r="J377" s="1423"/>
      <c r="K377" s="1429"/>
      <c r="L377" s="1429"/>
      <c r="M377" s="1429"/>
      <c r="N377" s="1417"/>
      <c r="O377" s="1417"/>
      <c r="P377" s="1417"/>
      <c r="Q377" s="1417"/>
      <c r="R377" s="1417"/>
      <c r="S377" s="1443"/>
      <c r="T377" s="1417" t="s">
        <v>455</v>
      </c>
      <c r="U377" s="1417" t="s">
        <v>455</v>
      </c>
      <c r="V377" s="1417" t="str">
        <f>IFERROR(__xludf.DUMMYFUNCTION("""COMPUTED_VALUE"""),"")</f>
        <v/>
      </c>
      <c r="W377" s="1416" t="s">
        <v>455</v>
      </c>
      <c r="X377" s="1417"/>
    </row>
    <row r="378">
      <c r="A378" s="1404"/>
      <c r="B378" s="1424"/>
      <c r="C378" s="1473"/>
      <c r="D378" s="1476"/>
      <c r="E378" s="1477"/>
      <c r="F378" s="1424"/>
      <c r="G378" s="1424"/>
      <c r="H378" s="1424"/>
      <c r="I378" s="1424"/>
      <c r="J378" s="1423"/>
      <c r="K378" s="1429"/>
      <c r="L378" s="1429"/>
      <c r="M378" s="1429"/>
      <c r="N378" s="1417"/>
      <c r="O378" s="1417"/>
      <c r="P378" s="1417"/>
      <c r="Q378" s="1417"/>
      <c r="R378" s="1417"/>
      <c r="S378" s="1443"/>
      <c r="T378" s="1417" t="s">
        <v>455</v>
      </c>
      <c r="U378" s="1417" t="s">
        <v>455</v>
      </c>
      <c r="V378" s="1417" t="str">
        <f>IFERROR(__xludf.DUMMYFUNCTION("""COMPUTED_VALUE"""),"")</f>
        <v/>
      </c>
      <c r="W378" s="1416" t="s">
        <v>455</v>
      </c>
      <c r="X378" s="1417"/>
    </row>
    <row r="379">
      <c r="A379" s="1404"/>
      <c r="B379" s="1424"/>
      <c r="C379" s="1473"/>
      <c r="D379" s="1476"/>
      <c r="E379" s="1477"/>
      <c r="F379" s="1424"/>
      <c r="G379" s="1424"/>
      <c r="H379" s="1424"/>
      <c r="I379" s="1424"/>
      <c r="J379" s="1423"/>
      <c r="K379" s="1429"/>
      <c r="L379" s="1429"/>
      <c r="M379" s="1429"/>
      <c r="N379" s="1417"/>
      <c r="O379" s="1417"/>
      <c r="P379" s="1417"/>
      <c r="Q379" s="1417"/>
      <c r="R379" s="1417"/>
      <c r="S379" s="1443"/>
      <c r="T379" s="1417" t="s">
        <v>455</v>
      </c>
      <c r="U379" s="1417" t="s">
        <v>455</v>
      </c>
      <c r="V379" s="1417" t="str">
        <f>IFERROR(__xludf.DUMMYFUNCTION("""COMPUTED_VALUE"""),"")</f>
        <v/>
      </c>
      <c r="W379" s="1416" t="s">
        <v>455</v>
      </c>
      <c r="X379" s="1417"/>
    </row>
    <row r="380">
      <c r="A380" s="1404"/>
      <c r="B380" s="1424"/>
      <c r="C380" s="1473"/>
      <c r="D380" s="1476"/>
      <c r="E380" s="1477"/>
      <c r="F380" s="1424"/>
      <c r="G380" s="1424"/>
      <c r="H380" s="1424"/>
      <c r="I380" s="1424"/>
      <c r="J380" s="1423"/>
      <c r="K380" s="1429"/>
      <c r="L380" s="1429"/>
      <c r="M380" s="1429"/>
      <c r="N380" s="1417"/>
      <c r="O380" s="1417"/>
      <c r="P380" s="1417"/>
      <c r="Q380" s="1417"/>
      <c r="R380" s="1417"/>
      <c r="S380" s="1443"/>
      <c r="T380" s="1417" t="s">
        <v>455</v>
      </c>
      <c r="U380" s="1417" t="s">
        <v>455</v>
      </c>
      <c r="V380" s="1417" t="str">
        <f>IFERROR(__xludf.DUMMYFUNCTION("""COMPUTED_VALUE"""),"")</f>
        <v/>
      </c>
      <c r="W380" s="1416" t="s">
        <v>455</v>
      </c>
      <c r="X380" s="1417"/>
    </row>
    <row r="381">
      <c r="A381" s="1404"/>
      <c r="B381" s="1424"/>
      <c r="C381" s="1473"/>
      <c r="D381" s="1476"/>
      <c r="E381" s="1477"/>
      <c r="F381" s="1424"/>
      <c r="G381" s="1424"/>
      <c r="H381" s="1424"/>
      <c r="I381" s="1424"/>
      <c r="J381" s="1423"/>
      <c r="K381" s="1429"/>
      <c r="L381" s="1429"/>
      <c r="M381" s="1429"/>
      <c r="N381" s="1417"/>
      <c r="O381" s="1417"/>
      <c r="P381" s="1417"/>
      <c r="Q381" s="1417"/>
      <c r="R381" s="1417"/>
      <c r="S381" s="1443"/>
      <c r="T381" s="1417" t="s">
        <v>455</v>
      </c>
      <c r="U381" s="1417" t="s">
        <v>455</v>
      </c>
      <c r="V381" s="1417" t="str">
        <f>IFERROR(__xludf.DUMMYFUNCTION("""COMPUTED_VALUE"""),"")</f>
        <v/>
      </c>
      <c r="W381" s="1416" t="s">
        <v>455</v>
      </c>
      <c r="X381" s="1417"/>
    </row>
    <row r="382">
      <c r="A382" s="1404"/>
      <c r="B382" s="1424"/>
      <c r="C382" s="1473"/>
      <c r="D382" s="1476"/>
      <c r="E382" s="1477"/>
      <c r="F382" s="1424"/>
      <c r="G382" s="1424"/>
      <c r="H382" s="1424"/>
      <c r="I382" s="1424"/>
      <c r="J382" s="1423"/>
      <c r="K382" s="1429"/>
      <c r="L382" s="1429"/>
      <c r="M382" s="1429"/>
      <c r="N382" s="1417"/>
      <c r="O382" s="1417"/>
      <c r="P382" s="1417"/>
      <c r="Q382" s="1417"/>
      <c r="R382" s="1417"/>
      <c r="S382" s="1443"/>
      <c r="T382" s="1417" t="s">
        <v>455</v>
      </c>
      <c r="U382" s="1417" t="s">
        <v>455</v>
      </c>
      <c r="V382" s="1417" t="str">
        <f>IFERROR(__xludf.DUMMYFUNCTION("""COMPUTED_VALUE"""),"")</f>
        <v/>
      </c>
      <c r="W382" s="1416" t="s">
        <v>455</v>
      </c>
      <c r="X382" s="1417"/>
    </row>
    <row r="383">
      <c r="A383" s="1404"/>
      <c r="B383" s="1424"/>
      <c r="C383" s="1473"/>
      <c r="D383" s="1476"/>
      <c r="E383" s="1477"/>
      <c r="F383" s="1424"/>
      <c r="G383" s="1424"/>
      <c r="H383" s="1424"/>
      <c r="I383" s="1424"/>
      <c r="J383" s="1423"/>
      <c r="K383" s="1429"/>
      <c r="L383" s="1429"/>
      <c r="M383" s="1429"/>
      <c r="N383" s="1417"/>
      <c r="O383" s="1417"/>
      <c r="P383" s="1417"/>
      <c r="Q383" s="1417"/>
      <c r="R383" s="1417"/>
      <c r="S383" s="1443"/>
      <c r="T383" s="1417" t="s">
        <v>455</v>
      </c>
      <c r="U383" s="1417" t="s">
        <v>455</v>
      </c>
      <c r="V383" s="1417" t="str">
        <f>IFERROR(__xludf.DUMMYFUNCTION("""COMPUTED_VALUE"""),"")</f>
        <v/>
      </c>
      <c r="W383" s="1416" t="s">
        <v>455</v>
      </c>
      <c r="X383" s="1417"/>
    </row>
    <row r="384">
      <c r="A384" s="1404"/>
      <c r="B384" s="1424"/>
      <c r="C384" s="1473"/>
      <c r="D384" s="1476"/>
      <c r="E384" s="1477"/>
      <c r="F384" s="1424"/>
      <c r="G384" s="1424"/>
      <c r="H384" s="1424"/>
      <c r="I384" s="1424"/>
      <c r="J384" s="1423"/>
      <c r="K384" s="1429"/>
      <c r="L384" s="1429"/>
      <c r="M384" s="1429"/>
      <c r="N384" s="1417"/>
      <c r="O384" s="1417"/>
      <c r="P384" s="1417"/>
      <c r="Q384" s="1417"/>
      <c r="R384" s="1417"/>
      <c r="S384" s="1443"/>
      <c r="T384" s="1417" t="s">
        <v>455</v>
      </c>
      <c r="U384" s="1417" t="s">
        <v>455</v>
      </c>
      <c r="V384" s="1417" t="str">
        <f>IFERROR(__xludf.DUMMYFUNCTION("""COMPUTED_VALUE"""),"")</f>
        <v/>
      </c>
      <c r="W384" s="1416" t="s">
        <v>455</v>
      </c>
      <c r="X384" s="1417"/>
    </row>
    <row r="385">
      <c r="A385" s="1404"/>
      <c r="B385" s="1424"/>
      <c r="C385" s="1473"/>
      <c r="D385" s="1476"/>
      <c r="E385" s="1477"/>
      <c r="F385" s="1424"/>
      <c r="G385" s="1424"/>
      <c r="H385" s="1424"/>
      <c r="I385" s="1424"/>
      <c r="J385" s="1423"/>
      <c r="K385" s="1429"/>
      <c r="L385" s="1429"/>
      <c r="M385" s="1429"/>
      <c r="N385" s="1417"/>
      <c r="O385" s="1417"/>
      <c r="P385" s="1417"/>
      <c r="Q385" s="1417"/>
      <c r="R385" s="1417"/>
      <c r="S385" s="1443"/>
      <c r="T385" s="1417" t="s">
        <v>455</v>
      </c>
      <c r="U385" s="1417" t="s">
        <v>455</v>
      </c>
      <c r="V385" s="1417" t="str">
        <f>IFERROR(__xludf.DUMMYFUNCTION("""COMPUTED_VALUE"""),"")</f>
        <v/>
      </c>
      <c r="W385" s="1416" t="s">
        <v>455</v>
      </c>
      <c r="X385" s="1417"/>
    </row>
    <row r="386">
      <c r="A386" s="1404"/>
      <c r="B386" s="1424"/>
      <c r="C386" s="1473"/>
      <c r="D386" s="1476"/>
      <c r="E386" s="1477"/>
      <c r="F386" s="1424"/>
      <c r="G386" s="1424"/>
      <c r="H386" s="1424"/>
      <c r="I386" s="1424"/>
      <c r="J386" s="1423"/>
      <c r="K386" s="1429"/>
      <c r="L386" s="1429"/>
      <c r="M386" s="1429"/>
      <c r="N386" s="1417"/>
      <c r="O386" s="1417"/>
      <c r="P386" s="1417"/>
      <c r="Q386" s="1417"/>
      <c r="R386" s="1417"/>
      <c r="S386" s="1443"/>
      <c r="T386" s="1417" t="s">
        <v>455</v>
      </c>
      <c r="U386" s="1417" t="s">
        <v>455</v>
      </c>
      <c r="V386" s="1417" t="str">
        <f>IFERROR(__xludf.DUMMYFUNCTION("""COMPUTED_VALUE"""),"")</f>
        <v/>
      </c>
      <c r="W386" s="1416" t="s">
        <v>455</v>
      </c>
      <c r="X386" s="1417"/>
    </row>
    <row r="387">
      <c r="A387" s="1404"/>
      <c r="B387" s="1424"/>
      <c r="C387" s="1473"/>
      <c r="D387" s="1476"/>
      <c r="E387" s="1477"/>
      <c r="F387" s="1424"/>
      <c r="G387" s="1424"/>
      <c r="H387" s="1424"/>
      <c r="I387" s="1424"/>
      <c r="J387" s="1423"/>
      <c r="K387" s="1429"/>
      <c r="L387" s="1429"/>
      <c r="M387" s="1429"/>
      <c r="N387" s="1417"/>
      <c r="O387" s="1417"/>
      <c r="P387" s="1417"/>
      <c r="Q387" s="1417"/>
      <c r="R387" s="1417"/>
      <c r="S387" s="1443"/>
      <c r="T387" s="1417" t="s">
        <v>455</v>
      </c>
      <c r="U387" s="1417" t="s">
        <v>455</v>
      </c>
      <c r="V387" s="1417" t="str">
        <f>IFERROR(__xludf.DUMMYFUNCTION("""COMPUTED_VALUE"""),"")</f>
        <v/>
      </c>
      <c r="W387" s="1416" t="s">
        <v>455</v>
      </c>
      <c r="X387" s="1417"/>
    </row>
    <row r="388">
      <c r="A388" s="1404"/>
      <c r="B388" s="1424"/>
      <c r="C388" s="1473"/>
      <c r="D388" s="1476"/>
      <c r="E388" s="1477"/>
      <c r="F388" s="1424"/>
      <c r="G388" s="1424"/>
      <c r="H388" s="1424"/>
      <c r="I388" s="1424"/>
      <c r="J388" s="1423"/>
      <c r="K388" s="1429"/>
      <c r="L388" s="1429"/>
      <c r="M388" s="1429"/>
      <c r="N388" s="1417"/>
      <c r="O388" s="1417"/>
      <c r="P388" s="1417"/>
      <c r="Q388" s="1417"/>
      <c r="R388" s="1417"/>
      <c r="S388" s="1443"/>
      <c r="T388" s="1417" t="s">
        <v>455</v>
      </c>
      <c r="U388" s="1417" t="s">
        <v>455</v>
      </c>
      <c r="V388" s="1417" t="str">
        <f>IFERROR(__xludf.DUMMYFUNCTION("""COMPUTED_VALUE"""),"")</f>
        <v/>
      </c>
      <c r="W388" s="1416" t="s">
        <v>455</v>
      </c>
      <c r="X388" s="1417"/>
    </row>
    <row r="389">
      <c r="A389" s="1404"/>
      <c r="B389" s="1424"/>
      <c r="C389" s="1473"/>
      <c r="D389" s="1476"/>
      <c r="E389" s="1477"/>
      <c r="F389" s="1424"/>
      <c r="G389" s="1424"/>
      <c r="H389" s="1424"/>
      <c r="I389" s="1424"/>
      <c r="J389" s="1423"/>
      <c r="K389" s="1429"/>
      <c r="L389" s="1429"/>
      <c r="M389" s="1429"/>
      <c r="N389" s="1417"/>
      <c r="O389" s="1417"/>
      <c r="P389" s="1417"/>
      <c r="Q389" s="1417"/>
      <c r="R389" s="1417"/>
      <c r="S389" s="1443"/>
      <c r="T389" s="1417" t="s">
        <v>455</v>
      </c>
      <c r="U389" s="1417" t="s">
        <v>455</v>
      </c>
      <c r="V389" s="1417" t="str">
        <f>IFERROR(__xludf.DUMMYFUNCTION("""COMPUTED_VALUE"""),"")</f>
        <v/>
      </c>
      <c r="W389" s="1416" t="s">
        <v>455</v>
      </c>
      <c r="X389" s="1417"/>
    </row>
    <row r="390">
      <c r="A390" s="1404"/>
      <c r="B390" s="1424"/>
      <c r="C390" s="1473"/>
      <c r="D390" s="1476"/>
      <c r="E390" s="1477"/>
      <c r="F390" s="1424"/>
      <c r="G390" s="1424"/>
      <c r="H390" s="1424"/>
      <c r="I390" s="1424"/>
      <c r="J390" s="1423"/>
      <c r="K390" s="1429"/>
      <c r="L390" s="1429"/>
      <c r="M390" s="1429"/>
      <c r="N390" s="1417"/>
      <c r="O390" s="1417"/>
      <c r="P390" s="1417"/>
      <c r="Q390" s="1417"/>
      <c r="R390" s="1417"/>
      <c r="S390" s="1443"/>
      <c r="T390" s="1417" t="s">
        <v>455</v>
      </c>
      <c r="U390" s="1417" t="s">
        <v>455</v>
      </c>
      <c r="V390" s="1417" t="str">
        <f>IFERROR(__xludf.DUMMYFUNCTION("""COMPUTED_VALUE"""),"")</f>
        <v/>
      </c>
      <c r="W390" s="1416" t="s">
        <v>455</v>
      </c>
      <c r="X390" s="1417"/>
    </row>
    <row r="391">
      <c r="A391" s="1404"/>
      <c r="B391" s="1424"/>
      <c r="C391" s="1473"/>
      <c r="D391" s="1476"/>
      <c r="E391" s="1477"/>
      <c r="F391" s="1424"/>
      <c r="G391" s="1424"/>
      <c r="H391" s="1424"/>
      <c r="I391" s="1424"/>
      <c r="J391" s="1423"/>
      <c r="K391" s="1429"/>
      <c r="L391" s="1429"/>
      <c r="M391" s="1429"/>
      <c r="N391" s="1417"/>
      <c r="O391" s="1417"/>
      <c r="P391" s="1417"/>
      <c r="Q391" s="1417"/>
      <c r="R391" s="1417"/>
      <c r="S391" s="1443"/>
      <c r="T391" s="1417" t="s">
        <v>455</v>
      </c>
      <c r="U391" s="1417" t="s">
        <v>455</v>
      </c>
      <c r="V391" s="1417" t="str">
        <f>IFERROR(__xludf.DUMMYFUNCTION("""COMPUTED_VALUE"""),"")</f>
        <v/>
      </c>
      <c r="W391" s="1416" t="s">
        <v>455</v>
      </c>
      <c r="X391" s="1417"/>
    </row>
    <row r="392">
      <c r="A392" s="1404"/>
      <c r="B392" s="1424"/>
      <c r="C392" s="1473"/>
      <c r="D392" s="1476"/>
      <c r="E392" s="1477"/>
      <c r="F392" s="1424"/>
      <c r="G392" s="1424"/>
      <c r="H392" s="1424"/>
      <c r="I392" s="1424"/>
      <c r="J392" s="1423"/>
      <c r="K392" s="1429"/>
      <c r="L392" s="1429"/>
      <c r="M392" s="1429"/>
      <c r="N392" s="1417"/>
      <c r="O392" s="1417"/>
      <c r="P392" s="1417"/>
      <c r="Q392" s="1417"/>
      <c r="R392" s="1417"/>
      <c r="S392" s="1443"/>
      <c r="T392" s="1417" t="s">
        <v>455</v>
      </c>
      <c r="U392" s="1417" t="s">
        <v>455</v>
      </c>
      <c r="V392" s="1417" t="str">
        <f>IFERROR(__xludf.DUMMYFUNCTION("""COMPUTED_VALUE"""),"")</f>
        <v/>
      </c>
      <c r="W392" s="1416" t="s">
        <v>455</v>
      </c>
      <c r="X392" s="1417"/>
    </row>
    <row r="393">
      <c r="A393" s="1404"/>
      <c r="B393" s="1424"/>
      <c r="C393" s="1473"/>
      <c r="D393" s="1476"/>
      <c r="E393" s="1477"/>
      <c r="F393" s="1424"/>
      <c r="G393" s="1424"/>
      <c r="H393" s="1424"/>
      <c r="I393" s="1424"/>
      <c r="J393" s="1423"/>
      <c r="K393" s="1429"/>
      <c r="L393" s="1429"/>
      <c r="M393" s="1429"/>
      <c r="N393" s="1417"/>
      <c r="O393" s="1417"/>
      <c r="P393" s="1417"/>
      <c r="Q393" s="1417"/>
      <c r="R393" s="1417"/>
      <c r="S393" s="1443"/>
      <c r="T393" s="1417" t="s">
        <v>455</v>
      </c>
      <c r="U393" s="1417" t="s">
        <v>455</v>
      </c>
      <c r="V393" s="1417" t="str">
        <f>IFERROR(__xludf.DUMMYFUNCTION("""COMPUTED_VALUE"""),"")</f>
        <v/>
      </c>
      <c r="W393" s="1416" t="s">
        <v>455</v>
      </c>
      <c r="X393" s="1417"/>
    </row>
    <row r="394">
      <c r="A394" s="1404"/>
      <c r="B394" s="1424"/>
      <c r="C394" s="1473"/>
      <c r="D394" s="1476"/>
      <c r="E394" s="1477"/>
      <c r="F394" s="1424"/>
      <c r="G394" s="1424"/>
      <c r="H394" s="1424"/>
      <c r="I394" s="1424"/>
      <c r="J394" s="1423"/>
      <c r="K394" s="1429"/>
      <c r="L394" s="1429"/>
      <c r="M394" s="1429"/>
      <c r="N394" s="1417"/>
      <c r="O394" s="1417"/>
      <c r="P394" s="1417"/>
      <c r="Q394" s="1417"/>
      <c r="R394" s="1417"/>
      <c r="S394" s="1443"/>
      <c r="T394" s="1417" t="s">
        <v>455</v>
      </c>
      <c r="U394" s="1417" t="s">
        <v>455</v>
      </c>
      <c r="V394" s="1417" t="str">
        <f>IFERROR(__xludf.DUMMYFUNCTION("""COMPUTED_VALUE"""),"")</f>
        <v/>
      </c>
      <c r="W394" s="1416" t="s">
        <v>455</v>
      </c>
      <c r="X394" s="1417"/>
    </row>
    <row r="395">
      <c r="A395" s="1404"/>
      <c r="B395" s="1424"/>
      <c r="C395" s="1473"/>
      <c r="D395" s="1476"/>
      <c r="E395" s="1477"/>
      <c r="F395" s="1424"/>
      <c r="G395" s="1424"/>
      <c r="H395" s="1424"/>
      <c r="I395" s="1424"/>
      <c r="J395" s="1423"/>
      <c r="K395" s="1429"/>
      <c r="L395" s="1429"/>
      <c r="M395" s="1429"/>
      <c r="N395" s="1417"/>
      <c r="O395" s="1417"/>
      <c r="P395" s="1417"/>
      <c r="Q395" s="1417"/>
      <c r="R395" s="1417"/>
      <c r="S395" s="1443"/>
      <c r="T395" s="1417" t="s">
        <v>455</v>
      </c>
      <c r="U395" s="1417" t="s">
        <v>455</v>
      </c>
      <c r="V395" s="1417" t="str">
        <f>IFERROR(__xludf.DUMMYFUNCTION("""COMPUTED_VALUE"""),"")</f>
        <v/>
      </c>
      <c r="W395" s="1416" t="s">
        <v>455</v>
      </c>
      <c r="X395" s="1417"/>
    </row>
    <row r="396">
      <c r="A396" s="1404"/>
      <c r="B396" s="1424"/>
      <c r="C396" s="1473"/>
      <c r="D396" s="1476"/>
      <c r="E396" s="1477"/>
      <c r="F396" s="1424"/>
      <c r="G396" s="1424"/>
      <c r="H396" s="1424"/>
      <c r="I396" s="1424"/>
      <c r="J396" s="1423"/>
      <c r="K396" s="1429"/>
      <c r="L396" s="1429"/>
      <c r="M396" s="1429"/>
      <c r="N396" s="1417"/>
      <c r="O396" s="1417"/>
      <c r="P396" s="1417"/>
      <c r="Q396" s="1417"/>
      <c r="R396" s="1417"/>
      <c r="S396" s="1443"/>
      <c r="T396" s="1417" t="s">
        <v>455</v>
      </c>
      <c r="U396" s="1417" t="s">
        <v>455</v>
      </c>
      <c r="V396" s="1417" t="str">
        <f>IFERROR(__xludf.DUMMYFUNCTION("""COMPUTED_VALUE"""),"")</f>
        <v/>
      </c>
      <c r="W396" s="1416" t="s">
        <v>455</v>
      </c>
      <c r="X396" s="1417"/>
    </row>
    <row r="397">
      <c r="A397" s="1404"/>
      <c r="B397" s="1424"/>
      <c r="C397" s="1473"/>
      <c r="D397" s="1476"/>
      <c r="E397" s="1477"/>
      <c r="F397" s="1424"/>
      <c r="G397" s="1424"/>
      <c r="H397" s="1424"/>
      <c r="I397" s="1424"/>
      <c r="J397" s="1423"/>
      <c r="K397" s="1429"/>
      <c r="L397" s="1429"/>
      <c r="M397" s="1429"/>
      <c r="N397" s="1417"/>
      <c r="O397" s="1417"/>
      <c r="P397" s="1417"/>
      <c r="Q397" s="1417"/>
      <c r="R397" s="1417"/>
      <c r="S397" s="1443"/>
      <c r="T397" s="1417" t="s">
        <v>455</v>
      </c>
      <c r="U397" s="1417" t="s">
        <v>455</v>
      </c>
      <c r="V397" s="1417" t="str">
        <f>IFERROR(__xludf.DUMMYFUNCTION("""COMPUTED_VALUE"""),"")</f>
        <v/>
      </c>
      <c r="W397" s="1416" t="s">
        <v>455</v>
      </c>
      <c r="X397" s="1417"/>
    </row>
    <row r="398">
      <c r="A398" s="1404"/>
      <c r="B398" s="1424"/>
      <c r="C398" s="1473"/>
      <c r="D398" s="1476"/>
      <c r="E398" s="1477"/>
      <c r="F398" s="1424"/>
      <c r="G398" s="1424"/>
      <c r="H398" s="1424"/>
      <c r="I398" s="1424"/>
      <c r="J398" s="1423"/>
      <c r="K398" s="1429"/>
      <c r="L398" s="1429"/>
      <c r="M398" s="1429"/>
      <c r="N398" s="1417"/>
      <c r="O398" s="1417"/>
      <c r="P398" s="1417"/>
      <c r="Q398" s="1417"/>
      <c r="R398" s="1417"/>
      <c r="S398" s="1443"/>
      <c r="T398" s="1417" t="s">
        <v>455</v>
      </c>
      <c r="U398" s="1417" t="s">
        <v>455</v>
      </c>
      <c r="V398" s="1417" t="str">
        <f>IFERROR(__xludf.DUMMYFUNCTION("""COMPUTED_VALUE"""),"")</f>
        <v/>
      </c>
      <c r="W398" s="1416" t="s">
        <v>455</v>
      </c>
      <c r="X398" s="1417"/>
    </row>
    <row r="399">
      <c r="A399" s="1404"/>
      <c r="B399" s="1424"/>
      <c r="C399" s="1473"/>
      <c r="D399" s="1476"/>
      <c r="E399" s="1477"/>
      <c r="F399" s="1424"/>
      <c r="G399" s="1424"/>
      <c r="H399" s="1424"/>
      <c r="I399" s="1424"/>
      <c r="J399" s="1423"/>
      <c r="K399" s="1429"/>
      <c r="L399" s="1429"/>
      <c r="M399" s="1429"/>
      <c r="N399" s="1417"/>
      <c r="O399" s="1417"/>
      <c r="P399" s="1417"/>
      <c r="Q399" s="1417"/>
      <c r="R399" s="1417"/>
      <c r="S399" s="1443"/>
      <c r="T399" s="1417" t="s">
        <v>455</v>
      </c>
      <c r="U399" s="1417" t="s">
        <v>455</v>
      </c>
      <c r="V399" s="1417" t="str">
        <f>IFERROR(__xludf.DUMMYFUNCTION("""COMPUTED_VALUE"""),"")</f>
        <v/>
      </c>
      <c r="W399" s="1416" t="s">
        <v>455</v>
      </c>
      <c r="X399" s="1417"/>
    </row>
    <row r="400">
      <c r="A400" s="1404"/>
      <c r="B400" s="1424"/>
      <c r="C400" s="1473"/>
      <c r="D400" s="1476"/>
      <c r="E400" s="1477"/>
      <c r="F400" s="1424"/>
      <c r="G400" s="1424"/>
      <c r="H400" s="1424"/>
      <c r="I400" s="1424"/>
      <c r="J400" s="1423"/>
      <c r="K400" s="1429"/>
      <c r="L400" s="1429"/>
      <c r="M400" s="1429"/>
      <c r="N400" s="1417"/>
      <c r="O400" s="1417"/>
      <c r="P400" s="1417"/>
      <c r="Q400" s="1417"/>
      <c r="R400" s="1417"/>
      <c r="S400" s="1443"/>
      <c r="T400" s="1417" t="s">
        <v>455</v>
      </c>
      <c r="U400" s="1417" t="s">
        <v>455</v>
      </c>
      <c r="V400" s="1417" t="str">
        <f>IFERROR(__xludf.DUMMYFUNCTION("""COMPUTED_VALUE"""),"")</f>
        <v/>
      </c>
      <c r="W400" s="1416" t="s">
        <v>455</v>
      </c>
      <c r="X400" s="1417"/>
    </row>
    <row r="401">
      <c r="A401" s="1404"/>
      <c r="B401" s="1424"/>
      <c r="C401" s="1473"/>
      <c r="D401" s="1476"/>
      <c r="E401" s="1477"/>
      <c r="F401" s="1424"/>
      <c r="G401" s="1424"/>
      <c r="H401" s="1424"/>
      <c r="I401" s="1424"/>
      <c r="J401" s="1423"/>
      <c r="K401" s="1429"/>
      <c r="L401" s="1429"/>
      <c r="M401" s="1429"/>
      <c r="N401" s="1417"/>
      <c r="O401" s="1417"/>
      <c r="P401" s="1417"/>
      <c r="Q401" s="1417"/>
      <c r="R401" s="1417"/>
      <c r="S401" s="1443"/>
      <c r="T401" s="1417" t="s">
        <v>455</v>
      </c>
      <c r="U401" s="1417" t="s">
        <v>455</v>
      </c>
      <c r="V401" s="1417" t="str">
        <f>IFERROR(__xludf.DUMMYFUNCTION("""COMPUTED_VALUE"""),"")</f>
        <v/>
      </c>
      <c r="W401" s="1416" t="s">
        <v>455</v>
      </c>
      <c r="X401" s="1417"/>
    </row>
    <row r="402">
      <c r="A402" s="1404"/>
      <c r="B402" s="1424"/>
      <c r="C402" s="1473"/>
      <c r="D402" s="1476"/>
      <c r="E402" s="1477"/>
      <c r="F402" s="1424"/>
      <c r="G402" s="1424"/>
      <c r="H402" s="1424"/>
      <c r="I402" s="1424"/>
      <c r="J402" s="1423"/>
      <c r="K402" s="1429"/>
      <c r="L402" s="1429"/>
      <c r="M402" s="1429"/>
      <c r="N402" s="1417"/>
      <c r="O402" s="1417"/>
      <c r="P402" s="1417"/>
      <c r="Q402" s="1417"/>
      <c r="R402" s="1417"/>
      <c r="S402" s="1443"/>
      <c r="T402" s="1417" t="s">
        <v>455</v>
      </c>
      <c r="U402" s="1417" t="s">
        <v>455</v>
      </c>
      <c r="V402" s="1417" t="str">
        <f>IFERROR(__xludf.DUMMYFUNCTION("""COMPUTED_VALUE"""),"")</f>
        <v/>
      </c>
      <c r="W402" s="1416" t="s">
        <v>455</v>
      </c>
      <c r="X402" s="1417"/>
    </row>
    <row r="403">
      <c r="A403" s="1404"/>
      <c r="B403" s="1424"/>
      <c r="C403" s="1473"/>
      <c r="D403" s="1476"/>
      <c r="E403" s="1477"/>
      <c r="F403" s="1424"/>
      <c r="G403" s="1424"/>
      <c r="H403" s="1424"/>
      <c r="I403" s="1424"/>
      <c r="J403" s="1423"/>
      <c r="K403" s="1429"/>
      <c r="L403" s="1429"/>
      <c r="M403" s="1429"/>
      <c r="N403" s="1417"/>
      <c r="O403" s="1417"/>
      <c r="P403" s="1417"/>
      <c r="Q403" s="1417"/>
      <c r="R403" s="1417"/>
      <c r="S403" s="1443"/>
      <c r="T403" s="1417" t="s">
        <v>455</v>
      </c>
      <c r="U403" s="1417" t="s">
        <v>455</v>
      </c>
      <c r="V403" s="1417" t="str">
        <f>IFERROR(__xludf.DUMMYFUNCTION("""COMPUTED_VALUE"""),"")</f>
        <v/>
      </c>
      <c r="W403" s="1416" t="s">
        <v>455</v>
      </c>
      <c r="X403" s="1417"/>
    </row>
    <row r="404">
      <c r="A404" s="1404"/>
      <c r="B404" s="1424"/>
      <c r="C404" s="1473"/>
      <c r="D404" s="1476"/>
      <c r="E404" s="1477"/>
      <c r="F404" s="1424"/>
      <c r="G404" s="1424"/>
      <c r="H404" s="1424"/>
      <c r="I404" s="1424"/>
      <c r="J404" s="1423"/>
      <c r="K404" s="1429"/>
      <c r="L404" s="1429"/>
      <c r="M404" s="1429"/>
      <c r="N404" s="1417"/>
      <c r="O404" s="1417"/>
      <c r="P404" s="1417"/>
      <c r="Q404" s="1417"/>
      <c r="R404" s="1417"/>
      <c r="S404" s="1443"/>
      <c r="T404" s="1417" t="s">
        <v>455</v>
      </c>
      <c r="U404" s="1417" t="s">
        <v>455</v>
      </c>
      <c r="V404" s="1417" t="str">
        <f>IFERROR(__xludf.DUMMYFUNCTION("""COMPUTED_VALUE"""),"")</f>
        <v/>
      </c>
      <c r="W404" s="1416" t="s">
        <v>455</v>
      </c>
      <c r="X404" s="1417"/>
    </row>
    <row r="405">
      <c r="A405" s="1404"/>
      <c r="B405" s="1424"/>
      <c r="C405" s="1473"/>
      <c r="D405" s="1476"/>
      <c r="E405" s="1477"/>
      <c r="F405" s="1424"/>
      <c r="G405" s="1424"/>
      <c r="H405" s="1424"/>
      <c r="I405" s="1424"/>
      <c r="J405" s="1423"/>
      <c r="K405" s="1429"/>
      <c r="L405" s="1429"/>
      <c r="M405" s="1429"/>
      <c r="N405" s="1417"/>
      <c r="O405" s="1417"/>
      <c r="P405" s="1417"/>
      <c r="Q405" s="1417"/>
      <c r="R405" s="1417"/>
      <c r="S405" s="1443"/>
      <c r="T405" s="1417" t="s">
        <v>455</v>
      </c>
      <c r="U405" s="1417" t="s">
        <v>455</v>
      </c>
      <c r="V405" s="1417" t="str">
        <f>IFERROR(__xludf.DUMMYFUNCTION("""COMPUTED_VALUE"""),"")</f>
        <v/>
      </c>
      <c r="W405" s="1416" t="s">
        <v>455</v>
      </c>
      <c r="X405" s="1417"/>
    </row>
    <row r="406">
      <c r="A406" s="1404"/>
      <c r="B406" s="1424"/>
      <c r="C406" s="1473"/>
      <c r="D406" s="1476"/>
      <c r="E406" s="1477"/>
      <c r="F406" s="1424"/>
      <c r="G406" s="1424"/>
      <c r="H406" s="1424"/>
      <c r="I406" s="1424"/>
      <c r="J406" s="1423"/>
      <c r="K406" s="1429"/>
      <c r="L406" s="1429"/>
      <c r="M406" s="1429"/>
      <c r="N406" s="1417"/>
      <c r="O406" s="1417"/>
      <c r="P406" s="1417"/>
      <c r="Q406" s="1417"/>
      <c r="R406" s="1417"/>
      <c r="S406" s="1443"/>
      <c r="T406" s="1417" t="s">
        <v>455</v>
      </c>
      <c r="U406" s="1417" t="s">
        <v>455</v>
      </c>
      <c r="V406" s="1417" t="str">
        <f>IFERROR(__xludf.DUMMYFUNCTION("""COMPUTED_VALUE"""),"")</f>
        <v/>
      </c>
      <c r="W406" s="1416" t="s">
        <v>455</v>
      </c>
      <c r="X406" s="1417"/>
    </row>
    <row r="407">
      <c r="A407" s="1404"/>
      <c r="B407" s="1424"/>
      <c r="C407" s="1473"/>
      <c r="D407" s="1476"/>
      <c r="E407" s="1477"/>
      <c r="F407" s="1424"/>
      <c r="G407" s="1424"/>
      <c r="H407" s="1424"/>
      <c r="I407" s="1424"/>
      <c r="J407" s="1423"/>
      <c r="K407" s="1429"/>
      <c r="L407" s="1429"/>
      <c r="M407" s="1429"/>
      <c r="N407" s="1417"/>
      <c r="O407" s="1417"/>
      <c r="P407" s="1417"/>
      <c r="Q407" s="1417"/>
      <c r="R407" s="1417"/>
      <c r="S407" s="1443"/>
      <c r="T407" s="1417" t="s">
        <v>455</v>
      </c>
      <c r="U407" s="1417" t="s">
        <v>455</v>
      </c>
      <c r="V407" s="1417" t="str">
        <f>IFERROR(__xludf.DUMMYFUNCTION("""COMPUTED_VALUE"""),"")</f>
        <v/>
      </c>
      <c r="W407" s="1416" t="s">
        <v>455</v>
      </c>
      <c r="X407" s="1417"/>
    </row>
    <row r="408">
      <c r="A408" s="1404"/>
      <c r="B408" s="1424"/>
      <c r="C408" s="1473"/>
      <c r="D408" s="1476"/>
      <c r="E408" s="1477"/>
      <c r="F408" s="1424"/>
      <c r="G408" s="1424"/>
      <c r="H408" s="1424"/>
      <c r="I408" s="1424"/>
      <c r="J408" s="1423"/>
      <c r="K408" s="1429"/>
      <c r="L408" s="1429"/>
      <c r="M408" s="1429"/>
      <c r="N408" s="1417"/>
      <c r="O408" s="1417"/>
      <c r="P408" s="1417"/>
      <c r="Q408" s="1417"/>
      <c r="R408" s="1417"/>
      <c r="S408" s="1443"/>
      <c r="T408" s="1417" t="s">
        <v>455</v>
      </c>
      <c r="U408" s="1417" t="s">
        <v>455</v>
      </c>
      <c r="V408" s="1417" t="str">
        <f>IFERROR(__xludf.DUMMYFUNCTION("""COMPUTED_VALUE"""),"")</f>
        <v/>
      </c>
      <c r="W408" s="1416" t="s">
        <v>455</v>
      </c>
      <c r="X408" s="1417"/>
    </row>
    <row r="409">
      <c r="A409" s="1404"/>
      <c r="B409" s="1424"/>
      <c r="C409" s="1473"/>
      <c r="D409" s="1476"/>
      <c r="E409" s="1477"/>
      <c r="F409" s="1424"/>
      <c r="G409" s="1424"/>
      <c r="H409" s="1424"/>
      <c r="I409" s="1424"/>
      <c r="J409" s="1423"/>
      <c r="K409" s="1429"/>
      <c r="L409" s="1429"/>
      <c r="M409" s="1429"/>
      <c r="N409" s="1417"/>
      <c r="O409" s="1417"/>
      <c r="P409" s="1417"/>
      <c r="Q409" s="1417"/>
      <c r="R409" s="1417"/>
      <c r="S409" s="1443"/>
      <c r="T409" s="1417" t="s">
        <v>455</v>
      </c>
      <c r="U409" s="1417" t="s">
        <v>455</v>
      </c>
      <c r="V409" s="1417" t="str">
        <f>IFERROR(__xludf.DUMMYFUNCTION("""COMPUTED_VALUE"""),"")</f>
        <v/>
      </c>
      <c r="W409" s="1416" t="s">
        <v>455</v>
      </c>
      <c r="X409" s="1417"/>
    </row>
    <row r="410">
      <c r="A410" s="1404"/>
      <c r="B410" s="1424"/>
      <c r="C410" s="1473"/>
      <c r="D410" s="1476"/>
      <c r="E410" s="1477"/>
      <c r="F410" s="1424"/>
      <c r="G410" s="1424"/>
      <c r="H410" s="1424"/>
      <c r="I410" s="1424"/>
      <c r="J410" s="1423"/>
      <c r="K410" s="1429"/>
      <c r="L410" s="1429"/>
      <c r="M410" s="1429"/>
      <c r="N410" s="1417"/>
      <c r="O410" s="1417"/>
      <c r="P410" s="1417"/>
      <c r="Q410" s="1417"/>
      <c r="R410" s="1417"/>
      <c r="S410" s="1443"/>
      <c r="T410" s="1417" t="s">
        <v>455</v>
      </c>
      <c r="U410" s="1417" t="s">
        <v>455</v>
      </c>
      <c r="V410" s="1417" t="str">
        <f>IFERROR(__xludf.DUMMYFUNCTION("""COMPUTED_VALUE"""),"")</f>
        <v/>
      </c>
      <c r="W410" s="1416" t="s">
        <v>455</v>
      </c>
      <c r="X410" s="1417"/>
    </row>
    <row r="411">
      <c r="A411" s="1404"/>
      <c r="B411" s="1424"/>
      <c r="C411" s="1473"/>
      <c r="D411" s="1476"/>
      <c r="E411" s="1477"/>
      <c r="F411" s="1424"/>
      <c r="G411" s="1424"/>
      <c r="H411" s="1424"/>
      <c r="I411" s="1424"/>
      <c r="J411" s="1423"/>
      <c r="K411" s="1429"/>
      <c r="L411" s="1429"/>
      <c r="M411" s="1429"/>
      <c r="N411" s="1417"/>
      <c r="O411" s="1417"/>
      <c r="P411" s="1417"/>
      <c r="Q411" s="1417"/>
      <c r="R411" s="1417"/>
      <c r="S411" s="1443"/>
      <c r="T411" s="1417" t="s">
        <v>455</v>
      </c>
      <c r="U411" s="1417" t="s">
        <v>455</v>
      </c>
      <c r="V411" s="1417" t="str">
        <f>IFERROR(__xludf.DUMMYFUNCTION("""COMPUTED_VALUE"""),"")</f>
        <v/>
      </c>
      <c r="W411" s="1416" t="s">
        <v>455</v>
      </c>
      <c r="X411" s="1417"/>
    </row>
    <row r="412">
      <c r="A412" s="1404"/>
      <c r="B412" s="1424"/>
      <c r="C412" s="1473"/>
      <c r="D412" s="1476"/>
      <c r="E412" s="1477"/>
      <c r="F412" s="1424"/>
      <c r="G412" s="1424"/>
      <c r="H412" s="1424"/>
      <c r="I412" s="1424"/>
      <c r="J412" s="1423"/>
      <c r="K412" s="1429"/>
      <c r="L412" s="1429"/>
      <c r="M412" s="1429"/>
      <c r="N412" s="1417"/>
      <c r="O412" s="1417"/>
      <c r="P412" s="1417"/>
      <c r="Q412" s="1417"/>
      <c r="R412" s="1417"/>
      <c r="S412" s="1443"/>
      <c r="T412" s="1417" t="s">
        <v>455</v>
      </c>
      <c r="U412" s="1417" t="s">
        <v>455</v>
      </c>
      <c r="V412" s="1417" t="str">
        <f>IFERROR(__xludf.DUMMYFUNCTION("""COMPUTED_VALUE"""),"")</f>
        <v/>
      </c>
      <c r="W412" s="1416" t="s">
        <v>455</v>
      </c>
      <c r="X412" s="1417"/>
    </row>
    <row r="413">
      <c r="A413" s="1404"/>
      <c r="B413" s="1424"/>
      <c r="C413" s="1473"/>
      <c r="D413" s="1476"/>
      <c r="E413" s="1477"/>
      <c r="F413" s="1424"/>
      <c r="G413" s="1424"/>
      <c r="H413" s="1424"/>
      <c r="I413" s="1424"/>
      <c r="J413" s="1423"/>
      <c r="K413" s="1429"/>
      <c r="L413" s="1429"/>
      <c r="M413" s="1429"/>
      <c r="N413" s="1417"/>
      <c r="O413" s="1417"/>
      <c r="P413" s="1417"/>
      <c r="Q413" s="1417"/>
      <c r="R413" s="1417"/>
      <c r="S413" s="1443"/>
      <c r="T413" s="1417" t="s">
        <v>455</v>
      </c>
      <c r="U413" s="1417" t="s">
        <v>455</v>
      </c>
      <c r="V413" s="1417" t="str">
        <f>IFERROR(__xludf.DUMMYFUNCTION("""COMPUTED_VALUE"""),"")</f>
        <v/>
      </c>
      <c r="W413" s="1416" t="s">
        <v>455</v>
      </c>
      <c r="X413" s="1417"/>
    </row>
    <row r="414">
      <c r="A414" s="1404"/>
      <c r="B414" s="1424"/>
      <c r="C414" s="1473"/>
      <c r="D414" s="1476"/>
      <c r="E414" s="1477"/>
      <c r="F414" s="1424"/>
      <c r="G414" s="1424"/>
      <c r="H414" s="1424"/>
      <c r="I414" s="1424"/>
      <c r="J414" s="1423"/>
      <c r="K414" s="1429"/>
      <c r="L414" s="1429"/>
      <c r="M414" s="1429"/>
      <c r="N414" s="1417"/>
      <c r="O414" s="1417"/>
      <c r="P414" s="1417"/>
      <c r="Q414" s="1417"/>
      <c r="R414" s="1417"/>
      <c r="S414" s="1443"/>
      <c r="T414" s="1417" t="s">
        <v>455</v>
      </c>
      <c r="U414" s="1417" t="s">
        <v>455</v>
      </c>
      <c r="V414" s="1417" t="str">
        <f>IFERROR(__xludf.DUMMYFUNCTION("""COMPUTED_VALUE"""),"")</f>
        <v/>
      </c>
      <c r="W414" s="1416" t="s">
        <v>455</v>
      </c>
      <c r="X414" s="1417"/>
    </row>
    <row r="415">
      <c r="A415" s="1404"/>
      <c r="B415" s="1424"/>
      <c r="C415" s="1473"/>
      <c r="D415" s="1476"/>
      <c r="E415" s="1477"/>
      <c r="F415" s="1424"/>
      <c r="G415" s="1424"/>
      <c r="H415" s="1424"/>
      <c r="I415" s="1424"/>
      <c r="J415" s="1423"/>
      <c r="K415" s="1429"/>
      <c r="L415" s="1429"/>
      <c r="M415" s="1429"/>
      <c r="N415" s="1417"/>
      <c r="O415" s="1417"/>
      <c r="P415" s="1417"/>
      <c r="Q415" s="1417"/>
      <c r="R415" s="1417"/>
      <c r="S415" s="1443"/>
      <c r="T415" s="1417" t="s">
        <v>455</v>
      </c>
      <c r="U415" s="1417" t="s">
        <v>455</v>
      </c>
      <c r="V415" s="1417" t="str">
        <f>IFERROR(__xludf.DUMMYFUNCTION("""COMPUTED_VALUE"""),"")</f>
        <v/>
      </c>
      <c r="W415" s="1416" t="s">
        <v>455</v>
      </c>
      <c r="X415" s="1417"/>
    </row>
    <row r="416">
      <c r="A416" s="1404"/>
      <c r="B416" s="1424"/>
      <c r="C416" s="1473"/>
      <c r="D416" s="1476"/>
      <c r="E416" s="1477"/>
      <c r="F416" s="1424"/>
      <c r="G416" s="1424"/>
      <c r="H416" s="1424"/>
      <c r="I416" s="1424"/>
      <c r="J416" s="1423"/>
      <c r="K416" s="1429"/>
      <c r="L416" s="1429"/>
      <c r="M416" s="1429"/>
      <c r="N416" s="1417"/>
      <c r="O416" s="1417"/>
      <c r="P416" s="1417"/>
      <c r="Q416" s="1417"/>
      <c r="R416" s="1417"/>
      <c r="S416" s="1443"/>
      <c r="T416" s="1417" t="s">
        <v>455</v>
      </c>
      <c r="U416" s="1417" t="s">
        <v>455</v>
      </c>
      <c r="V416" s="1417" t="str">
        <f>IFERROR(__xludf.DUMMYFUNCTION("""COMPUTED_VALUE"""),"")</f>
        <v/>
      </c>
      <c r="W416" s="1416" t="s">
        <v>455</v>
      </c>
      <c r="X416" s="1417"/>
    </row>
    <row r="417">
      <c r="A417" s="1404"/>
      <c r="B417" s="1424"/>
      <c r="C417" s="1473"/>
      <c r="D417" s="1476"/>
      <c r="E417" s="1477"/>
      <c r="F417" s="1424"/>
      <c r="G417" s="1424"/>
      <c r="H417" s="1424"/>
      <c r="I417" s="1424"/>
      <c r="J417" s="1423"/>
      <c r="K417" s="1429"/>
      <c r="L417" s="1429"/>
      <c r="M417" s="1429"/>
      <c r="N417" s="1417"/>
      <c r="O417" s="1417"/>
      <c r="P417" s="1417"/>
      <c r="Q417" s="1417"/>
      <c r="R417" s="1417"/>
      <c r="S417" s="1443"/>
      <c r="T417" s="1417" t="s">
        <v>455</v>
      </c>
      <c r="U417" s="1417" t="s">
        <v>455</v>
      </c>
      <c r="V417" s="1417" t="str">
        <f>IFERROR(__xludf.DUMMYFUNCTION("""COMPUTED_VALUE"""),"")</f>
        <v/>
      </c>
      <c r="W417" s="1416" t="s">
        <v>455</v>
      </c>
      <c r="X417" s="1417"/>
    </row>
    <row r="418">
      <c r="A418" s="1404"/>
      <c r="B418" s="1424"/>
      <c r="C418" s="1473"/>
      <c r="D418" s="1476"/>
      <c r="E418" s="1477"/>
      <c r="F418" s="1424"/>
      <c r="G418" s="1424"/>
      <c r="H418" s="1424"/>
      <c r="I418" s="1424"/>
      <c r="J418" s="1423"/>
      <c r="K418" s="1429"/>
      <c r="L418" s="1429"/>
      <c r="M418" s="1429"/>
      <c r="N418" s="1417"/>
      <c r="O418" s="1417"/>
      <c r="P418" s="1417"/>
      <c r="Q418" s="1417"/>
      <c r="R418" s="1417"/>
      <c r="S418" s="1443"/>
      <c r="T418" s="1417" t="s">
        <v>455</v>
      </c>
      <c r="U418" s="1417" t="s">
        <v>455</v>
      </c>
      <c r="V418" s="1417" t="str">
        <f>IFERROR(__xludf.DUMMYFUNCTION("""COMPUTED_VALUE"""),"")</f>
        <v/>
      </c>
      <c r="W418" s="1416" t="s">
        <v>455</v>
      </c>
      <c r="X418" s="1417"/>
    </row>
    <row r="419">
      <c r="A419" s="1404"/>
      <c r="B419" s="1424"/>
      <c r="C419" s="1473"/>
      <c r="D419" s="1476"/>
      <c r="E419" s="1477"/>
      <c r="F419" s="1424"/>
      <c r="G419" s="1424"/>
      <c r="H419" s="1424"/>
      <c r="I419" s="1424"/>
      <c r="J419" s="1423"/>
      <c r="K419" s="1429"/>
      <c r="L419" s="1429"/>
      <c r="M419" s="1429"/>
      <c r="N419" s="1417"/>
      <c r="O419" s="1417"/>
      <c r="P419" s="1417"/>
      <c r="Q419" s="1417"/>
      <c r="R419" s="1417"/>
      <c r="S419" s="1443"/>
      <c r="T419" s="1417" t="s">
        <v>455</v>
      </c>
      <c r="U419" s="1417" t="s">
        <v>455</v>
      </c>
      <c r="V419" s="1417" t="str">
        <f>IFERROR(__xludf.DUMMYFUNCTION("""COMPUTED_VALUE"""),"")</f>
        <v/>
      </c>
      <c r="W419" s="1416" t="s">
        <v>455</v>
      </c>
      <c r="X419" s="1417"/>
    </row>
    <row r="420">
      <c r="A420" s="1404"/>
      <c r="B420" s="1424"/>
      <c r="C420" s="1473"/>
      <c r="D420" s="1476"/>
      <c r="E420" s="1477"/>
      <c r="F420" s="1424"/>
      <c r="G420" s="1424"/>
      <c r="H420" s="1424"/>
      <c r="I420" s="1424"/>
      <c r="J420" s="1423"/>
      <c r="K420" s="1429"/>
      <c r="L420" s="1429"/>
      <c r="M420" s="1429"/>
      <c r="N420" s="1417"/>
      <c r="O420" s="1417"/>
      <c r="P420" s="1417"/>
      <c r="Q420" s="1417"/>
      <c r="R420" s="1417"/>
      <c r="S420" s="1443"/>
      <c r="T420" s="1417" t="s">
        <v>455</v>
      </c>
      <c r="U420" s="1417" t="s">
        <v>455</v>
      </c>
      <c r="V420" s="1417" t="str">
        <f>IFERROR(__xludf.DUMMYFUNCTION("""COMPUTED_VALUE"""),"")</f>
        <v/>
      </c>
      <c r="W420" s="1416" t="s">
        <v>455</v>
      </c>
      <c r="X420" s="1417"/>
    </row>
    <row r="421">
      <c r="A421" s="1404"/>
      <c r="B421" s="1424"/>
      <c r="C421" s="1473"/>
      <c r="D421" s="1476"/>
      <c r="E421" s="1477"/>
      <c r="F421" s="1424"/>
      <c r="G421" s="1424"/>
      <c r="H421" s="1424"/>
      <c r="I421" s="1424"/>
      <c r="J421" s="1423"/>
      <c r="K421" s="1429"/>
      <c r="L421" s="1429"/>
      <c r="M421" s="1429"/>
      <c r="N421" s="1417"/>
      <c r="O421" s="1417"/>
      <c r="P421" s="1417"/>
      <c r="Q421" s="1417"/>
      <c r="R421" s="1417"/>
      <c r="S421" s="1443"/>
      <c r="T421" s="1417" t="s">
        <v>455</v>
      </c>
      <c r="U421" s="1417" t="s">
        <v>455</v>
      </c>
      <c r="V421" s="1417" t="str">
        <f>IFERROR(__xludf.DUMMYFUNCTION("""COMPUTED_VALUE"""),"")</f>
        <v/>
      </c>
      <c r="W421" s="1416" t="s">
        <v>455</v>
      </c>
      <c r="X421" s="1417"/>
    </row>
    <row r="422">
      <c r="A422" s="1404"/>
      <c r="B422" s="1424"/>
      <c r="C422" s="1473"/>
      <c r="D422" s="1476"/>
      <c r="E422" s="1477"/>
      <c r="F422" s="1424"/>
      <c r="G422" s="1424"/>
      <c r="H422" s="1424"/>
      <c r="I422" s="1424"/>
      <c r="J422" s="1423"/>
      <c r="K422" s="1429"/>
      <c r="L422" s="1429"/>
      <c r="M422" s="1429"/>
      <c r="N422" s="1417"/>
      <c r="O422" s="1417"/>
      <c r="P422" s="1417"/>
      <c r="Q422" s="1417"/>
      <c r="R422" s="1417"/>
      <c r="S422" s="1443"/>
      <c r="T422" s="1417" t="s">
        <v>455</v>
      </c>
      <c r="U422" s="1417" t="s">
        <v>455</v>
      </c>
      <c r="V422" s="1417" t="str">
        <f>IFERROR(__xludf.DUMMYFUNCTION("""COMPUTED_VALUE"""),"")</f>
        <v/>
      </c>
      <c r="W422" s="1416" t="s">
        <v>455</v>
      </c>
      <c r="X422" s="1417"/>
    </row>
    <row r="423">
      <c r="A423" s="1404"/>
      <c r="B423" s="1424"/>
      <c r="C423" s="1473"/>
      <c r="D423" s="1476"/>
      <c r="E423" s="1477"/>
      <c r="F423" s="1424"/>
      <c r="G423" s="1424"/>
      <c r="H423" s="1424"/>
      <c r="I423" s="1424"/>
      <c r="J423" s="1423"/>
      <c r="K423" s="1429"/>
      <c r="L423" s="1429"/>
      <c r="M423" s="1429"/>
      <c r="N423" s="1417"/>
      <c r="O423" s="1417"/>
      <c r="P423" s="1417"/>
      <c r="Q423" s="1417"/>
      <c r="R423" s="1417"/>
      <c r="S423" s="1443"/>
      <c r="T423" s="1417" t="s">
        <v>455</v>
      </c>
      <c r="U423" s="1417" t="s">
        <v>455</v>
      </c>
      <c r="V423" s="1417" t="str">
        <f>IFERROR(__xludf.DUMMYFUNCTION("""COMPUTED_VALUE"""),"")</f>
        <v/>
      </c>
      <c r="W423" s="1416" t="s">
        <v>455</v>
      </c>
      <c r="X423" s="1417"/>
    </row>
    <row r="424">
      <c r="A424" s="1404"/>
      <c r="B424" s="1424"/>
      <c r="C424" s="1473"/>
      <c r="D424" s="1476"/>
      <c r="E424" s="1477"/>
      <c r="F424" s="1424"/>
      <c r="G424" s="1424"/>
      <c r="H424" s="1424"/>
      <c r="I424" s="1424"/>
      <c r="J424" s="1423"/>
      <c r="K424" s="1429"/>
      <c r="L424" s="1429"/>
      <c r="M424" s="1429"/>
      <c r="N424" s="1417"/>
      <c r="O424" s="1417"/>
      <c r="P424" s="1417"/>
      <c r="Q424" s="1417"/>
      <c r="R424" s="1417"/>
      <c r="S424" s="1443"/>
      <c r="T424" s="1417" t="s">
        <v>455</v>
      </c>
      <c r="U424" s="1417" t="s">
        <v>455</v>
      </c>
      <c r="V424" s="1417" t="str">
        <f>IFERROR(__xludf.DUMMYFUNCTION("""COMPUTED_VALUE"""),"")</f>
        <v/>
      </c>
      <c r="W424" s="1416" t="s">
        <v>455</v>
      </c>
      <c r="X424" s="1417"/>
    </row>
    <row r="425">
      <c r="A425" s="1404"/>
      <c r="B425" s="1424"/>
      <c r="C425" s="1473"/>
      <c r="D425" s="1476"/>
      <c r="E425" s="1477"/>
      <c r="F425" s="1424"/>
      <c r="G425" s="1424"/>
      <c r="H425" s="1424"/>
      <c r="I425" s="1424"/>
      <c r="J425" s="1423"/>
      <c r="K425" s="1429"/>
      <c r="L425" s="1429"/>
      <c r="M425" s="1429"/>
      <c r="N425" s="1417"/>
      <c r="O425" s="1417"/>
      <c r="P425" s="1417"/>
      <c r="Q425" s="1417"/>
      <c r="R425" s="1417"/>
      <c r="S425" s="1443"/>
      <c r="T425" s="1417" t="s">
        <v>455</v>
      </c>
      <c r="U425" s="1417" t="s">
        <v>455</v>
      </c>
      <c r="V425" s="1417" t="str">
        <f>IFERROR(__xludf.DUMMYFUNCTION("""COMPUTED_VALUE"""),"")</f>
        <v/>
      </c>
      <c r="W425" s="1416" t="s">
        <v>455</v>
      </c>
      <c r="X425" s="1417"/>
    </row>
    <row r="426">
      <c r="A426" s="1404"/>
      <c r="B426" s="1424"/>
      <c r="C426" s="1473"/>
      <c r="D426" s="1476"/>
      <c r="E426" s="1477"/>
      <c r="F426" s="1424"/>
      <c r="G426" s="1424"/>
      <c r="H426" s="1424"/>
      <c r="I426" s="1424"/>
      <c r="J426" s="1423"/>
      <c r="K426" s="1429"/>
      <c r="L426" s="1429"/>
      <c r="M426" s="1429"/>
      <c r="N426" s="1417"/>
      <c r="O426" s="1417"/>
      <c r="P426" s="1417"/>
      <c r="Q426" s="1417"/>
      <c r="R426" s="1417"/>
      <c r="S426" s="1443"/>
      <c r="T426" s="1417" t="s">
        <v>455</v>
      </c>
      <c r="U426" s="1417" t="s">
        <v>455</v>
      </c>
      <c r="V426" s="1417" t="str">
        <f>IFERROR(__xludf.DUMMYFUNCTION("""COMPUTED_VALUE"""),"")</f>
        <v/>
      </c>
      <c r="W426" s="1416" t="s">
        <v>455</v>
      </c>
      <c r="X426" s="1417"/>
    </row>
    <row r="427">
      <c r="A427" s="1404"/>
      <c r="B427" s="1424"/>
      <c r="C427" s="1473"/>
      <c r="D427" s="1476"/>
      <c r="E427" s="1477"/>
      <c r="F427" s="1424"/>
      <c r="G427" s="1424"/>
      <c r="H427" s="1424"/>
      <c r="I427" s="1424"/>
      <c r="J427" s="1423"/>
      <c r="K427" s="1429"/>
      <c r="L427" s="1429"/>
      <c r="M427" s="1429"/>
      <c r="N427" s="1417"/>
      <c r="O427" s="1417"/>
      <c r="P427" s="1417"/>
      <c r="Q427" s="1417"/>
      <c r="R427" s="1417"/>
      <c r="S427" s="1443"/>
      <c r="T427" s="1417" t="s">
        <v>455</v>
      </c>
      <c r="U427" s="1417" t="s">
        <v>455</v>
      </c>
      <c r="V427" s="1417" t="str">
        <f>IFERROR(__xludf.DUMMYFUNCTION("""COMPUTED_VALUE"""),"")</f>
        <v/>
      </c>
      <c r="W427" s="1416" t="s">
        <v>455</v>
      </c>
      <c r="X427" s="1417"/>
    </row>
    <row r="428">
      <c r="A428" s="1404"/>
      <c r="B428" s="1424"/>
      <c r="C428" s="1473"/>
      <c r="D428" s="1476"/>
      <c r="E428" s="1477"/>
      <c r="F428" s="1424"/>
      <c r="G428" s="1424"/>
      <c r="H428" s="1424"/>
      <c r="I428" s="1424"/>
      <c r="J428" s="1423"/>
      <c r="K428" s="1429"/>
      <c r="L428" s="1429"/>
      <c r="M428" s="1429"/>
      <c r="N428" s="1417"/>
      <c r="O428" s="1417"/>
      <c r="P428" s="1417"/>
      <c r="Q428" s="1417"/>
      <c r="R428" s="1417"/>
      <c r="S428" s="1443"/>
      <c r="T428" s="1417" t="s">
        <v>455</v>
      </c>
      <c r="U428" s="1417" t="s">
        <v>455</v>
      </c>
      <c r="V428" s="1417" t="str">
        <f>IFERROR(__xludf.DUMMYFUNCTION("""COMPUTED_VALUE"""),"")</f>
        <v/>
      </c>
      <c r="W428" s="1416" t="s">
        <v>455</v>
      </c>
      <c r="X428" s="1417"/>
    </row>
    <row r="429">
      <c r="A429" s="1404"/>
      <c r="B429" s="1424"/>
      <c r="C429" s="1473"/>
      <c r="D429" s="1476"/>
      <c r="E429" s="1477"/>
      <c r="F429" s="1424"/>
      <c r="G429" s="1424"/>
      <c r="H429" s="1424"/>
      <c r="I429" s="1424"/>
      <c r="J429" s="1423"/>
      <c r="K429" s="1429"/>
      <c r="L429" s="1429"/>
      <c r="M429" s="1429"/>
      <c r="N429" s="1417"/>
      <c r="O429" s="1417"/>
      <c r="P429" s="1417"/>
      <c r="Q429" s="1417"/>
      <c r="R429" s="1417"/>
      <c r="S429" s="1443"/>
      <c r="T429" s="1417" t="s">
        <v>455</v>
      </c>
      <c r="U429" s="1417" t="s">
        <v>455</v>
      </c>
      <c r="V429" s="1417" t="str">
        <f>IFERROR(__xludf.DUMMYFUNCTION("""COMPUTED_VALUE"""),"")</f>
        <v/>
      </c>
      <c r="W429" s="1416" t="s">
        <v>455</v>
      </c>
      <c r="X429" s="1417"/>
    </row>
    <row r="430">
      <c r="A430" s="1404"/>
      <c r="B430" s="1424"/>
      <c r="C430" s="1473"/>
      <c r="D430" s="1476"/>
      <c r="E430" s="1477"/>
      <c r="F430" s="1424"/>
      <c r="G430" s="1424"/>
      <c r="H430" s="1424"/>
      <c r="I430" s="1424"/>
      <c r="J430" s="1423"/>
      <c r="K430" s="1429"/>
      <c r="L430" s="1429"/>
      <c r="M430" s="1429"/>
      <c r="N430" s="1417"/>
      <c r="O430" s="1417"/>
      <c r="P430" s="1417"/>
      <c r="Q430" s="1417"/>
      <c r="R430" s="1417"/>
      <c r="S430" s="1443"/>
      <c r="T430" s="1417" t="s">
        <v>455</v>
      </c>
      <c r="U430" s="1417" t="s">
        <v>455</v>
      </c>
      <c r="V430" s="1417" t="str">
        <f>IFERROR(__xludf.DUMMYFUNCTION("""COMPUTED_VALUE"""),"")</f>
        <v/>
      </c>
      <c r="W430" s="1416" t="s">
        <v>455</v>
      </c>
      <c r="X430" s="1417"/>
    </row>
    <row r="431">
      <c r="A431" s="1404"/>
      <c r="B431" s="1424"/>
      <c r="C431" s="1473"/>
      <c r="D431" s="1476"/>
      <c r="E431" s="1477"/>
      <c r="F431" s="1424"/>
      <c r="G431" s="1424"/>
      <c r="H431" s="1424"/>
      <c r="I431" s="1424"/>
      <c r="J431" s="1423"/>
      <c r="K431" s="1429"/>
      <c r="L431" s="1429"/>
      <c r="M431" s="1429"/>
      <c r="N431" s="1417"/>
      <c r="O431" s="1417"/>
      <c r="P431" s="1417"/>
      <c r="Q431" s="1417"/>
      <c r="R431" s="1417"/>
      <c r="S431" s="1443"/>
      <c r="T431" s="1417" t="s">
        <v>455</v>
      </c>
      <c r="U431" s="1417" t="s">
        <v>455</v>
      </c>
      <c r="V431" s="1417" t="str">
        <f>IFERROR(__xludf.DUMMYFUNCTION("""COMPUTED_VALUE"""),"")</f>
        <v/>
      </c>
      <c r="W431" s="1416" t="s">
        <v>455</v>
      </c>
      <c r="X431" s="1417"/>
    </row>
    <row r="432">
      <c r="A432" s="1404"/>
      <c r="B432" s="1424"/>
      <c r="C432" s="1473"/>
      <c r="D432" s="1476"/>
      <c r="E432" s="1477"/>
      <c r="F432" s="1424"/>
      <c r="G432" s="1424"/>
      <c r="H432" s="1424"/>
      <c r="I432" s="1424"/>
      <c r="J432" s="1423"/>
      <c r="K432" s="1429"/>
      <c r="L432" s="1429"/>
      <c r="M432" s="1429"/>
      <c r="N432" s="1417"/>
      <c r="O432" s="1417"/>
      <c r="P432" s="1417"/>
      <c r="Q432" s="1417"/>
      <c r="R432" s="1417"/>
      <c r="S432" s="1443"/>
      <c r="T432" s="1417" t="s">
        <v>455</v>
      </c>
      <c r="U432" s="1417" t="s">
        <v>455</v>
      </c>
      <c r="V432" s="1417" t="str">
        <f>IFERROR(__xludf.DUMMYFUNCTION("""COMPUTED_VALUE"""),"")</f>
        <v/>
      </c>
      <c r="W432" s="1416" t="s">
        <v>455</v>
      </c>
      <c r="X432" s="1417"/>
    </row>
    <row r="433">
      <c r="A433" s="1404"/>
      <c r="B433" s="1424"/>
      <c r="C433" s="1473"/>
      <c r="D433" s="1476"/>
      <c r="E433" s="1477"/>
      <c r="F433" s="1424"/>
      <c r="G433" s="1424"/>
      <c r="H433" s="1424"/>
      <c r="I433" s="1424"/>
      <c r="J433" s="1423"/>
      <c r="K433" s="1429"/>
      <c r="L433" s="1429"/>
      <c r="M433" s="1429"/>
      <c r="N433" s="1417"/>
      <c r="O433" s="1417"/>
      <c r="P433" s="1417"/>
      <c r="Q433" s="1417"/>
      <c r="R433" s="1417"/>
      <c r="S433" s="1443"/>
      <c r="T433" s="1417" t="s">
        <v>455</v>
      </c>
      <c r="U433" s="1417" t="s">
        <v>455</v>
      </c>
      <c r="V433" s="1417" t="str">
        <f>IFERROR(__xludf.DUMMYFUNCTION("""COMPUTED_VALUE"""),"")</f>
        <v/>
      </c>
      <c r="W433" s="1416" t="s">
        <v>455</v>
      </c>
      <c r="X433" s="1417"/>
    </row>
    <row r="434">
      <c r="A434" s="1404"/>
      <c r="B434" s="1424"/>
      <c r="C434" s="1473"/>
      <c r="D434" s="1476"/>
      <c r="E434" s="1477"/>
      <c r="F434" s="1424"/>
      <c r="G434" s="1424"/>
      <c r="H434" s="1424"/>
      <c r="I434" s="1424"/>
      <c r="J434" s="1423"/>
      <c r="K434" s="1429"/>
      <c r="L434" s="1429"/>
      <c r="M434" s="1429"/>
      <c r="N434" s="1417"/>
      <c r="O434" s="1417"/>
      <c r="P434" s="1417"/>
      <c r="Q434" s="1417"/>
      <c r="R434" s="1417"/>
      <c r="S434" s="1443"/>
      <c r="T434" s="1417" t="s">
        <v>455</v>
      </c>
      <c r="U434" s="1417" t="s">
        <v>455</v>
      </c>
      <c r="V434" s="1417" t="str">
        <f>IFERROR(__xludf.DUMMYFUNCTION("""COMPUTED_VALUE"""),"")</f>
        <v/>
      </c>
      <c r="W434" s="1416" t="s">
        <v>455</v>
      </c>
      <c r="X434" s="1417"/>
    </row>
    <row r="435">
      <c r="A435" s="1404"/>
      <c r="B435" s="1424"/>
      <c r="C435" s="1473"/>
      <c r="D435" s="1476"/>
      <c r="E435" s="1477"/>
      <c r="F435" s="1424"/>
      <c r="G435" s="1424"/>
      <c r="H435" s="1424"/>
      <c r="I435" s="1424"/>
      <c r="J435" s="1423"/>
      <c r="K435" s="1429"/>
      <c r="L435" s="1429"/>
      <c r="M435" s="1429"/>
      <c r="N435" s="1417"/>
      <c r="O435" s="1417"/>
      <c r="P435" s="1417"/>
      <c r="Q435" s="1417"/>
      <c r="R435" s="1417"/>
      <c r="S435" s="1443"/>
      <c r="T435" s="1417" t="s">
        <v>455</v>
      </c>
      <c r="U435" s="1417" t="s">
        <v>455</v>
      </c>
      <c r="V435" s="1417" t="str">
        <f>IFERROR(__xludf.DUMMYFUNCTION("""COMPUTED_VALUE"""),"")</f>
        <v/>
      </c>
      <c r="W435" s="1416" t="s">
        <v>455</v>
      </c>
      <c r="X435" s="1417"/>
    </row>
    <row r="436">
      <c r="A436" s="1404"/>
      <c r="B436" s="1424"/>
      <c r="C436" s="1473"/>
      <c r="D436" s="1476"/>
      <c r="E436" s="1477"/>
      <c r="F436" s="1424"/>
      <c r="G436" s="1424"/>
      <c r="H436" s="1424"/>
      <c r="I436" s="1424"/>
      <c r="J436" s="1423"/>
      <c r="K436" s="1429"/>
      <c r="L436" s="1429"/>
      <c r="M436" s="1429"/>
      <c r="N436" s="1417"/>
      <c r="O436" s="1417"/>
      <c r="P436" s="1417"/>
      <c r="Q436" s="1417"/>
      <c r="R436" s="1417"/>
      <c r="S436" s="1443"/>
      <c r="T436" s="1417" t="s">
        <v>455</v>
      </c>
      <c r="U436" s="1417" t="s">
        <v>455</v>
      </c>
      <c r="V436" s="1417" t="str">
        <f>IFERROR(__xludf.DUMMYFUNCTION("""COMPUTED_VALUE"""),"")</f>
        <v/>
      </c>
      <c r="W436" s="1416" t="s">
        <v>455</v>
      </c>
      <c r="X436" s="1417"/>
    </row>
    <row r="437">
      <c r="A437" s="1404"/>
      <c r="B437" s="1424"/>
      <c r="C437" s="1473"/>
      <c r="D437" s="1476"/>
      <c r="E437" s="1477"/>
      <c r="F437" s="1424"/>
      <c r="G437" s="1424"/>
      <c r="H437" s="1424"/>
      <c r="I437" s="1424"/>
      <c r="J437" s="1423"/>
      <c r="K437" s="1429"/>
      <c r="L437" s="1429"/>
      <c r="M437" s="1429"/>
      <c r="N437" s="1417"/>
      <c r="O437" s="1417"/>
      <c r="P437" s="1417"/>
      <c r="Q437" s="1417"/>
      <c r="R437" s="1417"/>
      <c r="S437" s="1443"/>
      <c r="T437" s="1417" t="s">
        <v>455</v>
      </c>
      <c r="U437" s="1417" t="s">
        <v>455</v>
      </c>
      <c r="V437" s="1417" t="str">
        <f>IFERROR(__xludf.DUMMYFUNCTION("""COMPUTED_VALUE"""),"")</f>
        <v/>
      </c>
      <c r="W437" s="1416" t="s">
        <v>455</v>
      </c>
      <c r="X437" s="1417"/>
    </row>
    <row r="438">
      <c r="A438" s="1404"/>
      <c r="B438" s="1424"/>
      <c r="C438" s="1473"/>
      <c r="D438" s="1476"/>
      <c r="E438" s="1477"/>
      <c r="F438" s="1424"/>
      <c r="G438" s="1424"/>
      <c r="H438" s="1424"/>
      <c r="I438" s="1424"/>
      <c r="J438" s="1423"/>
      <c r="K438" s="1429"/>
      <c r="L438" s="1429"/>
      <c r="M438" s="1429"/>
      <c r="N438" s="1417"/>
      <c r="O438" s="1417"/>
      <c r="P438" s="1417"/>
      <c r="Q438" s="1417"/>
      <c r="R438" s="1417"/>
      <c r="S438" s="1443"/>
      <c r="T438" s="1417" t="s">
        <v>455</v>
      </c>
      <c r="U438" s="1417" t="s">
        <v>455</v>
      </c>
      <c r="V438" s="1417" t="str">
        <f>IFERROR(__xludf.DUMMYFUNCTION("""COMPUTED_VALUE"""),"")</f>
        <v/>
      </c>
      <c r="W438" s="1416" t="s">
        <v>455</v>
      </c>
      <c r="X438" s="1417"/>
    </row>
    <row r="439">
      <c r="A439" s="1404"/>
      <c r="B439" s="1424"/>
      <c r="C439" s="1473"/>
      <c r="D439" s="1476"/>
      <c r="E439" s="1477"/>
      <c r="F439" s="1424"/>
      <c r="G439" s="1424"/>
      <c r="H439" s="1424"/>
      <c r="I439" s="1424"/>
      <c r="J439" s="1423"/>
      <c r="K439" s="1429"/>
      <c r="L439" s="1429"/>
      <c r="M439" s="1429"/>
      <c r="N439" s="1417"/>
      <c r="O439" s="1417"/>
      <c r="P439" s="1417"/>
      <c r="Q439" s="1417"/>
      <c r="R439" s="1417"/>
      <c r="S439" s="1443"/>
      <c r="T439" s="1417" t="s">
        <v>455</v>
      </c>
      <c r="U439" s="1417" t="s">
        <v>455</v>
      </c>
      <c r="V439" s="1417" t="str">
        <f>IFERROR(__xludf.DUMMYFUNCTION("""COMPUTED_VALUE"""),"")</f>
        <v/>
      </c>
      <c r="W439" s="1416" t="s">
        <v>455</v>
      </c>
      <c r="X439" s="1417"/>
    </row>
    <row r="440">
      <c r="A440" s="1404"/>
      <c r="B440" s="1424"/>
      <c r="C440" s="1473"/>
      <c r="D440" s="1476"/>
      <c r="E440" s="1477"/>
      <c r="F440" s="1424"/>
      <c r="G440" s="1424"/>
      <c r="H440" s="1424"/>
      <c r="I440" s="1424"/>
      <c r="J440" s="1423"/>
      <c r="K440" s="1429"/>
      <c r="L440" s="1429"/>
      <c r="M440" s="1429"/>
      <c r="N440" s="1417"/>
      <c r="O440" s="1417"/>
      <c r="P440" s="1417"/>
      <c r="Q440" s="1417"/>
      <c r="R440" s="1417"/>
      <c r="S440" s="1443"/>
      <c r="T440" s="1417" t="s">
        <v>455</v>
      </c>
      <c r="U440" s="1417" t="s">
        <v>455</v>
      </c>
      <c r="V440" s="1417" t="str">
        <f>IFERROR(__xludf.DUMMYFUNCTION("""COMPUTED_VALUE"""),"")</f>
        <v/>
      </c>
      <c r="W440" s="1416" t="s">
        <v>455</v>
      </c>
      <c r="X440" s="1417"/>
    </row>
    <row r="441">
      <c r="A441" s="1404"/>
      <c r="B441" s="1424"/>
      <c r="C441" s="1473"/>
      <c r="D441" s="1476"/>
      <c r="E441" s="1477"/>
      <c r="F441" s="1424"/>
      <c r="G441" s="1424"/>
      <c r="H441" s="1424"/>
      <c r="I441" s="1424"/>
      <c r="J441" s="1423"/>
      <c r="K441" s="1429"/>
      <c r="L441" s="1429"/>
      <c r="M441" s="1429"/>
      <c r="N441" s="1417"/>
      <c r="O441" s="1417"/>
      <c r="P441" s="1417"/>
      <c r="Q441" s="1417"/>
      <c r="R441" s="1417"/>
      <c r="S441" s="1443"/>
      <c r="T441" s="1417" t="s">
        <v>455</v>
      </c>
      <c r="U441" s="1417" t="s">
        <v>455</v>
      </c>
      <c r="V441" s="1417" t="str">
        <f>IFERROR(__xludf.DUMMYFUNCTION("""COMPUTED_VALUE"""),"")</f>
        <v/>
      </c>
      <c r="W441" s="1416" t="s">
        <v>455</v>
      </c>
      <c r="X441" s="1417"/>
    </row>
    <row r="442">
      <c r="A442" s="1404"/>
      <c r="B442" s="1424"/>
      <c r="C442" s="1473"/>
      <c r="D442" s="1476"/>
      <c r="E442" s="1477"/>
      <c r="F442" s="1424"/>
      <c r="G442" s="1424"/>
      <c r="H442" s="1424"/>
      <c r="I442" s="1424"/>
      <c r="J442" s="1423"/>
      <c r="K442" s="1429"/>
      <c r="L442" s="1429"/>
      <c r="M442" s="1429"/>
      <c r="N442" s="1417"/>
      <c r="O442" s="1417"/>
      <c r="P442" s="1417"/>
      <c r="Q442" s="1417"/>
      <c r="R442" s="1417"/>
      <c r="S442" s="1443"/>
      <c r="T442" s="1417" t="s">
        <v>455</v>
      </c>
      <c r="U442" s="1417" t="s">
        <v>455</v>
      </c>
      <c r="V442" s="1417" t="str">
        <f>IFERROR(__xludf.DUMMYFUNCTION("""COMPUTED_VALUE"""),"")</f>
        <v/>
      </c>
      <c r="W442" s="1416" t="s">
        <v>455</v>
      </c>
      <c r="X442" s="1417"/>
    </row>
    <row r="443">
      <c r="A443" s="1404"/>
      <c r="B443" s="1424"/>
      <c r="C443" s="1473"/>
      <c r="D443" s="1476"/>
      <c r="E443" s="1477"/>
      <c r="F443" s="1424"/>
      <c r="G443" s="1424"/>
      <c r="H443" s="1424"/>
      <c r="I443" s="1424"/>
      <c r="J443" s="1423"/>
      <c r="K443" s="1429"/>
      <c r="L443" s="1429"/>
      <c r="M443" s="1429"/>
      <c r="N443" s="1417"/>
      <c r="O443" s="1417"/>
      <c r="P443" s="1417"/>
      <c r="Q443" s="1417"/>
      <c r="R443" s="1417"/>
      <c r="S443" s="1443"/>
      <c r="T443" s="1417" t="s">
        <v>455</v>
      </c>
      <c r="U443" s="1417" t="s">
        <v>455</v>
      </c>
      <c r="V443" s="1417" t="str">
        <f>IFERROR(__xludf.DUMMYFUNCTION("""COMPUTED_VALUE"""),"")</f>
        <v/>
      </c>
      <c r="W443" s="1416" t="s">
        <v>455</v>
      </c>
      <c r="X443" s="1417"/>
    </row>
    <row r="444">
      <c r="A444" s="1404"/>
      <c r="B444" s="1424"/>
      <c r="C444" s="1473"/>
      <c r="D444" s="1476"/>
      <c r="E444" s="1477"/>
      <c r="F444" s="1424"/>
      <c r="G444" s="1424"/>
      <c r="H444" s="1424"/>
      <c r="I444" s="1424"/>
      <c r="J444" s="1423"/>
      <c r="K444" s="1429"/>
      <c r="L444" s="1429"/>
      <c r="M444" s="1429"/>
      <c r="N444" s="1417"/>
      <c r="O444" s="1417"/>
      <c r="P444" s="1417"/>
      <c r="Q444" s="1417"/>
      <c r="R444" s="1417"/>
      <c r="S444" s="1443"/>
      <c r="T444" s="1417" t="s">
        <v>455</v>
      </c>
      <c r="U444" s="1417" t="s">
        <v>455</v>
      </c>
      <c r="V444" s="1417" t="str">
        <f>IFERROR(__xludf.DUMMYFUNCTION("""COMPUTED_VALUE"""),"")</f>
        <v/>
      </c>
      <c r="W444" s="1416" t="s">
        <v>455</v>
      </c>
      <c r="X444" s="1417"/>
    </row>
    <row r="445">
      <c r="A445" s="1404"/>
      <c r="B445" s="1424"/>
      <c r="C445" s="1473"/>
      <c r="D445" s="1476"/>
      <c r="E445" s="1477"/>
      <c r="F445" s="1424"/>
      <c r="G445" s="1424"/>
      <c r="H445" s="1424"/>
      <c r="I445" s="1424"/>
      <c r="J445" s="1423"/>
      <c r="K445" s="1429"/>
      <c r="L445" s="1429"/>
      <c r="M445" s="1429"/>
      <c r="N445" s="1417"/>
      <c r="O445" s="1417"/>
      <c r="P445" s="1417"/>
      <c r="Q445" s="1417"/>
      <c r="R445" s="1417"/>
      <c r="S445" s="1443"/>
      <c r="T445" s="1417" t="s">
        <v>455</v>
      </c>
      <c r="U445" s="1417" t="s">
        <v>455</v>
      </c>
      <c r="V445" s="1417" t="str">
        <f>IFERROR(__xludf.DUMMYFUNCTION("""COMPUTED_VALUE"""),"")</f>
        <v/>
      </c>
      <c r="W445" s="1416" t="s">
        <v>455</v>
      </c>
      <c r="X445" s="1417"/>
    </row>
    <row r="446">
      <c r="A446" s="1404"/>
      <c r="B446" s="1424"/>
      <c r="C446" s="1473"/>
      <c r="D446" s="1476"/>
      <c r="E446" s="1477"/>
      <c r="F446" s="1424"/>
      <c r="G446" s="1424"/>
      <c r="H446" s="1424"/>
      <c r="I446" s="1424"/>
      <c r="J446" s="1423"/>
      <c r="K446" s="1429"/>
      <c r="L446" s="1429"/>
      <c r="M446" s="1429"/>
      <c r="N446" s="1417"/>
      <c r="O446" s="1417"/>
      <c r="P446" s="1417"/>
      <c r="Q446" s="1417"/>
      <c r="R446" s="1417"/>
      <c r="S446" s="1443"/>
      <c r="T446" s="1417" t="s">
        <v>455</v>
      </c>
      <c r="U446" s="1417" t="s">
        <v>455</v>
      </c>
      <c r="V446" s="1417" t="str">
        <f>IFERROR(__xludf.DUMMYFUNCTION("""COMPUTED_VALUE"""),"")</f>
        <v/>
      </c>
      <c r="W446" s="1416" t="s">
        <v>455</v>
      </c>
      <c r="X446" s="1417"/>
    </row>
    <row r="447">
      <c r="A447" s="1404"/>
      <c r="B447" s="1424"/>
      <c r="C447" s="1473"/>
      <c r="D447" s="1476"/>
      <c r="E447" s="1477"/>
      <c r="F447" s="1424"/>
      <c r="G447" s="1424"/>
      <c r="H447" s="1424"/>
      <c r="I447" s="1424"/>
      <c r="J447" s="1423"/>
      <c r="K447" s="1429"/>
      <c r="L447" s="1429"/>
      <c r="M447" s="1429"/>
      <c r="N447" s="1417"/>
      <c r="O447" s="1417"/>
      <c r="P447" s="1417"/>
      <c r="Q447" s="1417"/>
      <c r="R447" s="1417"/>
      <c r="S447" s="1443"/>
      <c r="T447" s="1417" t="s">
        <v>455</v>
      </c>
      <c r="U447" s="1417" t="s">
        <v>455</v>
      </c>
      <c r="V447" s="1417" t="str">
        <f>IFERROR(__xludf.DUMMYFUNCTION("""COMPUTED_VALUE"""),"")</f>
        <v/>
      </c>
      <c r="W447" s="1416" t="s">
        <v>455</v>
      </c>
      <c r="X447" s="1417"/>
    </row>
    <row r="448">
      <c r="A448" s="1404"/>
      <c r="B448" s="1424"/>
      <c r="C448" s="1473"/>
      <c r="D448" s="1476"/>
      <c r="E448" s="1477"/>
      <c r="F448" s="1424"/>
      <c r="G448" s="1424"/>
      <c r="H448" s="1424"/>
      <c r="I448" s="1424"/>
      <c r="J448" s="1423"/>
      <c r="K448" s="1429"/>
      <c r="L448" s="1429"/>
      <c r="M448" s="1429"/>
      <c r="N448" s="1417"/>
      <c r="O448" s="1417"/>
      <c r="P448" s="1417"/>
      <c r="Q448" s="1417"/>
      <c r="R448" s="1417"/>
      <c r="S448" s="1443"/>
      <c r="T448" s="1417" t="s">
        <v>455</v>
      </c>
      <c r="U448" s="1417" t="s">
        <v>455</v>
      </c>
      <c r="V448" s="1417" t="str">
        <f>IFERROR(__xludf.DUMMYFUNCTION("""COMPUTED_VALUE"""),"")</f>
        <v/>
      </c>
      <c r="W448" s="1416" t="s">
        <v>455</v>
      </c>
      <c r="X448" s="1417"/>
    </row>
    <row r="449">
      <c r="A449" s="1404"/>
      <c r="B449" s="1424"/>
      <c r="C449" s="1473"/>
      <c r="D449" s="1476"/>
      <c r="E449" s="1477"/>
      <c r="F449" s="1424"/>
      <c r="G449" s="1424"/>
      <c r="H449" s="1424"/>
      <c r="I449" s="1424"/>
      <c r="J449" s="1423"/>
      <c r="K449" s="1429"/>
      <c r="L449" s="1429"/>
      <c r="M449" s="1429"/>
      <c r="N449" s="1417"/>
      <c r="O449" s="1417"/>
      <c r="P449" s="1417"/>
      <c r="Q449" s="1417"/>
      <c r="R449" s="1417"/>
      <c r="S449" s="1443"/>
      <c r="T449" s="1417" t="s">
        <v>455</v>
      </c>
      <c r="U449" s="1417" t="s">
        <v>455</v>
      </c>
      <c r="V449" s="1417" t="str">
        <f>IFERROR(__xludf.DUMMYFUNCTION("""COMPUTED_VALUE"""),"")</f>
        <v/>
      </c>
      <c r="W449" s="1416" t="s">
        <v>455</v>
      </c>
      <c r="X449" s="1417"/>
    </row>
    <row r="450">
      <c r="A450" s="1404"/>
      <c r="B450" s="1424"/>
      <c r="C450" s="1473"/>
      <c r="D450" s="1476"/>
      <c r="E450" s="1477"/>
      <c r="F450" s="1424"/>
      <c r="G450" s="1424"/>
      <c r="H450" s="1424"/>
      <c r="I450" s="1424"/>
      <c r="J450" s="1423"/>
      <c r="K450" s="1429"/>
      <c r="L450" s="1429"/>
      <c r="M450" s="1429"/>
      <c r="N450" s="1417"/>
      <c r="O450" s="1417"/>
      <c r="P450" s="1417"/>
      <c r="Q450" s="1417"/>
      <c r="R450" s="1417"/>
      <c r="S450" s="1443"/>
      <c r="T450" s="1417" t="s">
        <v>455</v>
      </c>
      <c r="U450" s="1417" t="s">
        <v>455</v>
      </c>
      <c r="V450" s="1417" t="str">
        <f>IFERROR(__xludf.DUMMYFUNCTION("""COMPUTED_VALUE"""),"")</f>
        <v/>
      </c>
      <c r="W450" s="1416" t="s">
        <v>455</v>
      </c>
      <c r="X450" s="1417"/>
    </row>
    <row r="451">
      <c r="A451" s="1404"/>
      <c r="B451" s="1424"/>
      <c r="C451" s="1473"/>
      <c r="D451" s="1476"/>
      <c r="E451" s="1477"/>
      <c r="F451" s="1424"/>
      <c r="G451" s="1424"/>
      <c r="H451" s="1424"/>
      <c r="I451" s="1424"/>
      <c r="J451" s="1423"/>
      <c r="K451" s="1429"/>
      <c r="L451" s="1429"/>
      <c r="M451" s="1429"/>
      <c r="N451" s="1417"/>
      <c r="O451" s="1417"/>
      <c r="P451" s="1417"/>
      <c r="Q451" s="1417"/>
      <c r="R451" s="1417"/>
      <c r="S451" s="1443"/>
      <c r="T451" s="1417" t="s">
        <v>455</v>
      </c>
      <c r="U451" s="1417" t="s">
        <v>455</v>
      </c>
      <c r="V451" s="1417" t="str">
        <f>IFERROR(__xludf.DUMMYFUNCTION("""COMPUTED_VALUE"""),"")</f>
        <v/>
      </c>
      <c r="W451" s="1416" t="s">
        <v>455</v>
      </c>
      <c r="X451" s="1417"/>
    </row>
    <row r="452">
      <c r="A452" s="1404"/>
      <c r="B452" s="1424"/>
      <c r="C452" s="1473"/>
      <c r="D452" s="1476"/>
      <c r="E452" s="1477"/>
      <c r="F452" s="1424"/>
      <c r="G452" s="1424"/>
      <c r="H452" s="1424"/>
      <c r="I452" s="1424"/>
      <c r="J452" s="1423"/>
      <c r="K452" s="1429"/>
      <c r="L452" s="1429"/>
      <c r="M452" s="1429"/>
      <c r="N452" s="1417"/>
      <c r="O452" s="1417"/>
      <c r="P452" s="1417"/>
      <c r="Q452" s="1417"/>
      <c r="R452" s="1417"/>
      <c r="S452" s="1443"/>
      <c r="T452" s="1417" t="s">
        <v>455</v>
      </c>
      <c r="U452" s="1417" t="s">
        <v>455</v>
      </c>
      <c r="V452" s="1417" t="str">
        <f>IFERROR(__xludf.DUMMYFUNCTION("""COMPUTED_VALUE"""),"")</f>
        <v/>
      </c>
      <c r="W452" s="1416" t="s">
        <v>455</v>
      </c>
      <c r="X452" s="1417"/>
    </row>
    <row r="453">
      <c r="A453" s="1404"/>
      <c r="B453" s="1424"/>
      <c r="C453" s="1473"/>
      <c r="D453" s="1476"/>
      <c r="E453" s="1477"/>
      <c r="F453" s="1424"/>
      <c r="G453" s="1424"/>
      <c r="H453" s="1424"/>
      <c r="I453" s="1424"/>
      <c r="J453" s="1423"/>
      <c r="K453" s="1429"/>
      <c r="L453" s="1429"/>
      <c r="M453" s="1429"/>
      <c r="N453" s="1417"/>
      <c r="O453" s="1417"/>
      <c r="P453" s="1417"/>
      <c r="Q453" s="1417"/>
      <c r="R453" s="1417"/>
      <c r="S453" s="1443"/>
      <c r="T453" s="1417" t="s">
        <v>455</v>
      </c>
      <c r="U453" s="1417" t="s">
        <v>455</v>
      </c>
      <c r="V453" s="1417" t="str">
        <f>IFERROR(__xludf.DUMMYFUNCTION("""COMPUTED_VALUE"""),"")</f>
        <v/>
      </c>
      <c r="W453" s="1416" t="s">
        <v>455</v>
      </c>
      <c r="X453" s="1417"/>
    </row>
    <row r="454">
      <c r="A454" s="1404"/>
      <c r="B454" s="1424"/>
      <c r="C454" s="1473"/>
      <c r="D454" s="1476"/>
      <c r="E454" s="1477"/>
      <c r="F454" s="1424"/>
      <c r="G454" s="1424"/>
      <c r="H454" s="1424"/>
      <c r="I454" s="1424"/>
      <c r="J454" s="1423"/>
      <c r="K454" s="1429"/>
      <c r="L454" s="1429"/>
      <c r="M454" s="1429"/>
      <c r="N454" s="1417"/>
      <c r="O454" s="1417"/>
      <c r="P454" s="1417"/>
      <c r="Q454" s="1417"/>
      <c r="R454" s="1417"/>
      <c r="S454" s="1443"/>
      <c r="T454" s="1417" t="s">
        <v>455</v>
      </c>
      <c r="U454" s="1417" t="s">
        <v>455</v>
      </c>
      <c r="V454" s="1417" t="str">
        <f>IFERROR(__xludf.DUMMYFUNCTION("""COMPUTED_VALUE"""),"")</f>
        <v/>
      </c>
      <c r="W454" s="1416" t="s">
        <v>455</v>
      </c>
      <c r="X454" s="1417"/>
    </row>
    <row r="455">
      <c r="A455" s="1404"/>
      <c r="B455" s="1424"/>
      <c r="C455" s="1473"/>
      <c r="D455" s="1476"/>
      <c r="E455" s="1477"/>
      <c r="F455" s="1424"/>
      <c r="G455" s="1424"/>
      <c r="H455" s="1424"/>
      <c r="I455" s="1424"/>
      <c r="J455" s="1423"/>
      <c r="K455" s="1429"/>
      <c r="L455" s="1429"/>
      <c r="M455" s="1429"/>
      <c r="N455" s="1417"/>
      <c r="O455" s="1417"/>
      <c r="P455" s="1417"/>
      <c r="Q455" s="1417"/>
      <c r="R455" s="1417"/>
      <c r="S455" s="1443"/>
      <c r="T455" s="1417" t="s">
        <v>455</v>
      </c>
      <c r="U455" s="1417" t="s">
        <v>455</v>
      </c>
      <c r="V455" s="1417" t="str">
        <f>IFERROR(__xludf.DUMMYFUNCTION("""COMPUTED_VALUE"""),"")</f>
        <v/>
      </c>
      <c r="W455" s="1416" t="s">
        <v>455</v>
      </c>
      <c r="X455" s="1417"/>
    </row>
    <row r="456">
      <c r="A456" s="1404"/>
      <c r="B456" s="1424"/>
      <c r="C456" s="1473"/>
      <c r="D456" s="1476"/>
      <c r="E456" s="1477"/>
      <c r="F456" s="1424"/>
      <c r="G456" s="1424"/>
      <c r="H456" s="1424"/>
      <c r="I456" s="1424"/>
      <c r="J456" s="1423"/>
      <c r="K456" s="1429"/>
      <c r="L456" s="1429"/>
      <c r="M456" s="1429"/>
      <c r="N456" s="1417"/>
      <c r="O456" s="1417"/>
      <c r="P456" s="1417"/>
      <c r="Q456" s="1417"/>
      <c r="R456" s="1417"/>
      <c r="S456" s="1443"/>
      <c r="T456" s="1417" t="s">
        <v>455</v>
      </c>
      <c r="U456" s="1417" t="s">
        <v>455</v>
      </c>
      <c r="V456" s="1417" t="str">
        <f>IFERROR(__xludf.DUMMYFUNCTION("""COMPUTED_VALUE"""),"")</f>
        <v/>
      </c>
      <c r="W456" s="1416" t="s">
        <v>455</v>
      </c>
      <c r="X456" s="1417"/>
    </row>
    <row r="457">
      <c r="A457" s="1404"/>
      <c r="B457" s="1424"/>
      <c r="C457" s="1473"/>
      <c r="D457" s="1476"/>
      <c r="E457" s="1477"/>
      <c r="F457" s="1424"/>
      <c r="G457" s="1424"/>
      <c r="H457" s="1424"/>
      <c r="I457" s="1424"/>
      <c r="J457" s="1423"/>
      <c r="K457" s="1429"/>
      <c r="L457" s="1429"/>
      <c r="M457" s="1429"/>
      <c r="N457" s="1417"/>
      <c r="O457" s="1417"/>
      <c r="P457" s="1417"/>
      <c r="Q457" s="1417"/>
      <c r="R457" s="1417"/>
      <c r="S457" s="1443"/>
      <c r="T457" s="1417" t="s">
        <v>455</v>
      </c>
      <c r="U457" s="1417" t="s">
        <v>455</v>
      </c>
      <c r="V457" s="1417" t="str">
        <f>IFERROR(__xludf.DUMMYFUNCTION("""COMPUTED_VALUE"""),"")</f>
        <v/>
      </c>
      <c r="W457" s="1416" t="s">
        <v>455</v>
      </c>
      <c r="X457" s="1417"/>
    </row>
    <row r="458">
      <c r="A458" s="1404"/>
      <c r="B458" s="1424"/>
      <c r="C458" s="1473"/>
      <c r="D458" s="1476"/>
      <c r="E458" s="1477"/>
      <c r="F458" s="1424"/>
      <c r="G458" s="1424"/>
      <c r="H458" s="1424"/>
      <c r="I458" s="1424"/>
      <c r="J458" s="1423"/>
      <c r="K458" s="1429"/>
      <c r="L458" s="1429"/>
      <c r="M458" s="1429"/>
      <c r="N458" s="1417"/>
      <c r="O458" s="1417"/>
      <c r="P458" s="1417"/>
      <c r="Q458" s="1417"/>
      <c r="R458" s="1417"/>
      <c r="S458" s="1443"/>
      <c r="T458" s="1417" t="s">
        <v>455</v>
      </c>
      <c r="U458" s="1417" t="s">
        <v>455</v>
      </c>
      <c r="V458" s="1417" t="str">
        <f>IFERROR(__xludf.DUMMYFUNCTION("""COMPUTED_VALUE"""),"")</f>
        <v/>
      </c>
      <c r="W458" s="1416" t="s">
        <v>455</v>
      </c>
      <c r="X458" s="1417"/>
    </row>
    <row r="459">
      <c r="A459" s="1404"/>
      <c r="B459" s="1424"/>
      <c r="C459" s="1473"/>
      <c r="D459" s="1476"/>
      <c r="E459" s="1477"/>
      <c r="F459" s="1424"/>
      <c r="G459" s="1424"/>
      <c r="H459" s="1424"/>
      <c r="I459" s="1424"/>
      <c r="J459" s="1423"/>
      <c r="K459" s="1429"/>
      <c r="L459" s="1429"/>
      <c r="M459" s="1429"/>
      <c r="N459" s="1417"/>
      <c r="O459" s="1417"/>
      <c r="P459" s="1417"/>
      <c r="Q459" s="1417"/>
      <c r="R459" s="1417"/>
      <c r="S459" s="1443"/>
      <c r="T459" s="1417" t="s">
        <v>455</v>
      </c>
      <c r="U459" s="1417" t="s">
        <v>455</v>
      </c>
      <c r="V459" s="1417" t="str">
        <f>IFERROR(__xludf.DUMMYFUNCTION("""COMPUTED_VALUE"""),"")</f>
        <v/>
      </c>
      <c r="W459" s="1416" t="s">
        <v>455</v>
      </c>
      <c r="X459" s="1417"/>
    </row>
    <row r="460">
      <c r="A460" s="1404"/>
      <c r="B460" s="1424"/>
      <c r="C460" s="1473"/>
      <c r="D460" s="1476"/>
      <c r="E460" s="1477"/>
      <c r="F460" s="1424"/>
      <c r="G460" s="1424"/>
      <c r="H460" s="1424"/>
      <c r="I460" s="1424"/>
      <c r="J460" s="1423"/>
      <c r="K460" s="1429"/>
      <c r="L460" s="1429"/>
      <c r="M460" s="1429"/>
      <c r="N460" s="1417"/>
      <c r="O460" s="1417"/>
      <c r="P460" s="1417"/>
      <c r="Q460" s="1417"/>
      <c r="R460" s="1417"/>
      <c r="S460" s="1443"/>
      <c r="T460" s="1417" t="s">
        <v>455</v>
      </c>
      <c r="U460" s="1417" t="s">
        <v>455</v>
      </c>
      <c r="V460" s="1417" t="str">
        <f>IFERROR(__xludf.DUMMYFUNCTION("""COMPUTED_VALUE"""),"")</f>
        <v/>
      </c>
      <c r="W460" s="1416" t="s">
        <v>455</v>
      </c>
      <c r="X460" s="1417"/>
    </row>
    <row r="461">
      <c r="A461" s="1404"/>
      <c r="B461" s="1424"/>
      <c r="C461" s="1473"/>
      <c r="D461" s="1476"/>
      <c r="E461" s="1477"/>
      <c r="F461" s="1424"/>
      <c r="G461" s="1424"/>
      <c r="H461" s="1424"/>
      <c r="I461" s="1424"/>
      <c r="J461" s="1423"/>
      <c r="K461" s="1429"/>
      <c r="L461" s="1429"/>
      <c r="M461" s="1429"/>
      <c r="N461" s="1417"/>
      <c r="O461" s="1417"/>
      <c r="P461" s="1417"/>
      <c r="Q461" s="1417"/>
      <c r="R461" s="1417"/>
      <c r="S461" s="1443"/>
      <c r="T461" s="1417" t="s">
        <v>455</v>
      </c>
      <c r="U461" s="1417" t="s">
        <v>455</v>
      </c>
      <c r="V461" s="1417" t="str">
        <f>IFERROR(__xludf.DUMMYFUNCTION("""COMPUTED_VALUE"""),"")</f>
        <v/>
      </c>
      <c r="W461" s="1416" t="s">
        <v>455</v>
      </c>
      <c r="X461" s="1417"/>
    </row>
    <row r="462">
      <c r="A462" s="1404"/>
      <c r="B462" s="1424"/>
      <c r="C462" s="1473"/>
      <c r="D462" s="1476"/>
      <c r="E462" s="1477"/>
      <c r="F462" s="1424"/>
      <c r="G462" s="1424"/>
      <c r="H462" s="1424"/>
      <c r="I462" s="1424"/>
      <c r="J462" s="1423"/>
      <c r="K462" s="1429"/>
      <c r="L462" s="1429"/>
      <c r="M462" s="1429"/>
      <c r="N462" s="1417"/>
      <c r="O462" s="1417"/>
      <c r="P462" s="1417"/>
      <c r="Q462" s="1417"/>
      <c r="R462" s="1417"/>
      <c r="S462" s="1443"/>
      <c r="T462" s="1417" t="s">
        <v>455</v>
      </c>
      <c r="U462" s="1417" t="s">
        <v>455</v>
      </c>
      <c r="V462" s="1417" t="str">
        <f>IFERROR(__xludf.DUMMYFUNCTION("""COMPUTED_VALUE"""),"")</f>
        <v/>
      </c>
      <c r="W462" s="1416" t="s">
        <v>455</v>
      </c>
      <c r="X462" s="1417"/>
    </row>
    <row r="463">
      <c r="A463" s="1404"/>
      <c r="B463" s="1424"/>
      <c r="C463" s="1473"/>
      <c r="D463" s="1476"/>
      <c r="E463" s="1477"/>
      <c r="F463" s="1424"/>
      <c r="G463" s="1424"/>
      <c r="H463" s="1424"/>
      <c r="I463" s="1424"/>
      <c r="J463" s="1423"/>
      <c r="K463" s="1429"/>
      <c r="L463" s="1429"/>
      <c r="M463" s="1429"/>
      <c r="N463" s="1417"/>
      <c r="O463" s="1417"/>
      <c r="P463" s="1417"/>
      <c r="Q463" s="1417"/>
      <c r="R463" s="1417"/>
      <c r="S463" s="1443"/>
      <c r="T463" s="1417" t="s">
        <v>455</v>
      </c>
      <c r="U463" s="1417" t="s">
        <v>455</v>
      </c>
      <c r="V463" s="1417" t="str">
        <f>IFERROR(__xludf.DUMMYFUNCTION("""COMPUTED_VALUE"""),"")</f>
        <v/>
      </c>
      <c r="W463" s="1416" t="s">
        <v>455</v>
      </c>
      <c r="X463" s="1417"/>
    </row>
    <row r="464">
      <c r="A464" s="1404"/>
      <c r="B464" s="1424"/>
      <c r="C464" s="1473"/>
      <c r="D464" s="1476"/>
      <c r="E464" s="1477"/>
      <c r="F464" s="1424"/>
      <c r="G464" s="1424"/>
      <c r="H464" s="1424"/>
      <c r="I464" s="1424"/>
      <c r="J464" s="1423"/>
      <c r="K464" s="1429"/>
      <c r="L464" s="1429"/>
      <c r="M464" s="1429"/>
      <c r="N464" s="1417"/>
      <c r="O464" s="1417"/>
      <c r="P464" s="1417"/>
      <c r="Q464" s="1417"/>
      <c r="R464" s="1417"/>
      <c r="S464" s="1443"/>
      <c r="T464" s="1417" t="s">
        <v>455</v>
      </c>
      <c r="U464" s="1417" t="s">
        <v>455</v>
      </c>
      <c r="V464" s="1417" t="str">
        <f>IFERROR(__xludf.DUMMYFUNCTION("""COMPUTED_VALUE"""),"")</f>
        <v/>
      </c>
      <c r="W464" s="1416" t="s">
        <v>455</v>
      </c>
      <c r="X464" s="1417"/>
    </row>
    <row r="465">
      <c r="A465" s="1404"/>
      <c r="B465" s="1424"/>
      <c r="C465" s="1473"/>
      <c r="D465" s="1476"/>
      <c r="E465" s="1477"/>
      <c r="F465" s="1424"/>
      <c r="G465" s="1424"/>
      <c r="H465" s="1424"/>
      <c r="I465" s="1424"/>
      <c r="J465" s="1423"/>
      <c r="K465" s="1429"/>
      <c r="L465" s="1429"/>
      <c r="M465" s="1429"/>
      <c r="N465" s="1417"/>
      <c r="O465" s="1417"/>
      <c r="P465" s="1417"/>
      <c r="Q465" s="1417"/>
      <c r="R465" s="1417"/>
      <c r="S465" s="1443"/>
      <c r="T465" s="1417" t="s">
        <v>455</v>
      </c>
      <c r="U465" s="1417" t="s">
        <v>455</v>
      </c>
      <c r="V465" s="1417" t="str">
        <f>IFERROR(__xludf.DUMMYFUNCTION("""COMPUTED_VALUE"""),"")</f>
        <v/>
      </c>
      <c r="W465" s="1416" t="s">
        <v>455</v>
      </c>
      <c r="X465" s="1417"/>
    </row>
    <row r="466">
      <c r="A466" s="1404"/>
      <c r="B466" s="1424"/>
      <c r="C466" s="1473"/>
      <c r="D466" s="1476"/>
      <c r="E466" s="1477"/>
      <c r="F466" s="1424"/>
      <c r="G466" s="1424"/>
      <c r="H466" s="1424"/>
      <c r="I466" s="1424"/>
      <c r="J466" s="1423"/>
      <c r="K466" s="1429"/>
      <c r="L466" s="1429"/>
      <c r="M466" s="1429"/>
      <c r="N466" s="1417"/>
      <c r="O466" s="1417"/>
      <c r="P466" s="1417"/>
      <c r="Q466" s="1417"/>
      <c r="R466" s="1417"/>
      <c r="S466" s="1443"/>
      <c r="T466" s="1417" t="s">
        <v>455</v>
      </c>
      <c r="U466" s="1417" t="s">
        <v>455</v>
      </c>
      <c r="V466" s="1417" t="str">
        <f>IFERROR(__xludf.DUMMYFUNCTION("""COMPUTED_VALUE"""),"")</f>
        <v/>
      </c>
      <c r="W466" s="1416" t="s">
        <v>455</v>
      </c>
      <c r="X466" s="1417"/>
    </row>
    <row r="467">
      <c r="A467" s="1404"/>
      <c r="B467" s="1424"/>
      <c r="C467" s="1473"/>
      <c r="D467" s="1476"/>
      <c r="E467" s="1477"/>
      <c r="F467" s="1424"/>
      <c r="G467" s="1424"/>
      <c r="H467" s="1424"/>
      <c r="I467" s="1424"/>
      <c r="J467" s="1423"/>
      <c r="K467" s="1429"/>
      <c r="L467" s="1429"/>
      <c r="M467" s="1429"/>
      <c r="N467" s="1417"/>
      <c r="O467" s="1417"/>
      <c r="P467" s="1417"/>
      <c r="Q467" s="1417"/>
      <c r="R467" s="1417"/>
      <c r="S467" s="1443"/>
      <c r="T467" s="1417" t="s">
        <v>455</v>
      </c>
      <c r="U467" s="1417" t="s">
        <v>455</v>
      </c>
      <c r="V467" s="1417" t="str">
        <f>IFERROR(__xludf.DUMMYFUNCTION("""COMPUTED_VALUE"""),"")</f>
        <v/>
      </c>
      <c r="W467" s="1416" t="s">
        <v>455</v>
      </c>
      <c r="X467" s="1417"/>
    </row>
    <row r="468">
      <c r="A468" s="1404"/>
      <c r="B468" s="1424"/>
      <c r="C468" s="1473"/>
      <c r="D468" s="1476"/>
      <c r="E468" s="1477"/>
      <c r="F468" s="1424"/>
      <c r="G468" s="1424"/>
      <c r="H468" s="1424"/>
      <c r="I468" s="1424"/>
      <c r="J468" s="1423"/>
      <c r="K468" s="1429"/>
      <c r="L468" s="1429"/>
      <c r="M468" s="1429"/>
      <c r="N468" s="1417"/>
      <c r="O468" s="1417"/>
      <c r="P468" s="1417"/>
      <c r="Q468" s="1417"/>
      <c r="R468" s="1417"/>
      <c r="S468" s="1443"/>
      <c r="T468" s="1417" t="s">
        <v>455</v>
      </c>
      <c r="U468" s="1417" t="s">
        <v>455</v>
      </c>
      <c r="V468" s="1417" t="str">
        <f>IFERROR(__xludf.DUMMYFUNCTION("""COMPUTED_VALUE"""),"")</f>
        <v/>
      </c>
      <c r="W468" s="1416" t="s">
        <v>455</v>
      </c>
      <c r="X468" s="1417"/>
    </row>
    <row r="469">
      <c r="A469" s="1404"/>
      <c r="B469" s="1424"/>
      <c r="C469" s="1473"/>
      <c r="D469" s="1476"/>
      <c r="E469" s="1477"/>
      <c r="F469" s="1424"/>
      <c r="G469" s="1424"/>
      <c r="H469" s="1424"/>
      <c r="I469" s="1424"/>
      <c r="J469" s="1423"/>
      <c r="K469" s="1429"/>
      <c r="L469" s="1429"/>
      <c r="M469" s="1429"/>
      <c r="N469" s="1417"/>
      <c r="O469" s="1417"/>
      <c r="P469" s="1417"/>
      <c r="Q469" s="1417"/>
      <c r="R469" s="1417"/>
      <c r="S469" s="1443"/>
      <c r="T469" s="1417" t="s">
        <v>455</v>
      </c>
      <c r="U469" s="1417" t="s">
        <v>455</v>
      </c>
      <c r="V469" s="1417" t="str">
        <f>IFERROR(__xludf.DUMMYFUNCTION("""COMPUTED_VALUE"""),"")</f>
        <v/>
      </c>
      <c r="W469" s="1416" t="s">
        <v>455</v>
      </c>
      <c r="X469" s="1417"/>
    </row>
    <row r="470">
      <c r="A470" s="1404"/>
      <c r="B470" s="1424"/>
      <c r="C470" s="1473"/>
      <c r="D470" s="1476"/>
      <c r="E470" s="1477"/>
      <c r="F470" s="1424"/>
      <c r="G470" s="1424"/>
      <c r="H470" s="1424"/>
      <c r="I470" s="1424"/>
      <c r="J470" s="1423"/>
      <c r="K470" s="1429"/>
      <c r="L470" s="1429"/>
      <c r="M470" s="1429"/>
      <c r="N470" s="1417"/>
      <c r="O470" s="1417"/>
      <c r="P470" s="1417"/>
      <c r="Q470" s="1417"/>
      <c r="R470" s="1417"/>
      <c r="S470" s="1443"/>
      <c r="T470" s="1417" t="s">
        <v>455</v>
      </c>
      <c r="U470" s="1417" t="s">
        <v>455</v>
      </c>
      <c r="V470" s="1417" t="str">
        <f>IFERROR(__xludf.DUMMYFUNCTION("""COMPUTED_VALUE"""),"")</f>
        <v/>
      </c>
      <c r="W470" s="1416" t="s">
        <v>455</v>
      </c>
      <c r="X470" s="1417"/>
    </row>
    <row r="471">
      <c r="A471" s="1404"/>
      <c r="B471" s="1424"/>
      <c r="C471" s="1473"/>
      <c r="D471" s="1476"/>
      <c r="E471" s="1477"/>
      <c r="F471" s="1424"/>
      <c r="G471" s="1424"/>
      <c r="H471" s="1424"/>
      <c r="I471" s="1424"/>
      <c r="J471" s="1423"/>
      <c r="K471" s="1429"/>
      <c r="L471" s="1429"/>
      <c r="M471" s="1429"/>
      <c r="N471" s="1417"/>
      <c r="O471" s="1417"/>
      <c r="P471" s="1417"/>
      <c r="Q471" s="1417"/>
      <c r="R471" s="1417"/>
      <c r="S471" s="1443"/>
      <c r="T471" s="1417" t="s">
        <v>455</v>
      </c>
      <c r="U471" s="1417" t="s">
        <v>455</v>
      </c>
      <c r="V471" s="1417" t="str">
        <f>IFERROR(__xludf.DUMMYFUNCTION("""COMPUTED_VALUE"""),"")</f>
        <v/>
      </c>
      <c r="W471" s="1416" t="s">
        <v>455</v>
      </c>
      <c r="X471" s="1417"/>
    </row>
    <row r="472">
      <c r="A472" s="1404"/>
      <c r="B472" s="1424"/>
      <c r="C472" s="1473"/>
      <c r="D472" s="1476"/>
      <c r="E472" s="1477"/>
      <c r="F472" s="1424"/>
      <c r="G472" s="1424"/>
      <c r="H472" s="1424"/>
      <c r="I472" s="1424"/>
      <c r="J472" s="1423"/>
      <c r="K472" s="1429"/>
      <c r="L472" s="1429"/>
      <c r="M472" s="1429"/>
      <c r="N472" s="1417"/>
      <c r="O472" s="1417"/>
      <c r="P472" s="1417"/>
      <c r="Q472" s="1417"/>
      <c r="R472" s="1417"/>
      <c r="S472" s="1443"/>
      <c r="T472" s="1417" t="s">
        <v>455</v>
      </c>
      <c r="U472" s="1417" t="s">
        <v>455</v>
      </c>
      <c r="V472" s="1417" t="str">
        <f>IFERROR(__xludf.DUMMYFUNCTION("""COMPUTED_VALUE"""),"")</f>
        <v/>
      </c>
      <c r="W472" s="1416" t="s">
        <v>455</v>
      </c>
      <c r="X472" s="1417"/>
    </row>
    <row r="473">
      <c r="A473" s="1404"/>
      <c r="B473" s="1424"/>
      <c r="C473" s="1473"/>
      <c r="D473" s="1476"/>
      <c r="E473" s="1477"/>
      <c r="F473" s="1424"/>
      <c r="G473" s="1424"/>
      <c r="H473" s="1424"/>
      <c r="I473" s="1424"/>
      <c r="J473" s="1423"/>
      <c r="K473" s="1429"/>
      <c r="L473" s="1429"/>
      <c r="M473" s="1429"/>
      <c r="N473" s="1417"/>
      <c r="O473" s="1417"/>
      <c r="P473" s="1417"/>
      <c r="Q473" s="1417"/>
      <c r="R473" s="1417"/>
      <c r="S473" s="1443"/>
      <c r="T473" s="1417" t="s">
        <v>455</v>
      </c>
      <c r="U473" s="1417" t="s">
        <v>455</v>
      </c>
      <c r="V473" s="1417" t="str">
        <f>IFERROR(__xludf.DUMMYFUNCTION("""COMPUTED_VALUE"""),"")</f>
        <v/>
      </c>
      <c r="W473" s="1416" t="s">
        <v>455</v>
      </c>
      <c r="X473" s="1417"/>
    </row>
    <row r="474">
      <c r="A474" s="1404"/>
      <c r="B474" s="1424"/>
      <c r="C474" s="1473"/>
      <c r="D474" s="1476"/>
      <c r="E474" s="1477"/>
      <c r="F474" s="1424"/>
      <c r="G474" s="1424"/>
      <c r="H474" s="1424"/>
      <c r="I474" s="1424"/>
      <c r="J474" s="1423"/>
      <c r="K474" s="1429"/>
      <c r="L474" s="1429"/>
      <c r="M474" s="1429"/>
      <c r="N474" s="1417"/>
      <c r="O474" s="1417"/>
      <c r="P474" s="1417"/>
      <c r="Q474" s="1417"/>
      <c r="R474" s="1417"/>
      <c r="S474" s="1443"/>
      <c r="T474" s="1417" t="s">
        <v>455</v>
      </c>
      <c r="U474" s="1417" t="s">
        <v>455</v>
      </c>
      <c r="V474" s="1417" t="str">
        <f>IFERROR(__xludf.DUMMYFUNCTION("""COMPUTED_VALUE"""),"")</f>
        <v/>
      </c>
      <c r="W474" s="1416" t="s">
        <v>455</v>
      </c>
      <c r="X474" s="1417"/>
    </row>
    <row r="475">
      <c r="A475" s="1404"/>
      <c r="B475" s="1424"/>
      <c r="C475" s="1473"/>
      <c r="D475" s="1476"/>
      <c r="E475" s="1477"/>
      <c r="F475" s="1424"/>
      <c r="G475" s="1424"/>
      <c r="H475" s="1424"/>
      <c r="I475" s="1424"/>
      <c r="J475" s="1423"/>
      <c r="K475" s="1429"/>
      <c r="L475" s="1429"/>
      <c r="M475" s="1429"/>
      <c r="N475" s="1417"/>
      <c r="O475" s="1417"/>
      <c r="P475" s="1417"/>
      <c r="Q475" s="1417"/>
      <c r="R475" s="1417"/>
      <c r="S475" s="1443"/>
      <c r="T475" s="1417" t="s">
        <v>455</v>
      </c>
      <c r="U475" s="1417" t="s">
        <v>455</v>
      </c>
      <c r="V475" s="1417" t="str">
        <f>IFERROR(__xludf.DUMMYFUNCTION("""COMPUTED_VALUE"""),"")</f>
        <v/>
      </c>
      <c r="W475" s="1416" t="s">
        <v>455</v>
      </c>
      <c r="X475" s="1417"/>
    </row>
    <row r="476">
      <c r="A476" s="1404"/>
      <c r="B476" s="1424"/>
      <c r="C476" s="1473"/>
      <c r="D476" s="1476"/>
      <c r="E476" s="1477"/>
      <c r="F476" s="1424"/>
      <c r="G476" s="1424"/>
      <c r="H476" s="1424"/>
      <c r="I476" s="1424"/>
      <c r="J476" s="1423"/>
      <c r="K476" s="1429"/>
      <c r="L476" s="1429"/>
      <c r="M476" s="1429"/>
      <c r="N476" s="1417"/>
      <c r="O476" s="1417"/>
      <c r="P476" s="1417"/>
      <c r="Q476" s="1417"/>
      <c r="R476" s="1417"/>
      <c r="S476" s="1443"/>
      <c r="T476" s="1417" t="s">
        <v>455</v>
      </c>
      <c r="U476" s="1417" t="s">
        <v>455</v>
      </c>
      <c r="V476" s="1417" t="str">
        <f>IFERROR(__xludf.DUMMYFUNCTION("""COMPUTED_VALUE"""),"")</f>
        <v/>
      </c>
      <c r="W476" s="1416" t="s">
        <v>455</v>
      </c>
      <c r="X476" s="1417"/>
    </row>
    <row r="477">
      <c r="A477" s="1404"/>
      <c r="B477" s="1424"/>
      <c r="C477" s="1473"/>
      <c r="D477" s="1476"/>
      <c r="E477" s="1477"/>
      <c r="F477" s="1424"/>
      <c r="G477" s="1424"/>
      <c r="H477" s="1424"/>
      <c r="I477" s="1424"/>
      <c r="J477" s="1423"/>
      <c r="K477" s="1429"/>
      <c r="L477" s="1429"/>
      <c r="M477" s="1429"/>
      <c r="N477" s="1417"/>
      <c r="O477" s="1417"/>
      <c r="P477" s="1417"/>
      <c r="Q477" s="1417"/>
      <c r="R477" s="1417"/>
      <c r="S477" s="1443"/>
      <c r="T477" s="1417" t="s">
        <v>455</v>
      </c>
      <c r="U477" s="1417" t="s">
        <v>455</v>
      </c>
      <c r="V477" s="1417" t="str">
        <f>IFERROR(__xludf.DUMMYFUNCTION("""COMPUTED_VALUE"""),"")</f>
        <v/>
      </c>
      <c r="W477" s="1416" t="s">
        <v>455</v>
      </c>
      <c r="X477" s="1417"/>
    </row>
    <row r="478">
      <c r="A478" s="1404"/>
      <c r="B478" s="1424"/>
      <c r="C478" s="1473"/>
      <c r="D478" s="1476"/>
      <c r="E478" s="1477"/>
      <c r="F478" s="1424"/>
      <c r="G478" s="1424"/>
      <c r="H478" s="1424"/>
      <c r="I478" s="1424"/>
      <c r="J478" s="1423"/>
      <c r="K478" s="1429"/>
      <c r="L478" s="1429"/>
      <c r="M478" s="1429"/>
      <c r="N478" s="1417"/>
      <c r="O478" s="1417"/>
      <c r="P478" s="1417"/>
      <c r="Q478" s="1417"/>
      <c r="R478" s="1417"/>
      <c r="S478" s="1443"/>
      <c r="T478" s="1417" t="s">
        <v>455</v>
      </c>
      <c r="U478" s="1417" t="s">
        <v>455</v>
      </c>
      <c r="V478" s="1417" t="str">
        <f>IFERROR(__xludf.DUMMYFUNCTION("""COMPUTED_VALUE"""),"")</f>
        <v/>
      </c>
      <c r="W478" s="1416" t="s">
        <v>455</v>
      </c>
      <c r="X478" s="1417"/>
    </row>
    <row r="479">
      <c r="A479" s="1404"/>
      <c r="B479" s="1424"/>
      <c r="C479" s="1473"/>
      <c r="D479" s="1476"/>
      <c r="E479" s="1477"/>
      <c r="F479" s="1424"/>
      <c r="G479" s="1424"/>
      <c r="H479" s="1424"/>
      <c r="I479" s="1424"/>
      <c r="J479" s="1423"/>
      <c r="K479" s="1429"/>
      <c r="L479" s="1429"/>
      <c r="M479" s="1429"/>
      <c r="N479" s="1417"/>
      <c r="O479" s="1417"/>
      <c r="P479" s="1417"/>
      <c r="Q479" s="1417"/>
      <c r="R479" s="1417"/>
      <c r="S479" s="1443"/>
      <c r="T479" s="1417" t="s">
        <v>455</v>
      </c>
      <c r="U479" s="1417" t="s">
        <v>455</v>
      </c>
      <c r="V479" s="1417" t="str">
        <f>IFERROR(__xludf.DUMMYFUNCTION("""COMPUTED_VALUE"""),"")</f>
        <v/>
      </c>
      <c r="W479" s="1416" t="s">
        <v>455</v>
      </c>
      <c r="X479" s="1417"/>
    </row>
    <row r="480">
      <c r="A480" s="1404"/>
      <c r="B480" s="1424"/>
      <c r="C480" s="1473"/>
      <c r="D480" s="1476"/>
      <c r="E480" s="1477"/>
      <c r="F480" s="1424"/>
      <c r="G480" s="1424"/>
      <c r="H480" s="1424"/>
      <c r="I480" s="1424"/>
      <c r="J480" s="1423"/>
      <c r="K480" s="1429"/>
      <c r="L480" s="1429"/>
      <c r="M480" s="1429"/>
      <c r="N480" s="1417"/>
      <c r="O480" s="1417"/>
      <c r="P480" s="1417"/>
      <c r="Q480" s="1417"/>
      <c r="R480" s="1417"/>
      <c r="S480" s="1443"/>
      <c r="T480" s="1417" t="s">
        <v>455</v>
      </c>
      <c r="U480" s="1417" t="s">
        <v>455</v>
      </c>
      <c r="V480" s="1417" t="str">
        <f>IFERROR(__xludf.DUMMYFUNCTION("""COMPUTED_VALUE"""),"")</f>
        <v/>
      </c>
      <c r="W480" s="1416" t="s">
        <v>455</v>
      </c>
      <c r="X480" s="1417"/>
    </row>
    <row r="481">
      <c r="A481" s="1404"/>
      <c r="B481" s="1424"/>
      <c r="C481" s="1473"/>
      <c r="D481" s="1476"/>
      <c r="E481" s="1477"/>
      <c r="F481" s="1424"/>
      <c r="G481" s="1424"/>
      <c r="H481" s="1424"/>
      <c r="I481" s="1424"/>
      <c r="J481" s="1423"/>
      <c r="K481" s="1429"/>
      <c r="L481" s="1429"/>
      <c r="M481" s="1429"/>
      <c r="N481" s="1417"/>
      <c r="O481" s="1417"/>
      <c r="P481" s="1417"/>
      <c r="Q481" s="1417"/>
      <c r="R481" s="1417"/>
      <c r="S481" s="1443"/>
      <c r="T481" s="1417" t="s">
        <v>455</v>
      </c>
      <c r="U481" s="1417" t="s">
        <v>455</v>
      </c>
      <c r="V481" s="1417" t="str">
        <f>IFERROR(__xludf.DUMMYFUNCTION("""COMPUTED_VALUE"""),"")</f>
        <v/>
      </c>
      <c r="W481" s="1416" t="s">
        <v>455</v>
      </c>
      <c r="X481" s="1417"/>
    </row>
    <row r="482">
      <c r="A482" s="1404"/>
      <c r="B482" s="1424"/>
      <c r="C482" s="1473"/>
      <c r="D482" s="1476"/>
      <c r="E482" s="1477"/>
      <c r="F482" s="1424"/>
      <c r="G482" s="1424"/>
      <c r="H482" s="1424"/>
      <c r="I482" s="1424"/>
      <c r="J482" s="1423"/>
      <c r="K482" s="1429"/>
      <c r="L482" s="1429"/>
      <c r="M482" s="1429"/>
      <c r="N482" s="1417"/>
      <c r="O482" s="1417"/>
      <c r="P482" s="1417"/>
      <c r="Q482" s="1417"/>
      <c r="R482" s="1417"/>
      <c r="S482" s="1443"/>
      <c r="T482" s="1417" t="s">
        <v>455</v>
      </c>
      <c r="U482" s="1417" t="s">
        <v>455</v>
      </c>
      <c r="V482" s="1417" t="str">
        <f>IFERROR(__xludf.DUMMYFUNCTION("""COMPUTED_VALUE"""),"")</f>
        <v/>
      </c>
      <c r="W482" s="1416" t="s">
        <v>455</v>
      </c>
      <c r="X482" s="1417"/>
    </row>
    <row r="483">
      <c r="A483" s="1404"/>
      <c r="B483" s="1424"/>
      <c r="C483" s="1473"/>
      <c r="D483" s="1476"/>
      <c r="E483" s="1477"/>
      <c r="F483" s="1424"/>
      <c r="G483" s="1424"/>
      <c r="H483" s="1424"/>
      <c r="I483" s="1424"/>
      <c r="J483" s="1423"/>
      <c r="K483" s="1429"/>
      <c r="L483" s="1429"/>
      <c r="M483" s="1429"/>
      <c r="N483" s="1417"/>
      <c r="O483" s="1417"/>
      <c r="P483" s="1417"/>
      <c r="Q483" s="1417"/>
      <c r="R483" s="1417"/>
      <c r="S483" s="1443"/>
      <c r="T483" s="1417" t="s">
        <v>455</v>
      </c>
      <c r="U483" s="1417" t="s">
        <v>455</v>
      </c>
      <c r="V483" s="1417" t="str">
        <f>IFERROR(__xludf.DUMMYFUNCTION("""COMPUTED_VALUE"""),"")</f>
        <v/>
      </c>
      <c r="W483" s="1416" t="s">
        <v>455</v>
      </c>
      <c r="X483" s="1417"/>
    </row>
    <row r="484">
      <c r="A484" s="1404"/>
      <c r="B484" s="1424"/>
      <c r="C484" s="1473"/>
      <c r="D484" s="1476"/>
      <c r="E484" s="1477"/>
      <c r="F484" s="1424"/>
      <c r="G484" s="1424"/>
      <c r="H484" s="1424"/>
      <c r="I484" s="1424"/>
      <c r="J484" s="1423"/>
      <c r="K484" s="1429"/>
      <c r="L484" s="1429"/>
      <c r="M484" s="1429"/>
      <c r="N484" s="1417"/>
      <c r="O484" s="1417"/>
      <c r="P484" s="1417"/>
      <c r="Q484" s="1417"/>
      <c r="R484" s="1417"/>
      <c r="S484" s="1443"/>
      <c r="T484" s="1417" t="s">
        <v>455</v>
      </c>
      <c r="U484" s="1417" t="s">
        <v>455</v>
      </c>
      <c r="V484" s="1417" t="str">
        <f>IFERROR(__xludf.DUMMYFUNCTION("""COMPUTED_VALUE"""),"")</f>
        <v/>
      </c>
      <c r="W484" s="1416" t="s">
        <v>455</v>
      </c>
      <c r="X484" s="1417"/>
    </row>
    <row r="485">
      <c r="A485" s="1404"/>
      <c r="B485" s="1424"/>
      <c r="C485" s="1473"/>
      <c r="D485" s="1476"/>
      <c r="E485" s="1477"/>
      <c r="F485" s="1424"/>
      <c r="G485" s="1424"/>
      <c r="H485" s="1424"/>
      <c r="I485" s="1424"/>
      <c r="J485" s="1423"/>
      <c r="K485" s="1429"/>
      <c r="L485" s="1429"/>
      <c r="M485" s="1429"/>
      <c r="N485" s="1417"/>
      <c r="O485" s="1417"/>
      <c r="P485" s="1417"/>
      <c r="Q485" s="1417"/>
      <c r="R485" s="1417"/>
      <c r="S485" s="1443"/>
      <c r="T485" s="1417" t="s">
        <v>455</v>
      </c>
      <c r="U485" s="1417" t="s">
        <v>455</v>
      </c>
      <c r="V485" s="1417" t="str">
        <f>IFERROR(__xludf.DUMMYFUNCTION("""COMPUTED_VALUE"""),"")</f>
        <v/>
      </c>
      <c r="W485" s="1416" t="s">
        <v>455</v>
      </c>
      <c r="X485" s="1417"/>
    </row>
    <row r="486">
      <c r="A486" s="1404"/>
      <c r="B486" s="1424"/>
      <c r="C486" s="1473"/>
      <c r="D486" s="1476"/>
      <c r="E486" s="1477"/>
      <c r="F486" s="1424"/>
      <c r="G486" s="1424"/>
      <c r="H486" s="1424"/>
      <c r="I486" s="1424"/>
      <c r="J486" s="1423"/>
      <c r="K486" s="1429"/>
      <c r="L486" s="1429"/>
      <c r="M486" s="1429"/>
      <c r="N486" s="1417"/>
      <c r="O486" s="1417"/>
      <c r="P486" s="1417"/>
      <c r="Q486" s="1417"/>
      <c r="R486" s="1417"/>
      <c r="S486" s="1443"/>
      <c r="T486" s="1417" t="s">
        <v>455</v>
      </c>
      <c r="U486" s="1417" t="s">
        <v>455</v>
      </c>
      <c r="V486" s="1417" t="str">
        <f>IFERROR(__xludf.DUMMYFUNCTION("""COMPUTED_VALUE"""),"")</f>
        <v/>
      </c>
      <c r="W486" s="1416" t="s">
        <v>455</v>
      </c>
      <c r="X486" s="1417"/>
    </row>
    <row r="487">
      <c r="A487" s="1404"/>
      <c r="B487" s="1424"/>
      <c r="C487" s="1473"/>
      <c r="D487" s="1476"/>
      <c r="E487" s="1477"/>
      <c r="F487" s="1424"/>
      <c r="G487" s="1424"/>
      <c r="H487" s="1424"/>
      <c r="I487" s="1424"/>
      <c r="J487" s="1423"/>
      <c r="K487" s="1429"/>
      <c r="L487" s="1429"/>
      <c r="M487" s="1429"/>
      <c r="N487" s="1417"/>
      <c r="O487" s="1417"/>
      <c r="P487" s="1417"/>
      <c r="Q487" s="1417"/>
      <c r="R487" s="1417"/>
      <c r="S487" s="1443"/>
      <c r="T487" s="1417" t="s">
        <v>455</v>
      </c>
      <c r="U487" s="1417" t="s">
        <v>455</v>
      </c>
      <c r="V487" s="1417" t="str">
        <f>IFERROR(__xludf.DUMMYFUNCTION("""COMPUTED_VALUE"""),"")</f>
        <v/>
      </c>
      <c r="W487" s="1416" t="s">
        <v>455</v>
      </c>
      <c r="X487" s="1417"/>
    </row>
    <row r="488">
      <c r="A488" s="1404"/>
      <c r="B488" s="1424"/>
      <c r="C488" s="1473"/>
      <c r="D488" s="1476"/>
      <c r="E488" s="1477"/>
      <c r="F488" s="1424"/>
      <c r="G488" s="1424"/>
      <c r="H488" s="1424"/>
      <c r="I488" s="1424"/>
      <c r="J488" s="1423"/>
      <c r="K488" s="1429"/>
      <c r="L488" s="1429"/>
      <c r="M488" s="1429"/>
      <c r="N488" s="1417"/>
      <c r="O488" s="1417"/>
      <c r="P488" s="1417"/>
      <c r="Q488" s="1417"/>
      <c r="R488" s="1417"/>
      <c r="S488" s="1443"/>
      <c r="T488" s="1417" t="s">
        <v>455</v>
      </c>
      <c r="U488" s="1417" t="s">
        <v>455</v>
      </c>
      <c r="V488" s="1417" t="str">
        <f>IFERROR(__xludf.DUMMYFUNCTION("""COMPUTED_VALUE"""),"")</f>
        <v/>
      </c>
      <c r="W488" s="1416" t="s">
        <v>455</v>
      </c>
      <c r="X488" s="1417"/>
    </row>
    <row r="489">
      <c r="A489" s="1404"/>
      <c r="B489" s="1424"/>
      <c r="C489" s="1473"/>
      <c r="D489" s="1476"/>
      <c r="E489" s="1477"/>
      <c r="F489" s="1424"/>
      <c r="G489" s="1424"/>
      <c r="H489" s="1424"/>
      <c r="I489" s="1424"/>
      <c r="J489" s="1423"/>
      <c r="K489" s="1429"/>
      <c r="L489" s="1429"/>
      <c r="M489" s="1429"/>
      <c r="N489" s="1417"/>
      <c r="O489" s="1417"/>
      <c r="P489" s="1417"/>
      <c r="Q489" s="1417"/>
      <c r="R489" s="1417"/>
      <c r="S489" s="1443"/>
      <c r="T489" s="1417" t="s">
        <v>455</v>
      </c>
      <c r="U489" s="1417" t="s">
        <v>455</v>
      </c>
      <c r="V489" s="1417" t="str">
        <f>IFERROR(__xludf.DUMMYFUNCTION("""COMPUTED_VALUE"""),"")</f>
        <v/>
      </c>
      <c r="W489" s="1416" t="s">
        <v>455</v>
      </c>
      <c r="X489" s="1417"/>
    </row>
    <row r="490">
      <c r="A490" s="1404"/>
      <c r="B490" s="1424"/>
      <c r="C490" s="1473"/>
      <c r="D490" s="1476"/>
      <c r="E490" s="1477"/>
      <c r="F490" s="1424"/>
      <c r="G490" s="1424"/>
      <c r="H490" s="1424"/>
      <c r="I490" s="1424"/>
      <c r="J490" s="1423"/>
      <c r="K490" s="1429"/>
      <c r="L490" s="1429"/>
      <c r="M490" s="1429"/>
      <c r="N490" s="1417"/>
      <c r="O490" s="1417"/>
      <c r="P490" s="1417"/>
      <c r="Q490" s="1417"/>
      <c r="R490" s="1417"/>
      <c r="S490" s="1443"/>
      <c r="T490" s="1417" t="s">
        <v>455</v>
      </c>
      <c r="U490" s="1417" t="s">
        <v>455</v>
      </c>
      <c r="V490" s="1417" t="str">
        <f>IFERROR(__xludf.DUMMYFUNCTION("""COMPUTED_VALUE"""),"")</f>
        <v/>
      </c>
      <c r="W490" s="1416" t="s">
        <v>455</v>
      </c>
      <c r="X490" s="1417"/>
    </row>
    <row r="491">
      <c r="A491" s="1404"/>
      <c r="B491" s="1424"/>
      <c r="C491" s="1473"/>
      <c r="D491" s="1476"/>
      <c r="E491" s="1477"/>
      <c r="F491" s="1424"/>
      <c r="G491" s="1424"/>
      <c r="H491" s="1424"/>
      <c r="I491" s="1424"/>
      <c r="J491" s="1423"/>
      <c r="K491" s="1429"/>
      <c r="L491" s="1429"/>
      <c r="M491" s="1429"/>
      <c r="N491" s="1417"/>
      <c r="O491" s="1417"/>
      <c r="P491" s="1417"/>
      <c r="Q491" s="1417"/>
      <c r="R491" s="1417"/>
      <c r="S491" s="1443"/>
      <c r="T491" s="1417" t="s">
        <v>455</v>
      </c>
      <c r="U491" s="1417" t="s">
        <v>455</v>
      </c>
      <c r="V491" s="1417" t="str">
        <f>IFERROR(__xludf.DUMMYFUNCTION("""COMPUTED_VALUE"""),"")</f>
        <v/>
      </c>
      <c r="W491" s="1416" t="s">
        <v>455</v>
      </c>
      <c r="X491" s="1417"/>
    </row>
    <row r="492">
      <c r="A492" s="1404"/>
      <c r="B492" s="1424"/>
      <c r="C492" s="1473"/>
      <c r="D492" s="1476"/>
      <c r="E492" s="1477"/>
      <c r="F492" s="1424"/>
      <c r="G492" s="1424"/>
      <c r="H492" s="1424"/>
      <c r="I492" s="1424"/>
      <c r="J492" s="1423"/>
      <c r="K492" s="1429"/>
      <c r="L492" s="1429"/>
      <c r="M492" s="1429"/>
      <c r="N492" s="1417"/>
      <c r="O492" s="1417"/>
      <c r="P492" s="1417"/>
      <c r="Q492" s="1417"/>
      <c r="R492" s="1417"/>
      <c r="S492" s="1443"/>
      <c r="T492" s="1417" t="s">
        <v>455</v>
      </c>
      <c r="U492" s="1417" t="s">
        <v>455</v>
      </c>
      <c r="V492" s="1417" t="str">
        <f>IFERROR(__xludf.DUMMYFUNCTION("""COMPUTED_VALUE"""),"")</f>
        <v/>
      </c>
      <c r="W492" s="1416" t="s">
        <v>455</v>
      </c>
      <c r="X492" s="1417"/>
    </row>
    <row r="493">
      <c r="A493" s="1404"/>
      <c r="B493" s="1424"/>
      <c r="C493" s="1473"/>
      <c r="D493" s="1476"/>
      <c r="E493" s="1477"/>
      <c r="F493" s="1424"/>
      <c r="G493" s="1424"/>
      <c r="H493" s="1424"/>
      <c r="I493" s="1424"/>
      <c r="J493" s="1423"/>
      <c r="K493" s="1429"/>
      <c r="L493" s="1429"/>
      <c r="M493" s="1429"/>
      <c r="N493" s="1417"/>
      <c r="O493" s="1417"/>
      <c r="P493" s="1417"/>
      <c r="Q493" s="1417"/>
      <c r="R493" s="1417"/>
      <c r="S493" s="1443"/>
      <c r="T493" s="1417" t="s">
        <v>455</v>
      </c>
      <c r="U493" s="1417" t="s">
        <v>455</v>
      </c>
      <c r="V493" s="1417" t="str">
        <f>IFERROR(__xludf.DUMMYFUNCTION("""COMPUTED_VALUE"""),"")</f>
        <v/>
      </c>
      <c r="W493" s="1416" t="s">
        <v>455</v>
      </c>
      <c r="X493" s="1417"/>
    </row>
    <row r="494">
      <c r="A494" s="1404"/>
      <c r="B494" s="1424"/>
      <c r="C494" s="1473"/>
      <c r="D494" s="1476"/>
      <c r="E494" s="1477"/>
      <c r="F494" s="1424"/>
      <c r="G494" s="1424"/>
      <c r="H494" s="1424"/>
      <c r="I494" s="1424"/>
      <c r="J494" s="1423"/>
      <c r="K494" s="1429"/>
      <c r="L494" s="1429"/>
      <c r="M494" s="1429"/>
      <c r="N494" s="1417"/>
      <c r="O494" s="1417"/>
      <c r="P494" s="1417"/>
      <c r="Q494" s="1417"/>
      <c r="R494" s="1417"/>
      <c r="S494" s="1443"/>
      <c r="T494" s="1417" t="s">
        <v>455</v>
      </c>
      <c r="U494" s="1417" t="s">
        <v>455</v>
      </c>
      <c r="V494" s="1417" t="str">
        <f>IFERROR(__xludf.DUMMYFUNCTION("""COMPUTED_VALUE"""),"")</f>
        <v/>
      </c>
      <c r="W494" s="1416" t="s">
        <v>455</v>
      </c>
      <c r="X494" s="1417"/>
    </row>
    <row r="495">
      <c r="A495" s="1404"/>
      <c r="B495" s="1424"/>
      <c r="C495" s="1473"/>
      <c r="D495" s="1476"/>
      <c r="E495" s="1477"/>
      <c r="F495" s="1424"/>
      <c r="G495" s="1424"/>
      <c r="H495" s="1424"/>
      <c r="I495" s="1424"/>
      <c r="J495" s="1423"/>
      <c r="K495" s="1429"/>
      <c r="L495" s="1429"/>
      <c r="M495" s="1429"/>
      <c r="N495" s="1417"/>
      <c r="O495" s="1417"/>
      <c r="P495" s="1417"/>
      <c r="Q495" s="1417"/>
      <c r="R495" s="1417"/>
      <c r="S495" s="1443"/>
      <c r="T495" s="1417" t="s">
        <v>455</v>
      </c>
      <c r="U495" s="1417" t="s">
        <v>455</v>
      </c>
      <c r="V495" s="1417" t="str">
        <f>IFERROR(__xludf.DUMMYFUNCTION("""COMPUTED_VALUE"""),"")</f>
        <v/>
      </c>
      <c r="W495" s="1416" t="s">
        <v>455</v>
      </c>
      <c r="X495" s="1417"/>
    </row>
    <row r="496">
      <c r="A496" s="1404"/>
      <c r="B496" s="1424"/>
      <c r="C496" s="1473"/>
      <c r="D496" s="1476"/>
      <c r="E496" s="1477"/>
      <c r="F496" s="1424"/>
      <c r="G496" s="1424"/>
      <c r="H496" s="1424"/>
      <c r="I496" s="1424"/>
      <c r="J496" s="1423"/>
      <c r="K496" s="1429"/>
      <c r="L496" s="1429"/>
      <c r="M496" s="1429"/>
      <c r="N496" s="1417"/>
      <c r="O496" s="1417"/>
      <c r="P496" s="1417"/>
      <c r="Q496" s="1417"/>
      <c r="R496" s="1417"/>
      <c r="S496" s="1443"/>
      <c r="T496" s="1417" t="s">
        <v>455</v>
      </c>
      <c r="U496" s="1417" t="s">
        <v>455</v>
      </c>
      <c r="V496" s="1417" t="str">
        <f>IFERROR(__xludf.DUMMYFUNCTION("""COMPUTED_VALUE"""),"")</f>
        <v/>
      </c>
      <c r="W496" s="1416" t="s">
        <v>455</v>
      </c>
      <c r="X496" s="1417"/>
    </row>
    <row r="497">
      <c r="A497" s="1404"/>
      <c r="B497" s="1424"/>
      <c r="C497" s="1473"/>
      <c r="D497" s="1476"/>
      <c r="E497" s="1477"/>
      <c r="F497" s="1424"/>
      <c r="G497" s="1424"/>
      <c r="H497" s="1424"/>
      <c r="I497" s="1424"/>
      <c r="J497" s="1423"/>
      <c r="K497" s="1429"/>
      <c r="L497" s="1429"/>
      <c r="M497" s="1429"/>
      <c r="N497" s="1417"/>
      <c r="O497" s="1417"/>
      <c r="P497" s="1417"/>
      <c r="Q497" s="1417"/>
      <c r="R497" s="1417"/>
      <c r="S497" s="1443"/>
      <c r="T497" s="1417" t="s">
        <v>455</v>
      </c>
      <c r="U497" s="1417" t="s">
        <v>455</v>
      </c>
      <c r="V497" s="1417" t="str">
        <f>IFERROR(__xludf.DUMMYFUNCTION("""COMPUTED_VALUE"""),"")</f>
        <v/>
      </c>
      <c r="W497" s="1416" t="s">
        <v>455</v>
      </c>
      <c r="X497" s="1417"/>
    </row>
    <row r="498">
      <c r="A498" s="1404"/>
      <c r="B498" s="1424"/>
      <c r="C498" s="1473"/>
      <c r="D498" s="1476"/>
      <c r="E498" s="1477"/>
      <c r="F498" s="1424"/>
      <c r="G498" s="1424"/>
      <c r="H498" s="1424"/>
      <c r="I498" s="1424"/>
      <c r="J498" s="1423"/>
      <c r="K498" s="1429"/>
      <c r="L498" s="1429"/>
      <c r="M498" s="1429"/>
      <c r="N498" s="1417"/>
      <c r="O498" s="1417"/>
      <c r="P498" s="1417"/>
      <c r="Q498" s="1417"/>
      <c r="R498" s="1417"/>
      <c r="S498" s="1443"/>
      <c r="T498" s="1417" t="s">
        <v>455</v>
      </c>
      <c r="U498" s="1417" t="s">
        <v>455</v>
      </c>
      <c r="V498" s="1417" t="str">
        <f>IFERROR(__xludf.DUMMYFUNCTION("""COMPUTED_VALUE"""),"")</f>
        <v/>
      </c>
      <c r="W498" s="1416" t="s">
        <v>455</v>
      </c>
      <c r="X498" s="1417"/>
    </row>
    <row r="499">
      <c r="A499" s="1404"/>
      <c r="B499" s="1424"/>
      <c r="C499" s="1473"/>
      <c r="D499" s="1476"/>
      <c r="E499" s="1477"/>
      <c r="F499" s="1424"/>
      <c r="G499" s="1424"/>
      <c r="H499" s="1424"/>
      <c r="I499" s="1424"/>
      <c r="J499" s="1423"/>
      <c r="K499" s="1429"/>
      <c r="L499" s="1429"/>
      <c r="M499" s="1429"/>
      <c r="N499" s="1417"/>
      <c r="O499" s="1417"/>
      <c r="P499" s="1417"/>
      <c r="Q499" s="1417"/>
      <c r="R499" s="1417"/>
      <c r="S499" s="1443"/>
      <c r="T499" s="1417" t="s">
        <v>455</v>
      </c>
      <c r="U499" s="1417" t="s">
        <v>455</v>
      </c>
      <c r="V499" s="1417" t="str">
        <f>IFERROR(__xludf.DUMMYFUNCTION("""COMPUTED_VALUE"""),"")</f>
        <v/>
      </c>
      <c r="W499" s="1416" t="s">
        <v>455</v>
      </c>
      <c r="X499" s="1417"/>
    </row>
    <row r="500">
      <c r="A500" s="1404"/>
      <c r="B500" s="1424"/>
      <c r="C500" s="1473"/>
      <c r="D500" s="1476"/>
      <c r="E500" s="1477"/>
      <c r="F500" s="1424"/>
      <c r="G500" s="1424"/>
      <c r="H500" s="1424"/>
      <c r="I500" s="1424"/>
      <c r="J500" s="1423"/>
      <c r="K500" s="1429"/>
      <c r="L500" s="1429"/>
      <c r="M500" s="1429"/>
      <c r="N500" s="1417"/>
      <c r="O500" s="1417"/>
      <c r="P500" s="1417"/>
      <c r="Q500" s="1417"/>
      <c r="R500" s="1417"/>
      <c r="S500" s="1443"/>
      <c r="T500" s="1417" t="s">
        <v>455</v>
      </c>
      <c r="U500" s="1417" t="s">
        <v>455</v>
      </c>
      <c r="V500" s="1417" t="str">
        <f>IFERROR(__xludf.DUMMYFUNCTION("""COMPUTED_VALUE"""),"")</f>
        <v/>
      </c>
      <c r="W500" s="1416" t="s">
        <v>455</v>
      </c>
      <c r="X500" s="1417"/>
    </row>
    <row r="501">
      <c r="A501" s="1404"/>
      <c r="B501" s="1424"/>
      <c r="C501" s="1473"/>
      <c r="D501" s="1476"/>
      <c r="E501" s="1477"/>
      <c r="F501" s="1424"/>
      <c r="G501" s="1424"/>
      <c r="H501" s="1424"/>
      <c r="I501" s="1424"/>
      <c r="J501" s="1423"/>
      <c r="K501" s="1429"/>
      <c r="L501" s="1429"/>
      <c r="M501" s="1429"/>
      <c r="N501" s="1417"/>
      <c r="O501" s="1417"/>
      <c r="P501" s="1417"/>
      <c r="Q501" s="1417"/>
      <c r="R501" s="1417"/>
      <c r="S501" s="1443"/>
      <c r="T501" s="1417" t="s">
        <v>455</v>
      </c>
      <c r="U501" s="1417" t="s">
        <v>455</v>
      </c>
      <c r="V501" s="1417" t="str">
        <f>IFERROR(__xludf.DUMMYFUNCTION("""COMPUTED_VALUE"""),"")</f>
        <v/>
      </c>
      <c r="W501" s="1416" t="s">
        <v>455</v>
      </c>
      <c r="X501" s="1417"/>
    </row>
    <row r="502">
      <c r="A502" s="1404"/>
      <c r="B502" s="1424"/>
      <c r="C502" s="1473"/>
      <c r="D502" s="1476"/>
      <c r="E502" s="1477"/>
      <c r="F502" s="1424"/>
      <c r="G502" s="1424"/>
      <c r="H502" s="1424"/>
      <c r="I502" s="1424"/>
      <c r="J502" s="1423"/>
      <c r="K502" s="1429"/>
      <c r="L502" s="1429"/>
      <c r="M502" s="1429"/>
      <c r="N502" s="1417"/>
      <c r="O502" s="1417"/>
      <c r="P502" s="1417"/>
      <c r="Q502" s="1417"/>
      <c r="R502" s="1417"/>
      <c r="S502" s="1443"/>
      <c r="T502" s="1417" t="s">
        <v>455</v>
      </c>
      <c r="U502" s="1417" t="s">
        <v>455</v>
      </c>
      <c r="V502" s="1417" t="str">
        <f>IFERROR(__xludf.DUMMYFUNCTION("""COMPUTED_VALUE"""),"")</f>
        <v/>
      </c>
      <c r="W502" s="1416" t="s">
        <v>455</v>
      </c>
      <c r="X502" s="1417"/>
    </row>
    <row r="503">
      <c r="A503" s="1404"/>
      <c r="B503" s="1424"/>
      <c r="C503" s="1473"/>
      <c r="D503" s="1476"/>
      <c r="E503" s="1477"/>
      <c r="F503" s="1424"/>
      <c r="G503" s="1424"/>
      <c r="H503" s="1424"/>
      <c r="I503" s="1424"/>
      <c r="J503" s="1423"/>
      <c r="K503" s="1429"/>
      <c r="L503" s="1429"/>
      <c r="M503" s="1429"/>
      <c r="N503" s="1417"/>
      <c r="O503" s="1417"/>
      <c r="P503" s="1417"/>
      <c r="Q503" s="1417"/>
      <c r="R503" s="1417"/>
      <c r="S503" s="1443"/>
      <c r="T503" s="1417" t="s">
        <v>455</v>
      </c>
      <c r="U503" s="1417" t="s">
        <v>455</v>
      </c>
      <c r="V503" s="1417" t="str">
        <f>IFERROR(__xludf.DUMMYFUNCTION("""COMPUTED_VALUE"""),"")</f>
        <v/>
      </c>
      <c r="W503" s="1416" t="s">
        <v>455</v>
      </c>
      <c r="X503" s="1417"/>
    </row>
    <row r="504">
      <c r="A504" s="1404"/>
      <c r="B504" s="1424"/>
      <c r="C504" s="1473"/>
      <c r="D504" s="1476"/>
      <c r="E504" s="1477"/>
      <c r="F504" s="1424"/>
      <c r="G504" s="1424"/>
      <c r="H504" s="1424"/>
      <c r="I504" s="1424"/>
      <c r="J504" s="1423"/>
      <c r="K504" s="1429"/>
      <c r="L504" s="1429"/>
      <c r="M504" s="1429"/>
      <c r="N504" s="1417"/>
      <c r="O504" s="1417"/>
      <c r="P504" s="1417"/>
      <c r="Q504" s="1417"/>
      <c r="R504" s="1417"/>
      <c r="S504" s="1443"/>
      <c r="T504" s="1417" t="s">
        <v>455</v>
      </c>
      <c r="U504" s="1417" t="s">
        <v>455</v>
      </c>
      <c r="V504" s="1417" t="str">
        <f>IFERROR(__xludf.DUMMYFUNCTION("""COMPUTED_VALUE"""),"")</f>
        <v/>
      </c>
      <c r="W504" s="1416" t="s">
        <v>455</v>
      </c>
      <c r="X504" s="1417"/>
    </row>
    <row r="505">
      <c r="A505" s="1404"/>
      <c r="B505" s="1424"/>
      <c r="C505" s="1473"/>
      <c r="D505" s="1476"/>
      <c r="E505" s="1477"/>
      <c r="F505" s="1424"/>
      <c r="G505" s="1424"/>
      <c r="H505" s="1424"/>
      <c r="I505" s="1424"/>
      <c r="J505" s="1423"/>
      <c r="K505" s="1429"/>
      <c r="L505" s="1429"/>
      <c r="M505" s="1429"/>
      <c r="N505" s="1417"/>
      <c r="O505" s="1417"/>
      <c r="P505" s="1417"/>
      <c r="Q505" s="1417"/>
      <c r="R505" s="1417"/>
      <c r="S505" s="1443"/>
      <c r="T505" s="1417" t="s">
        <v>455</v>
      </c>
      <c r="U505" s="1417" t="s">
        <v>455</v>
      </c>
      <c r="V505" s="1417" t="str">
        <f>IFERROR(__xludf.DUMMYFUNCTION("""COMPUTED_VALUE"""),"")</f>
        <v/>
      </c>
      <c r="W505" s="1416" t="s">
        <v>455</v>
      </c>
      <c r="X505" s="1417"/>
    </row>
    <row r="506">
      <c r="A506" s="1404"/>
      <c r="B506" s="1424"/>
      <c r="C506" s="1473"/>
      <c r="D506" s="1476"/>
      <c r="E506" s="1477"/>
      <c r="F506" s="1424"/>
      <c r="G506" s="1424"/>
      <c r="H506" s="1424"/>
      <c r="I506" s="1424"/>
      <c r="J506" s="1423"/>
      <c r="K506" s="1429"/>
      <c r="L506" s="1429"/>
      <c r="M506" s="1429"/>
      <c r="N506" s="1417"/>
      <c r="O506" s="1417"/>
      <c r="P506" s="1417"/>
      <c r="Q506" s="1417"/>
      <c r="R506" s="1417"/>
      <c r="S506" s="1443"/>
      <c r="T506" s="1417" t="s">
        <v>455</v>
      </c>
      <c r="U506" s="1417" t="s">
        <v>455</v>
      </c>
      <c r="V506" s="1417" t="str">
        <f>IFERROR(__xludf.DUMMYFUNCTION("""COMPUTED_VALUE"""),"")</f>
        <v/>
      </c>
      <c r="W506" s="1416" t="s">
        <v>455</v>
      </c>
      <c r="X506" s="1417"/>
    </row>
    <row r="507">
      <c r="A507" s="1404"/>
      <c r="B507" s="1424"/>
      <c r="C507" s="1473"/>
      <c r="D507" s="1476"/>
      <c r="E507" s="1477"/>
      <c r="F507" s="1424"/>
      <c r="G507" s="1424"/>
      <c r="H507" s="1424"/>
      <c r="I507" s="1424"/>
      <c r="J507" s="1423"/>
      <c r="K507" s="1429"/>
      <c r="L507" s="1429"/>
      <c r="M507" s="1429"/>
      <c r="N507" s="1417"/>
      <c r="O507" s="1417"/>
      <c r="P507" s="1417"/>
      <c r="Q507" s="1417"/>
      <c r="R507" s="1417"/>
      <c r="S507" s="1443"/>
      <c r="T507" s="1417" t="s">
        <v>455</v>
      </c>
      <c r="U507" s="1417" t="s">
        <v>455</v>
      </c>
      <c r="V507" s="1417" t="str">
        <f>IFERROR(__xludf.DUMMYFUNCTION("""COMPUTED_VALUE"""),"")</f>
        <v/>
      </c>
      <c r="W507" s="1416" t="s">
        <v>455</v>
      </c>
      <c r="X507" s="1417"/>
    </row>
    <row r="508">
      <c r="A508" s="1404"/>
      <c r="B508" s="1424"/>
      <c r="C508" s="1473"/>
      <c r="D508" s="1476"/>
      <c r="E508" s="1477"/>
      <c r="F508" s="1424"/>
      <c r="G508" s="1424"/>
      <c r="H508" s="1424"/>
      <c r="I508" s="1424"/>
      <c r="J508" s="1423"/>
      <c r="K508" s="1429"/>
      <c r="L508" s="1429"/>
      <c r="M508" s="1429"/>
      <c r="N508" s="1417"/>
      <c r="O508" s="1417"/>
      <c r="P508" s="1417"/>
      <c r="Q508" s="1417"/>
      <c r="R508" s="1417"/>
      <c r="S508" s="1443"/>
      <c r="T508" s="1417" t="s">
        <v>455</v>
      </c>
      <c r="U508" s="1417" t="s">
        <v>455</v>
      </c>
      <c r="V508" s="1417" t="str">
        <f>IFERROR(__xludf.DUMMYFUNCTION("""COMPUTED_VALUE"""),"")</f>
        <v/>
      </c>
      <c r="W508" s="1416" t="s">
        <v>455</v>
      </c>
      <c r="X508" s="1417"/>
    </row>
    <row r="509">
      <c r="A509" s="1404"/>
      <c r="B509" s="1424"/>
      <c r="C509" s="1473"/>
      <c r="D509" s="1476"/>
      <c r="E509" s="1477"/>
      <c r="F509" s="1424"/>
      <c r="G509" s="1424"/>
      <c r="H509" s="1424"/>
      <c r="I509" s="1424"/>
      <c r="J509" s="1423"/>
      <c r="K509" s="1429"/>
      <c r="L509" s="1429"/>
      <c r="M509" s="1429"/>
      <c r="N509" s="1417"/>
      <c r="O509" s="1417"/>
      <c r="P509" s="1417"/>
      <c r="Q509" s="1417"/>
      <c r="R509" s="1417"/>
      <c r="S509" s="1443"/>
      <c r="T509" s="1417" t="s">
        <v>455</v>
      </c>
      <c r="U509" s="1417" t="s">
        <v>455</v>
      </c>
      <c r="V509" s="1417" t="str">
        <f>IFERROR(__xludf.DUMMYFUNCTION("""COMPUTED_VALUE"""),"")</f>
        <v/>
      </c>
      <c r="W509" s="1416" t="s">
        <v>455</v>
      </c>
      <c r="X509" s="1417"/>
    </row>
    <row r="510">
      <c r="A510" s="1404"/>
      <c r="B510" s="1424"/>
      <c r="C510" s="1473"/>
      <c r="D510" s="1476"/>
      <c r="E510" s="1477"/>
      <c r="F510" s="1424"/>
      <c r="G510" s="1424"/>
      <c r="H510" s="1424"/>
      <c r="I510" s="1424"/>
      <c r="J510" s="1423"/>
      <c r="K510" s="1429"/>
      <c r="L510" s="1429"/>
      <c r="M510" s="1429"/>
      <c r="N510" s="1417"/>
      <c r="O510" s="1417"/>
      <c r="P510" s="1417"/>
      <c r="Q510" s="1417"/>
      <c r="R510" s="1417"/>
      <c r="S510" s="1443"/>
      <c r="T510" s="1417" t="s">
        <v>455</v>
      </c>
      <c r="U510" s="1417" t="s">
        <v>455</v>
      </c>
      <c r="V510" s="1417" t="str">
        <f>IFERROR(__xludf.DUMMYFUNCTION("""COMPUTED_VALUE"""),"")</f>
        <v/>
      </c>
      <c r="W510" s="1416" t="s">
        <v>455</v>
      </c>
      <c r="X510" s="1417"/>
    </row>
    <row r="511">
      <c r="A511" s="1404"/>
      <c r="B511" s="1424"/>
      <c r="C511" s="1473"/>
      <c r="D511" s="1476"/>
      <c r="E511" s="1477"/>
      <c r="F511" s="1424"/>
      <c r="G511" s="1424"/>
      <c r="H511" s="1424"/>
      <c r="I511" s="1424"/>
      <c r="J511" s="1423"/>
      <c r="K511" s="1429"/>
      <c r="L511" s="1429"/>
      <c r="M511" s="1429"/>
      <c r="N511" s="1417"/>
      <c r="O511" s="1417"/>
      <c r="P511" s="1417"/>
      <c r="Q511" s="1417"/>
      <c r="R511" s="1417"/>
      <c r="S511" s="1443"/>
      <c r="T511" s="1417" t="s">
        <v>455</v>
      </c>
      <c r="U511" s="1417" t="s">
        <v>455</v>
      </c>
      <c r="V511" s="1417" t="str">
        <f>IFERROR(__xludf.DUMMYFUNCTION("""COMPUTED_VALUE"""),"")</f>
        <v/>
      </c>
      <c r="W511" s="1416" t="s">
        <v>455</v>
      </c>
      <c r="X511" s="1417"/>
    </row>
    <row r="512">
      <c r="A512" s="1404"/>
      <c r="B512" s="1424"/>
      <c r="C512" s="1473"/>
      <c r="D512" s="1476"/>
      <c r="E512" s="1477"/>
      <c r="F512" s="1424"/>
      <c r="G512" s="1424"/>
      <c r="H512" s="1424"/>
      <c r="I512" s="1424"/>
      <c r="J512" s="1423"/>
      <c r="K512" s="1429"/>
      <c r="L512" s="1429"/>
      <c r="M512" s="1429"/>
      <c r="N512" s="1417"/>
      <c r="O512" s="1417"/>
      <c r="P512" s="1417"/>
      <c r="Q512" s="1417"/>
      <c r="R512" s="1417"/>
      <c r="S512" s="1443"/>
      <c r="T512" s="1417" t="s">
        <v>455</v>
      </c>
      <c r="U512" s="1417" t="s">
        <v>455</v>
      </c>
      <c r="V512" s="1417" t="str">
        <f>IFERROR(__xludf.DUMMYFUNCTION("""COMPUTED_VALUE"""),"")</f>
        <v/>
      </c>
      <c r="W512" s="1416" t="s">
        <v>455</v>
      </c>
      <c r="X512" s="1417"/>
    </row>
    <row r="513">
      <c r="A513" s="1404"/>
      <c r="B513" s="1424"/>
      <c r="C513" s="1473"/>
      <c r="D513" s="1476"/>
      <c r="E513" s="1477"/>
      <c r="F513" s="1424"/>
      <c r="G513" s="1424"/>
      <c r="H513" s="1424"/>
      <c r="I513" s="1424"/>
      <c r="J513" s="1423"/>
      <c r="K513" s="1429"/>
      <c r="L513" s="1429"/>
      <c r="M513" s="1429"/>
      <c r="N513" s="1417"/>
      <c r="O513" s="1417"/>
      <c r="P513" s="1417"/>
      <c r="Q513" s="1417"/>
      <c r="R513" s="1417"/>
      <c r="S513" s="1443"/>
      <c r="T513" s="1417" t="s">
        <v>455</v>
      </c>
      <c r="U513" s="1417" t="s">
        <v>455</v>
      </c>
      <c r="V513" s="1417" t="str">
        <f>IFERROR(__xludf.DUMMYFUNCTION("""COMPUTED_VALUE"""),"")</f>
        <v/>
      </c>
      <c r="W513" s="1416" t="s">
        <v>455</v>
      </c>
      <c r="X513" s="1417"/>
    </row>
    <row r="514">
      <c r="A514" s="1404"/>
      <c r="B514" s="1424"/>
      <c r="C514" s="1473"/>
      <c r="D514" s="1476"/>
      <c r="E514" s="1477"/>
      <c r="F514" s="1424"/>
      <c r="G514" s="1424"/>
      <c r="H514" s="1424"/>
      <c r="I514" s="1424"/>
      <c r="J514" s="1423"/>
      <c r="K514" s="1429"/>
      <c r="L514" s="1429"/>
      <c r="M514" s="1429"/>
      <c r="N514" s="1417"/>
      <c r="O514" s="1417"/>
      <c r="P514" s="1417"/>
      <c r="Q514" s="1417"/>
      <c r="R514" s="1417"/>
      <c r="S514" s="1443"/>
      <c r="T514" s="1417" t="s">
        <v>455</v>
      </c>
      <c r="U514" s="1417" t="s">
        <v>455</v>
      </c>
      <c r="V514" s="1417" t="str">
        <f>IFERROR(__xludf.DUMMYFUNCTION("""COMPUTED_VALUE"""),"")</f>
        <v/>
      </c>
      <c r="W514" s="1416" t="s">
        <v>455</v>
      </c>
      <c r="X514" s="1417"/>
    </row>
    <row r="515">
      <c r="A515" s="1404"/>
      <c r="B515" s="1424"/>
      <c r="C515" s="1473"/>
      <c r="D515" s="1476"/>
      <c r="E515" s="1477"/>
      <c r="F515" s="1424"/>
      <c r="G515" s="1424"/>
      <c r="H515" s="1424"/>
      <c r="I515" s="1424"/>
      <c r="J515" s="1423"/>
      <c r="K515" s="1429"/>
      <c r="L515" s="1429"/>
      <c r="M515" s="1429"/>
      <c r="N515" s="1417"/>
      <c r="O515" s="1417"/>
      <c r="P515" s="1417"/>
      <c r="Q515" s="1417"/>
      <c r="R515" s="1417"/>
      <c r="S515" s="1443"/>
      <c r="T515" s="1417" t="s">
        <v>455</v>
      </c>
      <c r="U515" s="1417" t="s">
        <v>455</v>
      </c>
      <c r="V515" s="1417" t="str">
        <f>IFERROR(__xludf.DUMMYFUNCTION("""COMPUTED_VALUE"""),"")</f>
        <v/>
      </c>
      <c r="W515" s="1416" t="s">
        <v>455</v>
      </c>
      <c r="X515" s="1417"/>
    </row>
    <row r="516">
      <c r="A516" s="1404"/>
      <c r="B516" s="1424"/>
      <c r="C516" s="1473"/>
      <c r="D516" s="1476"/>
      <c r="E516" s="1477"/>
      <c r="F516" s="1424"/>
      <c r="G516" s="1424"/>
      <c r="H516" s="1424"/>
      <c r="I516" s="1424"/>
      <c r="J516" s="1423"/>
      <c r="K516" s="1429"/>
      <c r="L516" s="1429"/>
      <c r="M516" s="1429"/>
      <c r="N516" s="1417"/>
      <c r="O516" s="1417"/>
      <c r="P516" s="1417"/>
      <c r="Q516" s="1417"/>
      <c r="R516" s="1417"/>
      <c r="S516" s="1443"/>
      <c r="T516" s="1417" t="s">
        <v>455</v>
      </c>
      <c r="U516" s="1417" t="s">
        <v>455</v>
      </c>
      <c r="V516" s="1417" t="str">
        <f>IFERROR(__xludf.DUMMYFUNCTION("""COMPUTED_VALUE"""),"")</f>
        <v/>
      </c>
      <c r="W516" s="1416" t="s">
        <v>455</v>
      </c>
      <c r="X516" s="1417"/>
    </row>
    <row r="517">
      <c r="A517" s="1404"/>
      <c r="B517" s="1424"/>
      <c r="C517" s="1473"/>
      <c r="D517" s="1476"/>
      <c r="E517" s="1477"/>
      <c r="F517" s="1424"/>
      <c r="G517" s="1424"/>
      <c r="H517" s="1424"/>
      <c r="I517" s="1424"/>
      <c r="J517" s="1423"/>
      <c r="K517" s="1429"/>
      <c r="L517" s="1429"/>
      <c r="M517" s="1429"/>
      <c r="N517" s="1417"/>
      <c r="O517" s="1417"/>
      <c r="P517" s="1417"/>
      <c r="Q517" s="1417"/>
      <c r="R517" s="1417"/>
      <c r="S517" s="1443"/>
      <c r="T517" s="1417" t="s">
        <v>455</v>
      </c>
      <c r="U517" s="1417" t="s">
        <v>455</v>
      </c>
      <c r="V517" s="1417" t="str">
        <f>IFERROR(__xludf.DUMMYFUNCTION("""COMPUTED_VALUE"""),"")</f>
        <v/>
      </c>
      <c r="W517" s="1416" t="s">
        <v>455</v>
      </c>
      <c r="X517" s="1417"/>
    </row>
    <row r="518">
      <c r="A518" s="1404"/>
      <c r="B518" s="1424"/>
      <c r="C518" s="1473"/>
      <c r="D518" s="1476"/>
      <c r="E518" s="1477"/>
      <c r="F518" s="1424"/>
      <c r="G518" s="1424"/>
      <c r="H518" s="1424"/>
      <c r="I518" s="1424"/>
      <c r="J518" s="1423"/>
      <c r="K518" s="1429"/>
      <c r="L518" s="1429"/>
      <c r="M518" s="1429"/>
      <c r="N518" s="1417"/>
      <c r="O518" s="1417"/>
      <c r="P518" s="1417"/>
      <c r="Q518" s="1417"/>
      <c r="R518" s="1417"/>
      <c r="S518" s="1443"/>
      <c r="T518" s="1417" t="s">
        <v>455</v>
      </c>
      <c r="U518" s="1417" t="s">
        <v>455</v>
      </c>
      <c r="V518" s="1417" t="str">
        <f>IFERROR(__xludf.DUMMYFUNCTION("""COMPUTED_VALUE"""),"")</f>
        <v/>
      </c>
      <c r="W518" s="1416" t="s">
        <v>455</v>
      </c>
      <c r="X518" s="1417"/>
    </row>
    <row r="519">
      <c r="A519" s="1404"/>
      <c r="B519" s="1424"/>
      <c r="C519" s="1473"/>
      <c r="D519" s="1476"/>
      <c r="E519" s="1477"/>
      <c r="F519" s="1424"/>
      <c r="G519" s="1424"/>
      <c r="H519" s="1424"/>
      <c r="I519" s="1424"/>
      <c r="J519" s="1423"/>
      <c r="K519" s="1429"/>
      <c r="L519" s="1429"/>
      <c r="M519" s="1429"/>
      <c r="N519" s="1417"/>
      <c r="O519" s="1417"/>
      <c r="P519" s="1417"/>
      <c r="Q519" s="1417"/>
      <c r="R519" s="1417"/>
      <c r="S519" s="1443"/>
      <c r="T519" s="1417" t="s">
        <v>455</v>
      </c>
      <c r="U519" s="1417" t="s">
        <v>455</v>
      </c>
      <c r="V519" s="1417" t="str">
        <f>IFERROR(__xludf.DUMMYFUNCTION("""COMPUTED_VALUE"""),"")</f>
        <v/>
      </c>
      <c r="W519" s="1416" t="s">
        <v>455</v>
      </c>
      <c r="X519" s="1417"/>
    </row>
    <row r="520">
      <c r="A520" s="1404"/>
      <c r="B520" s="1424"/>
      <c r="C520" s="1473"/>
      <c r="D520" s="1476"/>
      <c r="E520" s="1477"/>
      <c r="F520" s="1424"/>
      <c r="G520" s="1424"/>
      <c r="H520" s="1424"/>
      <c r="I520" s="1424"/>
      <c r="J520" s="1423"/>
      <c r="K520" s="1429"/>
      <c r="L520" s="1429"/>
      <c r="M520" s="1429"/>
      <c r="N520" s="1417"/>
      <c r="O520" s="1417"/>
      <c r="P520" s="1417"/>
      <c r="Q520" s="1417"/>
      <c r="R520" s="1417"/>
      <c r="S520" s="1443"/>
      <c r="T520" s="1417" t="s">
        <v>455</v>
      </c>
      <c r="U520" s="1417" t="s">
        <v>455</v>
      </c>
      <c r="V520" s="1417" t="str">
        <f>IFERROR(__xludf.DUMMYFUNCTION("""COMPUTED_VALUE"""),"")</f>
        <v/>
      </c>
      <c r="W520" s="1416" t="s">
        <v>455</v>
      </c>
      <c r="X520" s="1417"/>
    </row>
    <row r="521">
      <c r="A521" s="1404"/>
      <c r="B521" s="1424"/>
      <c r="C521" s="1473"/>
      <c r="D521" s="1476"/>
      <c r="E521" s="1477"/>
      <c r="F521" s="1424"/>
      <c r="G521" s="1424"/>
      <c r="H521" s="1424"/>
      <c r="I521" s="1424"/>
      <c r="J521" s="1423"/>
      <c r="K521" s="1429"/>
      <c r="L521" s="1429"/>
      <c r="M521" s="1429"/>
      <c r="N521" s="1417"/>
      <c r="O521" s="1417"/>
      <c r="P521" s="1417"/>
      <c r="Q521" s="1417"/>
      <c r="R521" s="1417"/>
      <c r="S521" s="1443"/>
      <c r="T521" s="1417" t="s">
        <v>455</v>
      </c>
      <c r="U521" s="1417" t="s">
        <v>455</v>
      </c>
      <c r="V521" s="1417" t="str">
        <f>IFERROR(__xludf.DUMMYFUNCTION("""COMPUTED_VALUE"""),"")</f>
        <v/>
      </c>
      <c r="W521" s="1416" t="s">
        <v>455</v>
      </c>
      <c r="X521" s="1417"/>
    </row>
    <row r="522">
      <c r="A522" s="1404"/>
      <c r="B522" s="1424"/>
      <c r="C522" s="1473"/>
      <c r="D522" s="1476"/>
      <c r="E522" s="1477"/>
      <c r="F522" s="1424"/>
      <c r="G522" s="1424"/>
      <c r="H522" s="1424"/>
      <c r="I522" s="1424"/>
      <c r="J522" s="1423"/>
      <c r="K522" s="1429"/>
      <c r="L522" s="1429"/>
      <c r="M522" s="1429"/>
      <c r="N522" s="1417"/>
      <c r="O522" s="1417"/>
      <c r="P522" s="1417"/>
      <c r="Q522" s="1417"/>
      <c r="R522" s="1417"/>
      <c r="S522" s="1443"/>
      <c r="T522" s="1417" t="s">
        <v>455</v>
      </c>
      <c r="U522" s="1417" t="s">
        <v>455</v>
      </c>
      <c r="V522" s="1417" t="str">
        <f>IFERROR(__xludf.DUMMYFUNCTION("""COMPUTED_VALUE"""),"")</f>
        <v/>
      </c>
      <c r="W522" s="1416" t="s">
        <v>455</v>
      </c>
      <c r="X522" s="1417"/>
    </row>
    <row r="523">
      <c r="A523" s="1404"/>
      <c r="B523" s="1424"/>
      <c r="C523" s="1473"/>
      <c r="D523" s="1476"/>
      <c r="E523" s="1477"/>
      <c r="F523" s="1424"/>
      <c r="G523" s="1424"/>
      <c r="H523" s="1424"/>
      <c r="I523" s="1424"/>
      <c r="J523" s="1423"/>
      <c r="K523" s="1429"/>
      <c r="L523" s="1429"/>
      <c r="M523" s="1429"/>
      <c r="N523" s="1417"/>
      <c r="O523" s="1417"/>
      <c r="P523" s="1417"/>
      <c r="Q523" s="1417"/>
      <c r="R523" s="1417"/>
      <c r="S523" s="1443"/>
      <c r="T523" s="1417" t="s">
        <v>455</v>
      </c>
      <c r="U523" s="1417" t="s">
        <v>455</v>
      </c>
      <c r="V523" s="1417" t="str">
        <f>IFERROR(__xludf.DUMMYFUNCTION("""COMPUTED_VALUE"""),"")</f>
        <v/>
      </c>
      <c r="W523" s="1416" t="s">
        <v>455</v>
      </c>
      <c r="X523" s="1417"/>
    </row>
    <row r="524">
      <c r="A524" s="1404"/>
      <c r="B524" s="1424"/>
      <c r="C524" s="1473"/>
      <c r="D524" s="1476"/>
      <c r="E524" s="1477"/>
      <c r="F524" s="1424"/>
      <c r="G524" s="1424"/>
      <c r="H524" s="1424"/>
      <c r="I524" s="1424"/>
      <c r="J524" s="1423"/>
      <c r="K524" s="1429"/>
      <c r="L524" s="1429"/>
      <c r="M524" s="1429"/>
      <c r="N524" s="1417"/>
      <c r="O524" s="1417"/>
      <c r="P524" s="1417"/>
      <c r="Q524" s="1417"/>
      <c r="R524" s="1417"/>
      <c r="S524" s="1443"/>
      <c r="T524" s="1417" t="s">
        <v>455</v>
      </c>
      <c r="U524" s="1417" t="s">
        <v>455</v>
      </c>
      <c r="V524" s="1417" t="str">
        <f>IFERROR(__xludf.DUMMYFUNCTION("""COMPUTED_VALUE"""),"")</f>
        <v/>
      </c>
      <c r="W524" s="1416" t="s">
        <v>455</v>
      </c>
      <c r="X524" s="1417"/>
    </row>
    <row r="525">
      <c r="A525" s="1404"/>
      <c r="B525" s="1424"/>
      <c r="C525" s="1473"/>
      <c r="D525" s="1476"/>
      <c r="E525" s="1477"/>
      <c r="F525" s="1424"/>
      <c r="G525" s="1424"/>
      <c r="H525" s="1424"/>
      <c r="I525" s="1424"/>
      <c r="J525" s="1423"/>
      <c r="K525" s="1429"/>
      <c r="L525" s="1429"/>
      <c r="M525" s="1429"/>
      <c r="N525" s="1417"/>
      <c r="O525" s="1417"/>
      <c r="P525" s="1417"/>
      <c r="Q525" s="1417"/>
      <c r="R525" s="1417"/>
      <c r="S525" s="1443"/>
      <c r="T525" s="1417" t="s">
        <v>455</v>
      </c>
      <c r="U525" s="1417" t="s">
        <v>455</v>
      </c>
      <c r="V525" s="1417" t="str">
        <f>IFERROR(__xludf.DUMMYFUNCTION("""COMPUTED_VALUE"""),"")</f>
        <v/>
      </c>
      <c r="W525" s="1416" t="s">
        <v>455</v>
      </c>
      <c r="X525" s="1417"/>
    </row>
    <row r="526">
      <c r="A526" s="1404"/>
      <c r="B526" s="1424"/>
      <c r="C526" s="1473"/>
      <c r="D526" s="1476"/>
      <c r="E526" s="1477"/>
      <c r="F526" s="1424"/>
      <c r="G526" s="1424"/>
      <c r="H526" s="1424"/>
      <c r="I526" s="1424"/>
      <c r="J526" s="1423"/>
      <c r="K526" s="1429"/>
      <c r="L526" s="1429"/>
      <c r="M526" s="1429"/>
      <c r="N526" s="1417"/>
      <c r="O526" s="1417"/>
      <c r="P526" s="1417"/>
      <c r="Q526" s="1417"/>
      <c r="R526" s="1417"/>
      <c r="S526" s="1443"/>
      <c r="T526" s="1417" t="s">
        <v>455</v>
      </c>
      <c r="U526" s="1417" t="s">
        <v>455</v>
      </c>
      <c r="V526" s="1417" t="str">
        <f>IFERROR(__xludf.DUMMYFUNCTION("""COMPUTED_VALUE"""),"")</f>
        <v/>
      </c>
      <c r="W526" s="1416" t="s">
        <v>455</v>
      </c>
      <c r="X526" s="1417"/>
    </row>
    <row r="527">
      <c r="A527" s="1404"/>
      <c r="B527" s="1424"/>
      <c r="C527" s="1473"/>
      <c r="D527" s="1476"/>
      <c r="E527" s="1477"/>
      <c r="F527" s="1424"/>
      <c r="G527" s="1424"/>
      <c r="H527" s="1424"/>
      <c r="I527" s="1424"/>
      <c r="J527" s="1423"/>
      <c r="K527" s="1429"/>
      <c r="L527" s="1429"/>
      <c r="M527" s="1429"/>
      <c r="N527" s="1417"/>
      <c r="O527" s="1417"/>
      <c r="P527" s="1417"/>
      <c r="Q527" s="1417"/>
      <c r="R527" s="1417"/>
      <c r="S527" s="1443"/>
      <c r="T527" s="1417" t="s">
        <v>455</v>
      </c>
      <c r="U527" s="1417" t="s">
        <v>455</v>
      </c>
      <c r="V527" s="1417" t="str">
        <f>IFERROR(__xludf.DUMMYFUNCTION("""COMPUTED_VALUE"""),"")</f>
        <v/>
      </c>
      <c r="W527" s="1416" t="s">
        <v>455</v>
      </c>
      <c r="X527" s="1417"/>
    </row>
    <row r="528">
      <c r="A528" s="1404"/>
      <c r="B528" s="1424"/>
      <c r="C528" s="1473"/>
      <c r="D528" s="1476"/>
      <c r="E528" s="1477"/>
      <c r="F528" s="1424"/>
      <c r="G528" s="1424"/>
      <c r="H528" s="1424"/>
      <c r="I528" s="1424"/>
      <c r="J528" s="1423"/>
      <c r="K528" s="1429"/>
      <c r="L528" s="1429"/>
      <c r="M528" s="1429"/>
      <c r="N528" s="1417"/>
      <c r="O528" s="1417"/>
      <c r="P528" s="1417"/>
      <c r="Q528" s="1417"/>
      <c r="R528" s="1417"/>
      <c r="S528" s="1443"/>
      <c r="T528" s="1417" t="s">
        <v>455</v>
      </c>
      <c r="U528" s="1417" t="s">
        <v>455</v>
      </c>
      <c r="V528" s="1417" t="str">
        <f>IFERROR(__xludf.DUMMYFUNCTION("""COMPUTED_VALUE"""),"")</f>
        <v/>
      </c>
      <c r="W528" s="1416" t="s">
        <v>455</v>
      </c>
      <c r="X528" s="1417"/>
    </row>
    <row r="529">
      <c r="A529" s="1404"/>
      <c r="B529" s="1424"/>
      <c r="C529" s="1473"/>
      <c r="D529" s="1476"/>
      <c r="E529" s="1477"/>
      <c r="F529" s="1424"/>
      <c r="G529" s="1424"/>
      <c r="H529" s="1424"/>
      <c r="I529" s="1424"/>
      <c r="J529" s="1423"/>
      <c r="K529" s="1429"/>
      <c r="L529" s="1429"/>
      <c r="M529" s="1429"/>
      <c r="N529" s="1417"/>
      <c r="O529" s="1417"/>
      <c r="P529" s="1417"/>
      <c r="Q529" s="1417"/>
      <c r="R529" s="1417"/>
      <c r="S529" s="1443"/>
      <c r="T529" s="1417" t="s">
        <v>455</v>
      </c>
      <c r="U529" s="1417" t="s">
        <v>455</v>
      </c>
      <c r="V529" s="1417" t="str">
        <f>IFERROR(__xludf.DUMMYFUNCTION("""COMPUTED_VALUE"""),"")</f>
        <v/>
      </c>
      <c r="W529" s="1416" t="s">
        <v>455</v>
      </c>
      <c r="X529" s="1417"/>
    </row>
    <row r="530">
      <c r="A530" s="1404"/>
      <c r="B530" s="1424"/>
      <c r="C530" s="1473"/>
      <c r="D530" s="1476"/>
      <c r="E530" s="1477"/>
      <c r="F530" s="1424"/>
      <c r="G530" s="1424"/>
      <c r="H530" s="1424"/>
      <c r="I530" s="1424"/>
      <c r="J530" s="1423"/>
      <c r="K530" s="1429"/>
      <c r="L530" s="1429"/>
      <c r="M530" s="1429"/>
      <c r="N530" s="1417"/>
      <c r="O530" s="1417"/>
      <c r="P530" s="1417"/>
      <c r="Q530" s="1417"/>
      <c r="R530" s="1417"/>
      <c r="S530" s="1443"/>
      <c r="T530" s="1417" t="s">
        <v>455</v>
      </c>
      <c r="U530" s="1417" t="s">
        <v>455</v>
      </c>
      <c r="V530" s="1417" t="str">
        <f>IFERROR(__xludf.DUMMYFUNCTION("""COMPUTED_VALUE"""),"")</f>
        <v/>
      </c>
      <c r="W530" s="1416" t="s">
        <v>455</v>
      </c>
      <c r="X530" s="1417"/>
    </row>
    <row r="531">
      <c r="A531" s="1404"/>
      <c r="B531" s="1424"/>
      <c r="C531" s="1473"/>
      <c r="D531" s="1476"/>
      <c r="E531" s="1477"/>
      <c r="F531" s="1424"/>
      <c r="G531" s="1424"/>
      <c r="H531" s="1424"/>
      <c r="I531" s="1424"/>
      <c r="J531" s="1423"/>
      <c r="K531" s="1429"/>
      <c r="L531" s="1429"/>
      <c r="M531" s="1429"/>
      <c r="N531" s="1417"/>
      <c r="O531" s="1417"/>
      <c r="P531" s="1417"/>
      <c r="Q531" s="1417"/>
      <c r="R531" s="1417"/>
      <c r="S531" s="1443"/>
      <c r="T531" s="1417" t="s">
        <v>455</v>
      </c>
      <c r="U531" s="1417" t="s">
        <v>455</v>
      </c>
      <c r="V531" s="1417" t="str">
        <f>IFERROR(__xludf.DUMMYFUNCTION("""COMPUTED_VALUE"""),"")</f>
        <v/>
      </c>
      <c r="W531" s="1416" t="s">
        <v>455</v>
      </c>
      <c r="X531" s="1417"/>
    </row>
    <row r="532">
      <c r="A532" s="1404"/>
      <c r="B532" s="1424"/>
      <c r="C532" s="1473"/>
      <c r="D532" s="1476"/>
      <c r="E532" s="1477"/>
      <c r="F532" s="1424"/>
      <c r="G532" s="1424"/>
      <c r="H532" s="1424"/>
      <c r="I532" s="1424"/>
      <c r="J532" s="1423"/>
      <c r="K532" s="1429"/>
      <c r="L532" s="1429"/>
      <c r="M532" s="1429"/>
      <c r="N532" s="1417"/>
      <c r="O532" s="1417"/>
      <c r="P532" s="1417"/>
      <c r="Q532" s="1417"/>
      <c r="R532" s="1417"/>
      <c r="S532" s="1443"/>
      <c r="T532" s="1417" t="s">
        <v>455</v>
      </c>
      <c r="U532" s="1417" t="s">
        <v>455</v>
      </c>
      <c r="V532" s="1417" t="str">
        <f>IFERROR(__xludf.DUMMYFUNCTION("""COMPUTED_VALUE"""),"")</f>
        <v/>
      </c>
      <c r="W532" s="1416" t="s">
        <v>455</v>
      </c>
      <c r="X532" s="1417"/>
    </row>
    <row r="533">
      <c r="A533" s="1404"/>
      <c r="B533" s="1424"/>
      <c r="C533" s="1473"/>
      <c r="D533" s="1476"/>
      <c r="E533" s="1477"/>
      <c r="F533" s="1424"/>
      <c r="G533" s="1424"/>
      <c r="H533" s="1424"/>
      <c r="I533" s="1424"/>
      <c r="J533" s="1423"/>
      <c r="K533" s="1429"/>
      <c r="L533" s="1429"/>
      <c r="M533" s="1429"/>
      <c r="N533" s="1417"/>
      <c r="O533" s="1417"/>
      <c r="P533" s="1417"/>
      <c r="Q533" s="1417"/>
      <c r="R533" s="1417"/>
      <c r="S533" s="1443"/>
      <c r="T533" s="1417" t="s">
        <v>455</v>
      </c>
      <c r="U533" s="1417" t="s">
        <v>455</v>
      </c>
      <c r="V533" s="1417" t="str">
        <f>IFERROR(__xludf.DUMMYFUNCTION("""COMPUTED_VALUE"""),"")</f>
        <v/>
      </c>
      <c r="W533" s="1416" t="s">
        <v>455</v>
      </c>
      <c r="X533" s="1417"/>
    </row>
    <row r="534">
      <c r="A534" s="1404"/>
      <c r="B534" s="1424"/>
      <c r="C534" s="1473"/>
      <c r="D534" s="1476"/>
      <c r="E534" s="1477"/>
      <c r="F534" s="1424"/>
      <c r="G534" s="1424"/>
      <c r="H534" s="1424"/>
      <c r="I534" s="1424"/>
      <c r="J534" s="1423"/>
      <c r="K534" s="1429"/>
      <c r="L534" s="1429"/>
      <c r="M534" s="1429"/>
      <c r="N534" s="1417"/>
      <c r="O534" s="1417"/>
      <c r="P534" s="1417"/>
      <c r="Q534" s="1417"/>
      <c r="R534" s="1417"/>
      <c r="S534" s="1443"/>
      <c r="T534" s="1417" t="s">
        <v>455</v>
      </c>
      <c r="U534" s="1417" t="s">
        <v>455</v>
      </c>
      <c r="V534" s="1417" t="str">
        <f>IFERROR(__xludf.DUMMYFUNCTION("""COMPUTED_VALUE"""),"")</f>
        <v/>
      </c>
      <c r="W534" s="1416" t="s">
        <v>455</v>
      </c>
      <c r="X534" s="1417"/>
    </row>
    <row r="535">
      <c r="A535" s="1404"/>
      <c r="B535" s="1424"/>
      <c r="C535" s="1473"/>
      <c r="D535" s="1476"/>
      <c r="E535" s="1477"/>
      <c r="F535" s="1424"/>
      <c r="G535" s="1424"/>
      <c r="H535" s="1424"/>
      <c r="I535" s="1424"/>
      <c r="J535" s="1423"/>
      <c r="K535" s="1429"/>
      <c r="L535" s="1429"/>
      <c r="M535" s="1429"/>
      <c r="N535" s="1417"/>
      <c r="O535" s="1417"/>
      <c r="P535" s="1417"/>
      <c r="Q535" s="1417"/>
      <c r="R535" s="1417"/>
      <c r="S535" s="1443"/>
      <c r="T535" s="1417" t="s">
        <v>455</v>
      </c>
      <c r="U535" s="1417" t="s">
        <v>455</v>
      </c>
      <c r="V535" s="1417" t="str">
        <f>IFERROR(__xludf.DUMMYFUNCTION("""COMPUTED_VALUE"""),"")</f>
        <v/>
      </c>
      <c r="W535" s="1416" t="s">
        <v>455</v>
      </c>
      <c r="X535" s="1417"/>
    </row>
    <row r="536">
      <c r="A536" s="1404"/>
      <c r="B536" s="1424"/>
      <c r="C536" s="1473"/>
      <c r="D536" s="1476"/>
      <c r="E536" s="1477"/>
      <c r="F536" s="1424"/>
      <c r="G536" s="1424"/>
      <c r="H536" s="1424"/>
      <c r="I536" s="1424"/>
      <c r="J536" s="1423"/>
      <c r="K536" s="1429"/>
      <c r="L536" s="1429"/>
      <c r="M536" s="1429"/>
      <c r="N536" s="1417"/>
      <c r="O536" s="1417"/>
      <c r="P536" s="1417"/>
      <c r="Q536" s="1417"/>
      <c r="R536" s="1417"/>
      <c r="S536" s="1443"/>
      <c r="T536" s="1417" t="s">
        <v>455</v>
      </c>
      <c r="U536" s="1417" t="s">
        <v>455</v>
      </c>
      <c r="V536" s="1417" t="str">
        <f>IFERROR(__xludf.DUMMYFUNCTION("""COMPUTED_VALUE"""),"")</f>
        <v/>
      </c>
      <c r="W536" s="1416" t="s">
        <v>455</v>
      </c>
      <c r="X536" s="1417"/>
    </row>
    <row r="537">
      <c r="A537" s="1404"/>
      <c r="B537" s="1424"/>
      <c r="C537" s="1473"/>
      <c r="D537" s="1476"/>
      <c r="E537" s="1477"/>
      <c r="F537" s="1424"/>
      <c r="G537" s="1424"/>
      <c r="H537" s="1424"/>
      <c r="I537" s="1424"/>
      <c r="J537" s="1423"/>
      <c r="K537" s="1429"/>
      <c r="L537" s="1429"/>
      <c r="M537" s="1429"/>
      <c r="N537" s="1417"/>
      <c r="O537" s="1417"/>
      <c r="P537" s="1417"/>
      <c r="Q537" s="1417"/>
      <c r="R537" s="1417"/>
      <c r="S537" s="1443"/>
      <c r="T537" s="1417" t="s">
        <v>455</v>
      </c>
      <c r="U537" s="1417" t="s">
        <v>455</v>
      </c>
      <c r="V537" s="1417" t="str">
        <f>IFERROR(__xludf.DUMMYFUNCTION("""COMPUTED_VALUE"""),"")</f>
        <v/>
      </c>
      <c r="W537" s="1416" t="s">
        <v>455</v>
      </c>
      <c r="X537" s="1417"/>
    </row>
    <row r="538">
      <c r="A538" s="1404"/>
      <c r="B538" s="1424"/>
      <c r="C538" s="1473"/>
      <c r="D538" s="1476"/>
      <c r="E538" s="1477"/>
      <c r="F538" s="1424"/>
      <c r="G538" s="1424"/>
      <c r="H538" s="1424"/>
      <c r="I538" s="1424"/>
      <c r="J538" s="1423"/>
      <c r="K538" s="1429"/>
      <c r="L538" s="1429"/>
      <c r="M538" s="1429"/>
      <c r="N538" s="1417"/>
      <c r="O538" s="1417"/>
      <c r="P538" s="1417"/>
      <c r="Q538" s="1417"/>
      <c r="R538" s="1417"/>
      <c r="S538" s="1443"/>
      <c r="T538" s="1417" t="s">
        <v>455</v>
      </c>
      <c r="U538" s="1417" t="s">
        <v>455</v>
      </c>
      <c r="V538" s="1417" t="str">
        <f>IFERROR(__xludf.DUMMYFUNCTION("""COMPUTED_VALUE"""),"")</f>
        <v/>
      </c>
      <c r="W538" s="1416" t="s">
        <v>455</v>
      </c>
      <c r="X538" s="1417"/>
    </row>
    <row r="539">
      <c r="A539" s="1404"/>
      <c r="B539" s="1424"/>
      <c r="C539" s="1473"/>
      <c r="D539" s="1476"/>
      <c r="E539" s="1477"/>
      <c r="F539" s="1424"/>
      <c r="G539" s="1424"/>
      <c r="H539" s="1424"/>
      <c r="I539" s="1424"/>
      <c r="J539" s="1423"/>
      <c r="K539" s="1429"/>
      <c r="L539" s="1429"/>
      <c r="M539" s="1429"/>
      <c r="N539" s="1417"/>
      <c r="O539" s="1417"/>
      <c r="P539" s="1417"/>
      <c r="Q539" s="1417"/>
      <c r="R539" s="1417"/>
      <c r="S539" s="1443"/>
      <c r="T539" s="1417" t="s">
        <v>455</v>
      </c>
      <c r="U539" s="1417" t="s">
        <v>455</v>
      </c>
      <c r="V539" s="1417" t="str">
        <f>IFERROR(__xludf.DUMMYFUNCTION("""COMPUTED_VALUE"""),"")</f>
        <v/>
      </c>
      <c r="W539" s="1416" t="s">
        <v>455</v>
      </c>
      <c r="X539" s="1417"/>
    </row>
    <row r="540">
      <c r="A540" s="1404"/>
      <c r="B540" s="1424"/>
      <c r="C540" s="1473"/>
      <c r="D540" s="1476"/>
      <c r="E540" s="1477"/>
      <c r="F540" s="1424"/>
      <c r="G540" s="1424"/>
      <c r="H540" s="1424"/>
      <c r="I540" s="1424"/>
      <c r="J540" s="1423"/>
      <c r="K540" s="1429"/>
      <c r="L540" s="1429"/>
      <c r="M540" s="1429"/>
      <c r="N540" s="1417"/>
      <c r="O540" s="1417"/>
      <c r="P540" s="1417"/>
      <c r="Q540" s="1417"/>
      <c r="R540" s="1417"/>
      <c r="S540" s="1443"/>
      <c r="T540" s="1417" t="s">
        <v>455</v>
      </c>
      <c r="U540" s="1417" t="s">
        <v>455</v>
      </c>
      <c r="V540" s="1417" t="str">
        <f>IFERROR(__xludf.DUMMYFUNCTION("""COMPUTED_VALUE"""),"")</f>
        <v/>
      </c>
      <c r="W540" s="1416" t="s">
        <v>455</v>
      </c>
      <c r="X540" s="1417"/>
    </row>
    <row r="541">
      <c r="A541" s="1404"/>
      <c r="B541" s="1424"/>
      <c r="C541" s="1473"/>
      <c r="D541" s="1476"/>
      <c r="E541" s="1477"/>
      <c r="F541" s="1424"/>
      <c r="G541" s="1424"/>
      <c r="H541" s="1424"/>
      <c r="I541" s="1424"/>
      <c r="J541" s="1423"/>
      <c r="K541" s="1429"/>
      <c r="L541" s="1429"/>
      <c r="M541" s="1429"/>
      <c r="N541" s="1417"/>
      <c r="O541" s="1417"/>
      <c r="P541" s="1417"/>
      <c r="Q541" s="1417"/>
      <c r="R541" s="1417"/>
      <c r="S541" s="1443"/>
      <c r="T541" s="1417" t="s">
        <v>455</v>
      </c>
      <c r="U541" s="1417" t="s">
        <v>455</v>
      </c>
      <c r="V541" s="1417" t="str">
        <f>IFERROR(__xludf.DUMMYFUNCTION("""COMPUTED_VALUE"""),"")</f>
        <v/>
      </c>
      <c r="W541" s="1416" t="s">
        <v>455</v>
      </c>
      <c r="X541" s="1417"/>
    </row>
    <row r="542">
      <c r="A542" s="1404"/>
      <c r="B542" s="1424"/>
      <c r="C542" s="1473"/>
      <c r="D542" s="1476"/>
      <c r="E542" s="1477"/>
      <c r="F542" s="1424"/>
      <c r="G542" s="1424"/>
      <c r="H542" s="1424"/>
      <c r="I542" s="1424"/>
      <c r="J542" s="1423"/>
      <c r="K542" s="1429"/>
      <c r="L542" s="1429"/>
      <c r="M542" s="1429"/>
      <c r="N542" s="1417"/>
      <c r="O542" s="1417"/>
      <c r="P542" s="1417"/>
      <c r="Q542" s="1417"/>
      <c r="R542" s="1417"/>
      <c r="S542" s="1443"/>
      <c r="T542" s="1417" t="s">
        <v>455</v>
      </c>
      <c r="U542" s="1417" t="s">
        <v>455</v>
      </c>
      <c r="V542" s="1417" t="str">
        <f>IFERROR(__xludf.DUMMYFUNCTION("""COMPUTED_VALUE"""),"")</f>
        <v/>
      </c>
      <c r="W542" s="1416" t="s">
        <v>455</v>
      </c>
      <c r="X542" s="1417"/>
    </row>
    <row r="543">
      <c r="A543" s="1404"/>
      <c r="B543" s="1424"/>
      <c r="C543" s="1473"/>
      <c r="D543" s="1476"/>
      <c r="E543" s="1477"/>
      <c r="F543" s="1424"/>
      <c r="G543" s="1424"/>
      <c r="H543" s="1424"/>
      <c r="I543" s="1424"/>
      <c r="J543" s="1423"/>
      <c r="K543" s="1429"/>
      <c r="L543" s="1429"/>
      <c r="M543" s="1429"/>
      <c r="N543" s="1417"/>
      <c r="O543" s="1417"/>
      <c r="P543" s="1417"/>
      <c r="Q543" s="1417"/>
      <c r="R543" s="1417"/>
      <c r="S543" s="1443"/>
      <c r="T543" s="1417" t="s">
        <v>455</v>
      </c>
      <c r="U543" s="1417" t="s">
        <v>455</v>
      </c>
      <c r="V543" s="1417" t="str">
        <f>IFERROR(__xludf.DUMMYFUNCTION("""COMPUTED_VALUE"""),"")</f>
        <v/>
      </c>
      <c r="W543" s="1416" t="s">
        <v>455</v>
      </c>
      <c r="X543" s="1417"/>
    </row>
    <row r="544">
      <c r="A544" s="1404"/>
      <c r="B544" s="1424"/>
      <c r="C544" s="1473"/>
      <c r="D544" s="1476"/>
      <c r="E544" s="1477"/>
      <c r="F544" s="1424"/>
      <c r="G544" s="1424"/>
      <c r="H544" s="1424"/>
      <c r="I544" s="1424"/>
      <c r="J544" s="1423"/>
      <c r="K544" s="1429"/>
      <c r="L544" s="1429"/>
      <c r="M544" s="1429"/>
      <c r="N544" s="1417"/>
      <c r="O544" s="1417"/>
      <c r="P544" s="1417"/>
      <c r="Q544" s="1417"/>
      <c r="R544" s="1417"/>
      <c r="S544" s="1443"/>
      <c r="T544" s="1417" t="s">
        <v>455</v>
      </c>
      <c r="U544" s="1417" t="s">
        <v>455</v>
      </c>
      <c r="V544" s="1417" t="str">
        <f>IFERROR(__xludf.DUMMYFUNCTION("""COMPUTED_VALUE"""),"")</f>
        <v/>
      </c>
      <c r="W544" s="1416" t="s">
        <v>455</v>
      </c>
      <c r="X544" s="1417"/>
    </row>
    <row r="545">
      <c r="A545" s="1404"/>
      <c r="B545" s="1424"/>
      <c r="C545" s="1473"/>
      <c r="D545" s="1476"/>
      <c r="E545" s="1477"/>
      <c r="F545" s="1424"/>
      <c r="G545" s="1424"/>
      <c r="H545" s="1424"/>
      <c r="I545" s="1424"/>
      <c r="J545" s="1423"/>
      <c r="K545" s="1429"/>
      <c r="L545" s="1429"/>
      <c r="M545" s="1429"/>
      <c r="N545" s="1417"/>
      <c r="O545" s="1417"/>
      <c r="P545" s="1417"/>
      <c r="Q545" s="1417"/>
      <c r="R545" s="1417"/>
      <c r="S545" s="1443"/>
      <c r="T545" s="1417" t="s">
        <v>455</v>
      </c>
      <c r="U545" s="1417" t="s">
        <v>455</v>
      </c>
      <c r="V545" s="1417" t="str">
        <f>IFERROR(__xludf.DUMMYFUNCTION("""COMPUTED_VALUE"""),"")</f>
        <v/>
      </c>
      <c r="W545" s="1416" t="s">
        <v>455</v>
      </c>
      <c r="X545" s="1417"/>
    </row>
    <row r="546">
      <c r="A546" s="1404"/>
      <c r="B546" s="1424"/>
      <c r="C546" s="1473"/>
      <c r="D546" s="1476"/>
      <c r="E546" s="1477"/>
      <c r="F546" s="1424"/>
      <c r="G546" s="1424"/>
      <c r="H546" s="1424"/>
      <c r="I546" s="1424"/>
      <c r="J546" s="1423"/>
      <c r="K546" s="1429"/>
      <c r="L546" s="1429"/>
      <c r="M546" s="1429"/>
      <c r="N546" s="1417"/>
      <c r="O546" s="1417"/>
      <c r="P546" s="1417"/>
      <c r="Q546" s="1417"/>
      <c r="R546" s="1417"/>
      <c r="S546" s="1443"/>
      <c r="T546" s="1417" t="s">
        <v>455</v>
      </c>
      <c r="U546" s="1417" t="s">
        <v>455</v>
      </c>
      <c r="V546" s="1417" t="str">
        <f>IFERROR(__xludf.DUMMYFUNCTION("""COMPUTED_VALUE"""),"")</f>
        <v/>
      </c>
      <c r="W546" s="1416" t="s">
        <v>455</v>
      </c>
      <c r="X546" s="1417"/>
    </row>
    <row r="547">
      <c r="A547" s="1404"/>
      <c r="B547" s="1424"/>
      <c r="C547" s="1473"/>
      <c r="D547" s="1476"/>
      <c r="E547" s="1477"/>
      <c r="F547" s="1424"/>
      <c r="G547" s="1424"/>
      <c r="H547" s="1424"/>
      <c r="I547" s="1424"/>
      <c r="J547" s="1423"/>
      <c r="K547" s="1429"/>
      <c r="L547" s="1429"/>
      <c r="M547" s="1429"/>
      <c r="N547" s="1417"/>
      <c r="O547" s="1417"/>
      <c r="P547" s="1417"/>
      <c r="Q547" s="1417"/>
      <c r="R547" s="1417"/>
      <c r="S547" s="1443"/>
      <c r="T547" s="1417" t="s">
        <v>455</v>
      </c>
      <c r="U547" s="1417" t="s">
        <v>455</v>
      </c>
      <c r="V547" s="1417" t="str">
        <f>IFERROR(__xludf.DUMMYFUNCTION("""COMPUTED_VALUE"""),"")</f>
        <v/>
      </c>
      <c r="W547" s="1416" t="s">
        <v>455</v>
      </c>
      <c r="X547" s="1417"/>
    </row>
    <row r="548">
      <c r="A548" s="1404"/>
      <c r="B548" s="1424"/>
      <c r="C548" s="1473"/>
      <c r="D548" s="1476"/>
      <c r="E548" s="1477"/>
      <c r="F548" s="1424"/>
      <c r="G548" s="1424"/>
      <c r="H548" s="1424"/>
      <c r="I548" s="1424"/>
      <c r="J548" s="1423"/>
      <c r="K548" s="1429"/>
      <c r="L548" s="1429"/>
      <c r="M548" s="1429"/>
      <c r="N548" s="1417"/>
      <c r="O548" s="1417"/>
      <c r="P548" s="1417"/>
      <c r="Q548" s="1417"/>
      <c r="R548" s="1417"/>
      <c r="S548" s="1443"/>
      <c r="T548" s="1417" t="s">
        <v>455</v>
      </c>
      <c r="U548" s="1417" t="s">
        <v>455</v>
      </c>
      <c r="V548" s="1417" t="str">
        <f>IFERROR(__xludf.DUMMYFUNCTION("""COMPUTED_VALUE"""),"")</f>
        <v/>
      </c>
      <c r="W548" s="1416" t="s">
        <v>455</v>
      </c>
      <c r="X548" s="1417"/>
    </row>
    <row r="549">
      <c r="A549" s="1404"/>
      <c r="B549" s="1424"/>
      <c r="C549" s="1473"/>
      <c r="D549" s="1476"/>
      <c r="E549" s="1477"/>
      <c r="F549" s="1424"/>
      <c r="G549" s="1424"/>
      <c r="H549" s="1424"/>
      <c r="I549" s="1424"/>
      <c r="J549" s="1423"/>
      <c r="K549" s="1429"/>
      <c r="L549" s="1429"/>
      <c r="M549" s="1429"/>
      <c r="N549" s="1417"/>
      <c r="O549" s="1417"/>
      <c r="P549" s="1417"/>
      <c r="Q549" s="1417"/>
      <c r="R549" s="1417"/>
      <c r="S549" s="1443"/>
      <c r="T549" s="1417" t="s">
        <v>455</v>
      </c>
      <c r="U549" s="1417" t="s">
        <v>455</v>
      </c>
      <c r="V549" s="1417" t="str">
        <f>IFERROR(__xludf.DUMMYFUNCTION("""COMPUTED_VALUE"""),"")</f>
        <v/>
      </c>
      <c r="W549" s="1416" t="s">
        <v>455</v>
      </c>
      <c r="X549" s="1417"/>
    </row>
    <row r="550">
      <c r="A550" s="1404"/>
      <c r="B550" s="1424"/>
      <c r="C550" s="1473"/>
      <c r="D550" s="1476"/>
      <c r="E550" s="1477"/>
      <c r="F550" s="1424"/>
      <c r="G550" s="1424"/>
      <c r="H550" s="1424"/>
      <c r="I550" s="1424"/>
      <c r="J550" s="1423"/>
      <c r="K550" s="1429"/>
      <c r="L550" s="1429"/>
      <c r="M550" s="1429"/>
      <c r="N550" s="1417"/>
      <c r="O550" s="1417"/>
      <c r="P550" s="1417"/>
      <c r="Q550" s="1417"/>
      <c r="R550" s="1417"/>
      <c r="S550" s="1443"/>
      <c r="T550" s="1417" t="s">
        <v>455</v>
      </c>
      <c r="U550" s="1417" t="s">
        <v>455</v>
      </c>
      <c r="V550" s="1417" t="str">
        <f>IFERROR(__xludf.DUMMYFUNCTION("""COMPUTED_VALUE"""),"")</f>
        <v/>
      </c>
      <c r="W550" s="1416" t="s">
        <v>455</v>
      </c>
      <c r="X550" s="1417"/>
    </row>
    <row r="551">
      <c r="A551" s="1404"/>
      <c r="B551" s="1424"/>
      <c r="C551" s="1473"/>
      <c r="D551" s="1476"/>
      <c r="E551" s="1477"/>
      <c r="F551" s="1424"/>
      <c r="G551" s="1424"/>
      <c r="H551" s="1424"/>
      <c r="I551" s="1424"/>
      <c r="J551" s="1423"/>
      <c r="K551" s="1429"/>
      <c r="L551" s="1429"/>
      <c r="M551" s="1429"/>
      <c r="N551" s="1417"/>
      <c r="O551" s="1417"/>
      <c r="P551" s="1417"/>
      <c r="Q551" s="1417"/>
      <c r="R551" s="1417"/>
      <c r="S551" s="1443"/>
      <c r="T551" s="1417" t="s">
        <v>455</v>
      </c>
      <c r="U551" s="1417" t="s">
        <v>455</v>
      </c>
      <c r="V551" s="1417" t="str">
        <f>IFERROR(__xludf.DUMMYFUNCTION("""COMPUTED_VALUE"""),"")</f>
        <v/>
      </c>
      <c r="W551" s="1416" t="s">
        <v>455</v>
      </c>
      <c r="X551" s="1417"/>
    </row>
    <row r="552">
      <c r="A552" s="1404"/>
      <c r="B552" s="1424"/>
      <c r="C552" s="1473"/>
      <c r="D552" s="1476"/>
      <c r="E552" s="1477"/>
      <c r="F552" s="1424"/>
      <c r="G552" s="1424"/>
      <c r="H552" s="1424"/>
      <c r="I552" s="1424"/>
      <c r="J552" s="1423"/>
      <c r="K552" s="1429"/>
      <c r="L552" s="1429"/>
      <c r="M552" s="1429"/>
      <c r="N552" s="1417"/>
      <c r="O552" s="1417"/>
      <c r="P552" s="1417"/>
      <c r="Q552" s="1417"/>
      <c r="R552" s="1417"/>
      <c r="S552" s="1443"/>
      <c r="T552" s="1417" t="s">
        <v>455</v>
      </c>
      <c r="U552" s="1417" t="s">
        <v>455</v>
      </c>
      <c r="V552" s="1417" t="str">
        <f>IFERROR(__xludf.DUMMYFUNCTION("""COMPUTED_VALUE"""),"")</f>
        <v/>
      </c>
      <c r="W552" s="1416" t="s">
        <v>455</v>
      </c>
      <c r="X552" s="1417"/>
    </row>
    <row r="553">
      <c r="A553" s="1404"/>
      <c r="B553" s="1424"/>
      <c r="C553" s="1473"/>
      <c r="D553" s="1476"/>
      <c r="E553" s="1477"/>
      <c r="F553" s="1424"/>
      <c r="G553" s="1424"/>
      <c r="H553" s="1424"/>
      <c r="I553" s="1424"/>
      <c r="J553" s="1423"/>
      <c r="K553" s="1429"/>
      <c r="L553" s="1429"/>
      <c r="M553" s="1429"/>
      <c r="N553" s="1417"/>
      <c r="O553" s="1417"/>
      <c r="P553" s="1417"/>
      <c r="Q553" s="1417"/>
      <c r="R553" s="1417"/>
      <c r="S553" s="1443"/>
      <c r="T553" s="1417" t="s">
        <v>455</v>
      </c>
      <c r="U553" s="1417" t="s">
        <v>455</v>
      </c>
      <c r="V553" s="1417" t="str">
        <f>IFERROR(__xludf.DUMMYFUNCTION("""COMPUTED_VALUE"""),"")</f>
        <v/>
      </c>
      <c r="W553" s="1416" t="s">
        <v>455</v>
      </c>
      <c r="X553" s="1417"/>
    </row>
    <row r="554">
      <c r="A554" s="1404"/>
      <c r="B554" s="1424"/>
      <c r="C554" s="1473"/>
      <c r="D554" s="1476"/>
      <c r="E554" s="1477"/>
      <c r="F554" s="1424"/>
      <c r="G554" s="1424"/>
      <c r="H554" s="1424"/>
      <c r="I554" s="1424"/>
      <c r="J554" s="1423"/>
      <c r="K554" s="1429"/>
      <c r="L554" s="1429"/>
      <c r="M554" s="1429"/>
      <c r="N554" s="1417"/>
      <c r="O554" s="1417"/>
      <c r="P554" s="1417"/>
      <c r="Q554" s="1417"/>
      <c r="R554" s="1417"/>
      <c r="S554" s="1443"/>
      <c r="T554" s="1417" t="s">
        <v>455</v>
      </c>
      <c r="U554" s="1417" t="s">
        <v>455</v>
      </c>
      <c r="V554" s="1417" t="str">
        <f>IFERROR(__xludf.DUMMYFUNCTION("""COMPUTED_VALUE"""),"")</f>
        <v/>
      </c>
      <c r="W554" s="1416" t="s">
        <v>455</v>
      </c>
      <c r="X554" s="1417"/>
    </row>
    <row r="555">
      <c r="A555" s="1404"/>
      <c r="B555" s="1424"/>
      <c r="C555" s="1473"/>
      <c r="D555" s="1476"/>
      <c r="E555" s="1477"/>
      <c r="F555" s="1424"/>
      <c r="G555" s="1424"/>
      <c r="H555" s="1424"/>
      <c r="I555" s="1424"/>
      <c r="J555" s="1423"/>
      <c r="K555" s="1429"/>
      <c r="L555" s="1429"/>
      <c r="M555" s="1429"/>
      <c r="N555" s="1417"/>
      <c r="O555" s="1417"/>
      <c r="P555" s="1417"/>
      <c r="Q555" s="1417"/>
      <c r="R555" s="1417"/>
      <c r="S555" s="1443"/>
      <c r="T555" s="1417" t="s">
        <v>455</v>
      </c>
      <c r="U555" s="1417" t="s">
        <v>455</v>
      </c>
      <c r="V555" s="1417" t="str">
        <f>IFERROR(__xludf.DUMMYFUNCTION("""COMPUTED_VALUE"""),"")</f>
        <v/>
      </c>
      <c r="W555" s="1416" t="s">
        <v>455</v>
      </c>
      <c r="X555" s="1417"/>
    </row>
    <row r="556">
      <c r="A556" s="1404"/>
      <c r="B556" s="1424"/>
      <c r="C556" s="1473"/>
      <c r="D556" s="1476"/>
      <c r="E556" s="1477"/>
      <c r="F556" s="1424"/>
      <c r="G556" s="1424"/>
      <c r="H556" s="1424"/>
      <c r="I556" s="1424"/>
      <c r="J556" s="1423"/>
      <c r="K556" s="1429"/>
      <c r="L556" s="1429"/>
      <c r="M556" s="1429"/>
      <c r="N556" s="1417"/>
      <c r="O556" s="1417"/>
      <c r="P556" s="1417"/>
      <c r="Q556" s="1417"/>
      <c r="R556" s="1417"/>
      <c r="S556" s="1443"/>
      <c r="T556" s="1417" t="s">
        <v>455</v>
      </c>
      <c r="U556" s="1417" t="s">
        <v>455</v>
      </c>
      <c r="V556" s="1417" t="str">
        <f>IFERROR(__xludf.DUMMYFUNCTION("""COMPUTED_VALUE"""),"")</f>
        <v/>
      </c>
      <c r="W556" s="1416" t="s">
        <v>455</v>
      </c>
      <c r="X556" s="1417"/>
    </row>
    <row r="557">
      <c r="A557" s="1404"/>
      <c r="B557" s="1424"/>
      <c r="C557" s="1473"/>
      <c r="D557" s="1476"/>
      <c r="E557" s="1477"/>
      <c r="F557" s="1424"/>
      <c r="G557" s="1424"/>
      <c r="H557" s="1424"/>
      <c r="I557" s="1424"/>
      <c r="J557" s="1423"/>
      <c r="K557" s="1429"/>
      <c r="L557" s="1429"/>
      <c r="M557" s="1429"/>
      <c r="N557" s="1417"/>
      <c r="O557" s="1417"/>
      <c r="P557" s="1417"/>
      <c r="Q557" s="1417"/>
      <c r="R557" s="1417"/>
      <c r="S557" s="1443"/>
      <c r="T557" s="1417" t="s">
        <v>455</v>
      </c>
      <c r="U557" s="1417" t="s">
        <v>455</v>
      </c>
      <c r="V557" s="1417" t="str">
        <f>IFERROR(__xludf.DUMMYFUNCTION("""COMPUTED_VALUE"""),"")</f>
        <v/>
      </c>
      <c r="W557" s="1416" t="s">
        <v>455</v>
      </c>
      <c r="X557" s="1417"/>
    </row>
    <row r="558">
      <c r="A558" s="1404"/>
      <c r="B558" s="1424"/>
      <c r="C558" s="1473"/>
      <c r="D558" s="1476"/>
      <c r="E558" s="1477"/>
      <c r="F558" s="1424"/>
      <c r="G558" s="1424"/>
      <c r="H558" s="1424"/>
      <c r="I558" s="1424"/>
      <c r="J558" s="1423"/>
      <c r="K558" s="1429"/>
      <c r="L558" s="1429"/>
      <c r="M558" s="1429"/>
      <c r="N558" s="1417"/>
      <c r="O558" s="1417"/>
      <c r="P558" s="1417"/>
      <c r="Q558" s="1417"/>
      <c r="R558" s="1417"/>
      <c r="S558" s="1443"/>
      <c r="T558" s="1417" t="s">
        <v>455</v>
      </c>
      <c r="U558" s="1417" t="s">
        <v>455</v>
      </c>
      <c r="V558" s="1417" t="str">
        <f>IFERROR(__xludf.DUMMYFUNCTION("""COMPUTED_VALUE"""),"")</f>
        <v/>
      </c>
      <c r="W558" s="1416" t="s">
        <v>455</v>
      </c>
      <c r="X558" s="1417"/>
    </row>
    <row r="559">
      <c r="A559" s="1404"/>
      <c r="B559" s="1424"/>
      <c r="C559" s="1473"/>
      <c r="D559" s="1476"/>
      <c r="E559" s="1477"/>
      <c r="F559" s="1424"/>
      <c r="G559" s="1424"/>
      <c r="H559" s="1424"/>
      <c r="I559" s="1424"/>
      <c r="J559" s="1423"/>
      <c r="K559" s="1429"/>
      <c r="L559" s="1429"/>
      <c r="M559" s="1429"/>
      <c r="N559" s="1417"/>
      <c r="O559" s="1417"/>
      <c r="P559" s="1417"/>
      <c r="Q559" s="1417"/>
      <c r="R559" s="1417"/>
      <c r="S559" s="1443"/>
      <c r="T559" s="1417" t="s">
        <v>455</v>
      </c>
      <c r="U559" s="1417" t="s">
        <v>455</v>
      </c>
      <c r="V559" s="1417" t="str">
        <f>IFERROR(__xludf.DUMMYFUNCTION("""COMPUTED_VALUE"""),"")</f>
        <v/>
      </c>
      <c r="W559" s="1416" t="s">
        <v>455</v>
      </c>
      <c r="X559" s="1417"/>
    </row>
    <row r="560">
      <c r="A560" s="1404"/>
      <c r="B560" s="1424"/>
      <c r="C560" s="1473"/>
      <c r="D560" s="1476"/>
      <c r="E560" s="1477"/>
      <c r="F560" s="1424"/>
      <c r="G560" s="1424"/>
      <c r="H560" s="1424"/>
      <c r="I560" s="1424"/>
      <c r="J560" s="1423"/>
      <c r="K560" s="1429"/>
      <c r="L560" s="1429"/>
      <c r="M560" s="1429"/>
      <c r="N560" s="1417"/>
      <c r="O560" s="1417"/>
      <c r="P560" s="1417"/>
      <c r="Q560" s="1417"/>
      <c r="R560" s="1417"/>
      <c r="S560" s="1443"/>
      <c r="T560" s="1417" t="s">
        <v>455</v>
      </c>
      <c r="U560" s="1417" t="s">
        <v>455</v>
      </c>
      <c r="V560" s="1417" t="str">
        <f>IFERROR(__xludf.DUMMYFUNCTION("""COMPUTED_VALUE"""),"")</f>
        <v/>
      </c>
      <c r="W560" s="1416" t="s">
        <v>455</v>
      </c>
      <c r="X560" s="1417"/>
    </row>
    <row r="561">
      <c r="A561" s="1404"/>
      <c r="B561" s="1424"/>
      <c r="C561" s="1473"/>
      <c r="D561" s="1476"/>
      <c r="E561" s="1477"/>
      <c r="F561" s="1424"/>
      <c r="G561" s="1424"/>
      <c r="H561" s="1424"/>
      <c r="I561" s="1424"/>
      <c r="J561" s="1423"/>
      <c r="K561" s="1429"/>
      <c r="L561" s="1429"/>
      <c r="M561" s="1429"/>
      <c r="N561" s="1417"/>
      <c r="O561" s="1417"/>
      <c r="P561" s="1417"/>
      <c r="Q561" s="1417"/>
      <c r="R561" s="1417"/>
      <c r="S561" s="1443"/>
      <c r="T561" s="1417" t="s">
        <v>455</v>
      </c>
      <c r="U561" s="1417" t="s">
        <v>455</v>
      </c>
      <c r="V561" s="1417" t="str">
        <f>IFERROR(__xludf.DUMMYFUNCTION("""COMPUTED_VALUE"""),"")</f>
        <v/>
      </c>
      <c r="W561" s="1416" t="s">
        <v>455</v>
      </c>
      <c r="X561" s="1417"/>
    </row>
    <row r="562">
      <c r="A562" s="1404"/>
      <c r="B562" s="1424"/>
      <c r="C562" s="1473"/>
      <c r="D562" s="1476"/>
      <c r="E562" s="1477"/>
      <c r="F562" s="1424"/>
      <c r="G562" s="1424"/>
      <c r="H562" s="1424"/>
      <c r="I562" s="1424"/>
      <c r="J562" s="1423"/>
      <c r="K562" s="1429"/>
      <c r="L562" s="1429"/>
      <c r="M562" s="1429"/>
      <c r="N562" s="1417"/>
      <c r="O562" s="1417"/>
      <c r="P562" s="1417"/>
      <c r="Q562" s="1417"/>
      <c r="R562" s="1417"/>
      <c r="S562" s="1443"/>
      <c r="T562" s="1417" t="s">
        <v>455</v>
      </c>
      <c r="U562" s="1417" t="s">
        <v>455</v>
      </c>
      <c r="V562" s="1417" t="str">
        <f>IFERROR(__xludf.DUMMYFUNCTION("""COMPUTED_VALUE"""),"")</f>
        <v/>
      </c>
      <c r="W562" s="1416" t="s">
        <v>455</v>
      </c>
      <c r="X562" s="1417"/>
    </row>
    <row r="563">
      <c r="A563" s="1404"/>
      <c r="B563" s="1424"/>
      <c r="C563" s="1473"/>
      <c r="D563" s="1476"/>
      <c r="E563" s="1477"/>
      <c r="F563" s="1424"/>
      <c r="G563" s="1424"/>
      <c r="H563" s="1424"/>
      <c r="I563" s="1424"/>
      <c r="J563" s="1423"/>
      <c r="K563" s="1429"/>
      <c r="L563" s="1429"/>
      <c r="M563" s="1429"/>
      <c r="N563" s="1417"/>
      <c r="O563" s="1417"/>
      <c r="P563" s="1417"/>
      <c r="Q563" s="1417"/>
      <c r="R563" s="1417"/>
      <c r="S563" s="1443"/>
      <c r="T563" s="1417" t="s">
        <v>455</v>
      </c>
      <c r="U563" s="1417" t="s">
        <v>455</v>
      </c>
      <c r="V563" s="1417" t="str">
        <f>IFERROR(__xludf.DUMMYFUNCTION("""COMPUTED_VALUE"""),"")</f>
        <v/>
      </c>
      <c r="W563" s="1416" t="s">
        <v>455</v>
      </c>
      <c r="X563" s="1417"/>
    </row>
    <row r="564">
      <c r="A564" s="1404"/>
      <c r="B564" s="1424"/>
      <c r="C564" s="1473"/>
      <c r="D564" s="1476"/>
      <c r="E564" s="1477"/>
      <c r="F564" s="1424"/>
      <c r="G564" s="1424"/>
      <c r="H564" s="1424"/>
      <c r="I564" s="1424"/>
      <c r="J564" s="1423"/>
      <c r="K564" s="1429"/>
      <c r="L564" s="1429"/>
      <c r="M564" s="1429"/>
      <c r="N564" s="1417"/>
      <c r="O564" s="1417"/>
      <c r="P564" s="1417"/>
      <c r="Q564" s="1417"/>
      <c r="R564" s="1417"/>
      <c r="S564" s="1443"/>
      <c r="T564" s="1417" t="s">
        <v>455</v>
      </c>
      <c r="U564" s="1417" t="s">
        <v>455</v>
      </c>
      <c r="V564" s="1417" t="str">
        <f>IFERROR(__xludf.DUMMYFUNCTION("""COMPUTED_VALUE"""),"")</f>
        <v/>
      </c>
      <c r="W564" s="1416" t="s">
        <v>455</v>
      </c>
      <c r="X564" s="1417"/>
    </row>
    <row r="565">
      <c r="A565" s="1404"/>
      <c r="B565" s="1424"/>
      <c r="C565" s="1473"/>
      <c r="D565" s="1476"/>
      <c r="E565" s="1477"/>
      <c r="F565" s="1424"/>
      <c r="G565" s="1424"/>
      <c r="H565" s="1424"/>
      <c r="I565" s="1424"/>
      <c r="J565" s="1423"/>
      <c r="K565" s="1429"/>
      <c r="L565" s="1429"/>
      <c r="M565" s="1429"/>
      <c r="N565" s="1417"/>
      <c r="O565" s="1417"/>
      <c r="P565" s="1417"/>
      <c r="Q565" s="1417"/>
      <c r="R565" s="1417"/>
      <c r="S565" s="1443"/>
      <c r="T565" s="1417" t="s">
        <v>455</v>
      </c>
      <c r="U565" s="1417" t="s">
        <v>455</v>
      </c>
      <c r="V565" s="1417" t="str">
        <f>IFERROR(__xludf.DUMMYFUNCTION("""COMPUTED_VALUE"""),"")</f>
        <v/>
      </c>
      <c r="W565" s="1416" t="s">
        <v>455</v>
      </c>
      <c r="X565" s="1417"/>
    </row>
    <row r="566">
      <c r="A566" s="1404"/>
      <c r="B566" s="1424"/>
      <c r="C566" s="1473"/>
      <c r="D566" s="1476"/>
      <c r="E566" s="1477"/>
      <c r="F566" s="1424"/>
      <c r="G566" s="1424"/>
      <c r="H566" s="1424"/>
      <c r="I566" s="1424"/>
      <c r="J566" s="1423"/>
      <c r="K566" s="1429"/>
      <c r="L566" s="1429"/>
      <c r="M566" s="1429"/>
      <c r="N566" s="1417"/>
      <c r="O566" s="1417"/>
      <c r="P566" s="1417"/>
      <c r="Q566" s="1417"/>
      <c r="R566" s="1417"/>
      <c r="S566" s="1443"/>
      <c r="T566" s="1417" t="s">
        <v>455</v>
      </c>
      <c r="U566" s="1417" t="s">
        <v>455</v>
      </c>
      <c r="V566" s="1417" t="str">
        <f>IFERROR(__xludf.DUMMYFUNCTION("""COMPUTED_VALUE"""),"")</f>
        <v/>
      </c>
      <c r="W566" s="1416" t="s">
        <v>455</v>
      </c>
      <c r="X566" s="1417"/>
    </row>
    <row r="567">
      <c r="A567" s="1404"/>
      <c r="B567" s="1424"/>
      <c r="C567" s="1473"/>
      <c r="D567" s="1476"/>
      <c r="E567" s="1477"/>
      <c r="F567" s="1424"/>
      <c r="G567" s="1424"/>
      <c r="H567" s="1424"/>
      <c r="I567" s="1424"/>
      <c r="J567" s="1423"/>
      <c r="K567" s="1429"/>
      <c r="L567" s="1429"/>
      <c r="M567" s="1429"/>
      <c r="N567" s="1417"/>
      <c r="O567" s="1417"/>
      <c r="P567" s="1417"/>
      <c r="Q567" s="1417"/>
      <c r="R567" s="1417"/>
      <c r="S567" s="1443"/>
      <c r="T567" s="1417" t="s">
        <v>455</v>
      </c>
      <c r="U567" s="1417" t="s">
        <v>455</v>
      </c>
      <c r="V567" s="1417" t="str">
        <f>IFERROR(__xludf.DUMMYFUNCTION("""COMPUTED_VALUE"""),"")</f>
        <v/>
      </c>
      <c r="W567" s="1416" t="s">
        <v>455</v>
      </c>
      <c r="X567" s="1417"/>
    </row>
    <row r="568">
      <c r="A568" s="1404"/>
      <c r="B568" s="1424"/>
      <c r="C568" s="1473"/>
      <c r="D568" s="1476"/>
      <c r="E568" s="1477"/>
      <c r="F568" s="1424"/>
      <c r="G568" s="1424"/>
      <c r="H568" s="1424"/>
      <c r="I568" s="1424"/>
      <c r="J568" s="1423"/>
      <c r="K568" s="1429"/>
      <c r="L568" s="1429"/>
      <c r="M568" s="1429"/>
      <c r="N568" s="1417"/>
      <c r="O568" s="1417"/>
      <c r="P568" s="1417"/>
      <c r="Q568" s="1417"/>
      <c r="R568" s="1417"/>
      <c r="S568" s="1443"/>
      <c r="T568" s="1417" t="s">
        <v>455</v>
      </c>
      <c r="U568" s="1417" t="s">
        <v>455</v>
      </c>
      <c r="V568" s="1417" t="str">
        <f>IFERROR(__xludf.DUMMYFUNCTION("""COMPUTED_VALUE"""),"")</f>
        <v/>
      </c>
      <c r="W568" s="1416" t="s">
        <v>455</v>
      </c>
      <c r="X568" s="1417"/>
    </row>
    <row r="569">
      <c r="A569" s="1404"/>
      <c r="B569" s="1424"/>
      <c r="C569" s="1473"/>
      <c r="D569" s="1476"/>
      <c r="E569" s="1477"/>
      <c r="F569" s="1424"/>
      <c r="G569" s="1424"/>
      <c r="H569" s="1424"/>
      <c r="I569" s="1424"/>
      <c r="J569" s="1423"/>
      <c r="K569" s="1429"/>
      <c r="L569" s="1429"/>
      <c r="M569" s="1429"/>
      <c r="N569" s="1417"/>
      <c r="O569" s="1417"/>
      <c r="P569" s="1417"/>
      <c r="Q569" s="1417"/>
      <c r="R569" s="1417"/>
      <c r="S569" s="1443"/>
      <c r="T569" s="1417" t="s">
        <v>455</v>
      </c>
      <c r="U569" s="1417" t="s">
        <v>455</v>
      </c>
      <c r="V569" s="1417" t="str">
        <f>IFERROR(__xludf.DUMMYFUNCTION("""COMPUTED_VALUE"""),"")</f>
        <v/>
      </c>
      <c r="W569" s="1416" t="s">
        <v>455</v>
      </c>
      <c r="X569" s="1417"/>
    </row>
    <row r="570">
      <c r="A570" s="1404"/>
      <c r="B570" s="1424"/>
      <c r="C570" s="1473"/>
      <c r="D570" s="1476"/>
      <c r="E570" s="1477"/>
      <c r="F570" s="1424"/>
      <c r="G570" s="1424"/>
      <c r="H570" s="1424"/>
      <c r="I570" s="1424"/>
      <c r="J570" s="1423"/>
      <c r="K570" s="1429"/>
      <c r="L570" s="1429"/>
      <c r="M570" s="1429"/>
      <c r="N570" s="1417"/>
      <c r="O570" s="1417"/>
      <c r="P570" s="1417"/>
      <c r="Q570" s="1417"/>
      <c r="R570" s="1417"/>
      <c r="S570" s="1443"/>
      <c r="T570" s="1417" t="s">
        <v>455</v>
      </c>
      <c r="U570" s="1417" t="s">
        <v>455</v>
      </c>
      <c r="V570" s="1417" t="str">
        <f>IFERROR(__xludf.DUMMYFUNCTION("""COMPUTED_VALUE"""),"")</f>
        <v/>
      </c>
      <c r="W570" s="1416" t="s">
        <v>455</v>
      </c>
      <c r="X570" s="1417"/>
    </row>
    <row r="571">
      <c r="A571" s="1404"/>
      <c r="B571" s="1424"/>
      <c r="C571" s="1473"/>
      <c r="D571" s="1476"/>
      <c r="E571" s="1477"/>
      <c r="F571" s="1424"/>
      <c r="G571" s="1424"/>
      <c r="H571" s="1424"/>
      <c r="I571" s="1424"/>
      <c r="J571" s="1423"/>
      <c r="K571" s="1429"/>
      <c r="L571" s="1429"/>
      <c r="M571" s="1429"/>
      <c r="N571" s="1417"/>
      <c r="O571" s="1417"/>
      <c r="P571" s="1417"/>
      <c r="Q571" s="1417"/>
      <c r="R571" s="1417"/>
      <c r="S571" s="1443"/>
      <c r="T571" s="1417" t="s">
        <v>455</v>
      </c>
      <c r="U571" s="1417" t="s">
        <v>455</v>
      </c>
      <c r="V571" s="1417" t="str">
        <f>IFERROR(__xludf.DUMMYFUNCTION("""COMPUTED_VALUE"""),"")</f>
        <v/>
      </c>
      <c r="W571" s="1416" t="s">
        <v>455</v>
      </c>
      <c r="X571" s="1417"/>
    </row>
    <row r="572">
      <c r="A572" s="1404"/>
      <c r="B572" s="1424"/>
      <c r="C572" s="1473"/>
      <c r="D572" s="1476"/>
      <c r="E572" s="1477"/>
      <c r="F572" s="1424"/>
      <c r="G572" s="1424"/>
      <c r="H572" s="1424"/>
      <c r="I572" s="1424"/>
      <c r="J572" s="1423"/>
      <c r="K572" s="1429"/>
      <c r="L572" s="1429"/>
      <c r="M572" s="1429"/>
      <c r="N572" s="1417"/>
      <c r="O572" s="1417"/>
      <c r="P572" s="1417"/>
      <c r="Q572" s="1417"/>
      <c r="R572" s="1417"/>
      <c r="S572" s="1443"/>
      <c r="T572" s="1417" t="s">
        <v>455</v>
      </c>
      <c r="U572" s="1417" t="s">
        <v>455</v>
      </c>
      <c r="V572" s="1417" t="str">
        <f>IFERROR(__xludf.DUMMYFUNCTION("""COMPUTED_VALUE"""),"")</f>
        <v/>
      </c>
      <c r="W572" s="1416" t="s">
        <v>455</v>
      </c>
      <c r="X572" s="1417"/>
    </row>
    <row r="573">
      <c r="A573" s="1404"/>
      <c r="B573" s="1424"/>
      <c r="C573" s="1473"/>
      <c r="D573" s="1476"/>
      <c r="E573" s="1477"/>
      <c r="F573" s="1424"/>
      <c r="G573" s="1424"/>
      <c r="H573" s="1424"/>
      <c r="I573" s="1424"/>
      <c r="J573" s="1423"/>
      <c r="K573" s="1429"/>
      <c r="L573" s="1429"/>
      <c r="M573" s="1429"/>
      <c r="N573" s="1417"/>
      <c r="O573" s="1417"/>
      <c r="P573" s="1417"/>
      <c r="Q573" s="1417"/>
      <c r="R573" s="1417"/>
      <c r="S573" s="1443"/>
      <c r="T573" s="1417" t="s">
        <v>455</v>
      </c>
      <c r="U573" s="1417" t="s">
        <v>455</v>
      </c>
      <c r="V573" s="1417" t="str">
        <f>IFERROR(__xludf.DUMMYFUNCTION("""COMPUTED_VALUE"""),"")</f>
        <v/>
      </c>
      <c r="W573" s="1416" t="s">
        <v>455</v>
      </c>
      <c r="X573" s="1417"/>
    </row>
    <row r="574">
      <c r="A574" s="1404"/>
      <c r="B574" s="1424"/>
      <c r="C574" s="1473"/>
      <c r="D574" s="1476"/>
      <c r="E574" s="1477"/>
      <c r="F574" s="1424"/>
      <c r="G574" s="1424"/>
      <c r="H574" s="1424"/>
      <c r="I574" s="1424"/>
      <c r="J574" s="1423"/>
      <c r="K574" s="1429"/>
      <c r="L574" s="1429"/>
      <c r="M574" s="1429"/>
      <c r="N574" s="1417"/>
      <c r="O574" s="1417"/>
      <c r="P574" s="1417"/>
      <c r="Q574" s="1417"/>
      <c r="R574" s="1417"/>
      <c r="S574" s="1443"/>
      <c r="T574" s="1417" t="s">
        <v>455</v>
      </c>
      <c r="U574" s="1417" t="s">
        <v>455</v>
      </c>
      <c r="V574" s="1417" t="str">
        <f>IFERROR(__xludf.DUMMYFUNCTION("""COMPUTED_VALUE"""),"")</f>
        <v/>
      </c>
      <c r="W574" s="1416" t="s">
        <v>455</v>
      </c>
      <c r="X574" s="1417"/>
    </row>
    <row r="575">
      <c r="A575" s="1404"/>
      <c r="B575" s="1424"/>
      <c r="C575" s="1473"/>
      <c r="D575" s="1476"/>
      <c r="E575" s="1477"/>
      <c r="F575" s="1424"/>
      <c r="G575" s="1424"/>
      <c r="H575" s="1424"/>
      <c r="I575" s="1424"/>
      <c r="J575" s="1423"/>
      <c r="K575" s="1429"/>
      <c r="L575" s="1429"/>
      <c r="M575" s="1429"/>
      <c r="N575" s="1417"/>
      <c r="O575" s="1417"/>
      <c r="P575" s="1417"/>
      <c r="Q575" s="1417"/>
      <c r="R575" s="1417"/>
      <c r="S575" s="1443"/>
      <c r="T575" s="1417" t="s">
        <v>455</v>
      </c>
      <c r="U575" s="1417" t="s">
        <v>455</v>
      </c>
      <c r="V575" s="1417" t="str">
        <f>IFERROR(__xludf.DUMMYFUNCTION("""COMPUTED_VALUE"""),"")</f>
        <v/>
      </c>
      <c r="W575" s="1416" t="s">
        <v>455</v>
      </c>
      <c r="X575" s="1417"/>
    </row>
    <row r="576">
      <c r="A576" s="1404"/>
      <c r="B576" s="1424"/>
      <c r="C576" s="1473"/>
      <c r="D576" s="1476"/>
      <c r="E576" s="1477"/>
      <c r="F576" s="1424"/>
      <c r="G576" s="1424"/>
      <c r="H576" s="1424"/>
      <c r="I576" s="1424"/>
      <c r="J576" s="1423"/>
      <c r="K576" s="1429"/>
      <c r="L576" s="1429"/>
      <c r="M576" s="1429"/>
      <c r="N576" s="1417"/>
      <c r="O576" s="1417"/>
      <c r="P576" s="1417"/>
      <c r="Q576" s="1417"/>
      <c r="R576" s="1417"/>
      <c r="S576" s="1443"/>
      <c r="T576" s="1417" t="s">
        <v>455</v>
      </c>
      <c r="U576" s="1417" t="s">
        <v>455</v>
      </c>
      <c r="V576" s="1417" t="str">
        <f>IFERROR(__xludf.DUMMYFUNCTION("""COMPUTED_VALUE"""),"")</f>
        <v/>
      </c>
      <c r="W576" s="1416" t="s">
        <v>455</v>
      </c>
      <c r="X576" s="1417"/>
    </row>
    <row r="577">
      <c r="A577" s="1404"/>
      <c r="B577" s="1424"/>
      <c r="C577" s="1473"/>
      <c r="D577" s="1476"/>
      <c r="E577" s="1477"/>
      <c r="F577" s="1424"/>
      <c r="G577" s="1424"/>
      <c r="H577" s="1424"/>
      <c r="I577" s="1424"/>
      <c r="J577" s="1423"/>
      <c r="K577" s="1429"/>
      <c r="L577" s="1429"/>
      <c r="M577" s="1429"/>
      <c r="N577" s="1417"/>
      <c r="O577" s="1417"/>
      <c r="P577" s="1417"/>
      <c r="Q577" s="1417"/>
      <c r="R577" s="1417"/>
      <c r="S577" s="1443"/>
      <c r="T577" s="1417" t="s">
        <v>455</v>
      </c>
      <c r="U577" s="1417" t="s">
        <v>455</v>
      </c>
      <c r="V577" s="1417" t="str">
        <f>IFERROR(__xludf.DUMMYFUNCTION("""COMPUTED_VALUE"""),"")</f>
        <v/>
      </c>
      <c r="W577" s="1416" t="s">
        <v>455</v>
      </c>
      <c r="X577" s="1417"/>
    </row>
    <row r="578">
      <c r="A578" s="1404"/>
      <c r="B578" s="1424"/>
      <c r="C578" s="1473"/>
      <c r="D578" s="1476"/>
      <c r="E578" s="1477"/>
      <c r="F578" s="1424"/>
      <c r="G578" s="1424"/>
      <c r="H578" s="1424"/>
      <c r="I578" s="1424"/>
      <c r="J578" s="1423"/>
      <c r="K578" s="1429"/>
      <c r="L578" s="1429"/>
      <c r="M578" s="1429"/>
      <c r="N578" s="1417"/>
      <c r="O578" s="1417"/>
      <c r="P578" s="1417"/>
      <c r="Q578" s="1417"/>
      <c r="R578" s="1417"/>
      <c r="S578" s="1443"/>
      <c r="T578" s="1417" t="s">
        <v>455</v>
      </c>
      <c r="U578" s="1417" t="s">
        <v>455</v>
      </c>
      <c r="V578" s="1417" t="str">
        <f>IFERROR(__xludf.DUMMYFUNCTION("""COMPUTED_VALUE"""),"")</f>
        <v/>
      </c>
      <c r="W578" s="1416" t="s">
        <v>455</v>
      </c>
      <c r="X578" s="1417"/>
    </row>
    <row r="579">
      <c r="A579" s="1404"/>
      <c r="B579" s="1424"/>
      <c r="C579" s="1473"/>
      <c r="D579" s="1476"/>
      <c r="E579" s="1477"/>
      <c r="F579" s="1424"/>
      <c r="G579" s="1424"/>
      <c r="H579" s="1424"/>
      <c r="I579" s="1424"/>
      <c r="J579" s="1423"/>
      <c r="K579" s="1429"/>
      <c r="L579" s="1429"/>
      <c r="M579" s="1429"/>
      <c r="N579" s="1417"/>
      <c r="O579" s="1417"/>
      <c r="P579" s="1417"/>
      <c r="Q579" s="1417"/>
      <c r="R579" s="1417"/>
      <c r="S579" s="1443"/>
      <c r="T579" s="1417" t="s">
        <v>455</v>
      </c>
      <c r="U579" s="1417" t="s">
        <v>455</v>
      </c>
      <c r="V579" s="1417" t="str">
        <f>IFERROR(__xludf.DUMMYFUNCTION("""COMPUTED_VALUE"""),"")</f>
        <v/>
      </c>
      <c r="W579" s="1416" t="s">
        <v>455</v>
      </c>
      <c r="X579" s="1417"/>
    </row>
    <row r="580">
      <c r="A580" s="1404"/>
      <c r="B580" s="1424"/>
      <c r="C580" s="1473"/>
      <c r="D580" s="1476"/>
      <c r="E580" s="1477"/>
      <c r="F580" s="1424"/>
      <c r="G580" s="1424"/>
      <c r="H580" s="1424"/>
      <c r="I580" s="1424"/>
      <c r="J580" s="1423"/>
      <c r="K580" s="1429"/>
      <c r="L580" s="1429"/>
      <c r="M580" s="1429"/>
      <c r="N580" s="1417"/>
      <c r="O580" s="1417"/>
      <c r="P580" s="1417"/>
      <c r="Q580" s="1417"/>
      <c r="R580" s="1417"/>
      <c r="S580" s="1443"/>
      <c r="T580" s="1417" t="s">
        <v>455</v>
      </c>
      <c r="U580" s="1417" t="s">
        <v>455</v>
      </c>
      <c r="V580" s="1417" t="str">
        <f>IFERROR(__xludf.DUMMYFUNCTION("""COMPUTED_VALUE"""),"")</f>
        <v/>
      </c>
      <c r="W580" s="1416" t="s">
        <v>455</v>
      </c>
      <c r="X580" s="1417"/>
    </row>
    <row r="581">
      <c r="A581" s="1404"/>
      <c r="B581" s="1424"/>
      <c r="C581" s="1473"/>
      <c r="D581" s="1476"/>
      <c r="E581" s="1477"/>
      <c r="F581" s="1424"/>
      <c r="G581" s="1424"/>
      <c r="H581" s="1424"/>
      <c r="I581" s="1424"/>
      <c r="J581" s="1423"/>
      <c r="K581" s="1429"/>
      <c r="L581" s="1429"/>
      <c r="M581" s="1429"/>
      <c r="N581" s="1417"/>
      <c r="O581" s="1417"/>
      <c r="P581" s="1417"/>
      <c r="Q581" s="1417"/>
      <c r="R581" s="1417"/>
      <c r="S581" s="1443"/>
      <c r="T581" s="1417" t="s">
        <v>455</v>
      </c>
      <c r="U581" s="1417" t="s">
        <v>455</v>
      </c>
      <c r="V581" s="1417" t="str">
        <f>IFERROR(__xludf.DUMMYFUNCTION("""COMPUTED_VALUE"""),"")</f>
        <v/>
      </c>
      <c r="W581" s="1416" t="s">
        <v>455</v>
      </c>
      <c r="X581" s="1417"/>
    </row>
    <row r="582">
      <c r="A582" s="1404"/>
      <c r="B582" s="1424"/>
      <c r="C582" s="1473"/>
      <c r="D582" s="1476"/>
      <c r="E582" s="1477"/>
      <c r="F582" s="1424"/>
      <c r="G582" s="1424"/>
      <c r="H582" s="1424"/>
      <c r="I582" s="1424"/>
      <c r="J582" s="1423"/>
      <c r="K582" s="1429"/>
      <c r="L582" s="1429"/>
      <c r="M582" s="1429"/>
      <c r="N582" s="1417"/>
      <c r="O582" s="1417"/>
      <c r="P582" s="1417"/>
      <c r="Q582" s="1417"/>
      <c r="R582" s="1417"/>
      <c r="S582" s="1443"/>
      <c r="T582" s="1417" t="s">
        <v>455</v>
      </c>
      <c r="U582" s="1417" t="s">
        <v>455</v>
      </c>
      <c r="V582" s="1417" t="str">
        <f>IFERROR(__xludf.DUMMYFUNCTION("""COMPUTED_VALUE"""),"")</f>
        <v/>
      </c>
      <c r="W582" s="1416" t="s">
        <v>455</v>
      </c>
      <c r="X582" s="1417"/>
    </row>
    <row r="583">
      <c r="A583" s="1404"/>
      <c r="B583" s="1424"/>
      <c r="C583" s="1473"/>
      <c r="D583" s="1476"/>
      <c r="E583" s="1477"/>
      <c r="F583" s="1424"/>
      <c r="G583" s="1424"/>
      <c r="H583" s="1424"/>
      <c r="I583" s="1424"/>
      <c r="J583" s="1423"/>
      <c r="K583" s="1429"/>
      <c r="L583" s="1429"/>
      <c r="M583" s="1429"/>
      <c r="N583" s="1417"/>
      <c r="O583" s="1417"/>
      <c r="P583" s="1417"/>
      <c r="Q583" s="1417"/>
      <c r="R583" s="1417"/>
      <c r="S583" s="1443"/>
      <c r="T583" s="1417" t="s">
        <v>455</v>
      </c>
      <c r="U583" s="1417" t="s">
        <v>455</v>
      </c>
      <c r="V583" s="1417" t="str">
        <f>IFERROR(__xludf.DUMMYFUNCTION("""COMPUTED_VALUE"""),"")</f>
        <v/>
      </c>
      <c r="W583" s="1416" t="s">
        <v>455</v>
      </c>
      <c r="X583" s="1417"/>
    </row>
    <row r="584">
      <c r="A584" s="1404"/>
      <c r="B584" s="1424"/>
      <c r="C584" s="1473"/>
      <c r="D584" s="1476"/>
      <c r="E584" s="1477"/>
      <c r="F584" s="1424"/>
      <c r="G584" s="1424"/>
      <c r="H584" s="1424"/>
      <c r="I584" s="1424"/>
      <c r="J584" s="1423"/>
      <c r="K584" s="1429"/>
      <c r="L584" s="1429"/>
      <c r="M584" s="1429"/>
      <c r="N584" s="1417"/>
      <c r="O584" s="1417"/>
      <c r="P584" s="1417"/>
      <c r="Q584" s="1417"/>
      <c r="R584" s="1417"/>
      <c r="S584" s="1443"/>
      <c r="T584" s="1417" t="s">
        <v>455</v>
      </c>
      <c r="U584" s="1417" t="s">
        <v>455</v>
      </c>
      <c r="V584" s="1417" t="str">
        <f>IFERROR(__xludf.DUMMYFUNCTION("""COMPUTED_VALUE"""),"")</f>
        <v/>
      </c>
      <c r="W584" s="1416" t="s">
        <v>455</v>
      </c>
      <c r="X584" s="1417"/>
    </row>
    <row r="585">
      <c r="A585" s="1404"/>
      <c r="B585" s="1424"/>
      <c r="C585" s="1473"/>
      <c r="D585" s="1476"/>
      <c r="E585" s="1477"/>
      <c r="F585" s="1424"/>
      <c r="G585" s="1424"/>
      <c r="H585" s="1424"/>
      <c r="I585" s="1424"/>
      <c r="J585" s="1423"/>
      <c r="K585" s="1429"/>
      <c r="L585" s="1429"/>
      <c r="M585" s="1429"/>
      <c r="N585" s="1417"/>
      <c r="O585" s="1417"/>
      <c r="P585" s="1417"/>
      <c r="Q585" s="1417"/>
      <c r="R585" s="1417"/>
      <c r="S585" s="1443"/>
      <c r="T585" s="1417" t="s">
        <v>455</v>
      </c>
      <c r="U585" s="1417" t="s">
        <v>455</v>
      </c>
      <c r="V585" s="1417" t="str">
        <f>IFERROR(__xludf.DUMMYFUNCTION("""COMPUTED_VALUE"""),"")</f>
        <v/>
      </c>
      <c r="W585" s="1416" t="s">
        <v>455</v>
      </c>
      <c r="X585" s="1417"/>
    </row>
    <row r="586">
      <c r="A586" s="1404"/>
      <c r="B586" s="1424"/>
      <c r="C586" s="1473"/>
      <c r="D586" s="1476"/>
      <c r="E586" s="1477"/>
      <c r="F586" s="1424"/>
      <c r="G586" s="1424"/>
      <c r="H586" s="1424"/>
      <c r="I586" s="1424"/>
      <c r="J586" s="1423"/>
      <c r="K586" s="1429"/>
      <c r="L586" s="1429"/>
      <c r="M586" s="1429"/>
      <c r="N586" s="1417"/>
      <c r="O586" s="1417"/>
      <c r="P586" s="1417"/>
      <c r="Q586" s="1417"/>
      <c r="R586" s="1417"/>
      <c r="S586" s="1443"/>
      <c r="T586" s="1417" t="s">
        <v>455</v>
      </c>
      <c r="U586" s="1417" t="s">
        <v>455</v>
      </c>
      <c r="V586" s="1417" t="str">
        <f>IFERROR(__xludf.DUMMYFUNCTION("""COMPUTED_VALUE"""),"")</f>
        <v/>
      </c>
      <c r="W586" s="1416" t="s">
        <v>455</v>
      </c>
      <c r="X586" s="1417"/>
    </row>
    <row r="587">
      <c r="A587" s="1404"/>
      <c r="B587" s="1424"/>
      <c r="C587" s="1473"/>
      <c r="D587" s="1476"/>
      <c r="E587" s="1477"/>
      <c r="F587" s="1424"/>
      <c r="G587" s="1424"/>
      <c r="H587" s="1424"/>
      <c r="I587" s="1424"/>
      <c r="J587" s="1423"/>
      <c r="K587" s="1429"/>
      <c r="L587" s="1429"/>
      <c r="M587" s="1429"/>
      <c r="N587" s="1417"/>
      <c r="O587" s="1417"/>
      <c r="P587" s="1417"/>
      <c r="Q587" s="1417"/>
      <c r="R587" s="1417"/>
      <c r="S587" s="1443"/>
      <c r="T587" s="1417" t="s">
        <v>455</v>
      </c>
      <c r="U587" s="1417" t="s">
        <v>455</v>
      </c>
      <c r="V587" s="1417" t="str">
        <f>IFERROR(__xludf.DUMMYFUNCTION("""COMPUTED_VALUE"""),"")</f>
        <v/>
      </c>
      <c r="W587" s="1416" t="s">
        <v>455</v>
      </c>
      <c r="X587" s="1417"/>
    </row>
    <row r="588">
      <c r="A588" s="1404"/>
      <c r="B588" s="1424"/>
      <c r="C588" s="1473"/>
      <c r="D588" s="1476"/>
      <c r="E588" s="1477"/>
      <c r="F588" s="1424"/>
      <c r="G588" s="1424"/>
      <c r="H588" s="1424"/>
      <c r="I588" s="1424"/>
      <c r="J588" s="1423"/>
      <c r="K588" s="1429"/>
      <c r="L588" s="1429"/>
      <c r="M588" s="1429"/>
      <c r="N588" s="1417"/>
      <c r="O588" s="1417"/>
      <c r="P588" s="1417"/>
      <c r="Q588" s="1417"/>
      <c r="R588" s="1417"/>
      <c r="S588" s="1443"/>
      <c r="T588" s="1417" t="s">
        <v>455</v>
      </c>
      <c r="U588" s="1417" t="s">
        <v>455</v>
      </c>
      <c r="V588" s="1417" t="str">
        <f>IFERROR(__xludf.DUMMYFUNCTION("""COMPUTED_VALUE"""),"")</f>
        <v/>
      </c>
      <c r="W588" s="1416" t="s">
        <v>455</v>
      </c>
      <c r="X588" s="1417"/>
    </row>
    <row r="589">
      <c r="A589" s="1404"/>
      <c r="B589" s="1424"/>
      <c r="C589" s="1473"/>
      <c r="D589" s="1476"/>
      <c r="E589" s="1477"/>
      <c r="F589" s="1424"/>
      <c r="G589" s="1424"/>
      <c r="H589" s="1424"/>
      <c r="I589" s="1424"/>
      <c r="J589" s="1423"/>
      <c r="K589" s="1429"/>
      <c r="L589" s="1429"/>
      <c r="M589" s="1429"/>
      <c r="N589" s="1417"/>
      <c r="O589" s="1417"/>
      <c r="P589" s="1417"/>
      <c r="Q589" s="1417"/>
      <c r="R589" s="1417"/>
      <c r="S589" s="1443"/>
      <c r="T589" s="1417" t="s">
        <v>455</v>
      </c>
      <c r="U589" s="1417" t="s">
        <v>455</v>
      </c>
      <c r="V589" s="1417" t="str">
        <f>IFERROR(__xludf.DUMMYFUNCTION("""COMPUTED_VALUE"""),"")</f>
        <v/>
      </c>
      <c r="W589" s="1416" t="s">
        <v>455</v>
      </c>
      <c r="X589" s="1417"/>
    </row>
    <row r="590">
      <c r="A590" s="1404"/>
      <c r="B590" s="1424"/>
      <c r="C590" s="1473"/>
      <c r="D590" s="1476"/>
      <c r="E590" s="1477"/>
      <c r="F590" s="1424"/>
      <c r="G590" s="1424"/>
      <c r="H590" s="1424"/>
      <c r="I590" s="1424"/>
      <c r="J590" s="1423"/>
      <c r="K590" s="1429"/>
      <c r="L590" s="1429"/>
      <c r="M590" s="1429"/>
      <c r="N590" s="1417"/>
      <c r="O590" s="1417"/>
      <c r="P590" s="1417"/>
      <c r="Q590" s="1417"/>
      <c r="R590" s="1417"/>
      <c r="S590" s="1443"/>
      <c r="T590" s="1417" t="s">
        <v>455</v>
      </c>
      <c r="U590" s="1417" t="s">
        <v>455</v>
      </c>
      <c r="V590" s="1417" t="str">
        <f>IFERROR(__xludf.DUMMYFUNCTION("""COMPUTED_VALUE"""),"")</f>
        <v/>
      </c>
      <c r="W590" s="1416" t="s">
        <v>455</v>
      </c>
      <c r="X590" s="1417"/>
    </row>
    <row r="591">
      <c r="A591" s="1404"/>
      <c r="B591" s="1424"/>
      <c r="C591" s="1473"/>
      <c r="D591" s="1476"/>
      <c r="E591" s="1477"/>
      <c r="F591" s="1424"/>
      <c r="G591" s="1424"/>
      <c r="H591" s="1424"/>
      <c r="I591" s="1424"/>
      <c r="J591" s="1423"/>
      <c r="K591" s="1429"/>
      <c r="L591" s="1429"/>
      <c r="M591" s="1429"/>
      <c r="N591" s="1417"/>
      <c r="O591" s="1417"/>
      <c r="P591" s="1417"/>
      <c r="Q591" s="1417"/>
      <c r="R591" s="1417"/>
      <c r="S591" s="1443"/>
      <c r="T591" s="1417" t="s">
        <v>455</v>
      </c>
      <c r="U591" s="1417" t="s">
        <v>455</v>
      </c>
      <c r="V591" s="1417" t="str">
        <f>IFERROR(__xludf.DUMMYFUNCTION("""COMPUTED_VALUE"""),"")</f>
        <v/>
      </c>
      <c r="W591" s="1416" t="s">
        <v>455</v>
      </c>
      <c r="X591" s="1417"/>
    </row>
    <row r="592">
      <c r="A592" s="1404"/>
      <c r="B592" s="1424"/>
      <c r="C592" s="1473"/>
      <c r="D592" s="1476"/>
      <c r="E592" s="1477"/>
      <c r="F592" s="1424"/>
      <c r="G592" s="1424"/>
      <c r="H592" s="1424"/>
      <c r="I592" s="1424"/>
      <c r="J592" s="1423"/>
      <c r="K592" s="1429"/>
      <c r="L592" s="1429"/>
      <c r="M592" s="1429"/>
      <c r="N592" s="1417"/>
      <c r="O592" s="1417"/>
      <c r="P592" s="1417"/>
      <c r="Q592" s="1417"/>
      <c r="R592" s="1417"/>
      <c r="S592" s="1443"/>
      <c r="T592" s="1417" t="s">
        <v>455</v>
      </c>
      <c r="U592" s="1417" t="s">
        <v>455</v>
      </c>
      <c r="V592" s="1417" t="str">
        <f>IFERROR(__xludf.DUMMYFUNCTION("""COMPUTED_VALUE"""),"")</f>
        <v/>
      </c>
      <c r="W592" s="1416" t="s">
        <v>455</v>
      </c>
      <c r="X592" s="1417"/>
    </row>
    <row r="593">
      <c r="A593" s="1404"/>
      <c r="B593" s="1424"/>
      <c r="C593" s="1473"/>
      <c r="D593" s="1476"/>
      <c r="E593" s="1477"/>
      <c r="F593" s="1424"/>
      <c r="G593" s="1424"/>
      <c r="H593" s="1424"/>
      <c r="I593" s="1424"/>
      <c r="J593" s="1423"/>
      <c r="K593" s="1429"/>
      <c r="L593" s="1429"/>
      <c r="M593" s="1429"/>
      <c r="N593" s="1417"/>
      <c r="O593" s="1417"/>
      <c r="P593" s="1417"/>
      <c r="Q593" s="1417"/>
      <c r="R593" s="1417"/>
      <c r="S593" s="1443"/>
      <c r="T593" s="1417" t="s">
        <v>455</v>
      </c>
      <c r="U593" s="1417" t="s">
        <v>455</v>
      </c>
      <c r="V593" s="1417" t="str">
        <f>IFERROR(__xludf.DUMMYFUNCTION("""COMPUTED_VALUE"""),"")</f>
        <v/>
      </c>
      <c r="W593" s="1416" t="s">
        <v>455</v>
      </c>
      <c r="X593" s="1417"/>
    </row>
    <row r="594">
      <c r="A594" s="1404"/>
      <c r="B594" s="1424"/>
      <c r="C594" s="1473"/>
      <c r="D594" s="1476"/>
      <c r="E594" s="1477"/>
      <c r="F594" s="1424"/>
      <c r="G594" s="1424"/>
      <c r="H594" s="1424"/>
      <c r="I594" s="1424"/>
      <c r="J594" s="1423"/>
      <c r="K594" s="1429"/>
      <c r="L594" s="1429"/>
      <c r="M594" s="1429"/>
      <c r="N594" s="1417"/>
      <c r="O594" s="1417"/>
      <c r="P594" s="1417"/>
      <c r="Q594" s="1417"/>
      <c r="R594" s="1417"/>
      <c r="S594" s="1443"/>
      <c r="T594" s="1417" t="s">
        <v>455</v>
      </c>
      <c r="U594" s="1417" t="s">
        <v>455</v>
      </c>
      <c r="V594" s="1417" t="str">
        <f>IFERROR(__xludf.DUMMYFUNCTION("""COMPUTED_VALUE"""),"")</f>
        <v/>
      </c>
      <c r="W594" s="1416" t="s">
        <v>455</v>
      </c>
      <c r="X594" s="1417"/>
    </row>
    <row r="595">
      <c r="A595" s="1404"/>
      <c r="B595" s="1424"/>
      <c r="C595" s="1473"/>
      <c r="D595" s="1476"/>
      <c r="E595" s="1477"/>
      <c r="F595" s="1424"/>
      <c r="G595" s="1424"/>
      <c r="H595" s="1424"/>
      <c r="I595" s="1424"/>
      <c r="J595" s="1423"/>
      <c r="K595" s="1429"/>
      <c r="L595" s="1429"/>
      <c r="M595" s="1429"/>
      <c r="N595" s="1417"/>
      <c r="O595" s="1417"/>
      <c r="P595" s="1417"/>
      <c r="Q595" s="1417"/>
      <c r="R595" s="1417"/>
      <c r="S595" s="1443"/>
      <c r="T595" s="1417" t="s">
        <v>455</v>
      </c>
      <c r="U595" s="1417" t="s">
        <v>455</v>
      </c>
      <c r="V595" s="1417" t="str">
        <f>IFERROR(__xludf.DUMMYFUNCTION("""COMPUTED_VALUE"""),"")</f>
        <v/>
      </c>
      <c r="W595" s="1416" t="s">
        <v>455</v>
      </c>
      <c r="X595" s="1417"/>
    </row>
    <row r="596">
      <c r="A596" s="1404"/>
      <c r="B596" s="1424"/>
      <c r="C596" s="1473"/>
      <c r="D596" s="1476"/>
      <c r="E596" s="1477"/>
      <c r="F596" s="1424"/>
      <c r="G596" s="1424"/>
      <c r="H596" s="1424"/>
      <c r="I596" s="1424"/>
      <c r="J596" s="1423"/>
      <c r="K596" s="1429"/>
      <c r="L596" s="1429"/>
      <c r="M596" s="1429"/>
      <c r="N596" s="1417"/>
      <c r="O596" s="1417"/>
      <c r="P596" s="1417"/>
      <c r="Q596" s="1417"/>
      <c r="R596" s="1417"/>
      <c r="S596" s="1443"/>
      <c r="T596" s="1417" t="s">
        <v>455</v>
      </c>
      <c r="U596" s="1417" t="s">
        <v>455</v>
      </c>
      <c r="V596" s="1417" t="str">
        <f>IFERROR(__xludf.DUMMYFUNCTION("""COMPUTED_VALUE"""),"")</f>
        <v/>
      </c>
      <c r="W596" s="1416" t="s">
        <v>455</v>
      </c>
      <c r="X596" s="1417"/>
    </row>
    <row r="597">
      <c r="A597" s="1404"/>
      <c r="B597" s="1424"/>
      <c r="C597" s="1473"/>
      <c r="D597" s="1476"/>
      <c r="E597" s="1477"/>
      <c r="F597" s="1424"/>
      <c r="G597" s="1424"/>
      <c r="H597" s="1424"/>
      <c r="I597" s="1424"/>
      <c r="J597" s="1423"/>
      <c r="K597" s="1429"/>
      <c r="L597" s="1429"/>
      <c r="M597" s="1429"/>
      <c r="N597" s="1417"/>
      <c r="O597" s="1417"/>
      <c r="P597" s="1417"/>
      <c r="Q597" s="1417"/>
      <c r="R597" s="1417"/>
      <c r="S597" s="1443"/>
      <c r="T597" s="1417" t="s">
        <v>455</v>
      </c>
      <c r="U597" s="1417" t="s">
        <v>455</v>
      </c>
      <c r="V597" s="1417" t="str">
        <f>IFERROR(__xludf.DUMMYFUNCTION("""COMPUTED_VALUE"""),"")</f>
        <v/>
      </c>
      <c r="W597" s="1416" t="s">
        <v>455</v>
      </c>
      <c r="X597" s="1417"/>
    </row>
    <row r="598">
      <c r="A598" s="1404"/>
      <c r="B598" s="1424"/>
      <c r="C598" s="1473"/>
      <c r="D598" s="1476"/>
      <c r="E598" s="1477"/>
      <c r="F598" s="1424"/>
      <c r="G598" s="1424"/>
      <c r="H598" s="1424"/>
      <c r="I598" s="1424"/>
      <c r="J598" s="1423"/>
      <c r="K598" s="1429"/>
      <c r="L598" s="1429"/>
      <c r="M598" s="1429"/>
      <c r="N598" s="1417"/>
      <c r="O598" s="1417"/>
      <c r="P598" s="1417"/>
      <c r="Q598" s="1417"/>
      <c r="R598" s="1417"/>
      <c r="S598" s="1443"/>
      <c r="T598" s="1417" t="s">
        <v>455</v>
      </c>
      <c r="U598" s="1417" t="s">
        <v>455</v>
      </c>
      <c r="V598" s="1417" t="str">
        <f>IFERROR(__xludf.DUMMYFUNCTION("""COMPUTED_VALUE"""),"")</f>
        <v/>
      </c>
      <c r="W598" s="1416" t="s">
        <v>455</v>
      </c>
      <c r="X598" s="1417"/>
    </row>
    <row r="599">
      <c r="A599" s="1404"/>
      <c r="B599" s="1424"/>
      <c r="C599" s="1473"/>
      <c r="D599" s="1476"/>
      <c r="E599" s="1477"/>
      <c r="F599" s="1424"/>
      <c r="G599" s="1424"/>
      <c r="H599" s="1424"/>
      <c r="I599" s="1424"/>
      <c r="J599" s="1423"/>
      <c r="K599" s="1429"/>
      <c r="L599" s="1429"/>
      <c r="M599" s="1429"/>
      <c r="N599" s="1417"/>
      <c r="O599" s="1417"/>
      <c r="P599" s="1417"/>
      <c r="Q599" s="1417"/>
      <c r="R599" s="1417"/>
      <c r="S599" s="1443"/>
      <c r="T599" s="1417" t="s">
        <v>455</v>
      </c>
      <c r="U599" s="1417" t="s">
        <v>455</v>
      </c>
      <c r="V599" s="1417" t="str">
        <f>IFERROR(__xludf.DUMMYFUNCTION("""COMPUTED_VALUE"""),"")</f>
        <v/>
      </c>
      <c r="W599" s="1416" t="s">
        <v>455</v>
      </c>
      <c r="X599" s="1417"/>
    </row>
    <row r="600">
      <c r="A600" s="1404"/>
      <c r="B600" s="1424"/>
      <c r="C600" s="1473"/>
      <c r="D600" s="1476"/>
      <c r="E600" s="1477"/>
      <c r="F600" s="1424"/>
      <c r="G600" s="1424"/>
      <c r="H600" s="1424"/>
      <c r="I600" s="1424"/>
      <c r="J600" s="1423"/>
      <c r="K600" s="1429"/>
      <c r="L600" s="1429"/>
      <c r="M600" s="1429"/>
      <c r="N600" s="1417"/>
      <c r="O600" s="1417"/>
      <c r="P600" s="1417"/>
      <c r="Q600" s="1417"/>
      <c r="R600" s="1417"/>
      <c r="S600" s="1443"/>
      <c r="T600" s="1417" t="s">
        <v>455</v>
      </c>
      <c r="U600" s="1417" t="s">
        <v>455</v>
      </c>
      <c r="V600" s="1417" t="str">
        <f>IFERROR(__xludf.DUMMYFUNCTION("""COMPUTED_VALUE"""),"")</f>
        <v/>
      </c>
      <c r="W600" s="1416" t="s">
        <v>455</v>
      </c>
      <c r="X600" s="1417"/>
    </row>
    <row r="601">
      <c r="A601" s="1404"/>
      <c r="B601" s="1424"/>
      <c r="C601" s="1473"/>
      <c r="D601" s="1476"/>
      <c r="E601" s="1477"/>
      <c r="F601" s="1424"/>
      <c r="G601" s="1424"/>
      <c r="H601" s="1424"/>
      <c r="I601" s="1424"/>
      <c r="J601" s="1423"/>
      <c r="K601" s="1429"/>
      <c r="L601" s="1429"/>
      <c r="M601" s="1429"/>
      <c r="N601" s="1417"/>
      <c r="O601" s="1417"/>
      <c r="P601" s="1417"/>
      <c r="Q601" s="1417"/>
      <c r="R601" s="1417"/>
      <c r="S601" s="1443"/>
      <c r="T601" s="1417" t="s">
        <v>455</v>
      </c>
      <c r="U601" s="1417" t="s">
        <v>455</v>
      </c>
      <c r="V601" s="1417" t="str">
        <f>IFERROR(__xludf.DUMMYFUNCTION("""COMPUTED_VALUE"""),"")</f>
        <v/>
      </c>
      <c r="W601" s="1416" t="s">
        <v>455</v>
      </c>
      <c r="X601" s="1417"/>
    </row>
    <row r="602">
      <c r="A602" s="1404"/>
      <c r="B602" s="1424"/>
      <c r="C602" s="1473"/>
      <c r="D602" s="1476"/>
      <c r="E602" s="1477"/>
      <c r="F602" s="1424"/>
      <c r="G602" s="1424"/>
      <c r="H602" s="1424"/>
      <c r="I602" s="1424"/>
      <c r="J602" s="1423"/>
      <c r="K602" s="1429"/>
      <c r="L602" s="1429"/>
      <c r="M602" s="1429"/>
      <c r="N602" s="1417"/>
      <c r="O602" s="1417"/>
      <c r="P602" s="1417"/>
      <c r="Q602" s="1417"/>
      <c r="R602" s="1417"/>
      <c r="S602" s="1443"/>
      <c r="T602" s="1417" t="s">
        <v>455</v>
      </c>
      <c r="U602" s="1417" t="s">
        <v>455</v>
      </c>
      <c r="V602" s="1417" t="str">
        <f>IFERROR(__xludf.DUMMYFUNCTION("""COMPUTED_VALUE"""),"")</f>
        <v/>
      </c>
      <c r="W602" s="1416" t="s">
        <v>455</v>
      </c>
      <c r="X602" s="1417"/>
    </row>
    <row r="603">
      <c r="A603" s="1404"/>
      <c r="B603" s="1424"/>
      <c r="C603" s="1473"/>
      <c r="D603" s="1476"/>
      <c r="E603" s="1477"/>
      <c r="F603" s="1424"/>
      <c r="G603" s="1424"/>
      <c r="H603" s="1424"/>
      <c r="I603" s="1424"/>
      <c r="J603" s="1423"/>
      <c r="K603" s="1429"/>
      <c r="L603" s="1429"/>
      <c r="M603" s="1429"/>
      <c r="N603" s="1417"/>
      <c r="O603" s="1417"/>
      <c r="P603" s="1417"/>
      <c r="Q603" s="1417"/>
      <c r="R603" s="1417"/>
      <c r="S603" s="1443"/>
      <c r="T603" s="1417" t="s">
        <v>455</v>
      </c>
      <c r="U603" s="1417" t="s">
        <v>455</v>
      </c>
      <c r="V603" s="1417" t="str">
        <f>IFERROR(__xludf.DUMMYFUNCTION("""COMPUTED_VALUE"""),"")</f>
        <v/>
      </c>
      <c r="W603" s="1416" t="s">
        <v>455</v>
      </c>
      <c r="X603" s="1417"/>
    </row>
    <row r="604">
      <c r="A604" s="1404"/>
      <c r="B604" s="1424"/>
      <c r="C604" s="1473"/>
      <c r="D604" s="1476"/>
      <c r="E604" s="1477"/>
      <c r="F604" s="1424"/>
      <c r="G604" s="1424"/>
      <c r="H604" s="1424"/>
      <c r="I604" s="1424"/>
      <c r="J604" s="1423"/>
      <c r="K604" s="1429"/>
      <c r="L604" s="1429"/>
      <c r="M604" s="1429"/>
      <c r="N604" s="1417"/>
      <c r="O604" s="1417"/>
      <c r="P604" s="1417"/>
      <c r="Q604" s="1417"/>
      <c r="R604" s="1417"/>
      <c r="S604" s="1443"/>
      <c r="T604" s="1417" t="s">
        <v>455</v>
      </c>
      <c r="U604" s="1417" t="s">
        <v>455</v>
      </c>
      <c r="V604" s="1417" t="str">
        <f>IFERROR(__xludf.DUMMYFUNCTION("""COMPUTED_VALUE"""),"")</f>
        <v/>
      </c>
      <c r="W604" s="1416" t="s">
        <v>455</v>
      </c>
      <c r="X604" s="1417"/>
    </row>
    <row r="605">
      <c r="A605" s="1404"/>
      <c r="B605" s="1424"/>
      <c r="C605" s="1473"/>
      <c r="D605" s="1476"/>
      <c r="E605" s="1477"/>
      <c r="F605" s="1424"/>
      <c r="G605" s="1424"/>
      <c r="H605" s="1424"/>
      <c r="I605" s="1424"/>
      <c r="J605" s="1423"/>
      <c r="K605" s="1429"/>
      <c r="L605" s="1429"/>
      <c r="M605" s="1429"/>
      <c r="N605" s="1417"/>
      <c r="O605" s="1417"/>
      <c r="P605" s="1417"/>
      <c r="Q605" s="1417"/>
      <c r="R605" s="1417"/>
      <c r="S605" s="1443"/>
      <c r="T605" s="1417" t="s">
        <v>455</v>
      </c>
      <c r="U605" s="1417" t="s">
        <v>455</v>
      </c>
      <c r="V605" s="1417" t="str">
        <f>IFERROR(__xludf.DUMMYFUNCTION("""COMPUTED_VALUE"""),"")</f>
        <v/>
      </c>
      <c r="W605" s="1416" t="s">
        <v>455</v>
      </c>
      <c r="X605" s="1417"/>
    </row>
    <row r="606">
      <c r="A606" s="1404"/>
      <c r="B606" s="1424"/>
      <c r="C606" s="1473"/>
      <c r="D606" s="1476"/>
      <c r="E606" s="1477"/>
      <c r="F606" s="1424"/>
      <c r="G606" s="1424"/>
      <c r="H606" s="1424"/>
      <c r="I606" s="1424"/>
      <c r="J606" s="1423"/>
      <c r="K606" s="1429"/>
      <c r="L606" s="1429"/>
      <c r="M606" s="1429"/>
      <c r="N606" s="1417"/>
      <c r="O606" s="1417"/>
      <c r="P606" s="1417"/>
      <c r="Q606" s="1417"/>
      <c r="R606" s="1417"/>
      <c r="S606" s="1443"/>
      <c r="T606" s="1417" t="s">
        <v>455</v>
      </c>
      <c r="U606" s="1417" t="s">
        <v>455</v>
      </c>
      <c r="V606" s="1417" t="str">
        <f>IFERROR(__xludf.DUMMYFUNCTION("""COMPUTED_VALUE"""),"")</f>
        <v/>
      </c>
      <c r="W606" s="1416" t="s">
        <v>455</v>
      </c>
      <c r="X606" s="1417"/>
    </row>
    <row r="607">
      <c r="A607" s="1404"/>
      <c r="B607" s="1424"/>
      <c r="C607" s="1473"/>
      <c r="D607" s="1476"/>
      <c r="E607" s="1477"/>
      <c r="F607" s="1424"/>
      <c r="G607" s="1424"/>
      <c r="H607" s="1424"/>
      <c r="I607" s="1424"/>
      <c r="J607" s="1423"/>
      <c r="K607" s="1429"/>
      <c r="L607" s="1429"/>
      <c r="M607" s="1429"/>
      <c r="N607" s="1417"/>
      <c r="O607" s="1417"/>
      <c r="P607" s="1417"/>
      <c r="Q607" s="1417"/>
      <c r="R607" s="1417"/>
      <c r="S607" s="1443"/>
      <c r="T607" s="1417" t="s">
        <v>455</v>
      </c>
      <c r="U607" s="1417" t="s">
        <v>455</v>
      </c>
      <c r="V607" s="1417" t="str">
        <f>IFERROR(__xludf.DUMMYFUNCTION("""COMPUTED_VALUE"""),"")</f>
        <v/>
      </c>
      <c r="W607" s="1416" t="s">
        <v>455</v>
      </c>
      <c r="X607" s="1417"/>
    </row>
    <row r="608">
      <c r="A608" s="1404"/>
      <c r="B608" s="1424"/>
      <c r="C608" s="1473"/>
      <c r="D608" s="1476"/>
      <c r="E608" s="1477"/>
      <c r="F608" s="1424"/>
      <c r="G608" s="1424"/>
      <c r="H608" s="1424"/>
      <c r="I608" s="1424"/>
      <c r="J608" s="1423"/>
      <c r="K608" s="1429"/>
      <c r="L608" s="1429"/>
      <c r="M608" s="1429"/>
      <c r="N608" s="1417"/>
      <c r="O608" s="1417"/>
      <c r="P608" s="1417"/>
      <c r="Q608" s="1417"/>
      <c r="R608" s="1417"/>
      <c r="S608" s="1443"/>
      <c r="T608" s="1417" t="s">
        <v>455</v>
      </c>
      <c r="U608" s="1417" t="s">
        <v>455</v>
      </c>
      <c r="V608" s="1417" t="str">
        <f>IFERROR(__xludf.DUMMYFUNCTION("""COMPUTED_VALUE"""),"")</f>
        <v/>
      </c>
      <c r="W608" s="1416" t="s">
        <v>455</v>
      </c>
      <c r="X608" s="1417"/>
    </row>
    <row r="609">
      <c r="A609" s="1404"/>
      <c r="B609" s="1424"/>
      <c r="C609" s="1473"/>
      <c r="D609" s="1476"/>
      <c r="E609" s="1477"/>
      <c r="F609" s="1424"/>
      <c r="G609" s="1424"/>
      <c r="H609" s="1424"/>
      <c r="I609" s="1424"/>
      <c r="J609" s="1423"/>
      <c r="K609" s="1429"/>
      <c r="L609" s="1429"/>
      <c r="M609" s="1429"/>
      <c r="N609" s="1417"/>
      <c r="O609" s="1417"/>
      <c r="P609" s="1417"/>
      <c r="Q609" s="1417"/>
      <c r="R609" s="1417"/>
      <c r="S609" s="1443"/>
      <c r="T609" s="1417" t="s">
        <v>455</v>
      </c>
      <c r="U609" s="1417" t="s">
        <v>455</v>
      </c>
      <c r="V609" s="1417" t="str">
        <f>IFERROR(__xludf.DUMMYFUNCTION("""COMPUTED_VALUE"""),"")</f>
        <v/>
      </c>
      <c r="W609" s="1416" t="s">
        <v>455</v>
      </c>
      <c r="X609" s="1417"/>
    </row>
    <row r="610">
      <c r="A610" s="1404"/>
      <c r="B610" s="1424"/>
      <c r="C610" s="1473"/>
      <c r="D610" s="1476"/>
      <c r="E610" s="1477"/>
      <c r="F610" s="1424"/>
      <c r="G610" s="1424"/>
      <c r="H610" s="1424"/>
      <c r="I610" s="1424"/>
      <c r="J610" s="1423"/>
      <c r="K610" s="1429"/>
      <c r="L610" s="1429"/>
      <c r="M610" s="1429"/>
      <c r="N610" s="1417"/>
      <c r="O610" s="1417"/>
      <c r="P610" s="1417"/>
      <c r="Q610" s="1417"/>
      <c r="R610" s="1417"/>
      <c r="S610" s="1443"/>
      <c r="T610" s="1417" t="s">
        <v>455</v>
      </c>
      <c r="U610" s="1417" t="s">
        <v>455</v>
      </c>
      <c r="V610" s="1417" t="str">
        <f>IFERROR(__xludf.DUMMYFUNCTION("""COMPUTED_VALUE"""),"")</f>
        <v/>
      </c>
      <c r="W610" s="1416" t="s">
        <v>455</v>
      </c>
      <c r="X610" s="1417"/>
    </row>
    <row r="611">
      <c r="A611" s="1404"/>
      <c r="B611" s="1424"/>
      <c r="C611" s="1473"/>
      <c r="D611" s="1476"/>
      <c r="E611" s="1477"/>
      <c r="F611" s="1424"/>
      <c r="G611" s="1424"/>
      <c r="H611" s="1424"/>
      <c r="I611" s="1424"/>
      <c r="J611" s="1423"/>
      <c r="K611" s="1429"/>
      <c r="L611" s="1429"/>
      <c r="M611" s="1429"/>
      <c r="N611" s="1417"/>
      <c r="O611" s="1417"/>
      <c r="P611" s="1417"/>
      <c r="Q611" s="1417"/>
      <c r="R611" s="1417"/>
      <c r="S611" s="1443"/>
      <c r="T611" s="1417" t="s">
        <v>455</v>
      </c>
      <c r="U611" s="1417" t="s">
        <v>455</v>
      </c>
      <c r="V611" s="1417" t="str">
        <f>IFERROR(__xludf.DUMMYFUNCTION("""COMPUTED_VALUE"""),"")</f>
        <v/>
      </c>
      <c r="W611" s="1416" t="s">
        <v>455</v>
      </c>
      <c r="X611" s="1417"/>
    </row>
    <row r="612">
      <c r="A612" s="1404"/>
      <c r="B612" s="1424"/>
      <c r="C612" s="1473"/>
      <c r="D612" s="1476"/>
      <c r="E612" s="1477"/>
      <c r="F612" s="1424"/>
      <c r="G612" s="1424"/>
      <c r="H612" s="1424"/>
      <c r="I612" s="1424"/>
      <c r="J612" s="1423"/>
      <c r="K612" s="1429"/>
      <c r="L612" s="1429"/>
      <c r="M612" s="1429"/>
      <c r="N612" s="1417"/>
      <c r="O612" s="1417"/>
      <c r="P612" s="1417"/>
      <c r="Q612" s="1417"/>
      <c r="R612" s="1417"/>
      <c r="S612" s="1443"/>
      <c r="T612" s="1417" t="s">
        <v>455</v>
      </c>
      <c r="U612" s="1417" t="s">
        <v>455</v>
      </c>
      <c r="V612" s="1417" t="str">
        <f>IFERROR(__xludf.DUMMYFUNCTION("""COMPUTED_VALUE"""),"")</f>
        <v/>
      </c>
      <c r="W612" s="1416" t="s">
        <v>455</v>
      </c>
      <c r="X612" s="1417"/>
    </row>
    <row r="613">
      <c r="A613" s="1404"/>
      <c r="B613" s="1424"/>
      <c r="C613" s="1473"/>
      <c r="D613" s="1476"/>
      <c r="E613" s="1477"/>
      <c r="F613" s="1424"/>
      <c r="G613" s="1424"/>
      <c r="H613" s="1424"/>
      <c r="I613" s="1424"/>
      <c r="J613" s="1423"/>
      <c r="K613" s="1429"/>
      <c r="L613" s="1429"/>
      <c r="M613" s="1429"/>
      <c r="N613" s="1417"/>
      <c r="O613" s="1417"/>
      <c r="P613" s="1417"/>
      <c r="Q613" s="1417"/>
      <c r="R613" s="1417"/>
      <c r="S613" s="1443"/>
      <c r="T613" s="1417" t="s">
        <v>455</v>
      </c>
      <c r="U613" s="1417" t="s">
        <v>455</v>
      </c>
      <c r="V613" s="1417" t="str">
        <f>IFERROR(__xludf.DUMMYFUNCTION("""COMPUTED_VALUE"""),"")</f>
        <v/>
      </c>
      <c r="W613" s="1416" t="s">
        <v>455</v>
      </c>
      <c r="X613" s="1417"/>
    </row>
    <row r="614">
      <c r="A614" s="1404"/>
      <c r="B614" s="1424"/>
      <c r="C614" s="1473"/>
      <c r="D614" s="1476"/>
      <c r="E614" s="1477"/>
      <c r="F614" s="1424"/>
      <c r="G614" s="1424"/>
      <c r="H614" s="1424"/>
      <c r="I614" s="1424"/>
      <c r="J614" s="1423"/>
      <c r="K614" s="1429"/>
      <c r="L614" s="1429"/>
      <c r="M614" s="1429"/>
      <c r="N614" s="1417"/>
      <c r="O614" s="1417"/>
      <c r="P614" s="1417"/>
      <c r="Q614" s="1417"/>
      <c r="R614" s="1417"/>
      <c r="S614" s="1443"/>
      <c r="T614" s="1417" t="s">
        <v>455</v>
      </c>
      <c r="U614" s="1417" t="s">
        <v>455</v>
      </c>
      <c r="V614" s="1417" t="str">
        <f>IFERROR(__xludf.DUMMYFUNCTION("""COMPUTED_VALUE"""),"")</f>
        <v/>
      </c>
      <c r="W614" s="1416" t="s">
        <v>455</v>
      </c>
      <c r="X614" s="1417"/>
    </row>
    <row r="615">
      <c r="A615" s="1404"/>
      <c r="B615" s="1424"/>
      <c r="C615" s="1473"/>
      <c r="D615" s="1476"/>
      <c r="E615" s="1477"/>
      <c r="F615" s="1424"/>
      <c r="G615" s="1424"/>
      <c r="H615" s="1424"/>
      <c r="I615" s="1424"/>
      <c r="J615" s="1423"/>
      <c r="K615" s="1429"/>
      <c r="L615" s="1429"/>
      <c r="M615" s="1429"/>
      <c r="N615" s="1417"/>
      <c r="O615" s="1417"/>
      <c r="P615" s="1417"/>
      <c r="Q615" s="1417"/>
      <c r="R615" s="1417"/>
      <c r="S615" s="1443"/>
      <c r="T615" s="1417" t="s">
        <v>455</v>
      </c>
      <c r="U615" s="1417" t="s">
        <v>455</v>
      </c>
      <c r="V615" s="1417" t="str">
        <f>IFERROR(__xludf.DUMMYFUNCTION("""COMPUTED_VALUE"""),"")</f>
        <v/>
      </c>
      <c r="W615" s="1416" t="s">
        <v>455</v>
      </c>
      <c r="X615" s="1417"/>
    </row>
    <row r="616">
      <c r="A616" s="1404"/>
      <c r="B616" s="1424"/>
      <c r="C616" s="1473"/>
      <c r="D616" s="1476"/>
      <c r="E616" s="1477"/>
      <c r="F616" s="1424"/>
      <c r="G616" s="1424"/>
      <c r="H616" s="1424"/>
      <c r="I616" s="1424"/>
      <c r="J616" s="1423"/>
      <c r="K616" s="1429"/>
      <c r="L616" s="1429"/>
      <c r="M616" s="1429"/>
      <c r="N616" s="1417"/>
      <c r="O616" s="1417"/>
      <c r="P616" s="1417"/>
      <c r="Q616" s="1417"/>
      <c r="R616" s="1417"/>
      <c r="S616" s="1443"/>
      <c r="T616" s="1417" t="s">
        <v>455</v>
      </c>
      <c r="U616" s="1417" t="s">
        <v>455</v>
      </c>
      <c r="V616" s="1417" t="str">
        <f>IFERROR(__xludf.DUMMYFUNCTION("""COMPUTED_VALUE"""),"")</f>
        <v/>
      </c>
      <c r="W616" s="1416" t="s">
        <v>455</v>
      </c>
      <c r="X616" s="1417"/>
    </row>
    <row r="617">
      <c r="A617" s="1404"/>
      <c r="B617" s="1424"/>
      <c r="C617" s="1473"/>
      <c r="D617" s="1476"/>
      <c r="E617" s="1477"/>
      <c r="F617" s="1424"/>
      <c r="G617" s="1424"/>
      <c r="H617" s="1424"/>
      <c r="I617" s="1424"/>
      <c r="J617" s="1423"/>
      <c r="K617" s="1429"/>
      <c r="L617" s="1429"/>
      <c r="M617" s="1429"/>
      <c r="N617" s="1417"/>
      <c r="O617" s="1417"/>
      <c r="P617" s="1417"/>
      <c r="Q617" s="1417"/>
      <c r="R617" s="1417"/>
      <c r="S617" s="1443"/>
      <c r="T617" s="1417" t="s">
        <v>455</v>
      </c>
      <c r="U617" s="1417" t="s">
        <v>455</v>
      </c>
      <c r="V617" s="1417" t="str">
        <f>IFERROR(__xludf.DUMMYFUNCTION("""COMPUTED_VALUE"""),"")</f>
        <v/>
      </c>
      <c r="W617" s="1416" t="s">
        <v>455</v>
      </c>
      <c r="X617" s="1417"/>
    </row>
    <row r="618">
      <c r="A618" s="1404"/>
      <c r="B618" s="1424"/>
      <c r="C618" s="1473"/>
      <c r="D618" s="1476"/>
      <c r="E618" s="1477"/>
      <c r="F618" s="1424"/>
      <c r="G618" s="1424"/>
      <c r="H618" s="1424"/>
      <c r="I618" s="1424"/>
      <c r="J618" s="1423"/>
      <c r="K618" s="1429"/>
      <c r="L618" s="1429"/>
      <c r="M618" s="1429"/>
      <c r="N618" s="1417"/>
      <c r="O618" s="1417"/>
      <c r="P618" s="1417"/>
      <c r="Q618" s="1417"/>
      <c r="R618" s="1417"/>
      <c r="S618" s="1443"/>
      <c r="T618" s="1417" t="s">
        <v>455</v>
      </c>
      <c r="U618" s="1417" t="s">
        <v>455</v>
      </c>
      <c r="V618" s="1417" t="str">
        <f>IFERROR(__xludf.DUMMYFUNCTION("""COMPUTED_VALUE"""),"")</f>
        <v/>
      </c>
      <c r="W618" s="1416" t="s">
        <v>455</v>
      </c>
      <c r="X618" s="1417"/>
    </row>
    <row r="619">
      <c r="A619" s="1404"/>
      <c r="B619" s="1424"/>
      <c r="C619" s="1473"/>
      <c r="D619" s="1476"/>
      <c r="E619" s="1477"/>
      <c r="F619" s="1424"/>
      <c r="G619" s="1424"/>
      <c r="H619" s="1424"/>
      <c r="I619" s="1424"/>
      <c r="J619" s="1423"/>
      <c r="K619" s="1429"/>
      <c r="L619" s="1429"/>
      <c r="M619" s="1429"/>
      <c r="N619" s="1417"/>
      <c r="O619" s="1417"/>
      <c r="P619" s="1417"/>
      <c r="Q619" s="1417"/>
      <c r="R619" s="1417"/>
      <c r="S619" s="1443"/>
      <c r="T619" s="1417" t="s">
        <v>455</v>
      </c>
      <c r="U619" s="1417" t="s">
        <v>455</v>
      </c>
      <c r="V619" s="1417" t="str">
        <f>IFERROR(__xludf.DUMMYFUNCTION("""COMPUTED_VALUE"""),"")</f>
        <v/>
      </c>
      <c r="W619" s="1416" t="s">
        <v>455</v>
      </c>
      <c r="X619" s="1417"/>
    </row>
    <row r="620">
      <c r="A620" s="1404"/>
      <c r="B620" s="1424"/>
      <c r="C620" s="1473"/>
      <c r="D620" s="1476"/>
      <c r="E620" s="1477"/>
      <c r="F620" s="1424"/>
      <c r="G620" s="1424"/>
      <c r="H620" s="1424"/>
      <c r="I620" s="1424"/>
      <c r="J620" s="1423"/>
      <c r="K620" s="1429"/>
      <c r="L620" s="1429"/>
      <c r="M620" s="1429"/>
      <c r="N620" s="1417"/>
      <c r="O620" s="1417"/>
      <c r="P620" s="1417"/>
      <c r="Q620" s="1417"/>
      <c r="R620" s="1417"/>
      <c r="S620" s="1443"/>
      <c r="T620" s="1417" t="s">
        <v>455</v>
      </c>
      <c r="U620" s="1417" t="s">
        <v>455</v>
      </c>
      <c r="V620" s="1417" t="str">
        <f>IFERROR(__xludf.DUMMYFUNCTION("""COMPUTED_VALUE"""),"")</f>
        <v/>
      </c>
      <c r="W620" s="1416" t="s">
        <v>455</v>
      </c>
      <c r="X620" s="1417"/>
    </row>
    <row r="621">
      <c r="A621" s="1404"/>
      <c r="B621" s="1424"/>
      <c r="C621" s="1473"/>
      <c r="D621" s="1476"/>
      <c r="E621" s="1477"/>
      <c r="F621" s="1424"/>
      <c r="G621" s="1424"/>
      <c r="H621" s="1424"/>
      <c r="I621" s="1424"/>
      <c r="J621" s="1423"/>
      <c r="K621" s="1429"/>
      <c r="L621" s="1429"/>
      <c r="M621" s="1429"/>
      <c r="N621" s="1417"/>
      <c r="O621" s="1417"/>
      <c r="P621" s="1417"/>
      <c r="Q621" s="1417"/>
      <c r="R621" s="1417"/>
      <c r="S621" s="1443"/>
      <c r="T621" s="1417" t="s">
        <v>455</v>
      </c>
      <c r="U621" s="1417" t="s">
        <v>455</v>
      </c>
      <c r="V621" s="1417" t="str">
        <f>IFERROR(__xludf.DUMMYFUNCTION("""COMPUTED_VALUE"""),"")</f>
        <v/>
      </c>
      <c r="W621" s="1416" t="s">
        <v>455</v>
      </c>
      <c r="X621" s="1417"/>
    </row>
    <row r="622">
      <c r="A622" s="1404"/>
      <c r="B622" s="1424"/>
      <c r="C622" s="1473"/>
      <c r="D622" s="1476"/>
      <c r="E622" s="1477"/>
      <c r="F622" s="1424"/>
      <c r="G622" s="1424"/>
      <c r="H622" s="1424"/>
      <c r="I622" s="1424"/>
      <c r="J622" s="1423"/>
      <c r="K622" s="1429"/>
      <c r="L622" s="1429"/>
      <c r="M622" s="1429"/>
      <c r="N622" s="1417"/>
      <c r="O622" s="1417"/>
      <c r="P622" s="1417"/>
      <c r="Q622" s="1417"/>
      <c r="R622" s="1417"/>
      <c r="S622" s="1443"/>
      <c r="T622" s="1417" t="s">
        <v>455</v>
      </c>
      <c r="U622" s="1417" t="s">
        <v>455</v>
      </c>
      <c r="V622" s="1417" t="str">
        <f>IFERROR(__xludf.DUMMYFUNCTION("""COMPUTED_VALUE"""),"")</f>
        <v/>
      </c>
      <c r="W622" s="1416" t="s">
        <v>455</v>
      </c>
      <c r="X622" s="1417"/>
    </row>
    <row r="623">
      <c r="A623" s="1404"/>
      <c r="B623" s="1424"/>
      <c r="C623" s="1473"/>
      <c r="D623" s="1476"/>
      <c r="E623" s="1477"/>
      <c r="F623" s="1424"/>
      <c r="G623" s="1424"/>
      <c r="H623" s="1424"/>
      <c r="I623" s="1424"/>
      <c r="J623" s="1423"/>
      <c r="K623" s="1429"/>
      <c r="L623" s="1429"/>
      <c r="M623" s="1429"/>
      <c r="N623" s="1417"/>
      <c r="O623" s="1417"/>
      <c r="P623" s="1417"/>
      <c r="Q623" s="1417"/>
      <c r="R623" s="1417"/>
      <c r="S623" s="1443"/>
      <c r="T623" s="1417" t="s">
        <v>455</v>
      </c>
      <c r="U623" s="1417" t="s">
        <v>455</v>
      </c>
      <c r="V623" s="1417" t="str">
        <f>IFERROR(__xludf.DUMMYFUNCTION("""COMPUTED_VALUE"""),"")</f>
        <v/>
      </c>
      <c r="W623" s="1416" t="s">
        <v>455</v>
      </c>
      <c r="X623" s="1417"/>
    </row>
    <row r="624">
      <c r="A624" s="1404"/>
      <c r="B624" s="1424"/>
      <c r="C624" s="1473"/>
      <c r="D624" s="1476"/>
      <c r="E624" s="1477"/>
      <c r="F624" s="1424"/>
      <c r="G624" s="1424"/>
      <c r="H624" s="1424"/>
      <c r="I624" s="1424"/>
      <c r="J624" s="1423"/>
      <c r="K624" s="1429"/>
      <c r="L624" s="1429"/>
      <c r="M624" s="1429"/>
      <c r="N624" s="1417"/>
      <c r="O624" s="1417"/>
      <c r="P624" s="1417"/>
      <c r="Q624" s="1417"/>
      <c r="R624" s="1417"/>
      <c r="S624" s="1443"/>
      <c r="T624" s="1417" t="s">
        <v>455</v>
      </c>
      <c r="U624" s="1417" t="s">
        <v>455</v>
      </c>
      <c r="V624" s="1417" t="str">
        <f>IFERROR(__xludf.DUMMYFUNCTION("""COMPUTED_VALUE"""),"")</f>
        <v/>
      </c>
      <c r="W624" s="1416" t="s">
        <v>455</v>
      </c>
      <c r="X624" s="1417"/>
    </row>
    <row r="625">
      <c r="A625" s="1404"/>
      <c r="B625" s="1424"/>
      <c r="C625" s="1473"/>
      <c r="D625" s="1476"/>
      <c r="E625" s="1477"/>
      <c r="F625" s="1424"/>
      <c r="G625" s="1424"/>
      <c r="H625" s="1424"/>
      <c r="I625" s="1424"/>
      <c r="J625" s="1423"/>
      <c r="K625" s="1429"/>
      <c r="L625" s="1429"/>
      <c r="M625" s="1429"/>
      <c r="N625" s="1417"/>
      <c r="O625" s="1417"/>
      <c r="P625" s="1417"/>
      <c r="Q625" s="1417"/>
      <c r="R625" s="1417"/>
      <c r="S625" s="1443"/>
      <c r="T625" s="1417" t="s">
        <v>455</v>
      </c>
      <c r="U625" s="1417" t="s">
        <v>455</v>
      </c>
      <c r="V625" s="1417" t="str">
        <f>IFERROR(__xludf.DUMMYFUNCTION("""COMPUTED_VALUE"""),"")</f>
        <v/>
      </c>
      <c r="W625" s="1416" t="s">
        <v>455</v>
      </c>
      <c r="X625" s="1417"/>
    </row>
    <row r="626">
      <c r="A626" s="1404"/>
      <c r="B626" s="1424"/>
      <c r="C626" s="1473"/>
      <c r="D626" s="1476"/>
      <c r="E626" s="1477"/>
      <c r="F626" s="1424"/>
      <c r="G626" s="1424"/>
      <c r="H626" s="1424"/>
      <c r="I626" s="1424"/>
      <c r="J626" s="1423"/>
      <c r="K626" s="1429"/>
      <c r="L626" s="1429"/>
      <c r="M626" s="1429"/>
      <c r="N626" s="1417"/>
      <c r="O626" s="1417"/>
      <c r="P626" s="1417"/>
      <c r="Q626" s="1417"/>
      <c r="R626" s="1417"/>
      <c r="S626" s="1443"/>
      <c r="T626" s="1417" t="s">
        <v>455</v>
      </c>
      <c r="U626" s="1417" t="s">
        <v>455</v>
      </c>
      <c r="V626" s="1417" t="str">
        <f>IFERROR(__xludf.DUMMYFUNCTION("""COMPUTED_VALUE"""),"")</f>
        <v/>
      </c>
      <c r="W626" s="1416" t="s">
        <v>455</v>
      </c>
      <c r="X626" s="1417"/>
    </row>
    <row r="627">
      <c r="A627" s="1404"/>
      <c r="B627" s="1424"/>
      <c r="C627" s="1473"/>
      <c r="D627" s="1476"/>
      <c r="E627" s="1477"/>
      <c r="F627" s="1424"/>
      <c r="G627" s="1424"/>
      <c r="H627" s="1424"/>
      <c r="I627" s="1424"/>
      <c r="J627" s="1423"/>
      <c r="K627" s="1429"/>
      <c r="L627" s="1429"/>
      <c r="M627" s="1429"/>
      <c r="N627" s="1417"/>
      <c r="O627" s="1417"/>
      <c r="P627" s="1417"/>
      <c r="Q627" s="1417"/>
      <c r="R627" s="1417"/>
      <c r="S627" s="1443"/>
      <c r="T627" s="1417" t="s">
        <v>455</v>
      </c>
      <c r="U627" s="1417" t="s">
        <v>455</v>
      </c>
      <c r="V627" s="1417" t="str">
        <f>IFERROR(__xludf.DUMMYFUNCTION("""COMPUTED_VALUE"""),"")</f>
        <v/>
      </c>
      <c r="W627" s="1416" t="s">
        <v>455</v>
      </c>
      <c r="X627" s="1417"/>
    </row>
    <row r="628">
      <c r="A628" s="1404"/>
      <c r="B628" s="1424"/>
      <c r="C628" s="1473"/>
      <c r="D628" s="1476"/>
      <c r="E628" s="1477"/>
      <c r="F628" s="1424"/>
      <c r="G628" s="1424"/>
      <c r="H628" s="1424"/>
      <c r="I628" s="1424"/>
      <c r="J628" s="1423"/>
      <c r="K628" s="1429"/>
      <c r="L628" s="1429"/>
      <c r="M628" s="1429"/>
      <c r="N628" s="1417"/>
      <c r="O628" s="1417"/>
      <c r="P628" s="1417"/>
      <c r="Q628" s="1417"/>
      <c r="R628" s="1417"/>
      <c r="S628" s="1443"/>
      <c r="T628" s="1417" t="s">
        <v>455</v>
      </c>
      <c r="U628" s="1417" t="s">
        <v>455</v>
      </c>
      <c r="V628" s="1417" t="str">
        <f>IFERROR(__xludf.DUMMYFUNCTION("""COMPUTED_VALUE"""),"")</f>
        <v/>
      </c>
      <c r="W628" s="1416" t="s">
        <v>455</v>
      </c>
      <c r="X628" s="1417"/>
    </row>
    <row r="629">
      <c r="A629" s="1404"/>
      <c r="B629" s="1424"/>
      <c r="C629" s="1473"/>
      <c r="D629" s="1476"/>
      <c r="E629" s="1477"/>
      <c r="F629" s="1424"/>
      <c r="G629" s="1424"/>
      <c r="H629" s="1424"/>
      <c r="I629" s="1424"/>
      <c r="J629" s="1423"/>
      <c r="K629" s="1429"/>
      <c r="L629" s="1429"/>
      <c r="M629" s="1429"/>
      <c r="N629" s="1417"/>
      <c r="O629" s="1417"/>
      <c r="P629" s="1417"/>
      <c r="Q629" s="1417"/>
      <c r="R629" s="1417"/>
      <c r="S629" s="1443"/>
      <c r="T629" s="1417" t="s">
        <v>455</v>
      </c>
      <c r="U629" s="1417" t="s">
        <v>455</v>
      </c>
      <c r="V629" s="1417" t="str">
        <f>IFERROR(__xludf.DUMMYFUNCTION("""COMPUTED_VALUE"""),"")</f>
        <v/>
      </c>
      <c r="W629" s="1416" t="s">
        <v>455</v>
      </c>
      <c r="X629" s="1417"/>
    </row>
    <row r="630">
      <c r="A630" s="1404"/>
      <c r="B630" s="1424"/>
      <c r="C630" s="1473"/>
      <c r="D630" s="1476"/>
      <c r="E630" s="1477"/>
      <c r="F630" s="1424"/>
      <c r="G630" s="1424"/>
      <c r="H630" s="1424"/>
      <c r="I630" s="1424"/>
      <c r="J630" s="1423"/>
      <c r="K630" s="1429"/>
      <c r="L630" s="1429"/>
      <c r="M630" s="1429"/>
      <c r="N630" s="1417"/>
      <c r="O630" s="1417"/>
      <c r="P630" s="1417"/>
      <c r="Q630" s="1417"/>
      <c r="R630" s="1417"/>
      <c r="S630" s="1443"/>
      <c r="T630" s="1417" t="s">
        <v>455</v>
      </c>
      <c r="U630" s="1417" t="s">
        <v>455</v>
      </c>
      <c r="V630" s="1417" t="str">
        <f>IFERROR(__xludf.DUMMYFUNCTION("""COMPUTED_VALUE"""),"")</f>
        <v/>
      </c>
      <c r="W630" s="1416" t="s">
        <v>455</v>
      </c>
      <c r="X630" s="1417"/>
    </row>
    <row r="631">
      <c r="A631" s="1404"/>
      <c r="B631" s="1424"/>
      <c r="C631" s="1473"/>
      <c r="D631" s="1476"/>
      <c r="E631" s="1477"/>
      <c r="F631" s="1424"/>
      <c r="G631" s="1424"/>
      <c r="H631" s="1424"/>
      <c r="I631" s="1424"/>
      <c r="J631" s="1423"/>
      <c r="K631" s="1429"/>
      <c r="L631" s="1429"/>
      <c r="M631" s="1429"/>
      <c r="N631" s="1417"/>
      <c r="O631" s="1417"/>
      <c r="P631" s="1417"/>
      <c r="Q631" s="1417"/>
      <c r="R631" s="1417"/>
      <c r="S631" s="1443"/>
      <c r="T631" s="1417" t="s">
        <v>455</v>
      </c>
      <c r="U631" s="1417" t="s">
        <v>455</v>
      </c>
      <c r="V631" s="1417" t="str">
        <f>IFERROR(__xludf.DUMMYFUNCTION("""COMPUTED_VALUE"""),"")</f>
        <v/>
      </c>
      <c r="W631" s="1416" t="s">
        <v>455</v>
      </c>
      <c r="X631" s="1417"/>
    </row>
    <row r="632">
      <c r="A632" s="1404"/>
      <c r="B632" s="1424"/>
      <c r="C632" s="1473"/>
      <c r="D632" s="1476"/>
      <c r="E632" s="1477"/>
      <c r="F632" s="1424"/>
      <c r="G632" s="1424"/>
      <c r="H632" s="1424"/>
      <c r="I632" s="1424"/>
      <c r="J632" s="1423"/>
      <c r="K632" s="1429"/>
      <c r="L632" s="1429"/>
      <c r="M632" s="1429"/>
      <c r="N632" s="1417"/>
      <c r="O632" s="1417"/>
      <c r="P632" s="1417"/>
      <c r="Q632" s="1417"/>
      <c r="R632" s="1417"/>
      <c r="S632" s="1443"/>
      <c r="T632" s="1417" t="s">
        <v>455</v>
      </c>
      <c r="U632" s="1417" t="s">
        <v>455</v>
      </c>
      <c r="V632" s="1417" t="str">
        <f>IFERROR(__xludf.DUMMYFUNCTION("""COMPUTED_VALUE"""),"")</f>
        <v/>
      </c>
      <c r="W632" s="1416" t="s">
        <v>455</v>
      </c>
      <c r="X632" s="1417"/>
    </row>
    <row r="633">
      <c r="A633" s="1404"/>
      <c r="B633" s="1424"/>
      <c r="C633" s="1473"/>
      <c r="D633" s="1476"/>
      <c r="E633" s="1477"/>
      <c r="F633" s="1424"/>
      <c r="G633" s="1424"/>
      <c r="H633" s="1424"/>
      <c r="I633" s="1424"/>
      <c r="J633" s="1423"/>
      <c r="K633" s="1429"/>
      <c r="L633" s="1429"/>
      <c r="M633" s="1429"/>
      <c r="N633" s="1417"/>
      <c r="O633" s="1417"/>
      <c r="P633" s="1417"/>
      <c r="Q633" s="1417"/>
      <c r="R633" s="1417"/>
      <c r="S633" s="1443"/>
      <c r="T633" s="1417" t="s">
        <v>455</v>
      </c>
      <c r="U633" s="1417" t="s">
        <v>455</v>
      </c>
      <c r="V633" s="1417" t="str">
        <f>IFERROR(__xludf.DUMMYFUNCTION("""COMPUTED_VALUE"""),"")</f>
        <v/>
      </c>
      <c r="W633" s="1416" t="s">
        <v>455</v>
      </c>
      <c r="X633" s="1417"/>
    </row>
    <row r="634">
      <c r="A634" s="1404"/>
      <c r="B634" s="1424"/>
      <c r="C634" s="1473"/>
      <c r="D634" s="1476"/>
      <c r="E634" s="1477"/>
      <c r="F634" s="1424"/>
      <c r="G634" s="1424"/>
      <c r="H634" s="1424"/>
      <c r="I634" s="1424"/>
      <c r="J634" s="1423"/>
      <c r="K634" s="1429"/>
      <c r="L634" s="1429"/>
      <c r="M634" s="1429"/>
      <c r="N634" s="1417"/>
      <c r="O634" s="1417"/>
      <c r="P634" s="1417"/>
      <c r="Q634" s="1417"/>
      <c r="R634" s="1417"/>
      <c r="S634" s="1443"/>
      <c r="T634" s="1417" t="s">
        <v>455</v>
      </c>
      <c r="U634" s="1417" t="s">
        <v>455</v>
      </c>
      <c r="V634" s="1417" t="str">
        <f>IFERROR(__xludf.DUMMYFUNCTION("""COMPUTED_VALUE"""),"")</f>
        <v/>
      </c>
      <c r="W634" s="1416" t="s">
        <v>455</v>
      </c>
      <c r="X634" s="1417"/>
    </row>
    <row r="635">
      <c r="A635" s="1404"/>
      <c r="B635" s="1424"/>
      <c r="C635" s="1473"/>
      <c r="D635" s="1476"/>
      <c r="E635" s="1477"/>
      <c r="F635" s="1424"/>
      <c r="G635" s="1424"/>
      <c r="H635" s="1424"/>
      <c r="I635" s="1424"/>
      <c r="J635" s="1423"/>
      <c r="K635" s="1429"/>
      <c r="L635" s="1429"/>
      <c r="M635" s="1429"/>
      <c r="N635" s="1417"/>
      <c r="O635" s="1417"/>
      <c r="P635" s="1417"/>
      <c r="Q635" s="1417"/>
      <c r="R635" s="1417"/>
      <c r="S635" s="1443"/>
      <c r="T635" s="1417" t="s">
        <v>455</v>
      </c>
      <c r="U635" s="1417" t="s">
        <v>455</v>
      </c>
      <c r="V635" s="1417" t="str">
        <f>IFERROR(__xludf.DUMMYFUNCTION("""COMPUTED_VALUE"""),"")</f>
        <v/>
      </c>
      <c r="W635" s="1416" t="s">
        <v>455</v>
      </c>
      <c r="X635" s="1417"/>
    </row>
    <row r="636">
      <c r="A636" s="1404"/>
      <c r="B636" s="1424"/>
      <c r="C636" s="1473"/>
      <c r="D636" s="1476"/>
      <c r="E636" s="1477"/>
      <c r="F636" s="1424"/>
      <c r="G636" s="1424"/>
      <c r="H636" s="1424"/>
      <c r="I636" s="1424"/>
      <c r="J636" s="1423"/>
      <c r="K636" s="1429"/>
      <c r="L636" s="1429"/>
      <c r="M636" s="1429"/>
      <c r="N636" s="1417"/>
      <c r="O636" s="1417"/>
      <c r="P636" s="1417"/>
      <c r="Q636" s="1417"/>
      <c r="R636" s="1417"/>
      <c r="S636" s="1443"/>
      <c r="T636" s="1417" t="s">
        <v>455</v>
      </c>
      <c r="U636" s="1417" t="s">
        <v>455</v>
      </c>
      <c r="V636" s="1417" t="str">
        <f>IFERROR(__xludf.DUMMYFUNCTION("""COMPUTED_VALUE"""),"")</f>
        <v/>
      </c>
      <c r="W636" s="1416" t="s">
        <v>455</v>
      </c>
      <c r="X636" s="1417"/>
    </row>
    <row r="637">
      <c r="A637" s="1404"/>
      <c r="B637" s="1424"/>
      <c r="C637" s="1473"/>
      <c r="D637" s="1476"/>
      <c r="E637" s="1477"/>
      <c r="F637" s="1424"/>
      <c r="G637" s="1424"/>
      <c r="H637" s="1424"/>
      <c r="I637" s="1424"/>
      <c r="J637" s="1423"/>
      <c r="K637" s="1429"/>
      <c r="L637" s="1429"/>
      <c r="M637" s="1429"/>
      <c r="N637" s="1417"/>
      <c r="O637" s="1417"/>
      <c r="P637" s="1417"/>
      <c r="Q637" s="1417"/>
      <c r="R637" s="1417"/>
      <c r="S637" s="1443"/>
      <c r="T637" s="1417" t="s">
        <v>455</v>
      </c>
      <c r="U637" s="1417" t="s">
        <v>455</v>
      </c>
      <c r="V637" s="1417" t="str">
        <f>IFERROR(__xludf.DUMMYFUNCTION("""COMPUTED_VALUE"""),"")</f>
        <v/>
      </c>
      <c r="W637" s="1416" t="s">
        <v>455</v>
      </c>
      <c r="X637" s="1417"/>
    </row>
    <row r="638">
      <c r="A638" s="1404"/>
      <c r="B638" s="1424"/>
      <c r="C638" s="1473"/>
      <c r="D638" s="1476"/>
      <c r="E638" s="1477"/>
      <c r="F638" s="1424"/>
      <c r="G638" s="1424"/>
      <c r="H638" s="1424"/>
      <c r="I638" s="1424"/>
      <c r="J638" s="1423"/>
      <c r="K638" s="1429"/>
      <c r="L638" s="1429"/>
      <c r="M638" s="1429"/>
      <c r="N638" s="1417"/>
      <c r="O638" s="1417"/>
      <c r="P638" s="1417"/>
      <c r="Q638" s="1417"/>
      <c r="R638" s="1417"/>
      <c r="S638" s="1443"/>
      <c r="T638" s="1417" t="s">
        <v>455</v>
      </c>
      <c r="U638" s="1417" t="s">
        <v>455</v>
      </c>
      <c r="V638" s="1417" t="str">
        <f>IFERROR(__xludf.DUMMYFUNCTION("""COMPUTED_VALUE"""),"")</f>
        <v/>
      </c>
      <c r="W638" s="1416" t="s">
        <v>455</v>
      </c>
      <c r="X638" s="1417"/>
    </row>
    <row r="639">
      <c r="A639" s="1404"/>
      <c r="B639" s="1424"/>
      <c r="C639" s="1473"/>
      <c r="D639" s="1476"/>
      <c r="E639" s="1477"/>
      <c r="F639" s="1424"/>
      <c r="G639" s="1424"/>
      <c r="H639" s="1424"/>
      <c r="I639" s="1424"/>
      <c r="J639" s="1423"/>
      <c r="K639" s="1429"/>
      <c r="L639" s="1429"/>
      <c r="M639" s="1429"/>
      <c r="N639" s="1417"/>
      <c r="O639" s="1417"/>
      <c r="P639" s="1417"/>
      <c r="Q639" s="1417"/>
      <c r="R639" s="1417"/>
      <c r="S639" s="1443"/>
      <c r="T639" s="1417" t="s">
        <v>455</v>
      </c>
      <c r="U639" s="1417" t="s">
        <v>455</v>
      </c>
      <c r="V639" s="1417" t="str">
        <f>IFERROR(__xludf.DUMMYFUNCTION("""COMPUTED_VALUE"""),"")</f>
        <v/>
      </c>
      <c r="W639" s="1416" t="s">
        <v>455</v>
      </c>
      <c r="X639" s="1417"/>
    </row>
    <row r="640">
      <c r="A640" s="1404"/>
      <c r="B640" s="1424"/>
      <c r="C640" s="1473"/>
      <c r="D640" s="1476"/>
      <c r="E640" s="1477"/>
      <c r="F640" s="1424"/>
      <c r="G640" s="1424"/>
      <c r="H640" s="1424"/>
      <c r="I640" s="1424"/>
      <c r="J640" s="1423"/>
      <c r="K640" s="1429"/>
      <c r="L640" s="1429"/>
      <c r="M640" s="1429"/>
      <c r="N640" s="1417"/>
      <c r="O640" s="1417"/>
      <c r="P640" s="1417"/>
      <c r="Q640" s="1417"/>
      <c r="R640" s="1417"/>
      <c r="S640" s="1443"/>
      <c r="T640" s="1417" t="s">
        <v>455</v>
      </c>
      <c r="U640" s="1417" t="s">
        <v>455</v>
      </c>
      <c r="V640" s="1417" t="str">
        <f>IFERROR(__xludf.DUMMYFUNCTION("""COMPUTED_VALUE"""),"")</f>
        <v/>
      </c>
      <c r="W640" s="1416" t="s">
        <v>455</v>
      </c>
      <c r="X640" s="1417"/>
    </row>
    <row r="641">
      <c r="A641" s="1404"/>
      <c r="B641" s="1424"/>
      <c r="C641" s="1473"/>
      <c r="D641" s="1476"/>
      <c r="E641" s="1477"/>
      <c r="F641" s="1424"/>
      <c r="G641" s="1424"/>
      <c r="H641" s="1424"/>
      <c r="I641" s="1424"/>
      <c r="J641" s="1423"/>
      <c r="K641" s="1429"/>
      <c r="L641" s="1429"/>
      <c r="M641" s="1429"/>
      <c r="N641" s="1417"/>
      <c r="O641" s="1417"/>
      <c r="P641" s="1417"/>
      <c r="Q641" s="1417"/>
      <c r="R641" s="1417"/>
      <c r="S641" s="1443"/>
      <c r="T641" s="1417" t="s">
        <v>455</v>
      </c>
      <c r="U641" s="1417" t="s">
        <v>455</v>
      </c>
      <c r="V641" s="1417" t="str">
        <f>IFERROR(__xludf.DUMMYFUNCTION("""COMPUTED_VALUE"""),"")</f>
        <v/>
      </c>
      <c r="W641" s="1416" t="s">
        <v>455</v>
      </c>
      <c r="X641" s="1417"/>
    </row>
    <row r="642">
      <c r="A642" s="1404"/>
      <c r="B642" s="1424"/>
      <c r="C642" s="1473"/>
      <c r="D642" s="1476"/>
      <c r="E642" s="1477"/>
      <c r="F642" s="1424"/>
      <c r="G642" s="1424"/>
      <c r="H642" s="1424"/>
      <c r="I642" s="1424"/>
      <c r="J642" s="1423"/>
      <c r="K642" s="1429"/>
      <c r="L642" s="1429"/>
      <c r="M642" s="1429"/>
      <c r="N642" s="1417"/>
      <c r="O642" s="1417"/>
      <c r="P642" s="1417"/>
      <c r="Q642" s="1417"/>
      <c r="R642" s="1417"/>
      <c r="S642" s="1443"/>
      <c r="T642" s="1417" t="s">
        <v>455</v>
      </c>
      <c r="U642" s="1417" t="s">
        <v>455</v>
      </c>
      <c r="V642" s="1417" t="str">
        <f>IFERROR(__xludf.DUMMYFUNCTION("""COMPUTED_VALUE"""),"")</f>
        <v/>
      </c>
      <c r="W642" s="1416" t="s">
        <v>455</v>
      </c>
      <c r="X642" s="1417"/>
    </row>
    <row r="643">
      <c r="A643" s="1404"/>
      <c r="B643" s="1424"/>
      <c r="C643" s="1473"/>
      <c r="D643" s="1476"/>
      <c r="E643" s="1477"/>
      <c r="F643" s="1424"/>
      <c r="G643" s="1424"/>
      <c r="H643" s="1424"/>
      <c r="I643" s="1424"/>
      <c r="J643" s="1423"/>
      <c r="K643" s="1429"/>
      <c r="L643" s="1429"/>
      <c r="M643" s="1429"/>
      <c r="N643" s="1417"/>
      <c r="O643" s="1417"/>
      <c r="P643" s="1417"/>
      <c r="Q643" s="1417"/>
      <c r="R643" s="1417"/>
      <c r="S643" s="1443"/>
      <c r="T643" s="1417" t="s">
        <v>455</v>
      </c>
      <c r="U643" s="1417" t="s">
        <v>455</v>
      </c>
      <c r="V643" s="1417" t="str">
        <f>IFERROR(__xludf.DUMMYFUNCTION("""COMPUTED_VALUE"""),"")</f>
        <v/>
      </c>
      <c r="W643" s="1416" t="s">
        <v>455</v>
      </c>
      <c r="X643" s="1417"/>
    </row>
    <row r="644">
      <c r="A644" s="1404"/>
      <c r="B644" s="1424"/>
      <c r="C644" s="1473"/>
      <c r="D644" s="1476"/>
      <c r="E644" s="1477"/>
      <c r="F644" s="1424"/>
      <c r="G644" s="1424"/>
      <c r="H644" s="1424"/>
      <c r="I644" s="1424"/>
      <c r="J644" s="1423"/>
      <c r="K644" s="1429"/>
      <c r="L644" s="1429"/>
      <c r="M644" s="1429"/>
      <c r="N644" s="1417"/>
      <c r="O644" s="1417"/>
      <c r="P644" s="1417"/>
      <c r="Q644" s="1417"/>
      <c r="R644" s="1417"/>
      <c r="S644" s="1443"/>
      <c r="T644" s="1417" t="s">
        <v>455</v>
      </c>
      <c r="U644" s="1417" t="s">
        <v>455</v>
      </c>
      <c r="V644" s="1417" t="str">
        <f>IFERROR(__xludf.DUMMYFUNCTION("""COMPUTED_VALUE"""),"")</f>
        <v/>
      </c>
      <c r="W644" s="1416" t="s">
        <v>455</v>
      </c>
      <c r="X644" s="1417"/>
    </row>
    <row r="645">
      <c r="A645" s="1404"/>
      <c r="B645" s="1424"/>
      <c r="C645" s="1473"/>
      <c r="D645" s="1476"/>
      <c r="E645" s="1477"/>
      <c r="F645" s="1424"/>
      <c r="G645" s="1424"/>
      <c r="H645" s="1424"/>
      <c r="I645" s="1424"/>
      <c r="J645" s="1423"/>
      <c r="K645" s="1429"/>
      <c r="L645" s="1429"/>
      <c r="M645" s="1429"/>
      <c r="N645" s="1417"/>
      <c r="O645" s="1417"/>
      <c r="P645" s="1417"/>
      <c r="Q645" s="1417"/>
      <c r="R645" s="1417"/>
      <c r="S645" s="1443"/>
      <c r="T645" s="1417" t="s">
        <v>455</v>
      </c>
      <c r="U645" s="1417" t="s">
        <v>455</v>
      </c>
      <c r="V645" s="1417" t="str">
        <f>IFERROR(__xludf.DUMMYFUNCTION("""COMPUTED_VALUE"""),"")</f>
        <v/>
      </c>
      <c r="W645" s="1416" t="s">
        <v>455</v>
      </c>
      <c r="X645" s="1417"/>
    </row>
    <row r="646">
      <c r="A646" s="1404"/>
      <c r="B646" s="1424"/>
      <c r="C646" s="1473"/>
      <c r="D646" s="1476"/>
      <c r="E646" s="1477"/>
      <c r="F646" s="1424"/>
      <c r="G646" s="1424"/>
      <c r="H646" s="1424"/>
      <c r="I646" s="1424"/>
      <c r="J646" s="1423"/>
      <c r="K646" s="1429"/>
      <c r="L646" s="1429"/>
      <c r="M646" s="1429"/>
      <c r="N646" s="1417"/>
      <c r="O646" s="1417"/>
      <c r="P646" s="1417"/>
      <c r="Q646" s="1417"/>
      <c r="R646" s="1417"/>
      <c r="S646" s="1443"/>
      <c r="T646" s="1417" t="s">
        <v>455</v>
      </c>
      <c r="U646" s="1417" t="s">
        <v>455</v>
      </c>
      <c r="V646" s="1417" t="str">
        <f>IFERROR(__xludf.DUMMYFUNCTION("""COMPUTED_VALUE"""),"")</f>
        <v/>
      </c>
      <c r="W646" s="1416" t="s">
        <v>455</v>
      </c>
      <c r="X646" s="1417"/>
    </row>
    <row r="647">
      <c r="A647" s="1404"/>
      <c r="B647" s="1424"/>
      <c r="C647" s="1473"/>
      <c r="D647" s="1476"/>
      <c r="E647" s="1477"/>
      <c r="F647" s="1424"/>
      <c r="G647" s="1424"/>
      <c r="H647" s="1424"/>
      <c r="I647" s="1424"/>
      <c r="J647" s="1423"/>
      <c r="K647" s="1429"/>
      <c r="L647" s="1429"/>
      <c r="M647" s="1429"/>
      <c r="N647" s="1417"/>
      <c r="O647" s="1417"/>
      <c r="P647" s="1417"/>
      <c r="Q647" s="1417"/>
      <c r="R647" s="1417"/>
      <c r="S647" s="1443"/>
      <c r="T647" s="1417" t="s">
        <v>455</v>
      </c>
      <c r="U647" s="1417" t="s">
        <v>455</v>
      </c>
      <c r="V647" s="1417" t="str">
        <f>IFERROR(__xludf.DUMMYFUNCTION("""COMPUTED_VALUE"""),"")</f>
        <v/>
      </c>
      <c r="W647" s="1416" t="s">
        <v>455</v>
      </c>
      <c r="X647" s="1417"/>
    </row>
    <row r="648">
      <c r="A648" s="1404"/>
      <c r="B648" s="1424"/>
      <c r="C648" s="1473"/>
      <c r="D648" s="1476"/>
      <c r="E648" s="1477"/>
      <c r="F648" s="1424"/>
      <c r="G648" s="1424"/>
      <c r="H648" s="1424"/>
      <c r="I648" s="1424"/>
      <c r="J648" s="1423"/>
      <c r="K648" s="1429"/>
      <c r="L648" s="1429"/>
      <c r="M648" s="1429"/>
      <c r="N648" s="1417"/>
      <c r="O648" s="1417"/>
      <c r="P648" s="1417"/>
      <c r="Q648" s="1417"/>
      <c r="R648" s="1417"/>
      <c r="S648" s="1443"/>
      <c r="T648" s="1417" t="s">
        <v>455</v>
      </c>
      <c r="U648" s="1417" t="s">
        <v>455</v>
      </c>
      <c r="V648" s="1417" t="str">
        <f>IFERROR(__xludf.DUMMYFUNCTION("""COMPUTED_VALUE"""),"")</f>
        <v/>
      </c>
      <c r="W648" s="1416" t="s">
        <v>455</v>
      </c>
      <c r="X648" s="1417"/>
    </row>
    <row r="649">
      <c r="A649" s="1404"/>
      <c r="B649" s="1424"/>
      <c r="C649" s="1473"/>
      <c r="D649" s="1476"/>
      <c r="E649" s="1477"/>
      <c r="F649" s="1424"/>
      <c r="G649" s="1424"/>
      <c r="H649" s="1424"/>
      <c r="I649" s="1424"/>
      <c r="J649" s="1423"/>
      <c r="K649" s="1429"/>
      <c r="L649" s="1429"/>
      <c r="M649" s="1429"/>
      <c r="N649" s="1417"/>
      <c r="O649" s="1417"/>
      <c r="P649" s="1417"/>
      <c r="Q649" s="1417"/>
      <c r="R649" s="1417"/>
      <c r="S649" s="1443"/>
      <c r="T649" s="1417" t="s">
        <v>455</v>
      </c>
      <c r="U649" s="1417" t="s">
        <v>455</v>
      </c>
      <c r="V649" s="1417" t="str">
        <f>IFERROR(__xludf.DUMMYFUNCTION("""COMPUTED_VALUE"""),"")</f>
        <v/>
      </c>
      <c r="W649" s="1416" t="s">
        <v>455</v>
      </c>
      <c r="X649" s="1417"/>
    </row>
    <row r="650">
      <c r="A650" s="1404"/>
      <c r="B650" s="1424"/>
      <c r="C650" s="1473"/>
      <c r="D650" s="1476"/>
      <c r="E650" s="1477"/>
      <c r="F650" s="1424"/>
      <c r="G650" s="1424"/>
      <c r="H650" s="1424"/>
      <c r="I650" s="1424"/>
      <c r="J650" s="1423"/>
      <c r="K650" s="1429"/>
      <c r="L650" s="1429"/>
      <c r="M650" s="1429"/>
      <c r="N650" s="1417"/>
      <c r="O650" s="1417"/>
      <c r="P650" s="1417"/>
      <c r="Q650" s="1417"/>
      <c r="R650" s="1417"/>
      <c r="S650" s="1443"/>
      <c r="T650" s="1417" t="s">
        <v>455</v>
      </c>
      <c r="U650" s="1417" t="s">
        <v>455</v>
      </c>
      <c r="V650" s="1417" t="str">
        <f>IFERROR(__xludf.DUMMYFUNCTION("""COMPUTED_VALUE"""),"")</f>
        <v/>
      </c>
      <c r="W650" s="1416" t="s">
        <v>455</v>
      </c>
      <c r="X650" s="1417"/>
    </row>
    <row r="651">
      <c r="A651" s="1404"/>
      <c r="B651" s="1424"/>
      <c r="C651" s="1473"/>
      <c r="D651" s="1476"/>
      <c r="E651" s="1477"/>
      <c r="F651" s="1424"/>
      <c r="G651" s="1424"/>
      <c r="H651" s="1424"/>
      <c r="I651" s="1424"/>
      <c r="J651" s="1423"/>
      <c r="K651" s="1429"/>
      <c r="L651" s="1429"/>
      <c r="M651" s="1429"/>
      <c r="N651" s="1417"/>
      <c r="O651" s="1417"/>
      <c r="P651" s="1417"/>
      <c r="Q651" s="1417"/>
      <c r="R651" s="1417"/>
      <c r="S651" s="1443"/>
      <c r="T651" s="1417" t="s">
        <v>455</v>
      </c>
      <c r="U651" s="1417" t="s">
        <v>455</v>
      </c>
      <c r="V651" s="1417" t="str">
        <f>IFERROR(__xludf.DUMMYFUNCTION("""COMPUTED_VALUE"""),"")</f>
        <v/>
      </c>
      <c r="W651" s="1416" t="s">
        <v>455</v>
      </c>
      <c r="X651" s="1417"/>
    </row>
    <row r="652">
      <c r="A652" s="1404"/>
      <c r="B652" s="1424"/>
      <c r="C652" s="1473"/>
      <c r="D652" s="1476"/>
      <c r="E652" s="1477"/>
      <c r="F652" s="1424"/>
      <c r="G652" s="1424"/>
      <c r="H652" s="1424"/>
      <c r="I652" s="1424"/>
      <c r="J652" s="1423"/>
      <c r="K652" s="1429"/>
      <c r="L652" s="1429"/>
      <c r="M652" s="1429"/>
      <c r="N652" s="1417"/>
      <c r="O652" s="1417"/>
      <c r="P652" s="1417"/>
      <c r="Q652" s="1417"/>
      <c r="R652" s="1417"/>
      <c r="S652" s="1443"/>
      <c r="T652" s="1417" t="s">
        <v>455</v>
      </c>
      <c r="U652" s="1417" t="s">
        <v>455</v>
      </c>
      <c r="V652" s="1417" t="str">
        <f>IFERROR(__xludf.DUMMYFUNCTION("""COMPUTED_VALUE"""),"")</f>
        <v/>
      </c>
      <c r="W652" s="1416" t="s">
        <v>455</v>
      </c>
      <c r="X652" s="1417"/>
    </row>
    <row r="653">
      <c r="A653" s="1404"/>
      <c r="B653" s="1424"/>
      <c r="C653" s="1473"/>
      <c r="D653" s="1476"/>
      <c r="E653" s="1477"/>
      <c r="F653" s="1424"/>
      <c r="G653" s="1424"/>
      <c r="H653" s="1424"/>
      <c r="I653" s="1424"/>
      <c r="J653" s="1423"/>
      <c r="K653" s="1429"/>
      <c r="L653" s="1429"/>
      <c r="M653" s="1429"/>
      <c r="N653" s="1417"/>
      <c r="O653" s="1417"/>
      <c r="P653" s="1417"/>
      <c r="Q653" s="1417"/>
      <c r="R653" s="1417"/>
      <c r="S653" s="1443"/>
      <c r="T653" s="1417" t="s">
        <v>455</v>
      </c>
      <c r="U653" s="1417" t="s">
        <v>455</v>
      </c>
      <c r="V653" s="1417" t="str">
        <f>IFERROR(__xludf.DUMMYFUNCTION("""COMPUTED_VALUE"""),"")</f>
        <v/>
      </c>
      <c r="W653" s="1416" t="s">
        <v>455</v>
      </c>
      <c r="X653" s="1417"/>
    </row>
    <row r="654">
      <c r="A654" s="1404"/>
      <c r="B654" s="1424"/>
      <c r="C654" s="1473"/>
      <c r="D654" s="1476"/>
      <c r="E654" s="1477"/>
      <c r="F654" s="1424"/>
      <c r="G654" s="1424"/>
      <c r="H654" s="1424"/>
      <c r="I654" s="1424"/>
      <c r="J654" s="1423"/>
      <c r="K654" s="1429"/>
      <c r="L654" s="1429"/>
      <c r="M654" s="1429"/>
      <c r="N654" s="1417"/>
      <c r="O654" s="1417"/>
      <c r="P654" s="1417"/>
      <c r="Q654" s="1417"/>
      <c r="R654" s="1417"/>
      <c r="S654" s="1443"/>
      <c r="T654" s="1417" t="s">
        <v>455</v>
      </c>
      <c r="U654" s="1417" t="s">
        <v>455</v>
      </c>
      <c r="V654" s="1417" t="str">
        <f>IFERROR(__xludf.DUMMYFUNCTION("""COMPUTED_VALUE"""),"")</f>
        <v/>
      </c>
      <c r="W654" s="1416" t="s">
        <v>455</v>
      </c>
      <c r="X654" s="1417"/>
    </row>
    <row r="655">
      <c r="A655" s="1404"/>
      <c r="B655" s="1424"/>
      <c r="C655" s="1473"/>
      <c r="D655" s="1476"/>
      <c r="E655" s="1477"/>
      <c r="F655" s="1424"/>
      <c r="G655" s="1424"/>
      <c r="H655" s="1424"/>
      <c r="I655" s="1424"/>
      <c r="J655" s="1423"/>
      <c r="K655" s="1429"/>
      <c r="L655" s="1429"/>
      <c r="M655" s="1429"/>
      <c r="N655" s="1417"/>
      <c r="O655" s="1417"/>
      <c r="P655" s="1417"/>
      <c r="Q655" s="1417"/>
      <c r="R655" s="1417"/>
      <c r="S655" s="1443"/>
      <c r="T655" s="1417" t="s">
        <v>455</v>
      </c>
      <c r="U655" s="1417" t="s">
        <v>455</v>
      </c>
      <c r="V655" s="1417" t="str">
        <f>IFERROR(__xludf.DUMMYFUNCTION("""COMPUTED_VALUE"""),"")</f>
        <v/>
      </c>
      <c r="W655" s="1416" t="s">
        <v>455</v>
      </c>
      <c r="X655" s="1417"/>
    </row>
    <row r="656">
      <c r="A656" s="1404"/>
      <c r="B656" s="1424"/>
      <c r="C656" s="1473"/>
      <c r="D656" s="1476"/>
      <c r="E656" s="1477"/>
      <c r="F656" s="1424"/>
      <c r="G656" s="1424"/>
      <c r="H656" s="1424"/>
      <c r="I656" s="1424"/>
      <c r="J656" s="1423"/>
      <c r="K656" s="1429"/>
      <c r="L656" s="1429"/>
      <c r="M656" s="1429"/>
      <c r="N656" s="1417"/>
      <c r="O656" s="1417"/>
      <c r="P656" s="1417"/>
      <c r="Q656" s="1417"/>
      <c r="R656" s="1417"/>
      <c r="S656" s="1443"/>
      <c r="T656" s="1417" t="s">
        <v>455</v>
      </c>
      <c r="U656" s="1417" t="s">
        <v>455</v>
      </c>
      <c r="V656" s="1417" t="str">
        <f>IFERROR(__xludf.DUMMYFUNCTION("""COMPUTED_VALUE"""),"")</f>
        <v/>
      </c>
      <c r="W656" s="1416" t="s">
        <v>455</v>
      </c>
      <c r="X656" s="1417"/>
    </row>
    <row r="657">
      <c r="A657" s="1404"/>
      <c r="B657" s="1424"/>
      <c r="C657" s="1473"/>
      <c r="D657" s="1476"/>
      <c r="E657" s="1477"/>
      <c r="F657" s="1424"/>
      <c r="G657" s="1424"/>
      <c r="H657" s="1424"/>
      <c r="I657" s="1424"/>
      <c r="J657" s="1423"/>
      <c r="K657" s="1429"/>
      <c r="L657" s="1429"/>
      <c r="M657" s="1429"/>
      <c r="N657" s="1417"/>
      <c r="O657" s="1417"/>
      <c r="P657" s="1417"/>
      <c r="Q657" s="1417"/>
      <c r="R657" s="1417"/>
      <c r="S657" s="1443"/>
      <c r="T657" s="1417" t="s">
        <v>455</v>
      </c>
      <c r="U657" s="1417" t="s">
        <v>455</v>
      </c>
      <c r="V657" s="1417" t="str">
        <f>IFERROR(__xludf.DUMMYFUNCTION("""COMPUTED_VALUE"""),"")</f>
        <v/>
      </c>
      <c r="W657" s="1416" t="s">
        <v>455</v>
      </c>
      <c r="X657" s="1417"/>
    </row>
    <row r="658">
      <c r="A658" s="1404"/>
      <c r="B658" s="1424"/>
      <c r="C658" s="1473"/>
      <c r="D658" s="1476"/>
      <c r="E658" s="1477"/>
      <c r="F658" s="1424"/>
      <c r="G658" s="1424"/>
      <c r="H658" s="1424"/>
      <c r="I658" s="1424"/>
      <c r="J658" s="1423"/>
      <c r="K658" s="1429"/>
      <c r="L658" s="1429"/>
      <c r="M658" s="1429"/>
      <c r="N658" s="1417"/>
      <c r="O658" s="1417"/>
      <c r="P658" s="1417"/>
      <c r="Q658" s="1417"/>
      <c r="R658" s="1417"/>
      <c r="S658" s="1443"/>
      <c r="T658" s="1417" t="s">
        <v>455</v>
      </c>
      <c r="U658" s="1417" t="s">
        <v>455</v>
      </c>
      <c r="V658" s="1417" t="str">
        <f>IFERROR(__xludf.DUMMYFUNCTION("""COMPUTED_VALUE"""),"")</f>
        <v/>
      </c>
      <c r="W658" s="1416" t="s">
        <v>455</v>
      </c>
      <c r="X658" s="1417"/>
    </row>
    <row r="659">
      <c r="A659" s="1404"/>
      <c r="B659" s="1424"/>
      <c r="C659" s="1473"/>
      <c r="D659" s="1476"/>
      <c r="E659" s="1477"/>
      <c r="F659" s="1424"/>
      <c r="G659" s="1424"/>
      <c r="H659" s="1424"/>
      <c r="I659" s="1424"/>
      <c r="J659" s="1423"/>
      <c r="K659" s="1429"/>
      <c r="L659" s="1429"/>
      <c r="M659" s="1429"/>
      <c r="N659" s="1417"/>
      <c r="O659" s="1417"/>
      <c r="P659" s="1417"/>
      <c r="Q659" s="1417"/>
      <c r="R659" s="1417"/>
      <c r="S659" s="1443"/>
      <c r="T659" s="1417" t="s">
        <v>455</v>
      </c>
      <c r="U659" s="1417" t="s">
        <v>455</v>
      </c>
      <c r="V659" s="1417" t="str">
        <f>IFERROR(__xludf.DUMMYFUNCTION("""COMPUTED_VALUE"""),"")</f>
        <v/>
      </c>
      <c r="W659" s="1416" t="s">
        <v>455</v>
      </c>
      <c r="X659" s="1417"/>
    </row>
    <row r="660">
      <c r="A660" s="1404"/>
      <c r="B660" s="1424"/>
      <c r="C660" s="1473"/>
      <c r="D660" s="1476"/>
      <c r="E660" s="1477"/>
      <c r="F660" s="1424"/>
      <c r="G660" s="1424"/>
      <c r="H660" s="1424"/>
      <c r="I660" s="1424"/>
      <c r="J660" s="1423"/>
      <c r="K660" s="1429"/>
      <c r="L660" s="1429"/>
      <c r="M660" s="1429"/>
      <c r="N660" s="1417"/>
      <c r="O660" s="1417"/>
      <c r="P660" s="1417"/>
      <c r="Q660" s="1417"/>
      <c r="R660" s="1417"/>
      <c r="S660" s="1443"/>
      <c r="T660" s="1417" t="s">
        <v>455</v>
      </c>
      <c r="U660" s="1417" t="s">
        <v>455</v>
      </c>
      <c r="V660" s="1417" t="str">
        <f>IFERROR(__xludf.DUMMYFUNCTION("""COMPUTED_VALUE"""),"")</f>
        <v/>
      </c>
      <c r="W660" s="1416" t="s">
        <v>455</v>
      </c>
      <c r="X660" s="1417"/>
    </row>
    <row r="661">
      <c r="A661" s="1404"/>
      <c r="B661" s="1424"/>
      <c r="C661" s="1473"/>
      <c r="D661" s="1476"/>
      <c r="E661" s="1477"/>
      <c r="F661" s="1424"/>
      <c r="G661" s="1424"/>
      <c r="H661" s="1424"/>
      <c r="I661" s="1424"/>
      <c r="J661" s="1423"/>
      <c r="K661" s="1429"/>
      <c r="L661" s="1429"/>
      <c r="M661" s="1429"/>
      <c r="N661" s="1417"/>
      <c r="O661" s="1417"/>
      <c r="P661" s="1417"/>
      <c r="Q661" s="1417"/>
      <c r="R661" s="1417"/>
      <c r="S661" s="1443"/>
      <c r="T661" s="1417" t="s">
        <v>455</v>
      </c>
      <c r="U661" s="1417" t="s">
        <v>455</v>
      </c>
      <c r="V661" s="1417" t="str">
        <f>IFERROR(__xludf.DUMMYFUNCTION("""COMPUTED_VALUE"""),"")</f>
        <v/>
      </c>
      <c r="W661" s="1416" t="s">
        <v>455</v>
      </c>
      <c r="X661" s="1417"/>
    </row>
    <row r="662">
      <c r="A662" s="1404"/>
      <c r="B662" s="1424"/>
      <c r="C662" s="1473"/>
      <c r="D662" s="1476"/>
      <c r="E662" s="1477"/>
      <c r="F662" s="1424"/>
      <c r="G662" s="1424"/>
      <c r="H662" s="1424"/>
      <c r="I662" s="1424"/>
      <c r="J662" s="1423"/>
      <c r="K662" s="1429"/>
      <c r="L662" s="1429"/>
      <c r="M662" s="1429"/>
      <c r="N662" s="1417"/>
      <c r="O662" s="1417"/>
      <c r="P662" s="1417"/>
      <c r="Q662" s="1417"/>
      <c r="R662" s="1417"/>
      <c r="S662" s="1443"/>
      <c r="T662" s="1417" t="s">
        <v>455</v>
      </c>
      <c r="U662" s="1417" t="s">
        <v>455</v>
      </c>
      <c r="V662" s="1417" t="str">
        <f>IFERROR(__xludf.DUMMYFUNCTION("""COMPUTED_VALUE"""),"")</f>
        <v/>
      </c>
      <c r="W662" s="1416" t="s">
        <v>455</v>
      </c>
      <c r="X662" s="1417"/>
    </row>
    <row r="663">
      <c r="A663" s="1404"/>
      <c r="B663" s="1424"/>
      <c r="C663" s="1473"/>
      <c r="D663" s="1476"/>
      <c r="E663" s="1477"/>
      <c r="F663" s="1424"/>
      <c r="G663" s="1424"/>
      <c r="H663" s="1424"/>
      <c r="I663" s="1424"/>
      <c r="J663" s="1423"/>
      <c r="K663" s="1429"/>
      <c r="L663" s="1429"/>
      <c r="M663" s="1429"/>
      <c r="N663" s="1417"/>
      <c r="O663" s="1417"/>
      <c r="P663" s="1417"/>
      <c r="Q663" s="1417"/>
      <c r="R663" s="1417"/>
      <c r="S663" s="1443"/>
      <c r="T663" s="1417" t="s">
        <v>455</v>
      </c>
      <c r="U663" s="1417" t="s">
        <v>455</v>
      </c>
      <c r="V663" s="1417" t="str">
        <f>IFERROR(__xludf.DUMMYFUNCTION("""COMPUTED_VALUE"""),"")</f>
        <v/>
      </c>
      <c r="W663" s="1416" t="s">
        <v>455</v>
      </c>
      <c r="X663" s="1417"/>
    </row>
    <row r="664">
      <c r="A664" s="1404"/>
      <c r="B664" s="1424"/>
      <c r="C664" s="1473"/>
      <c r="D664" s="1476"/>
      <c r="E664" s="1477"/>
      <c r="F664" s="1424"/>
      <c r="G664" s="1424"/>
      <c r="H664" s="1424"/>
      <c r="I664" s="1424"/>
      <c r="J664" s="1423"/>
      <c r="K664" s="1429"/>
      <c r="L664" s="1429"/>
      <c r="M664" s="1429"/>
      <c r="N664" s="1417"/>
      <c r="O664" s="1417"/>
      <c r="P664" s="1417"/>
      <c r="Q664" s="1417"/>
      <c r="R664" s="1417"/>
      <c r="S664" s="1443"/>
      <c r="T664" s="1417" t="s">
        <v>455</v>
      </c>
      <c r="U664" s="1417" t="s">
        <v>455</v>
      </c>
      <c r="V664" s="1417" t="str">
        <f>IFERROR(__xludf.DUMMYFUNCTION("""COMPUTED_VALUE"""),"")</f>
        <v/>
      </c>
      <c r="W664" s="1416" t="s">
        <v>455</v>
      </c>
      <c r="X664" s="1417"/>
    </row>
    <row r="665">
      <c r="A665" s="1404"/>
      <c r="B665" s="1424"/>
      <c r="C665" s="1473"/>
      <c r="D665" s="1476"/>
      <c r="E665" s="1477"/>
      <c r="F665" s="1424"/>
      <c r="G665" s="1424"/>
      <c r="H665" s="1424"/>
      <c r="I665" s="1424"/>
      <c r="J665" s="1423"/>
      <c r="K665" s="1429"/>
      <c r="L665" s="1429"/>
      <c r="M665" s="1429"/>
      <c r="N665" s="1417"/>
      <c r="O665" s="1417"/>
      <c r="P665" s="1417"/>
      <c r="Q665" s="1417"/>
      <c r="R665" s="1417"/>
      <c r="S665" s="1443"/>
      <c r="T665" s="1417" t="s">
        <v>455</v>
      </c>
      <c r="U665" s="1417" t="s">
        <v>455</v>
      </c>
      <c r="V665" s="1417" t="str">
        <f>IFERROR(__xludf.DUMMYFUNCTION("""COMPUTED_VALUE"""),"")</f>
        <v/>
      </c>
      <c r="W665" s="1416" t="s">
        <v>455</v>
      </c>
      <c r="X665" s="1417"/>
    </row>
    <row r="666">
      <c r="A666" s="1404"/>
      <c r="B666" s="1424"/>
      <c r="C666" s="1473"/>
      <c r="D666" s="1476"/>
      <c r="E666" s="1477"/>
      <c r="F666" s="1424"/>
      <c r="G666" s="1424"/>
      <c r="H666" s="1424"/>
      <c r="I666" s="1424"/>
      <c r="J666" s="1423"/>
      <c r="K666" s="1429"/>
      <c r="L666" s="1429"/>
      <c r="M666" s="1429"/>
      <c r="N666" s="1417"/>
      <c r="O666" s="1417"/>
      <c r="P666" s="1417"/>
      <c r="Q666" s="1417"/>
      <c r="R666" s="1417"/>
      <c r="S666" s="1443"/>
      <c r="T666" s="1417" t="s">
        <v>455</v>
      </c>
      <c r="U666" s="1417" t="s">
        <v>455</v>
      </c>
      <c r="V666" s="1417" t="str">
        <f>IFERROR(__xludf.DUMMYFUNCTION("""COMPUTED_VALUE"""),"")</f>
        <v/>
      </c>
      <c r="W666" s="1416" t="s">
        <v>455</v>
      </c>
      <c r="X666" s="1417"/>
    </row>
    <row r="667">
      <c r="A667" s="1404"/>
      <c r="B667" s="1424"/>
      <c r="C667" s="1473"/>
      <c r="D667" s="1476"/>
      <c r="E667" s="1477"/>
      <c r="F667" s="1424"/>
      <c r="G667" s="1424"/>
      <c r="H667" s="1424"/>
      <c r="I667" s="1424"/>
      <c r="J667" s="1423"/>
      <c r="K667" s="1429"/>
      <c r="L667" s="1429"/>
      <c r="M667" s="1429"/>
      <c r="N667" s="1417"/>
      <c r="O667" s="1417"/>
      <c r="P667" s="1417"/>
      <c r="Q667" s="1417"/>
      <c r="R667" s="1417"/>
      <c r="S667" s="1443"/>
      <c r="T667" s="1417" t="s">
        <v>455</v>
      </c>
      <c r="U667" s="1417" t="s">
        <v>455</v>
      </c>
      <c r="V667" s="1417" t="str">
        <f>IFERROR(__xludf.DUMMYFUNCTION("""COMPUTED_VALUE"""),"")</f>
        <v/>
      </c>
      <c r="W667" s="1416" t="s">
        <v>455</v>
      </c>
      <c r="X667" s="1417"/>
    </row>
    <row r="668">
      <c r="A668" s="1404"/>
      <c r="B668" s="1424"/>
      <c r="C668" s="1473"/>
      <c r="D668" s="1476"/>
      <c r="E668" s="1477"/>
      <c r="F668" s="1424"/>
      <c r="G668" s="1424"/>
      <c r="H668" s="1424"/>
      <c r="I668" s="1424"/>
      <c r="J668" s="1423"/>
      <c r="K668" s="1429"/>
      <c r="L668" s="1429"/>
      <c r="M668" s="1429"/>
      <c r="N668" s="1417"/>
      <c r="O668" s="1417"/>
      <c r="P668" s="1417"/>
      <c r="Q668" s="1417"/>
      <c r="R668" s="1417"/>
      <c r="S668" s="1443"/>
      <c r="T668" s="1417" t="s">
        <v>455</v>
      </c>
      <c r="U668" s="1417" t="s">
        <v>455</v>
      </c>
      <c r="V668" s="1417" t="str">
        <f>IFERROR(__xludf.DUMMYFUNCTION("""COMPUTED_VALUE"""),"")</f>
        <v/>
      </c>
      <c r="W668" s="1416" t="s">
        <v>455</v>
      </c>
      <c r="X668" s="1417"/>
    </row>
    <row r="669">
      <c r="A669" s="1404"/>
      <c r="B669" s="1424"/>
      <c r="C669" s="1473"/>
      <c r="D669" s="1476"/>
      <c r="E669" s="1477"/>
      <c r="F669" s="1424"/>
      <c r="G669" s="1424"/>
      <c r="H669" s="1424"/>
      <c r="I669" s="1424"/>
      <c r="J669" s="1423"/>
      <c r="K669" s="1429"/>
      <c r="L669" s="1429"/>
      <c r="M669" s="1429"/>
      <c r="N669" s="1417"/>
      <c r="O669" s="1417"/>
      <c r="P669" s="1417"/>
      <c r="Q669" s="1417"/>
      <c r="R669" s="1417"/>
      <c r="S669" s="1443"/>
      <c r="T669" s="1417" t="s">
        <v>455</v>
      </c>
      <c r="U669" s="1417" t="s">
        <v>455</v>
      </c>
      <c r="V669" s="1417" t="str">
        <f>IFERROR(__xludf.DUMMYFUNCTION("""COMPUTED_VALUE"""),"")</f>
        <v/>
      </c>
      <c r="W669" s="1416" t="s">
        <v>455</v>
      </c>
      <c r="X669" s="1417"/>
    </row>
    <row r="670">
      <c r="A670" s="1404"/>
      <c r="B670" s="1424"/>
      <c r="C670" s="1473"/>
      <c r="D670" s="1476"/>
      <c r="E670" s="1477"/>
      <c r="F670" s="1424"/>
      <c r="G670" s="1424"/>
      <c r="H670" s="1424"/>
      <c r="I670" s="1424"/>
      <c r="J670" s="1423"/>
      <c r="K670" s="1429"/>
      <c r="L670" s="1429"/>
      <c r="M670" s="1429"/>
      <c r="N670" s="1417"/>
      <c r="O670" s="1417"/>
      <c r="P670" s="1417"/>
      <c r="Q670" s="1417"/>
      <c r="R670" s="1417"/>
      <c r="S670" s="1443"/>
      <c r="T670" s="1417" t="s">
        <v>455</v>
      </c>
      <c r="U670" s="1417" t="s">
        <v>455</v>
      </c>
      <c r="V670" s="1417" t="str">
        <f>IFERROR(__xludf.DUMMYFUNCTION("""COMPUTED_VALUE"""),"")</f>
        <v/>
      </c>
      <c r="W670" s="1416" t="s">
        <v>455</v>
      </c>
      <c r="X670" s="1417"/>
    </row>
    <row r="671">
      <c r="A671" s="1404"/>
      <c r="B671" s="1424"/>
      <c r="C671" s="1473"/>
      <c r="D671" s="1476"/>
      <c r="E671" s="1477"/>
      <c r="F671" s="1424"/>
      <c r="G671" s="1424"/>
      <c r="H671" s="1424"/>
      <c r="I671" s="1424"/>
      <c r="J671" s="1423"/>
      <c r="K671" s="1429"/>
      <c r="L671" s="1429"/>
      <c r="M671" s="1429"/>
      <c r="N671" s="1417"/>
      <c r="O671" s="1417"/>
      <c r="P671" s="1417"/>
      <c r="Q671" s="1417"/>
      <c r="R671" s="1417"/>
      <c r="S671" s="1443"/>
      <c r="T671" s="1417" t="s">
        <v>455</v>
      </c>
      <c r="U671" s="1417" t="s">
        <v>455</v>
      </c>
      <c r="V671" s="1417" t="str">
        <f>IFERROR(__xludf.DUMMYFUNCTION("""COMPUTED_VALUE"""),"")</f>
        <v/>
      </c>
      <c r="W671" s="1416" t="s">
        <v>455</v>
      </c>
      <c r="X671" s="1417"/>
    </row>
    <row r="672">
      <c r="A672" s="1404"/>
      <c r="B672" s="1424"/>
      <c r="C672" s="1473"/>
      <c r="D672" s="1476"/>
      <c r="E672" s="1477"/>
      <c r="F672" s="1424"/>
      <c r="G672" s="1424"/>
      <c r="H672" s="1424"/>
      <c r="I672" s="1424"/>
      <c r="J672" s="1423"/>
      <c r="K672" s="1429"/>
      <c r="L672" s="1429"/>
      <c r="M672" s="1429"/>
      <c r="N672" s="1417"/>
      <c r="O672" s="1417"/>
      <c r="P672" s="1417"/>
      <c r="Q672" s="1417"/>
      <c r="R672" s="1417"/>
      <c r="S672" s="1443"/>
      <c r="T672" s="1417" t="s">
        <v>455</v>
      </c>
      <c r="U672" s="1417" t="s">
        <v>455</v>
      </c>
      <c r="V672" s="1417" t="str">
        <f>IFERROR(__xludf.DUMMYFUNCTION("""COMPUTED_VALUE"""),"")</f>
        <v/>
      </c>
      <c r="W672" s="1416" t="s">
        <v>455</v>
      </c>
      <c r="X672" s="1417"/>
    </row>
    <row r="673">
      <c r="A673" s="1404"/>
      <c r="B673" s="1424"/>
      <c r="C673" s="1473"/>
      <c r="D673" s="1476"/>
      <c r="E673" s="1477"/>
      <c r="F673" s="1424"/>
      <c r="G673" s="1424"/>
      <c r="H673" s="1424"/>
      <c r="I673" s="1424"/>
      <c r="J673" s="1423"/>
      <c r="K673" s="1429"/>
      <c r="L673" s="1429"/>
      <c r="M673" s="1429"/>
      <c r="N673" s="1417"/>
      <c r="O673" s="1417"/>
      <c r="P673" s="1417"/>
      <c r="Q673" s="1417"/>
      <c r="R673" s="1417"/>
      <c r="S673" s="1443"/>
      <c r="T673" s="1417" t="s">
        <v>455</v>
      </c>
      <c r="U673" s="1417" t="s">
        <v>455</v>
      </c>
      <c r="V673" s="1417" t="str">
        <f>IFERROR(__xludf.DUMMYFUNCTION("""COMPUTED_VALUE"""),"")</f>
        <v/>
      </c>
      <c r="W673" s="1416" t="s">
        <v>455</v>
      </c>
      <c r="X673" s="1417"/>
    </row>
    <row r="674">
      <c r="A674" s="1404"/>
      <c r="B674" s="1424"/>
      <c r="C674" s="1473"/>
      <c r="D674" s="1476"/>
      <c r="E674" s="1477"/>
      <c r="F674" s="1424"/>
      <c r="G674" s="1424"/>
      <c r="H674" s="1424"/>
      <c r="I674" s="1424"/>
      <c r="J674" s="1423"/>
      <c r="K674" s="1429"/>
      <c r="L674" s="1429"/>
      <c r="M674" s="1429"/>
      <c r="N674" s="1417"/>
      <c r="O674" s="1417"/>
      <c r="P674" s="1417"/>
      <c r="Q674" s="1417"/>
      <c r="R674" s="1417"/>
      <c r="S674" s="1443"/>
      <c r="T674" s="1417" t="s">
        <v>455</v>
      </c>
      <c r="U674" s="1417" t="s">
        <v>455</v>
      </c>
      <c r="V674" s="1417" t="str">
        <f>IFERROR(__xludf.DUMMYFUNCTION("""COMPUTED_VALUE"""),"")</f>
        <v/>
      </c>
      <c r="W674" s="1416" t="s">
        <v>455</v>
      </c>
      <c r="X674" s="1417"/>
    </row>
    <row r="675">
      <c r="A675" s="1404"/>
      <c r="B675" s="1424"/>
      <c r="C675" s="1473"/>
      <c r="D675" s="1476"/>
      <c r="E675" s="1477"/>
      <c r="F675" s="1424"/>
      <c r="G675" s="1424"/>
      <c r="H675" s="1424"/>
      <c r="I675" s="1424"/>
      <c r="J675" s="1423"/>
      <c r="K675" s="1429"/>
      <c r="L675" s="1429"/>
      <c r="M675" s="1429"/>
      <c r="N675" s="1417"/>
      <c r="O675" s="1417"/>
      <c r="P675" s="1417"/>
      <c r="Q675" s="1417"/>
      <c r="R675" s="1417"/>
      <c r="S675" s="1443"/>
      <c r="T675" s="1417" t="s">
        <v>455</v>
      </c>
      <c r="U675" s="1417" t="s">
        <v>455</v>
      </c>
      <c r="V675" s="1417" t="str">
        <f>IFERROR(__xludf.DUMMYFUNCTION("""COMPUTED_VALUE"""),"")</f>
        <v/>
      </c>
      <c r="W675" s="1416" t="s">
        <v>455</v>
      </c>
      <c r="X675" s="1417"/>
    </row>
    <row r="676">
      <c r="A676" s="1404"/>
      <c r="B676" s="1424"/>
      <c r="C676" s="1473"/>
      <c r="D676" s="1476"/>
      <c r="E676" s="1477"/>
      <c r="F676" s="1424"/>
      <c r="G676" s="1424"/>
      <c r="H676" s="1424"/>
      <c r="I676" s="1424"/>
      <c r="J676" s="1423"/>
      <c r="K676" s="1429"/>
      <c r="L676" s="1429"/>
      <c r="M676" s="1429"/>
      <c r="N676" s="1417"/>
      <c r="O676" s="1417"/>
      <c r="P676" s="1417"/>
      <c r="Q676" s="1417"/>
      <c r="R676" s="1417"/>
      <c r="S676" s="1443"/>
      <c r="T676" s="1417" t="s">
        <v>455</v>
      </c>
      <c r="U676" s="1417" t="s">
        <v>455</v>
      </c>
      <c r="V676" s="1417" t="str">
        <f>IFERROR(__xludf.DUMMYFUNCTION("""COMPUTED_VALUE"""),"")</f>
        <v/>
      </c>
      <c r="W676" s="1416" t="s">
        <v>455</v>
      </c>
      <c r="X676" s="1417"/>
    </row>
    <row r="677">
      <c r="A677" s="1404"/>
      <c r="B677" s="1424"/>
      <c r="C677" s="1473"/>
      <c r="D677" s="1476"/>
      <c r="E677" s="1477"/>
      <c r="F677" s="1424"/>
      <c r="G677" s="1424"/>
      <c r="H677" s="1424"/>
      <c r="I677" s="1424"/>
      <c r="J677" s="1423"/>
      <c r="K677" s="1429"/>
      <c r="L677" s="1429"/>
      <c r="M677" s="1429"/>
      <c r="N677" s="1417"/>
      <c r="O677" s="1417"/>
      <c r="P677" s="1417"/>
      <c r="Q677" s="1417"/>
      <c r="R677" s="1417"/>
      <c r="S677" s="1443"/>
      <c r="T677" s="1417" t="s">
        <v>455</v>
      </c>
      <c r="U677" s="1417" t="s">
        <v>455</v>
      </c>
      <c r="V677" s="1417" t="str">
        <f>IFERROR(__xludf.DUMMYFUNCTION("""COMPUTED_VALUE"""),"")</f>
        <v/>
      </c>
      <c r="W677" s="1416" t="s">
        <v>455</v>
      </c>
      <c r="X677" s="1417"/>
    </row>
    <row r="678">
      <c r="A678" s="1404"/>
      <c r="B678" s="1424"/>
      <c r="C678" s="1473"/>
      <c r="D678" s="1476"/>
      <c r="E678" s="1477"/>
      <c r="F678" s="1424"/>
      <c r="G678" s="1424"/>
      <c r="H678" s="1424"/>
      <c r="I678" s="1424"/>
      <c r="J678" s="1423"/>
      <c r="K678" s="1429"/>
      <c r="L678" s="1429"/>
      <c r="M678" s="1429"/>
      <c r="N678" s="1417"/>
      <c r="O678" s="1417"/>
      <c r="P678" s="1417"/>
      <c r="Q678" s="1417"/>
      <c r="R678" s="1417"/>
      <c r="S678" s="1443"/>
      <c r="T678" s="1417" t="s">
        <v>455</v>
      </c>
      <c r="U678" s="1417" t="s">
        <v>455</v>
      </c>
      <c r="V678" s="1417" t="str">
        <f>IFERROR(__xludf.DUMMYFUNCTION("""COMPUTED_VALUE"""),"")</f>
        <v/>
      </c>
      <c r="W678" s="1416" t="s">
        <v>455</v>
      </c>
      <c r="X678" s="1417"/>
    </row>
    <row r="679">
      <c r="A679" s="1404"/>
      <c r="B679" s="1424"/>
      <c r="C679" s="1473"/>
      <c r="D679" s="1476"/>
      <c r="E679" s="1477"/>
      <c r="F679" s="1424"/>
      <c r="G679" s="1424"/>
      <c r="H679" s="1424"/>
      <c r="I679" s="1424"/>
      <c r="J679" s="1423"/>
      <c r="K679" s="1429"/>
      <c r="L679" s="1429"/>
      <c r="M679" s="1429"/>
      <c r="N679" s="1417"/>
      <c r="O679" s="1417"/>
      <c r="P679" s="1417"/>
      <c r="Q679" s="1417"/>
      <c r="R679" s="1417"/>
      <c r="S679" s="1443"/>
      <c r="T679" s="1417" t="s">
        <v>455</v>
      </c>
      <c r="U679" s="1417" t="s">
        <v>455</v>
      </c>
      <c r="V679" s="1417" t="str">
        <f>IFERROR(__xludf.DUMMYFUNCTION("""COMPUTED_VALUE"""),"")</f>
        <v/>
      </c>
      <c r="W679" s="1416" t="s">
        <v>455</v>
      </c>
      <c r="X679" s="1417"/>
    </row>
    <row r="680">
      <c r="A680" s="1404"/>
      <c r="B680" s="1424"/>
      <c r="C680" s="1473"/>
      <c r="D680" s="1476"/>
      <c r="E680" s="1477"/>
      <c r="F680" s="1424"/>
      <c r="G680" s="1424"/>
      <c r="H680" s="1424"/>
      <c r="I680" s="1424"/>
      <c r="J680" s="1423"/>
      <c r="K680" s="1429"/>
      <c r="L680" s="1429"/>
      <c r="M680" s="1429"/>
      <c r="N680" s="1417"/>
      <c r="O680" s="1417"/>
      <c r="P680" s="1417"/>
      <c r="Q680" s="1417"/>
      <c r="R680" s="1417"/>
      <c r="S680" s="1443"/>
      <c r="T680" s="1417" t="s">
        <v>455</v>
      </c>
      <c r="U680" s="1417" t="s">
        <v>455</v>
      </c>
      <c r="V680" s="1417" t="str">
        <f>IFERROR(__xludf.DUMMYFUNCTION("""COMPUTED_VALUE"""),"")</f>
        <v/>
      </c>
      <c r="W680" s="1416" t="s">
        <v>455</v>
      </c>
      <c r="X680" s="1417"/>
    </row>
    <row r="681">
      <c r="A681" s="1404"/>
      <c r="B681" s="1424"/>
      <c r="C681" s="1473"/>
      <c r="D681" s="1476"/>
      <c r="E681" s="1477"/>
      <c r="F681" s="1424"/>
      <c r="G681" s="1424"/>
      <c r="H681" s="1424"/>
      <c r="I681" s="1424"/>
      <c r="J681" s="1423"/>
      <c r="K681" s="1429"/>
      <c r="L681" s="1429"/>
      <c r="M681" s="1429"/>
      <c r="N681" s="1417"/>
      <c r="O681" s="1417"/>
      <c r="P681" s="1417"/>
      <c r="Q681" s="1417"/>
      <c r="R681" s="1417"/>
      <c r="S681" s="1443"/>
      <c r="T681" s="1417" t="s">
        <v>455</v>
      </c>
      <c r="U681" s="1417" t="s">
        <v>455</v>
      </c>
      <c r="V681" s="1417" t="str">
        <f>IFERROR(__xludf.DUMMYFUNCTION("""COMPUTED_VALUE"""),"")</f>
        <v/>
      </c>
      <c r="W681" s="1416" t="s">
        <v>455</v>
      </c>
      <c r="X681" s="1417"/>
    </row>
    <row r="682">
      <c r="A682" s="1404"/>
      <c r="B682" s="1424"/>
      <c r="C682" s="1473"/>
      <c r="D682" s="1476"/>
      <c r="E682" s="1477"/>
      <c r="F682" s="1424"/>
      <c r="G682" s="1424"/>
      <c r="H682" s="1424"/>
      <c r="I682" s="1424"/>
      <c r="J682" s="1423"/>
      <c r="K682" s="1429"/>
      <c r="L682" s="1429"/>
      <c r="M682" s="1429"/>
      <c r="N682" s="1417"/>
      <c r="O682" s="1417"/>
      <c r="P682" s="1417"/>
      <c r="Q682" s="1417"/>
      <c r="R682" s="1417"/>
      <c r="S682" s="1443"/>
      <c r="T682" s="1417" t="s">
        <v>455</v>
      </c>
      <c r="U682" s="1417" t="s">
        <v>455</v>
      </c>
      <c r="V682" s="1417" t="str">
        <f>IFERROR(__xludf.DUMMYFUNCTION("""COMPUTED_VALUE"""),"")</f>
        <v/>
      </c>
      <c r="W682" s="1416" t="s">
        <v>455</v>
      </c>
      <c r="X682" s="1417"/>
    </row>
    <row r="683">
      <c r="A683" s="1404"/>
      <c r="B683" s="1424"/>
      <c r="C683" s="1473"/>
      <c r="D683" s="1476"/>
      <c r="E683" s="1477"/>
      <c r="F683" s="1424"/>
      <c r="G683" s="1424"/>
      <c r="H683" s="1424"/>
      <c r="I683" s="1424"/>
      <c r="J683" s="1423"/>
      <c r="K683" s="1429"/>
      <c r="L683" s="1429"/>
      <c r="M683" s="1429"/>
      <c r="N683" s="1417"/>
      <c r="O683" s="1417"/>
      <c r="P683" s="1417"/>
      <c r="Q683" s="1417"/>
      <c r="R683" s="1417"/>
      <c r="S683" s="1443"/>
      <c r="T683" s="1417" t="s">
        <v>455</v>
      </c>
      <c r="U683" s="1417" t="s">
        <v>455</v>
      </c>
      <c r="V683" s="1417" t="str">
        <f>IFERROR(__xludf.DUMMYFUNCTION("""COMPUTED_VALUE"""),"")</f>
        <v/>
      </c>
      <c r="W683" s="1416" t="s">
        <v>455</v>
      </c>
      <c r="X683" s="1417"/>
    </row>
    <row r="684">
      <c r="A684" s="1404"/>
      <c r="B684" s="1424"/>
      <c r="C684" s="1473"/>
      <c r="D684" s="1476"/>
      <c r="E684" s="1477"/>
      <c r="F684" s="1424"/>
      <c r="G684" s="1424"/>
      <c r="H684" s="1424"/>
      <c r="I684" s="1424"/>
      <c r="J684" s="1423"/>
      <c r="K684" s="1429"/>
      <c r="L684" s="1429"/>
      <c r="M684" s="1429"/>
      <c r="N684" s="1417"/>
      <c r="O684" s="1417"/>
      <c r="P684" s="1417"/>
      <c r="Q684" s="1417"/>
      <c r="R684" s="1417"/>
      <c r="S684" s="1443"/>
      <c r="T684" s="1417" t="s">
        <v>455</v>
      </c>
      <c r="U684" s="1417" t="s">
        <v>455</v>
      </c>
      <c r="V684" s="1417" t="str">
        <f>IFERROR(__xludf.DUMMYFUNCTION("""COMPUTED_VALUE"""),"")</f>
        <v/>
      </c>
      <c r="W684" s="1416" t="s">
        <v>455</v>
      </c>
      <c r="X684" s="1417"/>
    </row>
    <row r="685">
      <c r="A685" s="1404"/>
      <c r="B685" s="1424"/>
      <c r="C685" s="1473"/>
      <c r="D685" s="1476"/>
      <c r="E685" s="1477"/>
      <c r="F685" s="1424"/>
      <c r="G685" s="1424"/>
      <c r="H685" s="1424"/>
      <c r="I685" s="1424"/>
      <c r="J685" s="1423"/>
      <c r="K685" s="1429"/>
      <c r="L685" s="1429"/>
      <c r="M685" s="1429"/>
      <c r="N685" s="1417"/>
      <c r="O685" s="1417"/>
      <c r="P685" s="1417"/>
      <c r="Q685" s="1417"/>
      <c r="R685" s="1417"/>
      <c r="S685" s="1443"/>
      <c r="T685" s="1417" t="s">
        <v>455</v>
      </c>
      <c r="U685" s="1417" t="s">
        <v>455</v>
      </c>
      <c r="V685" s="1417" t="str">
        <f>IFERROR(__xludf.DUMMYFUNCTION("""COMPUTED_VALUE"""),"")</f>
        <v/>
      </c>
      <c r="W685" s="1416" t="s">
        <v>455</v>
      </c>
      <c r="X685" s="1417"/>
    </row>
    <row r="686">
      <c r="A686" s="1404"/>
      <c r="B686" s="1424"/>
      <c r="C686" s="1473"/>
      <c r="D686" s="1476"/>
      <c r="E686" s="1477"/>
      <c r="F686" s="1424"/>
      <c r="G686" s="1424"/>
      <c r="H686" s="1424"/>
      <c r="I686" s="1424"/>
      <c r="J686" s="1423"/>
      <c r="K686" s="1429"/>
      <c r="L686" s="1429"/>
      <c r="M686" s="1429"/>
      <c r="N686" s="1417"/>
      <c r="O686" s="1417"/>
      <c r="P686" s="1417"/>
      <c r="Q686" s="1417"/>
      <c r="R686" s="1417"/>
      <c r="S686" s="1443"/>
      <c r="T686" s="1417" t="s">
        <v>455</v>
      </c>
      <c r="U686" s="1417" t="s">
        <v>455</v>
      </c>
      <c r="V686" s="1417" t="str">
        <f>IFERROR(__xludf.DUMMYFUNCTION("""COMPUTED_VALUE"""),"")</f>
        <v/>
      </c>
      <c r="W686" s="1416" t="s">
        <v>455</v>
      </c>
      <c r="X686" s="1417"/>
    </row>
    <row r="687">
      <c r="A687" s="1404"/>
      <c r="B687" s="1424"/>
      <c r="C687" s="1473"/>
      <c r="D687" s="1476"/>
      <c r="E687" s="1477"/>
      <c r="F687" s="1424"/>
      <c r="G687" s="1424"/>
      <c r="H687" s="1424"/>
      <c r="I687" s="1424"/>
      <c r="J687" s="1423"/>
      <c r="K687" s="1429"/>
      <c r="L687" s="1429"/>
      <c r="M687" s="1429"/>
      <c r="N687" s="1417"/>
      <c r="O687" s="1417"/>
      <c r="P687" s="1417"/>
      <c r="Q687" s="1417"/>
      <c r="R687" s="1417"/>
      <c r="S687" s="1443"/>
      <c r="T687" s="1417" t="s">
        <v>455</v>
      </c>
      <c r="U687" s="1417" t="s">
        <v>455</v>
      </c>
      <c r="V687" s="1417" t="str">
        <f>IFERROR(__xludf.DUMMYFUNCTION("""COMPUTED_VALUE"""),"")</f>
        <v/>
      </c>
      <c r="W687" s="1416" t="s">
        <v>455</v>
      </c>
      <c r="X687" s="1417"/>
    </row>
    <row r="688">
      <c r="A688" s="1404"/>
      <c r="B688" s="1424"/>
      <c r="C688" s="1473"/>
      <c r="D688" s="1476"/>
      <c r="E688" s="1477"/>
      <c r="F688" s="1424"/>
      <c r="G688" s="1424"/>
      <c r="H688" s="1424"/>
      <c r="I688" s="1424"/>
      <c r="J688" s="1423"/>
      <c r="K688" s="1429"/>
      <c r="L688" s="1429"/>
      <c r="M688" s="1429"/>
      <c r="N688" s="1417"/>
      <c r="O688" s="1417"/>
      <c r="P688" s="1417"/>
      <c r="Q688" s="1417"/>
      <c r="R688" s="1417"/>
      <c r="S688" s="1443"/>
      <c r="T688" s="1417" t="s">
        <v>455</v>
      </c>
      <c r="U688" s="1417" t="s">
        <v>455</v>
      </c>
      <c r="V688" s="1417" t="str">
        <f>IFERROR(__xludf.DUMMYFUNCTION("""COMPUTED_VALUE"""),"")</f>
        <v/>
      </c>
      <c r="W688" s="1416" t="s">
        <v>455</v>
      </c>
      <c r="X688" s="1417"/>
    </row>
    <row r="689">
      <c r="A689" s="1404"/>
      <c r="B689" s="1424"/>
      <c r="C689" s="1473"/>
      <c r="D689" s="1476"/>
      <c r="E689" s="1477"/>
      <c r="F689" s="1424"/>
      <c r="G689" s="1424"/>
      <c r="H689" s="1424"/>
      <c r="I689" s="1424"/>
      <c r="J689" s="1423"/>
      <c r="K689" s="1429"/>
      <c r="L689" s="1429"/>
      <c r="M689" s="1429"/>
      <c r="N689" s="1417"/>
      <c r="O689" s="1417"/>
      <c r="P689" s="1417"/>
      <c r="Q689" s="1417"/>
      <c r="R689" s="1417"/>
      <c r="S689" s="1443"/>
      <c r="T689" s="1417" t="s">
        <v>455</v>
      </c>
      <c r="U689" s="1417" t="s">
        <v>455</v>
      </c>
      <c r="V689" s="1417" t="str">
        <f>IFERROR(__xludf.DUMMYFUNCTION("""COMPUTED_VALUE"""),"")</f>
        <v/>
      </c>
      <c r="W689" s="1416" t="s">
        <v>455</v>
      </c>
      <c r="X689" s="1417"/>
    </row>
    <row r="690">
      <c r="A690" s="1404"/>
      <c r="B690" s="1424"/>
      <c r="C690" s="1473"/>
      <c r="D690" s="1476"/>
      <c r="E690" s="1477"/>
      <c r="F690" s="1424"/>
      <c r="G690" s="1424"/>
      <c r="H690" s="1424"/>
      <c r="I690" s="1424"/>
      <c r="J690" s="1423"/>
      <c r="K690" s="1429"/>
      <c r="L690" s="1429"/>
      <c r="M690" s="1429"/>
      <c r="N690" s="1417"/>
      <c r="O690" s="1417"/>
      <c r="P690" s="1417"/>
      <c r="Q690" s="1417"/>
      <c r="R690" s="1417"/>
      <c r="S690" s="1443"/>
      <c r="T690" s="1417" t="s">
        <v>455</v>
      </c>
      <c r="U690" s="1417" t="s">
        <v>455</v>
      </c>
      <c r="V690" s="1417" t="str">
        <f>IFERROR(__xludf.DUMMYFUNCTION("""COMPUTED_VALUE"""),"")</f>
        <v/>
      </c>
      <c r="W690" s="1416" t="s">
        <v>455</v>
      </c>
      <c r="X690" s="1417"/>
    </row>
    <row r="691">
      <c r="A691" s="1404"/>
      <c r="B691" s="1424"/>
      <c r="C691" s="1473"/>
      <c r="D691" s="1476"/>
      <c r="E691" s="1477"/>
      <c r="F691" s="1424"/>
      <c r="G691" s="1424"/>
      <c r="H691" s="1424"/>
      <c r="I691" s="1424"/>
      <c r="J691" s="1423"/>
      <c r="K691" s="1429"/>
      <c r="L691" s="1429"/>
      <c r="M691" s="1429"/>
      <c r="N691" s="1417"/>
      <c r="O691" s="1417"/>
      <c r="P691" s="1417"/>
      <c r="Q691" s="1417"/>
      <c r="R691" s="1417"/>
      <c r="S691" s="1443"/>
      <c r="T691" s="1417" t="s">
        <v>455</v>
      </c>
      <c r="U691" s="1417" t="s">
        <v>455</v>
      </c>
      <c r="V691" s="1417" t="str">
        <f>IFERROR(__xludf.DUMMYFUNCTION("""COMPUTED_VALUE"""),"")</f>
        <v/>
      </c>
      <c r="W691" s="1416" t="s">
        <v>455</v>
      </c>
      <c r="X691" s="1417"/>
    </row>
    <row r="692">
      <c r="A692" s="1404"/>
      <c r="B692" s="1424"/>
      <c r="C692" s="1473"/>
      <c r="D692" s="1476"/>
      <c r="E692" s="1477"/>
      <c r="F692" s="1424"/>
      <c r="G692" s="1424"/>
      <c r="H692" s="1424"/>
      <c r="I692" s="1424"/>
      <c r="J692" s="1423"/>
      <c r="K692" s="1429"/>
      <c r="L692" s="1429"/>
      <c r="M692" s="1429"/>
      <c r="N692" s="1417"/>
      <c r="O692" s="1417"/>
      <c r="P692" s="1417"/>
      <c r="Q692" s="1417"/>
      <c r="R692" s="1417"/>
      <c r="S692" s="1443"/>
      <c r="T692" s="1417" t="s">
        <v>455</v>
      </c>
      <c r="U692" s="1417" t="s">
        <v>455</v>
      </c>
      <c r="V692" s="1417" t="str">
        <f>IFERROR(__xludf.DUMMYFUNCTION("""COMPUTED_VALUE"""),"")</f>
        <v/>
      </c>
      <c r="W692" s="1416" t="s">
        <v>455</v>
      </c>
      <c r="X692" s="1417"/>
    </row>
    <row r="693">
      <c r="A693" s="1404"/>
      <c r="B693" s="1424"/>
      <c r="C693" s="1473"/>
      <c r="D693" s="1476"/>
      <c r="E693" s="1477"/>
      <c r="F693" s="1424"/>
      <c r="G693" s="1424"/>
      <c r="H693" s="1424"/>
      <c r="I693" s="1424"/>
      <c r="J693" s="1423"/>
      <c r="K693" s="1429"/>
      <c r="L693" s="1429"/>
      <c r="M693" s="1429"/>
      <c r="N693" s="1417"/>
      <c r="O693" s="1417"/>
      <c r="P693" s="1417"/>
      <c r="Q693" s="1417"/>
      <c r="R693" s="1417"/>
      <c r="S693" s="1443"/>
      <c r="T693" s="1417" t="s">
        <v>455</v>
      </c>
      <c r="U693" s="1417" t="s">
        <v>455</v>
      </c>
      <c r="V693" s="1417" t="str">
        <f>IFERROR(__xludf.DUMMYFUNCTION("""COMPUTED_VALUE"""),"")</f>
        <v/>
      </c>
      <c r="W693" s="1416" t="s">
        <v>455</v>
      </c>
      <c r="X693" s="1417"/>
    </row>
    <row r="694">
      <c r="A694" s="1404"/>
      <c r="B694" s="1424"/>
      <c r="C694" s="1473"/>
      <c r="D694" s="1476"/>
      <c r="E694" s="1477"/>
      <c r="F694" s="1424"/>
      <c r="G694" s="1424"/>
      <c r="H694" s="1424"/>
      <c r="I694" s="1424"/>
      <c r="J694" s="1423"/>
      <c r="K694" s="1429"/>
      <c r="L694" s="1429"/>
      <c r="M694" s="1429"/>
      <c r="N694" s="1417"/>
      <c r="O694" s="1417"/>
      <c r="P694" s="1417"/>
      <c r="Q694" s="1417"/>
      <c r="R694" s="1417"/>
      <c r="S694" s="1443"/>
      <c r="T694" s="1417" t="s">
        <v>455</v>
      </c>
      <c r="U694" s="1417" t="s">
        <v>455</v>
      </c>
      <c r="V694" s="1417" t="str">
        <f>IFERROR(__xludf.DUMMYFUNCTION("""COMPUTED_VALUE"""),"")</f>
        <v/>
      </c>
      <c r="W694" s="1416" t="s">
        <v>455</v>
      </c>
      <c r="X694" s="1417"/>
    </row>
    <row r="695">
      <c r="A695" s="1404"/>
      <c r="B695" s="1424"/>
      <c r="C695" s="1473"/>
      <c r="D695" s="1476"/>
      <c r="E695" s="1477"/>
      <c r="F695" s="1424"/>
      <c r="G695" s="1424"/>
      <c r="H695" s="1424"/>
      <c r="I695" s="1424"/>
      <c r="J695" s="1423"/>
      <c r="K695" s="1429"/>
      <c r="L695" s="1429"/>
      <c r="M695" s="1429"/>
      <c r="N695" s="1417"/>
      <c r="O695" s="1417"/>
      <c r="P695" s="1417"/>
      <c r="Q695" s="1417"/>
      <c r="R695" s="1417"/>
      <c r="S695" s="1443"/>
      <c r="T695" s="1417" t="s">
        <v>455</v>
      </c>
      <c r="U695" s="1417" t="s">
        <v>455</v>
      </c>
      <c r="V695" s="1417" t="str">
        <f>IFERROR(__xludf.DUMMYFUNCTION("""COMPUTED_VALUE"""),"")</f>
        <v/>
      </c>
      <c r="W695" s="1416" t="s">
        <v>455</v>
      </c>
      <c r="X695" s="1417"/>
    </row>
    <row r="696">
      <c r="A696" s="1404"/>
      <c r="B696" s="1424"/>
      <c r="C696" s="1473"/>
      <c r="D696" s="1476"/>
      <c r="E696" s="1477"/>
      <c r="F696" s="1424"/>
      <c r="G696" s="1424"/>
      <c r="H696" s="1424"/>
      <c r="I696" s="1424"/>
      <c r="J696" s="1423"/>
      <c r="K696" s="1429"/>
      <c r="L696" s="1429"/>
      <c r="M696" s="1429"/>
      <c r="N696" s="1417"/>
      <c r="O696" s="1417"/>
      <c r="P696" s="1417"/>
      <c r="Q696" s="1417"/>
      <c r="R696" s="1417"/>
      <c r="S696" s="1443"/>
      <c r="T696" s="1417" t="s">
        <v>455</v>
      </c>
      <c r="U696" s="1417" t="s">
        <v>455</v>
      </c>
      <c r="V696" s="1417" t="str">
        <f>IFERROR(__xludf.DUMMYFUNCTION("""COMPUTED_VALUE"""),"")</f>
        <v/>
      </c>
      <c r="W696" s="1416" t="s">
        <v>455</v>
      </c>
      <c r="X696" s="1417"/>
    </row>
    <row r="697">
      <c r="A697" s="1404"/>
      <c r="B697" s="1424"/>
      <c r="C697" s="1473"/>
      <c r="D697" s="1476"/>
      <c r="E697" s="1477"/>
      <c r="F697" s="1424"/>
      <c r="G697" s="1424"/>
      <c r="H697" s="1424"/>
      <c r="I697" s="1424"/>
      <c r="J697" s="1423"/>
      <c r="K697" s="1429"/>
      <c r="L697" s="1429"/>
      <c r="M697" s="1429"/>
      <c r="N697" s="1417"/>
      <c r="O697" s="1417"/>
      <c r="P697" s="1417"/>
      <c r="Q697" s="1417"/>
      <c r="R697" s="1417"/>
      <c r="S697" s="1443"/>
      <c r="T697" s="1417" t="s">
        <v>455</v>
      </c>
      <c r="U697" s="1417" t="s">
        <v>455</v>
      </c>
      <c r="V697" s="1417" t="str">
        <f>IFERROR(__xludf.DUMMYFUNCTION("""COMPUTED_VALUE"""),"")</f>
        <v/>
      </c>
      <c r="W697" s="1416" t="s">
        <v>455</v>
      </c>
      <c r="X697" s="1417"/>
    </row>
    <row r="698">
      <c r="A698" s="1404"/>
      <c r="B698" s="1424"/>
      <c r="C698" s="1473"/>
      <c r="D698" s="1476"/>
      <c r="E698" s="1477"/>
      <c r="F698" s="1424"/>
      <c r="G698" s="1424"/>
      <c r="H698" s="1424"/>
      <c r="I698" s="1424"/>
      <c r="J698" s="1423"/>
      <c r="K698" s="1429"/>
      <c r="L698" s="1429"/>
      <c r="M698" s="1429"/>
      <c r="N698" s="1417"/>
      <c r="O698" s="1417"/>
      <c r="P698" s="1417"/>
      <c r="Q698" s="1417"/>
      <c r="R698" s="1417"/>
      <c r="S698" s="1443"/>
      <c r="T698" s="1417" t="s">
        <v>455</v>
      </c>
      <c r="U698" s="1417" t="s">
        <v>455</v>
      </c>
      <c r="V698" s="1417" t="str">
        <f>IFERROR(__xludf.DUMMYFUNCTION("""COMPUTED_VALUE"""),"")</f>
        <v/>
      </c>
      <c r="W698" s="1416" t="s">
        <v>455</v>
      </c>
      <c r="X698" s="1417"/>
    </row>
    <row r="699">
      <c r="A699" s="1404"/>
      <c r="B699" s="1424"/>
      <c r="C699" s="1473"/>
      <c r="D699" s="1476"/>
      <c r="E699" s="1477"/>
      <c r="F699" s="1424"/>
      <c r="G699" s="1424"/>
      <c r="H699" s="1424"/>
      <c r="I699" s="1424"/>
      <c r="J699" s="1423"/>
      <c r="K699" s="1429"/>
      <c r="L699" s="1429"/>
      <c r="M699" s="1429"/>
      <c r="N699" s="1417"/>
      <c r="O699" s="1417"/>
      <c r="P699" s="1417"/>
      <c r="Q699" s="1417"/>
      <c r="R699" s="1417"/>
      <c r="S699" s="1443"/>
      <c r="T699" s="1417" t="s">
        <v>455</v>
      </c>
      <c r="U699" s="1417" t="s">
        <v>455</v>
      </c>
      <c r="V699" s="1417" t="str">
        <f>IFERROR(__xludf.DUMMYFUNCTION("""COMPUTED_VALUE"""),"")</f>
        <v/>
      </c>
      <c r="W699" s="1416" t="s">
        <v>455</v>
      </c>
      <c r="X699" s="1417"/>
    </row>
    <row r="700">
      <c r="A700" s="1404"/>
      <c r="B700" s="1424"/>
      <c r="C700" s="1473"/>
      <c r="D700" s="1476"/>
      <c r="E700" s="1477"/>
      <c r="F700" s="1424"/>
      <c r="G700" s="1424"/>
      <c r="H700" s="1424"/>
      <c r="I700" s="1424"/>
      <c r="J700" s="1423"/>
      <c r="K700" s="1429"/>
      <c r="L700" s="1429"/>
      <c r="M700" s="1429"/>
      <c r="N700" s="1417"/>
      <c r="O700" s="1417"/>
      <c r="P700" s="1417"/>
      <c r="Q700" s="1417"/>
      <c r="R700" s="1417"/>
      <c r="S700" s="1443"/>
      <c r="T700" s="1417" t="s">
        <v>455</v>
      </c>
      <c r="U700" s="1417" t="s">
        <v>455</v>
      </c>
      <c r="V700" s="1417" t="str">
        <f>IFERROR(__xludf.DUMMYFUNCTION("""COMPUTED_VALUE"""),"")</f>
        <v/>
      </c>
      <c r="W700" s="1416" t="s">
        <v>455</v>
      </c>
      <c r="X700" s="1417"/>
    </row>
    <row r="701">
      <c r="A701" s="1404"/>
      <c r="B701" s="1424"/>
      <c r="C701" s="1473"/>
      <c r="D701" s="1476"/>
      <c r="E701" s="1477"/>
      <c r="F701" s="1424"/>
      <c r="G701" s="1424"/>
      <c r="H701" s="1424"/>
      <c r="I701" s="1424"/>
      <c r="J701" s="1423"/>
      <c r="K701" s="1429"/>
      <c r="L701" s="1429"/>
      <c r="M701" s="1429"/>
      <c r="N701" s="1417"/>
      <c r="O701" s="1417"/>
      <c r="P701" s="1417"/>
      <c r="Q701" s="1417"/>
      <c r="R701" s="1417"/>
      <c r="S701" s="1443"/>
      <c r="T701" s="1417" t="s">
        <v>455</v>
      </c>
      <c r="U701" s="1417" t="s">
        <v>455</v>
      </c>
      <c r="V701" s="1417" t="str">
        <f>IFERROR(__xludf.DUMMYFUNCTION("""COMPUTED_VALUE"""),"")</f>
        <v/>
      </c>
      <c r="W701" s="1416" t="s">
        <v>455</v>
      </c>
      <c r="X701" s="1417"/>
    </row>
    <row r="702">
      <c r="A702" s="1404"/>
      <c r="B702" s="1424"/>
      <c r="C702" s="1473"/>
      <c r="D702" s="1476"/>
      <c r="E702" s="1477"/>
      <c r="F702" s="1424"/>
      <c r="G702" s="1424"/>
      <c r="H702" s="1424"/>
      <c r="I702" s="1424"/>
      <c r="J702" s="1423"/>
      <c r="K702" s="1429"/>
      <c r="L702" s="1429"/>
      <c r="M702" s="1429"/>
      <c r="N702" s="1417"/>
      <c r="O702" s="1417"/>
      <c r="P702" s="1417"/>
      <c r="Q702" s="1417"/>
      <c r="R702" s="1417"/>
      <c r="S702" s="1443"/>
      <c r="T702" s="1417" t="s">
        <v>455</v>
      </c>
      <c r="U702" s="1417" t="s">
        <v>455</v>
      </c>
      <c r="V702" s="1417" t="str">
        <f>IFERROR(__xludf.DUMMYFUNCTION("""COMPUTED_VALUE"""),"")</f>
        <v/>
      </c>
      <c r="W702" s="1416" t="s">
        <v>455</v>
      </c>
      <c r="X702" s="1417"/>
    </row>
    <row r="703">
      <c r="A703" s="1404"/>
      <c r="B703" s="1424"/>
      <c r="C703" s="1473"/>
      <c r="D703" s="1476"/>
      <c r="E703" s="1477"/>
      <c r="F703" s="1424"/>
      <c r="G703" s="1424"/>
      <c r="H703" s="1424"/>
      <c r="I703" s="1424"/>
      <c r="J703" s="1423"/>
      <c r="K703" s="1429"/>
      <c r="L703" s="1429"/>
      <c r="M703" s="1429"/>
      <c r="N703" s="1417"/>
      <c r="O703" s="1417"/>
      <c r="P703" s="1417"/>
      <c r="Q703" s="1417"/>
      <c r="R703" s="1417"/>
      <c r="S703" s="1443"/>
      <c r="T703" s="1417" t="s">
        <v>455</v>
      </c>
      <c r="U703" s="1417" t="s">
        <v>455</v>
      </c>
      <c r="V703" s="1417" t="str">
        <f>IFERROR(__xludf.DUMMYFUNCTION("""COMPUTED_VALUE"""),"")</f>
        <v/>
      </c>
      <c r="W703" s="1416" t="s">
        <v>455</v>
      </c>
      <c r="X703" s="1417"/>
    </row>
    <row r="704">
      <c r="A704" s="1404"/>
      <c r="B704" s="1424"/>
      <c r="C704" s="1473"/>
      <c r="D704" s="1476"/>
      <c r="E704" s="1477"/>
      <c r="F704" s="1424"/>
      <c r="G704" s="1424"/>
      <c r="H704" s="1424"/>
      <c r="I704" s="1424"/>
      <c r="J704" s="1423"/>
      <c r="K704" s="1429"/>
      <c r="L704" s="1429"/>
      <c r="M704" s="1429"/>
      <c r="N704" s="1417"/>
      <c r="O704" s="1417"/>
      <c r="P704" s="1417"/>
      <c r="Q704" s="1417"/>
      <c r="R704" s="1417"/>
      <c r="S704" s="1443"/>
      <c r="T704" s="1417" t="s">
        <v>455</v>
      </c>
      <c r="U704" s="1417" t="s">
        <v>455</v>
      </c>
      <c r="V704" s="1417" t="str">
        <f>IFERROR(__xludf.DUMMYFUNCTION("""COMPUTED_VALUE"""),"")</f>
        <v/>
      </c>
      <c r="W704" s="1416" t="s">
        <v>455</v>
      </c>
      <c r="X704" s="1417"/>
    </row>
    <row r="705">
      <c r="A705" s="1404"/>
      <c r="B705" s="1424"/>
      <c r="C705" s="1473"/>
      <c r="D705" s="1476"/>
      <c r="E705" s="1477"/>
      <c r="F705" s="1424"/>
      <c r="G705" s="1424"/>
      <c r="H705" s="1424"/>
      <c r="I705" s="1424"/>
      <c r="J705" s="1423"/>
      <c r="K705" s="1429"/>
      <c r="L705" s="1429"/>
      <c r="M705" s="1429"/>
      <c r="N705" s="1417"/>
      <c r="O705" s="1417"/>
      <c r="P705" s="1417"/>
      <c r="Q705" s="1417"/>
      <c r="R705" s="1417"/>
      <c r="S705" s="1443"/>
      <c r="T705" s="1417" t="s">
        <v>455</v>
      </c>
      <c r="U705" s="1417" t="s">
        <v>455</v>
      </c>
      <c r="V705" s="1417" t="str">
        <f>IFERROR(__xludf.DUMMYFUNCTION("""COMPUTED_VALUE"""),"")</f>
        <v/>
      </c>
      <c r="W705" s="1416" t="s">
        <v>455</v>
      </c>
      <c r="X705" s="1417"/>
    </row>
  </sheetData>
  <mergeCells count="10">
    <mergeCell ref="I4:I5"/>
    <mergeCell ref="P4:Q4"/>
    <mergeCell ref="P10:Q10"/>
    <mergeCell ref="F2:I2"/>
    <mergeCell ref="E3:E13"/>
    <mergeCell ref="F3:I3"/>
    <mergeCell ref="F4:F5"/>
    <mergeCell ref="G4:G5"/>
    <mergeCell ref="H4:H5"/>
    <mergeCell ref="L4:L7"/>
  </mergeCells>
  <conditionalFormatting sqref="F6:I200">
    <cfRule type="containsBlanks" dxfId="51" priority="1">
      <formula>LEN(TRIM(F6))=0</formula>
    </cfRule>
  </conditionalFormatting>
  <conditionalFormatting sqref="F6:I200">
    <cfRule type="expression" dxfId="30" priority="2">
      <formula>MOD(LEN($F6),10)=1</formula>
    </cfRule>
  </conditionalFormatting>
  <conditionalFormatting sqref="F6:I200">
    <cfRule type="expression" dxfId="47" priority="3">
      <formula>MOD(LEN($F6),10)=2</formula>
    </cfRule>
  </conditionalFormatting>
  <conditionalFormatting sqref="F6:I200">
    <cfRule type="expression" dxfId="32" priority="4">
      <formula>MOD(LEN($F6),10)=3</formula>
    </cfRule>
  </conditionalFormatting>
  <conditionalFormatting sqref="F6:I200">
    <cfRule type="expression" dxfId="52" priority="5">
      <formula>MOD(LEN($F6),10)=4</formula>
    </cfRule>
  </conditionalFormatting>
  <conditionalFormatting sqref="F6:I200">
    <cfRule type="expression" dxfId="53" priority="6">
      <formula>MOD(LEN($F6),10)=5</formula>
    </cfRule>
  </conditionalFormatting>
  <conditionalFormatting sqref="F6:I200">
    <cfRule type="expression" dxfId="54" priority="7">
      <formula>MOD(LEN($F6),10)=6</formula>
    </cfRule>
  </conditionalFormatting>
  <conditionalFormatting sqref="F6:I200">
    <cfRule type="expression" dxfId="43" priority="8">
      <formula>MOD(LEN($F6),10)=7</formula>
    </cfRule>
  </conditionalFormatting>
  <conditionalFormatting sqref="F6:I200">
    <cfRule type="expression" dxfId="48" priority="9">
      <formula>MOD(LEN($F6),10)=8</formula>
    </cfRule>
  </conditionalFormatting>
  <conditionalFormatting sqref="F6:I200">
    <cfRule type="expression" dxfId="41" priority="10">
      <formula>MOD(LEN($F6),10)=9</formula>
    </cfRule>
  </conditionalFormatting>
  <conditionalFormatting sqref="F6:I200">
    <cfRule type="expression" dxfId="55" priority="11">
      <formula>MOD(LEN($F6),10)=0</formula>
    </cfRule>
  </conditionalFormatting>
  <dataValidations>
    <dataValidation type="list" allowBlank="1" showErrorMessage="1" sqref="L22">
      <formula1>'Short Lab Path'!$N$5:$N$88</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outlineLevelCol="1"/>
  <cols>
    <col customWidth="1" min="1" max="1" width="1.63"/>
    <col customWidth="1" min="2" max="2" width="3.25"/>
    <col customWidth="1" hidden="1" min="3" max="3" width="9.13"/>
    <col customWidth="1" hidden="1" min="4" max="4" width="9.38"/>
    <col customWidth="1" min="5" max="5" width="3.75"/>
    <col customWidth="1" min="6" max="6" width="32.13" outlineLevel="1"/>
    <col customWidth="1" hidden="1" min="7" max="7" width="10.63" outlineLevel="1"/>
    <col customWidth="1" min="8" max="8" width="11.38" outlineLevel="1"/>
    <col customWidth="1" hidden="1" min="9" max="9" width="8.13" outlineLevel="1"/>
    <col customWidth="1" min="10" max="11" width="8.13" outlineLevel="1"/>
    <col customWidth="1" min="12" max="12" width="11.88" outlineLevel="1"/>
    <col customWidth="1" min="13" max="13" width="14.38"/>
    <col customWidth="1" min="14" max="14" width="4.88"/>
    <col customWidth="1" min="15" max="15" width="16.0"/>
    <col collapsed="1" customWidth="1" min="16" max="16" width="2.63"/>
    <col customWidth="1" hidden="1" min="17" max="17" width="14.0" outlineLevel="1"/>
    <col customWidth="1" hidden="1" min="18" max="18" width="5.0" outlineLevel="1"/>
    <col customWidth="1" hidden="1" min="19" max="19" width="15.13" outlineLevel="1"/>
    <col customWidth="1" hidden="1" min="20" max="20" width="6.13" outlineLevel="1"/>
    <col customWidth="1" hidden="1" min="21" max="21" width="4.13" outlineLevel="1"/>
    <col customWidth="1" hidden="1" min="22" max="22" width="29.75" outlineLevel="1"/>
    <col customWidth="1" hidden="1" min="23" max="23" width="9.0" outlineLevel="1"/>
    <col customWidth="1" hidden="1" min="24" max="24" width="10.38" outlineLevel="1"/>
    <col customWidth="1" hidden="1" min="25" max="26" width="10.25" outlineLevel="1"/>
    <col customWidth="1" min="27" max="27" width="210.13"/>
  </cols>
  <sheetData>
    <row r="1" ht="9.0" customHeight="1">
      <c r="A1" s="1404"/>
      <c r="B1" s="1404"/>
      <c r="C1" s="1133"/>
      <c r="D1" s="1404"/>
      <c r="E1" s="1404"/>
      <c r="F1" s="1404"/>
      <c r="G1" s="1404"/>
      <c r="H1" s="1404"/>
      <c r="I1" s="1404"/>
      <c r="J1" s="1404"/>
      <c r="K1" s="1404"/>
      <c r="L1" s="1404"/>
      <c r="M1" s="1405"/>
      <c r="N1" s="1404"/>
      <c r="O1" s="1404"/>
      <c r="P1" s="1404"/>
      <c r="Q1" s="1406"/>
      <c r="R1" s="1406"/>
      <c r="S1" s="1406"/>
      <c r="T1" s="1406"/>
      <c r="U1" s="1406"/>
      <c r="V1" s="1407"/>
      <c r="W1" s="1406"/>
      <c r="X1" s="1406"/>
      <c r="Y1" s="1408"/>
      <c r="Z1" s="1478"/>
      <c r="AA1" s="1409"/>
    </row>
    <row r="2" ht="30.0" customHeight="1">
      <c r="A2" s="1404"/>
      <c r="B2" s="1410"/>
      <c r="C2" s="1411"/>
      <c r="D2" s="1410"/>
      <c r="E2" s="1410"/>
      <c r="F2" s="1412" t="str">
        <f>IFERROR(__xludf.DUMMYFUNCTION("IF(F6&lt;&gt;"""", SPARKLINE(G6:G201), ""Completed ! 🎉"")"),"")</f>
        <v/>
      </c>
      <c r="G2" s="1368"/>
      <c r="H2" s="1368"/>
      <c r="I2" s="1368"/>
      <c r="J2" s="1368"/>
      <c r="K2" s="1368"/>
      <c r="L2" s="1368"/>
      <c r="M2" s="1413"/>
      <c r="N2" s="1414"/>
      <c r="O2" s="1414"/>
      <c r="P2" s="1414"/>
      <c r="Q2" s="1415"/>
      <c r="R2" s="1415"/>
      <c r="S2" s="1415"/>
      <c r="T2" s="1415"/>
      <c r="U2" s="1415"/>
      <c r="V2" s="1400"/>
      <c r="W2" s="1415"/>
      <c r="X2" s="1415"/>
      <c r="Y2" s="1416"/>
      <c r="Z2" s="1479"/>
      <c r="AA2" s="1417"/>
    </row>
    <row r="3" ht="15.75" customHeight="1">
      <c r="A3" s="1404"/>
      <c r="B3" s="1418"/>
      <c r="C3" s="1419">
        <v>1.0</v>
      </c>
      <c r="D3" s="1418"/>
      <c r="E3" s="1420" t="s">
        <v>722</v>
      </c>
      <c r="F3" s="1421"/>
      <c r="G3" s="1422"/>
      <c r="H3" s="1422"/>
      <c r="I3" s="1422"/>
      <c r="J3" s="1422"/>
      <c r="K3" s="1422"/>
      <c r="L3" s="1422"/>
      <c r="M3" s="1423"/>
      <c r="N3" s="1424"/>
      <c r="O3" s="1425" t="s">
        <v>748</v>
      </c>
      <c r="P3" s="1424"/>
      <c r="Q3" s="1415"/>
      <c r="R3" s="1415"/>
      <c r="S3" s="1415"/>
      <c r="T3" s="1415"/>
      <c r="U3" s="1415"/>
      <c r="V3" s="1415"/>
      <c r="W3" s="1415"/>
      <c r="X3" s="1415"/>
      <c r="Y3" s="1416"/>
      <c r="Z3" s="1479"/>
      <c r="AA3" s="1417"/>
    </row>
    <row r="4">
      <c r="A4" s="1404"/>
      <c r="B4" s="1418"/>
      <c r="C4" s="1426">
        <v>2.0</v>
      </c>
      <c r="D4" s="1418"/>
      <c r="E4" s="140"/>
      <c r="F4" s="1427" t="str">
        <f>"Upgrade (" &amp; COUNTA(F6:F201) &amp; IF(F200&lt;&gt;"", "+", ) &amp; ")"</f>
        <v>Upgrade (84)</v>
      </c>
      <c r="G4" s="1428" t="s">
        <v>393</v>
      </c>
      <c r="H4" s="1428" t="s">
        <v>393</v>
      </c>
      <c r="I4" s="1428" t="s">
        <v>508</v>
      </c>
      <c r="J4" s="1428" t="s">
        <v>508</v>
      </c>
      <c r="K4" s="1480" t="s">
        <v>749</v>
      </c>
      <c r="L4" s="1481" t="s">
        <v>750</v>
      </c>
      <c r="M4" s="1423"/>
      <c r="N4" s="1429"/>
      <c r="O4" s="1430">
        <f>IDS_LAB_GODLBOXED_COUNT()</f>
        <v>48</v>
      </c>
      <c r="P4" s="1431"/>
      <c r="Q4" s="1432" t="s">
        <v>725</v>
      </c>
      <c r="R4" s="1361"/>
      <c r="S4" s="1482" t="s">
        <v>726</v>
      </c>
      <c r="U4" s="1432"/>
      <c r="V4" s="1433" t="str">
        <f>"Labs (" &amp; COUNTA(V5:V201) &amp;")"</f>
        <v>Labs (84)</v>
      </c>
      <c r="W4" s="1432" t="s">
        <v>727</v>
      </c>
      <c r="X4" s="1432" t="s">
        <v>391</v>
      </c>
      <c r="Y4" s="1434" t="s">
        <v>728</v>
      </c>
      <c r="Z4" s="1483" t="s">
        <v>751</v>
      </c>
      <c r="AA4" s="1435"/>
    </row>
    <row r="5">
      <c r="A5" s="1404"/>
      <c r="B5" s="1418"/>
      <c r="C5" s="1436">
        <v>3.0</v>
      </c>
      <c r="D5" s="1418"/>
      <c r="E5" s="140"/>
      <c r="F5" s="1437"/>
      <c r="G5" s="1437"/>
      <c r="H5" s="1437"/>
      <c r="I5" s="1437"/>
      <c r="J5" s="1437"/>
      <c r="K5" s="1437"/>
      <c r="L5" s="1437"/>
      <c r="M5" s="1423"/>
      <c r="N5" s="1429"/>
      <c r="O5" s="140"/>
      <c r="P5" s="1431"/>
      <c r="Q5" s="1438" t="str">
        <f>IFERROR(__xludf.DUMMYFUNCTION("LET(
  data, FILTER('Lab Calculator'!E3:E201, ('Lab Calculator'!E3:E201&lt;&gt;"""") * REGEXMATCH('Lab Calculator'!E3:E201,""T"")),
  uniqueData, UNIQUE(data),
  SORT(
    uniqueData,
    ARRAYFORMULA(VALUE(REGEXEXTRACT(uniqueData,""T(\d+)""))), TRUE,
    ARRAY"&amp;"FORMULA(IFERROR(VALUE(REGEXEXTRACT(uniqueData,""\s(.+)"")),1E+99)), TRUE
  )
)
"),"T1 150")</f>
        <v>T1 150</v>
      </c>
      <c r="R5" s="1361"/>
      <c r="S5" s="1440" t="s">
        <v>729</v>
      </c>
      <c r="T5" s="1441" t="b">
        <f t="shared" ref="T5:T6" si="1">IDS_BOT_OWN(S5)</f>
        <v>1</v>
      </c>
      <c r="U5" s="1442"/>
      <c r="V5" s="1443" t="str">
        <f>IFERROR(__xludf.DUMMYFUNCTION("ARRAYFORMULA(LET(
    unlocked, O13,
    targetTier, VALUE(REGEXEXTRACT(unlocked,""T(\d+)"")),
    targetWave, VALUE(REGEXEXTRACT(unlocked,""\s(\d+)"")),
    data, FILTER(EXPORT!B5:E201,
      BYROW(EXPORT!B5:B201, LAMBDA(b,
        IF(
          DVT_HAS_"&amp;"LAB_UNLOCKED(b, unlocked),
          LET(
            idx, ROW(b) - ROW(EXPORT!B5) + 1,
            curr, INDEX(EXPORT!C5:C201, idx),
            maxv, INDEX(EXPORT!E5:E201, idx),
            curr &lt; maxv
          ),
          FALSE)
      ))
    ),
    e"&amp;"xclusions, VSTACK(
      IFERROR(FILTER(S5:S8, T5:T8 = FALSE),),
      IFERROR(FILTER(S11:S25, T11:T25= FALSE),),
      IFERROR(FILTER(S28:S58, T28:T58 = FALSE),),
      IFERROR(FILTER(S61:S68, T61:T68 = FALSE),),
    ),
    exclusions_regex, IF(COUNTA(ex"&amp;"clusions), TEXTJOIN(""|"", TRUE, exclusions), ""^\b$""),
    mask, (NOT(REGEXMATCH(INDEX(data,,1), exclusions_regex))),
    SORT(INDEX(FILTER(data, mask),,1),1, TRUE)
))"),"Armor Effect Bans")</f>
        <v>Armor Effect Bans</v>
      </c>
      <c r="W5" s="1417">
        <f t="array" ref="W5:W201">LET(labs, V5:V201, IF(labs &lt;&gt; "" ,VLOOKUP(labs,MS_Labs_Array,2,FALSE), ""))</f>
        <v>2</v>
      </c>
      <c r="X5" s="1417">
        <f t="array" ref="X5:X201">LET(labs, V5:V201, IF(labs &lt;&gt; "" ,VLOOKUP(labs,MS_Labs_Array,4,FALSE), ""))</f>
        <v>4</v>
      </c>
      <c r="Y5" s="1416">
        <f t="array" ref="Y5:Y201">MAP(
  V5:V201,
  W5:W201,
  X5:X201,
  LAMBDA(t_val, u_val, v_val,
    IF(
      t_val = "",
      "",
      LET(
        col_raw, IF(ISNUMBER(SEARCH("Mastery", t_val)), "Card Mastery", t_val),
        col_match, IFERROR(MATCH(col_raw, DVT_Laboratory!B$1:AA$1, 0) - 1, -1),
        IF(
          col_match &lt; 0,
          "",
          LET(
            OffsetRange, OFFSET(DVT_Laboratory!$B$3, 0, col_match, 100, 1),
            start_idx, IF(ISNUMBER(u_val), u_val + 1, 9999),
            end_idx,   IF(ISNUMBER(v_val), v_val, 0),
            length, MAX(0, end_idx - start_idx + 1),
            result,
              IF(
                OR(NOT(ISNUMBER(start_idx)), NOT(ISNUMBER(end_idx)), length &lt;= 0),
                0,
                SUM( OFFSET(OffsetRange, start_idx - 1, 0, length, 1) ) / IF(t_val="Labs Speed", 1+'Master Sheet'!$BK$5, LAB_SPEED_TOTAL()) / $O$10
              ),
            result
          )
        )
      )
    )
  )
)</f>
        <v>23.30172772</v>
      </c>
      <c r="Z5" s="1479">
        <f t="array" ref="Z5:Z201">MAP(
  V5:V201,
  W5:W201,
  X5:X201,
  LAMBDA(t_val, u_val, v_val,
    IF(
      t_val = "",
      "",
      LET(
        col_raw, IF(ISNUMBER(SEARCH("Mastery", t_val)), "Card Mastery", t_val),
        col_match, IFERROR(MATCH(col_raw, DVT_Laboratory!B$1:AA$1, 0) - 1, -1),
        IF(
          col_match &lt; 0,
          "",
          LET(
            OffsetRange, OFFSET(DVT_Laboratory!$C$3, 0, col_match, 100, 1),
            start_idx, IF(ISNUMBER(u_val), u_val + 1, 9999),
            end_idx,   IF(ISNUMBER(v_val), v_val, 0),
            length, MAX(0, end_idx - start_idx + 1),
            result,
              IF(
                OR(NOT(ISNUMBER(start_idx)), NOT(ISNUMBER(end_idx)), length &lt;= 0),
                0,
                SUM( OFFSET(OffsetRange, start_idx - 1, 0, length, 1) ) / IF(t_val="Labs Coin Discount", 1, 1+'Master Sheet'!$C$7*0.003)
              ),
            result
          )
        )
      )
    )
  )
)</f>
        <v>4.56811E+16</v>
      </c>
      <c r="AA5" s="1417"/>
    </row>
    <row r="6">
      <c r="A6" s="1404"/>
      <c r="B6" s="1418"/>
      <c r="C6" s="1444">
        <v>4.0</v>
      </c>
      <c r="D6" s="1484">
        <f t="shared" ref="D6:D75" si="2">IF(G6&lt;&gt;"", G6*40 + 60, "")</f>
        <v>142.5799108</v>
      </c>
      <c r="E6" s="140"/>
      <c r="F6" s="1485" t="str">
        <f>IFERROR(__xludf.DUMMYFUNCTION("FILTER(SORT(V5:V200, Y5:Y200, TRUE), SORT(Z5:Z200, Y5:Y200, TRUE)&lt;UNFORMAT_NUMBER(O16))"),"Golden Tower Duration")</f>
        <v>Golden Tower Duration</v>
      </c>
      <c r="G6" s="1486">
        <f>IFERROR(__xludf.DUMMYFUNCTION("FILTER(SORT(Y5:Y200, Y5:Y200, TRUE), SORT(Z5:Z200, Y5:Y200, TRUE)&lt;UNFORMAT_NUMBER(O16))"),2.0644977700952687)</f>
        <v>2.06449777</v>
      </c>
      <c r="H6" s="1487" t="str">
        <f t="shared" ref="H6:H200" si="3">FORMAT_TIME(G6)</f>
        <v>2d  1h 32m</v>
      </c>
      <c r="I6" s="1488">
        <f>IFERROR(__xludf.DUMMYFUNCTION("FILTER(SORT(Z5:Z200, Y5:Y200, TRUE), SORT(Z5:Z200, Y5:Y200, TRUE)&lt;UNFORMAT_NUMBER(O16))"),7.342192691029901E9)</f>
        <v>7342192691</v>
      </c>
      <c r="J6" s="1487" t="str">
        <f t="shared" ref="J6:J200" si="4">IF(I6&lt;&gt;"", FORMAT_NUMBER(I6), "")</f>
        <v>7.34 B</v>
      </c>
      <c r="K6" s="1487">
        <f t="array" ref="K6">IFERROR(LET(
  Labspeed, IF(F6="Labs Speed", 1+'Master Sheet'!$BK$5, LAB_SPEED_TOTAL()),
  Lab, MATCH(IF(ISNUMBER(SEARCH("Mastery", $F6)), "Card Mastery", $F6), DVT_Laboratory!B$1:AA$1, 0)-1,
  Offset, OFFSET(DVT_Laboratory!B$3, 0, Lab, 100, 1),
SUM(TIME_TO_RUSH_GEMS(
    XLOOKUP(INDEX($W$5:$W201, MATCH(F6, $V$5:$V201, 0))+1, SEQUENCE(100, 1, 1, 1), Offset, "N/F", 0, 1):
    XLOOKUP(INDEX($X$5:$X201, MATCH(F6, $V$5:$V201, 0)), SEQUENCE(100, 1, 1, 1), Offset, "N/F", 0, 1)/Labspeed, IDS_LAB_GODLBOXED_COUNT()))),"")</f>
        <v>663</v>
      </c>
      <c r="L6" s="1487">
        <f t="array" ref="L6">IFERROR(LET(
  Labspeed, IF(F6="Labs Speed", 1+'Master Sheet'!$BK$5, LAB_SPEED_TOTAL()),
  Lab, MATCH(IF(ISNUMBER(SEARCH("Mastery", $F6)), "Card Mastery", $F6), DVT_Laboratory!B$1:AA$1, 0)-1,
  Offset, OFFSET(DVT_Laboratory!B$3, 0, Lab, 100, 1),
K6-SUM(TIME_TO_RUSH_GEMS(
    XLOOKUP(INDEX($W$5:$W201, MATCH(F6, $V$5:$V201, 0))+1, SEQUENCE(100, 1, 1, 1), Offset, "N/F", 0, 1):
    XLOOKUP(INDEX($X$5:$X201, MATCH(F6, $V$5:$V201, 0)), SEQUENCE(100, 1, 1, 1), Offset, "N/F", 0, 1)/Labspeed, IDS_LAB_GODLBOXED_COUNT()+1))),"")</f>
        <v>6</v>
      </c>
      <c r="M6" s="1423" t="str">
        <f t="shared" ref="M6:M200" si="5">IF(I6&lt;&gt;"", FORMAT_TIME(SUM(G$6:G6)),)</f>
        <v>2d  1h 32m</v>
      </c>
      <c r="N6" s="1450"/>
      <c r="O6" s="1425" t="s">
        <v>752</v>
      </c>
      <c r="P6" s="1431"/>
      <c r="Q6" s="1438" t="str">
        <f>IFERROR(__xludf.DUMMYFUNCTION("""COMPUTED_VALUE"""),"T1 250")</f>
        <v>T1 250</v>
      </c>
      <c r="R6" s="1361"/>
      <c r="S6" s="1440" t="s">
        <v>730</v>
      </c>
      <c r="T6" s="1441" t="b">
        <f t="shared" si="1"/>
        <v>0</v>
      </c>
      <c r="U6" s="1442"/>
      <c r="V6" s="1451" t="str">
        <f>IFERROR(__xludf.DUMMYFUNCTION("""COMPUTED_VALUE"""),"Assist Module Bonus - Armor")</f>
        <v>Assist Module Bonus - Armor</v>
      </c>
      <c r="W6" s="1417">
        <v>0.0</v>
      </c>
      <c r="X6" s="1417">
        <v>30.0</v>
      </c>
      <c r="Y6" s="1416">
        <v>319.13410779802905</v>
      </c>
      <c r="Z6" s="1479">
        <v>9.65531561461794E19</v>
      </c>
      <c r="AA6" s="1417"/>
    </row>
    <row r="7">
      <c r="A7" s="1404"/>
      <c r="B7" s="1418"/>
      <c r="C7" s="1452">
        <v>5.0</v>
      </c>
      <c r="D7" s="1484">
        <f t="shared" si="2"/>
        <v>268.2644873</v>
      </c>
      <c r="E7" s="140"/>
      <c r="F7" s="1446" t="str">
        <f>IFERROR(__xludf.DUMMYFUNCTION("""COMPUTED_VALUE"""),"Chrono Field Range")</f>
        <v>Chrono Field Range</v>
      </c>
      <c r="G7" s="1448">
        <f>IFERROR(__xludf.DUMMYFUNCTION("""COMPUTED_VALUE"""),5.206612182990586)</f>
        <v>5.206612183</v>
      </c>
      <c r="H7" s="1449" t="str">
        <f t="shared" si="3"/>
        <v>5d  4h 57m</v>
      </c>
      <c r="I7" s="1489">
        <f>IFERROR(__xludf.DUMMYFUNCTION("""COMPUTED_VALUE"""),1.743355481727575E10)</f>
        <v>17433554817</v>
      </c>
      <c r="J7" s="1449" t="str">
        <f t="shared" si="4"/>
        <v>17.43 B</v>
      </c>
      <c r="K7" s="1490">
        <f t="array" ref="K7">IFERROR(LET(
  Labspeed, IF(F7="Labs Speed", 1+'Master Sheet'!$BK$5, LAB_SPEED_TOTAL()),
  Lab, MATCH(IF(ISNUMBER(SEARCH("Mastery", $F7)), "Card Mastery", $F7), DVT_Laboratory!B$1:AA$1, 0)-1,
  Offset, OFFSET(DVT_Laboratory!B$3, 0, Lab, 100, 1),
SUM(TIME_TO_RUSH_GEMS(
    XLOOKUP(INDEX($W$5:$W201, MATCH(F7, $V$5:$V201, 0))+1, SEQUENCE(100, 1, 1, 1), Offset, "N/F", 0, 1):
    XLOOKUP(INDEX($X$5:$X201, MATCH(F7, $V$5:$V201, 0)), SEQUENCE(100, 1, 1, 1), Offset, "N/F", 0, 1)/Labspeed, IDS_LAB_GODLBOXED_COUNT()))),"")</f>
        <v>1713</v>
      </c>
      <c r="L7" s="1490">
        <f t="array" ref="L7">IFERROR(LET(
  Labspeed, IF(F7="Labs Speed", 1+'Master Sheet'!$BK$5, LAB_SPEED_TOTAL()),
  Lab, MATCH(IF(ISNUMBER(SEARCH("Mastery", $F7)), "Card Mastery", $F7), DVT_Laboratory!B$1:AA$1, 0)-1,
  Offset, OFFSET(DVT_Laboratory!B$3, 0, Lab, 100, 1),
K7-SUM(TIME_TO_RUSH_GEMS(
    XLOOKUP(INDEX($W$5:$W201, MATCH(F7, $V$5:$V201, 0))+1, SEQUENCE(100, 1, 1, 1), Offset, "N/F", 0, 1):
    XLOOKUP(INDEX($X$5:$X201, MATCH(F7, $V$5:$V201, 0)), SEQUENCE(100, 1, 1, 1), Offset, "N/F", 0, 1)/Labspeed, IDS_LAB_GODLBOXED_COUNT()+1))),"")</f>
        <v>13</v>
      </c>
      <c r="M7" s="1423" t="str">
        <f t="shared" si="5"/>
        <v>7d  6h 30m</v>
      </c>
      <c r="N7" s="1450"/>
      <c r="O7" s="1491">
        <f>1+0.015*O4</f>
        <v>1.72</v>
      </c>
      <c r="P7" s="1431"/>
      <c r="Q7" s="1438" t="str">
        <f>IFERROR(__xludf.DUMMYFUNCTION("""COMPUTED_VALUE"""),"T1 400")</f>
        <v>T1 400</v>
      </c>
      <c r="R7" s="1361"/>
      <c r="S7" s="1440" t="s">
        <v>731</v>
      </c>
      <c r="T7" s="1441" t="b">
        <f>IDS_BOT_OWN("Golden Bot")</f>
        <v>1</v>
      </c>
      <c r="U7" s="1442"/>
      <c r="V7" s="1443" t="str">
        <f>IFERROR(__xludf.DUMMYFUNCTION("""COMPUTED_VALUE"""),"Assist Module Bonus - Core")</f>
        <v>Assist Module Bonus - Core</v>
      </c>
      <c r="W7" s="1417">
        <v>0.0</v>
      </c>
      <c r="X7" s="1417">
        <v>30.0</v>
      </c>
      <c r="Y7" s="1416">
        <v>319.13410779802905</v>
      </c>
      <c r="Z7" s="1479">
        <v>9.65531561461794E19</v>
      </c>
      <c r="AA7" s="1417"/>
    </row>
    <row r="8">
      <c r="A8" s="1404"/>
      <c r="B8" s="1418"/>
      <c r="C8" s="1455">
        <v>6.0</v>
      </c>
      <c r="D8" s="1484">
        <f t="shared" si="2"/>
        <v>272.9107106</v>
      </c>
      <c r="E8" s="140"/>
      <c r="F8" s="1446" t="str">
        <f>IFERROR(__xludf.DUMMYFUNCTION("""COMPUTED_VALUE"""),"Wall Invincibility")</f>
        <v>Wall Invincibility</v>
      </c>
      <c r="G8" s="1448">
        <f>IFERROR(__xludf.DUMMYFUNCTION("""COMPUTED_VALUE"""),5.322767765095988)</f>
        <v>5.322767765</v>
      </c>
      <c r="H8" s="1449" t="str">
        <f t="shared" si="3"/>
        <v>5d  7h 44m</v>
      </c>
      <c r="I8" s="1489">
        <f>IFERROR(__xludf.DUMMYFUNCTION("""COMPUTED_VALUE"""),4.471528239202658E12)</f>
        <v>4471528239203</v>
      </c>
      <c r="J8" s="1449" t="str">
        <f t="shared" si="4"/>
        <v>4.47 T</v>
      </c>
      <c r="K8" s="1492">
        <f t="array" ref="K8">IFERROR(LET(
  Labspeed, IF(F8="Labs Speed", 1+'Master Sheet'!$BK$5, LAB_SPEED_TOTAL()),
  Lab, MATCH(IF(ISNUMBER(SEARCH("Mastery", $F8)), "Card Mastery", $F8), DVT_Laboratory!B$1:AA$1, 0)-1,
  Offset, OFFSET(DVT_Laboratory!B$3, 0, Lab, 100, 1),
SUM(TIME_TO_RUSH_GEMS(
    XLOOKUP(INDEX($W$5:$W201, MATCH(F8, $V$5:$V201, 0))+1, SEQUENCE(100, 1, 1, 1), Offset, "N/F", 0, 1):
    XLOOKUP(INDEX($X$5:$X201, MATCH(F8, $V$5:$V201, 0)), SEQUENCE(100, 1, 1, 1), Offset, "N/F", 0, 1)/Labspeed, IDS_LAB_GODLBOXED_COUNT()))),"")</f>
        <v>1866</v>
      </c>
      <c r="L8" s="1492">
        <f t="array" ref="L8">IFERROR(LET(
  Labspeed, IF(F8="Labs Speed", 1+'Master Sheet'!$BK$5, LAB_SPEED_TOTAL()),
  Lab, MATCH(IF(ISNUMBER(SEARCH("Mastery", $F8)), "Card Mastery", $F8), DVT_Laboratory!B$1:AA$1, 0)-1,
  Offset, OFFSET(DVT_Laboratory!B$3, 0, Lab, 100, 1),
K8-SUM(TIME_TO_RUSH_GEMS(
    XLOOKUP(INDEX($W$5:$W201, MATCH(F8, $V$5:$V201, 0))+1, SEQUENCE(100, 1, 1, 1), Offset, "N/F", 0, 1):
    XLOOKUP(INDEX($X$5:$X201, MATCH(F8, $V$5:$V201, 0)), SEQUENCE(100, 1, 1, 1), Offset, "N/F", 0, 1)/Labspeed, IDS_LAB_GODLBOXED_COUNT()+1))),"")</f>
        <v>16</v>
      </c>
      <c r="M8" s="1423" t="str">
        <f t="shared" si="5"/>
        <v>12d 14h 15m</v>
      </c>
      <c r="N8" s="1450"/>
      <c r="O8" s="1424"/>
      <c r="P8" s="1431"/>
      <c r="Q8" s="1438" t="str">
        <f>IFERROR(__xludf.DUMMYFUNCTION("""COMPUTED_VALUE"""),"T2 20")</f>
        <v>T2 20</v>
      </c>
      <c r="R8" s="1361"/>
      <c r="S8" s="1440" t="s">
        <v>732</v>
      </c>
      <c r="T8" s="1441" t="b">
        <f>IDS_BOT_OWN("Amplify Bot")</f>
        <v>0</v>
      </c>
      <c r="U8" s="1456"/>
      <c r="V8" s="1457" t="str">
        <f>IFERROR(__xludf.DUMMYFUNCTION("""COMPUTED_VALUE"""),"Assist Module Bonus - Generator")</f>
        <v>Assist Module Bonus - Generator</v>
      </c>
      <c r="W8" s="1417">
        <v>0.0</v>
      </c>
      <c r="X8" s="1417">
        <v>30.0</v>
      </c>
      <c r="Y8" s="1416">
        <v>319.13410779802905</v>
      </c>
      <c r="Z8" s="1479">
        <v>9.65531561461794E19</v>
      </c>
      <c r="AA8" s="1417"/>
    </row>
    <row r="9">
      <c r="A9" s="1404"/>
      <c r="B9" s="1418"/>
      <c r="C9" s="1458">
        <v>7.0</v>
      </c>
      <c r="D9" s="1484">
        <f t="shared" si="2"/>
        <v>289.3804129</v>
      </c>
      <c r="E9" s="140"/>
      <c r="F9" s="1446" t="str">
        <f>IFERROR(__xludf.DUMMYFUNCTION("""COMPUTED_VALUE"""),"Recharge Demon Mode")</f>
        <v>Recharge Demon Mode</v>
      </c>
      <c r="G9" s="1448">
        <f>IFERROR(__xludf.DUMMYFUNCTION("""COMPUTED_VALUE"""),5.734510323606862)</f>
        <v>5.734510324</v>
      </c>
      <c r="H9" s="1449" t="str">
        <f t="shared" si="3"/>
        <v>5d 17h 37m</v>
      </c>
      <c r="I9" s="1489">
        <f>IFERROR(__xludf.DUMMYFUNCTION("""COMPUTED_VALUE"""),7.666112956810632E12)</f>
        <v>7666112956811</v>
      </c>
      <c r="J9" s="1449" t="str">
        <f t="shared" si="4"/>
        <v>7.67 T</v>
      </c>
      <c r="K9" s="1493">
        <f t="array" ref="K9">IFERROR(LET(
  Labspeed, IF(F9="Labs Speed", 1+'Master Sheet'!$BK$5, LAB_SPEED_TOTAL()),
  Lab, MATCH(IF(ISNUMBER(SEARCH("Mastery", $F9)), "Card Mastery", $F9), DVT_Laboratory!B$1:AA$1, 0)-1,
  Offset, OFFSET(DVT_Laboratory!B$3, 0, Lab, 100, 1),
SUM(TIME_TO_RUSH_GEMS(
    XLOOKUP(INDEX($W$5:$W201, MATCH(F9, $V$5:$V201, 0))+1, SEQUENCE(100, 1, 1, 1), Offset, "N/F", 0, 1):
    XLOOKUP(INDEX($X$5:$X201, MATCH(F9, $V$5:$V201, 0)), SEQUENCE(100, 1, 1, 1), Offset, "N/F", 0, 1)/Labspeed, IDS_LAB_GODLBOXED_COUNT()))),"")</f>
        <v>1802</v>
      </c>
      <c r="L9" s="1493">
        <f t="array" ref="L9">IFERROR(LET(
  Labspeed, IF(F9="Labs Speed", 1+'Master Sheet'!$BK$5, LAB_SPEED_TOTAL()),
  Lab, MATCH(IF(ISNUMBER(SEARCH("Mastery", $F9)), "Card Mastery", $F9), DVT_Laboratory!B$1:AA$1, 0)-1,
  Offset, OFFSET(DVT_Laboratory!B$3, 0, Lab, 100, 1),
K9-SUM(TIME_TO_RUSH_GEMS(
    XLOOKUP(INDEX($W$5:$W201, MATCH(F9, $V$5:$V201, 0))+1, SEQUENCE(100, 1, 1, 1), Offset, "N/F", 0, 1):
    XLOOKUP(INDEX($X$5:$X201, MATCH(F9, $V$5:$V201, 0)), SEQUENCE(100, 1, 1, 1), Offset, "N/F", 0, 1)/Labspeed, IDS_LAB_GODLBOXED_COUNT()+1))),"")</f>
        <v>15</v>
      </c>
      <c r="M9" s="1423" t="str">
        <f t="shared" si="5"/>
        <v>18d  7h 52m</v>
      </c>
      <c r="N9" s="1450"/>
      <c r="O9" s="1472" t="s">
        <v>214</v>
      </c>
      <c r="P9" s="1431"/>
      <c r="Q9" s="1438" t="str">
        <f>IFERROR(__xludf.DUMMYFUNCTION("""COMPUTED_VALUE"""),"T2 30")</f>
        <v>T2 30</v>
      </c>
      <c r="R9" s="1361"/>
      <c r="S9" s="1361"/>
      <c r="T9" s="25"/>
      <c r="U9" s="1442"/>
      <c r="V9" s="1457" t="str">
        <f>IFERROR(__xludf.DUMMYFUNCTION("""COMPUTED_VALUE"""),"Assist Module Substats - Armor")</f>
        <v>Assist Module Substats - Armor</v>
      </c>
      <c r="W9" s="1417">
        <v>0.0</v>
      </c>
      <c r="X9" s="1417">
        <v>30.0</v>
      </c>
      <c r="Y9" s="1416">
        <v>319.13410779802905</v>
      </c>
      <c r="Z9" s="1479">
        <v>9.65531561461794E19</v>
      </c>
      <c r="AA9" s="1417"/>
    </row>
    <row r="10">
      <c r="A10" s="1404"/>
      <c r="B10" s="1418"/>
      <c r="C10" s="1460">
        <v>8.0</v>
      </c>
      <c r="D10" s="1484">
        <f t="shared" si="2"/>
        <v>304.1915148</v>
      </c>
      <c r="E10" s="140"/>
      <c r="F10" s="1446" t="str">
        <f>IFERROR(__xludf.DUMMYFUNCTION("""COMPUTED_VALUE"""),"Max Interest")</f>
        <v>Max Interest</v>
      </c>
      <c r="G10" s="1448">
        <f>IFERROR(__xludf.DUMMYFUNCTION("""COMPUTED_VALUE"""),6.104787869544218)</f>
        <v>6.10478787</v>
      </c>
      <c r="H10" s="1449" t="str">
        <f t="shared" si="3"/>
        <v>6d  2h 30m</v>
      </c>
      <c r="I10" s="1489">
        <f>IFERROR(__xludf.DUMMYFUNCTION("""COMPUTED_VALUE"""),1803272.4252491696)</f>
        <v>1803272.425</v>
      </c>
      <c r="J10" s="1449" t="str">
        <f t="shared" si="4"/>
        <v>1.8 M</v>
      </c>
      <c r="K10" s="1494">
        <f t="array" ref="K10">IFERROR(LET(
  Labspeed, IF(F10="Labs Speed", 1+'Master Sheet'!$BK$5, LAB_SPEED_TOTAL()),
  Lab, MATCH(IF(ISNUMBER(SEARCH("Mastery", $F10)), "Card Mastery", $F10), DVT_Laboratory!B$1:AA$1, 0)-1,
  Offset, OFFSET(DVT_Laboratory!B$3, 0, Lab, 100, 1),
SUM(TIME_TO_RUSH_GEMS(
    XLOOKUP(INDEX($W$5:$W201, MATCH(F10, $V$5:$V201, 0))+1, SEQUENCE(100, 1, 1, 1), Offset, "N/F", 0, 1):
    XLOOKUP(INDEX($X$5:$X201, MATCH(F10, $V$5:$V201, 0)), SEQUENCE(100, 1, 1, 1), Offset, "N/F", 0, 1)/Labspeed, IDS_LAB_GODLBOXED_COUNT()))),"")</f>
        <v>2077</v>
      </c>
      <c r="L10" s="1494">
        <f t="array" ref="L10">IFERROR(LET(
  Labspeed, IF(F10="Labs Speed", 1+'Master Sheet'!$BK$5, LAB_SPEED_TOTAL()),
  Lab, MATCH(IF(ISNUMBER(SEARCH("Mastery", $F10)), "Card Mastery", $F10), DVT_Laboratory!B$1:AA$1, 0)-1,
  Offset, OFFSET(DVT_Laboratory!B$3, 0, Lab, 100, 1),
K10-SUM(TIME_TO_RUSH_GEMS(
    XLOOKUP(INDEX($W$5:$W201, MATCH(F10, $V$5:$V201, 0))+1, SEQUENCE(100, 1, 1, 1), Offset, "N/F", 0, 1):
    XLOOKUP(INDEX($X$5:$X201, MATCH(F10, $V$5:$V201, 0)), SEQUENCE(100, 1, 1, 1), Offset, "N/F", 0, 1)/Labspeed, IDS_LAB_GODLBOXED_COUNT()+1))),"")</f>
        <v>18</v>
      </c>
      <c r="M10" s="1423" t="str">
        <f t="shared" si="5"/>
        <v>24d 10h 23m</v>
      </c>
      <c r="N10" s="1450"/>
      <c r="O10" s="1495">
        <v>4.0</v>
      </c>
      <c r="P10" s="1431"/>
      <c r="Q10" s="1438" t="str">
        <f>IFERROR(__xludf.DUMMYFUNCTION("""COMPUTED_VALUE"""),"T2 40")</f>
        <v>T2 40</v>
      </c>
      <c r="R10" s="25"/>
      <c r="S10" s="1482" t="s">
        <v>753</v>
      </c>
      <c r="U10" s="1442"/>
      <c r="V10" s="1457" t="str">
        <f>IFERROR(__xludf.DUMMYFUNCTION("""COMPUTED_VALUE"""),"Assist Module Substats - Core")</f>
        <v>Assist Module Substats - Core</v>
      </c>
      <c r="W10" s="1417">
        <v>0.0</v>
      </c>
      <c r="X10" s="1417">
        <v>30.0</v>
      </c>
      <c r="Y10" s="1416">
        <v>319.13410779802905</v>
      </c>
      <c r="Z10" s="1479">
        <v>9.65531561461794E19</v>
      </c>
      <c r="AA10" s="1417"/>
    </row>
    <row r="11">
      <c r="A11" s="1404"/>
      <c r="B11" s="1418"/>
      <c r="C11" s="1462">
        <v>9.0</v>
      </c>
      <c r="D11" s="1484">
        <f t="shared" si="2"/>
        <v>335.145624</v>
      </c>
      <c r="E11" s="140"/>
      <c r="F11" s="1446" t="str">
        <f>IFERROR(__xludf.DUMMYFUNCTION("""COMPUTED_VALUE"""),"Recharge Nuke")</f>
        <v>Recharge Nuke</v>
      </c>
      <c r="G11" s="1448">
        <f>IFERROR(__xludf.DUMMYFUNCTION("""COMPUTED_VALUE"""),6.878640600742077)</f>
        <v>6.878640601</v>
      </c>
      <c r="H11" s="1449" t="str">
        <f t="shared" si="3"/>
        <v>6d 21h  5m</v>
      </c>
      <c r="I11" s="1489">
        <f>IFERROR(__xludf.DUMMYFUNCTION("""COMPUTED_VALUE"""),1.0656146179401994E13)</f>
        <v>10656146179402</v>
      </c>
      <c r="J11" s="1449" t="str">
        <f t="shared" si="4"/>
        <v>10.66 T</v>
      </c>
      <c r="K11" s="1496">
        <f t="array" ref="K11">IFERROR(LET(
  Labspeed, IF(F11="Labs Speed", 1+'Master Sheet'!$BK$5, LAB_SPEED_TOTAL()),
  Lab, MATCH(IF(ISNUMBER(SEARCH("Mastery", $F11)), "Card Mastery", $F11), DVT_Laboratory!B$1:AA$1, 0)-1,
  Offset, OFFSET(DVT_Laboratory!B$3, 0, Lab, 100, 1),
SUM(TIME_TO_RUSH_GEMS(
    XLOOKUP(INDEX($W$5:$W201, MATCH(F11, $V$5:$V201, 0))+1, SEQUENCE(100, 1, 1, 1), Offset, "N/F", 0, 1):
    XLOOKUP(INDEX($X$5:$X201, MATCH(F11, $V$5:$V201, 0)), SEQUENCE(100, 1, 1, 1), Offset, "N/F", 0, 1)/Labspeed, IDS_LAB_GODLBOXED_COUNT()))),"")</f>
        <v>2202</v>
      </c>
      <c r="L11" s="1496">
        <f t="array" ref="L11">IFERROR(LET(
  Labspeed, IF(F11="Labs Speed", 1+'Master Sheet'!$BK$5, LAB_SPEED_TOTAL()),
  Lab, MATCH(IF(ISNUMBER(SEARCH("Mastery", $F11)), "Card Mastery", $F11), DVT_Laboratory!B$1:AA$1, 0)-1,
  Offset, OFFSET(DVT_Laboratory!B$3, 0, Lab, 100, 1),
K11-SUM(TIME_TO_RUSH_GEMS(
    XLOOKUP(INDEX($W$5:$W201, MATCH(F11, $V$5:$V201, 0))+1, SEQUENCE(100, 1, 1, 1), Offset, "N/F", 0, 1):
    XLOOKUP(INDEX($X$5:$X201, MATCH(F11, $V$5:$V201, 0)), SEQUENCE(100, 1, 1, 1), Offset, "N/F", 0, 1)/Labspeed, IDS_LAB_GODLBOXED_COUNT()+1))),"")</f>
        <v>19</v>
      </c>
      <c r="M11" s="1423" t="str">
        <f t="shared" si="5"/>
        <v>31d  7h 29m</v>
      </c>
      <c r="N11" s="1431"/>
      <c r="O11" s="1497"/>
      <c r="P11" s="1431"/>
      <c r="Q11" s="1438" t="str">
        <f>IFERROR(__xludf.DUMMYFUNCTION("""COMPUTED_VALUE"""),"T2 50")</f>
        <v>T2 50</v>
      </c>
      <c r="R11" s="1498" t="s">
        <v>735</v>
      </c>
      <c r="S11" s="1463" t="s">
        <v>754</v>
      </c>
      <c r="T11" s="1464" t="b">
        <f>IDS_UW_OWN(R11)</f>
        <v>1</v>
      </c>
      <c r="U11" s="1442"/>
      <c r="V11" s="1465" t="str">
        <f>IFERROR(__xludf.DUMMYFUNCTION("""COMPUTED_VALUE"""),"Assist Module Substats - Generator")</f>
        <v>Assist Module Substats - Generator</v>
      </c>
      <c r="W11" s="1417">
        <v>0.0</v>
      </c>
      <c r="X11" s="1417">
        <v>30.0</v>
      </c>
      <c r="Y11" s="1416">
        <v>319.13410779802905</v>
      </c>
      <c r="Z11" s="1479">
        <v>9.65531561461794E19</v>
      </c>
      <c r="AA11" s="1417"/>
    </row>
    <row r="12">
      <c r="A12" s="1404"/>
      <c r="B12" s="1418"/>
      <c r="C12" s="1466">
        <v>10.0</v>
      </c>
      <c r="D12" s="1484">
        <f t="shared" si="2"/>
        <v>367.0305078</v>
      </c>
      <c r="E12" s="140"/>
      <c r="F12" s="1446" t="str">
        <f>IFERROR(__xludf.DUMMYFUNCTION("""COMPUTED_VALUE"""),"Module Coin Cost")</f>
        <v>Module Coin Cost</v>
      </c>
      <c r="G12" s="1448">
        <f>IFERROR(__xludf.DUMMYFUNCTION("""COMPUTED_VALUE"""),7.675762696052262)</f>
        <v>7.675762696</v>
      </c>
      <c r="H12" s="1449" t="str">
        <f t="shared" si="3"/>
        <v>7d 16h 13m</v>
      </c>
      <c r="I12" s="1489">
        <f>IFERROR(__xludf.DUMMYFUNCTION("""COMPUTED_VALUE"""),2.004983388704319E13)</f>
        <v>20049833887043</v>
      </c>
      <c r="J12" s="1449" t="str">
        <f t="shared" si="4"/>
        <v>20.05 T</v>
      </c>
      <c r="K12" s="1492">
        <f t="array" ref="K12">IFERROR(LET(
  Labspeed, IF(F12="Labs Speed", 1+'Master Sheet'!$BK$5, LAB_SPEED_TOTAL()),
  Lab, MATCH(IF(ISNUMBER(SEARCH("Mastery", $F12)), "Card Mastery", $F12), DVT_Laboratory!B$1:AA$1, 0)-1,
  Offset, OFFSET(DVT_Laboratory!B$3, 0, Lab, 100, 1),
SUM(TIME_TO_RUSH_GEMS(
    XLOOKUP(INDEX($W$5:$W201, MATCH(F12, $V$5:$V201, 0))+1, SEQUENCE(100, 1, 1, 1), Offset, "N/F", 0, 1):
    XLOOKUP(INDEX($X$5:$X201, MATCH(F12, $V$5:$V201, 0)), SEQUENCE(100, 1, 1, 1), Offset, "N/F", 0, 1)/Labspeed, IDS_LAB_GODLBOXED_COUNT()))),"")</f>
        <v>2589</v>
      </c>
      <c r="L12" s="1492">
        <f t="array" ref="L12">IFERROR(LET(
  Labspeed, IF(F12="Labs Speed", 1+'Master Sheet'!$BK$5, LAB_SPEED_TOTAL()),
  Lab, MATCH(IF(ISNUMBER(SEARCH("Mastery", $F12)), "Card Mastery", $F12), DVT_Laboratory!B$1:AA$1, 0)-1,
  Offset, OFFSET(DVT_Laboratory!B$3, 0, Lab, 100, 1),
K12-SUM(TIME_TO_RUSH_GEMS(
    XLOOKUP(INDEX($W$5:$W201, MATCH(F12, $V$5:$V201, 0))+1, SEQUENCE(100, 1, 1, 1), Offset, "N/F", 0, 1):
    XLOOKUP(INDEX($X$5:$X201, MATCH(F12, $V$5:$V201, 0)), SEQUENCE(100, 1, 1, 1), Offset, "N/F", 0, 1)/Labspeed, IDS_LAB_GODLBOXED_COUNT()+1))),"")</f>
        <v>22</v>
      </c>
      <c r="M12" s="1423" t="str">
        <f t="shared" si="5"/>
        <v>38d 23h 42m</v>
      </c>
      <c r="N12" s="1450"/>
      <c r="O12" s="1472" t="s">
        <v>746</v>
      </c>
      <c r="P12" s="1431"/>
      <c r="Q12" s="1438" t="str">
        <f>IFERROR(__xludf.DUMMYFUNCTION("""COMPUTED_VALUE"""),"T2 60")</f>
        <v>T2 60</v>
      </c>
      <c r="S12" s="1440" t="s">
        <v>755</v>
      </c>
      <c r="T12" s="1464" t="b">
        <f>IDS_UW_OWN(R11)</f>
        <v>1</v>
      </c>
      <c r="U12" s="1456"/>
      <c r="V12" s="1443" t="str">
        <f>IFERROR(__xludf.DUMMYFUNCTION("""COMPUTED_VALUE"""),"Attack Speed")</f>
        <v>Attack Speed</v>
      </c>
      <c r="W12" s="1417">
        <v>75.0</v>
      </c>
      <c r="X12" s="1417">
        <v>99.0</v>
      </c>
      <c r="Y12" s="1416">
        <v>56.09917427150326</v>
      </c>
      <c r="Z12" s="1479">
        <v>6.019102990033223E7</v>
      </c>
      <c r="AA12" s="1417"/>
    </row>
    <row r="13">
      <c r="A13" s="1404"/>
      <c r="B13" s="1418"/>
      <c r="C13" s="1468"/>
      <c r="D13" s="1484">
        <f t="shared" si="2"/>
        <v>422.3047951</v>
      </c>
      <c r="E13" s="140"/>
      <c r="F13" s="1446" t="str">
        <f>IFERROR(__xludf.DUMMYFUNCTION("""COMPUTED_VALUE"""),"Land Mine Damage")</f>
        <v>Land Mine Damage</v>
      </c>
      <c r="G13" s="1448">
        <f>IFERROR(__xludf.DUMMYFUNCTION("""COMPUTED_VALUE"""),9.05761987679741)</f>
        <v>9.057619877</v>
      </c>
      <c r="H13" s="1449" t="str">
        <f t="shared" si="3"/>
        <v>9d  1h 22m</v>
      </c>
      <c r="I13" s="1489">
        <f>IFERROR(__xludf.DUMMYFUNCTION("""COMPUTED_VALUE"""),1.0744449318936878E10)</f>
        <v>10744449319</v>
      </c>
      <c r="J13" s="1449" t="str">
        <f t="shared" si="4"/>
        <v>10.74 B</v>
      </c>
      <c r="K13" s="1499">
        <f t="array" ref="K13">IFERROR(LET(
  Labspeed, IF(F13="Labs Speed", 1+'Master Sheet'!$BK$5, LAB_SPEED_TOTAL()),
  Lab, MATCH(IF(ISNUMBER(SEARCH("Mastery", $F13)), "Card Mastery", $F13), DVT_Laboratory!B$1:AA$1, 0)-1,
  Offset, OFFSET(DVT_Laboratory!B$3, 0, Lab, 100, 1),
SUM(TIME_TO_RUSH_GEMS(
    XLOOKUP(INDEX($W$5:$W201, MATCH(F13, $V$5:$V201, 0))+1, SEQUENCE(100, 1, 1, 1), Offset, "N/F", 0, 1):
    XLOOKUP(INDEX($X$5:$X201, MATCH(F13, $V$5:$V201, 0)), SEQUENCE(100, 1, 1, 1), Offset, "N/F", 0, 1)/Labspeed, IDS_LAB_GODLBOXED_COUNT()))),"")</f>
        <v>3126</v>
      </c>
      <c r="L13" s="1499">
        <f t="array" ref="L13">IFERROR(LET(
  Labspeed, IF(F13="Labs Speed", 1+'Master Sheet'!$BK$5, LAB_SPEED_TOTAL()),
  Lab, MATCH(IF(ISNUMBER(SEARCH("Mastery", $F13)), "Card Mastery", $F13), DVT_Laboratory!B$1:AA$1, 0)-1,
  Offset, OFFSET(DVT_Laboratory!B$3, 0, Lab, 100, 1),
K13-SUM(TIME_TO_RUSH_GEMS(
    XLOOKUP(INDEX($W$5:$W201, MATCH(F13, $V$5:$V201, 0))+1, SEQUENCE(100, 1, 1, 1), Offset, "N/F", 0, 1):
    XLOOKUP(INDEX($X$5:$X201, MATCH(F13, $V$5:$V201, 0)), SEQUENCE(100, 1, 1, 1), Offset, "N/F", 0, 1)/Labspeed, IDS_LAB_GODLBOXED_COUNT()+1))),"")</f>
        <v>28</v>
      </c>
      <c r="M13" s="1423" t="str">
        <f t="shared" si="5"/>
        <v>48d  1h  5m</v>
      </c>
      <c r="N13" s="1450"/>
      <c r="O13" s="1500" t="str">
        <f>IFERROR(__xludf.DUMMYFUNCTION("LET(
  achievements, FILTER(Q5:Q201,
    VALUE(REGEXEXTRACT(Q5:Q201, ""\s(\d+)$"")) &lt;=
    XLOOKUP(
      VALUE(REGEXEXTRACT(Q5:Q201, ""T(\d+)"")),
      VALUE(REGEXEXTRACT('_IDS'!BZ3:BZ23, ""\d+"")), '_IDS'!CA3:CA23)),
IFERROR(INDEX(
  SORT(achievements"&amp;",
    VALUE(REGEXEXTRACT(achievements, ""T(\d+)"")), FALSE,
    VALUE(REGEXEXTRACT(achievements, ""\s(\d+)$"")), FALSE),
  1), ""T1 150"")
)"),"T19 50")</f>
        <v>T19 50</v>
      </c>
      <c r="P13" s="1431"/>
      <c r="Q13" s="1438" t="str">
        <f>IFERROR(__xludf.DUMMYFUNCTION("""COMPUTED_VALUE"""),"T2 80")</f>
        <v>T2 80</v>
      </c>
      <c r="S13" s="1440" t="s">
        <v>756</v>
      </c>
      <c r="T13" s="1456" t="b">
        <f>IDS_UW_OWN(R11)</f>
        <v>1</v>
      </c>
      <c r="U13" s="1442"/>
      <c r="V13" s="1443" t="str">
        <f>IFERROR(__xludf.DUMMYFUNCTION("""COMPUTED_VALUE"""),"Auto Pick Ranking")</f>
        <v>Auto Pick Ranking</v>
      </c>
      <c r="W13" s="1417">
        <v>12.0</v>
      </c>
      <c r="X13" s="1417">
        <v>32.0</v>
      </c>
      <c r="Y13" s="1416">
        <v>335.9480012236938</v>
      </c>
      <c r="Z13" s="1479">
        <v>7.847093023255814E11</v>
      </c>
      <c r="AA13" s="1417"/>
    </row>
    <row r="14">
      <c r="A14" s="1404"/>
      <c r="B14" s="1418"/>
      <c r="C14" s="1470"/>
      <c r="D14" s="1484">
        <f t="shared" si="2"/>
        <v>496.1183135</v>
      </c>
      <c r="E14" s="1471"/>
      <c r="F14" s="1446" t="str">
        <f>IFERROR(__xludf.DUMMYFUNCTION("""COMPUTED_VALUE"""),"Golden Tower Bonus")</f>
        <v>Golden Tower Bonus</v>
      </c>
      <c r="G14" s="1448">
        <f>IFERROR(__xludf.DUMMYFUNCTION("""COMPUTED_VALUE"""),10.902957836582864)</f>
        <v>10.90295784</v>
      </c>
      <c r="H14" s="1449" t="str">
        <f t="shared" si="3"/>
        <v>10d 21h 40m</v>
      </c>
      <c r="I14" s="1489">
        <f>IFERROR(__xludf.DUMMYFUNCTION("""COMPUTED_VALUE"""),5.4119601328903656E10)</f>
        <v>54119601329</v>
      </c>
      <c r="J14" s="1449" t="str">
        <f t="shared" si="4"/>
        <v>54.12 B</v>
      </c>
      <c r="K14" s="1492">
        <f t="array" ref="K14">IFERROR(LET(
  Labspeed, IF(F14="Labs Speed", 1+'Master Sheet'!$BK$5, LAB_SPEED_TOTAL()),
  Lab, MATCH(IF(ISNUMBER(SEARCH("Mastery", $F14)), "Card Mastery", $F14), DVT_Laboratory!B$1:AA$1, 0)-1,
  Offset, OFFSET(DVT_Laboratory!B$3, 0, Lab, 100, 1),
SUM(TIME_TO_RUSH_GEMS(
    XLOOKUP(INDEX($W$5:$W201, MATCH(F14, $V$5:$V201, 0))+1, SEQUENCE(100, 1, 1, 1), Offset, "N/F", 0, 1):
    XLOOKUP(INDEX($X$5:$X201, MATCH(F14, $V$5:$V201, 0)), SEQUENCE(100, 1, 1, 1), Offset, "N/F", 0, 1)/Labspeed, IDS_LAB_GODLBOXED_COUNT()))),"")</f>
        <v>3203</v>
      </c>
      <c r="L14" s="1492">
        <f t="array" ref="L14">IFERROR(LET(
  Labspeed, IF(F14="Labs Speed", 1+'Master Sheet'!$BK$5, LAB_SPEED_TOTAL()),
  Lab, MATCH(IF(ISNUMBER(SEARCH("Mastery", $F14)), "Card Mastery", $F14), DVT_Laboratory!B$1:AA$1, 0)-1,
  Offset, OFFSET(DVT_Laboratory!B$3, 0, Lab, 100, 1),
K14-SUM(TIME_TO_RUSH_GEMS(
    XLOOKUP(INDEX($W$5:$W201, MATCH(F14, $V$5:$V201, 0))+1, SEQUENCE(100, 1, 1, 1), Offset, "N/F", 0, 1):
    XLOOKUP(INDEX($X$5:$X201, MATCH(F14, $V$5:$V201, 0)), SEQUENCE(100, 1, 1, 1), Offset, "N/F", 0, 1)/Labspeed, IDS_LAB_GODLBOXED_COUNT()+1))),"")</f>
        <v>28</v>
      </c>
      <c r="M14" s="1423" t="str">
        <f t="shared" si="5"/>
        <v>58d 22h 45m</v>
      </c>
      <c r="N14" s="1431"/>
      <c r="O14" s="1497"/>
      <c r="P14" s="1431"/>
      <c r="Q14" s="1438" t="str">
        <f>IFERROR(__xludf.DUMMYFUNCTION("""COMPUTED_VALUE"""),"T2 150")</f>
        <v>T2 150</v>
      </c>
      <c r="R14" s="1498" t="s">
        <v>757</v>
      </c>
      <c r="S14" s="1440" t="s">
        <v>758</v>
      </c>
      <c r="T14" s="1464" t="b">
        <f>IDS_UW_OWN(R14)</f>
        <v>0</v>
      </c>
      <c r="U14" s="1442"/>
      <c r="V14" s="1443" t="str">
        <f>IFERROR(__xludf.DUMMYFUNCTION("""COMPUTED_VALUE"""),"Ban Perks")</f>
        <v>Ban Perks</v>
      </c>
      <c r="W14" s="1417">
        <v>6.0</v>
      </c>
      <c r="X14" s="1417">
        <v>8.0</v>
      </c>
      <c r="Y14" s="1416">
        <v>31.77508251518378</v>
      </c>
      <c r="Z14" s="1479">
        <v>9.136212624584718E14</v>
      </c>
      <c r="AA14" s="1417"/>
    </row>
    <row r="15">
      <c r="A15" s="1404"/>
      <c r="B15" s="1418"/>
      <c r="C15" s="1470"/>
      <c r="D15" s="1484">
        <f t="shared" si="2"/>
        <v>547.9116992</v>
      </c>
      <c r="E15" s="1471"/>
      <c r="F15" s="1446" t="str">
        <f>IFERROR(__xludf.DUMMYFUNCTION("""COMPUTED_VALUE"""),"Shockwave Size")</f>
        <v>Shockwave Size</v>
      </c>
      <c r="G15" s="1448">
        <f>IFERROR(__xludf.DUMMYFUNCTION("""COMPUTED_VALUE"""),12.197792479049626)</f>
        <v>12.19779248</v>
      </c>
      <c r="H15" s="1449" t="str">
        <f t="shared" si="3"/>
        <v>12d  4h 44m</v>
      </c>
      <c r="I15" s="1489">
        <f>IFERROR(__xludf.DUMMYFUNCTION("""COMPUTED_VALUE"""),1.0508820598006645E10)</f>
        <v>10508820598</v>
      </c>
      <c r="J15" s="1449" t="str">
        <f t="shared" si="4"/>
        <v>10.51 B</v>
      </c>
      <c r="K15" s="1490">
        <f t="array" ref="K15">IFERROR(LET(
  Labspeed, IF(F15="Labs Speed", 1+'Master Sheet'!$BK$5, LAB_SPEED_TOTAL()),
  Lab, MATCH(IF(ISNUMBER(SEARCH("Mastery", $F15)), "Card Mastery", $F15), DVT_Laboratory!B$1:AA$1, 0)-1,
  Offset, OFFSET(DVT_Laboratory!B$3, 0, Lab, 100, 1),
SUM(TIME_TO_RUSH_GEMS(
    XLOOKUP(INDEX($W$5:$W201, MATCH(F15, $V$5:$V201, 0))+1, SEQUENCE(100, 1, 1, 1), Offset, "N/F", 0, 1):
    XLOOKUP(INDEX($X$5:$X201, MATCH(F15, $V$5:$V201, 0)), SEQUENCE(100, 1, 1, 1), Offset, "N/F", 0, 1)/Labspeed, IDS_LAB_GODLBOXED_COUNT()))),"")</f>
        <v>4013</v>
      </c>
      <c r="L15" s="1490">
        <f t="array" ref="L15">IFERROR(LET(
  Labspeed, IF(F15="Labs Speed", 1+'Master Sheet'!$BK$5, LAB_SPEED_TOTAL()),
  Lab, MATCH(IF(ISNUMBER(SEARCH("Mastery", $F15)), "Card Mastery", $F15), DVT_Laboratory!B$1:AA$1, 0)-1,
  Offset, OFFSET(DVT_Laboratory!B$3, 0, Lab, 100, 1),
K15-SUM(TIME_TO_RUSH_GEMS(
    XLOOKUP(INDEX($W$5:$W201, MATCH(F15, $V$5:$V201, 0))+1, SEQUENCE(100, 1, 1, 1), Offset, "N/F", 0, 1):
    XLOOKUP(INDEX($X$5:$X201, MATCH(F15, $V$5:$V201, 0)), SEQUENCE(100, 1, 1, 1), Offset, "N/F", 0, 1)/Labspeed, IDS_LAB_GODLBOXED_COUNT()+1))),"")</f>
        <v>35</v>
      </c>
      <c r="M15" s="1423" t="str">
        <f t="shared" si="5"/>
        <v>71d  3h 30m</v>
      </c>
      <c r="N15" s="1450"/>
      <c r="O15" s="1501" t="s">
        <v>759</v>
      </c>
      <c r="P15" s="1431"/>
      <c r="Q15" s="1438" t="str">
        <f>IFERROR(__xludf.DUMMYFUNCTION("""COMPUTED_VALUE"""),"T2 250")</f>
        <v>T2 250</v>
      </c>
      <c r="S15" s="1440" t="s">
        <v>173</v>
      </c>
      <c r="T15" s="1464" t="b">
        <f>IDS_UW_OWN(R14)</f>
        <v>0</v>
      </c>
      <c r="U15" s="1442"/>
      <c r="V15" s="1443" t="str">
        <f>IFERROR(__xludf.DUMMYFUNCTION("""COMPUTED_VALUE"""),"Battle Condition Reduction")</f>
        <v>Battle Condition Reduction</v>
      </c>
      <c r="W15" s="1417">
        <v>0.0</v>
      </c>
      <c r="X15" s="1417">
        <v>10.0</v>
      </c>
      <c r="Y15" s="1416">
        <v>58.254319292983205</v>
      </c>
      <c r="Z15" s="1479">
        <v>1.0361295681063123E18</v>
      </c>
      <c r="AA15" s="1417"/>
    </row>
    <row r="16">
      <c r="A16" s="1404"/>
      <c r="B16" s="1418"/>
      <c r="C16" s="1470"/>
      <c r="D16" s="1484">
        <f t="shared" si="2"/>
        <v>633.0848098</v>
      </c>
      <c r="E16" s="1471"/>
      <c r="F16" s="1446" t="str">
        <f>IFERROR(__xludf.DUMMYFUNCTION("""COMPUTED_VALUE"""),"Wall Rebuild")</f>
        <v>Wall Rebuild</v>
      </c>
      <c r="G16" s="1448">
        <f>IFERROR(__xludf.DUMMYFUNCTION("""COMPUTED_VALUE"""),14.327120245388373)</f>
        <v>14.32712025</v>
      </c>
      <c r="H16" s="1449" t="str">
        <f t="shared" si="3"/>
        <v>14d  7h 51m</v>
      </c>
      <c r="I16" s="1489">
        <f>IFERROR(__xludf.DUMMYFUNCTION("""COMPUTED_VALUE"""),1.3642857142857143E11)</f>
        <v>136428571429</v>
      </c>
      <c r="J16" s="1449" t="str">
        <f t="shared" si="4"/>
        <v>136.43 B</v>
      </c>
      <c r="K16" s="1502">
        <f t="array" ref="K16">IFERROR(LET(
  Labspeed, IF(F16="Labs Speed", 1+'Master Sheet'!$BK$5, LAB_SPEED_TOTAL()),
  Lab, MATCH(IF(ISNUMBER(SEARCH("Mastery", $F16)), "Card Mastery", $F16), DVT_Laboratory!B$1:AA$1, 0)-1,
  Offset, OFFSET(DVT_Laboratory!B$3, 0, Lab, 100, 1),
SUM(TIME_TO_RUSH_GEMS(
    XLOOKUP(INDEX($W$5:$W201, MATCH(F16, $V$5:$V201, 0))+1, SEQUENCE(100, 1, 1, 1), Offset, "N/F", 0, 1):
    XLOOKUP(INDEX($X$5:$X201, MATCH(F16, $V$5:$V201, 0)), SEQUENCE(100, 1, 1, 1), Offset, "N/F", 0, 1)/Labspeed, IDS_LAB_GODLBOXED_COUNT()))),"")</f>
        <v>4697</v>
      </c>
      <c r="L16" s="1502">
        <f t="array" ref="L16">IFERROR(LET(
  Labspeed, IF(F16="Labs Speed", 1+'Master Sheet'!$BK$5, LAB_SPEED_TOTAL()),
  Lab, MATCH(IF(ISNUMBER(SEARCH("Mastery", $F16)), "Card Mastery", $F16), DVT_Laboratory!B$1:AA$1, 0)-1,
  Offset, OFFSET(DVT_Laboratory!B$3, 0, Lab, 100, 1),
K16-SUM(TIME_TO_RUSH_GEMS(
    XLOOKUP(INDEX($W$5:$W201, MATCH(F16, $V$5:$V201, 0))+1, SEQUENCE(100, 1, 1, 1), Offset, "N/F", 0, 1):
    XLOOKUP(INDEX($X$5:$X201, MATCH(F16, $V$5:$V201, 0)), SEQUENCE(100, 1, 1, 1), Offset, "N/F", 0, 1)/Labspeed, IDS_LAB_GODLBOXED_COUNT()+1))),"")</f>
        <v>41</v>
      </c>
      <c r="M16" s="1423" t="str">
        <f t="shared" si="5"/>
        <v>85d 11h 21m</v>
      </c>
      <c r="N16" s="1450"/>
      <c r="O16" s="1503"/>
      <c r="P16" s="1431"/>
      <c r="Q16" s="1438" t="str">
        <f>IFERROR(__xludf.DUMMYFUNCTION("""COMPUTED_VALUE"""),"T2 400")</f>
        <v>T2 400</v>
      </c>
      <c r="S16" s="1440" t="s">
        <v>184</v>
      </c>
      <c r="T16" s="1456" t="b">
        <f>IDS_UW_OWN(R14)</f>
        <v>0</v>
      </c>
      <c r="U16" s="1456"/>
      <c r="V16" s="1443" t="str">
        <f>IFERROR(__xludf.DUMMYFUNCTION("""COMPUTED_VALUE"""),"Boss Attack")</f>
        <v>Boss Attack</v>
      </c>
      <c r="W16" s="1417">
        <v>0.0</v>
      </c>
      <c r="X16" s="1417">
        <v>30.0</v>
      </c>
      <c r="Y16" s="1416">
        <v>78.54394564624869</v>
      </c>
      <c r="Z16" s="1479">
        <v>2.525925249169435E13</v>
      </c>
      <c r="AA16" s="1417"/>
    </row>
    <row r="17">
      <c r="A17" s="1404"/>
      <c r="B17" s="1418"/>
      <c r="C17" s="1470"/>
      <c r="D17" s="1484">
        <f t="shared" si="2"/>
        <v>662.2859348</v>
      </c>
      <c r="E17" s="1471"/>
      <c r="F17" s="1446" t="str">
        <f>IFERROR(__xludf.DUMMYFUNCTION("""COMPUTED_VALUE"""),"Spotlight Missiles")</f>
        <v>Spotlight Missiles</v>
      </c>
      <c r="G17" s="1448">
        <f>IFERROR(__xludf.DUMMYFUNCTION("""COMPUTED_VALUE"""),15.057148369867617)</f>
        <v>15.05714837</v>
      </c>
      <c r="H17" s="1449" t="str">
        <f t="shared" si="3"/>
        <v>15d  1h 22m</v>
      </c>
      <c r="I17" s="1489">
        <f>IFERROR(__xludf.DUMMYFUNCTION("""COMPUTED_VALUE"""),1.8300071832225914E10)</f>
        <v>18300071832</v>
      </c>
      <c r="J17" s="1449" t="str">
        <f t="shared" si="4"/>
        <v>18.3 B</v>
      </c>
      <c r="K17" s="1504">
        <f t="array" ref="K17">IFERROR(LET(
  Labspeed, IF(F17="Labs Speed", 1+'Master Sheet'!$BK$5, LAB_SPEED_TOTAL()),
  Lab, MATCH(IF(ISNUMBER(SEARCH("Mastery", $F17)), "Card Mastery", $F17), DVT_Laboratory!B$1:AA$1, 0)-1,
  Offset, OFFSET(DVT_Laboratory!B$3, 0, Lab, 100, 1),
SUM(TIME_TO_RUSH_GEMS(
    XLOOKUP(INDEX($W$5:$W201, MATCH(F17, $V$5:$V201, 0))+1, SEQUENCE(100, 1, 1, 1), Offset, "N/F", 0, 1):
    XLOOKUP(INDEX($X$5:$X201, MATCH(F17, $V$5:$V201, 0)), SEQUENCE(100, 1, 1, 1), Offset, "N/F", 0, 1)/Labspeed, IDS_LAB_GODLBOXED_COUNT()))),"")</f>
        <v>5119</v>
      </c>
      <c r="L17" s="1504">
        <f t="array" ref="L17">IFERROR(LET(
  Labspeed, IF(F17="Labs Speed", 1+'Master Sheet'!$BK$5, LAB_SPEED_TOTAL()),
  Lab, MATCH(IF(ISNUMBER(SEARCH("Mastery", $F17)), "Card Mastery", $F17), DVT_Laboratory!B$1:AA$1, 0)-1,
  Offset, OFFSET(DVT_Laboratory!B$3, 0, Lab, 100, 1),
K17-SUM(TIME_TO_RUSH_GEMS(
    XLOOKUP(INDEX($W$5:$W201, MATCH(F17, $V$5:$V201, 0))+1, SEQUENCE(100, 1, 1, 1), Offset, "N/F", 0, 1):
    XLOOKUP(INDEX($X$5:$X201, MATCH(F17, $V$5:$V201, 0)), SEQUENCE(100, 1, 1, 1), Offset, "N/F", 0, 1)/Labspeed, IDS_LAB_GODLBOXED_COUNT()+1))),"")</f>
        <v>44</v>
      </c>
      <c r="M17" s="1423" t="str">
        <f t="shared" si="5"/>
        <v>100d 12h 43m</v>
      </c>
      <c r="N17" s="1450"/>
      <c r="O17" s="1497"/>
      <c r="P17" s="1431"/>
      <c r="Q17" s="1438" t="str">
        <f>IFERROR(__xludf.DUMMYFUNCTION("""COMPUTED_VALUE"""),"T2 1000")</f>
        <v>T2 1000</v>
      </c>
      <c r="S17" s="1440" t="s">
        <v>343</v>
      </c>
      <c r="T17" s="1464" t="b">
        <f>IDS_UW_OWN(R14)</f>
        <v>0</v>
      </c>
      <c r="U17" s="1442"/>
      <c r="V17" s="1443" t="str">
        <f>IFERROR(__xludf.DUMMYFUNCTION("""COMPUTED_VALUE"""),"Boss Health")</f>
        <v>Boss Health</v>
      </c>
      <c r="W17" s="1417">
        <v>0.0</v>
      </c>
      <c r="X17" s="1417">
        <v>30.0</v>
      </c>
      <c r="Y17" s="1416">
        <v>78.54394564624869</v>
      </c>
      <c r="Z17" s="1479">
        <v>2.525925249169435E13</v>
      </c>
      <c r="AA17" s="1417"/>
    </row>
    <row r="18">
      <c r="A18" s="1404"/>
      <c r="B18" s="1410"/>
      <c r="C18" s="1473"/>
      <c r="D18" s="1484">
        <f t="shared" si="2"/>
        <v>729.4074441</v>
      </c>
      <c r="E18" s="1471"/>
      <c r="F18" s="1446" t="str">
        <f>IFERROR(__xludf.DUMMYFUNCTION("""COMPUTED_VALUE"""),"Recovery Package Amount")</f>
        <v>Recovery Package Amount</v>
      </c>
      <c r="G18" s="1448">
        <f>IFERROR(__xludf.DUMMYFUNCTION("""COMPUTED_VALUE"""),16.73518610313203)</f>
        <v>16.7351861</v>
      </c>
      <c r="H18" s="1449" t="str">
        <f t="shared" si="3"/>
        <v>16d 17h 38m</v>
      </c>
      <c r="I18" s="1489">
        <f>IFERROR(__xludf.DUMMYFUNCTION("""COMPUTED_VALUE"""),2.465274086378738E12)</f>
        <v>2465274086379</v>
      </c>
      <c r="J18" s="1449" t="str">
        <f t="shared" si="4"/>
        <v>2.47 T</v>
      </c>
      <c r="K18" s="1487">
        <f t="array" ref="K18">IFERROR(LET(
  Labspeed, IF(F18="Labs Speed", 1+'Master Sheet'!$BK$5, LAB_SPEED_TOTAL()),
  Lab, MATCH(IF(ISNUMBER(SEARCH("Mastery", $F18)), "Card Mastery", $F18), DVT_Laboratory!B$1:AA$1, 0)-1,
  Offset, OFFSET(DVT_Laboratory!B$3, 0, Lab, 100, 1),
SUM(TIME_TO_RUSH_GEMS(
    XLOOKUP(INDEX($W$5:$W201, MATCH(F18, $V$5:$V201, 0))+1, SEQUENCE(100, 1, 1, 1), Offset, "N/F", 0, 1):
    XLOOKUP(INDEX($X$5:$X201, MATCH(F18, $V$5:$V201, 0)), SEQUENCE(100, 1, 1, 1), Offset, "N/F", 0, 1)/Labspeed, IDS_LAB_GODLBOXED_COUNT()))),"")</f>
        <v>5594</v>
      </c>
      <c r="L18" s="1487">
        <f t="array" ref="L18">IFERROR(LET(
  Labspeed, IF(F18="Labs Speed", 1+'Master Sheet'!$BK$5, LAB_SPEED_TOTAL()),
  Lab, MATCH(IF(ISNUMBER(SEARCH("Mastery", $F18)), "Card Mastery", $F18), DVT_Laboratory!B$1:AA$1, 0)-1,
  Offset, OFFSET(DVT_Laboratory!B$3, 0, Lab, 100, 1),
K18-SUM(TIME_TO_RUSH_GEMS(
    XLOOKUP(INDEX($W$5:$W201, MATCH(F18, $V$5:$V201, 0))+1, SEQUENCE(100, 1, 1, 1), Offset, "N/F", 0, 1):
    XLOOKUP(INDEX($X$5:$X201, MATCH(F18, $V$5:$V201, 0)), SEQUENCE(100, 1, 1, 1), Offset, "N/F", 0, 1)/Labspeed, IDS_LAB_GODLBOXED_COUNT()+1))),"")</f>
        <v>47</v>
      </c>
      <c r="M18" s="1423" t="str">
        <f t="shared" si="5"/>
        <v>117d  6h 22m</v>
      </c>
      <c r="N18" s="1431"/>
      <c r="O18" s="1497"/>
      <c r="P18" s="1431"/>
      <c r="Q18" s="1438" t="str">
        <f>IFERROR(__xludf.DUMMYFUNCTION("""COMPUTED_VALUE"""),"T3 30")</f>
        <v>T3 30</v>
      </c>
      <c r="S18" s="1440" t="s">
        <v>346</v>
      </c>
      <c r="T18" s="1464" t="b">
        <f>IDS_UW_OWN(R14)</f>
        <v>0</v>
      </c>
      <c r="U18" s="1442"/>
      <c r="V18" s="1443" t="str">
        <f>IFERROR(__xludf.DUMMYFUNCTION("""COMPUTED_VALUE"""),"Cannon Effect Bans")</f>
        <v>Cannon Effect Bans</v>
      </c>
      <c r="W18" s="1417">
        <v>0.0</v>
      </c>
      <c r="X18" s="1417">
        <v>4.0</v>
      </c>
      <c r="Y18" s="1416">
        <v>31.510290890295465</v>
      </c>
      <c r="Z18" s="1479">
        <v>4.572300664451827E16</v>
      </c>
      <c r="AA18" s="1417"/>
    </row>
    <row r="19">
      <c r="A19" s="1404"/>
      <c r="B19" s="1410"/>
      <c r="C19" s="1470"/>
      <c r="D19" s="1484">
        <f t="shared" si="2"/>
        <v>729.4074441</v>
      </c>
      <c r="E19" s="1471"/>
      <c r="F19" s="1446" t="str">
        <f>IFERROR(__xludf.DUMMYFUNCTION("""COMPUTED_VALUE"""),"Recovery Package Max")</f>
        <v>Recovery Package Max</v>
      </c>
      <c r="G19" s="1448">
        <f>IFERROR(__xludf.DUMMYFUNCTION("""COMPUTED_VALUE"""),16.73518610313203)</f>
        <v>16.7351861</v>
      </c>
      <c r="H19" s="1449" t="str">
        <f t="shared" si="3"/>
        <v>16d 17h 38m</v>
      </c>
      <c r="I19" s="1489">
        <f>IFERROR(__xludf.DUMMYFUNCTION("""COMPUTED_VALUE"""),2.460905315614618E12)</f>
        <v>2460905315615</v>
      </c>
      <c r="J19" s="1449" t="str">
        <f t="shared" si="4"/>
        <v>2.46 T</v>
      </c>
      <c r="K19" s="1504">
        <f t="array" ref="K19">IFERROR(LET(
  Labspeed, IF(F19="Labs Speed", 1+'Master Sheet'!$BK$5, LAB_SPEED_TOTAL()),
  Lab, MATCH(IF(ISNUMBER(SEARCH("Mastery", $F19)), "Card Mastery", $F19), DVT_Laboratory!B$1:AA$1, 0)-1,
  Offset, OFFSET(DVT_Laboratory!B$3, 0, Lab, 100, 1),
SUM(TIME_TO_RUSH_GEMS(
    XLOOKUP(INDEX($W$5:$W201, MATCH(F19, $V$5:$V201, 0))+1, SEQUENCE(100, 1, 1, 1), Offset, "N/F", 0, 1):
    XLOOKUP(INDEX($X$5:$X201, MATCH(F19, $V$5:$V201, 0)), SEQUENCE(100, 1, 1, 1), Offset, "N/F", 0, 1)/Labspeed, IDS_LAB_GODLBOXED_COUNT()))),"")</f>
        <v>5594</v>
      </c>
      <c r="L19" s="1504">
        <f t="array" ref="L19">IFERROR(LET(
  Labspeed, IF(F19="Labs Speed", 1+'Master Sheet'!$BK$5, LAB_SPEED_TOTAL()),
  Lab, MATCH(IF(ISNUMBER(SEARCH("Mastery", $F19)), "Card Mastery", $F19), DVT_Laboratory!B$1:AA$1, 0)-1,
  Offset, OFFSET(DVT_Laboratory!B$3, 0, Lab, 100, 1),
K19-SUM(TIME_TO_RUSH_GEMS(
    XLOOKUP(INDEX($W$5:$W201, MATCH(F19, $V$5:$V201, 0))+1, SEQUENCE(100, 1, 1, 1), Offset, "N/F", 0, 1):
    XLOOKUP(INDEX($X$5:$X201, MATCH(F19, $V$5:$V201, 0)), SEQUENCE(100, 1, 1, 1), Offset, "N/F", 0, 1)/Labspeed, IDS_LAB_GODLBOXED_COUNT()+1))),"")</f>
        <v>47</v>
      </c>
      <c r="M19" s="1423" t="str">
        <f t="shared" si="5"/>
        <v>134d  0h  0m</v>
      </c>
      <c r="N19" s="1431"/>
      <c r="O19" s="1497"/>
      <c r="P19" s="1431"/>
      <c r="Q19" s="1438" t="str">
        <f>IFERROR(__xludf.DUMMYFUNCTION("""COMPUTED_VALUE"""),"T3 50")</f>
        <v>T3 50</v>
      </c>
      <c r="R19" s="25"/>
      <c r="S19" s="1440" t="s">
        <v>738</v>
      </c>
      <c r="T19" s="1464" t="b">
        <f t="shared" ref="T19:T20" si="6">IDS_UW_OWN(S19)</f>
        <v>1</v>
      </c>
      <c r="U19" s="1442"/>
      <c r="V19" s="1443" t="str">
        <f>IFERROR(__xludf.DUMMYFUNCTION("""COMPUTED_VALUE"""),"Cash / Wave")</f>
        <v>Cash / Wave</v>
      </c>
      <c r="W19" s="1417">
        <v>8.0</v>
      </c>
      <c r="X19" s="1417">
        <v>99.0</v>
      </c>
      <c r="Y19" s="1416">
        <v>91.80854241338113</v>
      </c>
      <c r="Z19" s="1479">
        <v>9.276441029900333E7</v>
      </c>
      <c r="AA19" s="1417"/>
    </row>
    <row r="20">
      <c r="A20" s="1404"/>
      <c r="B20" s="1410"/>
      <c r="C20" s="1470"/>
      <c r="D20" s="1484">
        <f t="shared" si="2"/>
        <v>752.9439544</v>
      </c>
      <c r="E20" s="1471"/>
      <c r="F20" s="1446" t="str">
        <f>IFERROR(__xludf.DUMMYFUNCTION("""COMPUTED_VALUE"""),"Protector Damage Reduction")</f>
        <v>Protector Damage Reduction</v>
      </c>
      <c r="G20" s="1448">
        <f>IFERROR(__xludf.DUMMYFUNCTION("""COMPUTED_VALUE"""),17.323598860051234)</f>
        <v>17.32359886</v>
      </c>
      <c r="H20" s="1449" t="str">
        <f t="shared" si="3"/>
        <v>17d  7h 45m</v>
      </c>
      <c r="I20" s="1489">
        <f>IFERROR(__xludf.DUMMYFUNCTION("""COMPUTED_VALUE"""),1.3721669435215947E13)</f>
        <v>13721669435216</v>
      </c>
      <c r="J20" s="1449" t="str">
        <f t="shared" si="4"/>
        <v>13.72 T</v>
      </c>
      <c r="K20" s="1499">
        <f t="array" ref="K20">IFERROR(LET(
  Labspeed, IF(F20="Labs Speed", 1+'Master Sheet'!$BK$5, LAB_SPEED_TOTAL()),
  Lab, MATCH(IF(ISNUMBER(SEARCH("Mastery", $F20)), "Card Mastery", $F20), DVT_Laboratory!B$1:AA$1, 0)-1,
  Offset, OFFSET(DVT_Laboratory!B$3, 0, Lab, 100, 1),
SUM(TIME_TO_RUSH_GEMS(
    XLOOKUP(INDEX($W$5:$W201, MATCH(F20, $V$5:$V201, 0))+1, SEQUENCE(100, 1, 1, 1), Offset, "N/F", 0, 1):
    XLOOKUP(INDEX($X$5:$X201, MATCH(F20, $V$5:$V201, 0)), SEQUENCE(100, 1, 1, 1), Offset, "N/F", 0, 1)/Labspeed, IDS_LAB_GODLBOXED_COUNT()))),"")</f>
        <v>5788</v>
      </c>
      <c r="L20" s="1499">
        <f t="array" ref="L20">IFERROR(LET(
  Labspeed, IF(F20="Labs Speed", 1+'Master Sheet'!$BK$5, LAB_SPEED_TOTAL()),
  Lab, MATCH(IF(ISNUMBER(SEARCH("Mastery", $F20)), "Card Mastery", $F20), DVT_Laboratory!B$1:AA$1, 0)-1,
  Offset, OFFSET(DVT_Laboratory!B$3, 0, Lab, 100, 1),
K20-SUM(TIME_TO_RUSH_GEMS(
    XLOOKUP(INDEX($W$5:$W201, MATCH(F20, $V$5:$V201, 0))+1, SEQUENCE(100, 1, 1, 1), Offset, "N/F", 0, 1):
    XLOOKUP(INDEX($X$5:$X201, MATCH(F20, $V$5:$V201, 0)), SEQUENCE(100, 1, 1, 1), Offset, "N/F", 0, 1)/Labspeed, IDS_LAB_GODLBOXED_COUNT()+1))),"")</f>
        <v>49</v>
      </c>
      <c r="M20" s="1423" t="str">
        <f t="shared" si="5"/>
        <v>151d  7h 46m</v>
      </c>
      <c r="N20" s="1431"/>
      <c r="O20" s="1497"/>
      <c r="P20" s="1431"/>
      <c r="Q20" s="1438" t="str">
        <f>IFERROR(__xludf.DUMMYFUNCTION("""COMPUTED_VALUE"""),"T3 80")</f>
        <v>T3 80</v>
      </c>
      <c r="R20" s="1361"/>
      <c r="S20" s="1440" t="s">
        <v>739</v>
      </c>
      <c r="T20" s="1464" t="b">
        <f t="shared" si="6"/>
        <v>1</v>
      </c>
      <c r="U20" s="1456"/>
      <c r="V20" s="1443" t="str">
        <f>IFERROR(__xludf.DUMMYFUNCTION("""COMPUTED_VALUE"""),"Cash Bonus")</f>
        <v>Cash Bonus</v>
      </c>
      <c r="W20" s="1417">
        <v>33.0</v>
      </c>
      <c r="X20" s="1417">
        <v>99.0</v>
      </c>
      <c r="Y20" s="1416">
        <v>89.62100445980948</v>
      </c>
      <c r="Z20" s="1479">
        <v>9.13099584717608E7</v>
      </c>
      <c r="AA20" s="1417"/>
    </row>
    <row r="21">
      <c r="A21" s="1404"/>
      <c r="B21" s="1410"/>
      <c r="C21" s="1470"/>
      <c r="D21" s="1484">
        <f t="shared" si="2"/>
        <v>770.6221691</v>
      </c>
      <c r="E21" s="1471"/>
      <c r="F21" s="1446" t="str">
        <f>IFERROR(__xludf.DUMMYFUNCTION("""COMPUTED_VALUE"""),"Gold Bot - Cooldown")</f>
        <v>Gold Bot - Cooldown</v>
      </c>
      <c r="G21" s="1448">
        <f>IFERROR(__xludf.DUMMYFUNCTION("""COMPUTED_VALUE"""),17.76555422688633)</f>
        <v>17.76555423</v>
      </c>
      <c r="H21" s="1449" t="str">
        <f t="shared" si="3"/>
        <v>17d 18h 22m</v>
      </c>
      <c r="I21" s="1489">
        <f>IFERROR(__xludf.DUMMYFUNCTION("""COMPUTED_VALUE"""),9.83936877076412E11)</f>
        <v>983936877076</v>
      </c>
      <c r="J21" s="1449" t="str">
        <f t="shared" si="4"/>
        <v>983.94 B</v>
      </c>
      <c r="K21" s="1505">
        <f t="array" ref="K21">IFERROR(LET(
  Labspeed, IF(F21="Labs Speed", 1+'Master Sheet'!$BK$5, LAB_SPEED_TOTAL()),
  Lab, MATCH(IF(ISNUMBER(SEARCH("Mastery", $F21)), "Card Mastery", $F21), DVT_Laboratory!B$1:AA$1, 0)-1,
  Offset, OFFSET(DVT_Laboratory!B$3, 0, Lab, 100, 1),
SUM(TIME_TO_RUSH_GEMS(
    XLOOKUP(INDEX($W$5:$W201, MATCH(F21, $V$5:$V201, 0))+1, SEQUENCE(100, 1, 1, 1), Offset, "N/F", 0, 1):
    XLOOKUP(INDEX($X$5:$X201, MATCH(F21, $V$5:$V201, 0)), SEQUENCE(100, 1, 1, 1), Offset, "N/F", 0, 1)/Labspeed, IDS_LAB_GODLBOXED_COUNT()))),"")</f>
        <v>5104</v>
      </c>
      <c r="L21" s="1505">
        <f t="array" ref="L21">IFERROR(LET(
  Labspeed, IF(F21="Labs Speed", 1+'Master Sheet'!$BK$5, LAB_SPEED_TOTAL()),
  Lab, MATCH(IF(ISNUMBER(SEARCH("Mastery", $F21)), "Card Mastery", $F21), DVT_Laboratory!B$1:AA$1, 0)-1,
  Offset, OFFSET(DVT_Laboratory!B$3, 0, Lab, 100, 1),
K21-SUM(TIME_TO_RUSH_GEMS(
    XLOOKUP(INDEX($W$5:$W201, MATCH(F21, $V$5:$V201, 0))+1, SEQUENCE(100, 1, 1, 1), Offset, "N/F", 0, 1):
    XLOOKUP(INDEX($X$5:$X201, MATCH(F21, $V$5:$V201, 0)), SEQUENCE(100, 1, 1, 1), Offset, "N/F", 0, 1)/Labspeed, IDS_LAB_GODLBOXED_COUNT()+1))),"")</f>
        <v>45</v>
      </c>
      <c r="M21" s="1423" t="str">
        <f t="shared" si="5"/>
        <v>169d  2h  9m</v>
      </c>
      <c r="N21" s="1431"/>
      <c r="O21" s="1497"/>
      <c r="P21" s="1431"/>
      <c r="Q21" s="1438" t="str">
        <f>IFERROR(__xludf.DUMMYFUNCTION("""COMPUTED_VALUE"""),"T3 150")</f>
        <v>T3 150</v>
      </c>
      <c r="R21" s="1477"/>
      <c r="S21" s="1440" t="s">
        <v>760</v>
      </c>
      <c r="T21" s="1464" t="b">
        <f>IDS_UW_OWN("Inner Land Mines")</f>
        <v>0</v>
      </c>
      <c r="U21" s="1438"/>
      <c r="V21" s="1443" t="str">
        <f>IFERROR(__xludf.DUMMYFUNCTION("""COMPUTED_VALUE"""),"Cash Mastery")</f>
        <v>Cash Mastery</v>
      </c>
      <c r="W21" s="1417">
        <v>1.0</v>
      </c>
      <c r="X21" s="1417">
        <v>9.0</v>
      </c>
      <c r="Y21" s="1416">
        <v>34.42300685494462</v>
      </c>
      <c r="Z21" s="1479">
        <v>4.0614617940199336E16</v>
      </c>
      <c r="AA21" s="1417"/>
    </row>
    <row r="22">
      <c r="A22" s="1404"/>
      <c r="B22" s="1410"/>
      <c r="C22" s="1470"/>
      <c r="D22" s="1484">
        <f t="shared" si="2"/>
        <v>780.0659886</v>
      </c>
      <c r="E22" s="1471"/>
      <c r="F22" s="1446" t="str">
        <f>IFERROR(__xludf.DUMMYFUNCTION("""COMPUTED_VALUE"""),"Death Wave Armor Stripping")</f>
        <v>Death Wave Armor Stripping</v>
      </c>
      <c r="G22" s="1448">
        <f>IFERROR(__xludf.DUMMYFUNCTION("""COMPUTED_VALUE"""),18.00164971524818)</f>
        <v>18.00164972</v>
      </c>
      <c r="H22" s="1449" t="str">
        <f t="shared" si="3"/>
        <v>18d  0h  2m</v>
      </c>
      <c r="I22" s="1489">
        <f>IFERROR(__xludf.DUMMYFUNCTION("""COMPUTED_VALUE"""),2.2087313122923588E14)</f>
        <v>220873131229236</v>
      </c>
      <c r="J22" s="1449" t="str">
        <f t="shared" si="4"/>
        <v>220.87 T</v>
      </c>
      <c r="K22" s="1502">
        <f t="array" ref="K22">IFERROR(LET(
  Labspeed, IF(F22="Labs Speed", 1+'Master Sheet'!$BK$5, LAB_SPEED_TOTAL()),
  Lab, MATCH(IF(ISNUMBER(SEARCH("Mastery", $F22)), "Card Mastery", $F22), DVT_Laboratory!B$1:AA$1, 0)-1,
  Offset, OFFSET(DVT_Laboratory!B$3, 0, Lab, 100, 1),
SUM(TIME_TO_RUSH_GEMS(
    XLOOKUP(INDEX($W$5:$W201, MATCH(F22, $V$5:$V201, 0))+1, SEQUENCE(100, 1, 1, 1), Offset, "N/F", 0, 1):
    XLOOKUP(INDEX($X$5:$X201, MATCH(F22, $V$5:$V201, 0)), SEQUENCE(100, 1, 1, 1), Offset, "N/F", 0, 1)/Labspeed, IDS_LAB_GODLBOXED_COUNT()))),"")</f>
        <v>5652</v>
      </c>
      <c r="L22" s="1502">
        <f t="array" ref="L22">IFERROR(LET(
  Labspeed, IF(F22="Labs Speed", 1+'Master Sheet'!$BK$5, LAB_SPEED_TOTAL()),
  Lab, MATCH(IF(ISNUMBER(SEARCH("Mastery", $F22)), "Card Mastery", $F22), DVT_Laboratory!B$1:AA$1, 0)-1,
  Offset, OFFSET(DVT_Laboratory!B$3, 0, Lab, 100, 1),
K22-SUM(TIME_TO_RUSH_GEMS(
    XLOOKUP(INDEX($W$5:$W201, MATCH(F22, $V$5:$V201, 0))+1, SEQUENCE(100, 1, 1, 1), Offset, "N/F", 0, 1):
    XLOOKUP(INDEX($X$5:$X201, MATCH(F22, $V$5:$V201, 0)), SEQUENCE(100, 1, 1, 1), Offset, "N/F", 0, 1)/Labspeed, IDS_LAB_GODLBOXED_COUNT()+1))),"")</f>
        <v>51</v>
      </c>
      <c r="M22" s="1423" t="str">
        <f t="shared" si="5"/>
        <v>187d  2h 11m</v>
      </c>
      <c r="N22" s="1431"/>
      <c r="O22" s="1497"/>
      <c r="P22" s="1431"/>
      <c r="Q22" s="1438" t="str">
        <f>IFERROR(__xludf.DUMMYFUNCTION("""COMPUTED_VALUE"""),"T3 200")</f>
        <v>T3 200</v>
      </c>
      <c r="R22" s="1477"/>
      <c r="S22" s="1440" t="s">
        <v>742</v>
      </c>
      <c r="T22" s="1438" t="b">
        <f>IDS_UW_OWN(S22)</f>
        <v>1</v>
      </c>
      <c r="U22" s="1438"/>
      <c r="V22" s="1443" t="str">
        <f>IFERROR(__xludf.DUMMYFUNCTION("""COMPUTED_VALUE"""),"Chain Thunder")</f>
        <v>Chain Thunder</v>
      </c>
      <c r="W22" s="1417">
        <v>12.0</v>
      </c>
      <c r="X22" s="1417">
        <v>30.0</v>
      </c>
      <c r="Y22" s="1416">
        <v>115.02556305447521</v>
      </c>
      <c r="Z22" s="1479">
        <v>3.1826071428571428E16</v>
      </c>
      <c r="AA22" s="1417"/>
    </row>
    <row r="23">
      <c r="A23" s="1404"/>
      <c r="B23" s="1410"/>
      <c r="C23" s="1470"/>
      <c r="D23" s="1484">
        <f t="shared" si="2"/>
        <v>841.9748838</v>
      </c>
      <c r="E23" s="1471"/>
      <c r="F23" s="1446" t="str">
        <f>IFERROR(__xludf.DUMMYFUNCTION("""COMPUTED_VALUE"""),"Flame Bot - Burn Stack")</f>
        <v>Flame Bot - Burn Stack</v>
      </c>
      <c r="G23" s="1448">
        <f>IFERROR(__xludf.DUMMYFUNCTION("""COMPUTED_VALUE"""),19.549372094933588)</f>
        <v>19.54937209</v>
      </c>
      <c r="H23" s="1449" t="str">
        <f t="shared" si="3"/>
        <v>19d 13h 11m</v>
      </c>
      <c r="I23" s="1489">
        <f>IFERROR(__xludf.DUMMYFUNCTION("""COMPUTED_VALUE"""),4.7098837209302325E14)</f>
        <v>470988372093023</v>
      </c>
      <c r="J23" s="1449" t="str">
        <f t="shared" si="4"/>
        <v>470.99 T</v>
      </c>
      <c r="K23" s="1496">
        <f t="array" ref="K23">IFERROR(LET(
  Labspeed, IF(F23="Labs Speed", 1+'Master Sheet'!$BK$5, LAB_SPEED_TOTAL()),
  Lab, MATCH(IF(ISNUMBER(SEARCH("Mastery", $F23)), "Card Mastery", $F23), DVT_Laboratory!B$1:AA$1, 0)-1,
  Offset, OFFSET(DVT_Laboratory!B$3, 0, Lab, 100, 1),
SUM(TIME_TO_RUSH_GEMS(
    XLOOKUP(INDEX($W$5:$W201, MATCH(F23, $V$5:$V201, 0))+1, SEQUENCE(100, 1, 1, 1), Offset, "N/F", 0, 1):
    XLOOKUP(INDEX($X$5:$X201, MATCH(F23, $V$5:$V201, 0)), SEQUENCE(100, 1, 1, 1), Offset, "N/F", 0, 1)/Labspeed, IDS_LAB_GODLBOXED_COUNT()))),"")</f>
        <v>5693</v>
      </c>
      <c r="L23" s="1496">
        <f t="array" ref="L23">IFERROR(LET(
  Labspeed, IF(F23="Labs Speed", 1+'Master Sheet'!$BK$5, LAB_SPEED_TOTAL()),
  Lab, MATCH(IF(ISNUMBER(SEARCH("Mastery", $F23)), "Card Mastery", $F23), DVT_Laboratory!B$1:AA$1, 0)-1,
  Offset, OFFSET(DVT_Laboratory!B$3, 0, Lab, 100, 1),
K23-SUM(TIME_TO_RUSH_GEMS(
    XLOOKUP(INDEX($W$5:$W201, MATCH(F23, $V$5:$V201, 0))+1, SEQUENCE(100, 1, 1, 1), Offset, "N/F", 0, 1):
    XLOOKUP(INDEX($X$5:$X201, MATCH(F23, $V$5:$V201, 0)), SEQUENCE(100, 1, 1, 1), Offset, "N/F", 0, 1)/Labspeed, IDS_LAB_GODLBOXED_COUNT()+1))),"")</f>
        <v>47</v>
      </c>
      <c r="M23" s="1423" t="str">
        <f t="shared" si="5"/>
        <v>206d 15h 22m</v>
      </c>
      <c r="N23" s="1431"/>
      <c r="O23" s="1497"/>
      <c r="P23" s="1431"/>
      <c r="Q23" s="1438" t="str">
        <f>IFERROR(__xludf.DUMMYFUNCTION("""COMPUTED_VALUE"""),"T3 250")</f>
        <v>T3 250</v>
      </c>
      <c r="R23" s="1477"/>
      <c r="S23" s="1440" t="s">
        <v>743</v>
      </c>
      <c r="T23" s="1438" t="b">
        <f>IDS_UW_OWN("Poison Swamp")</f>
        <v>0</v>
      </c>
      <c r="U23" s="1438"/>
      <c r="V23" s="1443" t="str">
        <f>IFERROR(__xludf.DUMMYFUNCTION("""COMPUTED_VALUE"""),"Chrono Field Range")</f>
        <v>Chrono Field Range</v>
      </c>
      <c r="W23" s="1417">
        <v>17.0</v>
      </c>
      <c r="X23" s="1417">
        <v>20.0</v>
      </c>
      <c r="Y23" s="1416">
        <v>5.206612182990586</v>
      </c>
      <c r="Z23" s="1479">
        <v>1.743355481727575E10</v>
      </c>
      <c r="AA23" s="1417"/>
    </row>
    <row r="24">
      <c r="A24" s="1404"/>
      <c r="B24" s="1410"/>
      <c r="C24" s="1470"/>
      <c r="D24" s="1484">
        <f t="shared" si="2"/>
        <v>992.0691087</v>
      </c>
      <c r="E24" s="1471"/>
      <c r="F24" s="1446" t="str">
        <f>IFERROR(__xludf.DUMMYFUNCTION("""COMPUTED_VALUE"""),"Armor Effect Bans")</f>
        <v>Armor Effect Bans</v>
      </c>
      <c r="G24" s="1448">
        <f>IFERROR(__xludf.DUMMYFUNCTION("""COMPUTED_VALUE"""),23.30172771719328)</f>
        <v>23.30172772</v>
      </c>
      <c r="H24" s="1449" t="str">
        <f t="shared" si="3"/>
        <v>23d  7h 14m</v>
      </c>
      <c r="I24" s="1489">
        <f>IFERROR(__xludf.DUMMYFUNCTION("""COMPUTED_VALUE"""),4.568106312292359E16)</f>
        <v>4.56811E+16</v>
      </c>
      <c r="J24" s="1449" t="str">
        <f t="shared" si="4"/>
        <v>45.68 q</v>
      </c>
      <c r="K24" s="1504">
        <f t="array" ref="K24">IFERROR(LET(
  Labspeed, IF(F24="Labs Speed", 1+'Master Sheet'!$BK$5, LAB_SPEED_TOTAL()),
  Lab, MATCH(IF(ISNUMBER(SEARCH("Mastery", $F24)), "Card Mastery", $F24), DVT_Laboratory!B$1:AA$1, 0)-1,
  Offset, OFFSET(DVT_Laboratory!B$3, 0, Lab, 100, 1),
SUM(TIME_TO_RUSH_GEMS(
    XLOOKUP(INDEX($W$5:$W201, MATCH(F24, $V$5:$V201, 0))+1, SEQUENCE(100, 1, 1, 1), Offset, "N/F", 0, 1):
    XLOOKUP(INDEX($X$5:$X201, MATCH(F24, $V$5:$V201, 0)), SEQUENCE(100, 1, 1, 1), Offset, "N/F", 0, 1)/Labspeed, IDS_LAB_GODLBOXED_COUNT()))),"")</f>
        <v>5561</v>
      </c>
      <c r="L24" s="1504">
        <f t="array" ref="L24">IFERROR(LET(
  Labspeed, IF(F24="Labs Speed", 1+'Master Sheet'!$BK$5, LAB_SPEED_TOTAL()),
  Lab, MATCH(IF(ISNUMBER(SEARCH("Mastery", $F24)), "Card Mastery", $F24), DVT_Laboratory!B$1:AA$1, 0)-1,
  Offset, OFFSET(DVT_Laboratory!B$3, 0, Lab, 100, 1),
K24-SUM(TIME_TO_RUSH_GEMS(
    XLOOKUP(INDEX($W$5:$W201, MATCH(F24, $V$5:$V201, 0))+1, SEQUENCE(100, 1, 1, 1), Offset, "N/F", 0, 1):
    XLOOKUP(INDEX($X$5:$X201, MATCH(F24, $V$5:$V201, 0)), SEQUENCE(100, 1, 1, 1), Offset, "N/F", 0, 1)/Labspeed, IDS_LAB_GODLBOXED_COUNT()+1))),"")</f>
        <v>48</v>
      </c>
      <c r="M24" s="1423" t="str">
        <f t="shared" si="5"/>
        <v>229d 22h 37m</v>
      </c>
      <c r="N24" s="1431"/>
      <c r="O24" s="1497"/>
      <c r="P24" s="1431"/>
      <c r="Q24" s="1438" t="str">
        <f>IFERROR(__xludf.DUMMYFUNCTION("""COMPUTED_VALUE"""),"T3 300")</f>
        <v>T3 300</v>
      </c>
      <c r="R24" s="1477"/>
      <c r="S24" s="1440" t="s">
        <v>744</v>
      </c>
      <c r="T24" s="1438" t="b">
        <f t="shared" ref="T24:T25" si="7">IDS_UW_OWN(S24)</f>
        <v>1</v>
      </c>
      <c r="U24" s="1438"/>
      <c r="V24" s="1443" t="str">
        <f>IFERROR(__xludf.DUMMYFUNCTION("""COMPUTED_VALUE"""),"Chrono Field Reduction %")</f>
        <v>Chrono Field Reduction %</v>
      </c>
      <c r="W24" s="1417">
        <v>20.0</v>
      </c>
      <c r="X24" s="1417">
        <v>30.0</v>
      </c>
      <c r="Y24" s="1416">
        <v>42.427370986100875</v>
      </c>
      <c r="Z24" s="1479">
        <v>8.579734219269104E10</v>
      </c>
      <c r="AA24" s="1417"/>
    </row>
    <row r="25">
      <c r="A25" s="1404"/>
      <c r="B25" s="1410"/>
      <c r="C25" s="1470"/>
      <c r="D25" s="1484">
        <f t="shared" si="2"/>
        <v>992.0691087</v>
      </c>
      <c r="E25" s="1471"/>
      <c r="F25" s="1446" t="str">
        <f>IFERROR(__xludf.DUMMYFUNCTION("""COMPUTED_VALUE"""),"Generator Effect Bans")</f>
        <v>Generator Effect Bans</v>
      </c>
      <c r="G25" s="1448">
        <f>IFERROR(__xludf.DUMMYFUNCTION("""COMPUTED_VALUE"""),23.30172771719328)</f>
        <v>23.30172772</v>
      </c>
      <c r="H25" s="1449" t="str">
        <f t="shared" si="3"/>
        <v>23d  7h 14m</v>
      </c>
      <c r="I25" s="1489">
        <f>IFERROR(__xludf.DUMMYFUNCTION("""COMPUTED_VALUE"""),4.194352159468438E16)</f>
        <v>4.19435E+16</v>
      </c>
      <c r="J25" s="1449" t="str">
        <f t="shared" si="4"/>
        <v>41.94 q</v>
      </c>
      <c r="K25" s="1487">
        <f t="array" ref="K25">IFERROR(LET(
  Labspeed, IF(F25="Labs Speed", 1+'Master Sheet'!$BK$5, LAB_SPEED_TOTAL()),
  Lab, MATCH(IF(ISNUMBER(SEARCH("Mastery", $F25)), "Card Mastery", $F25), DVT_Laboratory!B$1:AA$1, 0)-1,
  Offset, OFFSET(DVT_Laboratory!B$3, 0, Lab, 100, 1),
SUM(TIME_TO_RUSH_GEMS(
    XLOOKUP(INDEX($W$5:$W201, MATCH(F25, $V$5:$V201, 0))+1, SEQUENCE(100, 1, 1, 1), Offset, "N/F", 0, 1):
    XLOOKUP(INDEX($X$5:$X201, MATCH(F25, $V$5:$V201, 0)), SEQUENCE(100, 1, 1, 1), Offset, "N/F", 0, 1)/Labspeed, IDS_LAB_GODLBOXED_COUNT()))),"")</f>
        <v>5561</v>
      </c>
      <c r="L25" s="1487">
        <f t="array" ref="L25">IFERROR(LET(
  Labspeed, IF(F25="Labs Speed", 1+'Master Sheet'!$BK$5, LAB_SPEED_TOTAL()),
  Lab, MATCH(IF(ISNUMBER(SEARCH("Mastery", $F25)), "Card Mastery", $F25), DVT_Laboratory!B$1:AA$1, 0)-1,
  Offset, OFFSET(DVT_Laboratory!B$3, 0, Lab, 100, 1),
K25-SUM(TIME_TO_RUSH_GEMS(
    XLOOKUP(INDEX($W$5:$W201, MATCH(F25, $V$5:$V201, 0))+1, SEQUENCE(100, 1, 1, 1), Offset, "N/F", 0, 1):
    XLOOKUP(INDEX($X$5:$X201, MATCH(F25, $V$5:$V201, 0)), SEQUENCE(100, 1, 1, 1), Offset, "N/F", 0, 1)/Labspeed, IDS_LAB_GODLBOXED_COUNT()+1))),"")</f>
        <v>48</v>
      </c>
      <c r="M25" s="1423" t="str">
        <f t="shared" si="5"/>
        <v>253d  5h 51m</v>
      </c>
      <c r="N25" s="1431"/>
      <c r="O25" s="1497"/>
      <c r="P25" s="1431"/>
      <c r="Q25" s="1438" t="str">
        <f>IFERROR(__xludf.DUMMYFUNCTION("""COMPUTED_VALUE"""),"T3 400")</f>
        <v>T3 400</v>
      </c>
      <c r="R25" s="1477"/>
      <c r="S25" s="1440" t="s">
        <v>745</v>
      </c>
      <c r="T25" s="1438" t="b">
        <f t="shared" si="7"/>
        <v>1</v>
      </c>
      <c r="U25" s="1438"/>
      <c r="V25" s="1443" t="str">
        <f>IFERROR(__xludf.DUMMYFUNCTION("""COMPUTED_VALUE"""),"Coins / Kill Bonus")</f>
        <v>Coins / Kill Bonus</v>
      </c>
      <c r="W25" s="1417">
        <v>87.0</v>
      </c>
      <c r="X25" s="1417">
        <v>99.0</v>
      </c>
      <c r="Y25" s="1416">
        <v>32.65176662401744</v>
      </c>
      <c r="Z25" s="1479">
        <v>3.57641196013289E7</v>
      </c>
      <c r="AA25" s="1417"/>
    </row>
    <row r="26">
      <c r="A26" s="1404"/>
      <c r="B26" s="1410"/>
      <c r="C26" s="1470"/>
      <c r="D26" s="1484">
        <f t="shared" si="2"/>
        <v>997.1813665</v>
      </c>
      <c r="E26" s="1471"/>
      <c r="F26" s="1446" t="str">
        <f>IFERROR(__xludf.DUMMYFUNCTION("""COMPUTED_VALUE"""),"Max Rend Armor Multiplier")</f>
        <v>Max Rend Armor Multiplier</v>
      </c>
      <c r="G26" s="1448">
        <f>IFERROR(__xludf.DUMMYFUNCTION("""COMPUTED_VALUE"""),23.429534163157285)</f>
        <v>23.42953416</v>
      </c>
      <c r="H26" s="1449" t="str">
        <f t="shared" si="3"/>
        <v>23d 10h 18m</v>
      </c>
      <c r="I26" s="1489">
        <f>IFERROR(__xludf.DUMMYFUNCTION("""COMPUTED_VALUE"""),2.0408480066445184E13)</f>
        <v>20408480066445</v>
      </c>
      <c r="J26" s="1449" t="str">
        <f t="shared" si="4"/>
        <v>20.41 T</v>
      </c>
      <c r="K26" s="1492">
        <f t="array" ref="K26">IFERROR(LET(
  Labspeed, IF(F26="Labs Speed", 1+'Master Sheet'!$BK$5, LAB_SPEED_TOTAL()),
  Lab, MATCH(IF(ISNUMBER(SEARCH("Mastery", $F26)), "Card Mastery", $F26), DVT_Laboratory!B$1:AA$1, 0)-1,
  Offset, OFFSET(DVT_Laboratory!B$3, 0, Lab, 100, 1),
SUM(TIME_TO_RUSH_GEMS(
    XLOOKUP(INDEX($W$5:$W201, MATCH(F26, $V$5:$V201, 0))+1, SEQUENCE(100, 1, 1, 1), Offset, "N/F", 0, 1):
    XLOOKUP(INDEX($X$5:$X201, MATCH(F26, $V$5:$V201, 0)), SEQUENCE(100, 1, 1, 1), Offset, "N/F", 0, 1)/Labspeed, IDS_LAB_GODLBOXED_COUNT()))),"")</f>
        <v>8024</v>
      </c>
      <c r="L26" s="1492">
        <f t="array" ref="L26">IFERROR(LET(
  Labspeed, IF(F26="Labs Speed", 1+'Master Sheet'!$BK$5, LAB_SPEED_TOTAL()),
  Lab, MATCH(IF(ISNUMBER(SEARCH("Mastery", $F26)), "Card Mastery", $F26), DVT_Laboratory!B$1:AA$1, 0)-1,
  Offset, OFFSET(DVT_Laboratory!B$3, 0, Lab, 100, 1),
K26-SUM(TIME_TO_RUSH_GEMS(
    XLOOKUP(INDEX($W$5:$W201, MATCH(F26, $V$5:$V201, 0))+1, SEQUENCE(100, 1, 1, 1), Offset, "N/F", 0, 1):
    XLOOKUP(INDEX($X$5:$X201, MATCH(F26, $V$5:$V201, 0)), SEQUENCE(100, 1, 1, 1), Offset, "N/F", 0, 1)/Labspeed, IDS_LAB_GODLBOXED_COUNT()+1))),"")</f>
        <v>68</v>
      </c>
      <c r="M26" s="1423" t="str">
        <f t="shared" si="5"/>
        <v>276d 16h 10m</v>
      </c>
      <c r="N26" s="1431"/>
      <c r="O26" s="1497"/>
      <c r="P26" s="1431"/>
      <c r="Q26" s="1438" t="str">
        <f>IFERROR(__xludf.DUMMYFUNCTION("""COMPUTED_VALUE"""),"T4 30")</f>
        <v>T4 30</v>
      </c>
      <c r="R26" s="1477"/>
      <c r="S26" s="1361"/>
      <c r="T26" s="1477"/>
      <c r="U26" s="1438"/>
      <c r="V26" s="1443" t="str">
        <f>IFERROR(__xludf.DUMMYFUNCTION("""COMPUTED_VALUE"""),"Coins / Wave")</f>
        <v>Coins / Wave</v>
      </c>
      <c r="W26" s="1417">
        <v>6.0</v>
      </c>
      <c r="X26" s="1417">
        <v>99.0</v>
      </c>
      <c r="Y26" s="1416">
        <v>91.82067872990051</v>
      </c>
      <c r="Z26" s="1479">
        <v>9.276882059800665E7</v>
      </c>
      <c r="AA26" s="1417"/>
    </row>
    <row r="27">
      <c r="A27" s="1404"/>
      <c r="B27" s="1410"/>
      <c r="C27" s="1470"/>
      <c r="D27" s="1484">
        <f t="shared" si="2"/>
        <v>1251.565622</v>
      </c>
      <c r="E27" s="1471"/>
      <c r="F27" s="1446" t="str">
        <f>IFERROR(__xludf.DUMMYFUNCTION("""COMPUTED_VALUE"""),"Recovery Package Chance Mastery")</f>
        <v>Recovery Package Chance Mastery</v>
      </c>
      <c r="G27" s="1448">
        <f>IFERROR(__xludf.DUMMYFUNCTION("""COMPUTED_VALUE"""),29.789140547548232)</f>
        <v>29.78914055</v>
      </c>
      <c r="H27" s="1449" t="str">
        <f t="shared" si="3"/>
        <v>29d 18h 56m</v>
      </c>
      <c r="I27" s="1489">
        <f>IFERROR(__xludf.DUMMYFUNCTION("""COMPUTED_VALUE"""),3.787375415282392E16)</f>
        <v>3.78738E+16</v>
      </c>
      <c r="J27" s="1449" t="str">
        <f t="shared" si="4"/>
        <v>37.87 q</v>
      </c>
      <c r="K27" s="1505">
        <f t="array" ref="K27">IFERROR(LET(
  Labspeed, IF(F27="Labs Speed", 1+'Master Sheet'!$BK$5, LAB_SPEED_TOTAL()),
  Lab, MATCH(IF(ISNUMBER(SEARCH("Mastery", $F27)), "Card Mastery", $F27), DVT_Laboratory!B$1:AA$1, 0)-1,
  Offset, OFFSET(DVT_Laboratory!B$3, 0, Lab, 100, 1),
SUM(TIME_TO_RUSH_GEMS(
    XLOOKUP(INDEX($W$5:$W201, MATCH(F27, $V$5:$V201, 0))+1, SEQUENCE(100, 1, 1, 1), Offset, "N/F", 0, 1):
    XLOOKUP(INDEX($X$5:$X201, MATCH(F27, $V$5:$V201, 0)), SEQUENCE(100, 1, 1, 1), Offset, "N/F", 0, 1)/Labspeed, IDS_LAB_GODLBOXED_COUNT()))),"")</f>
        <v>8465</v>
      </c>
      <c r="L27" s="1505">
        <f t="array" ref="L27">IFERROR(LET(
  Labspeed, IF(F27="Labs Speed", 1+'Master Sheet'!$BK$5, LAB_SPEED_TOTAL()),
  Lab, MATCH(IF(ISNUMBER(SEARCH("Mastery", $F27)), "Card Mastery", $F27), DVT_Laboratory!B$1:AA$1, 0)-1,
  Offset, OFFSET(DVT_Laboratory!B$3, 0, Lab, 100, 1),
K27-SUM(TIME_TO_RUSH_GEMS(
    XLOOKUP(INDEX($W$5:$W201, MATCH(F27, $V$5:$V201, 0))+1, SEQUENCE(100, 1, 1, 1), Offset, "N/F", 0, 1):
    XLOOKUP(INDEX($X$5:$X201, MATCH(F27, $V$5:$V201, 0)), SEQUENCE(100, 1, 1, 1), Offset, "N/F", 0, 1)/Labspeed, IDS_LAB_GODLBOXED_COUNT()+1))),"")</f>
        <v>73</v>
      </c>
      <c r="M27" s="1423" t="str">
        <f t="shared" si="5"/>
        <v>306d 11h  6m</v>
      </c>
      <c r="N27" s="1431"/>
      <c r="O27" s="1431"/>
      <c r="P27" s="1431"/>
      <c r="Q27" s="1438" t="str">
        <f>IFERROR(__xludf.DUMMYFUNCTION("""COMPUTED_VALUE"""),"T4 50")</f>
        <v>T4 50</v>
      </c>
      <c r="R27" s="1477"/>
      <c r="S27" s="1482" t="s">
        <v>761</v>
      </c>
      <c r="U27" s="1438"/>
      <c r="V27" s="1443" t="str">
        <f>IFERROR(__xludf.DUMMYFUNCTION("""COMPUTED_VALUE"""),"Common Enemy Attack")</f>
        <v>Common Enemy Attack</v>
      </c>
      <c r="W27" s="1417">
        <v>0.0</v>
      </c>
      <c r="X27" s="1417">
        <v>30.0</v>
      </c>
      <c r="Y27" s="1416">
        <v>78.54394564624869</v>
      </c>
      <c r="Z27" s="1479">
        <v>1.7538654485049834E13</v>
      </c>
      <c r="AA27" s="1417"/>
    </row>
    <row r="28">
      <c r="A28" s="1404"/>
      <c r="B28" s="1410"/>
      <c r="C28" s="1470"/>
      <c r="D28" s="1484">
        <f t="shared" si="2"/>
        <v>1320.411636</v>
      </c>
      <c r="E28" s="1471"/>
      <c r="F28" s="1446" t="str">
        <f>IFERROR(__xludf.DUMMYFUNCTION("""COMPUTED_VALUE"""),"Cannon Effect Bans")</f>
        <v>Cannon Effect Bans</v>
      </c>
      <c r="G28" s="1448">
        <f>IFERROR(__xludf.DUMMYFUNCTION("""COMPUTED_VALUE"""),31.510290890295465)</f>
        <v>31.51029089</v>
      </c>
      <c r="H28" s="1449" t="str">
        <f t="shared" si="3"/>
        <v>31d 12h 14m</v>
      </c>
      <c r="I28" s="1489">
        <f>IFERROR(__xludf.DUMMYFUNCTION("""COMPUTED_VALUE"""),4.572300664451827E16)</f>
        <v>4.5723E+16</v>
      </c>
      <c r="J28" s="1449" t="str">
        <f t="shared" si="4"/>
        <v>45.72 q</v>
      </c>
      <c r="K28" s="1493">
        <f t="array" ref="K28">IFERROR(LET(
  Labspeed, IF(F28="Labs Speed", 1+'Master Sheet'!$BK$5, LAB_SPEED_TOTAL()),
  Lab, MATCH(IF(ISNUMBER(SEARCH("Mastery", $F28)), "Card Mastery", $F28), DVT_Laboratory!B$1:AA$1, 0)-1,
  Offset, OFFSET(DVT_Laboratory!B$3, 0, Lab, 100, 1),
SUM(TIME_TO_RUSH_GEMS(
    XLOOKUP(INDEX($W$5:$W201, MATCH(F28, $V$5:$V201, 0))+1, SEQUENCE(100, 1, 1, 1), Offset, "N/F", 0, 1):
    XLOOKUP(INDEX($X$5:$X201, MATCH(F28, $V$5:$V201, 0)), SEQUENCE(100, 1, 1, 1), Offset, "N/F", 0, 1)/Labspeed, IDS_LAB_GODLBOXED_COUNT()))),"")</f>
        <v>7939</v>
      </c>
      <c r="L28" s="1493">
        <f t="array" ref="L28">IFERROR(LET(
  Labspeed, IF(F28="Labs Speed", 1+'Master Sheet'!$BK$5, LAB_SPEED_TOTAL()),
  Lab, MATCH(IF(ISNUMBER(SEARCH("Mastery", $F28)), "Card Mastery", $F28), DVT_Laboratory!B$1:AA$1, 0)-1,
  Offset, OFFSET(DVT_Laboratory!B$3, 0, Lab, 100, 1),
K28-SUM(TIME_TO_RUSH_GEMS(
    XLOOKUP(INDEX($W$5:$W201, MATCH(F28, $V$5:$V201, 0))+1, SEQUENCE(100, 1, 1, 1), Offset, "N/F", 0, 1):
    XLOOKUP(INDEX($X$5:$X201, MATCH(F28, $V$5:$V201, 0)), SEQUENCE(100, 1, 1, 1), Offset, "N/F", 0, 1)/Labspeed, IDS_LAB_GODLBOXED_COUNT()+1))),"")</f>
        <v>68</v>
      </c>
      <c r="M28" s="1423" t="str">
        <f t="shared" si="5"/>
        <v>337d 23h 21m</v>
      </c>
      <c r="N28" s="1431"/>
      <c r="O28" s="1431"/>
      <c r="P28" s="1431"/>
      <c r="Q28" s="1438" t="str">
        <f>IFERROR(__xludf.DUMMYFUNCTION("""COMPUTED_VALUE"""),"T4 70")</f>
        <v>T4 70</v>
      </c>
      <c r="R28" s="1477"/>
      <c r="S28" s="1506" t="s">
        <v>274</v>
      </c>
      <c r="T28" s="1507" t="b">
        <f t="shared" ref="T28:T58" si="8">IDS_CARD_MASTERY(LEFT(S28, LEN(S28)-8))</f>
        <v>0</v>
      </c>
      <c r="U28" s="1438"/>
      <c r="V28" s="1443" t="str">
        <f>IFERROR(__xludf.DUMMYFUNCTION("""COMPUTED_VALUE"""),"Common Enemy Health")</f>
        <v>Common Enemy Health</v>
      </c>
      <c r="W28" s="1417">
        <v>0.0</v>
      </c>
      <c r="X28" s="1417">
        <v>30.0</v>
      </c>
      <c r="Y28" s="1416">
        <v>78.54394564624869</v>
      </c>
      <c r="Z28" s="1479">
        <v>1.7538654485049834E13</v>
      </c>
      <c r="AA28" s="1417"/>
    </row>
    <row r="29">
      <c r="A29" s="1404"/>
      <c r="B29" s="1410"/>
      <c r="C29" s="1470"/>
      <c r="D29" s="1484">
        <f t="shared" si="2"/>
        <v>1331.003301</v>
      </c>
      <c r="E29" s="1471"/>
      <c r="F29" s="1446" t="str">
        <f>IFERROR(__xludf.DUMMYFUNCTION("""COMPUTED_VALUE"""),"Ban Perks")</f>
        <v>Ban Perks</v>
      </c>
      <c r="G29" s="1448">
        <f>IFERROR(__xludf.DUMMYFUNCTION("""COMPUTED_VALUE"""),31.77508251518378)</f>
        <v>31.77508252</v>
      </c>
      <c r="H29" s="1449" t="str">
        <f t="shared" si="3"/>
        <v>31d 18h 36m</v>
      </c>
      <c r="I29" s="1489">
        <f>IFERROR(__xludf.DUMMYFUNCTION("""COMPUTED_VALUE"""),9.136212624584718E14)</f>
        <v>913621262458472</v>
      </c>
      <c r="J29" s="1449" t="str">
        <f t="shared" si="4"/>
        <v>913.62 T</v>
      </c>
      <c r="K29" s="1490">
        <f t="array" ref="K29">IFERROR(LET(
  Labspeed, IF(F29="Labs Speed", 1+'Master Sheet'!$BK$5, LAB_SPEED_TOTAL()),
  Lab, MATCH(IF(ISNUMBER(SEARCH("Mastery", $F29)), "Card Mastery", $F29), DVT_Laboratory!B$1:AA$1, 0)-1,
  Offset, OFFSET(DVT_Laboratory!B$3, 0, Lab, 100, 1),
SUM(TIME_TO_RUSH_GEMS(
    XLOOKUP(INDEX($W$5:$W201, MATCH(F29, $V$5:$V201, 0))+1, SEQUENCE(100, 1, 1, 1), Offset, "N/F", 0, 1):
    XLOOKUP(INDEX($X$5:$X201, MATCH(F29, $V$5:$V201, 0)), SEQUENCE(100, 1, 1, 1), Offset, "N/F", 0, 1)/Labspeed, IDS_LAB_GODLBOXED_COUNT()))),"")</f>
        <v>7023</v>
      </c>
      <c r="L29" s="1490">
        <f t="array" ref="L29">IFERROR(LET(
  Labspeed, IF(F29="Labs Speed", 1+'Master Sheet'!$BK$5, LAB_SPEED_TOTAL()),
  Lab, MATCH(IF(ISNUMBER(SEARCH("Mastery", $F29)), "Card Mastery", $F29), DVT_Laboratory!B$1:AA$1, 0)-1,
  Offset, OFFSET(DVT_Laboratory!B$3, 0, Lab, 100, 1),
K29-SUM(TIME_TO_RUSH_GEMS(
    XLOOKUP(INDEX($W$5:$W201, MATCH(F29, $V$5:$V201, 0))+1, SEQUENCE(100, 1, 1, 1), Offset, "N/F", 0, 1):
    XLOOKUP(INDEX($X$5:$X201, MATCH(F29, $V$5:$V201, 0)), SEQUENCE(100, 1, 1, 1), Offset, "N/F", 0, 1)/Labspeed, IDS_LAB_GODLBOXED_COUNT()+1))),"")</f>
        <v>62</v>
      </c>
      <c r="M29" s="1423" t="str">
        <f t="shared" si="5"/>
        <v>369d 17h 57m</v>
      </c>
      <c r="N29" s="1431"/>
      <c r="O29" s="1475"/>
      <c r="P29" s="1431"/>
      <c r="Q29" s="1438" t="str">
        <f>IFERROR(__xludf.DUMMYFUNCTION("""COMPUTED_VALUE"""),"T4 80")</f>
        <v>T4 80</v>
      </c>
      <c r="R29" s="1477"/>
      <c r="S29" s="1506" t="s">
        <v>282</v>
      </c>
      <c r="T29" s="1507" t="b">
        <f t="shared" si="8"/>
        <v>0</v>
      </c>
      <c r="U29" s="1438"/>
      <c r="V29" s="1443" t="str">
        <f>IFERROR(__xludf.DUMMYFUNCTION("""COMPUTED_VALUE"""),"Core Effect Bans")</f>
        <v>Core Effect Bans</v>
      </c>
      <c r="W29" s="1417">
        <v>4.0</v>
      </c>
      <c r="X29" s="1417">
        <v>7.0</v>
      </c>
      <c r="Y29" s="1416">
        <v>39.189269342552336</v>
      </c>
      <c r="Z29" s="1479">
        <v>4.609634551495017E17</v>
      </c>
      <c r="AA29" s="1417"/>
    </row>
    <row r="30">
      <c r="A30" s="1404"/>
      <c r="B30" s="1410"/>
      <c r="C30" s="1470"/>
      <c r="D30" s="1484">
        <f t="shared" si="2"/>
        <v>1366.070665</v>
      </c>
      <c r="E30" s="1471"/>
      <c r="F30" s="1446" t="str">
        <f>IFERROR(__xludf.DUMMYFUNCTION("""COMPUTED_VALUE"""),"Coins / Kill Bonus")</f>
        <v>Coins / Kill Bonus</v>
      </c>
      <c r="G30" s="1448">
        <f>IFERROR(__xludf.DUMMYFUNCTION("""COMPUTED_VALUE"""),32.65176662401744)</f>
        <v>32.65176662</v>
      </c>
      <c r="H30" s="1449" t="str">
        <f t="shared" si="3"/>
        <v>32d 15h 38m</v>
      </c>
      <c r="I30" s="1489">
        <f>IFERROR(__xludf.DUMMYFUNCTION("""COMPUTED_VALUE"""),3.57641196013289E7)</f>
        <v>35764119.6</v>
      </c>
      <c r="J30" s="1449" t="str">
        <f t="shared" si="4"/>
        <v>35.76 M</v>
      </c>
      <c r="K30" s="1490">
        <f t="array" ref="K30">IFERROR(LET(
  Labspeed, IF(F30="Labs Speed", 1+'Master Sheet'!$BK$5, LAB_SPEED_TOTAL()),
  Lab, MATCH(IF(ISNUMBER(SEARCH("Mastery", $F30)), "Card Mastery", $F30), DVT_Laboratory!B$1:AA$1, 0)-1,
  Offset, OFFSET(DVT_Laboratory!B$3, 0, Lab, 100, 1),
SUM(TIME_TO_RUSH_GEMS(
    XLOOKUP(INDEX($W$5:$W201, MATCH(F30, $V$5:$V201, 0))+1, SEQUENCE(100, 1, 1, 1), Offset, "N/F", 0, 1):
    XLOOKUP(INDEX($X$5:$X201, MATCH(F30, $V$5:$V201, 0)), SEQUENCE(100, 1, 1, 1), Offset, "N/F", 0, 1)/Labspeed, IDS_LAB_GODLBOXED_COUNT()))),"")</f>
        <v>9988</v>
      </c>
      <c r="L30" s="1490">
        <f t="array" ref="L30">IFERROR(LET(
  Labspeed, IF(F30="Labs Speed", 1+'Master Sheet'!$BK$5, LAB_SPEED_TOTAL()),
  Lab, MATCH(IF(ISNUMBER(SEARCH("Mastery", $F30)), "Card Mastery", $F30), DVT_Laboratory!B$1:AA$1, 0)-1,
  Offset, OFFSET(DVT_Laboratory!B$3, 0, Lab, 100, 1),
K30-SUM(TIME_TO_RUSH_GEMS(
    XLOOKUP(INDEX($W$5:$W201, MATCH(F30, $V$5:$V201, 0))+1, SEQUENCE(100, 1, 1, 1), Offset, "N/F", 0, 1):
    XLOOKUP(INDEX($X$5:$X201, MATCH(F30, $V$5:$V201, 0)), SEQUENCE(100, 1, 1, 1), Offset, "N/F", 0, 1)/Labspeed, IDS_LAB_GODLBOXED_COUNT()+1))),"")</f>
        <v>87</v>
      </c>
      <c r="M30" s="1423" t="str">
        <f t="shared" si="5"/>
        <v>402d  9h 36m</v>
      </c>
      <c r="N30" s="1431"/>
      <c r="O30" s="1431"/>
      <c r="P30" s="1431"/>
      <c r="Q30" s="1438" t="str">
        <f>IFERROR(__xludf.DUMMYFUNCTION("""COMPUTED_VALUE"""),"T4 150")</f>
        <v>T4 150</v>
      </c>
      <c r="R30" s="1477"/>
      <c r="S30" s="1506" t="s">
        <v>290</v>
      </c>
      <c r="T30" s="1507" t="b">
        <f t="shared" si="8"/>
        <v>0</v>
      </c>
      <c r="U30" s="1438"/>
      <c r="V30" s="1443" t="str">
        <f>IFERROR(__xludf.DUMMYFUNCTION("""COMPUTED_VALUE"""),"Critical Factor")</f>
        <v>Critical Factor</v>
      </c>
      <c r="W30" s="1417">
        <v>83.0</v>
      </c>
      <c r="X30" s="1417">
        <v>99.0</v>
      </c>
      <c r="Y30" s="1416">
        <v>41.402801079505494</v>
      </c>
      <c r="Z30" s="1479">
        <v>4.50249169435216E7</v>
      </c>
      <c r="AA30" s="1417"/>
    </row>
    <row r="31">
      <c r="A31" s="1404"/>
      <c r="B31" s="1410"/>
      <c r="C31" s="1470"/>
      <c r="D31" s="1484">
        <f t="shared" si="2"/>
        <v>1436.920274</v>
      </c>
      <c r="E31" s="1471"/>
      <c r="F31" s="1446" t="str">
        <f>IFERROR(__xludf.DUMMYFUNCTION("""COMPUTED_VALUE"""),"Cash Mastery")</f>
        <v>Cash Mastery</v>
      </c>
      <c r="G31" s="1448">
        <f>IFERROR(__xludf.DUMMYFUNCTION("""COMPUTED_VALUE"""),34.42300685494462)</f>
        <v>34.42300685</v>
      </c>
      <c r="H31" s="1449" t="str">
        <f t="shared" si="3"/>
        <v>34d 10h  9m</v>
      </c>
      <c r="I31" s="1489">
        <f>IFERROR(__xludf.DUMMYFUNCTION("""COMPUTED_VALUE"""),4.0614617940199336E16)</f>
        <v>4.06146E+16</v>
      </c>
      <c r="J31" s="1449" t="str">
        <f t="shared" si="4"/>
        <v>40.61 q</v>
      </c>
      <c r="K31" s="1490">
        <f t="array" ref="K31">IFERROR(LET(
  Labspeed, IF(F31="Labs Speed", 1+'Master Sheet'!$BK$5, LAB_SPEED_TOTAL()),
  Lab, MATCH(IF(ISNUMBER(SEARCH("Mastery", $F31)), "Card Mastery", $F31), DVT_Laboratory!B$1:AA$1, 0)-1,
  Offset, OFFSET(DVT_Laboratory!B$3, 0, Lab, 100, 1),
SUM(TIME_TO_RUSH_GEMS(
    XLOOKUP(INDEX($W$5:$W201, MATCH(F31, $V$5:$V201, 0))+1, SEQUENCE(100, 1, 1, 1), Offset, "N/F", 0, 1):
    XLOOKUP(INDEX($X$5:$X201, MATCH(F31, $V$5:$V201, 0)), SEQUENCE(100, 1, 1, 1), Offset, "N/F", 0, 1)/Labspeed, IDS_LAB_GODLBOXED_COUNT()))),"")</f>
        <v>9921</v>
      </c>
      <c r="L31" s="1490">
        <f t="array" ref="L31">IFERROR(LET(
  Labspeed, IF(F31="Labs Speed", 1+'Master Sheet'!$BK$5, LAB_SPEED_TOTAL()),
  Lab, MATCH(IF(ISNUMBER(SEARCH("Mastery", $F31)), "Card Mastery", $F31), DVT_Laboratory!B$1:AA$1, 0)-1,
  Offset, OFFSET(DVT_Laboratory!B$3, 0, Lab, 100, 1),
K31-SUM(TIME_TO_RUSH_GEMS(
    XLOOKUP(INDEX($W$5:$W201, MATCH(F31, $V$5:$V201, 0))+1, SEQUENCE(100, 1, 1, 1), Offset, "N/F", 0, 1):
    XLOOKUP(INDEX($X$5:$X201, MATCH(F31, $V$5:$V201, 0)), SEQUENCE(100, 1, 1, 1), Offset, "N/F", 0, 1)/Labspeed, IDS_LAB_GODLBOXED_COUNT()+1))),"")</f>
        <v>86</v>
      </c>
      <c r="M31" s="1423" t="str">
        <f t="shared" si="5"/>
        <v>436d 19h 45m</v>
      </c>
      <c r="N31" s="1431"/>
      <c r="O31" s="1431"/>
      <c r="P31" s="1431"/>
      <c r="Q31" s="1438" t="str">
        <f>IFERROR(__xludf.DUMMYFUNCTION("""COMPUTED_VALUE"""),"T4 200")</f>
        <v>T4 200</v>
      </c>
      <c r="R31" s="1477"/>
      <c r="S31" s="1506" t="s">
        <v>297</v>
      </c>
      <c r="T31" s="1507" t="b">
        <f t="shared" si="8"/>
        <v>0</v>
      </c>
      <c r="U31" s="1438"/>
      <c r="V31" s="1443" t="str">
        <f>IFERROR(__xludf.DUMMYFUNCTION("""COMPUTED_VALUE"""),"Damage")</f>
        <v>Damage</v>
      </c>
      <c r="W31" s="1417">
        <v>69.0</v>
      </c>
      <c r="X31" s="1417">
        <v>100.0</v>
      </c>
      <c r="Y31" s="1416">
        <v>68.10856698611215</v>
      </c>
      <c r="Z31" s="1479">
        <v>7.257475083056478E7</v>
      </c>
      <c r="AA31" s="1417"/>
    </row>
    <row r="32">
      <c r="A32" s="1404"/>
      <c r="B32" s="1410"/>
      <c r="C32" s="1470"/>
      <c r="D32" s="1484">
        <f t="shared" si="2"/>
        <v>1489.878746</v>
      </c>
      <c r="E32" s="1471"/>
      <c r="F32" s="1446" t="str">
        <f>IFERROR(__xludf.DUMMYFUNCTION("""COMPUTED_VALUE"""),"Intro Sprint Mastery")</f>
        <v>Intro Sprint Mastery</v>
      </c>
      <c r="G32" s="1448">
        <f>IFERROR(__xludf.DUMMYFUNCTION("""COMPUTED_VALUE"""),35.74696865705788)</f>
        <v>35.74696866</v>
      </c>
      <c r="H32" s="1449" t="str">
        <f t="shared" si="3"/>
        <v>35d 17h 55m</v>
      </c>
      <c r="I32" s="1489">
        <f>IFERROR(__xludf.DUMMYFUNCTION("""COMPUTED_VALUE"""),4.152823920265781E16)</f>
        <v>4.15282E+16</v>
      </c>
      <c r="J32" s="1449" t="str">
        <f t="shared" si="4"/>
        <v>41.53 q</v>
      </c>
      <c r="K32" s="1492">
        <f t="array" ref="K32">IFERROR(LET(
  Labspeed, IF(F32="Labs Speed", 1+'Master Sheet'!$BK$5, LAB_SPEED_TOTAL()),
  Lab, MATCH(IF(ISNUMBER(SEARCH("Mastery", $F32)), "Card Mastery", $F32), DVT_Laboratory!B$1:AA$1, 0)-1,
  Offset, OFFSET(DVT_Laboratory!B$3, 0, Lab, 100, 1),
SUM(TIME_TO_RUSH_GEMS(
    XLOOKUP(INDEX($W$5:$W201, MATCH(F32, $V$5:$V201, 0))+1, SEQUENCE(100, 1, 1, 1), Offset, "N/F", 0, 1):
    XLOOKUP(INDEX($X$5:$X201, MATCH(F32, $V$5:$V201, 0)), SEQUENCE(100, 1, 1, 1), Offset, "N/F", 0, 1)/Labspeed, IDS_LAB_GODLBOXED_COUNT()))),"")</f>
        <v>10365</v>
      </c>
      <c r="L32" s="1492">
        <f t="array" ref="L32">IFERROR(LET(
  Labspeed, IF(F32="Labs Speed", 1+'Master Sheet'!$BK$5, LAB_SPEED_TOTAL()),
  Lab, MATCH(IF(ISNUMBER(SEARCH("Mastery", $F32)), "Card Mastery", $F32), DVT_Laboratory!B$1:AA$1, 0)-1,
  Offset, OFFSET(DVT_Laboratory!B$3, 0, Lab, 100, 1),
K32-SUM(TIME_TO_RUSH_GEMS(
    XLOOKUP(INDEX($W$5:$W201, MATCH(F32, $V$5:$V201, 0))+1, SEQUENCE(100, 1, 1, 1), Offset, "N/F", 0, 1):
    XLOOKUP(INDEX($X$5:$X201, MATCH(F32, $V$5:$V201, 0)), SEQUENCE(100, 1, 1, 1), Offset, "N/F", 0, 1)/Labspeed, IDS_LAB_GODLBOXED_COUNT()+1))),"")</f>
        <v>90</v>
      </c>
      <c r="M32" s="1423" t="str">
        <f t="shared" si="5"/>
        <v>472d 13h 40m</v>
      </c>
      <c r="N32" s="1431"/>
      <c r="O32" s="1431"/>
      <c r="P32" s="1431"/>
      <c r="Q32" s="1438" t="str">
        <f>IFERROR(__xludf.DUMMYFUNCTION("""COMPUTED_VALUE"""),"T4 300")</f>
        <v>T4 300</v>
      </c>
      <c r="R32" s="1477"/>
      <c r="S32" s="1506" t="s">
        <v>304</v>
      </c>
      <c r="T32" s="1507" t="b">
        <f t="shared" si="8"/>
        <v>0</v>
      </c>
      <c r="U32" s="1438"/>
      <c r="V32" s="1443" t="str">
        <f>IFERROR(__xludf.DUMMYFUNCTION("""COMPUTED_VALUE"""),"Damage / Meter")</f>
        <v>Damage / Meter</v>
      </c>
      <c r="W32" s="1417">
        <v>16.0</v>
      </c>
      <c r="X32" s="1417">
        <v>99.0</v>
      </c>
      <c r="Y32" s="1416">
        <v>91.63400011580254</v>
      </c>
      <c r="Z32" s="1479">
        <v>9.267792358803988E7</v>
      </c>
      <c r="AA32" s="1417"/>
    </row>
    <row r="33">
      <c r="A33" s="1404"/>
      <c r="B33" s="1410"/>
      <c r="C33" s="1470"/>
      <c r="D33" s="1484">
        <f t="shared" si="2"/>
        <v>1544.083272</v>
      </c>
      <c r="E33" s="1471"/>
      <c r="F33" s="1446" t="str">
        <f>IFERROR(__xludf.DUMMYFUNCTION("""COMPUTED_VALUE"""),"Wall Fortification")</f>
        <v>Wall Fortification</v>
      </c>
      <c r="G33" s="1448">
        <f>IFERROR(__xludf.DUMMYFUNCTION("""COMPUTED_VALUE"""),37.10208180930619)</f>
        <v>37.10208181</v>
      </c>
      <c r="H33" s="1449" t="str">
        <f t="shared" si="3"/>
        <v>37d  2h 27m</v>
      </c>
      <c r="I33" s="1489">
        <f>IFERROR(__xludf.DUMMYFUNCTION("""COMPUTED_VALUE"""),8.480897009966778E13)</f>
        <v>84808970099668</v>
      </c>
      <c r="J33" s="1449" t="str">
        <f t="shared" si="4"/>
        <v>84.81 T</v>
      </c>
      <c r="K33" s="1492">
        <f t="array" ref="K33">IFERROR(LET(
  Labspeed, IF(F33="Labs Speed", 1+'Master Sheet'!$BK$5, LAB_SPEED_TOTAL()),
  Lab, MATCH(IF(ISNUMBER(SEARCH("Mastery", $F33)), "Card Mastery", $F33), DVT_Laboratory!B$1:AA$1, 0)-1,
  Offset, OFFSET(DVT_Laboratory!B$3, 0, Lab, 100, 1),
SUM(TIME_TO_RUSH_GEMS(
    XLOOKUP(INDEX($W$5:$W201, MATCH(F33, $V$5:$V201, 0))+1, SEQUENCE(100, 1, 1, 1), Offset, "N/F", 0, 1):
    XLOOKUP(INDEX($X$5:$X201, MATCH(F33, $V$5:$V201, 0)), SEQUENCE(100, 1, 1, 1), Offset, "N/F", 0, 1)/Labspeed, IDS_LAB_GODLBOXED_COUNT()))),"")</f>
        <v>11265</v>
      </c>
      <c r="L33" s="1492">
        <f t="array" ref="L33">IFERROR(LET(
  Labspeed, IF(F33="Labs Speed", 1+'Master Sheet'!$BK$5, LAB_SPEED_TOTAL()),
  Lab, MATCH(IF(ISNUMBER(SEARCH("Mastery", $F33)), "Card Mastery", $F33), DVT_Laboratory!B$1:AA$1, 0)-1,
  Offset, OFFSET(DVT_Laboratory!B$3, 0, Lab, 100, 1),
K33-SUM(TIME_TO_RUSH_GEMS(
    XLOOKUP(INDEX($W$5:$W201, MATCH(F33, $V$5:$V201, 0))+1, SEQUENCE(100, 1, 1, 1), Offset, "N/F", 0, 1):
    XLOOKUP(INDEX($X$5:$X201, MATCH(F33, $V$5:$V201, 0)), SEQUENCE(100, 1, 1, 1), Offset, "N/F", 0, 1)/Labspeed, IDS_LAB_GODLBOXED_COUNT()+1))),"")</f>
        <v>98</v>
      </c>
      <c r="M33" s="1423" t="str">
        <f t="shared" si="5"/>
        <v>509d 16h  7m</v>
      </c>
      <c r="N33" s="1431"/>
      <c r="O33" s="1431"/>
      <c r="P33" s="1431"/>
      <c r="Q33" s="1438" t="str">
        <f>IFERROR(__xludf.DUMMYFUNCTION("""COMPUTED_VALUE"""),"T5 30")</f>
        <v>T5 30</v>
      </c>
      <c r="R33" s="1477"/>
      <c r="S33" s="1506" t="s">
        <v>311</v>
      </c>
      <c r="T33" s="1507" t="b">
        <f t="shared" si="8"/>
        <v>1</v>
      </c>
      <c r="U33" s="1438"/>
      <c r="V33" s="1443" t="str">
        <f>IFERROR(__xludf.DUMMYFUNCTION("""COMPUTED_VALUE"""),"Death Wave Armor Stripping")</f>
        <v>Death Wave Armor Stripping</v>
      </c>
      <c r="W33" s="1417">
        <v>0.0</v>
      </c>
      <c r="X33" s="1417">
        <v>10.0</v>
      </c>
      <c r="Y33" s="1416">
        <v>18.00164971524818</v>
      </c>
      <c r="Z33" s="1479">
        <v>2.2087313122923588E14</v>
      </c>
      <c r="AA33" s="1417"/>
    </row>
    <row r="34">
      <c r="A34" s="1404"/>
      <c r="B34" s="1410"/>
      <c r="C34" s="1470"/>
      <c r="D34" s="1484">
        <f t="shared" si="2"/>
        <v>1615.747883</v>
      </c>
      <c r="E34" s="1471"/>
      <c r="F34" s="1446" t="str">
        <f>IFERROR(__xludf.DUMMYFUNCTION("""COMPUTED_VALUE"""),"Gold Bot - Duration")</f>
        <v>Gold Bot - Duration</v>
      </c>
      <c r="G34" s="1448">
        <f>IFERROR(__xludf.DUMMYFUNCTION("""COMPUTED_VALUE"""),38.893697076833554)</f>
        <v>38.89369708</v>
      </c>
      <c r="H34" s="1449" t="str">
        <f t="shared" si="3"/>
        <v>38d 21h 26m</v>
      </c>
      <c r="I34" s="1489">
        <f>IFERROR(__xludf.DUMMYFUNCTION("""COMPUTED_VALUE"""),5.3080564784053156E14)</f>
        <v>530805647840532</v>
      </c>
      <c r="J34" s="1449" t="str">
        <f t="shared" si="4"/>
        <v>530.81 T</v>
      </c>
      <c r="K34" s="1505">
        <f t="array" ref="K34">IFERROR(LET(
  Labspeed, IF(F34="Labs Speed", 1+'Master Sheet'!$BK$5, LAB_SPEED_TOTAL()),
  Lab, MATCH(IF(ISNUMBER(SEARCH("Mastery", $F34)), "Card Mastery", $F34), DVT_Laboratory!B$1:AA$1, 0)-1,
  Offset, OFFSET(DVT_Laboratory!B$3, 0, Lab, 100, 1),
SUM(TIME_TO_RUSH_GEMS(
    XLOOKUP(INDEX($W$5:$W201, MATCH(F34, $V$5:$V201, 0))+1, SEQUENCE(100, 1, 1, 1), Offset, "N/F", 0, 1):
    XLOOKUP(INDEX($X$5:$X201, MATCH(F34, $V$5:$V201, 0)), SEQUENCE(100, 1, 1, 1), Offset, "N/F", 0, 1)/Labspeed, IDS_LAB_GODLBOXED_COUNT()))),"")</f>
        <v>11071</v>
      </c>
      <c r="L34" s="1505">
        <f t="array" ref="L34">IFERROR(LET(
  Labspeed, IF(F34="Labs Speed", 1+'Master Sheet'!$BK$5, LAB_SPEED_TOTAL()),
  Lab, MATCH(IF(ISNUMBER(SEARCH("Mastery", $F34)), "Card Mastery", $F34), DVT_Laboratory!B$1:AA$1, 0)-1,
  Offset, OFFSET(DVT_Laboratory!B$3, 0, Lab, 100, 1),
K34-SUM(TIME_TO_RUSH_GEMS(
    XLOOKUP(INDEX($W$5:$W201, MATCH(F34, $V$5:$V201, 0))+1, SEQUENCE(100, 1, 1, 1), Offset, "N/F", 0, 1):
    XLOOKUP(INDEX($X$5:$X201, MATCH(F34, $V$5:$V201, 0)), SEQUENCE(100, 1, 1, 1), Offset, "N/F", 0, 1)/Labspeed, IDS_LAB_GODLBOXED_COUNT()+1))),"")</f>
        <v>97</v>
      </c>
      <c r="M34" s="1423" t="str">
        <f t="shared" si="5"/>
        <v>548d 13h 34m</v>
      </c>
      <c r="N34" s="1431"/>
      <c r="O34" s="1431"/>
      <c r="P34" s="1431"/>
      <c r="Q34" s="1438" t="str">
        <f>IFERROR(__xludf.DUMMYFUNCTION("""COMPUTED_VALUE"""),"T5 40")</f>
        <v>T5 40</v>
      </c>
      <c r="R34" s="1477"/>
      <c r="S34" s="1506" t="s">
        <v>318</v>
      </c>
      <c r="T34" s="1507" t="b">
        <f t="shared" si="8"/>
        <v>0</v>
      </c>
      <c r="U34" s="1438"/>
      <c r="V34" s="1443" t="str">
        <f>IFERROR(__xludf.DUMMYFUNCTION("""COMPUTED_VALUE"""),"Death Wave Damage Amplifier")</f>
        <v>Death Wave Damage Amplifier</v>
      </c>
      <c r="W34" s="1417">
        <v>2.0</v>
      </c>
      <c r="X34" s="1417">
        <v>30.0</v>
      </c>
      <c r="Y34" s="1416">
        <v>126.70721858691734</v>
      </c>
      <c r="Z34" s="1479">
        <v>3.1847255502491696E16</v>
      </c>
      <c r="AA34" s="1417"/>
    </row>
    <row r="35">
      <c r="A35" s="1404"/>
      <c r="B35" s="1410"/>
      <c r="C35" s="1470"/>
      <c r="D35" s="1484">
        <f t="shared" si="2"/>
        <v>1627.570774</v>
      </c>
      <c r="E35" s="1471"/>
      <c r="F35" s="1446" t="str">
        <f>IFERROR(__xludf.DUMMYFUNCTION("""COMPUTED_VALUE"""),"Core Effect Bans")</f>
        <v>Core Effect Bans</v>
      </c>
      <c r="G35" s="1448">
        <f>IFERROR(__xludf.DUMMYFUNCTION("""COMPUTED_VALUE"""),39.189269342552336)</f>
        <v>39.18926934</v>
      </c>
      <c r="H35" s="1449" t="str">
        <f t="shared" si="3"/>
        <v>39d  4h 32m</v>
      </c>
      <c r="I35" s="1489">
        <f>IFERROR(__xludf.DUMMYFUNCTION("""COMPUTED_VALUE"""),4.609634551495017E17)</f>
        <v>4.60963E+17</v>
      </c>
      <c r="J35" s="1449" t="str">
        <f t="shared" si="4"/>
        <v>460.96 q</v>
      </c>
      <c r="K35" s="1496">
        <f t="array" ref="K35">IFERROR(LET(
  Labspeed, IF(F35="Labs Speed", 1+'Master Sheet'!$BK$5, LAB_SPEED_TOTAL()),
  Lab, MATCH(IF(ISNUMBER(SEARCH("Mastery", $F35)), "Card Mastery", $F35), DVT_Laboratory!B$1:AA$1, 0)-1,
  Offset, OFFSET(DVT_Laboratory!B$3, 0, Lab, 100, 1),
SUM(TIME_TO_RUSH_GEMS(
    XLOOKUP(INDEX($W$5:$W201, MATCH(F35, $V$5:$V201, 0))+1, SEQUENCE(100, 1, 1, 1), Offset, "N/F", 0, 1):
    XLOOKUP(INDEX($X$5:$X201, MATCH(F35, $V$5:$V201, 0)), SEQUENCE(100, 1, 1, 1), Offset, "N/F", 0, 1)/Labspeed, IDS_LAB_GODLBOXED_COUNT()))),"")</f>
        <v>9072</v>
      </c>
      <c r="L35" s="1496">
        <f t="array" ref="L35">IFERROR(LET(
  Labspeed, IF(F35="Labs Speed", 1+'Master Sheet'!$BK$5, LAB_SPEED_TOTAL()),
  Lab, MATCH(IF(ISNUMBER(SEARCH("Mastery", $F35)), "Card Mastery", $F35), DVT_Laboratory!B$1:AA$1, 0)-1,
  Offset, OFFSET(DVT_Laboratory!B$3, 0, Lab, 100, 1),
K35-SUM(TIME_TO_RUSH_GEMS(
    XLOOKUP(INDEX($W$5:$W201, MATCH(F35, $V$5:$V201, 0))+1, SEQUENCE(100, 1, 1, 1), Offset, "N/F", 0, 1):
    XLOOKUP(INDEX($X$5:$X201, MATCH(F35, $V$5:$V201, 0)), SEQUENCE(100, 1, 1, 1), Offset, "N/F", 0, 1)/Labspeed, IDS_LAB_GODLBOXED_COUNT()+1))),"")</f>
        <v>78</v>
      </c>
      <c r="M35" s="1423" t="str">
        <f t="shared" si="5"/>
        <v>587d 18h  7m</v>
      </c>
      <c r="N35" s="1431"/>
      <c r="O35" s="1431"/>
      <c r="P35" s="1431"/>
      <c r="Q35" s="1438" t="str">
        <f>IFERROR(__xludf.DUMMYFUNCTION("""COMPUTED_VALUE"""),"T5 60")</f>
        <v>T5 60</v>
      </c>
      <c r="R35" s="1477"/>
      <c r="S35" s="1506" t="s">
        <v>324</v>
      </c>
      <c r="T35" s="1507" t="b">
        <f t="shared" si="8"/>
        <v>0</v>
      </c>
      <c r="U35" s="1438"/>
      <c r="V35" s="1443" t="str">
        <f>IFERROR(__xludf.DUMMYFUNCTION("""COMPUTED_VALUE"""),"Defense %")</f>
        <v>Defense %</v>
      </c>
      <c r="W35" s="1417">
        <v>28.0</v>
      </c>
      <c r="X35" s="1417">
        <v>50.0</v>
      </c>
      <c r="Y35" s="1416">
        <v>215.0689890015845</v>
      </c>
      <c r="Z35" s="1479">
        <v>4.674887873754153E10</v>
      </c>
      <c r="AA35" s="1417"/>
    </row>
    <row r="36">
      <c r="A36" s="1404"/>
      <c r="B36" s="1410"/>
      <c r="C36" s="1470"/>
      <c r="D36" s="1484">
        <f t="shared" si="2"/>
        <v>1716.112043</v>
      </c>
      <c r="E36" s="1471"/>
      <c r="F36" s="1446" t="str">
        <f>IFERROR(__xludf.DUMMYFUNCTION("""COMPUTED_VALUE"""),"Critical Factor")</f>
        <v>Critical Factor</v>
      </c>
      <c r="G36" s="1448">
        <f>IFERROR(__xludf.DUMMYFUNCTION("""COMPUTED_VALUE"""),41.402801079505494)</f>
        <v>41.40280108</v>
      </c>
      <c r="H36" s="1449" t="str">
        <f t="shared" si="3"/>
        <v>41d  9h 40m</v>
      </c>
      <c r="I36" s="1489">
        <f>IFERROR(__xludf.DUMMYFUNCTION("""COMPUTED_VALUE"""),4.50249169435216E7)</f>
        <v>45024916.94</v>
      </c>
      <c r="J36" s="1449" t="str">
        <f t="shared" si="4"/>
        <v>45.02 M</v>
      </c>
      <c r="K36" s="1487">
        <f t="array" ref="K36">IFERROR(LET(
  Labspeed, IF(F36="Labs Speed", 1+'Master Sheet'!$BK$5, LAB_SPEED_TOTAL()),
  Lab, MATCH(IF(ISNUMBER(SEARCH("Mastery", $F36)), "Card Mastery", $F36), DVT_Laboratory!B$1:AA$1, 0)-1,
  Offset, OFFSET(DVT_Laboratory!B$3, 0, Lab, 100, 1),
SUM(TIME_TO_RUSH_GEMS(
    XLOOKUP(INDEX($W$5:$W201, MATCH(F36, $V$5:$V201, 0))+1, SEQUENCE(100, 1, 1, 1), Offset, "N/F", 0, 1):
    XLOOKUP(INDEX($X$5:$X201, MATCH(F36, $V$5:$V201, 0)), SEQUENCE(100, 1, 1, 1), Offset, "N/F", 0, 1)/Labspeed, IDS_LAB_GODLBOXED_COUNT()))),"")</f>
        <v>12768</v>
      </c>
      <c r="L36" s="1487">
        <f t="array" ref="L36">IFERROR(LET(
  Labspeed, IF(F36="Labs Speed", 1+'Master Sheet'!$BK$5, LAB_SPEED_TOTAL()),
  Lab, MATCH(IF(ISNUMBER(SEARCH("Mastery", $F36)), "Card Mastery", $F36), DVT_Laboratory!B$1:AA$1, 0)-1,
  Offset, OFFSET(DVT_Laboratory!B$3, 0, Lab, 100, 1),
K36-SUM(TIME_TO_RUSH_GEMS(
    XLOOKUP(INDEX($W$5:$W201, MATCH(F36, $V$5:$V201, 0))+1, SEQUENCE(100, 1, 1, 1), Offset, "N/F", 0, 1):
    XLOOKUP(INDEX($X$5:$X201, MATCH(F36, $V$5:$V201, 0)), SEQUENCE(100, 1, 1, 1), Offset, "N/F", 0, 1)/Labspeed, IDS_LAB_GODLBOXED_COUNT()+1))),"")</f>
        <v>111</v>
      </c>
      <c r="M36" s="1423" t="str">
        <f t="shared" si="5"/>
        <v>629d  3h 47m</v>
      </c>
      <c r="N36" s="1431"/>
      <c r="O36" s="1431"/>
      <c r="P36" s="1431"/>
      <c r="Q36" s="1438" t="str">
        <f>IFERROR(__xludf.DUMMYFUNCTION("""COMPUTED_VALUE"""),"T5 70")</f>
        <v>T5 70</v>
      </c>
      <c r="R36" s="1477"/>
      <c r="S36" s="1506" t="s">
        <v>329</v>
      </c>
      <c r="T36" s="1507" t="b">
        <f t="shared" si="8"/>
        <v>0</v>
      </c>
      <c r="U36" s="1438"/>
      <c r="V36" s="1443" t="str">
        <f>IFERROR(__xludf.DUMMYFUNCTION("""COMPUTED_VALUE"""),"Defense Absolute")</f>
        <v>Defense Absolute</v>
      </c>
      <c r="W36" s="1417">
        <v>14.0</v>
      </c>
      <c r="X36" s="1417">
        <v>100.0</v>
      </c>
      <c r="Y36" s="1416">
        <v>94.89624199620961</v>
      </c>
      <c r="Z36" s="1479">
        <v>9.629445182724252E7</v>
      </c>
      <c r="AA36" s="1417"/>
    </row>
    <row r="37">
      <c r="A37" s="1404"/>
      <c r="B37" s="1410"/>
      <c r="C37" s="1470"/>
      <c r="D37" s="1484">
        <f t="shared" si="2"/>
        <v>1751.437109</v>
      </c>
      <c r="E37" s="1471"/>
      <c r="F37" s="1446" t="str">
        <f>IFERROR(__xludf.DUMMYFUNCTION("""COMPUTED_VALUE"""),"Range")</f>
        <v>Range</v>
      </c>
      <c r="G37" s="1448">
        <f>IFERROR(__xludf.DUMMYFUNCTION("""COMPUTED_VALUE"""),42.28592773357511)</f>
        <v>42.28592773</v>
      </c>
      <c r="H37" s="1449" t="str">
        <f t="shared" si="3"/>
        <v>42d  6h 51m</v>
      </c>
      <c r="I37" s="1489">
        <f>IFERROR(__xludf.DUMMYFUNCTION("""COMPUTED_VALUE"""),4.0097134551495016E7)</f>
        <v>40097134.55</v>
      </c>
      <c r="J37" s="1449" t="str">
        <f t="shared" si="4"/>
        <v>40.1 M</v>
      </c>
      <c r="K37" s="1487">
        <f t="array" ref="K37">IFERROR(LET(
  Labspeed, IF(F37="Labs Speed", 1+'Master Sheet'!$BK$5, LAB_SPEED_TOTAL()),
  Lab, MATCH(IF(ISNUMBER(SEARCH("Mastery", $F37)), "Card Mastery", $F37), DVT_Laboratory!B$1:AA$1, 0)-1,
  Offset, OFFSET(DVT_Laboratory!B$3, 0, Lab, 100, 1),
SUM(TIME_TO_RUSH_GEMS(
    XLOOKUP(INDEX($W$5:$W201, MATCH(F37, $V$5:$V201, 0))+1, SEQUENCE(100, 1, 1, 1), Offset, "N/F", 0, 1):
    XLOOKUP(INDEX($X$5:$X201, MATCH(F37, $V$5:$V201, 0)), SEQUENCE(100, 1, 1, 1), Offset, "N/F", 0, 1)/Labspeed, IDS_LAB_GODLBOXED_COUNT()))),"")</f>
        <v>14372</v>
      </c>
      <c r="L37" s="1487">
        <f t="array" ref="L37">IFERROR(LET(
  Labspeed, IF(F37="Labs Speed", 1+'Master Sheet'!$BK$5, LAB_SPEED_TOTAL()),
  Lab, MATCH(IF(ISNUMBER(SEARCH("Mastery", $F37)), "Card Mastery", $F37), DVT_Laboratory!B$1:AA$1, 0)-1,
  Offset, OFFSET(DVT_Laboratory!B$3, 0, Lab, 100, 1),
K37-SUM(TIME_TO_RUSH_GEMS(
    XLOOKUP(INDEX($W$5:$W201, MATCH(F37, $V$5:$V201, 0))+1, SEQUENCE(100, 1, 1, 1), Offset, "N/F", 0, 1):
    XLOOKUP(INDEX($X$5:$X201, MATCH(F37, $V$5:$V201, 0)), SEQUENCE(100, 1, 1, 1), Offset, "N/F", 0, 1)/Labspeed, IDS_LAB_GODLBOXED_COUNT()+1))),"")</f>
        <v>124</v>
      </c>
      <c r="M37" s="1423" t="str">
        <f t="shared" si="5"/>
        <v>671d 10h 39m</v>
      </c>
      <c r="N37" s="1431"/>
      <c r="O37" s="1431"/>
      <c r="P37" s="1431"/>
      <c r="Q37" s="1438" t="str">
        <f>IFERROR(__xludf.DUMMYFUNCTION("""COMPUTED_VALUE"""),"T5 80")</f>
        <v>T5 80</v>
      </c>
      <c r="R37" s="1477"/>
      <c r="S37" s="1506" t="s">
        <v>334</v>
      </c>
      <c r="T37" s="1507" t="b">
        <f t="shared" si="8"/>
        <v>0</v>
      </c>
      <c r="U37" s="1438"/>
      <c r="V37" s="1443" t="str">
        <f>IFERROR(__xludf.DUMMYFUNCTION("""COMPUTED_VALUE"""),"Double Death Ray")</f>
        <v>Double Death Ray</v>
      </c>
      <c r="W37" s="1417">
        <v>6.0</v>
      </c>
      <c r="X37" s="1417">
        <v>30.0</v>
      </c>
      <c r="Y37" s="1416">
        <v>56.335016000519694</v>
      </c>
      <c r="Z37" s="1479">
        <v>9.11140365448505E11</v>
      </c>
      <c r="AA37" s="1417"/>
    </row>
    <row r="38">
      <c r="A38" s="1404"/>
      <c r="B38" s="1410"/>
      <c r="C38" s="1470"/>
      <c r="D38" s="1484">
        <f t="shared" si="2"/>
        <v>1757.094839</v>
      </c>
      <c r="E38" s="1471"/>
      <c r="F38" s="1446" t="str">
        <f>IFERROR(__xludf.DUMMYFUNCTION("""COMPUTED_VALUE"""),"Chrono Field Reduction %")</f>
        <v>Chrono Field Reduction %</v>
      </c>
      <c r="G38" s="1448">
        <f>IFERROR(__xludf.DUMMYFUNCTION("""COMPUTED_VALUE"""),42.427370986100875)</f>
        <v>42.42737099</v>
      </c>
      <c r="H38" s="1449" t="str">
        <f t="shared" si="3"/>
        <v>42d 10h 15m</v>
      </c>
      <c r="I38" s="1489">
        <f>IFERROR(__xludf.DUMMYFUNCTION("""COMPUTED_VALUE"""),8.579734219269104E10)</f>
        <v>85797342193</v>
      </c>
      <c r="J38" s="1449" t="str">
        <f t="shared" si="4"/>
        <v>85.8 B</v>
      </c>
      <c r="K38" s="1502">
        <f t="array" ref="K38">IFERROR(LET(
  Labspeed, IF(F38="Labs Speed", 1+'Master Sheet'!$BK$5, LAB_SPEED_TOTAL()),
  Lab, MATCH(IF(ISNUMBER(SEARCH("Mastery", $F38)), "Card Mastery", $F38), DVT_Laboratory!B$1:AA$1, 0)-1,
  Offset, OFFSET(DVT_Laboratory!B$3, 0, Lab, 100, 1),
SUM(TIME_TO_RUSH_GEMS(
    XLOOKUP(INDEX($W$5:$W201, MATCH(F38, $V$5:$V201, 0))+1, SEQUENCE(100, 1, 1, 1), Offset, "N/F", 0, 1):
    XLOOKUP(INDEX($X$5:$X201, MATCH(F38, $V$5:$V201, 0)), SEQUENCE(100, 1, 1, 1), Offset, "N/F", 0, 1)/Labspeed, IDS_LAB_GODLBOXED_COUNT()))),"")</f>
        <v>12246</v>
      </c>
      <c r="L38" s="1502">
        <f t="array" ref="L38">IFERROR(LET(
  Labspeed, IF(F38="Labs Speed", 1+'Master Sheet'!$BK$5, LAB_SPEED_TOTAL()),
  Lab, MATCH(IF(ISNUMBER(SEARCH("Mastery", $F38)), "Card Mastery", $F38), DVT_Laboratory!B$1:AA$1, 0)-1,
  Offset, OFFSET(DVT_Laboratory!B$3, 0, Lab, 100, 1),
K38-SUM(TIME_TO_RUSH_GEMS(
    XLOOKUP(INDEX($W$5:$W201, MATCH(F38, $V$5:$V201, 0))+1, SEQUENCE(100, 1, 1, 1), Offset, "N/F", 0, 1):
    XLOOKUP(INDEX($X$5:$X201, MATCH(F38, $V$5:$V201, 0)), SEQUENCE(100, 1, 1, 1), Offset, "N/F", 0, 1)/Labspeed, IDS_LAB_GODLBOXED_COUNT()+1))),"")</f>
        <v>105</v>
      </c>
      <c r="M38" s="1423" t="str">
        <f t="shared" si="5"/>
        <v>713d 20h 54m</v>
      </c>
      <c r="N38" s="1431"/>
      <c r="O38" s="1431"/>
      <c r="P38" s="1431"/>
      <c r="Q38" s="1438" t="str">
        <f>IFERROR(__xludf.DUMMYFUNCTION("""COMPUTED_VALUE"""),"T5 90")</f>
        <v>T5 90</v>
      </c>
      <c r="R38" s="1477"/>
      <c r="S38" s="1506" t="s">
        <v>339</v>
      </c>
      <c r="T38" s="1507" t="b">
        <f t="shared" si="8"/>
        <v>0</v>
      </c>
      <c r="U38" s="1438"/>
      <c r="V38" s="1443" t="str">
        <f>IFERROR(__xludf.DUMMYFUNCTION("""COMPUTED_VALUE"""),"Fast Enemy Attack")</f>
        <v>Fast Enemy Attack</v>
      </c>
      <c r="W38" s="1417">
        <v>0.0</v>
      </c>
      <c r="X38" s="1417">
        <v>30.0</v>
      </c>
      <c r="Y38" s="1416">
        <v>78.54394564624869</v>
      </c>
      <c r="Z38" s="1479">
        <v>2.14021511627907E13</v>
      </c>
      <c r="AA38" s="1417"/>
    </row>
    <row r="39">
      <c r="A39" s="1404"/>
      <c r="B39" s="1410"/>
      <c r="C39" s="1470"/>
      <c r="D39" s="1484">
        <f t="shared" si="2"/>
        <v>1823.669853</v>
      </c>
      <c r="E39" s="1471"/>
      <c r="F39" s="1446" t="str">
        <f>IFERROR(__xludf.DUMMYFUNCTION("""COMPUTED_VALUE"""),"Labs Speed")</f>
        <v>Labs Speed</v>
      </c>
      <c r="G39" s="1448">
        <f>IFERROR(__xludf.DUMMYFUNCTION("""COMPUTED_VALUE"""),44.09174631620868)</f>
        <v>44.09174632</v>
      </c>
      <c r="H39" s="1449" t="str">
        <f t="shared" si="3"/>
        <v>44d  2h 12m</v>
      </c>
      <c r="I39" s="1489">
        <f>IFERROR(__xludf.DUMMYFUNCTION("""COMPUTED_VALUE"""),1.1512458471760798E8)</f>
        <v>115124584.7</v>
      </c>
      <c r="J39" s="1449" t="str">
        <f t="shared" si="4"/>
        <v>115.12 M</v>
      </c>
      <c r="K39" s="1502">
        <f t="array" ref="K39">IFERROR(LET(
  Labspeed, IF(F39="Labs Speed", 1+'Master Sheet'!$BK$5, LAB_SPEED_TOTAL()),
  Lab, MATCH(IF(ISNUMBER(SEARCH("Mastery", $F39)), "Card Mastery", $F39), DVT_Laboratory!B$1:AA$1, 0)-1,
  Offset, OFFSET(DVT_Laboratory!B$3, 0, Lab, 100, 1),
SUM(TIME_TO_RUSH_GEMS(
    XLOOKUP(INDEX($W$5:$W201, MATCH(F39, $V$5:$V201, 0))+1, SEQUENCE(100, 1, 1, 1), Offset, "N/F", 0, 1):
    XLOOKUP(INDEX($X$5:$X201, MATCH(F39, $V$5:$V201, 0)), SEQUENCE(100, 1, 1, 1), Offset, "N/F", 0, 1)/Labspeed, IDS_LAB_GODLBOXED_COUNT()))),"")</f>
        <v>12414</v>
      </c>
      <c r="L39" s="1502">
        <f t="array" ref="L39">IFERROR(LET(
  Labspeed, IF(F39="Labs Speed", 1+'Master Sheet'!$BK$5, LAB_SPEED_TOTAL()),
  Lab, MATCH(IF(ISNUMBER(SEARCH("Mastery", $F39)), "Card Mastery", $F39), DVT_Laboratory!B$1:AA$1, 0)-1,
  Offset, OFFSET(DVT_Laboratory!B$3, 0, Lab, 100, 1),
K39-SUM(TIME_TO_RUSH_GEMS(
    XLOOKUP(INDEX($W$5:$W201, MATCH(F39, $V$5:$V201, 0))+1, SEQUENCE(100, 1, 1, 1), Offset, "N/F", 0, 1):
    XLOOKUP(INDEX($X$5:$X201, MATCH(F39, $V$5:$V201, 0)), SEQUENCE(100, 1, 1, 1), Offset, "N/F", 0, 1)/Labspeed, IDS_LAB_GODLBOXED_COUNT()+1))),"")</f>
        <v>106</v>
      </c>
      <c r="M39" s="1423" t="str">
        <f t="shared" si="5"/>
        <v>757d 23h  6m</v>
      </c>
      <c r="N39" s="1431"/>
      <c r="O39" s="1431"/>
      <c r="P39" s="1431"/>
      <c r="Q39" s="1438" t="str">
        <f>IFERROR(__xludf.DUMMYFUNCTION("""COMPUTED_VALUE"""),"T5 150")</f>
        <v>T5 150</v>
      </c>
      <c r="R39" s="1477"/>
      <c r="S39" s="1506" t="s">
        <v>344</v>
      </c>
      <c r="T39" s="1507" t="b">
        <f t="shared" si="8"/>
        <v>0</v>
      </c>
      <c r="U39" s="1438"/>
      <c r="V39" s="1443" t="str">
        <f>IFERROR(__xludf.DUMMYFUNCTION("""COMPUTED_VALUE"""),"Fast Enemy Health")</f>
        <v>Fast Enemy Health</v>
      </c>
      <c r="W39" s="1417">
        <v>0.0</v>
      </c>
      <c r="X39" s="1417">
        <v>30.0</v>
      </c>
      <c r="Y39" s="1416">
        <v>78.54394564624869</v>
      </c>
      <c r="Z39" s="1479">
        <v>2.14021511627907E13</v>
      </c>
      <c r="AA39" s="1417"/>
    </row>
    <row r="40">
      <c r="A40" s="1404"/>
      <c r="B40" s="1410"/>
      <c r="C40" s="1470"/>
      <c r="D40" s="1484">
        <f t="shared" si="2"/>
        <v>2222.986406</v>
      </c>
      <c r="E40" s="1471"/>
      <c r="F40" s="1446" t="str">
        <f>IFERROR(__xludf.DUMMYFUNCTION("""COMPUTED_VALUE"""),"Shock Chance")</f>
        <v>Shock Chance</v>
      </c>
      <c r="G40" s="1448">
        <f>IFERROR(__xludf.DUMMYFUNCTION("""COMPUTED_VALUE"""),54.07466014783181)</f>
        <v>54.07466015</v>
      </c>
      <c r="H40" s="1449" t="str">
        <f t="shared" si="3"/>
        <v>54d  1h 47m</v>
      </c>
      <c r="I40" s="1489">
        <f>IFERROR(__xludf.DUMMYFUNCTION("""COMPUTED_VALUE"""),2.925249169435216E11)</f>
        <v>292524916944</v>
      </c>
      <c r="J40" s="1449" t="str">
        <f t="shared" si="4"/>
        <v>292.52 B</v>
      </c>
      <c r="K40" s="1499">
        <f t="array" ref="K40">IFERROR(LET(
  Labspeed, IF(F40="Labs Speed", 1+'Master Sheet'!$BK$5, LAB_SPEED_TOTAL()),
  Lab, MATCH(IF(ISNUMBER(SEARCH("Mastery", $F40)), "Card Mastery", $F40), DVT_Laboratory!B$1:AA$1, 0)-1,
  Offset, OFFSET(DVT_Laboratory!B$3, 0, Lab, 100, 1),
SUM(TIME_TO_RUSH_GEMS(
    XLOOKUP(INDEX($W$5:$W201, MATCH(F40, $V$5:$V201, 0))+1, SEQUENCE(100, 1, 1, 1), Offset, "N/F", 0, 1):
    XLOOKUP(INDEX($X$5:$X201, MATCH(F40, $V$5:$V201, 0)), SEQUENCE(100, 1, 1, 1), Offset, "N/F", 0, 1)/Labspeed, IDS_LAB_GODLBOXED_COUNT()))),"")</f>
        <v>15877</v>
      </c>
      <c r="L40" s="1499">
        <f t="array" ref="L40">IFERROR(LET(
  Labspeed, IF(F40="Labs Speed", 1+'Master Sheet'!$BK$5, LAB_SPEED_TOTAL()),
  Lab, MATCH(IF(ISNUMBER(SEARCH("Mastery", $F40)), "Card Mastery", $F40), DVT_Laboratory!B$1:AA$1, 0)-1,
  Offset, OFFSET(DVT_Laboratory!B$3, 0, Lab, 100, 1),
K40-SUM(TIME_TO_RUSH_GEMS(
    XLOOKUP(INDEX($W$5:$W201, MATCH(F40, $V$5:$V201, 0))+1, SEQUENCE(100, 1, 1, 1), Offset, "N/F", 0, 1):
    XLOOKUP(INDEX($X$5:$X201, MATCH(F40, $V$5:$V201, 0)), SEQUENCE(100, 1, 1, 1), Offset, "N/F", 0, 1)/Labspeed, IDS_LAB_GODLBOXED_COUNT()+1))),"")</f>
        <v>138</v>
      </c>
      <c r="M40" s="1423" t="str">
        <f t="shared" si="5"/>
        <v>812d  0h 54m</v>
      </c>
      <c r="N40" s="1431"/>
      <c r="O40" s="1431"/>
      <c r="P40" s="1431"/>
      <c r="Q40" s="1438" t="str">
        <f>IFERROR(__xludf.DUMMYFUNCTION("""COMPUTED_VALUE"""),"T5 200")</f>
        <v>T5 200</v>
      </c>
      <c r="R40" s="1477"/>
      <c r="S40" s="1506" t="s">
        <v>347</v>
      </c>
      <c r="T40" s="1507" t="b">
        <f t="shared" si="8"/>
        <v>0</v>
      </c>
      <c r="U40" s="1438"/>
      <c r="V40" s="1443" t="str">
        <f>IFERROR(__xludf.DUMMYFUNCTION("""COMPUTED_VALUE"""),"Fast Enemy Speed")</f>
        <v>Fast Enemy Speed</v>
      </c>
      <c r="W40" s="1417">
        <v>0.0</v>
      </c>
      <c r="X40" s="1417">
        <v>30.0</v>
      </c>
      <c r="Y40" s="1416">
        <v>79.4266309797176</v>
      </c>
      <c r="Z40" s="1479">
        <v>3.2987043189368773E13</v>
      </c>
      <c r="AA40" s="1417"/>
    </row>
    <row r="41">
      <c r="A41" s="1404"/>
      <c r="B41" s="1410"/>
      <c r="C41" s="1470"/>
      <c r="D41" s="1484">
        <f t="shared" si="2"/>
        <v>2260.973518</v>
      </c>
      <c r="E41" s="1471"/>
      <c r="F41" s="1446" t="str">
        <f>IFERROR(__xludf.DUMMYFUNCTION("""COMPUTED_VALUE"""),"Wall Thorns")</f>
        <v>Wall Thorns</v>
      </c>
      <c r="G41" s="1448">
        <f>IFERROR(__xludf.DUMMYFUNCTION("""COMPUTED_VALUE"""),55.02433794848764)</f>
        <v>55.02433795</v>
      </c>
      <c r="H41" s="1449" t="str">
        <f t="shared" si="3"/>
        <v>55d  0h 35m</v>
      </c>
      <c r="I41" s="1489">
        <f>IFERROR(__xludf.DUMMYFUNCTION("""COMPUTED_VALUE"""),7.578073089700997E11)</f>
        <v>757807308970</v>
      </c>
      <c r="J41" s="1449" t="str">
        <f t="shared" si="4"/>
        <v>757.81 B</v>
      </c>
      <c r="K41" s="1499">
        <f t="array" ref="K41">IFERROR(LET(
  Labspeed, IF(F41="Labs Speed", 1+'Master Sheet'!$BK$5, LAB_SPEED_TOTAL()),
  Lab, MATCH(IF(ISNUMBER(SEARCH("Mastery", $F41)), "Card Mastery", $F41), DVT_Laboratory!B$1:AA$1, 0)-1,
  Offset, OFFSET(DVT_Laboratory!B$3, 0, Lab, 100, 1),
SUM(TIME_TO_RUSH_GEMS(
    XLOOKUP(INDEX($W$5:$W201, MATCH(F41, $V$5:$V201, 0))+1, SEQUENCE(100, 1, 1, 1), Offset, "N/F", 0, 1):
    XLOOKUP(INDEX($X$5:$X201, MATCH(F41, $V$5:$V201, 0)), SEQUENCE(100, 1, 1, 1), Offset, "N/F", 0, 1)/Labspeed, IDS_LAB_GODLBOXED_COUNT()))),"")</f>
        <v>13241</v>
      </c>
      <c r="L41" s="1499">
        <f t="array" ref="L41">IFERROR(LET(
  Labspeed, IF(F41="Labs Speed", 1+'Master Sheet'!$BK$5, LAB_SPEED_TOTAL()),
  Lab, MATCH(IF(ISNUMBER(SEARCH("Mastery", $F41)), "Card Mastery", $F41), DVT_Laboratory!B$1:AA$1, 0)-1,
  Offset, OFFSET(DVT_Laboratory!B$3, 0, Lab, 100, 1),
K41-SUM(TIME_TO_RUSH_GEMS(
    XLOOKUP(INDEX($W$5:$W201, MATCH(F41, $V$5:$V201, 0))+1, SEQUENCE(100, 1, 1, 1), Offset, "N/F", 0, 1):
    XLOOKUP(INDEX($X$5:$X201, MATCH(F41, $V$5:$V201, 0)), SEQUENCE(100, 1, 1, 1), Offset, "N/F", 0, 1)/Labspeed, IDS_LAB_GODLBOXED_COUNT()+1))),"")</f>
        <v>115</v>
      </c>
      <c r="M41" s="1423" t="str">
        <f t="shared" si="5"/>
        <v>867d  1h 29m</v>
      </c>
      <c r="N41" s="1431"/>
      <c r="O41" s="1431"/>
      <c r="P41" s="1431"/>
      <c r="Q41" s="1438" t="str">
        <f>IFERROR(__xludf.DUMMYFUNCTION("""COMPUTED_VALUE"""),"T5 500")</f>
        <v>T5 500</v>
      </c>
      <c r="R41" s="1477"/>
      <c r="S41" s="1506" t="s">
        <v>349</v>
      </c>
      <c r="T41" s="1507" t="b">
        <f t="shared" si="8"/>
        <v>0</v>
      </c>
      <c r="U41" s="1438"/>
      <c r="V41" s="1443" t="str">
        <f>IFERROR(__xludf.DUMMYFUNCTION("""COMPUTED_VALUE"""),"Flame Bot - Burn Stack")</f>
        <v>Flame Bot - Burn Stack</v>
      </c>
      <c r="W41" s="1417">
        <v>0.0</v>
      </c>
      <c r="X41" s="1417">
        <v>5.0</v>
      </c>
      <c r="Y41" s="1416">
        <v>19.549372094933588</v>
      </c>
      <c r="Z41" s="1479">
        <v>4.7098837209302325E14</v>
      </c>
      <c r="AA41" s="1417"/>
    </row>
    <row r="42">
      <c r="A42" s="1404"/>
      <c r="B42" s="1410"/>
      <c r="C42" s="1470"/>
      <c r="D42" s="1484">
        <f t="shared" si="2"/>
        <v>2303.966971</v>
      </c>
      <c r="E42" s="1471"/>
      <c r="F42" s="1446" t="str">
        <f>IFERROR(__xludf.DUMMYFUNCTION("""COMPUTED_VALUE"""),"Attack Speed")</f>
        <v>Attack Speed</v>
      </c>
      <c r="G42" s="1448">
        <f>IFERROR(__xludf.DUMMYFUNCTION("""COMPUTED_VALUE"""),56.09917427150326)</f>
        <v>56.09917427</v>
      </c>
      <c r="H42" s="1449" t="str">
        <f t="shared" si="3"/>
        <v>56d  2h 22m</v>
      </c>
      <c r="I42" s="1489">
        <f>IFERROR(__xludf.DUMMYFUNCTION("""COMPUTED_VALUE"""),6.019102990033223E7)</f>
        <v>60191029.9</v>
      </c>
      <c r="J42" s="1449" t="str">
        <f t="shared" si="4"/>
        <v>60.19 M</v>
      </c>
      <c r="K42" s="1492">
        <f t="array" ref="K42">IFERROR(LET(
  Labspeed, IF(F42="Labs Speed", 1+'Master Sheet'!$BK$5, LAB_SPEED_TOTAL()),
  Lab, MATCH(IF(ISNUMBER(SEARCH("Mastery", $F42)), "Card Mastery", $F42), DVT_Laboratory!B$1:AA$1, 0)-1,
  Offset, OFFSET(DVT_Laboratory!B$3, 0, Lab, 100, 1),
SUM(TIME_TO_RUSH_GEMS(
    XLOOKUP(INDEX($W$5:$W201, MATCH(F42, $V$5:$V201, 0))+1, SEQUENCE(100, 1, 1, 1), Offset, "N/F", 0, 1):
    XLOOKUP(INDEX($X$5:$X201, MATCH(F42, $V$5:$V201, 0)), SEQUENCE(100, 1, 1, 1), Offset, "N/F", 0, 1)/Labspeed, IDS_LAB_GODLBOXED_COUNT()))),"")</f>
        <v>17593</v>
      </c>
      <c r="L42" s="1492">
        <f t="array" ref="L42">IFERROR(LET(
  Labspeed, IF(F42="Labs Speed", 1+'Master Sheet'!$BK$5, LAB_SPEED_TOTAL()),
  Lab, MATCH(IF(ISNUMBER(SEARCH("Mastery", $F42)), "Card Mastery", $F42), DVT_Laboratory!B$1:AA$1, 0)-1,
  Offset, OFFSET(DVT_Laboratory!B$3, 0, Lab, 100, 1),
K42-SUM(TIME_TO_RUSH_GEMS(
    XLOOKUP(INDEX($W$5:$W201, MATCH(F42, $V$5:$V201, 0))+1, SEQUENCE(100, 1, 1, 1), Offset, "N/F", 0, 1):
    XLOOKUP(INDEX($X$5:$X201, MATCH(F42, $V$5:$V201, 0)), SEQUENCE(100, 1, 1, 1), Offset, "N/F", 0, 1)/Labspeed, IDS_LAB_GODLBOXED_COUNT()+1))),"")</f>
        <v>154</v>
      </c>
      <c r="M42" s="1423" t="str">
        <f t="shared" si="5"/>
        <v>923d  3h 51m</v>
      </c>
      <c r="N42" s="1431"/>
      <c r="O42" s="1431"/>
      <c r="P42" s="1431"/>
      <c r="Q42" s="1438" t="str">
        <f>IFERROR(__xludf.DUMMYFUNCTION("""COMPUTED_VALUE"""),"T6 10")</f>
        <v>T6 10</v>
      </c>
      <c r="R42" s="1477"/>
      <c r="S42" s="1506" t="s">
        <v>351</v>
      </c>
      <c r="T42" s="1507" t="b">
        <f t="shared" si="8"/>
        <v>0</v>
      </c>
      <c r="U42" s="1438"/>
      <c r="V42" s="1443" t="str">
        <f>IFERROR(__xludf.DUMMYFUNCTION("""COMPUTED_VALUE"""),"Generator Effect Bans")</f>
        <v>Generator Effect Bans</v>
      </c>
      <c r="W42" s="1417">
        <v>1.0</v>
      </c>
      <c r="X42" s="1417">
        <v>3.0</v>
      </c>
      <c r="Y42" s="1416">
        <v>23.30172771719328</v>
      </c>
      <c r="Z42" s="1479">
        <v>4.194352159468438E16</v>
      </c>
      <c r="AA42" s="1417"/>
    </row>
    <row r="43">
      <c r="A43" s="1404"/>
      <c r="B43" s="1410"/>
      <c r="C43" s="1470"/>
      <c r="D43" s="1484">
        <f t="shared" si="2"/>
        <v>2313.40064</v>
      </c>
      <c r="E43" s="1471"/>
      <c r="F43" s="1446" t="str">
        <f>IFERROR(__xludf.DUMMYFUNCTION("""COMPUTED_VALUE"""),"Double Death Ray")</f>
        <v>Double Death Ray</v>
      </c>
      <c r="G43" s="1448">
        <f>IFERROR(__xludf.DUMMYFUNCTION("""COMPUTED_VALUE"""),56.335016000519694)</f>
        <v>56.335016</v>
      </c>
      <c r="H43" s="1449" t="str">
        <f t="shared" si="3"/>
        <v>56d  8h  2m</v>
      </c>
      <c r="I43" s="1489">
        <f>IFERROR(__xludf.DUMMYFUNCTION("""COMPUTED_VALUE"""),9.11140365448505E11)</f>
        <v>911140365449</v>
      </c>
      <c r="J43" s="1449" t="str">
        <f t="shared" si="4"/>
        <v>911.14 B</v>
      </c>
      <c r="K43" s="1492">
        <f t="array" ref="K43">IFERROR(LET(
  Labspeed, IF(F43="Labs Speed", 1+'Master Sheet'!$BK$5, LAB_SPEED_TOTAL()),
  Lab, MATCH(IF(ISNUMBER(SEARCH("Mastery", $F43)), "Card Mastery", $F43), DVT_Laboratory!B$1:AA$1, 0)-1,
  Offset, OFFSET(DVT_Laboratory!B$3, 0, Lab, 100, 1),
SUM(TIME_TO_RUSH_GEMS(
    XLOOKUP(INDEX($W$5:$W201, MATCH(F43, $V$5:$V201, 0))+1, SEQUENCE(100, 1, 1, 1), Offset, "N/F", 0, 1):
    XLOOKUP(INDEX($X$5:$X201, MATCH(F43, $V$5:$V201, 0)), SEQUENCE(100, 1, 1, 1), Offset, "N/F", 0, 1)/Labspeed, IDS_LAB_GODLBOXED_COUNT()))),"")</f>
        <v>16753</v>
      </c>
      <c r="L43" s="1492">
        <f t="array" ref="L43">IFERROR(LET(
  Labspeed, IF(F43="Labs Speed", 1+'Master Sheet'!$BK$5, LAB_SPEED_TOTAL()),
  Lab, MATCH(IF(ISNUMBER(SEARCH("Mastery", $F43)), "Card Mastery", $F43), DVT_Laboratory!B$1:AA$1, 0)-1,
  Offset, OFFSET(DVT_Laboratory!B$3, 0, Lab, 100, 1),
K43-SUM(TIME_TO_RUSH_GEMS(
    XLOOKUP(INDEX($W$5:$W201, MATCH(F43, $V$5:$V201, 0))+1, SEQUENCE(100, 1, 1, 1), Offset, "N/F", 0, 1):
    XLOOKUP(INDEX($X$5:$X201, MATCH(F43, $V$5:$V201, 0)), SEQUENCE(100, 1, 1, 1), Offset, "N/F", 0, 1)/Labspeed, IDS_LAB_GODLBOXED_COUNT()+1))),"")</f>
        <v>145</v>
      </c>
      <c r="M43" s="1423" t="str">
        <f t="shared" si="5"/>
        <v>979d 11h 54m</v>
      </c>
      <c r="N43" s="1431"/>
      <c r="O43" s="1431"/>
      <c r="P43" s="1431"/>
      <c r="Q43" s="1438" t="str">
        <f>IFERROR(__xludf.DUMMYFUNCTION("""COMPUTED_VALUE"""),"T6 30")</f>
        <v>T6 30</v>
      </c>
      <c r="R43" s="1477"/>
      <c r="S43" s="1506" t="s">
        <v>353</v>
      </c>
      <c r="T43" s="1507" t="b">
        <f t="shared" si="8"/>
        <v>0</v>
      </c>
      <c r="U43" s="1438"/>
      <c r="V43" s="1443" t="str">
        <f>IFERROR(__xludf.DUMMYFUNCTION("""COMPUTED_VALUE"""),"Gold Bot - Cooldown")</f>
        <v>Gold Bot - Cooldown</v>
      </c>
      <c r="W43" s="1417">
        <v>21.0</v>
      </c>
      <c r="X43" s="1417">
        <v>25.0</v>
      </c>
      <c r="Y43" s="1416">
        <v>17.76555422688633</v>
      </c>
      <c r="Z43" s="1479">
        <v>9.83936877076412E11</v>
      </c>
      <c r="AA43" s="1417"/>
    </row>
    <row r="44">
      <c r="A44" s="1404"/>
      <c r="B44" s="1410"/>
      <c r="C44" s="1470"/>
      <c r="D44" s="1484">
        <f t="shared" si="2"/>
        <v>2340.942576</v>
      </c>
      <c r="E44" s="1471"/>
      <c r="F44" s="1446" t="str">
        <f>IFERROR(__xludf.DUMMYFUNCTION("""COMPUTED_VALUE"""),"Super Tower Bonus")</f>
        <v>Super Tower Bonus</v>
      </c>
      <c r="G44" s="1448">
        <f>IFERROR(__xludf.DUMMYFUNCTION("""COMPUTED_VALUE"""),57.023564401738724)</f>
        <v>57.0235644</v>
      </c>
      <c r="H44" s="1449" t="str">
        <f t="shared" si="3"/>
        <v>57d  0h 33m</v>
      </c>
      <c r="I44" s="1489">
        <f>IFERROR(__xludf.DUMMYFUNCTION("""COMPUTED_VALUE"""),9.957898671096346E12)</f>
        <v>9957898671096</v>
      </c>
      <c r="J44" s="1449" t="str">
        <f t="shared" si="4"/>
        <v>9.96 T</v>
      </c>
      <c r="K44" s="1502">
        <f t="array" ref="K44">IFERROR(LET(
  Labspeed, IF(F44="Labs Speed", 1+'Master Sheet'!$BK$5, LAB_SPEED_TOTAL()),
  Lab, MATCH(IF(ISNUMBER(SEARCH("Mastery", $F44)), "Card Mastery", $F44), DVT_Laboratory!B$1:AA$1, 0)-1,
  Offset, OFFSET(DVT_Laboratory!B$3, 0, Lab, 100, 1),
SUM(TIME_TO_RUSH_GEMS(
    XLOOKUP(INDEX($W$5:$W201, MATCH(F44, $V$5:$V201, 0))+1, SEQUENCE(100, 1, 1, 1), Offset, "N/F", 0, 1):
    XLOOKUP(INDEX($X$5:$X201, MATCH(F44, $V$5:$V201, 0)), SEQUENCE(100, 1, 1, 1), Offset, "N/F", 0, 1)/Labspeed, IDS_LAB_GODLBOXED_COUNT()))),"")</f>
        <v>16999</v>
      </c>
      <c r="L44" s="1502">
        <f t="array" ref="L44">IFERROR(LET(
  Labspeed, IF(F44="Labs Speed", 1+'Master Sheet'!$BK$5, LAB_SPEED_TOTAL()),
  Lab, MATCH(IF(ISNUMBER(SEARCH("Mastery", $F44)), "Card Mastery", $F44), DVT_Laboratory!B$1:AA$1, 0)-1,
  Offset, OFFSET(DVT_Laboratory!B$3, 0, Lab, 100, 1),
K44-SUM(TIME_TO_RUSH_GEMS(
    XLOOKUP(INDEX($W$5:$W201, MATCH(F44, $V$5:$V201, 0))+1, SEQUENCE(100, 1, 1, 1), Offset, "N/F", 0, 1):
    XLOOKUP(INDEX($X$5:$X201, MATCH(F44, $V$5:$V201, 0)), SEQUENCE(100, 1, 1, 1), Offset, "N/F", 0, 1)/Labspeed, IDS_LAB_GODLBOXED_COUNT()+1))),"")</f>
        <v>145</v>
      </c>
      <c r="M44" s="1423" t="str">
        <f t="shared" si="5"/>
        <v>1036d 12h 28m</v>
      </c>
      <c r="N44" s="1431"/>
      <c r="O44" s="1431"/>
      <c r="P44" s="1431"/>
      <c r="Q44" s="1438" t="str">
        <f>IFERROR(__xludf.DUMMYFUNCTION("""COMPUTED_VALUE"""),"T6 50")</f>
        <v>T6 50</v>
      </c>
      <c r="R44" s="1477"/>
      <c r="S44" s="1506" t="s">
        <v>355</v>
      </c>
      <c r="T44" s="1507" t="b">
        <f t="shared" si="8"/>
        <v>0</v>
      </c>
      <c r="U44" s="1438"/>
      <c r="V44" s="1443" t="str">
        <f>IFERROR(__xludf.DUMMYFUNCTION("""COMPUTED_VALUE"""),"Gold Bot - Duration")</f>
        <v>Gold Bot - Duration</v>
      </c>
      <c r="W44" s="1417">
        <v>12.0</v>
      </c>
      <c r="X44" s="1417">
        <v>20.0</v>
      </c>
      <c r="Y44" s="1416">
        <v>38.893697076833554</v>
      </c>
      <c r="Z44" s="1479">
        <v>5.3080564784053156E14</v>
      </c>
      <c r="AA44" s="1417"/>
    </row>
    <row r="45">
      <c r="A45" s="1404"/>
      <c r="B45" s="1410"/>
      <c r="C45" s="1470"/>
      <c r="D45" s="1484">
        <f t="shared" si="2"/>
        <v>2390.172772</v>
      </c>
      <c r="E45" s="1471"/>
      <c r="F45" s="1446" t="str">
        <f>IFERROR(__xludf.DUMMYFUNCTION("""COMPUTED_VALUE"""),"Battle Condition Reduction")</f>
        <v>Battle Condition Reduction</v>
      </c>
      <c r="G45" s="1448">
        <f>IFERROR(__xludf.DUMMYFUNCTION("""COMPUTED_VALUE"""),58.254319292983205)</f>
        <v>58.25431929</v>
      </c>
      <c r="H45" s="1449" t="str">
        <f t="shared" si="3"/>
        <v>58d  6h  6m</v>
      </c>
      <c r="I45" s="1489">
        <f>IFERROR(__xludf.DUMMYFUNCTION("""COMPUTED_VALUE"""),1.0361295681063123E18)</f>
        <v>1.03613E+18</v>
      </c>
      <c r="J45" s="1449" t="str">
        <f t="shared" si="4"/>
        <v>1.04 Q</v>
      </c>
      <c r="K45" s="1502">
        <f t="array" ref="K45">IFERROR(LET(
  Labspeed, IF(F45="Labs Speed", 1+'Master Sheet'!$BK$5, LAB_SPEED_TOTAL()),
  Lab, MATCH(IF(ISNUMBER(SEARCH("Mastery", $F45)), "Card Mastery", $F45), DVT_Laboratory!B$1:AA$1, 0)-1,
  Offset, OFFSET(DVT_Laboratory!B$3, 0, Lab, 100, 1),
SUM(TIME_TO_RUSH_GEMS(
    XLOOKUP(INDEX($W$5:$W201, MATCH(F45, $V$5:$V201, 0))+1, SEQUENCE(100, 1, 1, 1), Offset, "N/F", 0, 1):
    XLOOKUP(INDEX($X$5:$X201, MATCH(F45, $V$5:$V201, 0)), SEQUENCE(100, 1, 1, 1), Offset, "N/F", 0, 1)/Labspeed, IDS_LAB_GODLBOXED_COUNT()))),"")</f>
        <v>15760</v>
      </c>
      <c r="L45" s="1502">
        <f t="array" ref="L45">IFERROR(LET(
  Labspeed, IF(F45="Labs Speed", 1+'Master Sheet'!$BK$5, LAB_SPEED_TOTAL()),
  Lab, MATCH(IF(ISNUMBER(SEARCH("Mastery", $F45)), "Card Mastery", $F45), DVT_Laboratory!B$1:AA$1, 0)-1,
  Offset, OFFSET(DVT_Laboratory!B$3, 0, Lab, 100, 1),
K45-SUM(TIME_TO_RUSH_GEMS(
    XLOOKUP(INDEX($W$5:$W201, MATCH(F45, $V$5:$V201, 0))+1, SEQUENCE(100, 1, 1, 1), Offset, "N/F", 0, 1):
    XLOOKUP(INDEX($X$5:$X201, MATCH(F45, $V$5:$V201, 0)), SEQUENCE(100, 1, 1, 1), Offset, "N/F", 0, 1)/Labspeed, IDS_LAB_GODLBOXED_COUNT()+1))),"")</f>
        <v>136</v>
      </c>
      <c r="M45" s="1423" t="str">
        <f t="shared" si="5"/>
        <v>1094d 18h 34m</v>
      </c>
      <c r="N45" s="1431"/>
      <c r="O45" s="1431"/>
      <c r="P45" s="1431"/>
      <c r="Q45" s="1438" t="str">
        <f>IFERROR(__xludf.DUMMYFUNCTION("""COMPUTED_VALUE"""),"T6 80")</f>
        <v>T6 80</v>
      </c>
      <c r="R45" s="1477"/>
      <c r="S45" s="1506" t="s">
        <v>357</v>
      </c>
      <c r="T45" s="1507" t="b">
        <f t="shared" si="8"/>
        <v>1</v>
      </c>
      <c r="U45" s="1438"/>
      <c r="V45" s="1443" t="str">
        <f>IFERROR(__xludf.DUMMYFUNCTION("""COMPUTED_VALUE"""),"Golden Tower Bonus")</f>
        <v>Golden Tower Bonus</v>
      </c>
      <c r="W45" s="1417">
        <v>22.0</v>
      </c>
      <c r="X45" s="1417">
        <v>25.0</v>
      </c>
      <c r="Y45" s="1416">
        <v>10.902957836582864</v>
      </c>
      <c r="Z45" s="1479">
        <v>5.4119601328903656E10</v>
      </c>
      <c r="AA45" s="1417"/>
    </row>
    <row r="46">
      <c r="A46" s="1404"/>
      <c r="B46" s="1410"/>
      <c r="C46" s="1470"/>
      <c r="D46" s="1484">
        <f t="shared" si="2"/>
        <v>2784.342679</v>
      </c>
      <c r="E46" s="1471"/>
      <c r="F46" s="1446" t="str">
        <f>IFERROR(__xludf.DUMMYFUNCTION("""COMPUTED_VALUE"""),"Damage")</f>
        <v>Damage</v>
      </c>
      <c r="G46" s="1448">
        <f>IFERROR(__xludf.DUMMYFUNCTION("""COMPUTED_VALUE"""),68.10856698611215)</f>
        <v>68.10856699</v>
      </c>
      <c r="H46" s="1449" t="str">
        <f t="shared" si="3"/>
        <v>68d  2h 36m</v>
      </c>
      <c r="I46" s="1489">
        <f>IFERROR(__xludf.DUMMYFUNCTION("""COMPUTED_VALUE"""),7.257475083056478E7)</f>
        <v>72574750.83</v>
      </c>
      <c r="J46" s="1449" t="str">
        <f t="shared" si="4"/>
        <v>72.57 M</v>
      </c>
      <c r="K46" s="1499">
        <f t="array" ref="K46">IFERROR(LET(
  Labspeed, IF(F46="Labs Speed", 1+'Master Sheet'!$BK$5, LAB_SPEED_TOTAL()),
  Lab, MATCH(IF(ISNUMBER(SEARCH("Mastery", $F46)), "Card Mastery", $F46), DVT_Laboratory!B$1:AA$1, 0)-1,
  Offset, OFFSET(DVT_Laboratory!B$3, 0, Lab, 100, 1),
SUM(TIME_TO_RUSH_GEMS(
    XLOOKUP(INDEX($W$5:$W201, MATCH(F46, $V$5:$V201, 0))+1, SEQUENCE(100, 1, 1, 1), Offset, "N/F", 0, 1):
    XLOOKUP(INDEX($X$5:$X201, MATCH(F46, $V$5:$V201, 0)), SEQUENCE(100, 1, 1, 1), Offset, "N/F", 0, 1)/Labspeed, IDS_LAB_GODLBOXED_COUNT()))),"")</f>
        <v>21493</v>
      </c>
      <c r="L46" s="1499">
        <f t="array" ref="L46">IFERROR(LET(
  Labspeed, IF(F46="Labs Speed", 1+'Master Sheet'!$BK$5, LAB_SPEED_TOTAL()),
  Lab, MATCH(IF(ISNUMBER(SEARCH("Mastery", $F46)), "Card Mastery", $F46), DVT_Laboratory!B$1:AA$1, 0)-1,
  Offset, OFFSET(DVT_Laboratory!B$3, 0, Lab, 100, 1),
K46-SUM(TIME_TO_RUSH_GEMS(
    XLOOKUP(INDEX($W$5:$W201, MATCH(F46, $V$5:$V201, 0))+1, SEQUENCE(100, 1, 1, 1), Offset, "N/F", 0, 1):
    XLOOKUP(INDEX($X$5:$X201, MATCH(F46, $V$5:$V201, 0)), SEQUENCE(100, 1, 1, 1), Offset, "N/F", 0, 1)/Labspeed, IDS_LAB_GODLBOXED_COUNT()+1))),"")</f>
        <v>188</v>
      </c>
      <c r="M46" s="1423" t="str">
        <f t="shared" si="5"/>
        <v>1162d 21h 10m</v>
      </c>
      <c r="N46" s="1431"/>
      <c r="O46" s="1431"/>
      <c r="P46" s="1431"/>
      <c r="Q46" s="1438" t="str">
        <f>IFERROR(__xludf.DUMMYFUNCTION("""COMPUTED_VALUE"""),"T6 150")</f>
        <v>T6 150</v>
      </c>
      <c r="R46" s="1477"/>
      <c r="S46" s="1506" t="s">
        <v>359</v>
      </c>
      <c r="T46" s="1507" t="b">
        <f t="shared" si="8"/>
        <v>0</v>
      </c>
      <c r="U46" s="1438"/>
      <c r="V46" s="1443" t="str">
        <f>IFERROR(__xludf.DUMMYFUNCTION("""COMPUTED_VALUE"""),"Golden Tower Duration")</f>
        <v>Golden Tower Duration</v>
      </c>
      <c r="W46" s="1417">
        <v>19.0</v>
      </c>
      <c r="X46" s="1417">
        <v>20.0</v>
      </c>
      <c r="Y46" s="1416">
        <v>2.0644977700952687</v>
      </c>
      <c r="Z46" s="1479">
        <v>7.342192691029901E9</v>
      </c>
      <c r="AA46" s="1417"/>
    </row>
    <row r="47">
      <c r="A47" s="1404"/>
      <c r="B47" s="1410"/>
      <c r="C47" s="1470"/>
      <c r="D47" s="1484">
        <f t="shared" si="2"/>
        <v>2836.439694</v>
      </c>
      <c r="E47" s="1471"/>
      <c r="F47" s="1446" t="str">
        <f>IFERROR(__xludf.DUMMYFUNCTION("""COMPUTED_VALUE"""),"Health")</f>
        <v>Health</v>
      </c>
      <c r="G47" s="1448">
        <f>IFERROR(__xludf.DUMMYFUNCTION("""COMPUTED_VALUE"""),69.41099234291106)</f>
        <v>69.41099234</v>
      </c>
      <c r="H47" s="1449" t="str">
        <f t="shared" si="3"/>
        <v>69d  9h 51m</v>
      </c>
      <c r="I47" s="1489">
        <f>IFERROR(__xludf.DUMMYFUNCTION("""COMPUTED_VALUE"""),7.384551495016612E7)</f>
        <v>73845514.95</v>
      </c>
      <c r="J47" s="1449" t="str">
        <f t="shared" si="4"/>
        <v>73.85 M</v>
      </c>
      <c r="K47" s="1499">
        <f t="array" ref="K47">IFERROR(LET(
  Labspeed, IF(F47="Labs Speed", 1+'Master Sheet'!$BK$5, LAB_SPEED_TOTAL()),
  Lab, MATCH(IF(ISNUMBER(SEARCH("Mastery", $F47)), "Card Mastery", $F47), DVT_Laboratory!B$1:AA$1, 0)-1,
  Offset, OFFSET(DVT_Laboratory!B$3, 0, Lab, 100, 1),
SUM(TIME_TO_RUSH_GEMS(
    XLOOKUP(INDEX($W$5:$W201, MATCH(F47, $V$5:$V201, 0))+1, SEQUENCE(100, 1, 1, 1), Offset, "N/F", 0, 1):
    XLOOKUP(INDEX($X$5:$X201, MATCH(F47, $V$5:$V201, 0)), SEQUENCE(100, 1, 1, 1), Offset, "N/F", 0, 1)/Labspeed, IDS_LAB_GODLBOXED_COUNT()))),"")</f>
        <v>21930</v>
      </c>
      <c r="L47" s="1499">
        <f t="array" ref="L47">IFERROR(LET(
  Labspeed, IF(F47="Labs Speed", 1+'Master Sheet'!$BK$5, LAB_SPEED_TOTAL()),
  Lab, MATCH(IF(ISNUMBER(SEARCH("Mastery", $F47)), "Card Mastery", $F47), DVT_Laboratory!B$1:AA$1, 0)-1,
  Offset, OFFSET(DVT_Laboratory!B$3, 0, Lab, 100, 1),
K47-SUM(TIME_TO_RUSH_GEMS(
    XLOOKUP(INDEX($W$5:$W201, MATCH(F47, $V$5:$V201, 0))+1, SEQUENCE(100, 1, 1, 1), Offset, "N/F", 0, 1):
    XLOOKUP(INDEX($X$5:$X201, MATCH(F47, $V$5:$V201, 0)), SEQUENCE(100, 1, 1, 1), Offset, "N/F", 0, 1)/Labspeed, IDS_LAB_GODLBOXED_COUNT()+1))),"")</f>
        <v>192</v>
      </c>
      <c r="M47" s="1423" t="str">
        <f t="shared" si="5"/>
        <v>1232d  7h  2m</v>
      </c>
      <c r="N47" s="1431"/>
      <c r="O47" s="1431"/>
      <c r="P47" s="1431"/>
      <c r="Q47" s="1438" t="str">
        <f>IFERROR(__xludf.DUMMYFUNCTION("""COMPUTED_VALUE"""),"T6 750")</f>
        <v>T6 750</v>
      </c>
      <c r="R47" s="1477"/>
      <c r="S47" s="1506" t="s">
        <v>361</v>
      </c>
      <c r="T47" s="1507" t="b">
        <f t="shared" si="8"/>
        <v>1</v>
      </c>
      <c r="U47" s="1438"/>
      <c r="V47" s="1443" t="str">
        <f>IFERROR(__xludf.DUMMYFUNCTION("""COMPUTED_VALUE"""),"Health")</f>
        <v>Health</v>
      </c>
      <c r="W47" s="1417">
        <v>68.0</v>
      </c>
      <c r="X47" s="1417">
        <v>100.0</v>
      </c>
      <c r="Y47" s="1416">
        <v>69.41099234291106</v>
      </c>
      <c r="Z47" s="1479">
        <v>7.384551495016612E7</v>
      </c>
      <c r="AA47" s="1417"/>
    </row>
    <row r="48">
      <c r="A48" s="1404"/>
      <c r="B48" s="1410"/>
      <c r="C48" s="1470"/>
      <c r="D48" s="1484">
        <f t="shared" si="2"/>
        <v>2836.439694</v>
      </c>
      <c r="E48" s="1471"/>
      <c r="F48" s="1446" t="str">
        <f>IFERROR(__xludf.DUMMYFUNCTION("""COMPUTED_VALUE"""),"Health Regen")</f>
        <v>Health Regen</v>
      </c>
      <c r="G48" s="1448">
        <f>IFERROR(__xludf.DUMMYFUNCTION("""COMPUTED_VALUE"""),69.41099234291106)</f>
        <v>69.41099234</v>
      </c>
      <c r="H48" s="1449" t="str">
        <f t="shared" si="3"/>
        <v>69d  9h 51m</v>
      </c>
      <c r="I48" s="1489">
        <f>IFERROR(__xludf.DUMMYFUNCTION("""COMPUTED_VALUE"""),7.384551495016612E7)</f>
        <v>73845514.95</v>
      </c>
      <c r="J48" s="1449" t="str">
        <f t="shared" si="4"/>
        <v>73.85 M</v>
      </c>
      <c r="K48" s="1492">
        <f t="array" ref="K48">IFERROR(LET(
  Labspeed, IF(F48="Labs Speed", 1+'Master Sheet'!$BK$5, LAB_SPEED_TOTAL()),
  Lab, MATCH(IF(ISNUMBER(SEARCH("Mastery", $F48)), "Card Mastery", $F48), DVT_Laboratory!B$1:AA$1, 0)-1,
  Offset, OFFSET(DVT_Laboratory!B$3, 0, Lab, 100, 1),
SUM(TIME_TO_RUSH_GEMS(
    XLOOKUP(INDEX($W$5:$W201, MATCH(F48, $V$5:$V201, 0))+1, SEQUENCE(100, 1, 1, 1), Offset, "N/F", 0, 1):
    XLOOKUP(INDEX($X$5:$X201, MATCH(F48, $V$5:$V201, 0)), SEQUENCE(100, 1, 1, 1), Offset, "N/F", 0, 1)/Labspeed, IDS_LAB_GODLBOXED_COUNT()))),"")</f>
        <v>21930</v>
      </c>
      <c r="L48" s="1492">
        <f t="array" ref="L48">IFERROR(LET(
  Labspeed, IF(F48="Labs Speed", 1+'Master Sheet'!$BK$5, LAB_SPEED_TOTAL()),
  Lab, MATCH(IF(ISNUMBER(SEARCH("Mastery", $F48)), "Card Mastery", $F48), DVT_Laboratory!B$1:AA$1, 0)-1,
  Offset, OFFSET(DVT_Laboratory!B$3, 0, Lab, 100, 1),
K48-SUM(TIME_TO_RUSH_GEMS(
    XLOOKUP(INDEX($W$5:$W201, MATCH(F48, $V$5:$V201, 0))+1, SEQUENCE(100, 1, 1, 1), Offset, "N/F", 0, 1):
    XLOOKUP(INDEX($X$5:$X201, MATCH(F48, $V$5:$V201, 0)), SEQUENCE(100, 1, 1, 1), Offset, "N/F", 0, 1)/Labspeed, IDS_LAB_GODLBOXED_COUNT()+1))),"")</f>
        <v>192</v>
      </c>
      <c r="M48" s="1423" t="str">
        <f t="shared" si="5"/>
        <v>1301d 16h 54m</v>
      </c>
      <c r="N48" s="1431"/>
      <c r="O48" s="1431"/>
      <c r="P48" s="1431"/>
      <c r="Q48" s="1438" t="str">
        <f>IFERROR(__xludf.DUMMYFUNCTION("""COMPUTED_VALUE"""),"T7 10")</f>
        <v>T7 10</v>
      </c>
      <c r="R48" s="1477"/>
      <c r="S48" s="1506" t="s">
        <v>363</v>
      </c>
      <c r="T48" s="1507" t="b">
        <f t="shared" si="8"/>
        <v>0</v>
      </c>
      <c r="U48" s="1438"/>
      <c r="V48" s="1443" t="str">
        <f>IFERROR(__xludf.DUMMYFUNCTION("""COMPUTED_VALUE"""),"Health Regen")</f>
        <v>Health Regen</v>
      </c>
      <c r="W48" s="1417">
        <v>68.0</v>
      </c>
      <c r="X48" s="1417">
        <v>100.0</v>
      </c>
      <c r="Y48" s="1416">
        <v>69.41099234291106</v>
      </c>
      <c r="Z48" s="1479">
        <v>7.384551495016612E7</v>
      </c>
      <c r="AA48" s="1417"/>
    </row>
    <row r="49">
      <c r="A49" s="1404"/>
      <c r="B49" s="1410"/>
      <c r="C49" s="1470"/>
      <c r="D49" s="1484">
        <f t="shared" si="2"/>
        <v>3201.757826</v>
      </c>
      <c r="E49" s="1471"/>
      <c r="F49" s="1446" t="str">
        <f>IFERROR(__xludf.DUMMYFUNCTION("""COMPUTED_VALUE"""),"Boss Attack")</f>
        <v>Boss Attack</v>
      </c>
      <c r="G49" s="1448">
        <f>IFERROR(__xludf.DUMMYFUNCTION("""COMPUTED_VALUE"""),78.54394564624869)</f>
        <v>78.54394565</v>
      </c>
      <c r="H49" s="1449" t="str">
        <f t="shared" si="3"/>
        <v>78d 13h  3m</v>
      </c>
      <c r="I49" s="1489">
        <f>IFERROR(__xludf.DUMMYFUNCTION("""COMPUTED_VALUE"""),2.525925249169435E13)</f>
        <v>25259252491694</v>
      </c>
      <c r="J49" s="1449" t="str">
        <f t="shared" si="4"/>
        <v>25.26 T</v>
      </c>
      <c r="K49" s="1492">
        <f t="array" ref="K49">IFERROR(LET(
  Labspeed, IF(F49="Labs Speed", 1+'Master Sheet'!$BK$5, LAB_SPEED_TOTAL()),
  Lab, MATCH(IF(ISNUMBER(SEARCH("Mastery", $F49)), "Card Mastery", $F49), DVT_Laboratory!B$1:AA$1, 0)-1,
  Offset, OFFSET(DVT_Laboratory!B$3, 0, Lab, 100, 1),
SUM(TIME_TO_RUSH_GEMS(
    XLOOKUP(INDEX($W$5:$W201, MATCH(F49, $V$5:$V201, 0))+1, SEQUENCE(100, 1, 1, 1), Offset, "N/F", 0, 1):
    XLOOKUP(INDEX($X$5:$X201, MATCH(F49, $V$5:$V201, 0)), SEQUENCE(100, 1, 1, 1), Offset, "N/F", 0, 1)/Labspeed, IDS_LAB_GODLBOXED_COUNT()))),"")</f>
        <v>22416</v>
      </c>
      <c r="L49" s="1492">
        <f t="array" ref="L49">IFERROR(LET(
  Labspeed, IF(F49="Labs Speed", 1+'Master Sheet'!$BK$5, LAB_SPEED_TOTAL()),
  Lab, MATCH(IF(ISNUMBER(SEARCH("Mastery", $F49)), "Card Mastery", $F49), DVT_Laboratory!B$1:AA$1, 0)-1,
  Offset, OFFSET(DVT_Laboratory!B$3, 0, Lab, 100, 1),
K49-SUM(TIME_TO_RUSH_GEMS(
    XLOOKUP(INDEX($W$5:$W201, MATCH(F49, $V$5:$V201, 0))+1, SEQUENCE(100, 1, 1, 1), Offset, "N/F", 0, 1):
    XLOOKUP(INDEX($X$5:$X201, MATCH(F49, $V$5:$V201, 0)), SEQUENCE(100, 1, 1, 1), Offset, "N/F", 0, 1)/Labspeed, IDS_LAB_GODLBOXED_COUNT()+1))),"")</f>
        <v>191</v>
      </c>
      <c r="M49" s="1423" t="str">
        <f t="shared" si="5"/>
        <v>1380d  5h 57m</v>
      </c>
      <c r="N49" s="1431"/>
      <c r="O49" s="1431"/>
      <c r="P49" s="1431"/>
      <c r="Q49" s="1438" t="str">
        <f>IFERROR(__xludf.DUMMYFUNCTION("""COMPUTED_VALUE"""),"T7 30")</f>
        <v>T7 30</v>
      </c>
      <c r="R49" s="1477"/>
      <c r="S49" s="1506" t="s">
        <v>365</v>
      </c>
      <c r="T49" s="1507" t="b">
        <f t="shared" si="8"/>
        <v>0</v>
      </c>
      <c r="U49" s="1438"/>
      <c r="V49" s="1443" t="str">
        <f>IFERROR(__xludf.DUMMYFUNCTION("""COMPUTED_VALUE"""),"Interest")</f>
        <v>Interest</v>
      </c>
      <c r="W49" s="1417">
        <v>11.0</v>
      </c>
      <c r="X49" s="1417">
        <v>99.0</v>
      </c>
      <c r="Y49" s="1416">
        <v>216.35574747705837</v>
      </c>
      <c r="Z49" s="1479">
        <v>3.9237383720930237E8</v>
      </c>
      <c r="AA49" s="1417"/>
    </row>
    <row r="50">
      <c r="A50" s="1404"/>
      <c r="B50" s="1410"/>
      <c r="C50" s="1470"/>
      <c r="D50" s="1484">
        <f t="shared" si="2"/>
        <v>3201.757826</v>
      </c>
      <c r="E50" s="1471"/>
      <c r="F50" s="1446" t="str">
        <f>IFERROR(__xludf.DUMMYFUNCTION("""COMPUTED_VALUE"""),"Boss Health")</f>
        <v>Boss Health</v>
      </c>
      <c r="G50" s="1448">
        <f>IFERROR(__xludf.DUMMYFUNCTION("""COMPUTED_VALUE"""),78.54394564624869)</f>
        <v>78.54394565</v>
      </c>
      <c r="H50" s="1449" t="str">
        <f t="shared" si="3"/>
        <v>78d 13h  3m</v>
      </c>
      <c r="I50" s="1489">
        <f>IFERROR(__xludf.DUMMYFUNCTION("""COMPUTED_VALUE"""),2.525925249169435E13)</f>
        <v>25259252491694</v>
      </c>
      <c r="J50" s="1449" t="str">
        <f t="shared" si="4"/>
        <v>25.26 T</v>
      </c>
      <c r="K50" s="1504">
        <f t="array" ref="K50">IFERROR(LET(
  Labspeed, IF(F50="Labs Speed", 1+'Master Sheet'!$BK$5, LAB_SPEED_TOTAL()),
  Lab, MATCH(IF(ISNUMBER(SEARCH("Mastery", $F50)), "Card Mastery", $F50), DVT_Laboratory!B$1:AA$1, 0)-1,
  Offset, OFFSET(DVT_Laboratory!B$3, 0, Lab, 100, 1),
SUM(TIME_TO_RUSH_GEMS(
    XLOOKUP(INDEX($W$5:$W201, MATCH(F50, $V$5:$V201, 0))+1, SEQUENCE(100, 1, 1, 1), Offset, "N/F", 0, 1):
    XLOOKUP(INDEX($X$5:$X201, MATCH(F50, $V$5:$V201, 0)), SEQUENCE(100, 1, 1, 1), Offset, "N/F", 0, 1)/Labspeed, IDS_LAB_GODLBOXED_COUNT()))),"")</f>
        <v>22416</v>
      </c>
      <c r="L50" s="1504">
        <f t="array" ref="L50">IFERROR(LET(
  Labspeed, IF(F50="Labs Speed", 1+'Master Sheet'!$BK$5, LAB_SPEED_TOTAL()),
  Lab, MATCH(IF(ISNUMBER(SEARCH("Mastery", $F50)), "Card Mastery", $F50), DVT_Laboratory!B$1:AA$1, 0)-1,
  Offset, OFFSET(DVT_Laboratory!B$3, 0, Lab, 100, 1),
K50-SUM(TIME_TO_RUSH_GEMS(
    XLOOKUP(INDEX($W$5:$W201, MATCH(F50, $V$5:$V201, 0))+1, SEQUENCE(100, 1, 1, 1), Offset, "N/F", 0, 1):
    XLOOKUP(INDEX($X$5:$X201, MATCH(F50, $V$5:$V201, 0)), SEQUENCE(100, 1, 1, 1), Offset, "N/F", 0, 1)/Labspeed, IDS_LAB_GODLBOXED_COUNT()+1))),"")</f>
        <v>191</v>
      </c>
      <c r="M50" s="1423" t="str">
        <f t="shared" si="5"/>
        <v>1458d 19h  1m</v>
      </c>
      <c r="N50" s="1431"/>
      <c r="O50" s="1431"/>
      <c r="P50" s="1431"/>
      <c r="Q50" s="1438" t="str">
        <f>IFERROR(__xludf.DUMMYFUNCTION("""COMPUTED_VALUE"""),"T7 40")</f>
        <v>T7 40</v>
      </c>
      <c r="R50" s="1477"/>
      <c r="S50" s="1506" t="s">
        <v>367</v>
      </c>
      <c r="T50" s="1507" t="b">
        <f t="shared" si="8"/>
        <v>0</v>
      </c>
      <c r="U50" s="1438"/>
      <c r="V50" s="1443" t="str">
        <f>IFERROR(__xludf.DUMMYFUNCTION("""COMPUTED_VALUE"""),"Intro Sprint Mastery")</f>
        <v>Intro Sprint Mastery</v>
      </c>
      <c r="W50" s="1417">
        <v>0.0</v>
      </c>
      <c r="X50" s="1417">
        <v>9.0</v>
      </c>
      <c r="Y50" s="1416">
        <v>35.74696865705788</v>
      </c>
      <c r="Z50" s="1479">
        <v>4.152823920265781E16</v>
      </c>
      <c r="AA50" s="1417"/>
    </row>
    <row r="51">
      <c r="A51" s="1404"/>
      <c r="B51" s="1410"/>
      <c r="C51" s="1470"/>
      <c r="D51" s="1484">
        <f t="shared" si="2"/>
        <v>3201.757826</v>
      </c>
      <c r="E51" s="1471"/>
      <c r="F51" s="1446" t="str">
        <f>IFERROR(__xludf.DUMMYFUNCTION("""COMPUTED_VALUE"""),"Common Enemy Attack")</f>
        <v>Common Enemy Attack</v>
      </c>
      <c r="G51" s="1448">
        <f>IFERROR(__xludf.DUMMYFUNCTION("""COMPUTED_VALUE"""),78.54394564624869)</f>
        <v>78.54394565</v>
      </c>
      <c r="H51" s="1449" t="str">
        <f t="shared" si="3"/>
        <v>78d 13h  3m</v>
      </c>
      <c r="I51" s="1489">
        <f>IFERROR(__xludf.DUMMYFUNCTION("""COMPUTED_VALUE"""),1.7538654485049834E13)</f>
        <v>17538654485050</v>
      </c>
      <c r="J51" s="1449" t="str">
        <f t="shared" si="4"/>
        <v>17.54 T</v>
      </c>
      <c r="K51" s="1487">
        <f t="array" ref="K51">IFERROR(LET(
  Labspeed, IF(F51="Labs Speed", 1+'Master Sheet'!$BK$5, LAB_SPEED_TOTAL()),
  Lab, MATCH(IF(ISNUMBER(SEARCH("Mastery", $F51)), "Card Mastery", $F51), DVT_Laboratory!B$1:AA$1, 0)-1,
  Offset, OFFSET(DVT_Laboratory!B$3, 0, Lab, 100, 1),
SUM(TIME_TO_RUSH_GEMS(
    XLOOKUP(INDEX($W$5:$W201, MATCH(F51, $V$5:$V201, 0))+1, SEQUENCE(100, 1, 1, 1), Offset, "N/F", 0, 1):
    XLOOKUP(INDEX($X$5:$X201, MATCH(F51, $V$5:$V201, 0)), SEQUENCE(100, 1, 1, 1), Offset, "N/F", 0, 1)/Labspeed, IDS_LAB_GODLBOXED_COUNT()))),"")</f>
        <v>22416</v>
      </c>
      <c r="L51" s="1487">
        <f t="array" ref="L51">IFERROR(LET(
  Labspeed, IF(F51="Labs Speed", 1+'Master Sheet'!$BK$5, LAB_SPEED_TOTAL()),
  Lab, MATCH(IF(ISNUMBER(SEARCH("Mastery", $F51)), "Card Mastery", $F51), DVT_Laboratory!B$1:AA$1, 0)-1,
  Offset, OFFSET(DVT_Laboratory!B$3, 0, Lab, 100, 1),
K51-SUM(TIME_TO_RUSH_GEMS(
    XLOOKUP(INDEX($W$5:$W201, MATCH(F51, $V$5:$V201, 0))+1, SEQUENCE(100, 1, 1, 1), Offset, "N/F", 0, 1):
    XLOOKUP(INDEX($X$5:$X201, MATCH(F51, $V$5:$V201, 0)), SEQUENCE(100, 1, 1, 1), Offset, "N/F", 0, 1)/Labspeed, IDS_LAB_GODLBOXED_COUNT()+1))),"")</f>
        <v>191</v>
      </c>
      <c r="M51" s="1423" t="str">
        <f t="shared" si="5"/>
        <v>1537d  8h  4m</v>
      </c>
      <c r="N51" s="1431"/>
      <c r="O51" s="1431"/>
      <c r="P51" s="1431"/>
      <c r="Q51" s="1438" t="str">
        <f>IFERROR(__xludf.DUMMYFUNCTION("""COMPUTED_VALUE"""),"T7 50")</f>
        <v>T7 50</v>
      </c>
      <c r="R51" s="1477"/>
      <c r="S51" s="1506" t="s">
        <v>369</v>
      </c>
      <c r="T51" s="1507" t="b">
        <f t="shared" si="8"/>
        <v>0</v>
      </c>
      <c r="U51" s="1438"/>
      <c r="V51" s="1443" t="str">
        <f>IFERROR(__xludf.DUMMYFUNCTION("""COMPUTED_VALUE"""),"Labs Coin Discount")</f>
        <v>Labs Coin Discount</v>
      </c>
      <c r="W51" s="1417">
        <v>68.0</v>
      </c>
      <c r="X51" s="1417">
        <v>99.0</v>
      </c>
      <c r="Y51" s="1416">
        <v>128.75519699139392</v>
      </c>
      <c r="Z51" s="1479">
        <v>2.7621E8</v>
      </c>
      <c r="AA51" s="1417"/>
    </row>
    <row r="52">
      <c r="A52" s="1404"/>
      <c r="B52" s="1410"/>
      <c r="C52" s="1470"/>
      <c r="D52" s="1484">
        <f t="shared" si="2"/>
        <v>3201.757826</v>
      </c>
      <c r="E52" s="1471"/>
      <c r="F52" s="1446" t="str">
        <f>IFERROR(__xludf.DUMMYFUNCTION("""COMPUTED_VALUE"""),"Common Enemy Health")</f>
        <v>Common Enemy Health</v>
      </c>
      <c r="G52" s="1448">
        <f>IFERROR(__xludf.DUMMYFUNCTION("""COMPUTED_VALUE"""),78.54394564624869)</f>
        <v>78.54394565</v>
      </c>
      <c r="H52" s="1449" t="str">
        <f t="shared" si="3"/>
        <v>78d 13h  3m</v>
      </c>
      <c r="I52" s="1489">
        <f>IFERROR(__xludf.DUMMYFUNCTION("""COMPUTED_VALUE"""),1.7538654485049834E13)</f>
        <v>17538654485050</v>
      </c>
      <c r="J52" s="1449" t="str">
        <f t="shared" si="4"/>
        <v>17.54 T</v>
      </c>
      <c r="K52" s="1496">
        <f t="array" ref="K52">IFERROR(LET(
  Labspeed, IF(F52="Labs Speed", 1+'Master Sheet'!$BK$5, LAB_SPEED_TOTAL()),
  Lab, MATCH(IF(ISNUMBER(SEARCH("Mastery", $F52)), "Card Mastery", $F52), DVT_Laboratory!B$1:AA$1, 0)-1,
  Offset, OFFSET(DVT_Laboratory!B$3, 0, Lab, 100, 1),
SUM(TIME_TO_RUSH_GEMS(
    XLOOKUP(INDEX($W$5:$W201, MATCH(F52, $V$5:$V201, 0))+1, SEQUENCE(100, 1, 1, 1), Offset, "N/F", 0, 1):
    XLOOKUP(INDEX($X$5:$X201, MATCH(F52, $V$5:$V201, 0)), SEQUENCE(100, 1, 1, 1), Offset, "N/F", 0, 1)/Labspeed, IDS_LAB_GODLBOXED_COUNT()))),"")</f>
        <v>22416</v>
      </c>
      <c r="L52" s="1496">
        <f t="array" ref="L52">IFERROR(LET(
  Labspeed, IF(F52="Labs Speed", 1+'Master Sheet'!$BK$5, LAB_SPEED_TOTAL()),
  Lab, MATCH(IF(ISNUMBER(SEARCH("Mastery", $F52)), "Card Mastery", $F52), DVT_Laboratory!B$1:AA$1, 0)-1,
  Offset, OFFSET(DVT_Laboratory!B$3, 0, Lab, 100, 1),
K52-SUM(TIME_TO_RUSH_GEMS(
    XLOOKUP(INDEX($W$5:$W201, MATCH(F52, $V$5:$V201, 0))+1, SEQUENCE(100, 1, 1, 1), Offset, "N/F", 0, 1):
    XLOOKUP(INDEX($X$5:$X201, MATCH(F52, $V$5:$V201, 0)), SEQUENCE(100, 1, 1, 1), Offset, "N/F", 0, 1)/Labspeed, IDS_LAB_GODLBOXED_COUNT()+1))),"")</f>
        <v>191</v>
      </c>
      <c r="M52" s="1423" t="str">
        <f t="shared" si="5"/>
        <v>1615d 21h  7m</v>
      </c>
      <c r="N52" s="1431"/>
      <c r="O52" s="1431"/>
      <c r="P52" s="1431"/>
      <c r="Q52" s="1438" t="str">
        <f>IFERROR(__xludf.DUMMYFUNCTION("""COMPUTED_VALUE"""),"T7 60")</f>
        <v>T7 60</v>
      </c>
      <c r="R52" s="1477"/>
      <c r="S52" s="1506" t="s">
        <v>371</v>
      </c>
      <c r="T52" s="1507" t="b">
        <f t="shared" si="8"/>
        <v>0</v>
      </c>
      <c r="U52" s="1438"/>
      <c r="V52" s="1443" t="str">
        <f>IFERROR(__xludf.DUMMYFUNCTION("""COMPUTED_VALUE"""),"Labs Speed")</f>
        <v>Labs Speed</v>
      </c>
      <c r="W52" s="1417">
        <v>91.0</v>
      </c>
      <c r="X52" s="1417">
        <v>99.0</v>
      </c>
      <c r="Y52" s="1416">
        <v>44.09174631620868</v>
      </c>
      <c r="Z52" s="1479">
        <v>1.1512458471760798E8</v>
      </c>
      <c r="AA52" s="1417"/>
    </row>
    <row r="53">
      <c r="A53" s="1404"/>
      <c r="B53" s="1410"/>
      <c r="C53" s="1470"/>
      <c r="D53" s="1484">
        <f t="shared" si="2"/>
        <v>3201.757826</v>
      </c>
      <c r="E53" s="1471"/>
      <c r="F53" s="1446" t="str">
        <f>IFERROR(__xludf.DUMMYFUNCTION("""COMPUTED_VALUE"""),"Fast Enemy Attack")</f>
        <v>Fast Enemy Attack</v>
      </c>
      <c r="G53" s="1448">
        <f>IFERROR(__xludf.DUMMYFUNCTION("""COMPUTED_VALUE"""),78.54394564624869)</f>
        <v>78.54394565</v>
      </c>
      <c r="H53" s="1449" t="str">
        <f t="shared" si="3"/>
        <v>78d 13h  3m</v>
      </c>
      <c r="I53" s="1489">
        <f>IFERROR(__xludf.DUMMYFUNCTION("""COMPUTED_VALUE"""),2.14021511627907E13)</f>
        <v>21402151162791</v>
      </c>
      <c r="J53" s="1449" t="str">
        <f t="shared" si="4"/>
        <v>21.4 T</v>
      </c>
      <c r="K53" s="1490">
        <f t="array" ref="K53">IFERROR(LET(
  Labspeed, IF(F53="Labs Speed", 1+'Master Sheet'!$BK$5, LAB_SPEED_TOTAL()),
  Lab, MATCH(IF(ISNUMBER(SEARCH("Mastery", $F53)), "Card Mastery", $F53), DVT_Laboratory!B$1:AA$1, 0)-1,
  Offset, OFFSET(DVT_Laboratory!B$3, 0, Lab, 100, 1),
SUM(TIME_TO_RUSH_GEMS(
    XLOOKUP(INDEX($W$5:$W201, MATCH(F53, $V$5:$V201, 0))+1, SEQUENCE(100, 1, 1, 1), Offset, "N/F", 0, 1):
    XLOOKUP(INDEX($X$5:$X201, MATCH(F53, $V$5:$V201, 0)), SEQUENCE(100, 1, 1, 1), Offset, "N/F", 0, 1)/Labspeed, IDS_LAB_GODLBOXED_COUNT()))),"")</f>
        <v>22416</v>
      </c>
      <c r="L53" s="1490">
        <f t="array" ref="L53">IFERROR(LET(
  Labspeed, IF(F53="Labs Speed", 1+'Master Sheet'!$BK$5, LAB_SPEED_TOTAL()),
  Lab, MATCH(IF(ISNUMBER(SEARCH("Mastery", $F53)), "Card Mastery", $F53), DVT_Laboratory!B$1:AA$1, 0)-1,
  Offset, OFFSET(DVT_Laboratory!B$3, 0, Lab, 100, 1),
K53-SUM(TIME_TO_RUSH_GEMS(
    XLOOKUP(INDEX($W$5:$W201, MATCH(F53, $V$5:$V201, 0))+1, SEQUENCE(100, 1, 1, 1), Offset, "N/F", 0, 1):
    XLOOKUP(INDEX($X$5:$X201, MATCH(F53, $V$5:$V201, 0)), SEQUENCE(100, 1, 1, 1), Offset, "N/F", 0, 1)/Labspeed, IDS_LAB_GODLBOXED_COUNT()+1))),"")</f>
        <v>191</v>
      </c>
      <c r="M53" s="1423" t="str">
        <f t="shared" si="5"/>
        <v>1694d 10h 10m</v>
      </c>
      <c r="N53" s="1431"/>
      <c r="O53" s="1431"/>
      <c r="P53" s="1431"/>
      <c r="Q53" s="1438" t="str">
        <f>IFERROR(__xludf.DUMMYFUNCTION("""COMPUTED_VALUE"""),"T7 80")</f>
        <v>T7 80</v>
      </c>
      <c r="R53" s="1477"/>
      <c r="S53" s="1508" t="s">
        <v>373</v>
      </c>
      <c r="T53" s="1507" t="b">
        <f t="shared" si="8"/>
        <v>0</v>
      </c>
      <c r="U53" s="1438"/>
      <c r="V53" s="1443" t="str">
        <f>IFERROR(__xludf.DUMMYFUNCTION("""COMPUTED_VALUE"""),"Land Mine Damage")</f>
        <v>Land Mine Damage</v>
      </c>
      <c r="W53" s="1417">
        <v>0.0</v>
      </c>
      <c r="X53" s="1417">
        <v>20.0</v>
      </c>
      <c r="Y53" s="1416">
        <v>9.05761987679741</v>
      </c>
      <c r="Z53" s="1479">
        <v>1.0744449318936878E10</v>
      </c>
      <c r="AA53" s="1417"/>
    </row>
    <row r="54">
      <c r="A54" s="1404"/>
      <c r="B54" s="1410"/>
      <c r="C54" s="1470"/>
      <c r="D54" s="1484">
        <f t="shared" si="2"/>
        <v>3201.757826</v>
      </c>
      <c r="E54" s="1471"/>
      <c r="F54" s="1446" t="str">
        <f>IFERROR(__xludf.DUMMYFUNCTION("""COMPUTED_VALUE"""),"Fast Enemy Health")</f>
        <v>Fast Enemy Health</v>
      </c>
      <c r="G54" s="1448">
        <f>IFERROR(__xludf.DUMMYFUNCTION("""COMPUTED_VALUE"""),78.54394564624869)</f>
        <v>78.54394565</v>
      </c>
      <c r="H54" s="1449" t="str">
        <f t="shared" si="3"/>
        <v>78d 13h  3m</v>
      </c>
      <c r="I54" s="1489">
        <f>IFERROR(__xludf.DUMMYFUNCTION("""COMPUTED_VALUE"""),2.14021511627907E13)</f>
        <v>21402151162791</v>
      </c>
      <c r="J54" s="1449" t="str">
        <f t="shared" si="4"/>
        <v>21.4 T</v>
      </c>
      <c r="K54" s="1493">
        <f t="array" ref="K54">IFERROR(LET(
  Labspeed, IF(F54="Labs Speed", 1+'Master Sheet'!$BK$5, LAB_SPEED_TOTAL()),
  Lab, MATCH(IF(ISNUMBER(SEARCH("Mastery", $F54)), "Card Mastery", $F54), DVT_Laboratory!B$1:AA$1, 0)-1,
  Offset, OFFSET(DVT_Laboratory!B$3, 0, Lab, 100, 1),
SUM(TIME_TO_RUSH_GEMS(
    XLOOKUP(INDEX($W$5:$W201, MATCH(F54, $V$5:$V201, 0))+1, SEQUENCE(100, 1, 1, 1), Offset, "N/F", 0, 1):
    XLOOKUP(INDEX($X$5:$X201, MATCH(F54, $V$5:$V201, 0)), SEQUENCE(100, 1, 1, 1), Offset, "N/F", 0, 1)/Labspeed, IDS_LAB_GODLBOXED_COUNT()))),"")</f>
        <v>22416</v>
      </c>
      <c r="L54" s="1493">
        <f t="array" ref="L54">IFERROR(LET(
  Labspeed, IF(F54="Labs Speed", 1+'Master Sheet'!$BK$5, LAB_SPEED_TOTAL()),
  Lab, MATCH(IF(ISNUMBER(SEARCH("Mastery", $F54)), "Card Mastery", $F54), DVT_Laboratory!B$1:AA$1, 0)-1,
  Offset, OFFSET(DVT_Laboratory!B$3, 0, Lab, 100, 1),
K54-SUM(TIME_TO_RUSH_GEMS(
    XLOOKUP(INDEX($W$5:$W201, MATCH(F54, $V$5:$V201, 0))+1, SEQUENCE(100, 1, 1, 1), Offset, "N/F", 0, 1):
    XLOOKUP(INDEX($X$5:$X201, MATCH(F54, $V$5:$V201, 0)), SEQUENCE(100, 1, 1, 1), Offset, "N/F", 0, 1)/Labspeed, IDS_LAB_GODLBOXED_COUNT()+1))),"")</f>
        <v>191</v>
      </c>
      <c r="M54" s="1423" t="str">
        <f t="shared" si="5"/>
        <v>1772d 23h 14m</v>
      </c>
      <c r="N54" s="1431"/>
      <c r="O54" s="1431"/>
      <c r="P54" s="1431"/>
      <c r="Q54" s="1438" t="str">
        <f>IFERROR(__xludf.DUMMYFUNCTION("""COMPUTED_VALUE"""),"T7 90")</f>
        <v>T7 90</v>
      </c>
      <c r="R54" s="1477"/>
      <c r="S54" s="1508" t="s">
        <v>375</v>
      </c>
      <c r="T54" s="1507" t="b">
        <f t="shared" si="8"/>
        <v>0</v>
      </c>
      <c r="U54" s="1438"/>
      <c r="V54" s="1443" t="str">
        <f>IFERROR(__xludf.DUMMYFUNCTION("""COMPUTED_VALUE"""),"Land Mine Decay")</f>
        <v>Land Mine Decay</v>
      </c>
      <c r="W54" s="1417">
        <v>13.0</v>
      </c>
      <c r="X54" s="1417">
        <v>35.0</v>
      </c>
      <c r="Y54" s="1416">
        <v>98.8320273774117</v>
      </c>
      <c r="Z54" s="1479">
        <v>2.203775996677741E11</v>
      </c>
      <c r="AA54" s="1417"/>
    </row>
    <row r="55">
      <c r="A55" s="1404"/>
      <c r="B55" s="1410"/>
      <c r="C55" s="1470"/>
      <c r="D55" s="1484">
        <f t="shared" si="2"/>
        <v>3201.757826</v>
      </c>
      <c r="E55" s="1471"/>
      <c r="F55" s="1446" t="str">
        <f>IFERROR(__xludf.DUMMYFUNCTION("""COMPUTED_VALUE"""),"Protector Health")</f>
        <v>Protector Health</v>
      </c>
      <c r="G55" s="1448">
        <f>IFERROR(__xludf.DUMMYFUNCTION("""COMPUTED_VALUE"""),78.54394564624869)</f>
        <v>78.54394565</v>
      </c>
      <c r="H55" s="1449" t="str">
        <f t="shared" si="3"/>
        <v>78d 13h  3m</v>
      </c>
      <c r="I55" s="1489">
        <f>IFERROR(__xludf.DUMMYFUNCTION("""COMPUTED_VALUE"""),2.525925249169435E13)</f>
        <v>25259252491694</v>
      </c>
      <c r="J55" s="1449" t="str">
        <f t="shared" si="4"/>
        <v>25.26 T</v>
      </c>
      <c r="K55" s="1494">
        <f t="array" ref="K55">IFERROR(LET(
  Labspeed, IF(F55="Labs Speed", 1+'Master Sheet'!$BK$5, LAB_SPEED_TOTAL()),
  Lab, MATCH(IF(ISNUMBER(SEARCH("Mastery", $F55)), "Card Mastery", $F55), DVT_Laboratory!B$1:AA$1, 0)-1,
  Offset, OFFSET(DVT_Laboratory!B$3, 0, Lab, 100, 1),
SUM(TIME_TO_RUSH_GEMS(
    XLOOKUP(INDEX($W$5:$W201, MATCH(F55, $V$5:$V201, 0))+1, SEQUENCE(100, 1, 1, 1), Offset, "N/F", 0, 1):
    XLOOKUP(INDEX($X$5:$X201, MATCH(F55, $V$5:$V201, 0)), SEQUENCE(100, 1, 1, 1), Offset, "N/F", 0, 1)/Labspeed, IDS_LAB_GODLBOXED_COUNT()))),"")</f>
        <v>22416</v>
      </c>
      <c r="L55" s="1494">
        <f t="array" ref="L55">IFERROR(LET(
  Labspeed, IF(F55="Labs Speed", 1+'Master Sheet'!$BK$5, LAB_SPEED_TOTAL()),
  Lab, MATCH(IF(ISNUMBER(SEARCH("Mastery", $F55)), "Card Mastery", $F55), DVT_Laboratory!B$1:AA$1, 0)-1,
  Offset, OFFSET(DVT_Laboratory!B$3, 0, Lab, 100, 1),
K55-SUM(TIME_TO_RUSH_GEMS(
    XLOOKUP(INDEX($W$5:$W201, MATCH(F55, $V$5:$V201, 0))+1, SEQUENCE(100, 1, 1, 1), Offset, "N/F", 0, 1):
    XLOOKUP(INDEX($X$5:$X201, MATCH(F55, $V$5:$V201, 0)), SEQUENCE(100, 1, 1, 1), Offset, "N/F", 0, 1)/Labspeed, IDS_LAB_GODLBOXED_COUNT()+1))),"")</f>
        <v>191</v>
      </c>
      <c r="M55" s="1423" t="str">
        <f t="shared" si="5"/>
        <v>1851d 12h 17m</v>
      </c>
      <c r="N55" s="1431"/>
      <c r="O55" s="1431"/>
      <c r="P55" s="1431"/>
      <c r="Q55" s="1438" t="str">
        <f>IFERROR(__xludf.DUMMYFUNCTION("""COMPUTED_VALUE"""),"T8 10")</f>
        <v>T8 10</v>
      </c>
      <c r="R55" s="1477"/>
      <c r="S55" s="1508" t="s">
        <v>377</v>
      </c>
      <c r="T55" s="1507" t="b">
        <f t="shared" si="8"/>
        <v>0</v>
      </c>
      <c r="U55" s="1438"/>
      <c r="V55" s="1443" t="str">
        <f>IFERROR(__xludf.DUMMYFUNCTION("""COMPUTED_VALUE"""),"Lightning Amplifier - Scatter")</f>
        <v>Lightning Amplifier - Scatter</v>
      </c>
      <c r="W55" s="1417">
        <v>9.0</v>
      </c>
      <c r="X55" s="1417">
        <v>30.0</v>
      </c>
      <c r="Y55" s="1416">
        <v>119.98113884016709</v>
      </c>
      <c r="Z55" s="1479">
        <v>3.184123754152824E16</v>
      </c>
      <c r="AA55" s="1417"/>
    </row>
    <row r="56">
      <c r="A56" s="1404"/>
      <c r="B56" s="1410"/>
      <c r="C56" s="1470"/>
      <c r="D56" s="1484">
        <f t="shared" si="2"/>
        <v>3201.757826</v>
      </c>
      <c r="E56" s="1471"/>
      <c r="F56" s="1446" t="str">
        <f>IFERROR(__xludf.DUMMYFUNCTION("""COMPUTED_VALUE"""),"Protector Radius")</f>
        <v>Protector Radius</v>
      </c>
      <c r="G56" s="1448">
        <f>IFERROR(__xludf.DUMMYFUNCTION("""COMPUTED_VALUE"""),78.54394564624869)</f>
        <v>78.54394565</v>
      </c>
      <c r="H56" s="1449" t="str">
        <f t="shared" si="3"/>
        <v>78d 13h  3m</v>
      </c>
      <c r="I56" s="1489">
        <f>IFERROR(__xludf.DUMMYFUNCTION("""COMPUTED_VALUE"""),2.525925249169435E13)</f>
        <v>25259252491694</v>
      </c>
      <c r="J56" s="1449" t="str">
        <f t="shared" si="4"/>
        <v>25.26 T</v>
      </c>
      <c r="K56" s="1493">
        <f t="array" ref="K56">IFERROR(LET(
  Labspeed, IF(F56="Labs Speed", 1+'Master Sheet'!$BK$5, LAB_SPEED_TOTAL()),
  Lab, MATCH(IF(ISNUMBER(SEARCH("Mastery", $F56)), "Card Mastery", $F56), DVT_Laboratory!B$1:AA$1, 0)-1,
  Offset, OFFSET(DVT_Laboratory!B$3, 0, Lab, 100, 1),
SUM(TIME_TO_RUSH_GEMS(
    XLOOKUP(INDEX($W$5:$W201, MATCH(F56, $V$5:$V201, 0))+1, SEQUENCE(100, 1, 1, 1), Offset, "N/F", 0, 1):
    XLOOKUP(INDEX($X$5:$X201, MATCH(F56, $V$5:$V201, 0)), SEQUENCE(100, 1, 1, 1), Offset, "N/F", 0, 1)/Labspeed, IDS_LAB_GODLBOXED_COUNT()))),"")</f>
        <v>22416</v>
      </c>
      <c r="L56" s="1493">
        <f t="array" ref="L56">IFERROR(LET(
  Labspeed, IF(F56="Labs Speed", 1+'Master Sheet'!$BK$5, LAB_SPEED_TOTAL()),
  Lab, MATCH(IF(ISNUMBER(SEARCH("Mastery", $F56)), "Card Mastery", $F56), DVT_Laboratory!B$1:AA$1, 0)-1,
  Offset, OFFSET(DVT_Laboratory!B$3, 0, Lab, 100, 1),
K56-SUM(TIME_TO_RUSH_GEMS(
    XLOOKUP(INDEX($W$5:$W201, MATCH(F56, $V$5:$V201, 0))+1, SEQUENCE(100, 1, 1, 1), Offset, "N/F", 0, 1):
    XLOOKUP(INDEX($X$5:$X201, MATCH(F56, $V$5:$V201, 0)), SEQUENCE(100, 1, 1, 1), Offset, "N/F", 0, 1)/Labspeed, IDS_LAB_GODLBOXED_COUNT()+1))),"")</f>
        <v>191</v>
      </c>
      <c r="M56" s="1423" t="str">
        <f t="shared" si="5"/>
        <v>1930d  1h 20m</v>
      </c>
      <c r="N56" s="1431"/>
      <c r="O56" s="1431"/>
      <c r="P56" s="1431"/>
      <c r="Q56" s="1438" t="str">
        <f>IFERROR(__xludf.DUMMYFUNCTION("""COMPUTED_VALUE"""),"T8 20")</f>
        <v>T8 20</v>
      </c>
      <c r="R56" s="1477"/>
      <c r="S56" s="1508" t="s">
        <v>379</v>
      </c>
      <c r="T56" s="1507" t="b">
        <f t="shared" si="8"/>
        <v>0</v>
      </c>
      <c r="U56" s="1438"/>
      <c r="V56" s="1443" t="str">
        <f>IFERROR(__xludf.DUMMYFUNCTION("""COMPUTED_VALUE"""),"Max Interest")</f>
        <v>Max Interest</v>
      </c>
      <c r="W56" s="1417">
        <v>8.0</v>
      </c>
      <c r="X56" s="1417">
        <v>15.0</v>
      </c>
      <c r="Y56" s="1416">
        <v>6.104787869544218</v>
      </c>
      <c r="Z56" s="1479">
        <v>1803272.4252491696</v>
      </c>
      <c r="AA56" s="1417"/>
    </row>
    <row r="57">
      <c r="A57" s="1404"/>
      <c r="B57" s="1410"/>
      <c r="C57" s="1470"/>
      <c r="D57" s="1484">
        <f t="shared" si="2"/>
        <v>3201.757826</v>
      </c>
      <c r="E57" s="1471"/>
      <c r="F57" s="1446" t="str">
        <f>IFERROR(__xludf.DUMMYFUNCTION("""COMPUTED_VALUE"""),"Ranged Enemy Attack")</f>
        <v>Ranged Enemy Attack</v>
      </c>
      <c r="G57" s="1448">
        <f>IFERROR(__xludf.DUMMYFUNCTION("""COMPUTED_VALUE"""),78.54394564624869)</f>
        <v>78.54394565</v>
      </c>
      <c r="H57" s="1449" t="str">
        <f t="shared" si="3"/>
        <v>78d 13h  3m</v>
      </c>
      <c r="I57" s="1489">
        <f>IFERROR(__xludf.DUMMYFUNCTION("""COMPUTED_VALUE"""),2.14021511627907E13)</f>
        <v>21402151162791</v>
      </c>
      <c r="J57" s="1449" t="str">
        <f t="shared" si="4"/>
        <v>21.4 T</v>
      </c>
      <c r="K57" s="1504">
        <f t="array" ref="K57">IFERROR(LET(
  Labspeed, IF(F57="Labs Speed", 1+'Master Sheet'!$BK$5, LAB_SPEED_TOTAL()),
  Lab, MATCH(IF(ISNUMBER(SEARCH("Mastery", $F57)), "Card Mastery", $F57), DVT_Laboratory!B$1:AA$1, 0)-1,
  Offset, OFFSET(DVT_Laboratory!B$3, 0, Lab, 100, 1),
SUM(TIME_TO_RUSH_GEMS(
    XLOOKUP(INDEX($W$5:$W201, MATCH(F57, $V$5:$V201, 0))+1, SEQUENCE(100, 1, 1, 1), Offset, "N/F", 0, 1):
    XLOOKUP(INDEX($X$5:$X201, MATCH(F57, $V$5:$V201, 0)), SEQUENCE(100, 1, 1, 1), Offset, "N/F", 0, 1)/Labspeed, IDS_LAB_GODLBOXED_COUNT()))),"")</f>
        <v>22416</v>
      </c>
      <c r="L57" s="1504">
        <f t="array" ref="L57">IFERROR(LET(
  Labspeed, IF(F57="Labs Speed", 1+'Master Sheet'!$BK$5, LAB_SPEED_TOTAL()),
  Lab, MATCH(IF(ISNUMBER(SEARCH("Mastery", $F57)), "Card Mastery", $F57), DVT_Laboratory!B$1:AA$1, 0)-1,
  Offset, OFFSET(DVT_Laboratory!B$3, 0, Lab, 100, 1),
K57-SUM(TIME_TO_RUSH_GEMS(
    XLOOKUP(INDEX($W$5:$W201, MATCH(F57, $V$5:$V201, 0))+1, SEQUENCE(100, 1, 1, 1), Offset, "N/F", 0, 1):
    XLOOKUP(INDEX($X$5:$X201, MATCH(F57, $V$5:$V201, 0)), SEQUENCE(100, 1, 1, 1), Offset, "N/F", 0, 1)/Labspeed, IDS_LAB_GODLBOXED_COUNT()+1))),"")</f>
        <v>191</v>
      </c>
      <c r="M57" s="1423" t="str">
        <f t="shared" si="5"/>
        <v>2008d 14h 24m</v>
      </c>
      <c r="N57" s="1431"/>
      <c r="O57" s="1431"/>
      <c r="P57" s="1431"/>
      <c r="Q57" s="1438" t="str">
        <f>IFERROR(__xludf.DUMMYFUNCTION("""COMPUTED_VALUE"""),"T8 50")</f>
        <v>T8 50</v>
      </c>
      <c r="R57" s="1477"/>
      <c r="S57" s="1508" t="s">
        <v>381</v>
      </c>
      <c r="T57" s="1507" t="b">
        <f t="shared" si="8"/>
        <v>0</v>
      </c>
      <c r="U57" s="1438"/>
      <c r="V57" s="1443" t="str">
        <f>IFERROR(__xludf.DUMMYFUNCTION("""COMPUTED_VALUE"""),"Max Rend Armor Multiplier")</f>
        <v>Max Rend Armor Multiplier</v>
      </c>
      <c r="W57" s="1417">
        <v>0.0</v>
      </c>
      <c r="X57" s="1417">
        <v>30.0</v>
      </c>
      <c r="Y57" s="1416">
        <v>23.429534163157285</v>
      </c>
      <c r="Z57" s="1479">
        <v>2.0408480066445184E13</v>
      </c>
      <c r="AA57" s="1417"/>
    </row>
    <row r="58">
      <c r="A58" s="1404"/>
      <c r="B58" s="1410"/>
      <c r="C58" s="1470"/>
      <c r="D58" s="1484">
        <f t="shared" si="2"/>
        <v>3201.757826</v>
      </c>
      <c r="E58" s="1471"/>
      <c r="F58" s="1446" t="str">
        <f>IFERROR(__xludf.DUMMYFUNCTION("""COMPUTED_VALUE"""),"Ranged Enemy Health")</f>
        <v>Ranged Enemy Health</v>
      </c>
      <c r="G58" s="1448">
        <f>IFERROR(__xludf.DUMMYFUNCTION("""COMPUTED_VALUE"""),78.54394564624869)</f>
        <v>78.54394565</v>
      </c>
      <c r="H58" s="1449" t="str">
        <f t="shared" si="3"/>
        <v>78d 13h  3m</v>
      </c>
      <c r="I58" s="1489">
        <f>IFERROR(__xludf.DUMMYFUNCTION("""COMPUTED_VALUE"""),2.14021511627907E13)</f>
        <v>21402151162791</v>
      </c>
      <c r="J58" s="1449" t="str">
        <f t="shared" si="4"/>
        <v>21.4 T</v>
      </c>
      <c r="K58" s="1492">
        <f t="array" ref="K58">IFERROR(LET(
  Labspeed, IF(F58="Labs Speed", 1+'Master Sheet'!$BK$5, LAB_SPEED_TOTAL()),
  Lab, MATCH(IF(ISNUMBER(SEARCH("Mastery", $F58)), "Card Mastery", $F58), DVT_Laboratory!B$1:AA$1, 0)-1,
  Offset, OFFSET(DVT_Laboratory!B$3, 0, Lab, 100, 1),
SUM(TIME_TO_RUSH_GEMS(
    XLOOKUP(INDEX($W$5:$W201, MATCH(F58, $V$5:$V201, 0))+1, SEQUENCE(100, 1, 1, 1), Offset, "N/F", 0, 1):
    XLOOKUP(INDEX($X$5:$X201, MATCH(F58, $V$5:$V201, 0)), SEQUENCE(100, 1, 1, 1), Offset, "N/F", 0, 1)/Labspeed, IDS_LAB_GODLBOXED_COUNT()))),"")</f>
        <v>22416</v>
      </c>
      <c r="L58" s="1492">
        <f t="array" ref="L58">IFERROR(LET(
  Labspeed, IF(F58="Labs Speed", 1+'Master Sheet'!$BK$5, LAB_SPEED_TOTAL()),
  Lab, MATCH(IF(ISNUMBER(SEARCH("Mastery", $F58)), "Card Mastery", $F58), DVT_Laboratory!B$1:AA$1, 0)-1,
  Offset, OFFSET(DVT_Laboratory!B$3, 0, Lab, 100, 1),
K58-SUM(TIME_TO_RUSH_GEMS(
    XLOOKUP(INDEX($W$5:$W201, MATCH(F58, $V$5:$V201, 0))+1, SEQUENCE(100, 1, 1, 1), Offset, "N/F", 0, 1):
    XLOOKUP(INDEX($X$5:$X201, MATCH(F58, $V$5:$V201, 0)), SEQUENCE(100, 1, 1, 1), Offset, "N/F", 0, 1)/Labspeed, IDS_LAB_GODLBOXED_COUNT()+1))),"")</f>
        <v>191</v>
      </c>
      <c r="M58" s="1423" t="str">
        <f t="shared" si="5"/>
        <v>2087d  3h 27m</v>
      </c>
      <c r="N58" s="1431"/>
      <c r="O58" s="1431"/>
      <c r="P58" s="1431"/>
      <c r="Q58" s="1438" t="str">
        <f>IFERROR(__xludf.DUMMYFUNCTION("""COMPUTED_VALUE"""),"T8 300")</f>
        <v>T8 300</v>
      </c>
      <c r="R58" s="1477"/>
      <c r="S58" s="1508" t="s">
        <v>382</v>
      </c>
      <c r="T58" s="1507" t="b">
        <f t="shared" si="8"/>
        <v>0</v>
      </c>
      <c r="U58" s="1438"/>
      <c r="V58" s="1443" t="str">
        <f>IFERROR(__xludf.DUMMYFUNCTION("""COMPUTED_VALUE"""),"Module Coin Cost")</f>
        <v>Module Coin Cost</v>
      </c>
      <c r="W58" s="1417">
        <v>23.0</v>
      </c>
      <c r="X58" s="1417">
        <v>30.0</v>
      </c>
      <c r="Y58" s="1416">
        <v>7.675762696052262</v>
      </c>
      <c r="Z58" s="1479">
        <v>2.004983388704319E13</v>
      </c>
      <c r="AA58" s="1417"/>
    </row>
    <row r="59">
      <c r="A59" s="1404"/>
      <c r="B59" s="1410"/>
      <c r="C59" s="1470"/>
      <c r="D59" s="1484">
        <f t="shared" si="2"/>
        <v>3201.757826</v>
      </c>
      <c r="E59" s="1471"/>
      <c r="F59" s="1446" t="str">
        <f>IFERROR(__xludf.DUMMYFUNCTION("""COMPUTED_VALUE"""),"Tank Enemy Attack")</f>
        <v>Tank Enemy Attack</v>
      </c>
      <c r="G59" s="1448">
        <f>IFERROR(__xludf.DUMMYFUNCTION("""COMPUTED_VALUE"""),78.54394564624869)</f>
        <v>78.54394565</v>
      </c>
      <c r="H59" s="1449" t="str">
        <f t="shared" si="3"/>
        <v>78d 13h  3m</v>
      </c>
      <c r="I59" s="1489">
        <f>IFERROR(__xludf.DUMMYFUNCTION("""COMPUTED_VALUE"""),2.14021511627907E13)</f>
        <v>21402151162791</v>
      </c>
      <c r="J59" s="1449" t="str">
        <f t="shared" si="4"/>
        <v>21.4 T</v>
      </c>
      <c r="K59" s="1504">
        <f t="array" ref="K59">IFERROR(LET(
  Labspeed, IF(F59="Labs Speed", 1+'Master Sheet'!$BK$5, LAB_SPEED_TOTAL()),
  Lab, MATCH(IF(ISNUMBER(SEARCH("Mastery", $F59)), "Card Mastery", $F59), DVT_Laboratory!B$1:AA$1, 0)-1,
  Offset, OFFSET(DVT_Laboratory!B$3, 0, Lab, 100, 1),
SUM(TIME_TO_RUSH_GEMS(
    XLOOKUP(INDEX($W$5:$W201, MATCH(F59, $V$5:$V201, 0))+1, SEQUENCE(100, 1, 1, 1), Offset, "N/F", 0, 1):
    XLOOKUP(INDEX($X$5:$X201, MATCH(F59, $V$5:$V201, 0)), SEQUENCE(100, 1, 1, 1), Offset, "N/F", 0, 1)/Labspeed, IDS_LAB_GODLBOXED_COUNT()))),"")</f>
        <v>22416</v>
      </c>
      <c r="L59" s="1504">
        <f t="array" ref="L59">IFERROR(LET(
  Labspeed, IF(F59="Labs Speed", 1+'Master Sheet'!$BK$5, LAB_SPEED_TOTAL()),
  Lab, MATCH(IF(ISNUMBER(SEARCH("Mastery", $F59)), "Card Mastery", $F59), DVT_Laboratory!B$1:AA$1, 0)-1,
  Offset, OFFSET(DVT_Laboratory!B$3, 0, Lab, 100, 1),
K59-SUM(TIME_TO_RUSH_GEMS(
    XLOOKUP(INDEX($W$5:$W201, MATCH(F59, $V$5:$V201, 0))+1, SEQUENCE(100, 1, 1, 1), Offset, "N/F", 0, 1):
    XLOOKUP(INDEX($X$5:$X201, MATCH(F59, $V$5:$V201, 0)), SEQUENCE(100, 1, 1, 1), Offset, "N/F", 0, 1)/Labspeed, IDS_LAB_GODLBOXED_COUNT()+1))),"")</f>
        <v>191</v>
      </c>
      <c r="M59" s="1423" t="str">
        <f t="shared" si="5"/>
        <v>2165d 16h 30m</v>
      </c>
      <c r="N59" s="1431"/>
      <c r="O59" s="1431"/>
      <c r="P59" s="1431"/>
      <c r="Q59" s="1438" t="str">
        <f>IFERROR(__xludf.DUMMYFUNCTION("""COMPUTED_VALUE"""),"T9 10")</f>
        <v>T9 10</v>
      </c>
      <c r="R59" s="1477"/>
      <c r="S59" s="1477"/>
      <c r="T59" s="1477"/>
      <c r="U59" s="1438"/>
      <c r="V59" s="1443" t="str">
        <f>IFERROR(__xludf.DUMMYFUNCTION("""COMPUTED_VALUE"""),"Protector Damage Reduction")</f>
        <v>Protector Damage Reduction</v>
      </c>
      <c r="W59" s="1417">
        <v>0.0</v>
      </c>
      <c r="X59" s="1417">
        <v>20.0</v>
      </c>
      <c r="Y59" s="1416">
        <v>17.323598860051234</v>
      </c>
      <c r="Z59" s="1479">
        <v>1.3721669435215947E13</v>
      </c>
      <c r="AA59" s="1417"/>
    </row>
    <row r="60">
      <c r="A60" s="1404"/>
      <c r="B60" s="1410"/>
      <c r="C60" s="1470"/>
      <c r="D60" s="1484">
        <f t="shared" si="2"/>
        <v>3201.757826</v>
      </c>
      <c r="E60" s="1471"/>
      <c r="F60" s="1446" t="str">
        <f>IFERROR(__xludf.DUMMYFUNCTION("""COMPUTED_VALUE"""),"Tank Enemy Health")</f>
        <v>Tank Enemy Health</v>
      </c>
      <c r="G60" s="1448">
        <f>IFERROR(__xludf.DUMMYFUNCTION("""COMPUTED_VALUE"""),78.54394564624869)</f>
        <v>78.54394565</v>
      </c>
      <c r="H60" s="1449" t="str">
        <f t="shared" si="3"/>
        <v>78d 13h  3m</v>
      </c>
      <c r="I60" s="1489">
        <f>IFERROR(__xludf.DUMMYFUNCTION("""COMPUTED_VALUE"""),2.14021511627907E13)</f>
        <v>21402151162791</v>
      </c>
      <c r="J60" s="1449" t="str">
        <f t="shared" si="4"/>
        <v>21.4 T</v>
      </c>
      <c r="K60" s="1502">
        <f t="array" ref="K60">IFERROR(LET(
  Labspeed, IF(F60="Labs Speed", 1+'Master Sheet'!$BK$5, LAB_SPEED_TOTAL()),
  Lab, MATCH(IF(ISNUMBER(SEARCH("Mastery", $F60)), "Card Mastery", $F60), DVT_Laboratory!B$1:AA$1, 0)-1,
  Offset, OFFSET(DVT_Laboratory!B$3, 0, Lab, 100, 1),
SUM(TIME_TO_RUSH_GEMS(
    XLOOKUP(INDEX($W$5:$W201, MATCH(F60, $V$5:$V201, 0))+1, SEQUENCE(100, 1, 1, 1), Offset, "N/F", 0, 1):
    XLOOKUP(INDEX($X$5:$X201, MATCH(F60, $V$5:$V201, 0)), SEQUENCE(100, 1, 1, 1), Offset, "N/F", 0, 1)/Labspeed, IDS_LAB_GODLBOXED_COUNT()))),"")</f>
        <v>22416</v>
      </c>
      <c r="L60" s="1502">
        <f t="array" ref="L60">IFERROR(LET(
  Labspeed, IF(F60="Labs Speed", 1+'Master Sheet'!$BK$5, LAB_SPEED_TOTAL()),
  Lab, MATCH(IF(ISNUMBER(SEARCH("Mastery", $F60)), "Card Mastery", $F60), DVT_Laboratory!B$1:AA$1, 0)-1,
  Offset, OFFSET(DVT_Laboratory!B$3, 0, Lab, 100, 1),
K60-SUM(TIME_TO_RUSH_GEMS(
    XLOOKUP(INDEX($W$5:$W201, MATCH(F60, $V$5:$V201, 0))+1, SEQUENCE(100, 1, 1, 1), Offset, "N/F", 0, 1):
    XLOOKUP(INDEX($X$5:$X201, MATCH(F60, $V$5:$V201, 0)), SEQUENCE(100, 1, 1, 1), Offset, "N/F", 0, 1)/Labspeed, IDS_LAB_GODLBOXED_COUNT()+1))),"")</f>
        <v>191</v>
      </c>
      <c r="M60" s="1423" t="str">
        <f t="shared" si="5"/>
        <v>2244d  5h 33m</v>
      </c>
      <c r="N60" s="1431"/>
      <c r="O60" s="1431"/>
      <c r="P60" s="1431"/>
      <c r="Q60" s="1438" t="str">
        <f>IFERROR(__xludf.DUMMYFUNCTION("""COMPUTED_VALUE"""),"T9 20")</f>
        <v>T9 20</v>
      </c>
      <c r="R60" s="1477"/>
      <c r="S60" s="1509" t="s">
        <v>762</v>
      </c>
      <c r="U60" s="1438"/>
      <c r="V60" s="1443" t="str">
        <f>IFERROR(__xludf.DUMMYFUNCTION("""COMPUTED_VALUE"""),"Protector Health")</f>
        <v>Protector Health</v>
      </c>
      <c r="W60" s="1417">
        <v>0.0</v>
      </c>
      <c r="X60" s="1417">
        <v>30.0</v>
      </c>
      <c r="Y60" s="1416">
        <v>78.54394564624869</v>
      </c>
      <c r="Z60" s="1479">
        <v>2.525925249169435E13</v>
      </c>
      <c r="AA60" s="1417"/>
    </row>
    <row r="61">
      <c r="A61" s="1404"/>
      <c r="B61" s="1410"/>
      <c r="C61" s="1470"/>
      <c r="D61" s="1484">
        <f t="shared" si="2"/>
        <v>3237.065239</v>
      </c>
      <c r="E61" s="1471"/>
      <c r="F61" s="1446" t="str">
        <f>IFERROR(__xludf.DUMMYFUNCTION("""COMPUTED_VALUE"""),"Fast Enemy Speed")</f>
        <v>Fast Enemy Speed</v>
      </c>
      <c r="G61" s="1448">
        <f>IFERROR(__xludf.DUMMYFUNCTION("""COMPUTED_VALUE"""),79.4266309797176)</f>
        <v>79.42663098</v>
      </c>
      <c r="H61" s="1449" t="str">
        <f t="shared" si="3"/>
        <v>79d 10h 14m</v>
      </c>
      <c r="I61" s="1489">
        <f>IFERROR(__xludf.DUMMYFUNCTION("""COMPUTED_VALUE"""),3.2987043189368773E13)</f>
        <v>32987043189369</v>
      </c>
      <c r="J61" s="1449" t="str">
        <f t="shared" si="4"/>
        <v>32.99 T</v>
      </c>
      <c r="K61" s="1496">
        <f t="array" ref="K61">IFERROR(LET(
  Labspeed, IF(F61="Labs Speed", 1+'Master Sheet'!$BK$5, LAB_SPEED_TOTAL()),
  Lab, MATCH(IF(ISNUMBER(SEARCH("Mastery", $F61)), "Card Mastery", $F61), DVT_Laboratory!B$1:AA$1, 0)-1,
  Offset, OFFSET(DVT_Laboratory!B$3, 0, Lab, 100, 1),
SUM(TIME_TO_RUSH_GEMS(
    XLOOKUP(INDEX($W$5:$W201, MATCH(F61, $V$5:$V201, 0))+1, SEQUENCE(100, 1, 1, 1), Offset, "N/F", 0, 1):
    XLOOKUP(INDEX($X$5:$X201, MATCH(F61, $V$5:$V201, 0)), SEQUENCE(100, 1, 1, 1), Offset, "N/F", 0, 1)/Labspeed, IDS_LAB_GODLBOXED_COUNT()))),"")</f>
        <v>22679</v>
      </c>
      <c r="L61" s="1496">
        <f t="array" ref="L61">IFERROR(LET(
  Labspeed, IF(F61="Labs Speed", 1+'Master Sheet'!$BK$5, LAB_SPEED_TOTAL()),
  Lab, MATCH(IF(ISNUMBER(SEARCH("Mastery", $F61)), "Card Mastery", $F61), DVT_Laboratory!B$1:AA$1, 0)-1,
  Offset, OFFSET(DVT_Laboratory!B$3, 0, Lab, 100, 1),
K61-SUM(TIME_TO_RUSH_GEMS(
    XLOOKUP(INDEX($W$5:$W201, MATCH(F61, $V$5:$V201, 0))+1, SEQUENCE(100, 1, 1, 1), Offset, "N/F", 0, 1):
    XLOOKUP(INDEX($X$5:$X201, MATCH(F61, $V$5:$V201, 0)), SEQUENCE(100, 1, 1, 1), Offset, "N/F", 0, 1)/Labspeed, IDS_LAB_GODLBOXED_COUNT()+1))),"")</f>
        <v>196</v>
      </c>
      <c r="M61" s="1423" t="str">
        <f t="shared" si="5"/>
        <v>2323d 15h 48m</v>
      </c>
      <c r="N61" s="1431"/>
      <c r="O61" s="1431"/>
      <c r="P61" s="1431"/>
      <c r="Q61" s="1438" t="str">
        <f>IFERROR(__xludf.DUMMYFUNCTION("""COMPUTED_VALUE"""),"T9 30")</f>
        <v>T9 30</v>
      </c>
      <c r="R61" s="1477"/>
      <c r="S61" s="1438" t="s">
        <v>763</v>
      </c>
      <c r="T61" s="1438" t="b">
        <f>'_IDS'!BH2</f>
        <v>1</v>
      </c>
      <c r="U61" s="1438"/>
      <c r="V61" s="1443" t="str">
        <f>IFERROR(__xludf.DUMMYFUNCTION("""COMPUTED_VALUE"""),"Protector Radius")</f>
        <v>Protector Radius</v>
      </c>
      <c r="W61" s="1417">
        <v>0.0</v>
      </c>
      <c r="X61" s="1417">
        <v>30.0</v>
      </c>
      <c r="Y61" s="1416">
        <v>78.54394564624869</v>
      </c>
      <c r="Z61" s="1479">
        <v>2.525925249169435E13</v>
      </c>
      <c r="AA61" s="1417"/>
    </row>
    <row r="62">
      <c r="A62" s="1404"/>
      <c r="B62" s="1410"/>
      <c r="C62" s="1470"/>
      <c r="D62" s="1484">
        <f t="shared" si="2"/>
        <v>3251.319895</v>
      </c>
      <c r="E62" s="1471"/>
      <c r="F62" s="1446" t="str">
        <f>IFERROR(__xludf.DUMMYFUNCTION("""COMPUTED_VALUE"""),"Ranged Enemy Range")</f>
        <v>Ranged Enemy Range</v>
      </c>
      <c r="G62" s="1448">
        <f>IFERROR(__xludf.DUMMYFUNCTION("""COMPUTED_VALUE"""),79.78299736478643)</f>
        <v>79.78299736</v>
      </c>
      <c r="H62" s="1449" t="str">
        <f t="shared" si="3"/>
        <v>79d 18h 47m</v>
      </c>
      <c r="I62" s="1489">
        <f>IFERROR(__xludf.DUMMYFUNCTION("""COMPUTED_VALUE"""),5.025006718691861E16)</f>
        <v>5.02501E+16</v>
      </c>
      <c r="J62" s="1449" t="str">
        <f t="shared" si="4"/>
        <v>50.25 q</v>
      </c>
      <c r="K62" s="1494">
        <f t="array" ref="K62">IFERROR(LET(
  Labspeed, IF(F62="Labs Speed", 1+'Master Sheet'!$BK$5, LAB_SPEED_TOTAL()),
  Lab, MATCH(IF(ISNUMBER(SEARCH("Mastery", $F62)), "Card Mastery", $F62), DVT_Laboratory!B$1:AA$1, 0)-1,
  Offset, OFFSET(DVT_Laboratory!B$3, 0, Lab, 100, 1),
SUM(TIME_TO_RUSH_GEMS(
    XLOOKUP(INDEX($W$5:$W201, MATCH(F62, $V$5:$V201, 0))+1, SEQUENCE(100, 1, 1, 1), Offset, "N/F", 0, 1):
    XLOOKUP(INDEX($X$5:$X201, MATCH(F62, $V$5:$V201, 0)), SEQUENCE(100, 1, 1, 1), Offset, "N/F", 0, 1)/Labspeed, IDS_LAB_GODLBOXED_COUNT()))),"")</f>
        <v>23950</v>
      </c>
      <c r="L62" s="1494">
        <f t="array" ref="L62">IFERROR(LET(
  Labspeed, IF(F62="Labs Speed", 1+'Master Sheet'!$BK$5, LAB_SPEED_TOTAL()),
  Lab, MATCH(IF(ISNUMBER(SEARCH("Mastery", $F62)), "Card Mastery", $F62), DVT_Laboratory!B$1:AA$1, 0)-1,
  Offset, OFFSET(DVT_Laboratory!B$3, 0, Lab, 100, 1),
K62-SUM(TIME_TO_RUSH_GEMS(
    XLOOKUP(INDEX($W$5:$W201, MATCH(F62, $V$5:$V201, 0))+1, SEQUENCE(100, 1, 1, 1), Offset, "N/F", 0, 1):
    XLOOKUP(INDEX($X$5:$X201, MATCH(F62, $V$5:$V201, 0)), SEQUENCE(100, 1, 1, 1), Offset, "N/F", 0, 1)/Labspeed, IDS_LAB_GODLBOXED_COUNT()+1))),"")</f>
        <v>206</v>
      </c>
      <c r="M62" s="1423" t="str">
        <f t="shared" si="5"/>
        <v>2403d 10h 35m</v>
      </c>
      <c r="N62" s="1431"/>
      <c r="O62" s="1431"/>
      <c r="P62" s="1431"/>
      <c r="Q62" s="1438" t="str">
        <f>IFERROR(__xludf.DUMMYFUNCTION("""COMPUTED_VALUE"""),"T9 40")</f>
        <v>T9 40</v>
      </c>
      <c r="R62" s="1477"/>
      <c r="S62" s="1438" t="s">
        <v>764</v>
      </c>
      <c r="T62" s="1438" t="b">
        <f>'_IDS'!BH2</f>
        <v>1</v>
      </c>
      <c r="U62" s="1438"/>
      <c r="V62" s="1443" t="str">
        <f>IFERROR(__xludf.DUMMYFUNCTION("""COMPUTED_VALUE"""),"Range")</f>
        <v>Range</v>
      </c>
      <c r="W62" s="1417">
        <v>33.0</v>
      </c>
      <c r="X62" s="1417">
        <v>80.0</v>
      </c>
      <c r="Y62" s="1416">
        <v>42.28592773357511</v>
      </c>
      <c r="Z62" s="1479">
        <v>4.0097134551495016E7</v>
      </c>
      <c r="AA62" s="1417"/>
    </row>
    <row r="63">
      <c r="A63" s="1404"/>
      <c r="B63" s="1410"/>
      <c r="C63" s="1470"/>
      <c r="D63" s="1484">
        <f t="shared" si="2"/>
        <v>3549.094791</v>
      </c>
      <c r="E63" s="1471"/>
      <c r="F63" s="1446" t="str">
        <f>IFERROR(__xludf.DUMMYFUNCTION("""COMPUTED_VALUE"""),"Workshop Utility Discount")</f>
        <v>Workshop Utility Discount</v>
      </c>
      <c r="G63" s="1448">
        <f>IFERROR(__xludf.DUMMYFUNCTION("""COMPUTED_VALUE"""),87.22736978570885)</f>
        <v>87.22736979</v>
      </c>
      <c r="H63" s="1449" t="str">
        <f t="shared" si="3"/>
        <v>87d  5h 27m</v>
      </c>
      <c r="I63" s="1489">
        <f>IFERROR(__xludf.DUMMYFUNCTION("""COMPUTED_VALUE"""),8.944523255813953E7)</f>
        <v>89445232.56</v>
      </c>
      <c r="J63" s="1449" t="str">
        <f t="shared" si="4"/>
        <v>89.45 M</v>
      </c>
      <c r="K63" s="1499">
        <f t="array" ref="K63">IFERROR(LET(
  Labspeed, IF(F63="Labs Speed", 1+'Master Sheet'!$BK$5, LAB_SPEED_TOTAL()),
  Lab, MATCH(IF(ISNUMBER(SEARCH("Mastery", $F63)), "Card Mastery", $F63), DVT_Laboratory!B$1:AA$1, 0)-1,
  Offset, OFFSET(DVT_Laboratory!B$3, 0, Lab, 100, 1),
SUM(TIME_TO_RUSH_GEMS(
    XLOOKUP(INDEX($W$5:$W201, MATCH(F63, $V$5:$V201, 0))+1, SEQUENCE(100, 1, 1, 1), Offset, "N/F", 0, 1):
    XLOOKUP(INDEX($X$5:$X201, MATCH(F63, $V$5:$V201, 0)), SEQUENCE(100, 1, 1, 1), Offset, "N/F", 0, 1)/Labspeed, IDS_LAB_GODLBOXED_COUNT()))),"")</f>
        <v>28173</v>
      </c>
      <c r="L63" s="1499">
        <f t="array" ref="L63">IFERROR(LET(
  Labspeed, IF(F63="Labs Speed", 1+'Master Sheet'!$BK$5, LAB_SPEED_TOTAL()),
  Lab, MATCH(IF(ISNUMBER(SEARCH("Mastery", $F63)), "Card Mastery", $F63), DVT_Laboratory!B$1:AA$1, 0)-1,
  Offset, OFFSET(DVT_Laboratory!B$3, 0, Lab, 100, 1),
K63-SUM(TIME_TO_RUSH_GEMS(
    XLOOKUP(INDEX($W$5:$W201, MATCH(F63, $V$5:$V201, 0))+1, SEQUENCE(100, 1, 1, 1), Offset, "N/F", 0, 1):
    XLOOKUP(INDEX($X$5:$X201, MATCH(F63, $V$5:$V201, 0)), SEQUENCE(100, 1, 1, 1), Offset, "N/F", 0, 1)/Labspeed, IDS_LAB_GODLBOXED_COUNT()+1))),"")</f>
        <v>246</v>
      </c>
      <c r="M63" s="1423" t="str">
        <f t="shared" si="5"/>
        <v>2490d 16h  3m</v>
      </c>
      <c r="N63" s="1431"/>
      <c r="O63" s="1431"/>
      <c r="P63" s="1431"/>
      <c r="Q63" s="1438" t="str">
        <f>IFERROR(__xludf.DUMMYFUNCTION("""COMPUTED_VALUE"""),"T9 50")</f>
        <v>T9 50</v>
      </c>
      <c r="R63" s="1477"/>
      <c r="S63" s="1438" t="s">
        <v>765</v>
      </c>
      <c r="T63" s="1438" t="b">
        <f>'_IDS'!BC2</f>
        <v>0</v>
      </c>
      <c r="U63" s="1438"/>
      <c r="V63" s="1443" t="str">
        <f>IFERROR(__xludf.DUMMYFUNCTION("""COMPUTED_VALUE"""),"Ranged Enemy Attack")</f>
        <v>Ranged Enemy Attack</v>
      </c>
      <c r="W63" s="1417">
        <v>0.0</v>
      </c>
      <c r="X63" s="1417">
        <v>30.0</v>
      </c>
      <c r="Y63" s="1416">
        <v>78.54394564624869</v>
      </c>
      <c r="Z63" s="1479">
        <v>2.14021511627907E13</v>
      </c>
      <c r="AA63" s="1417"/>
    </row>
    <row r="64">
      <c r="A64" s="1404"/>
      <c r="B64" s="1410"/>
      <c r="C64" s="1470"/>
      <c r="D64" s="1484">
        <f t="shared" si="2"/>
        <v>3644.840178</v>
      </c>
      <c r="E64" s="1471"/>
      <c r="F64" s="1446" t="str">
        <f>IFERROR(__xludf.DUMMYFUNCTION("""COMPUTED_VALUE"""),"Cash Bonus")</f>
        <v>Cash Bonus</v>
      </c>
      <c r="G64" s="1448">
        <f>IFERROR(__xludf.DUMMYFUNCTION("""COMPUTED_VALUE"""),89.62100445980948)</f>
        <v>89.62100446</v>
      </c>
      <c r="H64" s="1449" t="str">
        <f t="shared" si="3"/>
        <v>89d 14h 54m</v>
      </c>
      <c r="I64" s="1489">
        <f>IFERROR(__xludf.DUMMYFUNCTION("""COMPUTED_VALUE"""),9.13099584717608E7)</f>
        <v>91309958.47</v>
      </c>
      <c r="J64" s="1449" t="str">
        <f t="shared" si="4"/>
        <v>91.31 M</v>
      </c>
      <c r="K64" s="1505">
        <f t="array" ref="K64">IFERROR(LET(
  Labspeed, IF(F64="Labs Speed", 1+'Master Sheet'!$BK$5, LAB_SPEED_TOTAL()),
  Lab, MATCH(IF(ISNUMBER(SEARCH("Mastery", $F64)), "Card Mastery", $F64), DVT_Laboratory!B$1:AA$1, 0)-1,
  Offset, OFFSET(DVT_Laboratory!B$3, 0, Lab, 100, 1),
SUM(TIME_TO_RUSH_GEMS(
    XLOOKUP(INDEX($W$5:$W201, MATCH(F64, $V$5:$V201, 0))+1, SEQUENCE(100, 1, 1, 1), Offset, "N/F", 0, 1):
    XLOOKUP(INDEX($X$5:$X201, MATCH(F64, $V$5:$V201, 0)), SEQUENCE(100, 1, 1, 1), Offset, "N/F", 0, 1)/Labspeed, IDS_LAB_GODLBOXED_COUNT()))),"")</f>
        <v>29062</v>
      </c>
      <c r="L64" s="1505">
        <f t="array" ref="L64">IFERROR(LET(
  Labspeed, IF(F64="Labs Speed", 1+'Master Sheet'!$BK$5, LAB_SPEED_TOTAL()),
  Lab, MATCH(IF(ISNUMBER(SEARCH("Mastery", $F64)), "Card Mastery", $F64), DVT_Laboratory!B$1:AA$1, 0)-1,
  Offset, OFFSET(DVT_Laboratory!B$3, 0, Lab, 100, 1),
K64-SUM(TIME_TO_RUSH_GEMS(
    XLOOKUP(INDEX($W$5:$W201, MATCH(F64, $V$5:$V201, 0))+1, SEQUENCE(100, 1, 1, 1), Offset, "N/F", 0, 1):
    XLOOKUP(INDEX($X$5:$X201, MATCH(F64, $V$5:$V201, 0)), SEQUENCE(100, 1, 1, 1), Offset, "N/F", 0, 1)/Labspeed, IDS_LAB_GODLBOXED_COUNT()+1))),"")</f>
        <v>252</v>
      </c>
      <c r="M64" s="1423" t="str">
        <f t="shared" si="5"/>
        <v>2580d  6h 57m</v>
      </c>
      <c r="N64" s="1431"/>
      <c r="O64" s="1431"/>
      <c r="P64" s="1431"/>
      <c r="Q64" s="1438" t="str">
        <f>IFERROR(__xludf.DUMMYFUNCTION("""COMPUTED_VALUE"""),"T9 60")</f>
        <v>T9 60</v>
      </c>
      <c r="R64" s="1477"/>
      <c r="S64" s="1438" t="s">
        <v>766</v>
      </c>
      <c r="T64" s="1438" t="b">
        <f>'_IDS'!BC2</f>
        <v>0</v>
      </c>
      <c r="U64" s="1438"/>
      <c r="V64" s="1443" t="str">
        <f>IFERROR(__xludf.DUMMYFUNCTION("""COMPUTED_VALUE"""),"Ranged Enemy Health")</f>
        <v>Ranged Enemy Health</v>
      </c>
      <c r="W64" s="1417">
        <v>0.0</v>
      </c>
      <c r="X64" s="1417">
        <v>30.0</v>
      </c>
      <c r="Y64" s="1416">
        <v>78.54394564624869</v>
      </c>
      <c r="Z64" s="1479">
        <v>2.14021511627907E13</v>
      </c>
      <c r="AA64" s="1417"/>
    </row>
    <row r="65">
      <c r="A65" s="1404"/>
      <c r="B65" s="1410"/>
      <c r="C65" s="1470"/>
      <c r="D65" s="1484">
        <f t="shared" si="2"/>
        <v>3682.410684</v>
      </c>
      <c r="E65" s="1471"/>
      <c r="F65" s="1446" t="str">
        <f>IFERROR(__xludf.DUMMYFUNCTION("""COMPUTED_VALUE"""),"Workshop Defense Discount")</f>
        <v>Workshop Defense Discount</v>
      </c>
      <c r="G65" s="1448">
        <f>IFERROR(__xludf.DUMMYFUNCTION("""COMPUTED_VALUE"""),90.56026709428869)</f>
        <v>90.56026709</v>
      </c>
      <c r="H65" s="1449" t="str">
        <f t="shared" si="3"/>
        <v>90d 13h 26m</v>
      </c>
      <c r="I65" s="1489">
        <f>IFERROR(__xludf.DUMMYFUNCTION("""COMPUTED_VALUE"""),9.198757475083056E7)</f>
        <v>91987574.75</v>
      </c>
      <c r="J65" s="1449" t="str">
        <f t="shared" si="4"/>
        <v>91.99 M</v>
      </c>
      <c r="K65" s="1502">
        <f t="array" ref="K65">IFERROR(LET(
  Labspeed, IF(F65="Labs Speed", 1+'Master Sheet'!$BK$5, LAB_SPEED_TOTAL()),
  Lab, MATCH(IF(ISNUMBER(SEARCH("Mastery", $F65)), "Card Mastery", $F65), DVT_Laboratory!B$1:AA$1, 0)-1,
  Offset, OFFSET(DVT_Laboratory!B$3, 0, Lab, 100, 1),
SUM(TIME_TO_RUSH_GEMS(
    XLOOKUP(INDEX($W$5:$W201, MATCH(F65, $V$5:$V201, 0))+1, SEQUENCE(100, 1, 1, 1), Offset, "N/F", 0, 1):
    XLOOKUP(INDEX($X$5:$X201, MATCH(F65, $V$5:$V201, 0)), SEQUENCE(100, 1, 1, 1), Offset, "N/F", 0, 1)/Labspeed, IDS_LAB_GODLBOXED_COUNT()))),"")</f>
        <v>29421</v>
      </c>
      <c r="L65" s="1502">
        <f t="array" ref="L65">IFERROR(LET(
  Labspeed, IF(F65="Labs Speed", 1+'Master Sheet'!$BK$5, LAB_SPEED_TOTAL()),
  Lab, MATCH(IF(ISNUMBER(SEARCH("Mastery", $F65)), "Card Mastery", $F65), DVT_Laboratory!B$1:AA$1, 0)-1,
  Offset, OFFSET(DVT_Laboratory!B$3, 0, Lab, 100, 1),
K65-SUM(TIME_TO_RUSH_GEMS(
    XLOOKUP(INDEX($W$5:$W201, MATCH(F65, $V$5:$V201, 0))+1, SEQUENCE(100, 1, 1, 1), Offset, "N/F", 0, 1):
    XLOOKUP(INDEX($X$5:$X201, MATCH(F65, $V$5:$V201, 0)), SEQUENCE(100, 1, 1, 1), Offset, "N/F", 0, 1)/Labspeed, IDS_LAB_GODLBOXED_COUNT()+1))),"")</f>
        <v>255</v>
      </c>
      <c r="M65" s="1423" t="str">
        <f t="shared" si="5"/>
        <v>2670d 20h 24m</v>
      </c>
      <c r="N65" s="1431"/>
      <c r="O65" s="1431"/>
      <c r="P65" s="1431"/>
      <c r="Q65" s="1438" t="str">
        <f>IFERROR(__xludf.DUMMYFUNCTION("""COMPUTED_VALUE"""),"T9 300")</f>
        <v>T9 300</v>
      </c>
      <c r="R65" s="1477"/>
      <c r="S65" s="1438" t="s">
        <v>767</v>
      </c>
      <c r="T65" s="1438" t="b">
        <f>'_IDS'!BR2</f>
        <v>1</v>
      </c>
      <c r="U65" s="1438"/>
      <c r="V65" s="1443" t="str">
        <f>IFERROR(__xludf.DUMMYFUNCTION("""COMPUTED_VALUE"""),"Ranged Enemy Range")</f>
        <v>Ranged Enemy Range</v>
      </c>
      <c r="W65" s="1417">
        <v>0.0</v>
      </c>
      <c r="X65" s="1417">
        <v>30.0</v>
      </c>
      <c r="Y65" s="1416">
        <v>79.78299736478643</v>
      </c>
      <c r="Z65" s="1479">
        <v>5.025006718691861E16</v>
      </c>
      <c r="AA65" s="1417"/>
    </row>
    <row r="66">
      <c r="A66" s="1404"/>
      <c r="B66" s="1410"/>
      <c r="C66" s="1470"/>
      <c r="D66" s="1484">
        <f t="shared" si="2"/>
        <v>3688.259064</v>
      </c>
      <c r="E66" s="1471"/>
      <c r="F66" s="1446" t="str">
        <f>IFERROR(__xludf.DUMMYFUNCTION("""COMPUTED_VALUE"""),"Workshop Attack Discount")</f>
        <v>Workshop Attack Discount</v>
      </c>
      <c r="G66" s="1448">
        <f>IFERROR(__xludf.DUMMYFUNCTION("""COMPUTED_VALUE"""),90.70647660930206)</f>
        <v>90.70647661</v>
      </c>
      <c r="H66" s="1449" t="str">
        <f t="shared" si="3"/>
        <v>90d 16h 57m</v>
      </c>
      <c r="I66" s="1489">
        <f>IFERROR(__xludf.DUMMYFUNCTION("""COMPUTED_VALUE"""),9.208861295681064E7)</f>
        <v>92088612.96</v>
      </c>
      <c r="J66" s="1449" t="str">
        <f t="shared" si="4"/>
        <v>92.09 M</v>
      </c>
      <c r="K66" s="1499">
        <f t="array" ref="K66">IFERROR(LET(
  Labspeed, IF(F66="Labs Speed", 1+'Master Sheet'!$BK$5, LAB_SPEED_TOTAL()),
  Lab, MATCH(IF(ISNUMBER(SEARCH("Mastery", $F66)), "Card Mastery", $F66), DVT_Laboratory!B$1:AA$1, 0)-1,
  Offset, OFFSET(DVT_Laboratory!B$3, 0, Lab, 100, 1),
SUM(TIME_TO_RUSH_GEMS(
    XLOOKUP(INDEX($W$5:$W201, MATCH(F66, $V$5:$V201, 0))+1, SEQUENCE(100, 1, 1, 1), Offset, "N/F", 0, 1):
    XLOOKUP(INDEX($X$5:$X201, MATCH(F66, $V$5:$V201, 0)), SEQUENCE(100, 1, 1, 1), Offset, "N/F", 0, 1)/Labspeed, IDS_LAB_GODLBOXED_COUNT()))),"")</f>
        <v>29477</v>
      </c>
      <c r="L66" s="1499">
        <f t="array" ref="L66">IFERROR(LET(
  Labspeed, IF(F66="Labs Speed", 1+'Master Sheet'!$BK$5, LAB_SPEED_TOTAL()),
  Lab, MATCH(IF(ISNUMBER(SEARCH("Mastery", $F66)), "Card Mastery", $F66), DVT_Laboratory!B$1:AA$1, 0)-1,
  Offset, OFFSET(DVT_Laboratory!B$3, 0, Lab, 100, 1),
K66-SUM(TIME_TO_RUSH_GEMS(
    XLOOKUP(INDEX($W$5:$W201, MATCH(F66, $V$5:$V201, 0))+1, SEQUENCE(100, 1, 1, 1), Offset, "N/F", 0, 1):
    XLOOKUP(INDEX($X$5:$X201, MATCH(F66, $V$5:$V201, 0)), SEQUENCE(100, 1, 1, 1), Offset, "N/F", 0, 1)/Labspeed, IDS_LAB_GODLBOXED_COUNT()+1))),"")</f>
        <v>255</v>
      </c>
      <c r="M66" s="1423" t="str">
        <f t="shared" si="5"/>
        <v>2761d 13h 21m</v>
      </c>
      <c r="N66" s="1431"/>
      <c r="O66" s="1431"/>
      <c r="P66" s="1431"/>
      <c r="Q66" s="1438" t="str">
        <f>IFERROR(__xludf.DUMMYFUNCTION("""COMPUTED_VALUE"""),"T9 400")</f>
        <v>T9 400</v>
      </c>
      <c r="R66" s="1477"/>
      <c r="S66" s="1438" t="s">
        <v>768</v>
      </c>
      <c r="T66" s="1438" t="b">
        <f>'_IDS'!BR2</f>
        <v>1</v>
      </c>
      <c r="U66" s="1438"/>
      <c r="V66" s="1443" t="str">
        <f>IFERROR(__xludf.DUMMYFUNCTION("""COMPUTED_VALUE"""),"Recharge Demon Mode")</f>
        <v>Recharge Demon Mode</v>
      </c>
      <c r="W66" s="1417">
        <v>4.0</v>
      </c>
      <c r="X66" s="1417">
        <v>7.0</v>
      </c>
      <c r="Y66" s="1416">
        <v>5.734510323606862</v>
      </c>
      <c r="Z66" s="1479">
        <v>7.666112956810632E12</v>
      </c>
      <c r="AA66" s="1417"/>
    </row>
    <row r="67">
      <c r="A67" s="1404"/>
      <c r="B67" s="1410"/>
      <c r="C67" s="1470"/>
      <c r="D67" s="1484">
        <f t="shared" si="2"/>
        <v>3725.360005</v>
      </c>
      <c r="E67" s="1471"/>
      <c r="F67" s="1446" t="str">
        <f>IFERROR(__xludf.DUMMYFUNCTION("""COMPUTED_VALUE"""),"Damage / Meter")</f>
        <v>Damage / Meter</v>
      </c>
      <c r="G67" s="1448">
        <f>IFERROR(__xludf.DUMMYFUNCTION("""COMPUTED_VALUE"""),91.63400011580254)</f>
        <v>91.63400012</v>
      </c>
      <c r="H67" s="1449" t="str">
        <f t="shared" si="3"/>
        <v>91d 15h 12m</v>
      </c>
      <c r="I67" s="1489">
        <f>IFERROR(__xludf.DUMMYFUNCTION("""COMPUTED_VALUE"""),9.267792358803988E7)</f>
        <v>92677923.59</v>
      </c>
      <c r="J67" s="1449" t="str">
        <f t="shared" si="4"/>
        <v>92.68 M</v>
      </c>
      <c r="K67" s="1505">
        <f t="array" ref="K67">IFERROR(LET(
  Labspeed, IF(F67="Labs Speed", 1+'Master Sheet'!$BK$5, LAB_SPEED_TOTAL()),
  Lab, MATCH(IF(ISNUMBER(SEARCH("Mastery", $F67)), "Card Mastery", $F67), DVT_Laboratory!B$1:AA$1, 0)-1,
  Offset, OFFSET(DVT_Laboratory!B$3, 0, Lab, 100, 1),
SUM(TIME_TO_RUSH_GEMS(
    XLOOKUP(INDEX($W$5:$W201, MATCH(F67, $V$5:$V201, 0))+1, SEQUENCE(100, 1, 1, 1), Offset, "N/F", 0, 1):
    XLOOKUP(INDEX($X$5:$X201, MATCH(F67, $V$5:$V201, 0)), SEQUENCE(100, 1, 1, 1), Offset, "N/F", 0, 1)/Labspeed, IDS_LAB_GODLBOXED_COUNT()))),"")</f>
        <v>29836</v>
      </c>
      <c r="L67" s="1505">
        <f t="array" ref="L67">IFERROR(LET(
  Labspeed, IF(F67="Labs Speed", 1+'Master Sheet'!$BK$5, LAB_SPEED_TOTAL()),
  Lab, MATCH(IF(ISNUMBER(SEARCH("Mastery", $F67)), "Card Mastery", $F67), DVT_Laboratory!B$1:AA$1, 0)-1,
  Offset, OFFSET(DVT_Laboratory!B$3, 0, Lab, 100, 1),
K67-SUM(TIME_TO_RUSH_GEMS(
    XLOOKUP(INDEX($W$5:$W201, MATCH(F67, $V$5:$V201, 0))+1, SEQUENCE(100, 1, 1, 1), Offset, "N/F", 0, 1):
    XLOOKUP(INDEX($X$5:$X201, MATCH(F67, $V$5:$V201, 0)), SEQUENCE(100, 1, 1, 1), Offset, "N/F", 0, 1)/Labspeed, IDS_LAB_GODLBOXED_COUNT()+1))),"")</f>
        <v>257</v>
      </c>
      <c r="M67" s="1423" t="str">
        <f t="shared" si="5"/>
        <v>2853d  4h 34m</v>
      </c>
      <c r="N67" s="1431"/>
      <c r="O67" s="1431"/>
      <c r="P67" s="1431"/>
      <c r="Q67" s="1438" t="str">
        <f>IFERROR(__xludf.DUMMYFUNCTION("""COMPUTED_VALUE"""),"T10 40")</f>
        <v>T10 40</v>
      </c>
      <c r="R67" s="1477"/>
      <c r="S67" s="1438" t="s">
        <v>769</v>
      </c>
      <c r="T67" s="1438" t="b">
        <f>'_IDS'!BM2</f>
        <v>1</v>
      </c>
      <c r="U67" s="1438"/>
      <c r="V67" s="1443" t="str">
        <f>IFERROR(__xludf.DUMMYFUNCTION("""COMPUTED_VALUE"""),"Recharge Nuke")</f>
        <v>Recharge Nuke</v>
      </c>
      <c r="W67" s="1417">
        <v>2.0</v>
      </c>
      <c r="X67" s="1417">
        <v>7.0</v>
      </c>
      <c r="Y67" s="1416">
        <v>6.878640600742077</v>
      </c>
      <c r="Z67" s="1479">
        <v>1.0656146179401994E13</v>
      </c>
      <c r="AA67" s="1417"/>
    </row>
    <row r="68">
      <c r="A68" s="1404"/>
      <c r="B68" s="1410"/>
      <c r="C68" s="1470"/>
      <c r="D68" s="1484">
        <f t="shared" si="2"/>
        <v>3732.341697</v>
      </c>
      <c r="E68" s="1471"/>
      <c r="F68" s="1446" t="str">
        <f>IFERROR(__xludf.DUMMYFUNCTION("""COMPUTED_VALUE"""),"Cash / Wave")</f>
        <v>Cash / Wave</v>
      </c>
      <c r="G68" s="1448">
        <f>IFERROR(__xludf.DUMMYFUNCTION("""COMPUTED_VALUE"""),91.80854241338113)</f>
        <v>91.80854241</v>
      </c>
      <c r="H68" s="1449" t="str">
        <f t="shared" si="3"/>
        <v>91d 19h 24m</v>
      </c>
      <c r="I68" s="1489">
        <f>IFERROR(__xludf.DUMMYFUNCTION("""COMPUTED_VALUE"""),9.276441029900333E7)</f>
        <v>92764410.3</v>
      </c>
      <c r="J68" s="1449" t="str">
        <f t="shared" si="4"/>
        <v>92.76 M</v>
      </c>
      <c r="K68" s="1492">
        <f t="array" ref="K68">IFERROR(LET(
  Labspeed, IF(F68="Labs Speed", 1+'Master Sheet'!$BK$5, LAB_SPEED_TOTAL()),
  Lab, MATCH(IF(ISNUMBER(SEARCH("Mastery", $F68)), "Card Mastery", $F68), DVT_Laboratory!B$1:AA$1, 0)-1,
  Offset, OFFSET(DVT_Laboratory!B$3, 0, Lab, 100, 1),
SUM(TIME_TO_RUSH_GEMS(
    XLOOKUP(INDEX($W$5:$W201, MATCH(F68, $V$5:$V201, 0))+1, SEQUENCE(100, 1, 1, 1), Offset, "N/F", 0, 1):
    XLOOKUP(INDEX($X$5:$X201, MATCH(F68, $V$5:$V201, 0)), SEQUENCE(100, 1, 1, 1), Offset, "N/F", 0, 1)/Labspeed, IDS_LAB_GODLBOXED_COUNT()))),"")</f>
        <v>29908</v>
      </c>
      <c r="L68" s="1492">
        <f t="array" ref="L68">IFERROR(LET(
  Labspeed, IF(F68="Labs Speed", 1+'Master Sheet'!$BK$5, LAB_SPEED_TOTAL()),
  Lab, MATCH(IF(ISNUMBER(SEARCH("Mastery", $F68)), "Card Mastery", $F68), DVT_Laboratory!B$1:AA$1, 0)-1,
  Offset, OFFSET(DVT_Laboratory!B$3, 0, Lab, 100, 1),
K68-SUM(TIME_TO_RUSH_GEMS(
    XLOOKUP(INDEX($W$5:$W201, MATCH(F68, $V$5:$V201, 0))+1, SEQUENCE(100, 1, 1, 1), Offset, "N/F", 0, 1):
    XLOOKUP(INDEX($X$5:$X201, MATCH(F68, $V$5:$V201, 0)), SEQUENCE(100, 1, 1, 1), Offset, "N/F", 0, 1)/Labspeed, IDS_LAB_GODLBOXED_COUNT()+1))),"")</f>
        <v>257</v>
      </c>
      <c r="M68" s="1423" t="str">
        <f t="shared" si="5"/>
        <v>2944d 23h 58m</v>
      </c>
      <c r="N68" s="1431"/>
      <c r="O68" s="1431"/>
      <c r="P68" s="1431"/>
      <c r="Q68" s="1438" t="str">
        <f>IFERROR(__xludf.DUMMYFUNCTION("""COMPUTED_VALUE"""),"T10 60")</f>
        <v>T10 60</v>
      </c>
      <c r="R68" s="1477"/>
      <c r="S68" s="1438" t="s">
        <v>770</v>
      </c>
      <c r="T68" s="1438" t="b">
        <f>'_IDS'!BM2</f>
        <v>1</v>
      </c>
      <c r="U68" s="1438"/>
      <c r="V68" s="1443" t="str">
        <f>IFERROR(__xludf.DUMMYFUNCTION("""COMPUTED_VALUE"""),"Recovery Package Amount")</f>
        <v>Recovery Package Amount</v>
      </c>
      <c r="W68" s="1417">
        <v>0.0</v>
      </c>
      <c r="X68" s="1417">
        <v>20.0</v>
      </c>
      <c r="Y68" s="1416">
        <v>16.73518610313203</v>
      </c>
      <c r="Z68" s="1479">
        <v>2.465274086378738E12</v>
      </c>
      <c r="AA68" s="1417"/>
    </row>
    <row r="69">
      <c r="A69" s="1404"/>
      <c r="B69" s="1410"/>
      <c r="C69" s="1470"/>
      <c r="D69" s="1484">
        <f t="shared" si="2"/>
        <v>3732.811262</v>
      </c>
      <c r="E69" s="1471"/>
      <c r="F69" s="1446" t="str">
        <f>IFERROR(__xludf.DUMMYFUNCTION("""COMPUTED_VALUE"""),"Starting Cash")</f>
        <v>Starting Cash</v>
      </c>
      <c r="G69" s="1448">
        <f>IFERROR(__xludf.DUMMYFUNCTION("""COMPUTED_VALUE"""),91.82028154135988)</f>
        <v>91.82028154</v>
      </c>
      <c r="H69" s="1449" t="str">
        <f t="shared" si="3"/>
        <v>91d 19h 41m</v>
      </c>
      <c r="I69" s="1489">
        <f>IFERROR(__xludf.DUMMYFUNCTION("""COMPUTED_VALUE"""),9.276839700996678E7)</f>
        <v>92768397.01</v>
      </c>
      <c r="J69" s="1449" t="str">
        <f t="shared" si="4"/>
        <v>92.77 M</v>
      </c>
      <c r="K69" s="1487">
        <f t="array" ref="K69">IFERROR(LET(
  Labspeed, IF(F69="Labs Speed", 1+'Master Sheet'!$BK$5, LAB_SPEED_TOTAL()),
  Lab, MATCH(IF(ISNUMBER(SEARCH("Mastery", $F69)), "Card Mastery", $F69), DVT_Laboratory!B$1:AA$1, 0)-1,
  Offset, OFFSET(DVT_Laboratory!B$3, 0, Lab, 100, 1),
SUM(TIME_TO_RUSH_GEMS(
    XLOOKUP(INDEX($W$5:$W201, MATCH(F69, $V$5:$V201, 0))+1, SEQUENCE(100, 1, 1, 1), Offset, "N/F", 0, 1):
    XLOOKUP(INDEX($X$5:$X201, MATCH(F69, $V$5:$V201, 0)), SEQUENCE(100, 1, 1, 1), Offset, "N/F", 0, 1)/Labspeed, IDS_LAB_GODLBOXED_COUNT()))),"")</f>
        <v>29914</v>
      </c>
      <c r="L69" s="1487">
        <f t="array" ref="L69">IFERROR(LET(
  Labspeed, IF(F69="Labs Speed", 1+'Master Sheet'!$BK$5, LAB_SPEED_TOTAL()),
  Lab, MATCH(IF(ISNUMBER(SEARCH("Mastery", $F69)), "Card Mastery", $F69), DVT_Laboratory!B$1:AA$1, 0)-1,
  Offset, OFFSET(DVT_Laboratory!B$3, 0, Lab, 100, 1),
K69-SUM(TIME_TO_RUSH_GEMS(
    XLOOKUP(INDEX($W$5:$W201, MATCH(F69, $V$5:$V201, 0))+1, SEQUENCE(100, 1, 1, 1), Offset, "N/F", 0, 1):
    XLOOKUP(INDEX($X$5:$X201, MATCH(F69, $V$5:$V201, 0)), SEQUENCE(100, 1, 1, 1), Offset, "N/F", 0, 1)/Labspeed, IDS_LAB_GODLBOXED_COUNT()+1))),"")</f>
        <v>257</v>
      </c>
      <c r="M69" s="1423" t="str">
        <f t="shared" si="5"/>
        <v>3036d 19h 40m</v>
      </c>
      <c r="N69" s="1431"/>
      <c r="O69" s="1431"/>
      <c r="P69" s="1431"/>
      <c r="Q69" s="1438" t="str">
        <f>IFERROR(__xludf.DUMMYFUNCTION("""COMPUTED_VALUE"""),"T10 70")</f>
        <v>T10 70</v>
      </c>
      <c r="R69" s="1438"/>
      <c r="S69" s="1438"/>
      <c r="T69" s="1438"/>
      <c r="U69" s="1438"/>
      <c r="V69" s="1443" t="str">
        <f>IFERROR(__xludf.DUMMYFUNCTION("""COMPUTED_VALUE"""),"Recovery Package Chance Mastery")</f>
        <v>Recovery Package Chance Mastery</v>
      </c>
      <c r="W69" s="1417">
        <v>3.0</v>
      </c>
      <c r="X69" s="1417">
        <v>9.0</v>
      </c>
      <c r="Y69" s="1416">
        <v>29.789140547548232</v>
      </c>
      <c r="Z69" s="1479">
        <v>3.787375415282392E16</v>
      </c>
      <c r="AA69" s="1417"/>
    </row>
    <row r="70">
      <c r="A70" s="1404"/>
      <c r="B70" s="1410"/>
      <c r="C70" s="1470"/>
      <c r="D70" s="1484">
        <f t="shared" si="2"/>
        <v>3732.827149</v>
      </c>
      <c r="E70" s="1471"/>
      <c r="F70" s="1446" t="str">
        <f>IFERROR(__xludf.DUMMYFUNCTION("""COMPUTED_VALUE"""),"Coins / Wave")</f>
        <v>Coins / Wave</v>
      </c>
      <c r="G70" s="1448">
        <f>IFERROR(__xludf.DUMMYFUNCTION("""COMPUTED_VALUE"""),91.82067872990051)</f>
        <v>91.82067873</v>
      </c>
      <c r="H70" s="1449" t="str">
        <f t="shared" si="3"/>
        <v>91d 19h 41m</v>
      </c>
      <c r="I70" s="1489">
        <f>IFERROR(__xludf.DUMMYFUNCTION("""COMPUTED_VALUE"""),9.276882059800665E7)</f>
        <v>92768820.6</v>
      </c>
      <c r="J70" s="1449" t="str">
        <f t="shared" si="4"/>
        <v>92.77 M</v>
      </c>
      <c r="K70" s="1496">
        <f t="array" ref="K70">IFERROR(LET(
  Labspeed, IF(F70="Labs Speed", 1+'Master Sheet'!$BK$5, LAB_SPEED_TOTAL()),
  Lab, MATCH(IF(ISNUMBER(SEARCH("Mastery", $F70)), "Card Mastery", $F70), DVT_Laboratory!B$1:AA$1, 0)-1,
  Offset, OFFSET(DVT_Laboratory!B$3, 0, Lab, 100, 1),
SUM(TIME_TO_RUSH_GEMS(
    XLOOKUP(INDEX($W$5:$W201, MATCH(F70, $V$5:$V201, 0))+1, SEQUENCE(100, 1, 1, 1), Offset, "N/F", 0, 1):
    XLOOKUP(INDEX($X$5:$X201, MATCH(F70, $V$5:$V201, 0)), SEQUENCE(100, 1, 1, 1), Offset, "N/F", 0, 1)/Labspeed, IDS_LAB_GODLBOXED_COUNT()))),"")</f>
        <v>29914</v>
      </c>
      <c r="L70" s="1496">
        <f t="array" ref="L70">IFERROR(LET(
  Labspeed, IF(F70="Labs Speed", 1+'Master Sheet'!$BK$5, LAB_SPEED_TOTAL()),
  Lab, MATCH(IF(ISNUMBER(SEARCH("Mastery", $F70)), "Card Mastery", $F70), DVT_Laboratory!B$1:AA$1, 0)-1,
  Offset, OFFSET(DVT_Laboratory!B$3, 0, Lab, 100, 1),
K70-SUM(TIME_TO_RUSH_GEMS(
    XLOOKUP(INDEX($W$5:$W201, MATCH(F70, $V$5:$V201, 0))+1, SEQUENCE(100, 1, 1, 1), Offset, "N/F", 0, 1):
    XLOOKUP(INDEX($X$5:$X201, MATCH(F70, $V$5:$V201, 0)), SEQUENCE(100, 1, 1, 1), Offset, "N/F", 0, 1)/Labspeed, IDS_LAB_GODLBOXED_COUNT()+1))),"")</f>
        <v>257</v>
      </c>
      <c r="M70" s="1423" t="str">
        <f t="shared" si="5"/>
        <v>3128d 15h 21m</v>
      </c>
      <c r="N70" s="1431"/>
      <c r="O70" s="1431"/>
      <c r="P70" s="1431"/>
      <c r="Q70" s="1438" t="str">
        <f>IFERROR(__xludf.DUMMYFUNCTION("""COMPUTED_VALUE"""),"T11 200")</f>
        <v>T11 200</v>
      </c>
      <c r="R70" s="1438"/>
      <c r="S70" s="1438"/>
      <c r="T70" s="1438"/>
      <c r="U70" s="1438"/>
      <c r="V70" s="1443" t="str">
        <f>IFERROR(__xludf.DUMMYFUNCTION("""COMPUTED_VALUE"""),"Recovery Package Max")</f>
        <v>Recovery Package Max</v>
      </c>
      <c r="W70" s="1417">
        <v>0.0</v>
      </c>
      <c r="X70" s="1417">
        <v>20.0</v>
      </c>
      <c r="Y70" s="1416">
        <v>16.73518610313203</v>
      </c>
      <c r="Z70" s="1479">
        <v>2.460905315614618E12</v>
      </c>
      <c r="AA70" s="1417"/>
    </row>
    <row r="71">
      <c r="A71" s="1404"/>
      <c r="B71" s="1410"/>
      <c r="C71" s="1470"/>
      <c r="D71" s="1484">
        <f t="shared" si="2"/>
        <v>3855.84968</v>
      </c>
      <c r="E71" s="1471"/>
      <c r="F71" s="1446" t="str">
        <f>IFERROR(__xludf.DUMMYFUNCTION("""COMPUTED_VALUE"""),"Defense Absolute")</f>
        <v>Defense Absolute</v>
      </c>
      <c r="G71" s="1448">
        <f>IFERROR(__xludf.DUMMYFUNCTION("""COMPUTED_VALUE"""),94.89624199620961)</f>
        <v>94.896242</v>
      </c>
      <c r="H71" s="1449" t="str">
        <f t="shared" si="3"/>
        <v>94d 21h 30m</v>
      </c>
      <c r="I71" s="1489">
        <f>IFERROR(__xludf.DUMMYFUNCTION("""COMPUTED_VALUE"""),9.629445182724252E7)</f>
        <v>96294451.83</v>
      </c>
      <c r="J71" s="1449" t="str">
        <f t="shared" si="4"/>
        <v>96.29 M</v>
      </c>
      <c r="K71" s="1487">
        <f t="array" ref="K71">IFERROR(LET(
  Labspeed, IF(F71="Labs Speed", 1+'Master Sheet'!$BK$5, LAB_SPEED_TOTAL()),
  Lab, MATCH(IF(ISNUMBER(SEARCH("Mastery", $F71)), "Card Mastery", $F71), DVT_Laboratory!B$1:AA$1, 0)-1,
  Offset, OFFSET(DVT_Laboratory!B$3, 0, Lab, 100, 1),
SUM(TIME_TO_RUSH_GEMS(
    XLOOKUP(INDEX($W$5:$W201, MATCH(F71, $V$5:$V201, 0))+1, SEQUENCE(100, 1, 1, 1), Offset, "N/F", 0, 1):
    XLOOKUP(INDEX($X$5:$X201, MATCH(F71, $V$5:$V201, 0)), SEQUENCE(100, 1, 1, 1), Offset, "N/F", 0, 1)/Labspeed, IDS_LAB_GODLBOXED_COUNT()))),"")</f>
        <v>30818</v>
      </c>
      <c r="L71" s="1487">
        <f t="array" ref="L71">IFERROR(LET(
  Labspeed, IF(F71="Labs Speed", 1+'Master Sheet'!$BK$5, LAB_SPEED_TOTAL()),
  Lab, MATCH(IF(ISNUMBER(SEARCH("Mastery", $F71)), "Card Mastery", $F71), DVT_Laboratory!B$1:AA$1, 0)-1,
  Offset, OFFSET(DVT_Laboratory!B$3, 0, Lab, 100, 1),
K71-SUM(TIME_TO_RUSH_GEMS(
    XLOOKUP(INDEX($W$5:$W201, MATCH(F71, $V$5:$V201, 0))+1, SEQUENCE(100, 1, 1, 1), Offset, "N/F", 0, 1):
    XLOOKUP(INDEX($X$5:$X201, MATCH(F71, $V$5:$V201, 0)), SEQUENCE(100, 1, 1, 1), Offset, "N/F", 0, 1)/Labspeed, IDS_LAB_GODLBOXED_COUNT()+1))),"")</f>
        <v>265</v>
      </c>
      <c r="M71" s="1423" t="str">
        <f t="shared" si="5"/>
        <v>3223d 12h 52m</v>
      </c>
      <c r="N71" s="1431"/>
      <c r="O71" s="1431"/>
      <c r="P71" s="1431"/>
      <c r="Q71" s="1438" t="str">
        <f>IFERROR(__xludf.DUMMYFUNCTION("""COMPUTED_VALUE"""),"T12 10")</f>
        <v>T12 10</v>
      </c>
      <c r="R71" s="1438"/>
      <c r="S71" s="1438"/>
      <c r="T71" s="1438"/>
      <c r="U71" s="1438"/>
      <c r="V71" s="1443" t="str">
        <f>IFERROR(__xludf.DUMMYFUNCTION("""COMPUTED_VALUE"""),"Shock Chance")</f>
        <v>Shock Chance</v>
      </c>
      <c r="W71" s="1417">
        <v>14.0</v>
      </c>
      <c r="X71" s="1417">
        <v>30.0</v>
      </c>
      <c r="Y71" s="1416">
        <v>54.07466014783181</v>
      </c>
      <c r="Z71" s="1479">
        <v>2.925249169435216E11</v>
      </c>
      <c r="AA71" s="1417"/>
    </row>
    <row r="72">
      <c r="A72" s="1404"/>
      <c r="B72" s="1410"/>
      <c r="C72" s="1470"/>
      <c r="D72" s="1484">
        <f t="shared" si="2"/>
        <v>3958.371015</v>
      </c>
      <c r="E72" s="1471"/>
      <c r="F72" s="1446" t="str">
        <f>IFERROR(__xludf.DUMMYFUNCTION("""COMPUTED_VALUE"""),"Wall Regen")</f>
        <v>Wall Regen</v>
      </c>
      <c r="G72" s="1448">
        <f>IFERROR(__xludf.DUMMYFUNCTION("""COMPUTED_VALUE"""),97.4592753762876)</f>
        <v>97.45927538</v>
      </c>
      <c r="H72" s="1449" t="str">
        <f t="shared" si="3"/>
        <v>97d 11h  1m</v>
      </c>
      <c r="I72" s="1489">
        <f>IFERROR(__xludf.DUMMYFUNCTION("""COMPUTED_VALUE"""),1.4059468438538206E12)</f>
        <v>1405946843854</v>
      </c>
      <c r="J72" s="1449" t="str">
        <f t="shared" si="4"/>
        <v>1.41 T</v>
      </c>
      <c r="K72" s="1502">
        <f t="array" ref="K72">IFERROR(LET(
  Labspeed, IF(F72="Labs Speed", 1+'Master Sheet'!$BK$5, LAB_SPEED_TOTAL()),
  Lab, MATCH(IF(ISNUMBER(SEARCH("Mastery", $F72)), "Card Mastery", $F72), DVT_Laboratory!B$1:AA$1, 0)-1,
  Offset, OFFSET(DVT_Laboratory!B$3, 0, Lab, 100, 1),
SUM(TIME_TO_RUSH_GEMS(
    XLOOKUP(INDEX($W$5:$W201, MATCH(F72, $V$5:$V201, 0))+1, SEQUENCE(100, 1, 1, 1), Offset, "N/F", 0, 1):
    XLOOKUP(INDEX($X$5:$X201, MATCH(F72, $V$5:$V201, 0)), SEQUENCE(100, 1, 1, 1), Offset, "N/F", 0, 1)/Labspeed, IDS_LAB_GODLBOXED_COUNT()))),"")</f>
        <v>23532</v>
      </c>
      <c r="L72" s="1502">
        <f t="array" ref="L72">IFERROR(LET(
  Labspeed, IF(F72="Labs Speed", 1+'Master Sheet'!$BK$5, LAB_SPEED_TOTAL()),
  Lab, MATCH(IF(ISNUMBER(SEARCH("Mastery", $F72)), "Card Mastery", $F72), DVT_Laboratory!B$1:AA$1, 0)-1,
  Offset, OFFSET(DVT_Laboratory!B$3, 0, Lab, 100, 1),
K72-SUM(TIME_TO_RUSH_GEMS(
    XLOOKUP(INDEX($W$5:$W201, MATCH(F72, $V$5:$V201, 0))+1, SEQUENCE(100, 1, 1, 1), Offset, "N/F", 0, 1):
    XLOOKUP(INDEX($X$5:$X201, MATCH(F72, $V$5:$V201, 0)), SEQUENCE(100, 1, 1, 1), Offset, "N/F", 0, 1)/Labspeed, IDS_LAB_GODLBOXED_COUNT()+1))),"")</f>
        <v>202</v>
      </c>
      <c r="M72" s="1423" t="str">
        <f t="shared" si="5"/>
        <v>3320d 23h 53m</v>
      </c>
      <c r="N72" s="1431"/>
      <c r="O72" s="1431"/>
      <c r="P72" s="1431"/>
      <c r="Q72" s="1438" t="str">
        <f>IFERROR(__xludf.DUMMYFUNCTION("""COMPUTED_VALUE"""),"T12 60")</f>
        <v>T12 60</v>
      </c>
      <c r="R72" s="1438"/>
      <c r="S72" s="1438"/>
      <c r="T72" s="1438"/>
      <c r="U72" s="1438"/>
      <c r="V72" s="1443" t="str">
        <f>IFERROR(__xludf.DUMMYFUNCTION("""COMPUTED_VALUE"""),"Shockwave Size")</f>
        <v>Shockwave Size</v>
      </c>
      <c r="W72" s="1417">
        <v>10.0</v>
      </c>
      <c r="X72" s="1417">
        <v>20.0</v>
      </c>
      <c r="Y72" s="1416">
        <v>12.197792479049626</v>
      </c>
      <c r="Z72" s="1479">
        <v>1.0508820598006645E10</v>
      </c>
      <c r="AA72" s="1417"/>
    </row>
    <row r="73">
      <c r="A73" s="1404"/>
      <c r="B73" s="1410"/>
      <c r="C73" s="1470"/>
      <c r="D73" s="1484">
        <f t="shared" si="2"/>
        <v>4013.281095</v>
      </c>
      <c r="E73" s="1471"/>
      <c r="F73" s="1446" t="str">
        <f>IFERROR(__xludf.DUMMYFUNCTION("""COMPUTED_VALUE"""),"Land Mine Decay")</f>
        <v>Land Mine Decay</v>
      </c>
      <c r="G73" s="1448">
        <f>IFERROR(__xludf.DUMMYFUNCTION("""COMPUTED_VALUE"""),98.8320273774117)</f>
        <v>98.83202738</v>
      </c>
      <c r="H73" s="1449" t="str">
        <f t="shared" si="3"/>
        <v>98d 19h 58m</v>
      </c>
      <c r="I73" s="1489">
        <f>IFERROR(__xludf.DUMMYFUNCTION("""COMPUTED_VALUE"""),2.203775996677741E11)</f>
        <v>220377599668</v>
      </c>
      <c r="J73" s="1449" t="str">
        <f t="shared" si="4"/>
        <v>220.38 B</v>
      </c>
      <c r="K73" s="1493">
        <f t="array" ref="K73">IFERROR(LET(
  Labspeed, IF(F73="Labs Speed", 1+'Master Sheet'!$BK$5, LAB_SPEED_TOTAL()),
  Lab, MATCH(IF(ISNUMBER(SEARCH("Mastery", $F73)), "Card Mastery", $F73), DVT_Laboratory!B$1:AA$1, 0)-1,
  Offset, OFFSET(DVT_Laboratory!B$3, 0, Lab, 100, 1),
SUM(TIME_TO_RUSH_GEMS(
    XLOOKUP(INDEX($W$5:$W201, MATCH(F73, $V$5:$V201, 0))+1, SEQUENCE(100, 1, 1, 1), Offset, "N/F", 0, 1):
    XLOOKUP(INDEX($X$5:$X201, MATCH(F73, $V$5:$V201, 0)), SEQUENCE(100, 1, 1, 1), Offset, "N/F", 0, 1)/Labspeed, IDS_LAB_GODLBOXED_COUNT()))),"")</f>
        <v>27000</v>
      </c>
      <c r="L73" s="1493">
        <f t="array" ref="L73">IFERROR(LET(
  Labspeed, IF(F73="Labs Speed", 1+'Master Sheet'!$BK$5, LAB_SPEED_TOTAL()),
  Lab, MATCH(IF(ISNUMBER(SEARCH("Mastery", $F73)), "Card Mastery", $F73), DVT_Laboratory!B$1:AA$1, 0)-1,
  Offset, OFFSET(DVT_Laboratory!B$3, 0, Lab, 100, 1),
K73-SUM(TIME_TO_RUSH_GEMS(
    XLOOKUP(INDEX($W$5:$W201, MATCH(F73, $V$5:$V201, 0))+1, SEQUENCE(100, 1, 1, 1), Offset, "N/F", 0, 1):
    XLOOKUP(INDEX($X$5:$X201, MATCH(F73, $V$5:$V201, 0)), SEQUENCE(100, 1, 1, 1), Offset, "N/F", 0, 1)/Labspeed, IDS_LAB_GODLBOXED_COUNT()+1))),"")</f>
        <v>232</v>
      </c>
      <c r="M73" s="1423" t="str">
        <f t="shared" si="5"/>
        <v>3419d 19h 51m</v>
      </c>
      <c r="N73" s="1431"/>
      <c r="O73" s="1431"/>
      <c r="P73" s="1431"/>
      <c r="Q73" s="1438" t="str">
        <f>IFERROR(__xludf.DUMMYFUNCTION("""COMPUTED_VALUE"""),"T13 10")</f>
        <v>T13 10</v>
      </c>
      <c r="R73" s="1438"/>
      <c r="S73" s="1438"/>
      <c r="T73" s="1438"/>
      <c r="U73" s="1438"/>
      <c r="V73" s="1443" t="str">
        <f>IFERROR(__xludf.DUMMYFUNCTION("""COMPUTED_VALUE"""),"Spotlight Missiles")</f>
        <v>Spotlight Missiles</v>
      </c>
      <c r="W73" s="1417">
        <v>1.0</v>
      </c>
      <c r="X73" s="1417">
        <v>18.0</v>
      </c>
      <c r="Y73" s="1416">
        <v>15.057148369867617</v>
      </c>
      <c r="Z73" s="1479">
        <v>1.8300071832225914E10</v>
      </c>
      <c r="AA73" s="1417"/>
    </row>
    <row r="74">
      <c r="A74" s="1404"/>
      <c r="B74" s="1410"/>
      <c r="C74" s="1470"/>
      <c r="D74" s="1484">
        <f t="shared" si="2"/>
        <v>4661.022522</v>
      </c>
      <c r="E74" s="1471"/>
      <c r="F74" s="1446" t="str">
        <f>IFERROR(__xludf.DUMMYFUNCTION("""COMPUTED_VALUE"""),"Chain Thunder")</f>
        <v>Chain Thunder</v>
      </c>
      <c r="G74" s="1448">
        <f>IFERROR(__xludf.DUMMYFUNCTION("""COMPUTED_VALUE"""),115.02556305447521)</f>
        <v>115.0255631</v>
      </c>
      <c r="H74" s="1449" t="str">
        <f t="shared" si="3"/>
        <v>115d  0h 36m</v>
      </c>
      <c r="I74" s="1489">
        <f>IFERROR(__xludf.DUMMYFUNCTION("""COMPUTED_VALUE"""),3.1826071428571428E16)</f>
        <v>3.18261E+16</v>
      </c>
      <c r="J74" s="1449" t="str">
        <f t="shared" si="4"/>
        <v>31.83 q</v>
      </c>
      <c r="K74" s="1492">
        <f t="array" ref="K74">IFERROR(LET(
  Labspeed, IF(F74="Labs Speed", 1+'Master Sheet'!$BK$5, LAB_SPEED_TOTAL()),
  Lab, MATCH(IF(ISNUMBER(SEARCH("Mastery", $F74)), "Card Mastery", $F74), DVT_Laboratory!B$1:AA$1, 0)-1,
  Offset, OFFSET(DVT_Laboratory!B$3, 0, Lab, 100, 1),
SUM(TIME_TO_RUSH_GEMS(
    XLOOKUP(INDEX($W$5:$W201, MATCH(F74, $V$5:$V201, 0))+1, SEQUENCE(100, 1, 1, 1), Offset, "N/F", 0, 1):
    XLOOKUP(INDEX($X$5:$X201, MATCH(F74, $V$5:$V201, 0)), SEQUENCE(100, 1, 1, 1), Offset, "N/F", 0, 1)/Labspeed, IDS_LAB_GODLBOXED_COUNT()))),"")</f>
        <v>30284</v>
      </c>
      <c r="L74" s="1492">
        <f t="array" ref="L74">IFERROR(LET(
  Labspeed, IF(F74="Labs Speed", 1+'Master Sheet'!$BK$5, LAB_SPEED_TOTAL()),
  Lab, MATCH(IF(ISNUMBER(SEARCH("Mastery", $F74)), "Card Mastery", $F74), DVT_Laboratory!B$1:AA$1, 0)-1,
  Offset, OFFSET(DVT_Laboratory!B$3, 0, Lab, 100, 1),
K74-SUM(TIME_TO_RUSH_GEMS(
    XLOOKUP(INDEX($W$5:$W201, MATCH(F74, $V$5:$V201, 0))+1, SEQUENCE(100, 1, 1, 1), Offset, "N/F", 0, 1):
    XLOOKUP(INDEX($X$5:$X201, MATCH(F74, $V$5:$V201, 0)), SEQUENCE(100, 1, 1, 1), Offset, "N/F", 0, 1)/Labspeed, IDS_LAB_GODLBOXED_COUNT()+1))),"")</f>
        <v>264</v>
      </c>
      <c r="M74" s="1423" t="str">
        <f t="shared" si="5"/>
        <v>3534d 20h 28m</v>
      </c>
      <c r="N74" s="1431"/>
      <c r="O74" s="1431"/>
      <c r="P74" s="1431"/>
      <c r="Q74" s="1438" t="str">
        <f>IFERROR(__xludf.DUMMYFUNCTION("""COMPUTED_VALUE"""),"T13 80")</f>
        <v>T13 80</v>
      </c>
      <c r="R74" s="1438"/>
      <c r="S74" s="1438"/>
      <c r="T74" s="1438"/>
      <c r="U74" s="1438"/>
      <c r="V74" s="1443" t="str">
        <f>IFERROR(__xludf.DUMMYFUNCTION("""COMPUTED_VALUE"""),"Starting Cash")</f>
        <v>Starting Cash</v>
      </c>
      <c r="W74" s="1417">
        <v>6.0</v>
      </c>
      <c r="X74" s="1417">
        <v>99.0</v>
      </c>
      <c r="Y74" s="1416">
        <v>91.82028154135988</v>
      </c>
      <c r="Z74" s="1479">
        <v>9.276839700996678E7</v>
      </c>
      <c r="AA74" s="1417"/>
    </row>
    <row r="75">
      <c r="A75" s="1404"/>
      <c r="B75" s="1410"/>
      <c r="C75" s="1470"/>
      <c r="D75" s="1484">
        <f t="shared" si="2"/>
        <v>4859.245554</v>
      </c>
      <c r="E75" s="1471"/>
      <c r="F75" s="1446" t="str">
        <f>IFERROR(__xludf.DUMMYFUNCTION("""COMPUTED_VALUE"""),"Lightning Amplifier - Scatter")</f>
        <v>Lightning Amplifier - Scatter</v>
      </c>
      <c r="G75" s="1448">
        <f>IFERROR(__xludf.DUMMYFUNCTION("""COMPUTED_VALUE"""),119.98113884016709)</f>
        <v>119.9811388</v>
      </c>
      <c r="H75" s="1449" t="str">
        <f t="shared" si="3"/>
        <v>119d 23h 32m</v>
      </c>
      <c r="I75" s="1489">
        <f>IFERROR(__xludf.DUMMYFUNCTION("""COMPUTED_VALUE"""),3.184123754152824E16)</f>
        <v>3.18412E+16</v>
      </c>
      <c r="J75" s="1449" t="str">
        <f t="shared" si="4"/>
        <v>31.84 q</v>
      </c>
      <c r="K75" s="1492">
        <f t="array" ref="K75">IFERROR(LET(
  Labspeed, IF(F75="Labs Speed", 1+'Master Sheet'!$BK$5, LAB_SPEED_TOTAL()),
  Lab, MATCH(IF(ISNUMBER(SEARCH("Mastery", $F75)), "Card Mastery", $F75), DVT_Laboratory!B$1:AA$1, 0)-1,
  Offset, OFFSET(DVT_Laboratory!B$3, 0, Lab, 100, 1),
SUM(TIME_TO_RUSH_GEMS(
    XLOOKUP(INDEX($W$5:$W201, MATCH(F75, $V$5:$V201, 0))+1, SEQUENCE(100, 1, 1, 1), Offset, "N/F", 0, 1):
    XLOOKUP(INDEX($X$5:$X201, MATCH(F75, $V$5:$V201, 0)), SEQUENCE(100, 1, 1, 1), Offset, "N/F", 0, 1)/Labspeed, IDS_LAB_GODLBOXED_COUNT()))),"")</f>
        <v>31929</v>
      </c>
      <c r="L75" s="1492">
        <f t="array" ref="L75">IFERROR(LET(
  Labspeed, IF(F75="Labs Speed", 1+'Master Sheet'!$BK$5, LAB_SPEED_TOTAL()),
  Lab, MATCH(IF(ISNUMBER(SEARCH("Mastery", $F75)), "Card Mastery", $F75), DVT_Laboratory!B$1:AA$1, 0)-1,
  Offset, OFFSET(DVT_Laboratory!B$3, 0, Lab, 100, 1),
K75-SUM(TIME_TO_RUSH_GEMS(
    XLOOKUP(INDEX($W$5:$W201, MATCH(F75, $V$5:$V201, 0))+1, SEQUENCE(100, 1, 1, 1), Offset, "N/F", 0, 1):
    XLOOKUP(INDEX($X$5:$X201, MATCH(F75, $V$5:$V201, 0)), SEQUENCE(100, 1, 1, 1), Offset, "N/F", 0, 1)/Labspeed, IDS_LAB_GODLBOXED_COUNT()+1))),"")</f>
        <v>280</v>
      </c>
      <c r="M75" s="1423" t="str">
        <f t="shared" si="5"/>
        <v>3654d 20h  1m</v>
      </c>
      <c r="N75" s="1431"/>
      <c r="O75" s="1431"/>
      <c r="P75" s="1431"/>
      <c r="Q75" s="1438" t="str">
        <f>IFERROR(__xludf.DUMMYFUNCTION("""COMPUTED_VALUE"""),"T14 20")</f>
        <v>T14 20</v>
      </c>
      <c r="R75" s="1438"/>
      <c r="S75" s="1438"/>
      <c r="T75" s="1438"/>
      <c r="U75" s="1438"/>
      <c r="V75" s="1443" t="str">
        <f>IFERROR(__xludf.DUMMYFUNCTION("""COMPUTED_VALUE"""),"Super Crit Chance")</f>
        <v>Super Crit Chance</v>
      </c>
      <c r="W75" s="1417">
        <v>9.0</v>
      </c>
      <c r="X75" s="1417">
        <v>50.0</v>
      </c>
      <c r="Y75" s="1416">
        <v>6465.308493691585</v>
      </c>
      <c r="Z75" s="1479">
        <v>6.647143521594685E11</v>
      </c>
      <c r="AA75" s="1417"/>
    </row>
    <row r="76">
      <c r="A76" s="1404"/>
      <c r="B76" s="1424"/>
      <c r="C76" s="1473"/>
      <c r="D76" s="1476"/>
      <c r="E76" s="1477"/>
      <c r="F76" s="1446" t="str">
        <f>IFERROR(__xludf.DUMMYFUNCTION("""COMPUTED_VALUE"""),"Death Wave Damage Amplifier")</f>
        <v>Death Wave Damage Amplifier</v>
      </c>
      <c r="G76" s="1448">
        <f>IFERROR(__xludf.DUMMYFUNCTION("""COMPUTED_VALUE"""),126.70721858691734)</f>
        <v>126.7072186</v>
      </c>
      <c r="H76" s="1449" t="str">
        <f t="shared" si="3"/>
        <v>126d 16h 58m</v>
      </c>
      <c r="I76" s="1489">
        <f>IFERROR(__xludf.DUMMYFUNCTION("""COMPUTED_VALUE"""),3.1847255502491696E16)</f>
        <v>3.18473E+16</v>
      </c>
      <c r="J76" s="1449" t="str">
        <f t="shared" si="4"/>
        <v>31.85 q</v>
      </c>
      <c r="K76" s="1496">
        <f t="array" ref="K76">IFERROR(LET(
  Labspeed, IF(F76="Labs Speed", 1+'Master Sheet'!$BK$5, LAB_SPEED_TOTAL()),
  Lab, MATCH(IF(ISNUMBER(SEARCH("Mastery", $F76)), "Card Mastery", $F76), DVT_Laboratory!B$1:AA$1, 0)-1,
  Offset, OFFSET(DVT_Laboratory!B$3, 0, Lab, 100, 1),
SUM(TIME_TO_RUSH_GEMS(
    XLOOKUP(INDEX($W$5:$W201, MATCH(F76, $V$5:$V201, 0))+1, SEQUENCE(100, 1, 1, 1), Offset, "N/F", 0, 1):
    XLOOKUP(INDEX($X$5:$X201, MATCH(F76, $V$5:$V201, 0)), SEQUENCE(100, 1, 1, 1), Offset, "N/F", 0, 1)/Labspeed, IDS_LAB_GODLBOXED_COUNT()))),"")</f>
        <v>34206</v>
      </c>
      <c r="L76" s="1496">
        <f t="array" ref="L76">IFERROR(LET(
  Labspeed, IF(F76="Labs Speed", 1+'Master Sheet'!$BK$5, LAB_SPEED_TOTAL()),
  Lab, MATCH(IF(ISNUMBER(SEARCH("Mastery", $F76)), "Card Mastery", $F76), DVT_Laboratory!B$1:AA$1, 0)-1,
  Offset, OFFSET(DVT_Laboratory!B$3, 0, Lab, 100, 1),
K76-SUM(TIME_TO_RUSH_GEMS(
    XLOOKUP(INDEX($W$5:$W201, MATCH(F76, $V$5:$V201, 0))+1, SEQUENCE(100, 1, 1, 1), Offset, "N/F", 0, 1):
    XLOOKUP(INDEX($X$5:$X201, MATCH(F76, $V$5:$V201, 0)), SEQUENCE(100, 1, 1, 1), Offset, "N/F", 0, 1)/Labspeed, IDS_LAB_GODLBOXED_COUNT()+1))),"")</f>
        <v>299</v>
      </c>
      <c r="M76" s="1423" t="str">
        <f t="shared" si="5"/>
        <v>3781d 12h 59m</v>
      </c>
      <c r="N76" s="1429"/>
      <c r="O76" s="1429"/>
      <c r="P76" s="1429"/>
      <c r="Q76" s="1438" t="str">
        <f>IFERROR(__xludf.DUMMYFUNCTION("""COMPUTED_VALUE"""),"T14 40")</f>
        <v>T14 40</v>
      </c>
      <c r="R76" s="1438"/>
      <c r="S76" s="1438"/>
      <c r="T76" s="1438"/>
      <c r="U76" s="1438"/>
      <c r="V76" s="1443" t="str">
        <f>IFERROR(__xludf.DUMMYFUNCTION("""COMPUTED_VALUE"""),"Super Crit Multi")</f>
        <v>Super Crit Multi</v>
      </c>
      <c r="W76" s="1417">
        <v>13.0</v>
      </c>
      <c r="X76" s="1417">
        <v>40.0</v>
      </c>
      <c r="Y76" s="1416">
        <v>1014.3332546017382</v>
      </c>
      <c r="Z76" s="1479">
        <v>1.8342999169435217E11</v>
      </c>
      <c r="AA76" s="1417"/>
    </row>
    <row r="77">
      <c r="A77" s="1404"/>
      <c r="B77" s="1424"/>
      <c r="C77" s="1473"/>
      <c r="D77" s="1476"/>
      <c r="E77" s="1477"/>
      <c r="F77" s="1446" t="str">
        <f>IFERROR(__xludf.DUMMYFUNCTION("""COMPUTED_VALUE"""),"Labs Coin Discount")</f>
        <v>Labs Coin Discount</v>
      </c>
      <c r="G77" s="1448">
        <f>IFERROR(__xludf.DUMMYFUNCTION("""COMPUTED_VALUE"""),128.75519699139392)</f>
        <v>128.755197</v>
      </c>
      <c r="H77" s="1449" t="str">
        <f t="shared" si="3"/>
        <v>128d 18h  7m</v>
      </c>
      <c r="I77" s="1489">
        <f>IFERROR(__xludf.DUMMYFUNCTION("""COMPUTED_VALUE"""),2.7621E8)</f>
        <v>276210000</v>
      </c>
      <c r="J77" s="1449" t="str">
        <f t="shared" si="4"/>
        <v>276.21 M</v>
      </c>
      <c r="K77" s="1496">
        <f t="array" ref="K77">IFERROR(LET(
  Labspeed, IF(F77="Labs Speed", 1+'Master Sheet'!$BK$5, LAB_SPEED_TOTAL()),
  Lab, MATCH(IF(ISNUMBER(SEARCH("Mastery", $F77)), "Card Mastery", $F77), DVT_Laboratory!B$1:AA$1, 0)-1,
  Offset, OFFSET(DVT_Laboratory!B$3, 0, Lab, 100, 1),
SUM(TIME_TO_RUSH_GEMS(
    XLOOKUP(INDEX($W$5:$W201, MATCH(F77, $V$5:$V201, 0))+1, SEQUENCE(100, 1, 1, 1), Offset, "N/F", 0, 1):
    XLOOKUP(INDEX($X$5:$X201, MATCH(F77, $V$5:$V201, 0)), SEQUENCE(100, 1, 1, 1), Offset, "N/F", 0, 1)/Labspeed, IDS_LAB_GODLBOXED_COUNT()))),"")</f>
        <v>37248</v>
      </c>
      <c r="L77" s="1496">
        <f t="array" ref="L77">IFERROR(LET(
  Labspeed, IF(F77="Labs Speed", 1+'Master Sheet'!$BK$5, LAB_SPEED_TOTAL()),
  Lab, MATCH(IF(ISNUMBER(SEARCH("Mastery", $F77)), "Card Mastery", $F77), DVT_Laboratory!B$1:AA$1, 0)-1,
  Offset, OFFSET(DVT_Laboratory!B$3, 0, Lab, 100, 1),
K77-SUM(TIME_TO_RUSH_GEMS(
    XLOOKUP(INDEX($W$5:$W201, MATCH(F77, $V$5:$V201, 0))+1, SEQUENCE(100, 1, 1, 1), Offset, "N/F", 0, 1):
    XLOOKUP(INDEX($X$5:$X201, MATCH(F77, $V$5:$V201, 0)), SEQUENCE(100, 1, 1, 1), Offset, "N/F", 0, 1)/Labspeed, IDS_LAB_GODLBOXED_COUNT()+1))),"")</f>
        <v>322</v>
      </c>
      <c r="M77" s="1423" t="str">
        <f t="shared" si="5"/>
        <v>3910d  7h  7m</v>
      </c>
      <c r="N77" s="1429"/>
      <c r="O77" s="1429"/>
      <c r="P77" s="1429"/>
      <c r="Q77" s="1438" t="str">
        <f>IFERROR(__xludf.DUMMYFUNCTION("""COMPUTED_VALUE"""),"T14 60")</f>
        <v>T14 60</v>
      </c>
      <c r="R77" s="1438"/>
      <c r="S77" s="1438"/>
      <c r="T77" s="1438"/>
      <c r="U77" s="1438"/>
      <c r="V77" s="1443" t="str">
        <f>IFERROR(__xludf.DUMMYFUNCTION("""COMPUTED_VALUE"""),"Super Tower Bonus")</f>
        <v>Super Tower Bonus</v>
      </c>
      <c r="W77" s="1417">
        <v>0.0</v>
      </c>
      <c r="X77" s="1417">
        <v>30.0</v>
      </c>
      <c r="Y77" s="1416">
        <v>57.023564401738724</v>
      </c>
      <c r="Z77" s="1479">
        <v>9.957898671096346E12</v>
      </c>
      <c r="AA77" s="1417"/>
    </row>
    <row r="78">
      <c r="A78" s="1404"/>
      <c r="B78" s="1424"/>
      <c r="C78" s="1473"/>
      <c r="D78" s="1476"/>
      <c r="E78" s="1477"/>
      <c r="F78" s="1446" t="str">
        <f>IFERROR(__xludf.DUMMYFUNCTION("""COMPUTED_VALUE"""),"Defense %")</f>
        <v>Defense %</v>
      </c>
      <c r="G78" s="1448">
        <f>IFERROR(__xludf.DUMMYFUNCTION("""COMPUTED_VALUE"""),215.0689890015845)</f>
        <v>215.068989</v>
      </c>
      <c r="H78" s="1449" t="str">
        <f t="shared" si="3"/>
        <v>215d  1h 39m</v>
      </c>
      <c r="I78" s="1489">
        <f>IFERROR(__xludf.DUMMYFUNCTION("""COMPUTED_VALUE"""),4.674887873754153E10)</f>
        <v>46748878738</v>
      </c>
      <c r="J78" s="1449" t="str">
        <f t="shared" si="4"/>
        <v>46.75 B</v>
      </c>
      <c r="K78" s="1496">
        <f t="array" ref="K78">IFERROR(LET(
  Labspeed, IF(F78="Labs Speed", 1+'Master Sheet'!$BK$5, LAB_SPEED_TOTAL()),
  Lab, MATCH(IF(ISNUMBER(SEARCH("Mastery", $F78)), "Card Mastery", $F78), DVT_Laboratory!B$1:AA$1, 0)-1,
  Offset, OFFSET(DVT_Laboratory!B$3, 0, Lab, 100, 1),
SUM(TIME_TO_RUSH_GEMS(
    XLOOKUP(INDEX($W$5:$W201, MATCH(F78, $V$5:$V201, 0))+1, SEQUENCE(100, 1, 1, 1), Offset, "N/F", 0, 1):
    XLOOKUP(INDEX($X$5:$X201, MATCH(F78, $V$5:$V201, 0)), SEQUENCE(100, 1, 1, 1), Offset, "N/F", 0, 1)/Labspeed, IDS_LAB_GODLBOXED_COUNT()))),"")</f>
        <v>52105</v>
      </c>
      <c r="L78" s="1496">
        <f t="array" ref="L78">IFERROR(LET(
  Labspeed, IF(F78="Labs Speed", 1+'Master Sheet'!$BK$5, LAB_SPEED_TOTAL()),
  Lab, MATCH(IF(ISNUMBER(SEARCH("Mastery", $F78)), "Card Mastery", $F78), DVT_Laboratory!B$1:AA$1, 0)-1,
  Offset, OFFSET(DVT_Laboratory!B$3, 0, Lab, 100, 1),
K78-SUM(TIME_TO_RUSH_GEMS(
    XLOOKUP(INDEX($W$5:$W201, MATCH(F78, $V$5:$V201, 0))+1, SEQUENCE(100, 1, 1, 1), Offset, "N/F", 0, 1):
    XLOOKUP(INDEX($X$5:$X201, MATCH(F78, $V$5:$V201, 0)), SEQUENCE(100, 1, 1, 1), Offset, "N/F", 0, 1)/Labspeed, IDS_LAB_GODLBOXED_COUNT()+1))),"")</f>
        <v>449</v>
      </c>
      <c r="M78" s="1423" t="str">
        <f t="shared" si="5"/>
        <v>4125d  8h 46m</v>
      </c>
      <c r="N78" s="1429"/>
      <c r="O78" s="1429"/>
      <c r="P78" s="1429"/>
      <c r="Q78" s="1438" t="str">
        <f>IFERROR(__xludf.DUMMYFUNCTION("""COMPUTED_VALUE"""),"T16 40")</f>
        <v>T16 40</v>
      </c>
      <c r="R78" s="1438"/>
      <c r="S78" s="1438"/>
      <c r="T78" s="1438"/>
      <c r="U78" s="1438"/>
      <c r="V78" s="1443" t="str">
        <f>IFERROR(__xludf.DUMMYFUNCTION("""COMPUTED_VALUE"""),"Tank Enemy Attack")</f>
        <v>Tank Enemy Attack</v>
      </c>
      <c r="W78" s="1417">
        <v>0.0</v>
      </c>
      <c r="X78" s="1417">
        <v>30.0</v>
      </c>
      <c r="Y78" s="1416">
        <v>78.54394564624869</v>
      </c>
      <c r="Z78" s="1479">
        <v>2.14021511627907E13</v>
      </c>
      <c r="AA78" s="1417"/>
    </row>
    <row r="79">
      <c r="A79" s="1404"/>
      <c r="B79" s="1424"/>
      <c r="C79" s="1473"/>
      <c r="D79" s="1476"/>
      <c r="E79" s="1477"/>
      <c r="F79" s="1446" t="str">
        <f>IFERROR(__xludf.DUMMYFUNCTION("""COMPUTED_VALUE"""),"Interest")</f>
        <v>Interest</v>
      </c>
      <c r="G79" s="1448">
        <f>IFERROR(__xludf.DUMMYFUNCTION("""COMPUTED_VALUE"""),216.35574747705837)</f>
        <v>216.3557475</v>
      </c>
      <c r="H79" s="1449" t="str">
        <f t="shared" si="3"/>
        <v>216d  8h 32m</v>
      </c>
      <c r="I79" s="1489">
        <f>IFERROR(__xludf.DUMMYFUNCTION("""COMPUTED_VALUE"""),3.9237383720930237E8)</f>
        <v>392373837.2</v>
      </c>
      <c r="J79" s="1449" t="str">
        <f t="shared" si="4"/>
        <v>392.37 M</v>
      </c>
      <c r="K79" s="1496">
        <f t="array" ref="K79">IFERROR(LET(
  Labspeed, IF(F79="Labs Speed", 1+'Master Sheet'!$BK$5, LAB_SPEED_TOTAL()),
  Lab, MATCH(IF(ISNUMBER(SEARCH("Mastery", $F79)), "Card Mastery", $F79), DVT_Laboratory!B$1:AA$1, 0)-1,
  Offset, OFFSET(DVT_Laboratory!B$3, 0, Lab, 100, 1),
SUM(TIME_TO_RUSH_GEMS(
    XLOOKUP(INDEX($W$5:$W201, MATCH(F79, $V$5:$V201, 0))+1, SEQUENCE(100, 1, 1, 1), Offset, "N/F", 0, 1):
    XLOOKUP(INDEX($X$5:$X201, MATCH(F79, $V$5:$V201, 0)), SEQUENCE(100, 1, 1, 1), Offset, "N/F", 0, 1)/Labspeed, IDS_LAB_GODLBOXED_COUNT()))),"")</f>
        <v>63748</v>
      </c>
      <c r="L79" s="1496">
        <f t="array" ref="L79">IFERROR(LET(
  Labspeed, IF(F79="Labs Speed", 1+'Master Sheet'!$BK$5, LAB_SPEED_TOTAL()),
  Lab, MATCH(IF(ISNUMBER(SEARCH("Mastery", $F79)), "Card Mastery", $F79), DVT_Laboratory!B$1:AA$1, 0)-1,
  Offset, OFFSET(DVT_Laboratory!B$3, 0, Lab, 100, 1),
K79-SUM(TIME_TO_RUSH_GEMS(
    XLOOKUP(INDEX($W$5:$W201, MATCH(F79, $V$5:$V201, 0))+1, SEQUENCE(100, 1, 1, 1), Offset, "N/F", 0, 1):
    XLOOKUP(INDEX($X$5:$X201, MATCH(F79, $V$5:$V201, 0)), SEQUENCE(100, 1, 1, 1), Offset, "N/F", 0, 1)/Labspeed, IDS_LAB_GODLBOXED_COUNT()+1))),"")</f>
        <v>554</v>
      </c>
      <c r="M79" s="1423" t="str">
        <f t="shared" si="5"/>
        <v>4341d 17h 19m</v>
      </c>
      <c r="N79" s="1429"/>
      <c r="O79" s="1429"/>
      <c r="P79" s="1429"/>
      <c r="Q79" s="1438" t="str">
        <f>IFERROR(__xludf.DUMMYFUNCTION("""COMPUTED_VALUE"""),"T16 60")</f>
        <v>T16 60</v>
      </c>
      <c r="R79" s="1438"/>
      <c r="S79" s="1438"/>
      <c r="T79" s="1438"/>
      <c r="U79" s="1438"/>
      <c r="V79" s="1443" t="str">
        <f>IFERROR(__xludf.DUMMYFUNCTION("""COMPUTED_VALUE"""),"Tank Enemy Health")</f>
        <v>Tank Enemy Health</v>
      </c>
      <c r="W79" s="1417">
        <v>0.0</v>
      </c>
      <c r="X79" s="1417">
        <v>30.0</v>
      </c>
      <c r="Y79" s="1416">
        <v>78.54394564624869</v>
      </c>
      <c r="Z79" s="1479">
        <v>2.14021511627907E13</v>
      </c>
      <c r="AA79" s="1417"/>
    </row>
    <row r="80">
      <c r="A80" s="1404"/>
      <c r="B80" s="1424"/>
      <c r="C80" s="1473"/>
      <c r="D80" s="1476"/>
      <c r="E80" s="1477"/>
      <c r="F80" s="1446" t="str">
        <f>IFERROR(__xludf.DUMMYFUNCTION("""COMPUTED_VALUE"""),"Assist Module Bonus - Armor")</f>
        <v>Assist Module Bonus - Armor</v>
      </c>
      <c r="G80" s="1448">
        <f>IFERROR(__xludf.DUMMYFUNCTION("""COMPUTED_VALUE"""),319.13410779802905)</f>
        <v>319.1341078</v>
      </c>
      <c r="H80" s="1449" t="str">
        <f t="shared" si="3"/>
        <v>319d  3h 13m</v>
      </c>
      <c r="I80" s="1489">
        <f>IFERROR(__xludf.DUMMYFUNCTION("""COMPUTED_VALUE"""),9.65531561461794E19)</f>
        <v>9.65532E+19</v>
      </c>
      <c r="J80" s="1449" t="str">
        <f t="shared" si="4"/>
        <v>96.55 Q</v>
      </c>
      <c r="K80" s="1499">
        <f t="array" ref="K80">IFERROR(LET(
  Labspeed, IF(F80="Labs Speed", 1+'Master Sheet'!$BK$5, LAB_SPEED_TOTAL()),
  Lab, MATCH(IF(ISNUMBER(SEARCH("Mastery", $F80)), "Card Mastery", $F80), DVT_Laboratory!B$1:AA$1, 0)-1,
  Offset, OFFSET(DVT_Laboratory!B$3, 0, Lab, 100, 1),
SUM(TIME_TO_RUSH_GEMS(
    XLOOKUP(INDEX($W$5:$W201, MATCH(F80, $V$5:$V201, 0))+1, SEQUENCE(100, 1, 1, 1), Offset, "N/F", 0, 1):
    XLOOKUP(INDEX($X$5:$X201, MATCH(F80, $V$5:$V201, 0)), SEQUENCE(100, 1, 1, 1), Offset, "N/F", 0, 1)/Labspeed, IDS_LAB_GODLBOXED_COUNT()))),"")</f>
        <v>74892</v>
      </c>
      <c r="L80" s="1499">
        <f t="array" ref="L80">IFERROR(LET(
  Labspeed, IF(F80="Labs Speed", 1+'Master Sheet'!$BK$5, LAB_SPEED_TOTAL()),
  Lab, MATCH(IF(ISNUMBER(SEARCH("Mastery", $F80)), "Card Mastery", $F80), DVT_Laboratory!B$1:AA$1, 0)-1,
  Offset, OFFSET(DVT_Laboratory!B$3, 0, Lab, 100, 1),
K80-SUM(TIME_TO_RUSH_GEMS(
    XLOOKUP(INDEX($W$5:$W201, MATCH(F80, $V$5:$V201, 0))+1, SEQUENCE(100, 1, 1, 1), Offset, "N/F", 0, 1):
    XLOOKUP(INDEX($X$5:$X201, MATCH(F80, $V$5:$V201, 0)), SEQUENCE(100, 1, 1, 1), Offset, "N/F", 0, 1)/Labspeed, IDS_LAB_GODLBOXED_COUNT()+1))),"")</f>
        <v>645</v>
      </c>
      <c r="M80" s="1423" t="str">
        <f t="shared" si="5"/>
        <v>4660d 20h 32m</v>
      </c>
      <c r="N80" s="1429"/>
      <c r="O80" s="1429"/>
      <c r="P80" s="1429"/>
      <c r="Q80" s="1438" t="str">
        <f>IFERROR(__xludf.DUMMYFUNCTION("""COMPUTED_VALUE"""),"T16 100")</f>
        <v>T16 100</v>
      </c>
      <c r="R80" s="1438"/>
      <c r="S80" s="1438"/>
      <c r="T80" s="1438"/>
      <c r="U80" s="1438"/>
      <c r="V80" s="1443" t="str">
        <f>IFERROR(__xludf.DUMMYFUNCTION("""COMPUTED_VALUE"""),"Wall Fortification")</f>
        <v>Wall Fortification</v>
      </c>
      <c r="W80" s="1417">
        <v>47.0</v>
      </c>
      <c r="X80" s="1417">
        <v>60.0</v>
      </c>
      <c r="Y80" s="1416">
        <v>37.10208180930619</v>
      </c>
      <c r="Z80" s="1479">
        <v>8.480897009966778E13</v>
      </c>
      <c r="AA80" s="1417"/>
    </row>
    <row r="81">
      <c r="A81" s="1404"/>
      <c r="B81" s="1424"/>
      <c r="C81" s="1473"/>
      <c r="D81" s="1476"/>
      <c r="E81" s="1477"/>
      <c r="F81" s="1446" t="str">
        <f>IFERROR(__xludf.DUMMYFUNCTION("""COMPUTED_VALUE"""),"Assist Module Bonus - Core")</f>
        <v>Assist Module Bonus - Core</v>
      </c>
      <c r="G81" s="1448">
        <f>IFERROR(__xludf.DUMMYFUNCTION("""COMPUTED_VALUE"""),319.13410779802905)</f>
        <v>319.1341078</v>
      </c>
      <c r="H81" s="1449" t="str">
        <f t="shared" si="3"/>
        <v>319d  3h 13m</v>
      </c>
      <c r="I81" s="1489">
        <f>IFERROR(__xludf.DUMMYFUNCTION("""COMPUTED_VALUE"""),9.65531561461794E19)</f>
        <v>9.65532E+19</v>
      </c>
      <c r="J81" s="1449" t="str">
        <f t="shared" si="4"/>
        <v>96.55 Q</v>
      </c>
      <c r="K81" s="1492">
        <f t="array" ref="K81">IFERROR(LET(
  Labspeed, IF(F81="Labs Speed", 1+'Master Sheet'!$BK$5, LAB_SPEED_TOTAL()),
  Lab, MATCH(IF(ISNUMBER(SEARCH("Mastery", $F81)), "Card Mastery", $F81), DVT_Laboratory!B$1:AA$1, 0)-1,
  Offset, OFFSET(DVT_Laboratory!B$3, 0, Lab, 100, 1),
SUM(TIME_TO_RUSH_GEMS(
    XLOOKUP(INDEX($W$5:$W201, MATCH(F81, $V$5:$V201, 0))+1, SEQUENCE(100, 1, 1, 1), Offset, "N/F", 0, 1):
    XLOOKUP(INDEX($X$5:$X201, MATCH(F81, $V$5:$V201, 0)), SEQUENCE(100, 1, 1, 1), Offset, "N/F", 0, 1)/Labspeed, IDS_LAB_GODLBOXED_COUNT()))),"")</f>
        <v>74892</v>
      </c>
      <c r="L81" s="1492">
        <f t="array" ref="L81">IFERROR(LET(
  Labspeed, IF(F81="Labs Speed", 1+'Master Sheet'!$BK$5, LAB_SPEED_TOTAL()),
  Lab, MATCH(IF(ISNUMBER(SEARCH("Mastery", $F81)), "Card Mastery", $F81), DVT_Laboratory!B$1:AA$1, 0)-1,
  Offset, OFFSET(DVT_Laboratory!B$3, 0, Lab, 100, 1),
K81-SUM(TIME_TO_RUSH_GEMS(
    XLOOKUP(INDEX($W$5:$W201, MATCH(F81, $V$5:$V201, 0))+1, SEQUENCE(100, 1, 1, 1), Offset, "N/F", 0, 1):
    XLOOKUP(INDEX($X$5:$X201, MATCH(F81, $V$5:$V201, 0)), SEQUENCE(100, 1, 1, 1), Offset, "N/F", 0, 1)/Labspeed, IDS_LAB_GODLBOXED_COUNT()+1))),"")</f>
        <v>645</v>
      </c>
      <c r="M81" s="1423" t="str">
        <f t="shared" si="5"/>
        <v>4979d 23h 45m</v>
      </c>
      <c r="N81" s="1429"/>
      <c r="O81" s="1429"/>
      <c r="P81" s="1429"/>
      <c r="Q81" s="1438" t="str">
        <f>IFERROR(__xludf.DUMMYFUNCTION("""COMPUTED_VALUE"""),"T18 1000")</f>
        <v>T18 1000</v>
      </c>
      <c r="R81" s="1438"/>
      <c r="S81" s="1438"/>
      <c r="T81" s="1438"/>
      <c r="U81" s="1438"/>
      <c r="V81" s="1443" t="str">
        <f>IFERROR(__xludf.DUMMYFUNCTION("""COMPUTED_VALUE"""),"Wall Invincibility")</f>
        <v>Wall Invincibility</v>
      </c>
      <c r="W81" s="1417">
        <v>0.0</v>
      </c>
      <c r="X81" s="1417">
        <v>10.0</v>
      </c>
      <c r="Y81" s="1416">
        <v>5.322767765095988</v>
      </c>
      <c r="Z81" s="1479">
        <v>4.471528239202658E12</v>
      </c>
      <c r="AA81" s="1417"/>
    </row>
    <row r="82">
      <c r="A82" s="1404"/>
      <c r="B82" s="1424"/>
      <c r="C82" s="1473"/>
      <c r="D82" s="1476"/>
      <c r="E82" s="1477"/>
      <c r="F82" s="1446" t="str">
        <f>IFERROR(__xludf.DUMMYFUNCTION("""COMPUTED_VALUE"""),"Assist Module Bonus - Generator")</f>
        <v>Assist Module Bonus - Generator</v>
      </c>
      <c r="G82" s="1448">
        <f>IFERROR(__xludf.DUMMYFUNCTION("""COMPUTED_VALUE"""),319.13410779802905)</f>
        <v>319.1341078</v>
      </c>
      <c r="H82" s="1449" t="str">
        <f t="shared" si="3"/>
        <v>319d  3h 13m</v>
      </c>
      <c r="I82" s="1489">
        <f>IFERROR(__xludf.DUMMYFUNCTION("""COMPUTED_VALUE"""),9.65531561461794E19)</f>
        <v>9.65532E+19</v>
      </c>
      <c r="J82" s="1449" t="str">
        <f t="shared" si="4"/>
        <v>96.55 Q</v>
      </c>
      <c r="K82" s="1499">
        <f t="array" ref="K82">IFERROR(LET(
  Labspeed, IF(F82="Labs Speed", 1+'Master Sheet'!$BK$5, LAB_SPEED_TOTAL()),
  Lab, MATCH(IF(ISNUMBER(SEARCH("Mastery", $F82)), "Card Mastery", $F82), DVT_Laboratory!B$1:AA$1, 0)-1,
  Offset, OFFSET(DVT_Laboratory!B$3, 0, Lab, 100, 1),
SUM(TIME_TO_RUSH_GEMS(
    XLOOKUP(INDEX($W$5:$W201, MATCH(F82, $V$5:$V201, 0))+1, SEQUENCE(100, 1, 1, 1), Offset, "N/F", 0, 1):
    XLOOKUP(INDEX($X$5:$X201, MATCH(F82, $V$5:$V201, 0)), SEQUENCE(100, 1, 1, 1), Offset, "N/F", 0, 1)/Labspeed, IDS_LAB_GODLBOXED_COUNT()))),"")</f>
        <v>74892</v>
      </c>
      <c r="L82" s="1499">
        <f t="array" ref="L82">IFERROR(LET(
  Labspeed, IF(F82="Labs Speed", 1+'Master Sheet'!$BK$5, LAB_SPEED_TOTAL()),
  Lab, MATCH(IF(ISNUMBER(SEARCH("Mastery", $F82)), "Card Mastery", $F82), DVT_Laboratory!B$1:AA$1, 0)-1,
  Offset, OFFSET(DVT_Laboratory!B$3, 0, Lab, 100, 1),
K82-SUM(TIME_TO_RUSH_GEMS(
    XLOOKUP(INDEX($W$5:$W201, MATCH(F82, $V$5:$V201, 0))+1, SEQUENCE(100, 1, 1, 1), Offset, "N/F", 0, 1):
    XLOOKUP(INDEX($X$5:$X201, MATCH(F82, $V$5:$V201, 0)), SEQUENCE(100, 1, 1, 1), Offset, "N/F", 0, 1)/Labspeed, IDS_LAB_GODLBOXED_COUNT()+1))),"")</f>
        <v>645</v>
      </c>
      <c r="M82" s="1423" t="str">
        <f t="shared" si="5"/>
        <v>5299d  2h 58m</v>
      </c>
      <c r="N82" s="1429"/>
      <c r="O82" s="1429"/>
      <c r="P82" s="1429"/>
      <c r="Q82" s="1438" t="str">
        <f>IFERROR(__xludf.DUMMYFUNCTION("""COMPUTED_VALUE"""),"T19 50")</f>
        <v>T19 50</v>
      </c>
      <c r="R82" s="1438"/>
      <c r="S82" s="1438"/>
      <c r="T82" s="1438"/>
      <c r="U82" s="1438"/>
      <c r="V82" s="1443" t="str">
        <f>IFERROR(__xludf.DUMMYFUNCTION("""COMPUTED_VALUE"""),"Wall Rebuild")</f>
        <v>Wall Rebuild</v>
      </c>
      <c r="W82" s="1417">
        <v>9.0</v>
      </c>
      <c r="X82" s="1417">
        <v>20.0</v>
      </c>
      <c r="Y82" s="1416">
        <v>14.327120245388373</v>
      </c>
      <c r="Z82" s="1479">
        <v>1.3642857142857143E11</v>
      </c>
      <c r="AA82" s="1417"/>
    </row>
    <row r="83">
      <c r="A83" s="1404"/>
      <c r="B83" s="1424"/>
      <c r="C83" s="1473"/>
      <c r="D83" s="1476"/>
      <c r="E83" s="1477"/>
      <c r="F83" s="1446" t="str">
        <f>IFERROR(__xludf.DUMMYFUNCTION("""COMPUTED_VALUE"""),"Assist Module Substats - Armor")</f>
        <v>Assist Module Substats - Armor</v>
      </c>
      <c r="G83" s="1448">
        <f>IFERROR(__xludf.DUMMYFUNCTION("""COMPUTED_VALUE"""),319.13410779802905)</f>
        <v>319.1341078</v>
      </c>
      <c r="H83" s="1449" t="str">
        <f t="shared" si="3"/>
        <v>319d  3h 13m</v>
      </c>
      <c r="I83" s="1489">
        <f>IFERROR(__xludf.DUMMYFUNCTION("""COMPUTED_VALUE"""),9.65531561461794E19)</f>
        <v>9.65532E+19</v>
      </c>
      <c r="J83" s="1449" t="str">
        <f t="shared" si="4"/>
        <v>96.55 Q</v>
      </c>
      <c r="K83" s="1493">
        <f t="array" ref="K83">IFERROR(LET(
  Labspeed, IF(F83="Labs Speed", 1+'Master Sheet'!$BK$5, LAB_SPEED_TOTAL()),
  Lab, MATCH(IF(ISNUMBER(SEARCH("Mastery", $F83)), "Card Mastery", $F83), DVT_Laboratory!B$1:AA$1, 0)-1,
  Offset, OFFSET(DVT_Laboratory!B$3, 0, Lab, 100, 1),
SUM(TIME_TO_RUSH_GEMS(
    XLOOKUP(INDEX($W$5:$W201, MATCH(F83, $V$5:$V201, 0))+1, SEQUENCE(100, 1, 1, 1), Offset, "N/F", 0, 1):
    XLOOKUP(INDEX($X$5:$X201, MATCH(F83, $V$5:$V201, 0)), SEQUENCE(100, 1, 1, 1), Offset, "N/F", 0, 1)/Labspeed, IDS_LAB_GODLBOXED_COUNT()))),"")</f>
        <v>74892</v>
      </c>
      <c r="L83" s="1493">
        <f t="array" ref="L83">IFERROR(LET(
  Labspeed, IF(F83="Labs Speed", 1+'Master Sheet'!$BK$5, LAB_SPEED_TOTAL()),
  Lab, MATCH(IF(ISNUMBER(SEARCH("Mastery", $F83)), "Card Mastery", $F83), DVT_Laboratory!B$1:AA$1, 0)-1,
  Offset, OFFSET(DVT_Laboratory!B$3, 0, Lab, 100, 1),
K83-SUM(TIME_TO_RUSH_GEMS(
    XLOOKUP(INDEX($W$5:$W201, MATCH(F83, $V$5:$V201, 0))+1, SEQUENCE(100, 1, 1, 1), Offset, "N/F", 0, 1):
    XLOOKUP(INDEX($X$5:$X201, MATCH(F83, $V$5:$V201, 0)), SEQUENCE(100, 1, 1, 1), Offset, "N/F", 0, 1)/Labspeed, IDS_LAB_GODLBOXED_COUNT()+1))),"")</f>
        <v>645</v>
      </c>
      <c r="M83" s="1423" t="str">
        <f t="shared" si="5"/>
        <v>5618d  6h 11m</v>
      </c>
      <c r="N83" s="1429"/>
      <c r="O83" s="1429"/>
      <c r="P83" s="1429"/>
      <c r="Q83" s="1438" t="str">
        <f>IFERROR(__xludf.DUMMYFUNCTION("""COMPUTED_VALUE"""),"T19 60")</f>
        <v>T19 60</v>
      </c>
      <c r="R83" s="1438"/>
      <c r="S83" s="1438"/>
      <c r="T83" s="1438"/>
      <c r="U83" s="1438"/>
      <c r="V83" s="1443" t="str">
        <f>IFERROR(__xludf.DUMMYFUNCTION("""COMPUTED_VALUE"""),"Wall Regen")</f>
        <v>Wall Regen</v>
      </c>
      <c r="W83" s="1417">
        <v>21.0</v>
      </c>
      <c r="X83" s="1417">
        <v>30.0</v>
      </c>
      <c r="Y83" s="1416">
        <v>97.4592753762876</v>
      </c>
      <c r="Z83" s="1479">
        <v>1.4059468438538206E12</v>
      </c>
      <c r="AA83" s="1417"/>
    </row>
    <row r="84">
      <c r="A84" s="1404"/>
      <c r="B84" s="1424"/>
      <c r="C84" s="1473"/>
      <c r="D84" s="1476"/>
      <c r="E84" s="1477"/>
      <c r="F84" s="1446" t="str">
        <f>IFERROR(__xludf.DUMMYFUNCTION("""COMPUTED_VALUE"""),"Assist Module Substats - Core")</f>
        <v>Assist Module Substats - Core</v>
      </c>
      <c r="G84" s="1448">
        <f>IFERROR(__xludf.DUMMYFUNCTION("""COMPUTED_VALUE"""),319.13410779802905)</f>
        <v>319.1341078</v>
      </c>
      <c r="H84" s="1449" t="str">
        <f t="shared" si="3"/>
        <v>319d  3h 13m</v>
      </c>
      <c r="I84" s="1489">
        <f>IFERROR(__xludf.DUMMYFUNCTION("""COMPUTED_VALUE"""),9.65531561461794E19)</f>
        <v>9.65532E+19</v>
      </c>
      <c r="J84" s="1449" t="str">
        <f t="shared" si="4"/>
        <v>96.55 Q</v>
      </c>
      <c r="K84" s="1510">
        <f t="array" ref="K84">IFERROR(LET(
  Labspeed, IF(F84="Labs Speed", 1+'Master Sheet'!$BK$5, LAB_SPEED_TOTAL()),
  Lab, MATCH(IF(ISNUMBER(SEARCH("Mastery", $F84)), "Card Mastery", $F84), DVT_Laboratory!B$1:AA$1, 0)-1,
  Offset, OFFSET(DVT_Laboratory!B$3, 0, Lab, 100, 1),
SUM(TIME_TO_RUSH_GEMS(
    XLOOKUP(INDEX($W$5:$W201, MATCH(F84, $V$5:$V201, 0))+1, SEQUENCE(100, 1, 1, 1), Offset, "N/F", 0, 1):
    XLOOKUP(INDEX($X$5:$X201, MATCH(F84, $V$5:$V201, 0)), SEQUENCE(100, 1, 1, 1), Offset, "N/F", 0, 1)/Labspeed, IDS_LAB_GODLBOXED_COUNT()))),"")</f>
        <v>74892</v>
      </c>
      <c r="L84" s="1510">
        <f t="array" ref="L84">IFERROR(LET(
  Labspeed, IF(F84="Labs Speed", 1+'Master Sheet'!$BK$5, LAB_SPEED_TOTAL()),
  Lab, MATCH(IF(ISNUMBER(SEARCH("Mastery", $F84)), "Card Mastery", $F84), DVT_Laboratory!B$1:AA$1, 0)-1,
  Offset, OFFSET(DVT_Laboratory!B$3, 0, Lab, 100, 1),
K84-SUM(TIME_TO_RUSH_GEMS(
    XLOOKUP(INDEX($W$5:$W201, MATCH(F84, $V$5:$V201, 0))+1, SEQUENCE(100, 1, 1, 1), Offset, "N/F", 0, 1):
    XLOOKUP(INDEX($X$5:$X201, MATCH(F84, $V$5:$V201, 0)), SEQUENCE(100, 1, 1, 1), Offset, "N/F", 0, 1)/Labspeed, IDS_LAB_GODLBOXED_COUNT()+1))),"")</f>
        <v>645</v>
      </c>
      <c r="M84" s="1423" t="str">
        <f t="shared" si="5"/>
        <v>5937d  9h 24m</v>
      </c>
      <c r="N84" s="1429"/>
      <c r="O84" s="1429"/>
      <c r="P84" s="1429"/>
      <c r="Q84" s="1438" t="str">
        <f>IFERROR(__xludf.DUMMYFUNCTION("""COMPUTED_VALUE"""),"T19 100")</f>
        <v>T19 100</v>
      </c>
      <c r="R84" s="1438"/>
      <c r="S84" s="1438"/>
      <c r="T84" s="1438"/>
      <c r="U84" s="1438"/>
      <c r="V84" s="1443" t="str">
        <f>IFERROR(__xludf.DUMMYFUNCTION("""COMPUTED_VALUE"""),"Wall Thorns")</f>
        <v>Wall Thorns</v>
      </c>
      <c r="W84" s="1417">
        <v>15.0</v>
      </c>
      <c r="X84" s="1417">
        <v>20.0</v>
      </c>
      <c r="Y84" s="1416">
        <v>55.02433794848764</v>
      </c>
      <c r="Z84" s="1479">
        <v>7.578073089700997E11</v>
      </c>
      <c r="AA84" s="1417"/>
    </row>
    <row r="85">
      <c r="A85" s="1404"/>
      <c r="B85" s="1424"/>
      <c r="C85" s="1473"/>
      <c r="D85" s="1476"/>
      <c r="E85" s="1477"/>
      <c r="F85" s="1446" t="str">
        <f>IFERROR(__xludf.DUMMYFUNCTION("""COMPUTED_VALUE"""),"Assist Module Substats - Generator")</f>
        <v>Assist Module Substats - Generator</v>
      </c>
      <c r="G85" s="1448">
        <f>IFERROR(__xludf.DUMMYFUNCTION("""COMPUTED_VALUE"""),319.13410779802905)</f>
        <v>319.1341078</v>
      </c>
      <c r="H85" s="1449" t="str">
        <f t="shared" si="3"/>
        <v>319d  3h 13m</v>
      </c>
      <c r="I85" s="1489">
        <f>IFERROR(__xludf.DUMMYFUNCTION("""COMPUTED_VALUE"""),9.65531561461794E19)</f>
        <v>9.65532E+19</v>
      </c>
      <c r="J85" s="1449" t="str">
        <f t="shared" si="4"/>
        <v>96.55 Q</v>
      </c>
      <c r="K85" s="1510">
        <f t="array" ref="K85">IFERROR(LET(
  Labspeed, IF(F85="Labs Speed", 1+'Master Sheet'!$BK$5, LAB_SPEED_TOTAL()),
  Lab, MATCH(IF(ISNUMBER(SEARCH("Mastery", $F85)), "Card Mastery", $F85), DVT_Laboratory!B$1:AA$1, 0)-1,
  Offset, OFFSET(DVT_Laboratory!B$3, 0, Lab, 100, 1),
SUM(TIME_TO_RUSH_GEMS(
    XLOOKUP(INDEX($W$5:$W201, MATCH(F85, $V$5:$V201, 0))+1, SEQUENCE(100, 1, 1, 1), Offset, "N/F", 0, 1):
    XLOOKUP(INDEX($X$5:$X201, MATCH(F85, $V$5:$V201, 0)), SEQUENCE(100, 1, 1, 1), Offset, "N/F", 0, 1)/Labspeed, IDS_LAB_GODLBOXED_COUNT()))),"")</f>
        <v>74892</v>
      </c>
      <c r="L85" s="1510">
        <f t="array" ref="L85">IFERROR(LET(
  Labspeed, IF(F85="Labs Speed", 1+'Master Sheet'!$BK$5, LAB_SPEED_TOTAL()),
  Lab, MATCH(IF(ISNUMBER(SEARCH("Mastery", $F85)), "Card Mastery", $F85), DVT_Laboratory!B$1:AA$1, 0)-1,
  Offset, OFFSET(DVT_Laboratory!B$3, 0, Lab, 100, 1),
K85-SUM(TIME_TO_RUSH_GEMS(
    XLOOKUP(INDEX($W$5:$W201, MATCH(F85, $V$5:$V201, 0))+1, SEQUENCE(100, 1, 1, 1), Offset, "N/F", 0, 1):
    XLOOKUP(INDEX($X$5:$X201, MATCH(F85, $V$5:$V201, 0)), SEQUENCE(100, 1, 1, 1), Offset, "N/F", 0, 1)/Labspeed, IDS_LAB_GODLBOXED_COUNT()+1))),"")</f>
        <v>645</v>
      </c>
      <c r="M85" s="1423" t="str">
        <f t="shared" si="5"/>
        <v>6256d 12h 37m</v>
      </c>
      <c r="N85" s="1429"/>
      <c r="O85" s="1429"/>
      <c r="P85" s="1429"/>
      <c r="Q85" s="1438" t="str">
        <f>IFERROR(__xludf.DUMMYFUNCTION("""COMPUTED_VALUE"""),"T19 500")</f>
        <v>T19 500</v>
      </c>
      <c r="R85" s="1438"/>
      <c r="S85" s="1438"/>
      <c r="T85" s="1438"/>
      <c r="U85" s="1438"/>
      <c r="V85" s="1443" t="str">
        <f>IFERROR(__xludf.DUMMYFUNCTION("""COMPUTED_VALUE"""),"Waves Required")</f>
        <v>Waves Required</v>
      </c>
      <c r="W85" s="1417">
        <v>13.0</v>
      </c>
      <c r="X85" s="1417">
        <v>100.0</v>
      </c>
      <c r="Y85" s="1416">
        <v>11226.553474993718</v>
      </c>
      <c r="Z85" s="1479">
        <v>2.6861726744186045E15</v>
      </c>
      <c r="AA85" s="1417"/>
    </row>
    <row r="86">
      <c r="A86" s="1404"/>
      <c r="B86" s="1424"/>
      <c r="C86" s="1473"/>
      <c r="D86" s="1476"/>
      <c r="E86" s="1477"/>
      <c r="F86" s="1446" t="str">
        <f>IFERROR(__xludf.DUMMYFUNCTION("""COMPUTED_VALUE"""),"Auto Pick Ranking")</f>
        <v>Auto Pick Ranking</v>
      </c>
      <c r="G86" s="1448">
        <f>IFERROR(__xludf.DUMMYFUNCTION("""COMPUTED_VALUE"""),335.9480012236938)</f>
        <v>335.9480012</v>
      </c>
      <c r="H86" s="1449" t="str">
        <f t="shared" si="3"/>
        <v>335d 22h 45m</v>
      </c>
      <c r="I86" s="1489">
        <f>IFERROR(__xludf.DUMMYFUNCTION("""COMPUTED_VALUE"""),7.847093023255814E11)</f>
        <v>784709302326</v>
      </c>
      <c r="J86" s="1449" t="str">
        <f t="shared" si="4"/>
        <v>784.71 B</v>
      </c>
      <c r="K86" s="1510">
        <f t="array" ref="K86">IFERROR(LET(
  Labspeed, IF(F86="Labs Speed", 1+'Master Sheet'!$BK$5, LAB_SPEED_TOTAL()),
  Lab, MATCH(IF(ISNUMBER(SEARCH("Mastery", $F86)), "Card Mastery", $F86), DVT_Laboratory!B$1:AA$1, 0)-1,
  Offset, OFFSET(DVT_Laboratory!B$3, 0, Lab, 100, 1),
SUM(TIME_TO_RUSH_GEMS(
    XLOOKUP(INDEX($W$5:$W201, MATCH(F86, $V$5:$V201, 0))+1, SEQUENCE(100, 1, 1, 1), Offset, "N/F", 0, 1):
    XLOOKUP(INDEX($X$5:$X201, MATCH(F86, $V$5:$V201, 0)), SEQUENCE(100, 1, 1, 1), Offset, "N/F", 0, 1)/Labspeed, IDS_LAB_GODLBOXED_COUNT()))),"")</f>
        <v>68837</v>
      </c>
      <c r="L86" s="1510">
        <f t="array" ref="L86">IFERROR(LET(
  Labspeed, IF(F86="Labs Speed", 1+'Master Sheet'!$BK$5, LAB_SPEED_TOTAL()),
  Lab, MATCH(IF(ISNUMBER(SEARCH("Mastery", $F86)), "Card Mastery", $F86), DVT_Laboratory!B$1:AA$1, 0)-1,
  Offset, OFFSET(DVT_Laboratory!B$3, 0, Lab, 100, 1),
K86-SUM(TIME_TO_RUSH_GEMS(
    XLOOKUP(INDEX($W$5:$W201, MATCH(F86, $V$5:$V201, 0))+1, SEQUENCE(100, 1, 1, 1), Offset, "N/F", 0, 1):
    XLOOKUP(INDEX($X$5:$X201, MATCH(F86, $V$5:$V201, 0)), SEQUENCE(100, 1, 1, 1), Offset, "N/F", 0, 1)/Labspeed, IDS_LAB_GODLBOXED_COUNT()+1))),"")</f>
        <v>598</v>
      </c>
      <c r="M86" s="1423" t="str">
        <f t="shared" si="5"/>
        <v>6592d 11h 22m</v>
      </c>
      <c r="N86" s="1429"/>
      <c r="O86" s="1429"/>
      <c r="P86" s="1429"/>
      <c r="Q86" s="1438" t="str">
        <f>IFERROR(__xludf.DUMMYFUNCTION("""COMPUTED_VALUE"""),"T20 60")</f>
        <v>T20 60</v>
      </c>
      <c r="R86" s="1438"/>
      <c r="S86" s="1438"/>
      <c r="T86" s="1438"/>
      <c r="U86" s="1438"/>
      <c r="V86" s="1443" t="str">
        <f>IFERROR(__xludf.DUMMYFUNCTION("""COMPUTED_VALUE"""),"Workshop Attack Discount")</f>
        <v>Workshop Attack Discount</v>
      </c>
      <c r="W86" s="1417">
        <v>27.0</v>
      </c>
      <c r="X86" s="1417">
        <v>99.0</v>
      </c>
      <c r="Y86" s="1416">
        <v>90.70647660930206</v>
      </c>
      <c r="Z86" s="1479">
        <v>9.208861295681064E7</v>
      </c>
      <c r="AA86" s="1417"/>
    </row>
    <row r="87">
      <c r="A87" s="1404"/>
      <c r="B87" s="1424"/>
      <c r="C87" s="1473"/>
      <c r="D87" s="1476"/>
      <c r="E87" s="1477"/>
      <c r="F87" s="1446" t="str">
        <f>IFERROR(__xludf.DUMMYFUNCTION("""COMPUTED_VALUE"""),"Super Crit Multi")</f>
        <v>Super Crit Multi</v>
      </c>
      <c r="G87" s="1448">
        <f>IFERROR(__xludf.DUMMYFUNCTION("""COMPUTED_VALUE"""),1014.3332546017382)</f>
        <v>1014.333255</v>
      </c>
      <c r="H87" s="1449" t="str">
        <f t="shared" si="3"/>
        <v>1014d  7h 59m</v>
      </c>
      <c r="I87" s="1489">
        <f>IFERROR(__xludf.DUMMYFUNCTION("""COMPUTED_VALUE"""),1.8342999169435217E11)</f>
        <v>183429991694</v>
      </c>
      <c r="J87" s="1449" t="str">
        <f t="shared" si="4"/>
        <v>183.43 B</v>
      </c>
      <c r="K87" s="1510">
        <f t="array" ref="K87">IFERROR(LET(
  Labspeed, IF(F87="Labs Speed", 1+'Master Sheet'!$BK$5, LAB_SPEED_TOTAL()),
  Lab, MATCH(IF(ISNUMBER(SEARCH("Mastery", $F87)), "Card Mastery", $F87), DVT_Laboratory!B$1:AA$1, 0)-1,
  Offset, OFFSET(DVT_Laboratory!B$3, 0, Lab, 100, 1),
SUM(TIME_TO_RUSH_GEMS(
    XLOOKUP(INDEX($W$5:$W201, MATCH(F87, $V$5:$V201, 0))+1, SEQUENCE(100, 1, 1, 1), Offset, "N/F", 0, 1):
    XLOOKUP(INDEX($X$5:$X201, MATCH(F87, $V$5:$V201, 0)), SEQUENCE(100, 1, 1, 1), Offset, "N/F", 0, 1)/Labspeed, IDS_LAB_GODLBOXED_COUNT()))),"")</f>
        <v>170330</v>
      </c>
      <c r="L87" s="1510">
        <f t="array" ref="L87">IFERROR(LET(
  Labspeed, IF(F87="Labs Speed", 1+'Master Sheet'!$BK$5, LAB_SPEED_TOTAL()),
  Lab, MATCH(IF(ISNUMBER(SEARCH("Mastery", $F87)), "Card Mastery", $F87), DVT_Laboratory!B$1:AA$1, 0)-1,
  Offset, OFFSET(DVT_Laboratory!B$3, 0, Lab, 100, 1),
K87-SUM(TIME_TO_RUSH_GEMS(
    XLOOKUP(INDEX($W$5:$W201, MATCH(F87, $V$5:$V201, 0))+1, SEQUENCE(100, 1, 1, 1), Offset, "N/F", 0, 1):
    XLOOKUP(INDEX($X$5:$X201, MATCH(F87, $V$5:$V201, 0)), SEQUENCE(100, 1, 1, 1), Offset, "N/F", 0, 1)/Labspeed, IDS_LAB_GODLBOXED_COUNT()+1))),"")</f>
        <v>1471</v>
      </c>
      <c r="M87" s="1423" t="str">
        <f t="shared" si="5"/>
        <v>7606d 19h 22m</v>
      </c>
      <c r="N87" s="1429"/>
      <c r="O87" s="1429"/>
      <c r="P87" s="1429"/>
      <c r="Q87" s="1438" t="str">
        <f>IFERROR(__xludf.DUMMYFUNCTION("""COMPUTED_VALUE"""),"T21 60")</f>
        <v>T21 60</v>
      </c>
      <c r="R87" s="1438"/>
      <c r="S87" s="1438"/>
      <c r="T87" s="1438"/>
      <c r="U87" s="1438"/>
      <c r="V87" s="1443" t="str">
        <f>IFERROR(__xludf.DUMMYFUNCTION("""COMPUTED_VALUE"""),"Workshop Defense Discount")</f>
        <v>Workshop Defense Discount</v>
      </c>
      <c r="W87" s="1417">
        <v>28.0</v>
      </c>
      <c r="X87" s="1417">
        <v>99.0</v>
      </c>
      <c r="Y87" s="1416">
        <v>90.56026709428869</v>
      </c>
      <c r="Z87" s="1479">
        <v>9.198757475083056E7</v>
      </c>
      <c r="AA87" s="1417"/>
    </row>
    <row r="88">
      <c r="A88" s="1404"/>
      <c r="B88" s="1424"/>
      <c r="C88" s="1473"/>
      <c r="D88" s="1476"/>
      <c r="E88" s="1477"/>
      <c r="F88" s="1446" t="str">
        <f>IFERROR(__xludf.DUMMYFUNCTION("""COMPUTED_VALUE"""),"Super Crit Chance")</f>
        <v>Super Crit Chance</v>
      </c>
      <c r="G88" s="1448">
        <f>IFERROR(__xludf.DUMMYFUNCTION("""COMPUTED_VALUE"""),6465.308493691585)</f>
        <v>6465.308494</v>
      </c>
      <c r="H88" s="1449" t="str">
        <f t="shared" si="3"/>
        <v>6465d  7h 24m</v>
      </c>
      <c r="I88" s="1489">
        <f>IFERROR(__xludf.DUMMYFUNCTION("""COMPUTED_VALUE"""),6.647143521594685E11)</f>
        <v>664714352159</v>
      </c>
      <c r="J88" s="1449" t="str">
        <f t="shared" si="4"/>
        <v>664.71 B</v>
      </c>
      <c r="K88" s="1510">
        <f t="array" ref="K88">IFERROR(LET(
  Labspeed, IF(F88="Labs Speed", 1+'Master Sheet'!$BK$5, LAB_SPEED_TOTAL()),
  Lab, MATCH(IF(ISNUMBER(SEARCH("Mastery", $F88)), "Card Mastery", $F88), DVT_Laboratory!B$1:AA$1, 0)-1,
  Offset, OFFSET(DVT_Laboratory!B$3, 0, Lab, 100, 1),
SUM(TIME_TO_RUSH_GEMS(
    XLOOKUP(INDEX($W$5:$W201, MATCH(F88, $V$5:$V201, 0))+1, SEQUENCE(100, 1, 1, 1), Offset, "N/F", 0, 1):
    XLOOKUP(INDEX($X$5:$X201, MATCH(F88, $V$5:$V201, 0)), SEQUENCE(100, 1, 1, 1), Offset, "N/F", 0, 1)/Labspeed, IDS_LAB_GODLBOXED_COUNT()))),"")</f>
        <v>375856</v>
      </c>
      <c r="L88" s="1510">
        <f t="array" ref="L88">IFERROR(LET(
  Labspeed, IF(F88="Labs Speed", 1+'Master Sheet'!$BK$5, LAB_SPEED_TOTAL()),
  Lab, MATCH(IF(ISNUMBER(SEARCH("Mastery", $F88)), "Card Mastery", $F88), DVT_Laboratory!B$1:AA$1, 0)-1,
  Offset, OFFSET(DVT_Laboratory!B$3, 0, Lab, 100, 1),
K88-SUM(TIME_TO_RUSH_GEMS(
    XLOOKUP(INDEX($W$5:$W201, MATCH(F88, $V$5:$V201, 0))+1, SEQUENCE(100, 1, 1, 1), Offset, "N/F", 0, 1):
    XLOOKUP(INDEX($X$5:$X201, MATCH(F88, $V$5:$V201, 0)), SEQUENCE(100, 1, 1, 1), Offset, "N/F", 0, 1)/Labspeed, IDS_LAB_GODLBOXED_COUNT()+1))),"")</f>
        <v>3240</v>
      </c>
      <c r="M88" s="1423" t="str">
        <f t="shared" si="5"/>
        <v>14072d  2h 46m</v>
      </c>
      <c r="N88" s="1429"/>
      <c r="O88" s="1429"/>
      <c r="P88" s="1429"/>
      <c r="Q88" s="1438" t="str">
        <f>IFERROR(__xludf.DUMMYFUNCTION("""COMPUTED_VALUE"""),"T21 1000")</f>
        <v>T21 1000</v>
      </c>
      <c r="R88" s="1438"/>
      <c r="S88" s="1438"/>
      <c r="T88" s="1438"/>
      <c r="U88" s="1438"/>
      <c r="V88" s="1443" t="str">
        <f>IFERROR(__xludf.DUMMYFUNCTION("""COMPUTED_VALUE"""),"Workshop Utility Discount")</f>
        <v>Workshop Utility Discount</v>
      </c>
      <c r="W88" s="1417">
        <v>41.0</v>
      </c>
      <c r="X88" s="1417">
        <v>99.0</v>
      </c>
      <c r="Y88" s="1416">
        <v>87.22736978570885</v>
      </c>
      <c r="Z88" s="1479">
        <v>8.944523255813953E7</v>
      </c>
      <c r="AA88" s="1417"/>
    </row>
    <row r="89">
      <c r="A89" s="1404"/>
      <c r="B89" s="1424"/>
      <c r="C89" s="1473"/>
      <c r="D89" s="1476"/>
      <c r="E89" s="1477"/>
      <c r="F89" s="1446" t="str">
        <f>IFERROR(__xludf.DUMMYFUNCTION("""COMPUTED_VALUE"""),"Waves Required")</f>
        <v>Waves Required</v>
      </c>
      <c r="G89" s="1448">
        <f>IFERROR(__xludf.DUMMYFUNCTION("""COMPUTED_VALUE"""),11226.553474993718)</f>
        <v>11226.55347</v>
      </c>
      <c r="H89" s="1449" t="str">
        <f t="shared" si="3"/>
        <v>11226d 13h 17m</v>
      </c>
      <c r="I89" s="1489">
        <f>IFERROR(__xludf.DUMMYFUNCTION("""COMPUTED_VALUE"""),2.6861726744186045E15)</f>
        <v>2.68617E+15</v>
      </c>
      <c r="J89" s="1449" t="str">
        <f t="shared" si="4"/>
        <v>2.69 q</v>
      </c>
      <c r="K89" s="1510">
        <f t="array" ref="K89">IFERROR(LET(
  Labspeed, IF(F89="Labs Speed", 1+'Master Sheet'!$BK$5, LAB_SPEED_TOTAL()),
  Lab, MATCH(IF(ISNUMBER(SEARCH("Mastery", $F89)), "Card Mastery", $F89), DVT_Laboratory!B$1:AA$1, 0)-1,
  Offset, OFFSET(DVT_Laboratory!B$3, 0, Lab, 100, 1),
SUM(TIME_TO_RUSH_GEMS(
    XLOOKUP(INDEX($W$5:$W201, MATCH(F89, $V$5:$V201, 0))+1, SEQUENCE(100, 1, 1, 1), Offset, "N/F", 0, 1):
    XLOOKUP(INDEX($X$5:$X201, MATCH(F89, $V$5:$V201, 0)), SEQUENCE(100, 1, 1, 1), Offset, "N/F", 0, 1)/Labspeed, IDS_LAB_GODLBOXED_COUNT()))),"")</f>
        <v>790538</v>
      </c>
      <c r="L89" s="1510">
        <f t="array" ref="L89">IFERROR(LET(
  Labspeed, IF(F89="Labs Speed", 1+'Master Sheet'!$BK$5, LAB_SPEED_TOTAL()),
  Lab, MATCH(IF(ISNUMBER(SEARCH("Mastery", $F89)), "Card Mastery", $F89), DVT_Laboratory!B$1:AA$1, 0)-1,
  Offset, OFFSET(DVT_Laboratory!B$3, 0, Lab, 100, 1),
K89-SUM(TIME_TO_RUSH_GEMS(
    XLOOKUP(INDEX($W$5:$W201, MATCH(F89, $V$5:$V201, 0))+1, SEQUENCE(100, 1, 1, 1), Offset, "N/F", 0, 1):
    XLOOKUP(INDEX($X$5:$X201, MATCH(F89, $V$5:$V201, 0)), SEQUENCE(100, 1, 1, 1), Offset, "N/F", 0, 1)/Labspeed, IDS_LAB_GODLBOXED_COUNT()+1))),"")</f>
        <v>6807</v>
      </c>
      <c r="M89" s="1423" t="str">
        <f t="shared" si="5"/>
        <v>25298d 16h  3m</v>
      </c>
      <c r="N89" s="1429"/>
      <c r="O89" s="1429"/>
      <c r="P89" s="1429"/>
      <c r="Q89" s="1438"/>
      <c r="R89" s="1438"/>
      <c r="S89" s="1438"/>
      <c r="T89" s="1438"/>
      <c r="U89" s="1438"/>
      <c r="V89" s="1443"/>
      <c r="W89" s="1417" t="s">
        <v>455</v>
      </c>
      <c r="X89" s="1417" t="s">
        <v>455</v>
      </c>
      <c r="Y89" s="1416" t="s">
        <v>455</v>
      </c>
      <c r="Z89" s="1479" t="s">
        <v>455</v>
      </c>
      <c r="AA89" s="1417"/>
    </row>
    <row r="90">
      <c r="A90" s="1404"/>
      <c r="B90" s="1424"/>
      <c r="C90" s="1473"/>
      <c r="D90" s="1476"/>
      <c r="E90" s="1477"/>
      <c r="F90" s="1446"/>
      <c r="G90" s="1448" t="str">
        <f>IFERROR(__xludf.DUMMYFUNCTION("""COMPUTED_VALUE"""),"")</f>
        <v/>
      </c>
      <c r="H90" s="1449" t="str">
        <f t="shared" si="3"/>
        <v/>
      </c>
      <c r="I90" s="1489" t="str">
        <f>IFERROR(__xludf.DUMMYFUNCTION("""COMPUTED_VALUE"""),"")</f>
        <v/>
      </c>
      <c r="J90" s="1449" t="str">
        <f t="shared" si="4"/>
        <v/>
      </c>
      <c r="K90" s="1510" t="str">
        <f t="array" ref="K90">IFERROR(LET(
  Labspeed, IF(F90="Labs Speed", 1+'Master Sheet'!$BK$5, LAB_SPEED_TOTAL()),
  Lab, MATCH(IF(ISNUMBER(SEARCH("Mastery", $F90)), "Card Mastery", $F90), DVT_Laboratory!B$1:AA$1, 0)-1,
  Offset, OFFSET(DVT_Laboratory!B$3, 0, Lab, 100, 1),
SUM(TIME_TO_RUSH_GEMS(
    XLOOKUP(INDEX($W$5:$W201, MATCH(F90, $V$5:$V201, 0))+1, SEQUENCE(100, 1, 1, 1), Offset, "N/F", 0, 1):
    XLOOKUP(INDEX($X$5:$X201, MATCH(F90, $V$5:$V201, 0)), SEQUENCE(100, 1, 1, 1), Offset, "N/F", 0, 1)/Labspeed, IDS_LAB_GODLBOXED_COUNT()))),"")</f>
        <v/>
      </c>
      <c r="L90" s="1510" t="str">
        <f t="array" ref="L90">IFERROR(LET(
  Labspeed, IF(F90="Labs Speed", 1+'Master Sheet'!$BK$5, LAB_SPEED_TOTAL()),
  Lab, MATCH(IF(ISNUMBER(SEARCH("Mastery", $F90)), "Card Mastery", $F90), DVT_Laboratory!B$1:AA$1, 0)-1,
  Offset, OFFSET(DVT_Laboratory!B$3, 0, Lab, 100, 1),
K90-SUM(TIME_TO_RUSH_GEMS(
    XLOOKUP(INDEX($W$5:$W201, MATCH(F90, $V$5:$V201, 0))+1, SEQUENCE(100, 1, 1, 1), Offset, "N/F", 0, 1):
    XLOOKUP(INDEX($X$5:$X201, MATCH(F90, $V$5:$V201, 0)), SEQUENCE(100, 1, 1, 1), Offset, "N/F", 0, 1)/Labspeed, IDS_LAB_GODLBOXED_COUNT()+1))),"")</f>
        <v/>
      </c>
      <c r="M90" s="1423" t="str">
        <f t="shared" si="5"/>
        <v/>
      </c>
      <c r="N90" s="1429"/>
      <c r="O90" s="1429"/>
      <c r="P90" s="1429"/>
      <c r="Q90" s="1438"/>
      <c r="R90" s="1438"/>
      <c r="S90" s="1438"/>
      <c r="T90" s="1438"/>
      <c r="U90" s="1438"/>
      <c r="V90" s="1443"/>
      <c r="W90" s="1417" t="s">
        <v>455</v>
      </c>
      <c r="X90" s="1417" t="s">
        <v>455</v>
      </c>
      <c r="Y90" s="1416" t="s">
        <v>455</v>
      </c>
      <c r="Z90" s="1479" t="s">
        <v>455</v>
      </c>
      <c r="AA90" s="1417"/>
    </row>
    <row r="91">
      <c r="A91" s="1404"/>
      <c r="B91" s="1424"/>
      <c r="C91" s="1473"/>
      <c r="D91" s="1476"/>
      <c r="E91" s="1477"/>
      <c r="F91" s="1446"/>
      <c r="G91" s="1448" t="str">
        <f>IFERROR(__xludf.DUMMYFUNCTION("""COMPUTED_VALUE"""),"")</f>
        <v/>
      </c>
      <c r="H91" s="1449" t="str">
        <f t="shared" si="3"/>
        <v/>
      </c>
      <c r="I91" s="1489" t="str">
        <f>IFERROR(__xludf.DUMMYFUNCTION("""COMPUTED_VALUE"""),"")</f>
        <v/>
      </c>
      <c r="J91" s="1449" t="str">
        <f t="shared" si="4"/>
        <v/>
      </c>
      <c r="K91" s="1510" t="str">
        <f t="array" ref="K91">IFERROR(LET(
  Labspeed, IF(F91="Labs Speed", 1+'Master Sheet'!$BK$5, LAB_SPEED_TOTAL()),
  Lab, MATCH(IF(ISNUMBER(SEARCH("Mastery", $F91)), "Card Mastery", $F91), DVT_Laboratory!B$1:AA$1, 0)-1,
  Offset, OFFSET(DVT_Laboratory!B$3, 0, Lab, 100, 1),
SUM(TIME_TO_RUSH_GEMS(
    XLOOKUP(INDEX($W$5:$W201, MATCH(F91, $V$5:$V201, 0))+1, SEQUENCE(100, 1, 1, 1), Offset, "N/F", 0, 1):
    XLOOKUP(INDEX($X$5:$X201, MATCH(F91, $V$5:$V201, 0)), SEQUENCE(100, 1, 1, 1), Offset, "N/F", 0, 1)/Labspeed, IDS_LAB_GODLBOXED_COUNT()))),"")</f>
        <v/>
      </c>
      <c r="L91" s="1510" t="str">
        <f t="array" ref="L91">IFERROR(LET(
  Labspeed, IF(F91="Labs Speed", 1+'Master Sheet'!$BK$5, LAB_SPEED_TOTAL()),
  Lab, MATCH(IF(ISNUMBER(SEARCH("Mastery", $F91)), "Card Mastery", $F91), DVT_Laboratory!B$1:AA$1, 0)-1,
  Offset, OFFSET(DVT_Laboratory!B$3, 0, Lab, 100, 1),
K91-SUM(TIME_TO_RUSH_GEMS(
    XLOOKUP(INDEX($W$5:$W201, MATCH(F91, $V$5:$V201, 0))+1, SEQUENCE(100, 1, 1, 1), Offset, "N/F", 0, 1):
    XLOOKUP(INDEX($X$5:$X201, MATCH(F91, $V$5:$V201, 0)), SEQUENCE(100, 1, 1, 1), Offset, "N/F", 0, 1)/Labspeed, IDS_LAB_GODLBOXED_COUNT()+1))),"")</f>
        <v/>
      </c>
      <c r="M91" s="1423" t="str">
        <f t="shared" si="5"/>
        <v/>
      </c>
      <c r="N91" s="1429"/>
      <c r="O91" s="1429"/>
      <c r="P91" s="1429"/>
      <c r="Q91" s="1438"/>
      <c r="R91" s="1438"/>
      <c r="S91" s="1438"/>
      <c r="T91" s="1438"/>
      <c r="U91" s="1438"/>
      <c r="V91" s="1443"/>
      <c r="W91" s="1417" t="s">
        <v>455</v>
      </c>
      <c r="X91" s="1417" t="s">
        <v>455</v>
      </c>
      <c r="Y91" s="1416" t="s">
        <v>455</v>
      </c>
      <c r="Z91" s="1479" t="s">
        <v>455</v>
      </c>
      <c r="AA91" s="1417"/>
    </row>
    <row r="92">
      <c r="A92" s="1404"/>
      <c r="B92" s="1424"/>
      <c r="C92" s="1473"/>
      <c r="D92" s="1476"/>
      <c r="E92" s="1477"/>
      <c r="F92" s="1446"/>
      <c r="G92" s="1448" t="str">
        <f>IFERROR(__xludf.DUMMYFUNCTION("""COMPUTED_VALUE"""),"")</f>
        <v/>
      </c>
      <c r="H92" s="1449" t="str">
        <f t="shared" si="3"/>
        <v/>
      </c>
      <c r="I92" s="1489" t="str">
        <f>IFERROR(__xludf.DUMMYFUNCTION("""COMPUTED_VALUE"""),"")</f>
        <v/>
      </c>
      <c r="J92" s="1449" t="str">
        <f t="shared" si="4"/>
        <v/>
      </c>
      <c r="K92" s="1510" t="str">
        <f t="array" ref="K92">IFERROR(LET(
  Labspeed, IF(F92="Labs Speed", 1+'Master Sheet'!$BK$5, LAB_SPEED_TOTAL()),
  Lab, MATCH(IF(ISNUMBER(SEARCH("Mastery", $F92)), "Card Mastery", $F92), DVT_Laboratory!B$1:AA$1, 0)-1,
  Offset, OFFSET(DVT_Laboratory!B$3, 0, Lab, 100, 1),
SUM(TIME_TO_RUSH_GEMS(
    XLOOKUP(INDEX($W$5:$W201, MATCH(F92, $V$5:$V201, 0))+1, SEQUENCE(100, 1, 1, 1), Offset, "N/F", 0, 1):
    XLOOKUP(INDEX($X$5:$X201, MATCH(F92, $V$5:$V201, 0)), SEQUENCE(100, 1, 1, 1), Offset, "N/F", 0, 1)/Labspeed, IDS_LAB_GODLBOXED_COUNT()))),"")</f>
        <v/>
      </c>
      <c r="L92" s="1510" t="str">
        <f t="array" ref="L92">IFERROR(LET(
  Labspeed, IF(F92="Labs Speed", 1+'Master Sheet'!$BK$5, LAB_SPEED_TOTAL()),
  Lab, MATCH(IF(ISNUMBER(SEARCH("Mastery", $F92)), "Card Mastery", $F92), DVT_Laboratory!B$1:AA$1, 0)-1,
  Offset, OFFSET(DVT_Laboratory!B$3, 0, Lab, 100, 1),
K92-SUM(TIME_TO_RUSH_GEMS(
    XLOOKUP(INDEX($W$5:$W201, MATCH(F92, $V$5:$V201, 0))+1, SEQUENCE(100, 1, 1, 1), Offset, "N/F", 0, 1):
    XLOOKUP(INDEX($X$5:$X201, MATCH(F92, $V$5:$V201, 0)), SEQUENCE(100, 1, 1, 1), Offset, "N/F", 0, 1)/Labspeed, IDS_LAB_GODLBOXED_COUNT()+1))),"")</f>
        <v/>
      </c>
      <c r="M92" s="1423" t="str">
        <f t="shared" si="5"/>
        <v/>
      </c>
      <c r="N92" s="1429"/>
      <c r="O92" s="1429"/>
      <c r="P92" s="1429"/>
      <c r="Q92" s="1438"/>
      <c r="R92" s="1438"/>
      <c r="S92" s="1438"/>
      <c r="T92" s="1438"/>
      <c r="U92" s="1438"/>
      <c r="V92" s="1443"/>
      <c r="W92" s="1417" t="s">
        <v>455</v>
      </c>
      <c r="X92" s="1417" t="s">
        <v>455</v>
      </c>
      <c r="Y92" s="1416" t="s">
        <v>455</v>
      </c>
      <c r="Z92" s="1479" t="s">
        <v>455</v>
      </c>
      <c r="AA92" s="1417"/>
    </row>
    <row r="93">
      <c r="A93" s="1404"/>
      <c r="B93" s="1424"/>
      <c r="C93" s="1473"/>
      <c r="D93" s="1476"/>
      <c r="E93" s="1477"/>
      <c r="F93" s="1446"/>
      <c r="G93" s="1448" t="str">
        <f>IFERROR(__xludf.DUMMYFUNCTION("""COMPUTED_VALUE"""),"")</f>
        <v/>
      </c>
      <c r="H93" s="1449" t="str">
        <f t="shared" si="3"/>
        <v/>
      </c>
      <c r="I93" s="1489" t="str">
        <f>IFERROR(__xludf.DUMMYFUNCTION("""COMPUTED_VALUE"""),"")</f>
        <v/>
      </c>
      <c r="J93" s="1449" t="str">
        <f t="shared" si="4"/>
        <v/>
      </c>
      <c r="K93" s="1510" t="str">
        <f t="array" ref="K93">IFERROR(LET(
  Labspeed, IF(F93="Labs Speed", 1+'Master Sheet'!$BK$5, LAB_SPEED_TOTAL()),
  Lab, MATCH(IF(ISNUMBER(SEARCH("Mastery", $F93)), "Card Mastery", $F93), DVT_Laboratory!B$1:AA$1, 0)-1,
  Offset, OFFSET(DVT_Laboratory!B$3, 0, Lab, 100, 1),
SUM(TIME_TO_RUSH_GEMS(
    XLOOKUP(INDEX($W$5:$W201, MATCH(F93, $V$5:$V201, 0))+1, SEQUENCE(100, 1, 1, 1), Offset, "N/F", 0, 1):
    XLOOKUP(INDEX($X$5:$X201, MATCH(F93, $V$5:$V201, 0)), SEQUENCE(100, 1, 1, 1), Offset, "N/F", 0, 1)/Labspeed, IDS_LAB_GODLBOXED_COUNT()))),"")</f>
        <v/>
      </c>
      <c r="L93" s="1510" t="str">
        <f t="array" ref="L93">IFERROR(LET(
  Labspeed, IF(F93="Labs Speed", 1+'Master Sheet'!$BK$5, LAB_SPEED_TOTAL()),
  Lab, MATCH(IF(ISNUMBER(SEARCH("Mastery", $F93)), "Card Mastery", $F93), DVT_Laboratory!B$1:AA$1, 0)-1,
  Offset, OFFSET(DVT_Laboratory!B$3, 0, Lab, 100, 1),
K93-SUM(TIME_TO_RUSH_GEMS(
    XLOOKUP(INDEX($W$5:$W201, MATCH(F93, $V$5:$V201, 0))+1, SEQUENCE(100, 1, 1, 1), Offset, "N/F", 0, 1):
    XLOOKUP(INDEX($X$5:$X201, MATCH(F93, $V$5:$V201, 0)), SEQUENCE(100, 1, 1, 1), Offset, "N/F", 0, 1)/Labspeed, IDS_LAB_GODLBOXED_COUNT()+1))),"")</f>
        <v/>
      </c>
      <c r="M93" s="1423" t="str">
        <f t="shared" si="5"/>
        <v/>
      </c>
      <c r="N93" s="1429"/>
      <c r="O93" s="1429"/>
      <c r="P93" s="1429"/>
      <c r="Q93" s="1438"/>
      <c r="R93" s="1438"/>
      <c r="S93" s="1438"/>
      <c r="T93" s="1438"/>
      <c r="U93" s="1438"/>
      <c r="V93" s="1443"/>
      <c r="W93" s="1417" t="s">
        <v>455</v>
      </c>
      <c r="X93" s="1417" t="s">
        <v>455</v>
      </c>
      <c r="Y93" s="1416" t="s">
        <v>455</v>
      </c>
      <c r="Z93" s="1479" t="s">
        <v>455</v>
      </c>
      <c r="AA93" s="1417"/>
    </row>
    <row r="94">
      <c r="A94" s="1404"/>
      <c r="B94" s="1424"/>
      <c r="C94" s="1473"/>
      <c r="D94" s="1476"/>
      <c r="E94" s="1477"/>
      <c r="F94" s="1446"/>
      <c r="G94" s="1448" t="str">
        <f>IFERROR(__xludf.DUMMYFUNCTION("""COMPUTED_VALUE"""),"")</f>
        <v/>
      </c>
      <c r="H94" s="1449" t="str">
        <f t="shared" si="3"/>
        <v/>
      </c>
      <c r="I94" s="1489" t="str">
        <f>IFERROR(__xludf.DUMMYFUNCTION("""COMPUTED_VALUE"""),"")</f>
        <v/>
      </c>
      <c r="J94" s="1449" t="str">
        <f t="shared" si="4"/>
        <v/>
      </c>
      <c r="K94" s="1510" t="str">
        <f t="array" ref="K94">IFERROR(LET(
  Labspeed, IF(F94="Labs Speed", 1+'Master Sheet'!$BK$5, LAB_SPEED_TOTAL()),
  Lab, MATCH(IF(ISNUMBER(SEARCH("Mastery", $F94)), "Card Mastery", $F94), DVT_Laboratory!B$1:AA$1, 0)-1,
  Offset, OFFSET(DVT_Laboratory!B$3, 0, Lab, 100, 1),
SUM(TIME_TO_RUSH_GEMS(
    XLOOKUP(INDEX($W$5:$W201, MATCH(F94, $V$5:$V201, 0))+1, SEQUENCE(100, 1, 1, 1), Offset, "N/F", 0, 1):
    XLOOKUP(INDEX($X$5:$X201, MATCH(F94, $V$5:$V201, 0)), SEQUENCE(100, 1, 1, 1), Offset, "N/F", 0, 1)/Labspeed, IDS_LAB_GODLBOXED_COUNT()))),"")</f>
        <v/>
      </c>
      <c r="L94" s="1510" t="str">
        <f t="array" ref="L94">IFERROR(LET(
  Labspeed, IF(F94="Labs Speed", 1+'Master Sheet'!$BK$5, LAB_SPEED_TOTAL()),
  Lab, MATCH(IF(ISNUMBER(SEARCH("Mastery", $F94)), "Card Mastery", $F94), DVT_Laboratory!B$1:AA$1, 0)-1,
  Offset, OFFSET(DVT_Laboratory!B$3, 0, Lab, 100, 1),
K94-SUM(TIME_TO_RUSH_GEMS(
    XLOOKUP(INDEX($W$5:$W201, MATCH(F94, $V$5:$V201, 0))+1, SEQUENCE(100, 1, 1, 1), Offset, "N/F", 0, 1):
    XLOOKUP(INDEX($X$5:$X201, MATCH(F94, $V$5:$V201, 0)), SEQUENCE(100, 1, 1, 1), Offset, "N/F", 0, 1)/Labspeed, IDS_LAB_GODLBOXED_COUNT()+1))),"")</f>
        <v/>
      </c>
      <c r="M94" s="1423" t="str">
        <f t="shared" si="5"/>
        <v/>
      </c>
      <c r="N94" s="1429"/>
      <c r="O94" s="1429"/>
      <c r="P94" s="1429"/>
      <c r="Q94" s="1438"/>
      <c r="R94" s="1438"/>
      <c r="S94" s="1438"/>
      <c r="T94" s="1438"/>
      <c r="U94" s="1438"/>
      <c r="V94" s="1443"/>
      <c r="W94" s="1417" t="s">
        <v>455</v>
      </c>
      <c r="X94" s="1417" t="s">
        <v>455</v>
      </c>
      <c r="Y94" s="1416" t="s">
        <v>455</v>
      </c>
      <c r="Z94" s="1479" t="s">
        <v>455</v>
      </c>
      <c r="AA94" s="1417"/>
    </row>
    <row r="95">
      <c r="A95" s="1404"/>
      <c r="B95" s="1424"/>
      <c r="C95" s="1473"/>
      <c r="D95" s="1476"/>
      <c r="E95" s="1477"/>
      <c r="F95" s="1446"/>
      <c r="G95" s="1448" t="str">
        <f>IFERROR(__xludf.DUMMYFUNCTION("""COMPUTED_VALUE"""),"")</f>
        <v/>
      </c>
      <c r="H95" s="1449" t="str">
        <f t="shared" si="3"/>
        <v/>
      </c>
      <c r="I95" s="1489" t="str">
        <f>IFERROR(__xludf.DUMMYFUNCTION("""COMPUTED_VALUE"""),"")</f>
        <v/>
      </c>
      <c r="J95" s="1449" t="str">
        <f t="shared" si="4"/>
        <v/>
      </c>
      <c r="K95" s="1510" t="str">
        <f t="array" ref="K95">IFERROR(LET(
  Labspeed, IF(F95="Labs Speed", 1+'Master Sheet'!$BK$5, LAB_SPEED_TOTAL()),
  Lab, MATCH(IF(ISNUMBER(SEARCH("Mastery", $F95)), "Card Mastery", $F95), DVT_Laboratory!B$1:AA$1, 0)-1,
  Offset, OFFSET(DVT_Laboratory!B$3, 0, Lab, 100, 1),
SUM(TIME_TO_RUSH_GEMS(
    XLOOKUP(INDEX($W$5:$W201, MATCH(F95, $V$5:$V201, 0))+1, SEQUENCE(100, 1, 1, 1), Offset, "N/F", 0, 1):
    XLOOKUP(INDEX($X$5:$X201, MATCH(F95, $V$5:$V201, 0)), SEQUENCE(100, 1, 1, 1), Offset, "N/F", 0, 1)/Labspeed, IDS_LAB_GODLBOXED_COUNT()))),"")</f>
        <v/>
      </c>
      <c r="L95" s="1510" t="str">
        <f t="array" ref="L95">IFERROR(LET(
  Labspeed, IF(F95="Labs Speed", 1+'Master Sheet'!$BK$5, LAB_SPEED_TOTAL()),
  Lab, MATCH(IF(ISNUMBER(SEARCH("Mastery", $F95)), "Card Mastery", $F95), DVT_Laboratory!B$1:AA$1, 0)-1,
  Offset, OFFSET(DVT_Laboratory!B$3, 0, Lab, 100, 1),
K95-SUM(TIME_TO_RUSH_GEMS(
    XLOOKUP(INDEX($W$5:$W201, MATCH(F95, $V$5:$V201, 0))+1, SEQUENCE(100, 1, 1, 1), Offset, "N/F", 0, 1):
    XLOOKUP(INDEX($X$5:$X201, MATCH(F95, $V$5:$V201, 0)), SEQUENCE(100, 1, 1, 1), Offset, "N/F", 0, 1)/Labspeed, IDS_LAB_GODLBOXED_COUNT()+1))),"")</f>
        <v/>
      </c>
      <c r="M95" s="1423" t="str">
        <f t="shared" si="5"/>
        <v/>
      </c>
      <c r="N95" s="1429"/>
      <c r="O95" s="1429"/>
      <c r="P95" s="1429"/>
      <c r="Q95" s="1438"/>
      <c r="R95" s="1438"/>
      <c r="S95" s="1438"/>
      <c r="T95" s="1438"/>
      <c r="U95" s="1438"/>
      <c r="V95" s="1443"/>
      <c r="W95" s="1417" t="s">
        <v>455</v>
      </c>
      <c r="X95" s="1417" t="s">
        <v>455</v>
      </c>
      <c r="Y95" s="1416" t="s">
        <v>455</v>
      </c>
      <c r="Z95" s="1479" t="s">
        <v>455</v>
      </c>
      <c r="AA95" s="1417"/>
    </row>
    <row r="96">
      <c r="A96" s="1404"/>
      <c r="B96" s="1424"/>
      <c r="C96" s="1473"/>
      <c r="D96" s="1476"/>
      <c r="E96" s="1477"/>
      <c r="F96" s="1446"/>
      <c r="G96" s="1448" t="str">
        <f>IFERROR(__xludf.DUMMYFUNCTION("""COMPUTED_VALUE"""),"")</f>
        <v/>
      </c>
      <c r="H96" s="1449" t="str">
        <f t="shared" si="3"/>
        <v/>
      </c>
      <c r="I96" s="1489" t="str">
        <f>IFERROR(__xludf.DUMMYFUNCTION("""COMPUTED_VALUE"""),"")</f>
        <v/>
      </c>
      <c r="J96" s="1449" t="str">
        <f t="shared" si="4"/>
        <v/>
      </c>
      <c r="K96" s="1510" t="str">
        <f t="array" ref="K96">IFERROR(LET(
  Labspeed, IF(F96="Labs Speed", 1+'Master Sheet'!$BK$5, LAB_SPEED_TOTAL()),
  Lab, MATCH(IF(ISNUMBER(SEARCH("Mastery", $F96)), "Card Mastery", $F96), DVT_Laboratory!B$1:AA$1, 0)-1,
  Offset, OFFSET(DVT_Laboratory!B$3, 0, Lab, 100, 1),
SUM(TIME_TO_RUSH_GEMS(
    XLOOKUP(INDEX($W$5:$W201, MATCH(F96, $V$5:$V201, 0))+1, SEQUENCE(100, 1, 1, 1), Offset, "N/F", 0, 1):
    XLOOKUP(INDEX($X$5:$X201, MATCH(F96, $V$5:$V201, 0)), SEQUENCE(100, 1, 1, 1), Offset, "N/F", 0, 1)/Labspeed, IDS_LAB_GODLBOXED_COUNT()))),"")</f>
        <v/>
      </c>
      <c r="L96" s="1510" t="str">
        <f t="array" ref="L96">IFERROR(LET(
  Labspeed, IF(F96="Labs Speed", 1+'Master Sheet'!$BK$5, LAB_SPEED_TOTAL()),
  Lab, MATCH(IF(ISNUMBER(SEARCH("Mastery", $F96)), "Card Mastery", $F96), DVT_Laboratory!B$1:AA$1, 0)-1,
  Offset, OFFSET(DVT_Laboratory!B$3, 0, Lab, 100, 1),
K96-SUM(TIME_TO_RUSH_GEMS(
    XLOOKUP(INDEX($W$5:$W201, MATCH(F96, $V$5:$V201, 0))+1, SEQUENCE(100, 1, 1, 1), Offset, "N/F", 0, 1):
    XLOOKUP(INDEX($X$5:$X201, MATCH(F96, $V$5:$V201, 0)), SEQUENCE(100, 1, 1, 1), Offset, "N/F", 0, 1)/Labspeed, IDS_LAB_GODLBOXED_COUNT()+1))),"")</f>
        <v/>
      </c>
      <c r="M96" s="1423" t="str">
        <f t="shared" si="5"/>
        <v/>
      </c>
      <c r="N96" s="1429"/>
      <c r="O96" s="1429"/>
      <c r="P96" s="1429"/>
      <c r="Q96" s="1438"/>
      <c r="R96" s="1438"/>
      <c r="S96" s="1438"/>
      <c r="T96" s="1438"/>
      <c r="U96" s="1438"/>
      <c r="V96" s="1443"/>
      <c r="W96" s="1417" t="s">
        <v>455</v>
      </c>
      <c r="X96" s="1417" t="s">
        <v>455</v>
      </c>
      <c r="Y96" s="1416" t="s">
        <v>455</v>
      </c>
      <c r="Z96" s="1479" t="s">
        <v>455</v>
      </c>
      <c r="AA96" s="1417"/>
    </row>
    <row r="97">
      <c r="A97" s="1404"/>
      <c r="B97" s="1424"/>
      <c r="C97" s="1473"/>
      <c r="D97" s="1476"/>
      <c r="E97" s="1477"/>
      <c r="F97" s="1446"/>
      <c r="G97" s="1448" t="str">
        <f>IFERROR(__xludf.DUMMYFUNCTION("""COMPUTED_VALUE"""),"")</f>
        <v/>
      </c>
      <c r="H97" s="1449" t="str">
        <f t="shared" si="3"/>
        <v/>
      </c>
      <c r="I97" s="1489" t="str">
        <f>IFERROR(__xludf.DUMMYFUNCTION("""COMPUTED_VALUE"""),"")</f>
        <v/>
      </c>
      <c r="J97" s="1449" t="str">
        <f t="shared" si="4"/>
        <v/>
      </c>
      <c r="K97" s="1510" t="str">
        <f t="array" ref="K97">IFERROR(LET(
  Labspeed, IF(F97="Labs Speed", 1+'Master Sheet'!$BK$5, LAB_SPEED_TOTAL()),
  Lab, MATCH(IF(ISNUMBER(SEARCH("Mastery", $F97)), "Card Mastery", $F97), DVT_Laboratory!B$1:AA$1, 0)-1,
  Offset, OFFSET(DVT_Laboratory!B$3, 0, Lab, 100, 1),
SUM(TIME_TO_RUSH_GEMS(
    XLOOKUP(INDEX($W$5:$W201, MATCH(F97, $V$5:$V201, 0))+1, SEQUENCE(100, 1, 1, 1), Offset, "N/F", 0, 1):
    XLOOKUP(INDEX($X$5:$X201, MATCH(F97, $V$5:$V201, 0)), SEQUENCE(100, 1, 1, 1), Offset, "N/F", 0, 1)/Labspeed, IDS_LAB_GODLBOXED_COUNT()))),"")</f>
        <v/>
      </c>
      <c r="L97" s="1510" t="str">
        <f t="array" ref="L97">IFERROR(LET(
  Labspeed, IF(F97="Labs Speed", 1+'Master Sheet'!$BK$5, LAB_SPEED_TOTAL()),
  Lab, MATCH(IF(ISNUMBER(SEARCH("Mastery", $F97)), "Card Mastery", $F97), DVT_Laboratory!B$1:AA$1, 0)-1,
  Offset, OFFSET(DVT_Laboratory!B$3, 0, Lab, 100, 1),
K97-SUM(TIME_TO_RUSH_GEMS(
    XLOOKUP(INDEX($W$5:$W201, MATCH(F97, $V$5:$V201, 0))+1, SEQUENCE(100, 1, 1, 1), Offset, "N/F", 0, 1):
    XLOOKUP(INDEX($X$5:$X201, MATCH(F97, $V$5:$V201, 0)), SEQUENCE(100, 1, 1, 1), Offset, "N/F", 0, 1)/Labspeed, IDS_LAB_GODLBOXED_COUNT()+1))),"")</f>
        <v/>
      </c>
      <c r="M97" s="1423" t="str">
        <f t="shared" si="5"/>
        <v/>
      </c>
      <c r="N97" s="1429"/>
      <c r="O97" s="1429"/>
      <c r="P97" s="1429"/>
      <c r="Q97" s="1438"/>
      <c r="R97" s="1438"/>
      <c r="S97" s="1438"/>
      <c r="T97" s="1438"/>
      <c r="U97" s="1438"/>
      <c r="V97" s="1443"/>
      <c r="W97" s="1417" t="s">
        <v>455</v>
      </c>
      <c r="X97" s="1417" t="s">
        <v>455</v>
      </c>
      <c r="Y97" s="1416" t="s">
        <v>455</v>
      </c>
      <c r="Z97" s="1479" t="s">
        <v>455</v>
      </c>
      <c r="AA97" s="1417"/>
    </row>
    <row r="98">
      <c r="A98" s="1404"/>
      <c r="B98" s="1424"/>
      <c r="C98" s="1473"/>
      <c r="D98" s="1476"/>
      <c r="E98" s="1477"/>
      <c r="F98" s="1446"/>
      <c r="G98" s="1448" t="str">
        <f>IFERROR(__xludf.DUMMYFUNCTION("""COMPUTED_VALUE"""),"")</f>
        <v/>
      </c>
      <c r="H98" s="1449" t="str">
        <f t="shared" si="3"/>
        <v/>
      </c>
      <c r="I98" s="1489" t="str">
        <f>IFERROR(__xludf.DUMMYFUNCTION("""COMPUTED_VALUE"""),"")</f>
        <v/>
      </c>
      <c r="J98" s="1449" t="str">
        <f t="shared" si="4"/>
        <v/>
      </c>
      <c r="K98" s="1510" t="str">
        <f t="array" ref="K98">IFERROR(LET(
  Labspeed, IF(F98="Labs Speed", 1+'Master Sheet'!$BK$5, LAB_SPEED_TOTAL()),
  Lab, MATCH(IF(ISNUMBER(SEARCH("Mastery", $F98)), "Card Mastery", $F98), DVT_Laboratory!B$1:AA$1, 0)-1,
  Offset, OFFSET(DVT_Laboratory!B$3, 0, Lab, 100, 1),
SUM(TIME_TO_RUSH_GEMS(
    XLOOKUP(INDEX($W$5:$W201, MATCH(F98, $V$5:$V201, 0))+1, SEQUENCE(100, 1, 1, 1), Offset, "N/F", 0, 1):
    XLOOKUP(INDEX($X$5:$X201, MATCH(F98, $V$5:$V201, 0)), SEQUENCE(100, 1, 1, 1), Offset, "N/F", 0, 1)/Labspeed, IDS_LAB_GODLBOXED_COUNT()))),"")</f>
        <v/>
      </c>
      <c r="L98" s="1510" t="str">
        <f t="array" ref="L98">IFERROR(LET(
  Labspeed, IF(F98="Labs Speed", 1+'Master Sheet'!$BK$5, LAB_SPEED_TOTAL()),
  Lab, MATCH(IF(ISNUMBER(SEARCH("Mastery", $F98)), "Card Mastery", $F98), DVT_Laboratory!B$1:AA$1, 0)-1,
  Offset, OFFSET(DVT_Laboratory!B$3, 0, Lab, 100, 1),
K98-SUM(TIME_TO_RUSH_GEMS(
    XLOOKUP(INDEX($W$5:$W201, MATCH(F98, $V$5:$V201, 0))+1, SEQUENCE(100, 1, 1, 1), Offset, "N/F", 0, 1):
    XLOOKUP(INDEX($X$5:$X201, MATCH(F98, $V$5:$V201, 0)), SEQUENCE(100, 1, 1, 1), Offset, "N/F", 0, 1)/Labspeed, IDS_LAB_GODLBOXED_COUNT()+1))),"")</f>
        <v/>
      </c>
      <c r="M98" s="1423" t="str">
        <f t="shared" si="5"/>
        <v/>
      </c>
      <c r="N98" s="1429"/>
      <c r="O98" s="1429"/>
      <c r="P98" s="1429"/>
      <c r="Q98" s="1438"/>
      <c r="R98" s="1438"/>
      <c r="S98" s="1438"/>
      <c r="T98" s="1438"/>
      <c r="U98" s="1438"/>
      <c r="V98" s="1443"/>
      <c r="W98" s="1417" t="s">
        <v>455</v>
      </c>
      <c r="X98" s="1417" t="s">
        <v>455</v>
      </c>
      <c r="Y98" s="1416" t="s">
        <v>455</v>
      </c>
      <c r="Z98" s="1479" t="s">
        <v>455</v>
      </c>
      <c r="AA98" s="1417"/>
    </row>
    <row r="99">
      <c r="A99" s="1404"/>
      <c r="B99" s="1424"/>
      <c r="C99" s="1473"/>
      <c r="D99" s="1476"/>
      <c r="E99" s="1477"/>
      <c r="F99" s="1446"/>
      <c r="G99" s="1448" t="str">
        <f>IFERROR(__xludf.DUMMYFUNCTION("""COMPUTED_VALUE"""),"")</f>
        <v/>
      </c>
      <c r="H99" s="1449" t="str">
        <f t="shared" si="3"/>
        <v/>
      </c>
      <c r="I99" s="1489" t="str">
        <f>IFERROR(__xludf.DUMMYFUNCTION("""COMPUTED_VALUE"""),"")</f>
        <v/>
      </c>
      <c r="J99" s="1449" t="str">
        <f t="shared" si="4"/>
        <v/>
      </c>
      <c r="K99" s="1510" t="str">
        <f t="array" ref="K99">IFERROR(LET(
  Labspeed, IF(F99="Labs Speed", 1+'Master Sheet'!$BK$5, LAB_SPEED_TOTAL()),
  Lab, MATCH(IF(ISNUMBER(SEARCH("Mastery", $F99)), "Card Mastery", $F99), DVT_Laboratory!B$1:AA$1, 0)-1,
  Offset, OFFSET(DVT_Laboratory!B$3, 0, Lab, 100, 1),
SUM(TIME_TO_RUSH_GEMS(
    XLOOKUP(INDEX($W$5:$W201, MATCH(F99, $V$5:$V201, 0))+1, SEQUENCE(100, 1, 1, 1), Offset, "N/F", 0, 1):
    XLOOKUP(INDEX($X$5:$X201, MATCH(F99, $V$5:$V201, 0)), SEQUENCE(100, 1, 1, 1), Offset, "N/F", 0, 1)/Labspeed, IDS_LAB_GODLBOXED_COUNT()))),"")</f>
        <v/>
      </c>
      <c r="L99" s="1510" t="str">
        <f t="array" ref="L99">IFERROR(LET(
  Labspeed, IF(F99="Labs Speed", 1+'Master Sheet'!$BK$5, LAB_SPEED_TOTAL()),
  Lab, MATCH(IF(ISNUMBER(SEARCH("Mastery", $F99)), "Card Mastery", $F99), DVT_Laboratory!B$1:AA$1, 0)-1,
  Offset, OFFSET(DVT_Laboratory!B$3, 0, Lab, 100, 1),
K99-SUM(TIME_TO_RUSH_GEMS(
    XLOOKUP(INDEX($W$5:$W201, MATCH(F99, $V$5:$V201, 0))+1, SEQUENCE(100, 1, 1, 1), Offset, "N/F", 0, 1):
    XLOOKUP(INDEX($X$5:$X201, MATCH(F99, $V$5:$V201, 0)), SEQUENCE(100, 1, 1, 1), Offset, "N/F", 0, 1)/Labspeed, IDS_LAB_GODLBOXED_COUNT()+1))),"")</f>
        <v/>
      </c>
      <c r="M99" s="1423" t="str">
        <f t="shared" si="5"/>
        <v/>
      </c>
      <c r="N99" s="1429"/>
      <c r="O99" s="1429"/>
      <c r="P99" s="1429"/>
      <c r="Q99" s="1438"/>
      <c r="R99" s="1438"/>
      <c r="S99" s="1438"/>
      <c r="T99" s="1438"/>
      <c r="U99" s="1438"/>
      <c r="V99" s="1443"/>
      <c r="W99" s="1417" t="s">
        <v>455</v>
      </c>
      <c r="X99" s="1417" t="s">
        <v>455</v>
      </c>
      <c r="Y99" s="1416" t="s">
        <v>455</v>
      </c>
      <c r="Z99" s="1479" t="s">
        <v>455</v>
      </c>
      <c r="AA99" s="1417"/>
    </row>
    <row r="100">
      <c r="A100" s="1404"/>
      <c r="B100" s="1424"/>
      <c r="C100" s="1473"/>
      <c r="D100" s="1476"/>
      <c r="E100" s="1477"/>
      <c r="F100" s="1446"/>
      <c r="G100" s="1448" t="str">
        <f>IFERROR(__xludf.DUMMYFUNCTION("""COMPUTED_VALUE"""),"")</f>
        <v/>
      </c>
      <c r="H100" s="1449" t="str">
        <f t="shared" si="3"/>
        <v/>
      </c>
      <c r="I100" s="1489" t="str">
        <f>IFERROR(__xludf.DUMMYFUNCTION("""COMPUTED_VALUE"""),"")</f>
        <v/>
      </c>
      <c r="J100" s="1449" t="str">
        <f t="shared" si="4"/>
        <v/>
      </c>
      <c r="K100" s="1510" t="str">
        <f t="array" ref="K100">IFERROR(LET(
  Labspeed, IF(F100="Labs Speed", 1+'Master Sheet'!$BK$5, LAB_SPEED_TOTAL()),
  Lab, MATCH(IF(ISNUMBER(SEARCH("Mastery", $F100)), "Card Mastery", $F100), DVT_Laboratory!B$1:AA$1, 0)-1,
  Offset, OFFSET(DVT_Laboratory!B$3, 0, Lab, 100, 1),
SUM(TIME_TO_RUSH_GEMS(
    XLOOKUP(INDEX($W$5:$W201, MATCH(F100, $V$5:$V201, 0))+1, SEQUENCE(100, 1, 1, 1), Offset, "N/F", 0, 1):
    XLOOKUP(INDEX($X$5:$X201, MATCH(F100, $V$5:$V201, 0)), SEQUENCE(100, 1, 1, 1), Offset, "N/F", 0, 1)/Labspeed, IDS_LAB_GODLBOXED_COUNT()))),"")</f>
        <v/>
      </c>
      <c r="L100" s="1510" t="str">
        <f t="array" ref="L100">IFERROR(LET(
  Labspeed, IF(F100="Labs Speed", 1+'Master Sheet'!$BK$5, LAB_SPEED_TOTAL()),
  Lab, MATCH(IF(ISNUMBER(SEARCH("Mastery", $F100)), "Card Mastery", $F100), DVT_Laboratory!B$1:AA$1, 0)-1,
  Offset, OFFSET(DVT_Laboratory!B$3, 0, Lab, 100, 1),
K100-SUM(TIME_TO_RUSH_GEMS(
    XLOOKUP(INDEX($W$5:$W201, MATCH(F100, $V$5:$V201, 0))+1, SEQUENCE(100, 1, 1, 1), Offset, "N/F", 0, 1):
    XLOOKUP(INDEX($X$5:$X201, MATCH(F100, $V$5:$V201, 0)), SEQUENCE(100, 1, 1, 1), Offset, "N/F", 0, 1)/Labspeed, IDS_LAB_GODLBOXED_COUNT()+1))),"")</f>
        <v/>
      </c>
      <c r="M100" s="1423" t="str">
        <f t="shared" si="5"/>
        <v/>
      </c>
      <c r="N100" s="1429"/>
      <c r="O100" s="1429"/>
      <c r="P100" s="1429"/>
      <c r="Q100" s="1438"/>
      <c r="R100" s="1438"/>
      <c r="S100" s="1438"/>
      <c r="T100" s="1438"/>
      <c r="U100" s="1438"/>
      <c r="V100" s="1443"/>
      <c r="W100" s="1417" t="s">
        <v>455</v>
      </c>
      <c r="X100" s="1417" t="s">
        <v>455</v>
      </c>
      <c r="Y100" s="1416" t="s">
        <v>455</v>
      </c>
      <c r="Z100" s="1479" t="s">
        <v>455</v>
      </c>
      <c r="AA100" s="1417"/>
    </row>
    <row r="101">
      <c r="A101" s="1404"/>
      <c r="B101" s="1424"/>
      <c r="C101" s="1473"/>
      <c r="D101" s="1476"/>
      <c r="E101" s="1477"/>
      <c r="F101" s="1446"/>
      <c r="G101" s="1448" t="str">
        <f>IFERROR(__xludf.DUMMYFUNCTION("""COMPUTED_VALUE"""),"")</f>
        <v/>
      </c>
      <c r="H101" s="1449" t="str">
        <f t="shared" si="3"/>
        <v/>
      </c>
      <c r="I101" s="1489" t="str">
        <f>IFERROR(__xludf.DUMMYFUNCTION("""COMPUTED_VALUE"""),"")</f>
        <v/>
      </c>
      <c r="J101" s="1449" t="str">
        <f t="shared" si="4"/>
        <v/>
      </c>
      <c r="K101" s="1510" t="str">
        <f t="array" ref="K101">IFERROR(LET(
  Labspeed, IF(F101="Labs Speed", 1+'Master Sheet'!$BK$5, LAB_SPEED_TOTAL()),
  Lab, MATCH(IF(ISNUMBER(SEARCH("Mastery", $F101)), "Card Mastery", $F101), DVT_Laboratory!B$1:AA$1, 0)-1,
  Offset, OFFSET(DVT_Laboratory!B$3, 0, Lab, 100, 1),
SUM(TIME_TO_RUSH_GEMS(
    XLOOKUP(INDEX($W$5:$W201, MATCH(F101, $V$5:$V201, 0))+1, SEQUENCE(100, 1, 1, 1), Offset, "N/F", 0, 1):
    XLOOKUP(INDEX($X$5:$X201, MATCH(F101, $V$5:$V201, 0)), SEQUENCE(100, 1, 1, 1), Offset, "N/F", 0, 1)/Labspeed, IDS_LAB_GODLBOXED_COUNT()))),"")</f>
        <v/>
      </c>
      <c r="L101" s="1510" t="str">
        <f t="array" ref="L101">IFERROR(LET(
  Labspeed, IF(F101="Labs Speed", 1+'Master Sheet'!$BK$5, LAB_SPEED_TOTAL()),
  Lab, MATCH(IF(ISNUMBER(SEARCH("Mastery", $F101)), "Card Mastery", $F101), DVT_Laboratory!B$1:AA$1, 0)-1,
  Offset, OFFSET(DVT_Laboratory!B$3, 0, Lab, 100, 1),
K101-SUM(TIME_TO_RUSH_GEMS(
    XLOOKUP(INDEX($W$5:$W201, MATCH(F101, $V$5:$V201, 0))+1, SEQUENCE(100, 1, 1, 1), Offset, "N/F", 0, 1):
    XLOOKUP(INDEX($X$5:$X201, MATCH(F101, $V$5:$V201, 0)), SEQUENCE(100, 1, 1, 1), Offset, "N/F", 0, 1)/Labspeed, IDS_LAB_GODLBOXED_COUNT()+1))),"")</f>
        <v/>
      </c>
      <c r="M101" s="1423" t="str">
        <f t="shared" si="5"/>
        <v/>
      </c>
      <c r="N101" s="1429"/>
      <c r="O101" s="1429"/>
      <c r="P101" s="1429"/>
      <c r="Q101" s="1438"/>
      <c r="R101" s="1438"/>
      <c r="S101" s="1438"/>
      <c r="T101" s="1438"/>
      <c r="U101" s="1438"/>
      <c r="V101" s="1443"/>
      <c r="W101" s="1417" t="s">
        <v>455</v>
      </c>
      <c r="X101" s="1417" t="s">
        <v>455</v>
      </c>
      <c r="Y101" s="1416" t="s">
        <v>455</v>
      </c>
      <c r="Z101" s="1479" t="s">
        <v>455</v>
      </c>
      <c r="AA101" s="1417"/>
    </row>
    <row r="102">
      <c r="A102" s="1404"/>
      <c r="B102" s="1424"/>
      <c r="C102" s="1473"/>
      <c r="D102" s="1476"/>
      <c r="E102" s="1477"/>
      <c r="F102" s="1446"/>
      <c r="G102" s="1448" t="str">
        <f>IFERROR(__xludf.DUMMYFUNCTION("""COMPUTED_VALUE"""),"")</f>
        <v/>
      </c>
      <c r="H102" s="1449" t="str">
        <f t="shared" si="3"/>
        <v/>
      </c>
      <c r="I102" s="1489" t="str">
        <f>IFERROR(__xludf.DUMMYFUNCTION("""COMPUTED_VALUE"""),"")</f>
        <v/>
      </c>
      <c r="J102" s="1449" t="str">
        <f t="shared" si="4"/>
        <v/>
      </c>
      <c r="K102" s="1510" t="str">
        <f t="array" ref="K102">IFERROR(LET(
  Labspeed, IF(F102="Labs Speed", 1+'Master Sheet'!$BK$5, LAB_SPEED_TOTAL()),
  Lab, MATCH(IF(ISNUMBER(SEARCH("Mastery", $F102)), "Card Mastery", $F102), DVT_Laboratory!B$1:AA$1, 0)-1,
  Offset, OFFSET(DVT_Laboratory!B$3, 0, Lab, 100, 1),
SUM(TIME_TO_RUSH_GEMS(
    XLOOKUP(INDEX($W$5:$W201, MATCH(F102, $V$5:$V201, 0))+1, SEQUENCE(100, 1, 1, 1), Offset, "N/F", 0, 1):
    XLOOKUP(INDEX($X$5:$X201, MATCH(F102, $V$5:$V201, 0)), SEQUENCE(100, 1, 1, 1), Offset, "N/F", 0, 1)/Labspeed, IDS_LAB_GODLBOXED_COUNT()))),"")</f>
        <v/>
      </c>
      <c r="L102" s="1510" t="str">
        <f t="array" ref="L102">IFERROR(LET(
  Labspeed, IF(F102="Labs Speed", 1+'Master Sheet'!$BK$5, LAB_SPEED_TOTAL()),
  Lab, MATCH(IF(ISNUMBER(SEARCH("Mastery", $F102)), "Card Mastery", $F102), DVT_Laboratory!B$1:AA$1, 0)-1,
  Offset, OFFSET(DVT_Laboratory!B$3, 0, Lab, 100, 1),
K102-SUM(TIME_TO_RUSH_GEMS(
    XLOOKUP(INDEX($W$5:$W201, MATCH(F102, $V$5:$V201, 0))+1, SEQUENCE(100, 1, 1, 1), Offset, "N/F", 0, 1):
    XLOOKUP(INDEX($X$5:$X201, MATCH(F102, $V$5:$V201, 0)), SEQUENCE(100, 1, 1, 1), Offset, "N/F", 0, 1)/Labspeed, IDS_LAB_GODLBOXED_COUNT()+1))),"")</f>
        <v/>
      </c>
      <c r="M102" s="1423" t="str">
        <f t="shared" si="5"/>
        <v/>
      </c>
      <c r="N102" s="1429"/>
      <c r="O102" s="1429"/>
      <c r="P102" s="1429"/>
      <c r="Q102" s="1438"/>
      <c r="R102" s="1438"/>
      <c r="S102" s="1438"/>
      <c r="T102" s="1438"/>
      <c r="U102" s="1438"/>
      <c r="V102" s="1443"/>
      <c r="W102" s="1417" t="s">
        <v>455</v>
      </c>
      <c r="X102" s="1417" t="s">
        <v>455</v>
      </c>
      <c r="Y102" s="1416" t="s">
        <v>455</v>
      </c>
      <c r="Z102" s="1479" t="s">
        <v>455</v>
      </c>
      <c r="AA102" s="1417"/>
    </row>
    <row r="103">
      <c r="A103" s="1404"/>
      <c r="B103" s="1424"/>
      <c r="C103" s="1473"/>
      <c r="D103" s="1476"/>
      <c r="E103" s="1477"/>
      <c r="F103" s="1446"/>
      <c r="G103" s="1448" t="str">
        <f>IFERROR(__xludf.DUMMYFUNCTION("""COMPUTED_VALUE"""),"")</f>
        <v/>
      </c>
      <c r="H103" s="1449" t="str">
        <f t="shared" si="3"/>
        <v/>
      </c>
      <c r="I103" s="1489" t="str">
        <f>IFERROR(__xludf.DUMMYFUNCTION("""COMPUTED_VALUE"""),"")</f>
        <v/>
      </c>
      <c r="J103" s="1449" t="str">
        <f t="shared" si="4"/>
        <v/>
      </c>
      <c r="K103" s="1510" t="str">
        <f t="array" ref="K103">IFERROR(LET(
  Labspeed, IF(F103="Labs Speed", 1+'Master Sheet'!$BK$5, LAB_SPEED_TOTAL()),
  Lab, MATCH(IF(ISNUMBER(SEARCH("Mastery", $F103)), "Card Mastery", $F103), DVT_Laboratory!B$1:AA$1, 0)-1,
  Offset, OFFSET(DVT_Laboratory!B$3, 0, Lab, 100, 1),
SUM(TIME_TO_RUSH_GEMS(
    XLOOKUP(INDEX($W$5:$W201, MATCH(F103, $V$5:$V201, 0))+1, SEQUENCE(100, 1, 1, 1), Offset, "N/F", 0, 1):
    XLOOKUP(INDEX($X$5:$X201, MATCH(F103, $V$5:$V201, 0)), SEQUENCE(100, 1, 1, 1), Offset, "N/F", 0, 1)/Labspeed, IDS_LAB_GODLBOXED_COUNT()))),"")</f>
        <v/>
      </c>
      <c r="L103" s="1510" t="str">
        <f t="array" ref="L103">IFERROR(LET(
  Labspeed, IF(F103="Labs Speed", 1+'Master Sheet'!$BK$5, LAB_SPEED_TOTAL()),
  Lab, MATCH(IF(ISNUMBER(SEARCH("Mastery", $F103)), "Card Mastery", $F103), DVT_Laboratory!B$1:AA$1, 0)-1,
  Offset, OFFSET(DVT_Laboratory!B$3, 0, Lab, 100, 1),
K103-SUM(TIME_TO_RUSH_GEMS(
    XLOOKUP(INDEX($W$5:$W201, MATCH(F103, $V$5:$V201, 0))+1, SEQUENCE(100, 1, 1, 1), Offset, "N/F", 0, 1):
    XLOOKUP(INDEX($X$5:$X201, MATCH(F103, $V$5:$V201, 0)), SEQUENCE(100, 1, 1, 1), Offset, "N/F", 0, 1)/Labspeed, IDS_LAB_GODLBOXED_COUNT()+1))),"")</f>
        <v/>
      </c>
      <c r="M103" s="1423" t="str">
        <f t="shared" si="5"/>
        <v/>
      </c>
      <c r="N103" s="1429"/>
      <c r="O103" s="1429"/>
      <c r="P103" s="1429"/>
      <c r="Q103" s="1438"/>
      <c r="R103" s="1438"/>
      <c r="S103" s="1438"/>
      <c r="T103" s="1438"/>
      <c r="U103" s="1438"/>
      <c r="V103" s="1443"/>
      <c r="W103" s="1417" t="s">
        <v>455</v>
      </c>
      <c r="X103" s="1417" t="s">
        <v>455</v>
      </c>
      <c r="Y103" s="1416" t="s">
        <v>455</v>
      </c>
      <c r="Z103" s="1479" t="s">
        <v>455</v>
      </c>
      <c r="AA103" s="1417"/>
    </row>
    <row r="104">
      <c r="A104" s="1404"/>
      <c r="B104" s="1424"/>
      <c r="C104" s="1473"/>
      <c r="D104" s="1476"/>
      <c r="E104" s="1477"/>
      <c r="F104" s="1446"/>
      <c r="G104" s="1448" t="str">
        <f>IFERROR(__xludf.DUMMYFUNCTION("""COMPUTED_VALUE"""),"")</f>
        <v/>
      </c>
      <c r="H104" s="1449" t="str">
        <f t="shared" si="3"/>
        <v/>
      </c>
      <c r="I104" s="1489" t="str">
        <f>IFERROR(__xludf.DUMMYFUNCTION("""COMPUTED_VALUE"""),"")</f>
        <v/>
      </c>
      <c r="J104" s="1449" t="str">
        <f t="shared" si="4"/>
        <v/>
      </c>
      <c r="K104" s="1510" t="str">
        <f t="array" ref="K104">IFERROR(LET(
  Labspeed, IF(F104="Labs Speed", 1+'Master Sheet'!$BK$5, LAB_SPEED_TOTAL()),
  Lab, MATCH(IF(ISNUMBER(SEARCH("Mastery", $F104)), "Card Mastery", $F104), DVT_Laboratory!B$1:AA$1, 0)-1,
  Offset, OFFSET(DVT_Laboratory!B$3, 0, Lab, 100, 1),
SUM(TIME_TO_RUSH_GEMS(
    XLOOKUP(INDEX($W$5:$W201, MATCH(F104, $V$5:$V201, 0))+1, SEQUENCE(100, 1, 1, 1), Offset, "N/F", 0, 1):
    XLOOKUP(INDEX($X$5:$X201, MATCH(F104, $V$5:$V201, 0)), SEQUENCE(100, 1, 1, 1), Offset, "N/F", 0, 1)/Labspeed, IDS_LAB_GODLBOXED_COUNT()))),"")</f>
        <v/>
      </c>
      <c r="L104" s="1510" t="str">
        <f t="array" ref="L104">IFERROR(LET(
  Labspeed, IF(F104="Labs Speed", 1+'Master Sheet'!$BK$5, LAB_SPEED_TOTAL()),
  Lab, MATCH(IF(ISNUMBER(SEARCH("Mastery", $F104)), "Card Mastery", $F104), DVT_Laboratory!B$1:AA$1, 0)-1,
  Offset, OFFSET(DVT_Laboratory!B$3, 0, Lab, 100, 1),
K104-SUM(TIME_TO_RUSH_GEMS(
    XLOOKUP(INDEX($W$5:$W201, MATCH(F104, $V$5:$V201, 0))+1, SEQUENCE(100, 1, 1, 1), Offset, "N/F", 0, 1):
    XLOOKUP(INDEX($X$5:$X201, MATCH(F104, $V$5:$V201, 0)), SEQUENCE(100, 1, 1, 1), Offset, "N/F", 0, 1)/Labspeed, IDS_LAB_GODLBOXED_COUNT()+1))),"")</f>
        <v/>
      </c>
      <c r="M104" s="1423" t="str">
        <f t="shared" si="5"/>
        <v/>
      </c>
      <c r="N104" s="1429"/>
      <c r="O104" s="1429"/>
      <c r="P104" s="1429"/>
      <c r="Q104" s="1438"/>
      <c r="R104" s="1438"/>
      <c r="S104" s="1438"/>
      <c r="T104" s="1438"/>
      <c r="U104" s="1438"/>
      <c r="V104" s="1443"/>
      <c r="W104" s="1417" t="s">
        <v>455</v>
      </c>
      <c r="X104" s="1417" t="s">
        <v>455</v>
      </c>
      <c r="Y104" s="1416" t="s">
        <v>455</v>
      </c>
      <c r="Z104" s="1479" t="s">
        <v>455</v>
      </c>
      <c r="AA104" s="1417"/>
    </row>
    <row r="105">
      <c r="A105" s="1404"/>
      <c r="B105" s="1424"/>
      <c r="C105" s="1473"/>
      <c r="D105" s="1476"/>
      <c r="E105" s="1477"/>
      <c r="F105" s="1446"/>
      <c r="G105" s="1448" t="str">
        <f>IFERROR(__xludf.DUMMYFUNCTION("""COMPUTED_VALUE"""),"")</f>
        <v/>
      </c>
      <c r="H105" s="1449" t="str">
        <f t="shared" si="3"/>
        <v/>
      </c>
      <c r="I105" s="1489" t="str">
        <f>IFERROR(__xludf.DUMMYFUNCTION("""COMPUTED_VALUE"""),"")</f>
        <v/>
      </c>
      <c r="J105" s="1449" t="str">
        <f t="shared" si="4"/>
        <v/>
      </c>
      <c r="K105" s="1510" t="str">
        <f t="array" ref="K105">IFERROR(LET(
  Labspeed, IF(F105="Labs Speed", 1+'Master Sheet'!$BK$5, LAB_SPEED_TOTAL()),
  Lab, MATCH(IF(ISNUMBER(SEARCH("Mastery", $F105)), "Card Mastery", $F105), DVT_Laboratory!B$1:AA$1, 0)-1,
  Offset, OFFSET(DVT_Laboratory!B$3, 0, Lab, 100, 1),
SUM(TIME_TO_RUSH_GEMS(
    XLOOKUP(INDEX($W$5:$W201, MATCH(F105, $V$5:$V201, 0))+1, SEQUENCE(100, 1, 1, 1), Offset, "N/F", 0, 1):
    XLOOKUP(INDEX($X$5:$X201, MATCH(F105, $V$5:$V201, 0)), SEQUENCE(100, 1, 1, 1), Offset, "N/F", 0, 1)/Labspeed, IDS_LAB_GODLBOXED_COUNT()))),"")</f>
        <v/>
      </c>
      <c r="L105" s="1510" t="str">
        <f t="array" ref="L105">IFERROR(LET(
  Labspeed, IF(F105="Labs Speed", 1+'Master Sheet'!$BK$5, LAB_SPEED_TOTAL()),
  Lab, MATCH(IF(ISNUMBER(SEARCH("Mastery", $F105)), "Card Mastery", $F105), DVT_Laboratory!B$1:AA$1, 0)-1,
  Offset, OFFSET(DVT_Laboratory!B$3, 0, Lab, 100, 1),
K105-SUM(TIME_TO_RUSH_GEMS(
    XLOOKUP(INDEX($W$5:$W201, MATCH(F105, $V$5:$V201, 0))+1, SEQUENCE(100, 1, 1, 1), Offset, "N/F", 0, 1):
    XLOOKUP(INDEX($X$5:$X201, MATCH(F105, $V$5:$V201, 0)), SEQUENCE(100, 1, 1, 1), Offset, "N/F", 0, 1)/Labspeed, IDS_LAB_GODLBOXED_COUNT()+1))),"")</f>
        <v/>
      </c>
      <c r="M105" s="1423" t="str">
        <f t="shared" si="5"/>
        <v/>
      </c>
      <c r="N105" s="1429"/>
      <c r="O105" s="1429"/>
      <c r="P105" s="1429"/>
      <c r="Q105" s="1438"/>
      <c r="R105" s="1438"/>
      <c r="S105" s="1438"/>
      <c r="T105" s="1438"/>
      <c r="U105" s="1438"/>
      <c r="V105" s="1443"/>
      <c r="W105" s="1417" t="s">
        <v>455</v>
      </c>
      <c r="X105" s="1417" t="s">
        <v>455</v>
      </c>
      <c r="Y105" s="1416" t="s">
        <v>455</v>
      </c>
      <c r="Z105" s="1479" t="s">
        <v>455</v>
      </c>
      <c r="AA105" s="1417"/>
    </row>
    <row r="106">
      <c r="A106" s="1404"/>
      <c r="B106" s="1424"/>
      <c r="C106" s="1473"/>
      <c r="D106" s="1476"/>
      <c r="E106" s="1477"/>
      <c r="F106" s="1446"/>
      <c r="G106" s="1448" t="str">
        <f>IFERROR(__xludf.DUMMYFUNCTION("""COMPUTED_VALUE"""),"")</f>
        <v/>
      </c>
      <c r="H106" s="1449" t="str">
        <f t="shared" si="3"/>
        <v/>
      </c>
      <c r="I106" s="1489" t="str">
        <f>IFERROR(__xludf.DUMMYFUNCTION("""COMPUTED_VALUE"""),"")</f>
        <v/>
      </c>
      <c r="J106" s="1449" t="str">
        <f t="shared" si="4"/>
        <v/>
      </c>
      <c r="K106" s="1510" t="str">
        <f t="array" ref="K106">IFERROR(LET(
  Labspeed, IF(F106="Labs Speed", 1+'Master Sheet'!$BK$5, LAB_SPEED_TOTAL()),
  Lab, MATCH(IF(ISNUMBER(SEARCH("Mastery", $F106)), "Card Mastery", $F106), DVT_Laboratory!B$1:AA$1, 0)-1,
  Offset, OFFSET(DVT_Laboratory!B$3, 0, Lab, 100, 1),
SUM(TIME_TO_RUSH_GEMS(
    XLOOKUP(INDEX($W$5:$W201, MATCH(F106, $V$5:$V201, 0))+1, SEQUENCE(100, 1, 1, 1), Offset, "N/F", 0, 1):
    XLOOKUP(INDEX($X$5:$X201, MATCH(F106, $V$5:$V201, 0)), SEQUENCE(100, 1, 1, 1), Offset, "N/F", 0, 1)/Labspeed, IDS_LAB_GODLBOXED_COUNT()))),"")</f>
        <v/>
      </c>
      <c r="L106" s="1510" t="str">
        <f t="array" ref="L106">IFERROR(LET(
  Labspeed, IF(F106="Labs Speed", 1+'Master Sheet'!$BK$5, LAB_SPEED_TOTAL()),
  Lab, MATCH(IF(ISNUMBER(SEARCH("Mastery", $F106)), "Card Mastery", $F106), DVT_Laboratory!B$1:AA$1, 0)-1,
  Offset, OFFSET(DVT_Laboratory!B$3, 0, Lab, 100, 1),
K106-SUM(TIME_TO_RUSH_GEMS(
    XLOOKUP(INDEX($W$5:$W201, MATCH(F106, $V$5:$V201, 0))+1, SEQUENCE(100, 1, 1, 1), Offset, "N/F", 0, 1):
    XLOOKUP(INDEX($X$5:$X201, MATCH(F106, $V$5:$V201, 0)), SEQUENCE(100, 1, 1, 1), Offset, "N/F", 0, 1)/Labspeed, IDS_LAB_GODLBOXED_COUNT()+1))),"")</f>
        <v/>
      </c>
      <c r="M106" s="1423" t="str">
        <f t="shared" si="5"/>
        <v/>
      </c>
      <c r="N106" s="1429"/>
      <c r="O106" s="1429"/>
      <c r="P106" s="1429"/>
      <c r="Q106" s="1438"/>
      <c r="R106" s="1438"/>
      <c r="S106" s="1438"/>
      <c r="T106" s="1438"/>
      <c r="U106" s="1438"/>
      <c r="V106" s="1443"/>
      <c r="W106" s="1417" t="s">
        <v>455</v>
      </c>
      <c r="X106" s="1417" t="s">
        <v>455</v>
      </c>
      <c r="Y106" s="1416" t="s">
        <v>455</v>
      </c>
      <c r="Z106" s="1479" t="s">
        <v>455</v>
      </c>
      <c r="AA106" s="1417"/>
    </row>
    <row r="107">
      <c r="A107" s="1404"/>
      <c r="B107" s="1424"/>
      <c r="C107" s="1473"/>
      <c r="D107" s="1476"/>
      <c r="E107" s="1477"/>
      <c r="F107" s="1446"/>
      <c r="G107" s="1448" t="str">
        <f>IFERROR(__xludf.DUMMYFUNCTION("""COMPUTED_VALUE"""),"")</f>
        <v/>
      </c>
      <c r="H107" s="1449" t="str">
        <f t="shared" si="3"/>
        <v/>
      </c>
      <c r="I107" s="1489" t="str">
        <f>IFERROR(__xludf.DUMMYFUNCTION("""COMPUTED_VALUE"""),"")</f>
        <v/>
      </c>
      <c r="J107" s="1449" t="str">
        <f t="shared" si="4"/>
        <v/>
      </c>
      <c r="K107" s="1510" t="str">
        <f t="array" ref="K107">IFERROR(LET(
  Labspeed, IF(F107="Labs Speed", 1+'Master Sheet'!$BK$5, LAB_SPEED_TOTAL()),
  Lab, MATCH(IF(ISNUMBER(SEARCH("Mastery", $F107)), "Card Mastery", $F107), DVT_Laboratory!B$1:AA$1, 0)-1,
  Offset, OFFSET(DVT_Laboratory!B$3, 0, Lab, 100, 1),
SUM(TIME_TO_RUSH_GEMS(
    XLOOKUP(INDEX($W$5:$W201, MATCH(F107, $V$5:$V201, 0))+1, SEQUENCE(100, 1, 1, 1), Offset, "N/F", 0, 1):
    XLOOKUP(INDEX($X$5:$X201, MATCH(F107, $V$5:$V201, 0)), SEQUENCE(100, 1, 1, 1), Offset, "N/F", 0, 1)/Labspeed, IDS_LAB_GODLBOXED_COUNT()))),"")</f>
        <v/>
      </c>
      <c r="L107" s="1510" t="str">
        <f t="array" ref="L107">IFERROR(LET(
  Labspeed, IF(F107="Labs Speed", 1+'Master Sheet'!$BK$5, LAB_SPEED_TOTAL()),
  Lab, MATCH(IF(ISNUMBER(SEARCH("Mastery", $F107)), "Card Mastery", $F107), DVT_Laboratory!B$1:AA$1, 0)-1,
  Offset, OFFSET(DVT_Laboratory!B$3, 0, Lab, 100, 1),
K107-SUM(TIME_TO_RUSH_GEMS(
    XLOOKUP(INDEX($W$5:$W201, MATCH(F107, $V$5:$V201, 0))+1, SEQUENCE(100, 1, 1, 1), Offset, "N/F", 0, 1):
    XLOOKUP(INDEX($X$5:$X201, MATCH(F107, $V$5:$V201, 0)), SEQUENCE(100, 1, 1, 1), Offset, "N/F", 0, 1)/Labspeed, IDS_LAB_GODLBOXED_COUNT()+1))),"")</f>
        <v/>
      </c>
      <c r="M107" s="1423" t="str">
        <f t="shared" si="5"/>
        <v/>
      </c>
      <c r="N107" s="1429"/>
      <c r="O107" s="1429"/>
      <c r="P107" s="1429"/>
      <c r="Q107" s="1438"/>
      <c r="R107" s="1438"/>
      <c r="S107" s="1438"/>
      <c r="T107" s="1438"/>
      <c r="U107" s="1438"/>
      <c r="V107" s="1443"/>
      <c r="W107" s="1417" t="s">
        <v>455</v>
      </c>
      <c r="X107" s="1417" t="s">
        <v>455</v>
      </c>
      <c r="Y107" s="1416" t="s">
        <v>455</v>
      </c>
      <c r="Z107" s="1479" t="s">
        <v>455</v>
      </c>
      <c r="AA107" s="1417"/>
    </row>
    <row r="108">
      <c r="A108" s="1404"/>
      <c r="B108" s="1424"/>
      <c r="C108" s="1473"/>
      <c r="D108" s="1476"/>
      <c r="E108" s="1477"/>
      <c r="F108" s="1446"/>
      <c r="G108" s="1448" t="str">
        <f>IFERROR(__xludf.DUMMYFUNCTION("""COMPUTED_VALUE"""),"")</f>
        <v/>
      </c>
      <c r="H108" s="1449" t="str">
        <f t="shared" si="3"/>
        <v/>
      </c>
      <c r="I108" s="1489" t="str">
        <f>IFERROR(__xludf.DUMMYFUNCTION("""COMPUTED_VALUE"""),"")</f>
        <v/>
      </c>
      <c r="J108" s="1449" t="str">
        <f t="shared" si="4"/>
        <v/>
      </c>
      <c r="K108" s="1510" t="str">
        <f t="array" ref="K108">IFERROR(LET(
  Labspeed, IF(F108="Labs Speed", 1+'Master Sheet'!$BK$5, LAB_SPEED_TOTAL()),
  Lab, MATCH(IF(ISNUMBER(SEARCH("Mastery", $F108)), "Card Mastery", $F108), DVT_Laboratory!B$1:AA$1, 0)-1,
  Offset, OFFSET(DVT_Laboratory!B$3, 0, Lab, 100, 1),
SUM(TIME_TO_RUSH_GEMS(
    XLOOKUP(INDEX($W$5:$W201, MATCH(F108, $V$5:$V201, 0))+1, SEQUENCE(100, 1, 1, 1), Offset, "N/F", 0, 1):
    XLOOKUP(INDEX($X$5:$X201, MATCH(F108, $V$5:$V201, 0)), SEQUENCE(100, 1, 1, 1), Offset, "N/F", 0, 1)/Labspeed, IDS_LAB_GODLBOXED_COUNT()))),"")</f>
        <v/>
      </c>
      <c r="L108" s="1510" t="str">
        <f t="array" ref="L108">IFERROR(LET(
  Labspeed, IF(F108="Labs Speed", 1+'Master Sheet'!$BK$5, LAB_SPEED_TOTAL()),
  Lab, MATCH(IF(ISNUMBER(SEARCH("Mastery", $F108)), "Card Mastery", $F108), DVT_Laboratory!B$1:AA$1, 0)-1,
  Offset, OFFSET(DVT_Laboratory!B$3, 0, Lab, 100, 1),
K108-SUM(TIME_TO_RUSH_GEMS(
    XLOOKUP(INDEX($W$5:$W201, MATCH(F108, $V$5:$V201, 0))+1, SEQUENCE(100, 1, 1, 1), Offset, "N/F", 0, 1):
    XLOOKUP(INDEX($X$5:$X201, MATCH(F108, $V$5:$V201, 0)), SEQUENCE(100, 1, 1, 1), Offset, "N/F", 0, 1)/Labspeed, IDS_LAB_GODLBOXED_COUNT()+1))),"")</f>
        <v/>
      </c>
      <c r="M108" s="1423" t="str">
        <f t="shared" si="5"/>
        <v/>
      </c>
      <c r="N108" s="1429"/>
      <c r="O108" s="1429"/>
      <c r="P108" s="1429"/>
      <c r="Q108" s="1438"/>
      <c r="R108" s="1438"/>
      <c r="S108" s="1438"/>
      <c r="T108" s="1438"/>
      <c r="U108" s="1438"/>
      <c r="V108" s="1443"/>
      <c r="W108" s="1417" t="s">
        <v>455</v>
      </c>
      <c r="X108" s="1417" t="s">
        <v>455</v>
      </c>
      <c r="Y108" s="1416" t="s">
        <v>455</v>
      </c>
      <c r="Z108" s="1479" t="s">
        <v>455</v>
      </c>
      <c r="AA108" s="1417"/>
    </row>
    <row r="109">
      <c r="A109" s="1404"/>
      <c r="B109" s="1424"/>
      <c r="C109" s="1473"/>
      <c r="D109" s="1476"/>
      <c r="E109" s="1477"/>
      <c r="F109" s="1446"/>
      <c r="G109" s="1448" t="str">
        <f>IFERROR(__xludf.DUMMYFUNCTION("""COMPUTED_VALUE"""),"")</f>
        <v/>
      </c>
      <c r="H109" s="1449" t="str">
        <f t="shared" si="3"/>
        <v/>
      </c>
      <c r="I109" s="1489" t="str">
        <f>IFERROR(__xludf.DUMMYFUNCTION("""COMPUTED_VALUE"""),"")</f>
        <v/>
      </c>
      <c r="J109" s="1449" t="str">
        <f t="shared" si="4"/>
        <v/>
      </c>
      <c r="K109" s="1510" t="str">
        <f t="array" ref="K109">IFERROR(LET(
  Labspeed, IF(F109="Labs Speed", 1+'Master Sheet'!$BK$5, LAB_SPEED_TOTAL()),
  Lab, MATCH(IF(ISNUMBER(SEARCH("Mastery", $F109)), "Card Mastery", $F109), DVT_Laboratory!B$1:AA$1, 0)-1,
  Offset, OFFSET(DVT_Laboratory!B$3, 0, Lab, 100, 1),
SUM(TIME_TO_RUSH_GEMS(
    XLOOKUP(INDEX($W$5:$W201, MATCH(F109, $V$5:$V201, 0))+1, SEQUENCE(100, 1, 1, 1), Offset, "N/F", 0, 1):
    XLOOKUP(INDEX($X$5:$X201, MATCH(F109, $V$5:$V201, 0)), SEQUENCE(100, 1, 1, 1), Offset, "N/F", 0, 1)/Labspeed, IDS_LAB_GODLBOXED_COUNT()))),"")</f>
        <v/>
      </c>
      <c r="L109" s="1510" t="str">
        <f t="array" ref="L109">IFERROR(LET(
  Labspeed, IF(F109="Labs Speed", 1+'Master Sheet'!$BK$5, LAB_SPEED_TOTAL()),
  Lab, MATCH(IF(ISNUMBER(SEARCH("Mastery", $F109)), "Card Mastery", $F109), DVT_Laboratory!B$1:AA$1, 0)-1,
  Offset, OFFSET(DVT_Laboratory!B$3, 0, Lab, 100, 1),
K109-SUM(TIME_TO_RUSH_GEMS(
    XLOOKUP(INDEX($W$5:$W201, MATCH(F109, $V$5:$V201, 0))+1, SEQUENCE(100, 1, 1, 1), Offset, "N/F", 0, 1):
    XLOOKUP(INDEX($X$5:$X201, MATCH(F109, $V$5:$V201, 0)), SEQUENCE(100, 1, 1, 1), Offset, "N/F", 0, 1)/Labspeed, IDS_LAB_GODLBOXED_COUNT()+1))),"")</f>
        <v/>
      </c>
      <c r="M109" s="1423" t="str">
        <f t="shared" si="5"/>
        <v/>
      </c>
      <c r="N109" s="1429"/>
      <c r="O109" s="1429"/>
      <c r="P109" s="1429"/>
      <c r="Q109" s="1438"/>
      <c r="R109" s="1438"/>
      <c r="S109" s="1438"/>
      <c r="T109" s="1438"/>
      <c r="U109" s="1438"/>
      <c r="V109" s="1443"/>
      <c r="W109" s="1417" t="s">
        <v>455</v>
      </c>
      <c r="X109" s="1417" t="s">
        <v>455</v>
      </c>
      <c r="Y109" s="1416" t="s">
        <v>455</v>
      </c>
      <c r="Z109" s="1479" t="s">
        <v>455</v>
      </c>
      <c r="AA109" s="1417"/>
    </row>
    <row r="110">
      <c r="A110" s="1404"/>
      <c r="B110" s="1424"/>
      <c r="C110" s="1473"/>
      <c r="D110" s="1476"/>
      <c r="E110" s="1477"/>
      <c r="F110" s="1446"/>
      <c r="G110" s="1448" t="str">
        <f>IFERROR(__xludf.DUMMYFUNCTION("""COMPUTED_VALUE"""),"")</f>
        <v/>
      </c>
      <c r="H110" s="1449" t="str">
        <f t="shared" si="3"/>
        <v/>
      </c>
      <c r="I110" s="1489" t="str">
        <f>IFERROR(__xludf.DUMMYFUNCTION("""COMPUTED_VALUE"""),"")</f>
        <v/>
      </c>
      <c r="J110" s="1449" t="str">
        <f t="shared" si="4"/>
        <v/>
      </c>
      <c r="K110" s="1510" t="str">
        <f t="array" ref="K110">IFERROR(LET(
  Labspeed, IF(F110="Labs Speed", 1+'Master Sheet'!$BK$5, LAB_SPEED_TOTAL()),
  Lab, MATCH(IF(ISNUMBER(SEARCH("Mastery", $F110)), "Card Mastery", $F110), DVT_Laboratory!B$1:AA$1, 0)-1,
  Offset, OFFSET(DVT_Laboratory!B$3, 0, Lab, 100, 1),
SUM(TIME_TO_RUSH_GEMS(
    XLOOKUP(INDEX($W$5:$W201, MATCH(F110, $V$5:$V201, 0))+1, SEQUENCE(100, 1, 1, 1), Offset, "N/F", 0, 1):
    XLOOKUP(INDEX($X$5:$X201, MATCH(F110, $V$5:$V201, 0)), SEQUENCE(100, 1, 1, 1), Offset, "N/F", 0, 1)/Labspeed, IDS_LAB_GODLBOXED_COUNT()))),"")</f>
        <v/>
      </c>
      <c r="L110" s="1510" t="str">
        <f t="array" ref="L110">IFERROR(LET(
  Labspeed, IF(F110="Labs Speed", 1+'Master Sheet'!$BK$5, LAB_SPEED_TOTAL()),
  Lab, MATCH(IF(ISNUMBER(SEARCH("Mastery", $F110)), "Card Mastery", $F110), DVT_Laboratory!B$1:AA$1, 0)-1,
  Offset, OFFSET(DVT_Laboratory!B$3, 0, Lab, 100, 1),
K110-SUM(TIME_TO_RUSH_GEMS(
    XLOOKUP(INDEX($W$5:$W201, MATCH(F110, $V$5:$V201, 0))+1, SEQUENCE(100, 1, 1, 1), Offset, "N/F", 0, 1):
    XLOOKUP(INDEX($X$5:$X201, MATCH(F110, $V$5:$V201, 0)), SEQUENCE(100, 1, 1, 1), Offset, "N/F", 0, 1)/Labspeed, IDS_LAB_GODLBOXED_COUNT()+1))),"")</f>
        <v/>
      </c>
      <c r="M110" s="1423" t="str">
        <f t="shared" si="5"/>
        <v/>
      </c>
      <c r="N110" s="1429"/>
      <c r="O110" s="1429"/>
      <c r="P110" s="1429"/>
      <c r="Q110" s="1438"/>
      <c r="R110" s="1438"/>
      <c r="S110" s="1438"/>
      <c r="T110" s="1438"/>
      <c r="U110" s="1438"/>
      <c r="V110" s="1443"/>
      <c r="W110" s="1417" t="s">
        <v>455</v>
      </c>
      <c r="X110" s="1417" t="s">
        <v>455</v>
      </c>
      <c r="Y110" s="1416" t="s">
        <v>455</v>
      </c>
      <c r="Z110" s="1479" t="s">
        <v>455</v>
      </c>
      <c r="AA110" s="1417"/>
    </row>
    <row r="111">
      <c r="A111" s="1404"/>
      <c r="B111" s="1424"/>
      <c r="C111" s="1473"/>
      <c r="D111" s="1476"/>
      <c r="E111" s="1477"/>
      <c r="F111" s="1446"/>
      <c r="G111" s="1448" t="str">
        <f>IFERROR(__xludf.DUMMYFUNCTION("""COMPUTED_VALUE"""),"")</f>
        <v/>
      </c>
      <c r="H111" s="1449" t="str">
        <f t="shared" si="3"/>
        <v/>
      </c>
      <c r="I111" s="1489" t="str">
        <f>IFERROR(__xludf.DUMMYFUNCTION("""COMPUTED_VALUE"""),"")</f>
        <v/>
      </c>
      <c r="J111" s="1449" t="str">
        <f t="shared" si="4"/>
        <v/>
      </c>
      <c r="K111" s="1510" t="str">
        <f t="array" ref="K111">IFERROR(LET(
  Labspeed, IF(F111="Labs Speed", 1+'Master Sheet'!$BK$5, LAB_SPEED_TOTAL()),
  Lab, MATCH(IF(ISNUMBER(SEARCH("Mastery", $F111)), "Card Mastery", $F111), DVT_Laboratory!B$1:AA$1, 0)-1,
  Offset, OFFSET(DVT_Laboratory!B$3, 0, Lab, 100, 1),
SUM(TIME_TO_RUSH_GEMS(
    XLOOKUP(INDEX($W$5:$W201, MATCH(F111, $V$5:$V201, 0))+1, SEQUENCE(100, 1, 1, 1), Offset, "N/F", 0, 1):
    XLOOKUP(INDEX($X$5:$X201, MATCH(F111, $V$5:$V201, 0)), SEQUENCE(100, 1, 1, 1), Offset, "N/F", 0, 1)/Labspeed, IDS_LAB_GODLBOXED_COUNT()))),"")</f>
        <v/>
      </c>
      <c r="L111" s="1510" t="str">
        <f t="array" ref="L111">IFERROR(LET(
  Labspeed, IF(F111="Labs Speed", 1+'Master Sheet'!$BK$5, LAB_SPEED_TOTAL()),
  Lab, MATCH(IF(ISNUMBER(SEARCH("Mastery", $F111)), "Card Mastery", $F111), DVT_Laboratory!B$1:AA$1, 0)-1,
  Offset, OFFSET(DVT_Laboratory!B$3, 0, Lab, 100, 1),
K111-SUM(TIME_TO_RUSH_GEMS(
    XLOOKUP(INDEX($W$5:$W201, MATCH(F111, $V$5:$V201, 0))+1, SEQUENCE(100, 1, 1, 1), Offset, "N/F", 0, 1):
    XLOOKUP(INDEX($X$5:$X201, MATCH(F111, $V$5:$V201, 0)), SEQUENCE(100, 1, 1, 1), Offset, "N/F", 0, 1)/Labspeed, IDS_LAB_GODLBOXED_COUNT()+1))),"")</f>
        <v/>
      </c>
      <c r="M111" s="1423" t="str">
        <f t="shared" si="5"/>
        <v/>
      </c>
      <c r="N111" s="1429"/>
      <c r="O111" s="1429"/>
      <c r="P111" s="1429"/>
      <c r="Q111" s="1438"/>
      <c r="R111" s="1438"/>
      <c r="S111" s="1438"/>
      <c r="T111" s="1438"/>
      <c r="U111" s="1438"/>
      <c r="V111" s="1443"/>
      <c r="W111" s="1417" t="s">
        <v>455</v>
      </c>
      <c r="X111" s="1417" t="s">
        <v>455</v>
      </c>
      <c r="Y111" s="1416" t="s">
        <v>455</v>
      </c>
      <c r="Z111" s="1479" t="s">
        <v>455</v>
      </c>
      <c r="AA111" s="1417"/>
    </row>
    <row r="112">
      <c r="A112" s="1404"/>
      <c r="B112" s="1424"/>
      <c r="C112" s="1473"/>
      <c r="D112" s="1476"/>
      <c r="E112" s="1477"/>
      <c r="F112" s="1446"/>
      <c r="G112" s="1448" t="str">
        <f>IFERROR(__xludf.DUMMYFUNCTION("""COMPUTED_VALUE"""),"")</f>
        <v/>
      </c>
      <c r="H112" s="1449" t="str">
        <f t="shared" si="3"/>
        <v/>
      </c>
      <c r="I112" s="1489" t="str">
        <f>IFERROR(__xludf.DUMMYFUNCTION("""COMPUTED_VALUE"""),"")</f>
        <v/>
      </c>
      <c r="J112" s="1449" t="str">
        <f t="shared" si="4"/>
        <v/>
      </c>
      <c r="K112" s="1510" t="str">
        <f t="array" ref="K112">IFERROR(LET(
  Labspeed, IF(F112="Labs Speed", 1+'Master Sheet'!$BK$5, LAB_SPEED_TOTAL()),
  Lab, MATCH(IF(ISNUMBER(SEARCH("Mastery", $F112)), "Card Mastery", $F112), DVT_Laboratory!B$1:AA$1, 0)-1,
  Offset, OFFSET(DVT_Laboratory!B$3, 0, Lab, 100, 1),
SUM(TIME_TO_RUSH_GEMS(
    XLOOKUP(INDEX($W$5:$W201, MATCH(F112, $V$5:$V201, 0))+1, SEQUENCE(100, 1, 1, 1), Offset, "N/F", 0, 1):
    XLOOKUP(INDEX($X$5:$X201, MATCH(F112, $V$5:$V201, 0)), SEQUENCE(100, 1, 1, 1), Offset, "N/F", 0, 1)/Labspeed, IDS_LAB_GODLBOXED_COUNT()))),"")</f>
        <v/>
      </c>
      <c r="L112" s="1510" t="str">
        <f t="array" ref="L112">IFERROR(LET(
  Labspeed, IF(F112="Labs Speed", 1+'Master Sheet'!$BK$5, LAB_SPEED_TOTAL()),
  Lab, MATCH(IF(ISNUMBER(SEARCH("Mastery", $F112)), "Card Mastery", $F112), DVT_Laboratory!B$1:AA$1, 0)-1,
  Offset, OFFSET(DVT_Laboratory!B$3, 0, Lab, 100, 1),
K112-SUM(TIME_TO_RUSH_GEMS(
    XLOOKUP(INDEX($W$5:$W201, MATCH(F112, $V$5:$V201, 0))+1, SEQUENCE(100, 1, 1, 1), Offset, "N/F", 0, 1):
    XLOOKUP(INDEX($X$5:$X201, MATCH(F112, $V$5:$V201, 0)), SEQUENCE(100, 1, 1, 1), Offset, "N/F", 0, 1)/Labspeed, IDS_LAB_GODLBOXED_COUNT()+1))),"")</f>
        <v/>
      </c>
      <c r="M112" s="1423" t="str">
        <f t="shared" si="5"/>
        <v/>
      </c>
      <c r="N112" s="1429"/>
      <c r="O112" s="1429"/>
      <c r="P112" s="1429"/>
      <c r="Q112" s="1438"/>
      <c r="R112" s="1438"/>
      <c r="S112" s="1438"/>
      <c r="T112" s="1438"/>
      <c r="U112" s="1438"/>
      <c r="V112" s="1443"/>
      <c r="W112" s="1417" t="s">
        <v>455</v>
      </c>
      <c r="X112" s="1417" t="s">
        <v>455</v>
      </c>
      <c r="Y112" s="1416" t="s">
        <v>455</v>
      </c>
      <c r="Z112" s="1479" t="s">
        <v>455</v>
      </c>
      <c r="AA112" s="1417"/>
    </row>
    <row r="113">
      <c r="A113" s="1404"/>
      <c r="B113" s="1424"/>
      <c r="C113" s="1473"/>
      <c r="D113" s="1476"/>
      <c r="E113" s="1477"/>
      <c r="F113" s="1446"/>
      <c r="G113" s="1448" t="str">
        <f>IFERROR(__xludf.DUMMYFUNCTION("""COMPUTED_VALUE"""),"")</f>
        <v/>
      </c>
      <c r="H113" s="1449" t="str">
        <f t="shared" si="3"/>
        <v/>
      </c>
      <c r="I113" s="1489" t="str">
        <f>IFERROR(__xludf.DUMMYFUNCTION("""COMPUTED_VALUE"""),"")</f>
        <v/>
      </c>
      <c r="J113" s="1449" t="str">
        <f t="shared" si="4"/>
        <v/>
      </c>
      <c r="K113" s="1510" t="str">
        <f t="array" ref="K113">IFERROR(LET(
  Labspeed, IF(F113="Labs Speed", 1+'Master Sheet'!$BK$5, LAB_SPEED_TOTAL()),
  Lab, MATCH(IF(ISNUMBER(SEARCH("Mastery", $F113)), "Card Mastery", $F113), DVT_Laboratory!B$1:AA$1, 0)-1,
  Offset, OFFSET(DVT_Laboratory!B$3, 0, Lab, 100, 1),
SUM(TIME_TO_RUSH_GEMS(
    XLOOKUP(INDEX($W$5:$W201, MATCH(F113, $V$5:$V201, 0))+1, SEQUENCE(100, 1, 1, 1), Offset, "N/F", 0, 1):
    XLOOKUP(INDEX($X$5:$X201, MATCH(F113, $V$5:$V201, 0)), SEQUENCE(100, 1, 1, 1), Offset, "N/F", 0, 1)/Labspeed, IDS_LAB_GODLBOXED_COUNT()))),"")</f>
        <v/>
      </c>
      <c r="L113" s="1510" t="str">
        <f t="array" ref="L113">IFERROR(LET(
  Labspeed, IF(F113="Labs Speed", 1+'Master Sheet'!$BK$5, LAB_SPEED_TOTAL()),
  Lab, MATCH(IF(ISNUMBER(SEARCH("Mastery", $F113)), "Card Mastery", $F113), DVT_Laboratory!B$1:AA$1, 0)-1,
  Offset, OFFSET(DVT_Laboratory!B$3, 0, Lab, 100, 1),
K113-SUM(TIME_TO_RUSH_GEMS(
    XLOOKUP(INDEX($W$5:$W201, MATCH(F113, $V$5:$V201, 0))+1, SEQUENCE(100, 1, 1, 1), Offset, "N/F", 0, 1):
    XLOOKUP(INDEX($X$5:$X201, MATCH(F113, $V$5:$V201, 0)), SEQUENCE(100, 1, 1, 1), Offset, "N/F", 0, 1)/Labspeed, IDS_LAB_GODLBOXED_COUNT()+1))),"")</f>
        <v/>
      </c>
      <c r="M113" s="1423" t="str">
        <f t="shared" si="5"/>
        <v/>
      </c>
      <c r="N113" s="1429"/>
      <c r="O113" s="1429"/>
      <c r="P113" s="1429"/>
      <c r="Q113" s="1438"/>
      <c r="R113" s="1438"/>
      <c r="S113" s="1438"/>
      <c r="T113" s="1438"/>
      <c r="U113" s="1438"/>
      <c r="V113" s="1443"/>
      <c r="W113" s="1417" t="s">
        <v>455</v>
      </c>
      <c r="X113" s="1417" t="s">
        <v>455</v>
      </c>
      <c r="Y113" s="1416" t="s">
        <v>455</v>
      </c>
      <c r="Z113" s="1479" t="s">
        <v>455</v>
      </c>
      <c r="AA113" s="1417"/>
    </row>
    <row r="114">
      <c r="A114" s="1404"/>
      <c r="B114" s="1424"/>
      <c r="C114" s="1473"/>
      <c r="D114" s="1476"/>
      <c r="E114" s="1477"/>
      <c r="F114" s="1446"/>
      <c r="G114" s="1448" t="str">
        <f>IFERROR(__xludf.DUMMYFUNCTION("""COMPUTED_VALUE"""),"")</f>
        <v/>
      </c>
      <c r="H114" s="1449" t="str">
        <f t="shared" si="3"/>
        <v/>
      </c>
      <c r="I114" s="1489" t="str">
        <f>IFERROR(__xludf.DUMMYFUNCTION("""COMPUTED_VALUE"""),"")</f>
        <v/>
      </c>
      <c r="J114" s="1449" t="str">
        <f t="shared" si="4"/>
        <v/>
      </c>
      <c r="K114" s="1510" t="str">
        <f t="array" ref="K114">IFERROR(LET(
  Labspeed, IF(F114="Labs Speed", 1+'Master Sheet'!$BK$5, LAB_SPEED_TOTAL()),
  Lab, MATCH(IF(ISNUMBER(SEARCH("Mastery", $F114)), "Card Mastery", $F114), DVT_Laboratory!B$1:AA$1, 0)-1,
  Offset, OFFSET(DVT_Laboratory!B$3, 0, Lab, 100, 1),
SUM(TIME_TO_RUSH_GEMS(
    XLOOKUP(INDEX($W$5:$W201, MATCH(F114, $V$5:$V201, 0))+1, SEQUENCE(100, 1, 1, 1), Offset, "N/F", 0, 1):
    XLOOKUP(INDEX($X$5:$X201, MATCH(F114, $V$5:$V201, 0)), SEQUENCE(100, 1, 1, 1), Offset, "N/F", 0, 1)/Labspeed, IDS_LAB_GODLBOXED_COUNT()))),"")</f>
        <v/>
      </c>
      <c r="L114" s="1510" t="str">
        <f t="array" ref="L114">IFERROR(LET(
  Labspeed, IF(F114="Labs Speed", 1+'Master Sheet'!$BK$5, LAB_SPEED_TOTAL()),
  Lab, MATCH(IF(ISNUMBER(SEARCH("Mastery", $F114)), "Card Mastery", $F114), DVT_Laboratory!B$1:AA$1, 0)-1,
  Offset, OFFSET(DVT_Laboratory!B$3, 0, Lab, 100, 1),
K114-SUM(TIME_TO_RUSH_GEMS(
    XLOOKUP(INDEX($W$5:$W201, MATCH(F114, $V$5:$V201, 0))+1, SEQUENCE(100, 1, 1, 1), Offset, "N/F", 0, 1):
    XLOOKUP(INDEX($X$5:$X201, MATCH(F114, $V$5:$V201, 0)), SEQUENCE(100, 1, 1, 1), Offset, "N/F", 0, 1)/Labspeed, IDS_LAB_GODLBOXED_COUNT()+1))),"")</f>
        <v/>
      </c>
      <c r="M114" s="1423" t="str">
        <f t="shared" si="5"/>
        <v/>
      </c>
      <c r="N114" s="1429"/>
      <c r="O114" s="1429"/>
      <c r="P114" s="1429"/>
      <c r="Q114" s="1438"/>
      <c r="R114" s="1438"/>
      <c r="S114" s="1438"/>
      <c r="T114" s="1438"/>
      <c r="U114" s="1438"/>
      <c r="V114" s="1443"/>
      <c r="W114" s="1417" t="s">
        <v>455</v>
      </c>
      <c r="X114" s="1417" t="s">
        <v>455</v>
      </c>
      <c r="Y114" s="1416" t="s">
        <v>455</v>
      </c>
      <c r="Z114" s="1479" t="s">
        <v>455</v>
      </c>
      <c r="AA114" s="1417"/>
    </row>
    <row r="115">
      <c r="A115" s="1404"/>
      <c r="B115" s="1424"/>
      <c r="C115" s="1473"/>
      <c r="D115" s="1476"/>
      <c r="E115" s="1477"/>
      <c r="F115" s="1446"/>
      <c r="G115" s="1448" t="str">
        <f>IFERROR(__xludf.DUMMYFUNCTION("""COMPUTED_VALUE"""),"")</f>
        <v/>
      </c>
      <c r="H115" s="1449" t="str">
        <f t="shared" si="3"/>
        <v/>
      </c>
      <c r="I115" s="1489" t="str">
        <f>IFERROR(__xludf.DUMMYFUNCTION("""COMPUTED_VALUE"""),"")</f>
        <v/>
      </c>
      <c r="J115" s="1449" t="str">
        <f t="shared" si="4"/>
        <v/>
      </c>
      <c r="K115" s="1510" t="str">
        <f t="array" ref="K115">IFERROR(LET(
  Labspeed, IF(F115="Labs Speed", 1+'Master Sheet'!$BK$5, LAB_SPEED_TOTAL()),
  Lab, MATCH(IF(ISNUMBER(SEARCH("Mastery", $F115)), "Card Mastery", $F115), DVT_Laboratory!B$1:AA$1, 0)-1,
  Offset, OFFSET(DVT_Laboratory!B$3, 0, Lab, 100, 1),
SUM(TIME_TO_RUSH_GEMS(
    XLOOKUP(INDEX($W$5:$W201, MATCH(F115, $V$5:$V201, 0))+1, SEQUENCE(100, 1, 1, 1), Offset, "N/F", 0, 1):
    XLOOKUP(INDEX($X$5:$X201, MATCH(F115, $V$5:$V201, 0)), SEQUENCE(100, 1, 1, 1), Offset, "N/F", 0, 1)/Labspeed, IDS_LAB_GODLBOXED_COUNT()))),"")</f>
        <v/>
      </c>
      <c r="L115" s="1510" t="str">
        <f t="array" ref="L115">IFERROR(LET(
  Labspeed, IF(F115="Labs Speed", 1+'Master Sheet'!$BK$5, LAB_SPEED_TOTAL()),
  Lab, MATCH(IF(ISNUMBER(SEARCH("Mastery", $F115)), "Card Mastery", $F115), DVT_Laboratory!B$1:AA$1, 0)-1,
  Offset, OFFSET(DVT_Laboratory!B$3, 0, Lab, 100, 1),
K115-SUM(TIME_TO_RUSH_GEMS(
    XLOOKUP(INDEX($W$5:$W201, MATCH(F115, $V$5:$V201, 0))+1, SEQUENCE(100, 1, 1, 1), Offset, "N/F", 0, 1):
    XLOOKUP(INDEX($X$5:$X201, MATCH(F115, $V$5:$V201, 0)), SEQUENCE(100, 1, 1, 1), Offset, "N/F", 0, 1)/Labspeed, IDS_LAB_GODLBOXED_COUNT()+1))),"")</f>
        <v/>
      </c>
      <c r="M115" s="1423" t="str">
        <f t="shared" si="5"/>
        <v/>
      </c>
      <c r="N115" s="1429"/>
      <c r="O115" s="1429"/>
      <c r="P115" s="1429"/>
      <c r="Q115" s="1438"/>
      <c r="R115" s="1438"/>
      <c r="S115" s="1438"/>
      <c r="T115" s="1438"/>
      <c r="U115" s="1438"/>
      <c r="V115" s="1443"/>
      <c r="W115" s="1417" t="s">
        <v>455</v>
      </c>
      <c r="X115" s="1417" t="s">
        <v>455</v>
      </c>
      <c r="Y115" s="1416" t="s">
        <v>455</v>
      </c>
      <c r="Z115" s="1479" t="s">
        <v>455</v>
      </c>
      <c r="AA115" s="1417"/>
    </row>
    <row r="116">
      <c r="A116" s="1404"/>
      <c r="B116" s="1424"/>
      <c r="C116" s="1473"/>
      <c r="D116" s="1476"/>
      <c r="E116" s="1477"/>
      <c r="F116" s="1446"/>
      <c r="G116" s="1448" t="str">
        <f>IFERROR(__xludf.DUMMYFUNCTION("""COMPUTED_VALUE"""),"")</f>
        <v/>
      </c>
      <c r="H116" s="1449" t="str">
        <f t="shared" si="3"/>
        <v/>
      </c>
      <c r="I116" s="1489" t="str">
        <f>IFERROR(__xludf.DUMMYFUNCTION("""COMPUTED_VALUE"""),"")</f>
        <v/>
      </c>
      <c r="J116" s="1449" t="str">
        <f t="shared" si="4"/>
        <v/>
      </c>
      <c r="K116" s="1510" t="str">
        <f t="array" ref="K116">IFERROR(LET(
  Labspeed, IF(F116="Labs Speed", 1+'Master Sheet'!$BK$5, LAB_SPEED_TOTAL()),
  Lab, MATCH(IF(ISNUMBER(SEARCH("Mastery", $F116)), "Card Mastery", $F116), DVT_Laboratory!B$1:AA$1, 0)-1,
  Offset, OFFSET(DVT_Laboratory!B$3, 0, Lab, 100, 1),
SUM(TIME_TO_RUSH_GEMS(
    XLOOKUP(INDEX($W$5:$W201, MATCH(F116, $V$5:$V201, 0))+1, SEQUENCE(100, 1, 1, 1), Offset, "N/F", 0, 1):
    XLOOKUP(INDEX($X$5:$X201, MATCH(F116, $V$5:$V201, 0)), SEQUENCE(100, 1, 1, 1), Offset, "N/F", 0, 1)/Labspeed, IDS_LAB_GODLBOXED_COUNT()))),"")</f>
        <v/>
      </c>
      <c r="L116" s="1510" t="str">
        <f t="array" ref="L116">IFERROR(LET(
  Labspeed, IF(F116="Labs Speed", 1+'Master Sheet'!$BK$5, LAB_SPEED_TOTAL()),
  Lab, MATCH(IF(ISNUMBER(SEARCH("Mastery", $F116)), "Card Mastery", $F116), DVT_Laboratory!B$1:AA$1, 0)-1,
  Offset, OFFSET(DVT_Laboratory!B$3, 0, Lab, 100, 1),
K116-SUM(TIME_TO_RUSH_GEMS(
    XLOOKUP(INDEX($W$5:$W201, MATCH(F116, $V$5:$V201, 0))+1, SEQUENCE(100, 1, 1, 1), Offset, "N/F", 0, 1):
    XLOOKUP(INDEX($X$5:$X201, MATCH(F116, $V$5:$V201, 0)), SEQUENCE(100, 1, 1, 1), Offset, "N/F", 0, 1)/Labspeed, IDS_LAB_GODLBOXED_COUNT()+1))),"")</f>
        <v/>
      </c>
      <c r="M116" s="1423" t="str">
        <f t="shared" si="5"/>
        <v/>
      </c>
      <c r="N116" s="1429"/>
      <c r="O116" s="1429"/>
      <c r="P116" s="1429"/>
      <c r="Q116" s="1438"/>
      <c r="R116" s="1438"/>
      <c r="S116" s="1438"/>
      <c r="T116" s="1438"/>
      <c r="U116" s="1438"/>
      <c r="V116" s="1443"/>
      <c r="W116" s="1417" t="s">
        <v>455</v>
      </c>
      <c r="X116" s="1417" t="s">
        <v>455</v>
      </c>
      <c r="Y116" s="1416" t="s">
        <v>455</v>
      </c>
      <c r="Z116" s="1479" t="s">
        <v>455</v>
      </c>
      <c r="AA116" s="1417"/>
    </row>
    <row r="117">
      <c r="A117" s="1404"/>
      <c r="B117" s="1424"/>
      <c r="C117" s="1473"/>
      <c r="D117" s="1476"/>
      <c r="E117" s="1477"/>
      <c r="F117" s="1446"/>
      <c r="G117" s="1448" t="str">
        <f>IFERROR(__xludf.DUMMYFUNCTION("""COMPUTED_VALUE"""),"")</f>
        <v/>
      </c>
      <c r="H117" s="1449" t="str">
        <f t="shared" si="3"/>
        <v/>
      </c>
      <c r="I117" s="1489" t="str">
        <f>IFERROR(__xludf.DUMMYFUNCTION("""COMPUTED_VALUE"""),"")</f>
        <v/>
      </c>
      <c r="J117" s="1449" t="str">
        <f t="shared" si="4"/>
        <v/>
      </c>
      <c r="K117" s="1510" t="str">
        <f t="array" ref="K117">IFERROR(LET(
  Labspeed, IF(F117="Labs Speed", 1+'Master Sheet'!$BK$5, LAB_SPEED_TOTAL()),
  Lab, MATCH(IF(ISNUMBER(SEARCH("Mastery", $F117)), "Card Mastery", $F117), DVT_Laboratory!B$1:AA$1, 0)-1,
  Offset, OFFSET(DVT_Laboratory!B$3, 0, Lab, 100, 1),
SUM(TIME_TO_RUSH_GEMS(
    XLOOKUP(INDEX($W$5:$W201, MATCH(F117, $V$5:$V201, 0))+1, SEQUENCE(100, 1, 1, 1), Offset, "N/F", 0, 1):
    XLOOKUP(INDEX($X$5:$X201, MATCH(F117, $V$5:$V201, 0)), SEQUENCE(100, 1, 1, 1), Offset, "N/F", 0, 1)/Labspeed, IDS_LAB_GODLBOXED_COUNT()))),"")</f>
        <v/>
      </c>
      <c r="L117" s="1510" t="str">
        <f t="array" ref="L117">IFERROR(LET(
  Labspeed, IF(F117="Labs Speed", 1+'Master Sheet'!$BK$5, LAB_SPEED_TOTAL()),
  Lab, MATCH(IF(ISNUMBER(SEARCH("Mastery", $F117)), "Card Mastery", $F117), DVT_Laboratory!B$1:AA$1, 0)-1,
  Offset, OFFSET(DVT_Laboratory!B$3, 0, Lab, 100, 1),
K117-SUM(TIME_TO_RUSH_GEMS(
    XLOOKUP(INDEX($W$5:$W201, MATCH(F117, $V$5:$V201, 0))+1, SEQUENCE(100, 1, 1, 1), Offset, "N/F", 0, 1):
    XLOOKUP(INDEX($X$5:$X201, MATCH(F117, $V$5:$V201, 0)), SEQUENCE(100, 1, 1, 1), Offset, "N/F", 0, 1)/Labspeed, IDS_LAB_GODLBOXED_COUNT()+1))),"")</f>
        <v/>
      </c>
      <c r="M117" s="1423" t="str">
        <f t="shared" si="5"/>
        <v/>
      </c>
      <c r="N117" s="1429"/>
      <c r="O117" s="1429"/>
      <c r="P117" s="1429"/>
      <c r="Q117" s="1438"/>
      <c r="R117" s="1438"/>
      <c r="S117" s="1438"/>
      <c r="T117" s="1438"/>
      <c r="U117" s="1438"/>
      <c r="V117" s="1443"/>
      <c r="W117" s="1417" t="s">
        <v>455</v>
      </c>
      <c r="X117" s="1417" t="s">
        <v>455</v>
      </c>
      <c r="Y117" s="1416" t="s">
        <v>455</v>
      </c>
      <c r="Z117" s="1479" t="s">
        <v>455</v>
      </c>
      <c r="AA117" s="1417"/>
    </row>
    <row r="118">
      <c r="A118" s="1404"/>
      <c r="B118" s="1424"/>
      <c r="C118" s="1473"/>
      <c r="D118" s="1476"/>
      <c r="E118" s="1477"/>
      <c r="F118" s="1446"/>
      <c r="G118" s="1448" t="str">
        <f>IFERROR(__xludf.DUMMYFUNCTION("""COMPUTED_VALUE"""),"")</f>
        <v/>
      </c>
      <c r="H118" s="1449" t="str">
        <f t="shared" si="3"/>
        <v/>
      </c>
      <c r="I118" s="1489" t="str">
        <f>IFERROR(__xludf.DUMMYFUNCTION("""COMPUTED_VALUE"""),"")</f>
        <v/>
      </c>
      <c r="J118" s="1449" t="str">
        <f t="shared" si="4"/>
        <v/>
      </c>
      <c r="K118" s="1510" t="str">
        <f t="array" ref="K118">IFERROR(LET(
  Labspeed, IF(F118="Labs Speed", 1+'Master Sheet'!$BK$5, LAB_SPEED_TOTAL()),
  Lab, MATCH(IF(ISNUMBER(SEARCH("Mastery", $F118)), "Card Mastery", $F118), DVT_Laboratory!B$1:AA$1, 0)-1,
  Offset, OFFSET(DVT_Laboratory!B$3, 0, Lab, 100, 1),
SUM(TIME_TO_RUSH_GEMS(
    XLOOKUP(INDEX($W$5:$W201, MATCH(F118, $V$5:$V201, 0))+1, SEQUENCE(100, 1, 1, 1), Offset, "N/F", 0, 1):
    XLOOKUP(INDEX($X$5:$X201, MATCH(F118, $V$5:$V201, 0)), SEQUENCE(100, 1, 1, 1), Offset, "N/F", 0, 1)/Labspeed, IDS_LAB_GODLBOXED_COUNT()))),"")</f>
        <v/>
      </c>
      <c r="L118" s="1510" t="str">
        <f t="array" ref="L118">IFERROR(LET(
  Labspeed, IF(F118="Labs Speed", 1+'Master Sheet'!$BK$5, LAB_SPEED_TOTAL()),
  Lab, MATCH(IF(ISNUMBER(SEARCH("Mastery", $F118)), "Card Mastery", $F118), DVT_Laboratory!B$1:AA$1, 0)-1,
  Offset, OFFSET(DVT_Laboratory!B$3, 0, Lab, 100, 1),
K118-SUM(TIME_TO_RUSH_GEMS(
    XLOOKUP(INDEX($W$5:$W201, MATCH(F118, $V$5:$V201, 0))+1, SEQUENCE(100, 1, 1, 1), Offset, "N/F", 0, 1):
    XLOOKUP(INDEX($X$5:$X201, MATCH(F118, $V$5:$V201, 0)), SEQUENCE(100, 1, 1, 1), Offset, "N/F", 0, 1)/Labspeed, IDS_LAB_GODLBOXED_COUNT()+1))),"")</f>
        <v/>
      </c>
      <c r="M118" s="1423" t="str">
        <f t="shared" si="5"/>
        <v/>
      </c>
      <c r="N118" s="1429"/>
      <c r="O118" s="1429"/>
      <c r="P118" s="1429"/>
      <c r="Q118" s="1438"/>
      <c r="R118" s="1438"/>
      <c r="S118" s="1438"/>
      <c r="T118" s="1438"/>
      <c r="U118" s="1438"/>
      <c r="V118" s="1443"/>
      <c r="W118" s="1417" t="s">
        <v>455</v>
      </c>
      <c r="X118" s="1417" t="s">
        <v>455</v>
      </c>
      <c r="Y118" s="1416" t="s">
        <v>455</v>
      </c>
      <c r="Z118" s="1479" t="s">
        <v>455</v>
      </c>
      <c r="AA118" s="1417"/>
    </row>
    <row r="119">
      <c r="A119" s="1404"/>
      <c r="B119" s="1424"/>
      <c r="C119" s="1473"/>
      <c r="D119" s="1476"/>
      <c r="E119" s="1477"/>
      <c r="F119" s="1446"/>
      <c r="G119" s="1448" t="str">
        <f>IFERROR(__xludf.DUMMYFUNCTION("""COMPUTED_VALUE"""),"")</f>
        <v/>
      </c>
      <c r="H119" s="1449" t="str">
        <f t="shared" si="3"/>
        <v/>
      </c>
      <c r="I119" s="1489" t="str">
        <f>IFERROR(__xludf.DUMMYFUNCTION("""COMPUTED_VALUE"""),"")</f>
        <v/>
      </c>
      <c r="J119" s="1449" t="str">
        <f t="shared" si="4"/>
        <v/>
      </c>
      <c r="K119" s="1510" t="str">
        <f t="array" ref="K119">IFERROR(LET(
  Labspeed, IF(F119="Labs Speed", 1+'Master Sheet'!$BK$5, LAB_SPEED_TOTAL()),
  Lab, MATCH(IF(ISNUMBER(SEARCH("Mastery", $F119)), "Card Mastery", $F119), DVT_Laboratory!B$1:AA$1, 0)-1,
  Offset, OFFSET(DVT_Laboratory!B$3, 0, Lab, 100, 1),
SUM(TIME_TO_RUSH_GEMS(
    XLOOKUP(INDEX($W$5:$W201, MATCH(F119, $V$5:$V201, 0))+1, SEQUENCE(100, 1, 1, 1), Offset, "N/F", 0, 1):
    XLOOKUP(INDEX($X$5:$X201, MATCH(F119, $V$5:$V201, 0)), SEQUENCE(100, 1, 1, 1), Offset, "N/F", 0, 1)/Labspeed, IDS_LAB_GODLBOXED_COUNT()))),"")</f>
        <v/>
      </c>
      <c r="L119" s="1510" t="str">
        <f t="array" ref="L119">IFERROR(LET(
  Labspeed, IF(F119="Labs Speed", 1+'Master Sheet'!$BK$5, LAB_SPEED_TOTAL()),
  Lab, MATCH(IF(ISNUMBER(SEARCH("Mastery", $F119)), "Card Mastery", $F119), DVT_Laboratory!B$1:AA$1, 0)-1,
  Offset, OFFSET(DVT_Laboratory!B$3, 0, Lab, 100, 1),
K119-SUM(TIME_TO_RUSH_GEMS(
    XLOOKUP(INDEX($W$5:$W201, MATCH(F119, $V$5:$V201, 0))+1, SEQUENCE(100, 1, 1, 1), Offset, "N/F", 0, 1):
    XLOOKUP(INDEX($X$5:$X201, MATCH(F119, $V$5:$V201, 0)), SEQUENCE(100, 1, 1, 1), Offset, "N/F", 0, 1)/Labspeed, IDS_LAB_GODLBOXED_COUNT()+1))),"")</f>
        <v/>
      </c>
      <c r="M119" s="1423" t="str">
        <f t="shared" si="5"/>
        <v/>
      </c>
      <c r="N119" s="1429"/>
      <c r="O119" s="1429"/>
      <c r="P119" s="1429"/>
      <c r="Q119" s="1438"/>
      <c r="R119" s="1438"/>
      <c r="S119" s="1438"/>
      <c r="T119" s="1438"/>
      <c r="U119" s="1438"/>
      <c r="V119" s="1443"/>
      <c r="W119" s="1417" t="s">
        <v>455</v>
      </c>
      <c r="X119" s="1417" t="s">
        <v>455</v>
      </c>
      <c r="Y119" s="1416" t="s">
        <v>455</v>
      </c>
      <c r="Z119" s="1479" t="s">
        <v>455</v>
      </c>
      <c r="AA119" s="1417"/>
    </row>
    <row r="120">
      <c r="A120" s="1404"/>
      <c r="B120" s="1424"/>
      <c r="C120" s="1473"/>
      <c r="D120" s="1476"/>
      <c r="E120" s="1477"/>
      <c r="F120" s="1446"/>
      <c r="G120" s="1448" t="str">
        <f>IFERROR(__xludf.DUMMYFUNCTION("""COMPUTED_VALUE"""),"")</f>
        <v/>
      </c>
      <c r="H120" s="1449" t="str">
        <f t="shared" si="3"/>
        <v/>
      </c>
      <c r="I120" s="1489" t="str">
        <f>IFERROR(__xludf.DUMMYFUNCTION("""COMPUTED_VALUE"""),"")</f>
        <v/>
      </c>
      <c r="J120" s="1449" t="str">
        <f t="shared" si="4"/>
        <v/>
      </c>
      <c r="K120" s="1510" t="str">
        <f t="array" ref="K120">IFERROR(LET(
  Labspeed, IF(F120="Labs Speed", 1+'Master Sheet'!$BK$5, LAB_SPEED_TOTAL()),
  Lab, MATCH(IF(ISNUMBER(SEARCH("Mastery", $F120)), "Card Mastery", $F120), DVT_Laboratory!B$1:AA$1, 0)-1,
  Offset, OFFSET(DVT_Laboratory!B$3, 0, Lab, 100, 1),
SUM(TIME_TO_RUSH_GEMS(
    XLOOKUP(INDEX($W$5:$W201, MATCH(F120, $V$5:$V201, 0))+1, SEQUENCE(100, 1, 1, 1), Offset, "N/F", 0, 1):
    XLOOKUP(INDEX($X$5:$X201, MATCH(F120, $V$5:$V201, 0)), SEQUENCE(100, 1, 1, 1), Offset, "N/F", 0, 1)/Labspeed, IDS_LAB_GODLBOXED_COUNT()))),"")</f>
        <v/>
      </c>
      <c r="L120" s="1510" t="str">
        <f t="array" ref="L120">IFERROR(LET(
  Labspeed, IF(F120="Labs Speed", 1+'Master Sheet'!$BK$5, LAB_SPEED_TOTAL()),
  Lab, MATCH(IF(ISNUMBER(SEARCH("Mastery", $F120)), "Card Mastery", $F120), DVT_Laboratory!B$1:AA$1, 0)-1,
  Offset, OFFSET(DVT_Laboratory!B$3, 0, Lab, 100, 1),
K120-SUM(TIME_TO_RUSH_GEMS(
    XLOOKUP(INDEX($W$5:$W201, MATCH(F120, $V$5:$V201, 0))+1, SEQUENCE(100, 1, 1, 1), Offset, "N/F", 0, 1):
    XLOOKUP(INDEX($X$5:$X201, MATCH(F120, $V$5:$V201, 0)), SEQUENCE(100, 1, 1, 1), Offset, "N/F", 0, 1)/Labspeed, IDS_LAB_GODLBOXED_COUNT()+1))),"")</f>
        <v/>
      </c>
      <c r="M120" s="1423" t="str">
        <f t="shared" si="5"/>
        <v/>
      </c>
      <c r="N120" s="1429"/>
      <c r="O120" s="1429"/>
      <c r="P120" s="1429"/>
      <c r="Q120" s="1438"/>
      <c r="R120" s="1438"/>
      <c r="S120" s="1438"/>
      <c r="T120" s="1438"/>
      <c r="U120" s="1438"/>
      <c r="V120" s="1443"/>
      <c r="W120" s="1417" t="s">
        <v>455</v>
      </c>
      <c r="X120" s="1417" t="s">
        <v>455</v>
      </c>
      <c r="Y120" s="1416" t="s">
        <v>455</v>
      </c>
      <c r="Z120" s="1479" t="s">
        <v>455</v>
      </c>
      <c r="AA120" s="1417"/>
    </row>
    <row r="121">
      <c r="A121" s="1404"/>
      <c r="B121" s="1424"/>
      <c r="C121" s="1473"/>
      <c r="D121" s="1476"/>
      <c r="E121" s="1477"/>
      <c r="F121" s="1446"/>
      <c r="G121" s="1448" t="str">
        <f>IFERROR(__xludf.DUMMYFUNCTION("""COMPUTED_VALUE"""),"")</f>
        <v/>
      </c>
      <c r="H121" s="1449" t="str">
        <f t="shared" si="3"/>
        <v/>
      </c>
      <c r="I121" s="1489" t="str">
        <f>IFERROR(__xludf.DUMMYFUNCTION("""COMPUTED_VALUE"""),"")</f>
        <v/>
      </c>
      <c r="J121" s="1449" t="str">
        <f t="shared" si="4"/>
        <v/>
      </c>
      <c r="K121" s="1510" t="str">
        <f t="array" ref="K121">IFERROR(LET(
  Labspeed, IF(F121="Labs Speed", 1+'Master Sheet'!$BK$5, LAB_SPEED_TOTAL()),
  Lab, MATCH(IF(ISNUMBER(SEARCH("Mastery", $F121)), "Card Mastery", $F121), DVT_Laboratory!B$1:AA$1, 0)-1,
  Offset, OFFSET(DVT_Laboratory!B$3, 0, Lab, 100, 1),
SUM(TIME_TO_RUSH_GEMS(
    XLOOKUP(INDEX($W$5:$W201, MATCH(F121, $V$5:$V201, 0))+1, SEQUENCE(100, 1, 1, 1), Offset, "N/F", 0, 1):
    XLOOKUP(INDEX($X$5:$X201, MATCH(F121, $V$5:$V201, 0)), SEQUENCE(100, 1, 1, 1), Offset, "N/F", 0, 1)/Labspeed, IDS_LAB_GODLBOXED_COUNT()))),"")</f>
        <v/>
      </c>
      <c r="L121" s="1510" t="str">
        <f t="array" ref="L121">IFERROR(LET(
  Labspeed, IF(F121="Labs Speed", 1+'Master Sheet'!$BK$5, LAB_SPEED_TOTAL()),
  Lab, MATCH(IF(ISNUMBER(SEARCH("Mastery", $F121)), "Card Mastery", $F121), DVT_Laboratory!B$1:AA$1, 0)-1,
  Offset, OFFSET(DVT_Laboratory!B$3, 0, Lab, 100, 1),
K121-SUM(TIME_TO_RUSH_GEMS(
    XLOOKUP(INDEX($W$5:$W201, MATCH(F121, $V$5:$V201, 0))+1, SEQUENCE(100, 1, 1, 1), Offset, "N/F", 0, 1):
    XLOOKUP(INDEX($X$5:$X201, MATCH(F121, $V$5:$V201, 0)), SEQUENCE(100, 1, 1, 1), Offset, "N/F", 0, 1)/Labspeed, IDS_LAB_GODLBOXED_COUNT()+1))),"")</f>
        <v/>
      </c>
      <c r="M121" s="1423" t="str">
        <f t="shared" si="5"/>
        <v/>
      </c>
      <c r="N121" s="1429"/>
      <c r="O121" s="1429"/>
      <c r="P121" s="1429"/>
      <c r="Q121" s="1438"/>
      <c r="R121" s="1438"/>
      <c r="S121" s="1438"/>
      <c r="T121" s="1438"/>
      <c r="U121" s="1438"/>
      <c r="V121" s="1443"/>
      <c r="W121" s="1417" t="s">
        <v>455</v>
      </c>
      <c r="X121" s="1417" t="s">
        <v>455</v>
      </c>
      <c r="Y121" s="1416" t="s">
        <v>455</v>
      </c>
      <c r="Z121" s="1479" t="s">
        <v>455</v>
      </c>
      <c r="AA121" s="1417"/>
    </row>
    <row r="122">
      <c r="A122" s="1404"/>
      <c r="B122" s="1424"/>
      <c r="C122" s="1473"/>
      <c r="D122" s="1476"/>
      <c r="E122" s="1477"/>
      <c r="F122" s="1446"/>
      <c r="G122" s="1448" t="str">
        <f>IFERROR(__xludf.DUMMYFUNCTION("""COMPUTED_VALUE"""),"")</f>
        <v/>
      </c>
      <c r="H122" s="1449" t="str">
        <f t="shared" si="3"/>
        <v/>
      </c>
      <c r="I122" s="1489" t="str">
        <f>IFERROR(__xludf.DUMMYFUNCTION("""COMPUTED_VALUE"""),"")</f>
        <v/>
      </c>
      <c r="J122" s="1449" t="str">
        <f t="shared" si="4"/>
        <v/>
      </c>
      <c r="K122" s="1510" t="str">
        <f t="array" ref="K122">IFERROR(LET(
  Labspeed, IF(F122="Labs Speed", 1+'Master Sheet'!$BK$5, LAB_SPEED_TOTAL()),
  Lab, MATCH(IF(ISNUMBER(SEARCH("Mastery", $F122)), "Card Mastery", $F122), DVT_Laboratory!B$1:AA$1, 0)-1,
  Offset, OFFSET(DVT_Laboratory!B$3, 0, Lab, 100, 1),
SUM(TIME_TO_RUSH_GEMS(
    XLOOKUP(INDEX($W$5:$W201, MATCH(F122, $V$5:$V201, 0))+1, SEQUENCE(100, 1, 1, 1), Offset, "N/F", 0, 1):
    XLOOKUP(INDEX($X$5:$X201, MATCH(F122, $V$5:$V201, 0)), SEQUENCE(100, 1, 1, 1), Offset, "N/F", 0, 1)/Labspeed, IDS_LAB_GODLBOXED_COUNT()))),"")</f>
        <v/>
      </c>
      <c r="L122" s="1510" t="str">
        <f t="array" ref="L122">IFERROR(LET(
  Labspeed, IF(F122="Labs Speed", 1+'Master Sheet'!$BK$5, LAB_SPEED_TOTAL()),
  Lab, MATCH(IF(ISNUMBER(SEARCH("Mastery", $F122)), "Card Mastery", $F122), DVT_Laboratory!B$1:AA$1, 0)-1,
  Offset, OFFSET(DVT_Laboratory!B$3, 0, Lab, 100, 1),
K122-SUM(TIME_TO_RUSH_GEMS(
    XLOOKUP(INDEX($W$5:$W201, MATCH(F122, $V$5:$V201, 0))+1, SEQUENCE(100, 1, 1, 1), Offset, "N/F", 0, 1):
    XLOOKUP(INDEX($X$5:$X201, MATCH(F122, $V$5:$V201, 0)), SEQUENCE(100, 1, 1, 1), Offset, "N/F", 0, 1)/Labspeed, IDS_LAB_GODLBOXED_COUNT()+1))),"")</f>
        <v/>
      </c>
      <c r="M122" s="1423" t="str">
        <f t="shared" si="5"/>
        <v/>
      </c>
      <c r="N122" s="1429"/>
      <c r="O122" s="1429"/>
      <c r="P122" s="1429"/>
      <c r="Q122" s="1438"/>
      <c r="R122" s="1438"/>
      <c r="S122" s="1438"/>
      <c r="T122" s="1438"/>
      <c r="U122" s="1438"/>
      <c r="V122" s="1443"/>
      <c r="W122" s="1417" t="s">
        <v>455</v>
      </c>
      <c r="X122" s="1417" t="s">
        <v>455</v>
      </c>
      <c r="Y122" s="1416" t="s">
        <v>455</v>
      </c>
      <c r="Z122" s="1479" t="s">
        <v>455</v>
      </c>
      <c r="AA122" s="1417"/>
    </row>
    <row r="123">
      <c r="A123" s="1404"/>
      <c r="B123" s="1424"/>
      <c r="C123" s="1473"/>
      <c r="D123" s="1476"/>
      <c r="E123" s="1477"/>
      <c r="F123" s="1446"/>
      <c r="G123" s="1448" t="str">
        <f>IFERROR(__xludf.DUMMYFUNCTION("""COMPUTED_VALUE"""),"")</f>
        <v/>
      </c>
      <c r="H123" s="1449" t="str">
        <f t="shared" si="3"/>
        <v/>
      </c>
      <c r="I123" s="1489" t="str">
        <f>IFERROR(__xludf.DUMMYFUNCTION("""COMPUTED_VALUE"""),"")</f>
        <v/>
      </c>
      <c r="J123" s="1449" t="str">
        <f t="shared" si="4"/>
        <v/>
      </c>
      <c r="K123" s="1510" t="str">
        <f t="array" ref="K123">IFERROR(LET(
  Labspeed, IF(F123="Labs Speed", 1+'Master Sheet'!$BK$5, LAB_SPEED_TOTAL()),
  Lab, MATCH(IF(ISNUMBER(SEARCH("Mastery", $F123)), "Card Mastery", $F123), DVT_Laboratory!B$1:AA$1, 0)-1,
  Offset, OFFSET(DVT_Laboratory!B$3, 0, Lab, 100, 1),
SUM(TIME_TO_RUSH_GEMS(
    XLOOKUP(INDEX($W$5:$W201, MATCH(F123, $V$5:$V201, 0))+1, SEQUENCE(100, 1, 1, 1), Offset, "N/F", 0, 1):
    XLOOKUP(INDEX($X$5:$X201, MATCH(F123, $V$5:$V201, 0)), SEQUENCE(100, 1, 1, 1), Offset, "N/F", 0, 1)/Labspeed, IDS_LAB_GODLBOXED_COUNT()))),"")</f>
        <v/>
      </c>
      <c r="L123" s="1510" t="str">
        <f t="array" ref="L123">IFERROR(LET(
  Labspeed, IF(F123="Labs Speed", 1+'Master Sheet'!$BK$5, LAB_SPEED_TOTAL()),
  Lab, MATCH(IF(ISNUMBER(SEARCH("Mastery", $F123)), "Card Mastery", $F123), DVT_Laboratory!B$1:AA$1, 0)-1,
  Offset, OFFSET(DVT_Laboratory!B$3, 0, Lab, 100, 1),
K123-SUM(TIME_TO_RUSH_GEMS(
    XLOOKUP(INDEX($W$5:$W201, MATCH(F123, $V$5:$V201, 0))+1, SEQUENCE(100, 1, 1, 1), Offset, "N/F", 0, 1):
    XLOOKUP(INDEX($X$5:$X201, MATCH(F123, $V$5:$V201, 0)), SEQUENCE(100, 1, 1, 1), Offset, "N/F", 0, 1)/Labspeed, IDS_LAB_GODLBOXED_COUNT()+1))),"")</f>
        <v/>
      </c>
      <c r="M123" s="1423" t="str">
        <f t="shared" si="5"/>
        <v/>
      </c>
      <c r="N123" s="1429"/>
      <c r="O123" s="1429"/>
      <c r="P123" s="1429"/>
      <c r="Q123" s="1438"/>
      <c r="R123" s="1438"/>
      <c r="S123" s="1438"/>
      <c r="T123" s="1438"/>
      <c r="U123" s="1438"/>
      <c r="V123" s="1443"/>
      <c r="W123" s="1417" t="s">
        <v>455</v>
      </c>
      <c r="X123" s="1417" t="s">
        <v>455</v>
      </c>
      <c r="Y123" s="1416" t="s">
        <v>455</v>
      </c>
      <c r="Z123" s="1479" t="s">
        <v>455</v>
      </c>
      <c r="AA123" s="1417"/>
    </row>
    <row r="124">
      <c r="A124" s="1404"/>
      <c r="B124" s="1424"/>
      <c r="C124" s="1473"/>
      <c r="D124" s="1476"/>
      <c r="E124" s="1477"/>
      <c r="F124" s="1446"/>
      <c r="G124" s="1448" t="str">
        <f>IFERROR(__xludf.DUMMYFUNCTION("""COMPUTED_VALUE"""),"")</f>
        <v/>
      </c>
      <c r="H124" s="1449" t="str">
        <f t="shared" si="3"/>
        <v/>
      </c>
      <c r="I124" s="1489" t="str">
        <f>IFERROR(__xludf.DUMMYFUNCTION("""COMPUTED_VALUE"""),"")</f>
        <v/>
      </c>
      <c r="J124" s="1449" t="str">
        <f t="shared" si="4"/>
        <v/>
      </c>
      <c r="K124" s="1510" t="str">
        <f t="array" ref="K124">IFERROR(LET(
  Labspeed, IF(F124="Labs Speed", 1+'Master Sheet'!$BK$5, LAB_SPEED_TOTAL()),
  Lab, MATCH(IF(ISNUMBER(SEARCH("Mastery", $F124)), "Card Mastery", $F124), DVT_Laboratory!B$1:AA$1, 0)-1,
  Offset, OFFSET(DVT_Laboratory!B$3, 0, Lab, 100, 1),
SUM(TIME_TO_RUSH_GEMS(
    XLOOKUP(INDEX($W$5:$W201, MATCH(F124, $V$5:$V201, 0))+1, SEQUENCE(100, 1, 1, 1), Offset, "N/F", 0, 1):
    XLOOKUP(INDEX($X$5:$X201, MATCH(F124, $V$5:$V201, 0)), SEQUENCE(100, 1, 1, 1), Offset, "N/F", 0, 1)/Labspeed, IDS_LAB_GODLBOXED_COUNT()))),"")</f>
        <v/>
      </c>
      <c r="L124" s="1510" t="str">
        <f t="array" ref="L124">IFERROR(LET(
  Labspeed, IF(F124="Labs Speed", 1+'Master Sheet'!$BK$5, LAB_SPEED_TOTAL()),
  Lab, MATCH(IF(ISNUMBER(SEARCH("Mastery", $F124)), "Card Mastery", $F124), DVT_Laboratory!B$1:AA$1, 0)-1,
  Offset, OFFSET(DVT_Laboratory!B$3, 0, Lab, 100, 1),
K124-SUM(TIME_TO_RUSH_GEMS(
    XLOOKUP(INDEX($W$5:$W201, MATCH(F124, $V$5:$V201, 0))+1, SEQUENCE(100, 1, 1, 1), Offset, "N/F", 0, 1):
    XLOOKUP(INDEX($X$5:$X201, MATCH(F124, $V$5:$V201, 0)), SEQUENCE(100, 1, 1, 1), Offset, "N/F", 0, 1)/Labspeed, IDS_LAB_GODLBOXED_COUNT()+1))),"")</f>
        <v/>
      </c>
      <c r="M124" s="1423" t="str">
        <f t="shared" si="5"/>
        <v/>
      </c>
      <c r="N124" s="1429"/>
      <c r="O124" s="1429"/>
      <c r="P124" s="1429"/>
      <c r="Q124" s="1438"/>
      <c r="R124" s="1438"/>
      <c r="S124" s="1438"/>
      <c r="T124" s="1438"/>
      <c r="U124" s="1438"/>
      <c r="V124" s="1443"/>
      <c r="W124" s="1417" t="s">
        <v>455</v>
      </c>
      <c r="X124" s="1417" t="s">
        <v>455</v>
      </c>
      <c r="Y124" s="1416" t="s">
        <v>455</v>
      </c>
      <c r="Z124" s="1479" t="s">
        <v>455</v>
      </c>
      <c r="AA124" s="1417"/>
    </row>
    <row r="125">
      <c r="A125" s="1404"/>
      <c r="B125" s="1424"/>
      <c r="C125" s="1473"/>
      <c r="D125" s="1476"/>
      <c r="E125" s="1477"/>
      <c r="F125" s="1446"/>
      <c r="G125" s="1448" t="str">
        <f>IFERROR(__xludf.DUMMYFUNCTION("""COMPUTED_VALUE"""),"")</f>
        <v/>
      </c>
      <c r="H125" s="1449" t="str">
        <f t="shared" si="3"/>
        <v/>
      </c>
      <c r="I125" s="1489" t="str">
        <f>IFERROR(__xludf.DUMMYFUNCTION("""COMPUTED_VALUE"""),"")</f>
        <v/>
      </c>
      <c r="J125" s="1449" t="str">
        <f t="shared" si="4"/>
        <v/>
      </c>
      <c r="K125" s="1510" t="str">
        <f t="array" ref="K125">IFERROR(LET(
  Labspeed, IF(F125="Labs Speed", 1+'Master Sheet'!$BK$5, LAB_SPEED_TOTAL()),
  Lab, MATCH(IF(ISNUMBER(SEARCH("Mastery", $F125)), "Card Mastery", $F125), DVT_Laboratory!B$1:AA$1, 0)-1,
  Offset, OFFSET(DVT_Laboratory!B$3, 0, Lab, 100, 1),
SUM(TIME_TO_RUSH_GEMS(
    XLOOKUP(INDEX($W$5:$W201, MATCH(F125, $V$5:$V201, 0))+1, SEQUENCE(100, 1, 1, 1), Offset, "N/F", 0, 1):
    XLOOKUP(INDEX($X$5:$X201, MATCH(F125, $V$5:$V201, 0)), SEQUENCE(100, 1, 1, 1), Offset, "N/F", 0, 1)/Labspeed, IDS_LAB_GODLBOXED_COUNT()))),"")</f>
        <v/>
      </c>
      <c r="L125" s="1510" t="str">
        <f t="array" ref="L125">IFERROR(LET(
  Labspeed, IF(F125="Labs Speed", 1+'Master Sheet'!$BK$5, LAB_SPEED_TOTAL()),
  Lab, MATCH(IF(ISNUMBER(SEARCH("Mastery", $F125)), "Card Mastery", $F125), DVT_Laboratory!B$1:AA$1, 0)-1,
  Offset, OFFSET(DVT_Laboratory!B$3, 0, Lab, 100, 1),
K125-SUM(TIME_TO_RUSH_GEMS(
    XLOOKUP(INDEX($W$5:$W201, MATCH(F125, $V$5:$V201, 0))+1, SEQUENCE(100, 1, 1, 1), Offset, "N/F", 0, 1):
    XLOOKUP(INDEX($X$5:$X201, MATCH(F125, $V$5:$V201, 0)), SEQUENCE(100, 1, 1, 1), Offset, "N/F", 0, 1)/Labspeed, IDS_LAB_GODLBOXED_COUNT()+1))),"")</f>
        <v/>
      </c>
      <c r="M125" s="1423" t="str">
        <f t="shared" si="5"/>
        <v/>
      </c>
      <c r="N125" s="1429"/>
      <c r="O125" s="1429"/>
      <c r="P125" s="1429"/>
      <c r="Q125" s="1438"/>
      <c r="R125" s="1438"/>
      <c r="S125" s="1438"/>
      <c r="T125" s="1438"/>
      <c r="U125" s="1438"/>
      <c r="V125" s="1443"/>
      <c r="W125" s="1417" t="s">
        <v>455</v>
      </c>
      <c r="X125" s="1417" t="s">
        <v>455</v>
      </c>
      <c r="Y125" s="1416" t="s">
        <v>455</v>
      </c>
      <c r="Z125" s="1479" t="s">
        <v>455</v>
      </c>
      <c r="AA125" s="1417"/>
    </row>
    <row r="126">
      <c r="A126" s="1404"/>
      <c r="B126" s="1424"/>
      <c r="C126" s="1473"/>
      <c r="D126" s="1476"/>
      <c r="E126" s="1477"/>
      <c r="F126" s="1446"/>
      <c r="G126" s="1448" t="str">
        <f>IFERROR(__xludf.DUMMYFUNCTION("""COMPUTED_VALUE"""),"")</f>
        <v/>
      </c>
      <c r="H126" s="1449" t="str">
        <f t="shared" si="3"/>
        <v/>
      </c>
      <c r="I126" s="1489" t="str">
        <f>IFERROR(__xludf.DUMMYFUNCTION("""COMPUTED_VALUE"""),"")</f>
        <v/>
      </c>
      <c r="J126" s="1449" t="str">
        <f t="shared" si="4"/>
        <v/>
      </c>
      <c r="K126" s="1510" t="str">
        <f t="array" ref="K126">IFERROR(LET(
  Labspeed, IF(F126="Labs Speed", 1+'Master Sheet'!$BK$5, LAB_SPEED_TOTAL()),
  Lab, MATCH(IF(ISNUMBER(SEARCH("Mastery", $F126)), "Card Mastery", $F126), DVT_Laboratory!B$1:AA$1, 0)-1,
  Offset, OFFSET(DVT_Laboratory!B$3, 0, Lab, 100, 1),
SUM(TIME_TO_RUSH_GEMS(
    XLOOKUP(INDEX($W$5:$W201, MATCH(F126, $V$5:$V201, 0))+1, SEQUENCE(100, 1, 1, 1), Offset, "N/F", 0, 1):
    XLOOKUP(INDEX($X$5:$X201, MATCH(F126, $V$5:$V201, 0)), SEQUENCE(100, 1, 1, 1), Offset, "N/F", 0, 1)/Labspeed, IDS_LAB_GODLBOXED_COUNT()))),"")</f>
        <v/>
      </c>
      <c r="L126" s="1510" t="str">
        <f t="array" ref="L126">IFERROR(LET(
  Labspeed, IF(F126="Labs Speed", 1+'Master Sheet'!$BK$5, LAB_SPEED_TOTAL()),
  Lab, MATCH(IF(ISNUMBER(SEARCH("Mastery", $F126)), "Card Mastery", $F126), DVT_Laboratory!B$1:AA$1, 0)-1,
  Offset, OFFSET(DVT_Laboratory!B$3, 0, Lab, 100, 1),
K126-SUM(TIME_TO_RUSH_GEMS(
    XLOOKUP(INDEX($W$5:$W201, MATCH(F126, $V$5:$V201, 0))+1, SEQUENCE(100, 1, 1, 1), Offset, "N/F", 0, 1):
    XLOOKUP(INDEX($X$5:$X201, MATCH(F126, $V$5:$V201, 0)), SEQUENCE(100, 1, 1, 1), Offset, "N/F", 0, 1)/Labspeed, IDS_LAB_GODLBOXED_COUNT()+1))),"")</f>
        <v/>
      </c>
      <c r="M126" s="1423" t="str">
        <f t="shared" si="5"/>
        <v/>
      </c>
      <c r="N126" s="1429"/>
      <c r="O126" s="1429"/>
      <c r="P126" s="1429"/>
      <c r="Q126" s="1438"/>
      <c r="R126" s="1438"/>
      <c r="S126" s="1438"/>
      <c r="T126" s="1438"/>
      <c r="U126" s="1438"/>
      <c r="V126" s="1443"/>
      <c r="W126" s="1417" t="s">
        <v>455</v>
      </c>
      <c r="X126" s="1417" t="s">
        <v>455</v>
      </c>
      <c r="Y126" s="1416" t="s">
        <v>455</v>
      </c>
      <c r="Z126" s="1479" t="s">
        <v>455</v>
      </c>
      <c r="AA126" s="1417"/>
    </row>
    <row r="127">
      <c r="A127" s="1404"/>
      <c r="B127" s="1424"/>
      <c r="C127" s="1473"/>
      <c r="D127" s="1476"/>
      <c r="E127" s="1477"/>
      <c r="F127" s="1446"/>
      <c r="G127" s="1448" t="str">
        <f>IFERROR(__xludf.DUMMYFUNCTION("""COMPUTED_VALUE"""),"")</f>
        <v/>
      </c>
      <c r="H127" s="1449" t="str">
        <f t="shared" si="3"/>
        <v/>
      </c>
      <c r="I127" s="1489" t="str">
        <f>IFERROR(__xludf.DUMMYFUNCTION("""COMPUTED_VALUE"""),"")</f>
        <v/>
      </c>
      <c r="J127" s="1449" t="str">
        <f t="shared" si="4"/>
        <v/>
      </c>
      <c r="K127" s="1510" t="str">
        <f t="array" ref="K127">IFERROR(LET(
  Labspeed, IF(F127="Labs Speed", 1+'Master Sheet'!$BK$5, LAB_SPEED_TOTAL()),
  Lab, MATCH(IF(ISNUMBER(SEARCH("Mastery", $F127)), "Card Mastery", $F127), DVT_Laboratory!B$1:AA$1, 0)-1,
  Offset, OFFSET(DVT_Laboratory!B$3, 0, Lab, 100, 1),
SUM(TIME_TO_RUSH_GEMS(
    XLOOKUP(INDEX($W$5:$W201, MATCH(F127, $V$5:$V201, 0))+1, SEQUENCE(100, 1, 1, 1), Offset, "N/F", 0, 1):
    XLOOKUP(INDEX($X$5:$X201, MATCH(F127, $V$5:$V201, 0)), SEQUENCE(100, 1, 1, 1), Offset, "N/F", 0, 1)/Labspeed, IDS_LAB_GODLBOXED_COUNT()))),"")</f>
        <v/>
      </c>
      <c r="L127" s="1510" t="str">
        <f t="array" ref="L127">IFERROR(LET(
  Labspeed, IF(F127="Labs Speed", 1+'Master Sheet'!$BK$5, LAB_SPEED_TOTAL()),
  Lab, MATCH(IF(ISNUMBER(SEARCH("Mastery", $F127)), "Card Mastery", $F127), DVT_Laboratory!B$1:AA$1, 0)-1,
  Offset, OFFSET(DVT_Laboratory!B$3, 0, Lab, 100, 1),
K127-SUM(TIME_TO_RUSH_GEMS(
    XLOOKUP(INDEX($W$5:$W201, MATCH(F127, $V$5:$V201, 0))+1, SEQUENCE(100, 1, 1, 1), Offset, "N/F", 0, 1):
    XLOOKUP(INDEX($X$5:$X201, MATCH(F127, $V$5:$V201, 0)), SEQUENCE(100, 1, 1, 1), Offset, "N/F", 0, 1)/Labspeed, IDS_LAB_GODLBOXED_COUNT()+1))),"")</f>
        <v/>
      </c>
      <c r="M127" s="1423" t="str">
        <f t="shared" si="5"/>
        <v/>
      </c>
      <c r="N127" s="1429"/>
      <c r="O127" s="1429"/>
      <c r="P127" s="1429"/>
      <c r="Q127" s="1438"/>
      <c r="R127" s="1438"/>
      <c r="S127" s="1438"/>
      <c r="T127" s="1438"/>
      <c r="U127" s="1438"/>
      <c r="V127" s="1443"/>
      <c r="W127" s="1417" t="s">
        <v>455</v>
      </c>
      <c r="X127" s="1417" t="s">
        <v>455</v>
      </c>
      <c r="Y127" s="1416" t="s">
        <v>455</v>
      </c>
      <c r="Z127" s="1479" t="s">
        <v>455</v>
      </c>
      <c r="AA127" s="1417"/>
    </row>
    <row r="128">
      <c r="A128" s="1404"/>
      <c r="B128" s="1424"/>
      <c r="C128" s="1473"/>
      <c r="D128" s="1476"/>
      <c r="E128" s="1477"/>
      <c r="F128" s="1446"/>
      <c r="G128" s="1448" t="str">
        <f>IFERROR(__xludf.DUMMYFUNCTION("""COMPUTED_VALUE"""),"")</f>
        <v/>
      </c>
      <c r="H128" s="1449" t="str">
        <f t="shared" si="3"/>
        <v/>
      </c>
      <c r="I128" s="1489" t="str">
        <f>IFERROR(__xludf.DUMMYFUNCTION("""COMPUTED_VALUE"""),"")</f>
        <v/>
      </c>
      <c r="J128" s="1449" t="str">
        <f t="shared" si="4"/>
        <v/>
      </c>
      <c r="K128" s="1510" t="str">
        <f t="array" ref="K128">IFERROR(LET(
  Labspeed, IF(F128="Labs Speed", 1+'Master Sheet'!$BK$5, LAB_SPEED_TOTAL()),
  Lab, MATCH(IF(ISNUMBER(SEARCH("Mastery", $F128)), "Card Mastery", $F128), DVT_Laboratory!B$1:AA$1, 0)-1,
  Offset, OFFSET(DVT_Laboratory!B$3, 0, Lab, 100, 1),
SUM(TIME_TO_RUSH_GEMS(
    XLOOKUP(INDEX($W$5:$W201, MATCH(F128, $V$5:$V201, 0))+1, SEQUENCE(100, 1, 1, 1), Offset, "N/F", 0, 1):
    XLOOKUP(INDEX($X$5:$X201, MATCH(F128, $V$5:$V201, 0)), SEQUENCE(100, 1, 1, 1), Offset, "N/F", 0, 1)/Labspeed, IDS_LAB_GODLBOXED_COUNT()))),"")</f>
        <v/>
      </c>
      <c r="L128" s="1510" t="str">
        <f t="array" ref="L128">IFERROR(LET(
  Labspeed, IF(F128="Labs Speed", 1+'Master Sheet'!$BK$5, LAB_SPEED_TOTAL()),
  Lab, MATCH(IF(ISNUMBER(SEARCH("Mastery", $F128)), "Card Mastery", $F128), DVT_Laboratory!B$1:AA$1, 0)-1,
  Offset, OFFSET(DVT_Laboratory!B$3, 0, Lab, 100, 1),
K128-SUM(TIME_TO_RUSH_GEMS(
    XLOOKUP(INDEX($W$5:$W201, MATCH(F128, $V$5:$V201, 0))+1, SEQUENCE(100, 1, 1, 1), Offset, "N/F", 0, 1):
    XLOOKUP(INDEX($X$5:$X201, MATCH(F128, $V$5:$V201, 0)), SEQUENCE(100, 1, 1, 1), Offset, "N/F", 0, 1)/Labspeed, IDS_LAB_GODLBOXED_COUNT()+1))),"")</f>
        <v/>
      </c>
      <c r="M128" s="1423" t="str">
        <f t="shared" si="5"/>
        <v/>
      </c>
      <c r="N128" s="1429"/>
      <c r="O128" s="1429"/>
      <c r="P128" s="1429"/>
      <c r="Q128" s="1438"/>
      <c r="R128" s="1438"/>
      <c r="S128" s="1438"/>
      <c r="T128" s="1438"/>
      <c r="U128" s="1438"/>
      <c r="V128" s="1443"/>
      <c r="W128" s="1417" t="s">
        <v>455</v>
      </c>
      <c r="X128" s="1417" t="s">
        <v>455</v>
      </c>
      <c r="Y128" s="1416" t="s">
        <v>455</v>
      </c>
      <c r="Z128" s="1479" t="s">
        <v>455</v>
      </c>
      <c r="AA128" s="1417"/>
    </row>
    <row r="129">
      <c r="A129" s="1404"/>
      <c r="B129" s="1424"/>
      <c r="C129" s="1473"/>
      <c r="D129" s="1476"/>
      <c r="E129" s="1477"/>
      <c r="F129" s="1446"/>
      <c r="G129" s="1448" t="str">
        <f>IFERROR(__xludf.DUMMYFUNCTION("""COMPUTED_VALUE"""),"")</f>
        <v/>
      </c>
      <c r="H129" s="1449" t="str">
        <f t="shared" si="3"/>
        <v/>
      </c>
      <c r="I129" s="1489" t="str">
        <f>IFERROR(__xludf.DUMMYFUNCTION("""COMPUTED_VALUE"""),"")</f>
        <v/>
      </c>
      <c r="J129" s="1449" t="str">
        <f t="shared" si="4"/>
        <v/>
      </c>
      <c r="K129" s="1510" t="str">
        <f t="array" ref="K129">IFERROR(LET(
  Labspeed, IF(F129="Labs Speed", 1+'Master Sheet'!$BK$5, LAB_SPEED_TOTAL()),
  Lab, MATCH(IF(ISNUMBER(SEARCH("Mastery", $F129)), "Card Mastery", $F129), DVT_Laboratory!B$1:AA$1, 0)-1,
  Offset, OFFSET(DVT_Laboratory!B$3, 0, Lab, 100, 1),
SUM(TIME_TO_RUSH_GEMS(
    XLOOKUP(INDEX($W$5:$W201, MATCH(F129, $V$5:$V201, 0))+1, SEQUENCE(100, 1, 1, 1), Offset, "N/F", 0, 1):
    XLOOKUP(INDEX($X$5:$X201, MATCH(F129, $V$5:$V201, 0)), SEQUENCE(100, 1, 1, 1), Offset, "N/F", 0, 1)/Labspeed, IDS_LAB_GODLBOXED_COUNT()))),"")</f>
        <v/>
      </c>
      <c r="L129" s="1510" t="str">
        <f t="array" ref="L129">IFERROR(LET(
  Labspeed, IF(F129="Labs Speed", 1+'Master Sheet'!$BK$5, LAB_SPEED_TOTAL()),
  Lab, MATCH(IF(ISNUMBER(SEARCH("Mastery", $F129)), "Card Mastery", $F129), DVT_Laboratory!B$1:AA$1, 0)-1,
  Offset, OFFSET(DVT_Laboratory!B$3, 0, Lab, 100, 1),
K129-SUM(TIME_TO_RUSH_GEMS(
    XLOOKUP(INDEX($W$5:$W201, MATCH(F129, $V$5:$V201, 0))+1, SEQUENCE(100, 1, 1, 1), Offset, "N/F", 0, 1):
    XLOOKUP(INDEX($X$5:$X201, MATCH(F129, $V$5:$V201, 0)), SEQUENCE(100, 1, 1, 1), Offset, "N/F", 0, 1)/Labspeed, IDS_LAB_GODLBOXED_COUNT()+1))),"")</f>
        <v/>
      </c>
      <c r="M129" s="1423" t="str">
        <f t="shared" si="5"/>
        <v/>
      </c>
      <c r="N129" s="1429"/>
      <c r="O129" s="1429"/>
      <c r="P129" s="1429"/>
      <c r="Q129" s="1438"/>
      <c r="R129" s="1438"/>
      <c r="S129" s="1438"/>
      <c r="T129" s="1438"/>
      <c r="U129" s="1438"/>
      <c r="V129" s="1443"/>
      <c r="W129" s="1417" t="s">
        <v>455</v>
      </c>
      <c r="X129" s="1417" t="s">
        <v>455</v>
      </c>
      <c r="Y129" s="1416" t="s">
        <v>455</v>
      </c>
      <c r="Z129" s="1479" t="s">
        <v>455</v>
      </c>
      <c r="AA129" s="1417"/>
    </row>
    <row r="130">
      <c r="A130" s="1404"/>
      <c r="B130" s="1424"/>
      <c r="C130" s="1473"/>
      <c r="D130" s="1476"/>
      <c r="E130" s="1477"/>
      <c r="F130" s="1446"/>
      <c r="G130" s="1448" t="str">
        <f>IFERROR(__xludf.DUMMYFUNCTION("""COMPUTED_VALUE"""),"")</f>
        <v/>
      </c>
      <c r="H130" s="1449" t="str">
        <f t="shared" si="3"/>
        <v/>
      </c>
      <c r="I130" s="1489" t="str">
        <f>IFERROR(__xludf.DUMMYFUNCTION("""COMPUTED_VALUE"""),"")</f>
        <v/>
      </c>
      <c r="J130" s="1449" t="str">
        <f t="shared" si="4"/>
        <v/>
      </c>
      <c r="K130" s="1510" t="str">
        <f t="array" ref="K130">IFERROR(LET(
  Labspeed, IF(F130="Labs Speed", 1+'Master Sheet'!$BK$5, LAB_SPEED_TOTAL()),
  Lab, MATCH(IF(ISNUMBER(SEARCH("Mastery", $F130)), "Card Mastery", $F130), DVT_Laboratory!B$1:AA$1, 0)-1,
  Offset, OFFSET(DVT_Laboratory!B$3, 0, Lab, 100, 1),
SUM(TIME_TO_RUSH_GEMS(
    XLOOKUP(INDEX($W$5:$W201, MATCH(F130, $V$5:$V201, 0))+1, SEQUENCE(100, 1, 1, 1), Offset, "N/F", 0, 1):
    XLOOKUP(INDEX($X$5:$X201, MATCH(F130, $V$5:$V201, 0)), SEQUENCE(100, 1, 1, 1), Offset, "N/F", 0, 1)/Labspeed, IDS_LAB_GODLBOXED_COUNT()))),"")</f>
        <v/>
      </c>
      <c r="L130" s="1510" t="str">
        <f t="array" ref="L130">IFERROR(LET(
  Labspeed, IF(F130="Labs Speed", 1+'Master Sheet'!$BK$5, LAB_SPEED_TOTAL()),
  Lab, MATCH(IF(ISNUMBER(SEARCH("Mastery", $F130)), "Card Mastery", $F130), DVT_Laboratory!B$1:AA$1, 0)-1,
  Offset, OFFSET(DVT_Laboratory!B$3, 0, Lab, 100, 1),
K130-SUM(TIME_TO_RUSH_GEMS(
    XLOOKUP(INDEX($W$5:$W201, MATCH(F130, $V$5:$V201, 0))+1, SEQUENCE(100, 1, 1, 1), Offset, "N/F", 0, 1):
    XLOOKUP(INDEX($X$5:$X201, MATCH(F130, $V$5:$V201, 0)), SEQUENCE(100, 1, 1, 1), Offset, "N/F", 0, 1)/Labspeed, IDS_LAB_GODLBOXED_COUNT()+1))),"")</f>
        <v/>
      </c>
      <c r="M130" s="1423" t="str">
        <f t="shared" si="5"/>
        <v/>
      </c>
      <c r="N130" s="1429"/>
      <c r="O130" s="1429"/>
      <c r="P130" s="1429"/>
      <c r="Q130" s="1438"/>
      <c r="R130" s="1438"/>
      <c r="S130" s="1438"/>
      <c r="T130" s="1438"/>
      <c r="U130" s="1438"/>
      <c r="V130" s="1443"/>
      <c r="W130" s="1417" t="s">
        <v>455</v>
      </c>
      <c r="X130" s="1417" t="s">
        <v>455</v>
      </c>
      <c r="Y130" s="1416" t="s">
        <v>455</v>
      </c>
      <c r="Z130" s="1479" t="s">
        <v>455</v>
      </c>
      <c r="AA130" s="1417"/>
    </row>
    <row r="131">
      <c r="A131" s="1404"/>
      <c r="B131" s="1424"/>
      <c r="C131" s="1473"/>
      <c r="D131" s="1476"/>
      <c r="E131" s="1477"/>
      <c r="F131" s="1446"/>
      <c r="G131" s="1448" t="str">
        <f>IFERROR(__xludf.DUMMYFUNCTION("""COMPUTED_VALUE"""),"")</f>
        <v/>
      </c>
      <c r="H131" s="1449" t="str">
        <f t="shared" si="3"/>
        <v/>
      </c>
      <c r="I131" s="1489" t="str">
        <f>IFERROR(__xludf.DUMMYFUNCTION("""COMPUTED_VALUE"""),"")</f>
        <v/>
      </c>
      <c r="J131" s="1449" t="str">
        <f t="shared" si="4"/>
        <v/>
      </c>
      <c r="K131" s="1510" t="str">
        <f t="array" ref="K131">IFERROR(LET(
  Labspeed, IF(F131="Labs Speed", 1+'Master Sheet'!$BK$5, LAB_SPEED_TOTAL()),
  Lab, MATCH(IF(ISNUMBER(SEARCH("Mastery", $F131)), "Card Mastery", $F131), DVT_Laboratory!B$1:AA$1, 0)-1,
  Offset, OFFSET(DVT_Laboratory!B$3, 0, Lab, 100, 1),
SUM(TIME_TO_RUSH_GEMS(
    XLOOKUP(INDEX($W$5:$W201, MATCH(F131, $V$5:$V201, 0))+1, SEQUENCE(100, 1, 1, 1), Offset, "N/F", 0, 1):
    XLOOKUP(INDEX($X$5:$X201, MATCH(F131, $V$5:$V201, 0)), SEQUENCE(100, 1, 1, 1), Offset, "N/F", 0, 1)/Labspeed, IDS_LAB_GODLBOXED_COUNT()))),"")</f>
        <v/>
      </c>
      <c r="L131" s="1510" t="str">
        <f t="array" ref="L131">IFERROR(LET(
  Labspeed, IF(F131="Labs Speed", 1+'Master Sheet'!$BK$5, LAB_SPEED_TOTAL()),
  Lab, MATCH(IF(ISNUMBER(SEARCH("Mastery", $F131)), "Card Mastery", $F131), DVT_Laboratory!B$1:AA$1, 0)-1,
  Offset, OFFSET(DVT_Laboratory!B$3, 0, Lab, 100, 1),
K131-SUM(TIME_TO_RUSH_GEMS(
    XLOOKUP(INDEX($W$5:$W201, MATCH(F131, $V$5:$V201, 0))+1, SEQUENCE(100, 1, 1, 1), Offset, "N/F", 0, 1):
    XLOOKUP(INDEX($X$5:$X201, MATCH(F131, $V$5:$V201, 0)), SEQUENCE(100, 1, 1, 1), Offset, "N/F", 0, 1)/Labspeed, IDS_LAB_GODLBOXED_COUNT()+1))),"")</f>
        <v/>
      </c>
      <c r="M131" s="1423" t="str">
        <f t="shared" si="5"/>
        <v/>
      </c>
      <c r="N131" s="1429"/>
      <c r="O131" s="1429"/>
      <c r="P131" s="1429"/>
      <c r="Q131" s="1438"/>
      <c r="R131" s="1438"/>
      <c r="S131" s="1438"/>
      <c r="T131" s="1438"/>
      <c r="U131" s="1438"/>
      <c r="V131" s="1443"/>
      <c r="W131" s="1417" t="s">
        <v>455</v>
      </c>
      <c r="X131" s="1417" t="s">
        <v>455</v>
      </c>
      <c r="Y131" s="1416" t="s">
        <v>455</v>
      </c>
      <c r="Z131" s="1479" t="s">
        <v>455</v>
      </c>
      <c r="AA131" s="1417"/>
    </row>
    <row r="132">
      <c r="A132" s="1404"/>
      <c r="B132" s="1424"/>
      <c r="C132" s="1473"/>
      <c r="D132" s="1476"/>
      <c r="E132" s="1477"/>
      <c r="F132" s="1446"/>
      <c r="G132" s="1448" t="str">
        <f>IFERROR(__xludf.DUMMYFUNCTION("""COMPUTED_VALUE"""),"")</f>
        <v/>
      </c>
      <c r="H132" s="1449" t="str">
        <f t="shared" si="3"/>
        <v/>
      </c>
      <c r="I132" s="1489" t="str">
        <f>IFERROR(__xludf.DUMMYFUNCTION("""COMPUTED_VALUE"""),"")</f>
        <v/>
      </c>
      <c r="J132" s="1449" t="str">
        <f t="shared" si="4"/>
        <v/>
      </c>
      <c r="K132" s="1510" t="str">
        <f t="array" ref="K132">IFERROR(LET(
  Labspeed, IF(F132="Labs Speed", 1+'Master Sheet'!$BK$5, LAB_SPEED_TOTAL()),
  Lab, MATCH(IF(ISNUMBER(SEARCH("Mastery", $F132)), "Card Mastery", $F132), DVT_Laboratory!B$1:AA$1, 0)-1,
  Offset, OFFSET(DVT_Laboratory!B$3, 0, Lab, 100, 1),
SUM(TIME_TO_RUSH_GEMS(
    XLOOKUP(INDEX($W$5:$W201, MATCH(F132, $V$5:$V201, 0))+1, SEQUENCE(100, 1, 1, 1), Offset, "N/F", 0, 1):
    XLOOKUP(INDEX($X$5:$X201, MATCH(F132, $V$5:$V201, 0)), SEQUENCE(100, 1, 1, 1), Offset, "N/F", 0, 1)/Labspeed, IDS_LAB_GODLBOXED_COUNT()))),"")</f>
        <v/>
      </c>
      <c r="L132" s="1510" t="str">
        <f t="array" ref="L132">IFERROR(LET(
  Labspeed, IF(F132="Labs Speed", 1+'Master Sheet'!$BK$5, LAB_SPEED_TOTAL()),
  Lab, MATCH(IF(ISNUMBER(SEARCH("Mastery", $F132)), "Card Mastery", $F132), DVT_Laboratory!B$1:AA$1, 0)-1,
  Offset, OFFSET(DVT_Laboratory!B$3, 0, Lab, 100, 1),
K132-SUM(TIME_TO_RUSH_GEMS(
    XLOOKUP(INDEX($W$5:$W201, MATCH(F132, $V$5:$V201, 0))+1, SEQUENCE(100, 1, 1, 1), Offset, "N/F", 0, 1):
    XLOOKUP(INDEX($X$5:$X201, MATCH(F132, $V$5:$V201, 0)), SEQUENCE(100, 1, 1, 1), Offset, "N/F", 0, 1)/Labspeed, IDS_LAB_GODLBOXED_COUNT()+1))),"")</f>
        <v/>
      </c>
      <c r="M132" s="1423" t="str">
        <f t="shared" si="5"/>
        <v/>
      </c>
      <c r="N132" s="1429"/>
      <c r="O132" s="1429"/>
      <c r="P132" s="1429"/>
      <c r="Q132" s="1438"/>
      <c r="R132" s="1438"/>
      <c r="S132" s="1438"/>
      <c r="T132" s="1438"/>
      <c r="U132" s="1438"/>
      <c r="V132" s="1443"/>
      <c r="W132" s="1417" t="s">
        <v>455</v>
      </c>
      <c r="X132" s="1417" t="s">
        <v>455</v>
      </c>
      <c r="Y132" s="1416" t="s">
        <v>455</v>
      </c>
      <c r="Z132" s="1479" t="s">
        <v>455</v>
      </c>
      <c r="AA132" s="1417"/>
    </row>
    <row r="133">
      <c r="A133" s="1404"/>
      <c r="B133" s="1424"/>
      <c r="C133" s="1473"/>
      <c r="D133" s="1476"/>
      <c r="E133" s="1477"/>
      <c r="F133" s="1446"/>
      <c r="G133" s="1448" t="str">
        <f>IFERROR(__xludf.DUMMYFUNCTION("""COMPUTED_VALUE"""),"")</f>
        <v/>
      </c>
      <c r="H133" s="1449" t="str">
        <f t="shared" si="3"/>
        <v/>
      </c>
      <c r="I133" s="1489" t="str">
        <f>IFERROR(__xludf.DUMMYFUNCTION("""COMPUTED_VALUE"""),"")</f>
        <v/>
      </c>
      <c r="J133" s="1449" t="str">
        <f t="shared" si="4"/>
        <v/>
      </c>
      <c r="K133" s="1510" t="str">
        <f t="array" ref="K133">IFERROR(LET(
  Labspeed, IF(F133="Labs Speed", 1+'Master Sheet'!$BK$5, LAB_SPEED_TOTAL()),
  Lab, MATCH(IF(ISNUMBER(SEARCH("Mastery", $F133)), "Card Mastery", $F133), DVT_Laboratory!B$1:AA$1, 0)-1,
  Offset, OFFSET(DVT_Laboratory!B$3, 0, Lab, 100, 1),
SUM(TIME_TO_RUSH_GEMS(
    XLOOKUP(INDEX($W$5:$W201, MATCH(F133, $V$5:$V201, 0))+1, SEQUENCE(100, 1, 1, 1), Offset, "N/F", 0, 1):
    XLOOKUP(INDEX($X$5:$X201, MATCH(F133, $V$5:$V201, 0)), SEQUENCE(100, 1, 1, 1), Offset, "N/F", 0, 1)/Labspeed, IDS_LAB_GODLBOXED_COUNT()))),"")</f>
        <v/>
      </c>
      <c r="L133" s="1510" t="str">
        <f t="array" ref="L133">IFERROR(LET(
  Labspeed, IF(F133="Labs Speed", 1+'Master Sheet'!$BK$5, LAB_SPEED_TOTAL()),
  Lab, MATCH(IF(ISNUMBER(SEARCH("Mastery", $F133)), "Card Mastery", $F133), DVT_Laboratory!B$1:AA$1, 0)-1,
  Offset, OFFSET(DVT_Laboratory!B$3, 0, Lab, 100, 1),
K133-SUM(TIME_TO_RUSH_GEMS(
    XLOOKUP(INDEX($W$5:$W201, MATCH(F133, $V$5:$V201, 0))+1, SEQUENCE(100, 1, 1, 1), Offset, "N/F", 0, 1):
    XLOOKUP(INDEX($X$5:$X201, MATCH(F133, $V$5:$V201, 0)), SEQUENCE(100, 1, 1, 1), Offset, "N/F", 0, 1)/Labspeed, IDS_LAB_GODLBOXED_COUNT()+1))),"")</f>
        <v/>
      </c>
      <c r="M133" s="1423" t="str">
        <f t="shared" si="5"/>
        <v/>
      </c>
      <c r="N133" s="1429"/>
      <c r="O133" s="1429"/>
      <c r="P133" s="1429"/>
      <c r="Q133" s="1438"/>
      <c r="R133" s="1438"/>
      <c r="S133" s="1438"/>
      <c r="T133" s="1438"/>
      <c r="U133" s="1438"/>
      <c r="V133" s="1443"/>
      <c r="W133" s="1417" t="s">
        <v>455</v>
      </c>
      <c r="X133" s="1417" t="s">
        <v>455</v>
      </c>
      <c r="Y133" s="1416" t="s">
        <v>455</v>
      </c>
      <c r="Z133" s="1479" t="s">
        <v>455</v>
      </c>
      <c r="AA133" s="1417"/>
    </row>
    <row r="134">
      <c r="A134" s="1404"/>
      <c r="B134" s="1424"/>
      <c r="C134" s="1473"/>
      <c r="D134" s="1476"/>
      <c r="E134" s="1477"/>
      <c r="F134" s="1446"/>
      <c r="G134" s="1448" t="str">
        <f>IFERROR(__xludf.DUMMYFUNCTION("""COMPUTED_VALUE"""),"")</f>
        <v/>
      </c>
      <c r="H134" s="1449" t="str">
        <f t="shared" si="3"/>
        <v/>
      </c>
      <c r="I134" s="1489" t="str">
        <f>IFERROR(__xludf.DUMMYFUNCTION("""COMPUTED_VALUE"""),"")</f>
        <v/>
      </c>
      <c r="J134" s="1449" t="str">
        <f t="shared" si="4"/>
        <v/>
      </c>
      <c r="K134" s="1510" t="str">
        <f t="array" ref="K134">IFERROR(LET(
  Labspeed, IF(F134="Labs Speed", 1+'Master Sheet'!$BK$5, LAB_SPEED_TOTAL()),
  Lab, MATCH(IF(ISNUMBER(SEARCH("Mastery", $F134)), "Card Mastery", $F134), DVT_Laboratory!B$1:AA$1, 0)-1,
  Offset, OFFSET(DVT_Laboratory!B$3, 0, Lab, 100, 1),
SUM(TIME_TO_RUSH_GEMS(
    XLOOKUP(INDEX($W$5:$W201, MATCH(F134, $V$5:$V201, 0))+1, SEQUENCE(100, 1, 1, 1), Offset, "N/F", 0, 1):
    XLOOKUP(INDEX($X$5:$X201, MATCH(F134, $V$5:$V201, 0)), SEQUENCE(100, 1, 1, 1), Offset, "N/F", 0, 1)/Labspeed, IDS_LAB_GODLBOXED_COUNT()))),"")</f>
        <v/>
      </c>
      <c r="L134" s="1510" t="str">
        <f t="array" ref="L134">IFERROR(LET(
  Labspeed, IF(F134="Labs Speed", 1+'Master Sheet'!$BK$5, LAB_SPEED_TOTAL()),
  Lab, MATCH(IF(ISNUMBER(SEARCH("Mastery", $F134)), "Card Mastery", $F134), DVT_Laboratory!B$1:AA$1, 0)-1,
  Offset, OFFSET(DVT_Laboratory!B$3, 0, Lab, 100, 1),
K134-SUM(TIME_TO_RUSH_GEMS(
    XLOOKUP(INDEX($W$5:$W201, MATCH(F134, $V$5:$V201, 0))+1, SEQUENCE(100, 1, 1, 1), Offset, "N/F", 0, 1):
    XLOOKUP(INDEX($X$5:$X201, MATCH(F134, $V$5:$V201, 0)), SEQUENCE(100, 1, 1, 1), Offset, "N/F", 0, 1)/Labspeed, IDS_LAB_GODLBOXED_COUNT()+1))),"")</f>
        <v/>
      </c>
      <c r="M134" s="1423" t="str">
        <f t="shared" si="5"/>
        <v/>
      </c>
      <c r="N134" s="1429"/>
      <c r="O134" s="1429"/>
      <c r="P134" s="1429"/>
      <c r="Q134" s="1438"/>
      <c r="R134" s="1438"/>
      <c r="S134" s="1438"/>
      <c r="T134" s="1438"/>
      <c r="U134" s="1438"/>
      <c r="V134" s="1443"/>
      <c r="W134" s="1417" t="s">
        <v>455</v>
      </c>
      <c r="X134" s="1417" t="s">
        <v>455</v>
      </c>
      <c r="Y134" s="1416" t="s">
        <v>455</v>
      </c>
      <c r="Z134" s="1479" t="s">
        <v>455</v>
      </c>
      <c r="AA134" s="1417"/>
    </row>
    <row r="135">
      <c r="A135" s="1404"/>
      <c r="B135" s="1424"/>
      <c r="C135" s="1473"/>
      <c r="D135" s="1476"/>
      <c r="E135" s="1477"/>
      <c r="F135" s="1446"/>
      <c r="G135" s="1448" t="str">
        <f>IFERROR(__xludf.DUMMYFUNCTION("""COMPUTED_VALUE"""),"")</f>
        <v/>
      </c>
      <c r="H135" s="1449" t="str">
        <f t="shared" si="3"/>
        <v/>
      </c>
      <c r="I135" s="1489" t="str">
        <f>IFERROR(__xludf.DUMMYFUNCTION("""COMPUTED_VALUE"""),"")</f>
        <v/>
      </c>
      <c r="J135" s="1449" t="str">
        <f t="shared" si="4"/>
        <v/>
      </c>
      <c r="K135" s="1510" t="str">
        <f t="array" ref="K135">IFERROR(LET(
  Labspeed, IF(F135="Labs Speed", 1+'Master Sheet'!$BK$5, LAB_SPEED_TOTAL()),
  Lab, MATCH(IF(ISNUMBER(SEARCH("Mastery", $F135)), "Card Mastery", $F135), DVT_Laboratory!B$1:AA$1, 0)-1,
  Offset, OFFSET(DVT_Laboratory!B$3, 0, Lab, 100, 1),
SUM(TIME_TO_RUSH_GEMS(
    XLOOKUP(INDEX($W$5:$W201, MATCH(F135, $V$5:$V201, 0))+1, SEQUENCE(100, 1, 1, 1), Offset, "N/F", 0, 1):
    XLOOKUP(INDEX($X$5:$X201, MATCH(F135, $V$5:$V201, 0)), SEQUENCE(100, 1, 1, 1), Offset, "N/F", 0, 1)/Labspeed, IDS_LAB_GODLBOXED_COUNT()))),"")</f>
        <v/>
      </c>
      <c r="L135" s="1510" t="str">
        <f t="array" ref="L135">IFERROR(LET(
  Labspeed, IF(F135="Labs Speed", 1+'Master Sheet'!$BK$5, LAB_SPEED_TOTAL()),
  Lab, MATCH(IF(ISNUMBER(SEARCH("Mastery", $F135)), "Card Mastery", $F135), DVT_Laboratory!B$1:AA$1, 0)-1,
  Offset, OFFSET(DVT_Laboratory!B$3, 0, Lab, 100, 1),
K135-SUM(TIME_TO_RUSH_GEMS(
    XLOOKUP(INDEX($W$5:$W201, MATCH(F135, $V$5:$V201, 0))+1, SEQUENCE(100, 1, 1, 1), Offset, "N/F", 0, 1):
    XLOOKUP(INDEX($X$5:$X201, MATCH(F135, $V$5:$V201, 0)), SEQUENCE(100, 1, 1, 1), Offset, "N/F", 0, 1)/Labspeed, IDS_LAB_GODLBOXED_COUNT()+1))),"")</f>
        <v/>
      </c>
      <c r="M135" s="1423" t="str">
        <f t="shared" si="5"/>
        <v/>
      </c>
      <c r="N135" s="1429"/>
      <c r="O135" s="1429"/>
      <c r="P135" s="1429"/>
      <c r="Q135" s="1438"/>
      <c r="R135" s="1438"/>
      <c r="S135" s="1438"/>
      <c r="T135" s="1438"/>
      <c r="U135" s="1438"/>
      <c r="V135" s="1443"/>
      <c r="W135" s="1417" t="s">
        <v>455</v>
      </c>
      <c r="X135" s="1417" t="s">
        <v>455</v>
      </c>
      <c r="Y135" s="1416" t="s">
        <v>455</v>
      </c>
      <c r="Z135" s="1479" t="s">
        <v>455</v>
      </c>
      <c r="AA135" s="1417"/>
    </row>
    <row r="136">
      <c r="A136" s="1404"/>
      <c r="B136" s="1424"/>
      <c r="C136" s="1473"/>
      <c r="D136" s="1476"/>
      <c r="E136" s="1477"/>
      <c r="F136" s="1446"/>
      <c r="G136" s="1448" t="str">
        <f>IFERROR(__xludf.DUMMYFUNCTION("""COMPUTED_VALUE"""),"")</f>
        <v/>
      </c>
      <c r="H136" s="1449" t="str">
        <f t="shared" si="3"/>
        <v/>
      </c>
      <c r="I136" s="1489" t="str">
        <f>IFERROR(__xludf.DUMMYFUNCTION("""COMPUTED_VALUE"""),"")</f>
        <v/>
      </c>
      <c r="J136" s="1449" t="str">
        <f t="shared" si="4"/>
        <v/>
      </c>
      <c r="K136" s="1510" t="str">
        <f t="array" ref="K136">IFERROR(LET(
  Labspeed, IF(F136="Labs Speed", 1+'Master Sheet'!$BK$5, LAB_SPEED_TOTAL()),
  Lab, MATCH(IF(ISNUMBER(SEARCH("Mastery", $F136)), "Card Mastery", $F136), DVT_Laboratory!B$1:AA$1, 0)-1,
  Offset, OFFSET(DVT_Laboratory!B$3, 0, Lab, 100, 1),
SUM(TIME_TO_RUSH_GEMS(
    XLOOKUP(INDEX($W$5:$W201, MATCH(F136, $V$5:$V201, 0))+1, SEQUENCE(100, 1, 1, 1), Offset, "N/F", 0, 1):
    XLOOKUP(INDEX($X$5:$X201, MATCH(F136, $V$5:$V201, 0)), SEQUENCE(100, 1, 1, 1), Offset, "N/F", 0, 1)/Labspeed, IDS_LAB_GODLBOXED_COUNT()))),"")</f>
        <v/>
      </c>
      <c r="L136" s="1510" t="str">
        <f t="array" ref="L136">IFERROR(LET(
  Labspeed, IF(F136="Labs Speed", 1+'Master Sheet'!$BK$5, LAB_SPEED_TOTAL()),
  Lab, MATCH(IF(ISNUMBER(SEARCH("Mastery", $F136)), "Card Mastery", $F136), DVT_Laboratory!B$1:AA$1, 0)-1,
  Offset, OFFSET(DVT_Laboratory!B$3, 0, Lab, 100, 1),
K136-SUM(TIME_TO_RUSH_GEMS(
    XLOOKUP(INDEX($W$5:$W201, MATCH(F136, $V$5:$V201, 0))+1, SEQUENCE(100, 1, 1, 1), Offset, "N/F", 0, 1):
    XLOOKUP(INDEX($X$5:$X201, MATCH(F136, $V$5:$V201, 0)), SEQUENCE(100, 1, 1, 1), Offset, "N/F", 0, 1)/Labspeed, IDS_LAB_GODLBOXED_COUNT()+1))),"")</f>
        <v/>
      </c>
      <c r="M136" s="1423" t="str">
        <f t="shared" si="5"/>
        <v/>
      </c>
      <c r="N136" s="1429"/>
      <c r="O136" s="1429"/>
      <c r="P136" s="1429"/>
      <c r="Q136" s="1438"/>
      <c r="R136" s="1438"/>
      <c r="S136" s="1438"/>
      <c r="T136" s="1438"/>
      <c r="U136" s="1438"/>
      <c r="V136" s="1443"/>
      <c r="W136" s="1417" t="s">
        <v>455</v>
      </c>
      <c r="X136" s="1417" t="s">
        <v>455</v>
      </c>
      <c r="Y136" s="1416" t="s">
        <v>455</v>
      </c>
      <c r="Z136" s="1479" t="s">
        <v>455</v>
      </c>
      <c r="AA136" s="1417"/>
    </row>
    <row r="137">
      <c r="A137" s="1404"/>
      <c r="B137" s="1424"/>
      <c r="C137" s="1473"/>
      <c r="D137" s="1476"/>
      <c r="E137" s="1477"/>
      <c r="F137" s="1446"/>
      <c r="G137" s="1448" t="str">
        <f>IFERROR(__xludf.DUMMYFUNCTION("""COMPUTED_VALUE"""),"")</f>
        <v/>
      </c>
      <c r="H137" s="1449" t="str">
        <f t="shared" si="3"/>
        <v/>
      </c>
      <c r="I137" s="1489" t="str">
        <f>IFERROR(__xludf.DUMMYFUNCTION("""COMPUTED_VALUE"""),"")</f>
        <v/>
      </c>
      <c r="J137" s="1449" t="str">
        <f t="shared" si="4"/>
        <v/>
      </c>
      <c r="K137" s="1510" t="str">
        <f t="array" ref="K137">IFERROR(LET(
  Labspeed, IF(F137="Labs Speed", 1+'Master Sheet'!$BK$5, LAB_SPEED_TOTAL()),
  Lab, MATCH(IF(ISNUMBER(SEARCH("Mastery", $F137)), "Card Mastery", $F137), DVT_Laboratory!B$1:AA$1, 0)-1,
  Offset, OFFSET(DVT_Laboratory!B$3, 0, Lab, 100, 1),
SUM(TIME_TO_RUSH_GEMS(
    XLOOKUP(INDEX($W$5:$W201, MATCH(F137, $V$5:$V201, 0))+1, SEQUENCE(100, 1, 1, 1), Offset, "N/F", 0, 1):
    XLOOKUP(INDEX($X$5:$X201, MATCH(F137, $V$5:$V201, 0)), SEQUENCE(100, 1, 1, 1), Offset, "N/F", 0, 1)/Labspeed, IDS_LAB_GODLBOXED_COUNT()))),"")</f>
        <v/>
      </c>
      <c r="L137" s="1510" t="str">
        <f t="array" ref="L137">IFERROR(LET(
  Labspeed, IF(F137="Labs Speed", 1+'Master Sheet'!$BK$5, LAB_SPEED_TOTAL()),
  Lab, MATCH(IF(ISNUMBER(SEARCH("Mastery", $F137)), "Card Mastery", $F137), DVT_Laboratory!B$1:AA$1, 0)-1,
  Offset, OFFSET(DVT_Laboratory!B$3, 0, Lab, 100, 1),
K137-SUM(TIME_TO_RUSH_GEMS(
    XLOOKUP(INDEX($W$5:$W201, MATCH(F137, $V$5:$V201, 0))+1, SEQUENCE(100, 1, 1, 1), Offset, "N/F", 0, 1):
    XLOOKUP(INDEX($X$5:$X201, MATCH(F137, $V$5:$V201, 0)), SEQUENCE(100, 1, 1, 1), Offset, "N/F", 0, 1)/Labspeed, IDS_LAB_GODLBOXED_COUNT()+1))),"")</f>
        <v/>
      </c>
      <c r="M137" s="1423" t="str">
        <f t="shared" si="5"/>
        <v/>
      </c>
      <c r="N137" s="1429"/>
      <c r="O137" s="1429"/>
      <c r="P137" s="1429"/>
      <c r="Q137" s="1438"/>
      <c r="R137" s="1438"/>
      <c r="S137" s="1438"/>
      <c r="T137" s="1438"/>
      <c r="U137" s="1438"/>
      <c r="V137" s="1443"/>
      <c r="W137" s="1417" t="s">
        <v>455</v>
      </c>
      <c r="X137" s="1417" t="s">
        <v>455</v>
      </c>
      <c r="Y137" s="1416" t="s">
        <v>455</v>
      </c>
      <c r="Z137" s="1479" t="s">
        <v>455</v>
      </c>
      <c r="AA137" s="1417"/>
    </row>
    <row r="138">
      <c r="A138" s="1404"/>
      <c r="B138" s="1424"/>
      <c r="C138" s="1473"/>
      <c r="D138" s="1476"/>
      <c r="E138" s="1477"/>
      <c r="F138" s="1446"/>
      <c r="G138" s="1448" t="str">
        <f>IFERROR(__xludf.DUMMYFUNCTION("""COMPUTED_VALUE"""),"")</f>
        <v/>
      </c>
      <c r="H138" s="1449" t="str">
        <f t="shared" si="3"/>
        <v/>
      </c>
      <c r="I138" s="1489" t="str">
        <f>IFERROR(__xludf.DUMMYFUNCTION("""COMPUTED_VALUE"""),"")</f>
        <v/>
      </c>
      <c r="J138" s="1449" t="str">
        <f t="shared" si="4"/>
        <v/>
      </c>
      <c r="K138" s="1510" t="str">
        <f t="array" ref="K138">IFERROR(LET(
  Labspeed, IF(F138="Labs Speed", 1+'Master Sheet'!$BK$5, LAB_SPEED_TOTAL()),
  Lab, MATCH(IF(ISNUMBER(SEARCH("Mastery", $F138)), "Card Mastery", $F138), DVT_Laboratory!B$1:AA$1, 0)-1,
  Offset, OFFSET(DVT_Laboratory!B$3, 0, Lab, 100, 1),
SUM(TIME_TO_RUSH_GEMS(
    XLOOKUP(INDEX($W$5:$W201, MATCH(F138, $V$5:$V201, 0))+1, SEQUENCE(100, 1, 1, 1), Offset, "N/F", 0, 1):
    XLOOKUP(INDEX($X$5:$X201, MATCH(F138, $V$5:$V201, 0)), SEQUENCE(100, 1, 1, 1), Offset, "N/F", 0, 1)/Labspeed, IDS_LAB_GODLBOXED_COUNT()))),"")</f>
        <v/>
      </c>
      <c r="L138" s="1510" t="str">
        <f t="array" ref="L138">IFERROR(LET(
  Labspeed, IF(F138="Labs Speed", 1+'Master Sheet'!$BK$5, LAB_SPEED_TOTAL()),
  Lab, MATCH(IF(ISNUMBER(SEARCH("Mastery", $F138)), "Card Mastery", $F138), DVT_Laboratory!B$1:AA$1, 0)-1,
  Offset, OFFSET(DVT_Laboratory!B$3, 0, Lab, 100, 1),
K138-SUM(TIME_TO_RUSH_GEMS(
    XLOOKUP(INDEX($W$5:$W201, MATCH(F138, $V$5:$V201, 0))+1, SEQUENCE(100, 1, 1, 1), Offset, "N/F", 0, 1):
    XLOOKUP(INDEX($X$5:$X201, MATCH(F138, $V$5:$V201, 0)), SEQUENCE(100, 1, 1, 1), Offset, "N/F", 0, 1)/Labspeed, IDS_LAB_GODLBOXED_COUNT()+1))),"")</f>
        <v/>
      </c>
      <c r="M138" s="1423" t="str">
        <f t="shared" si="5"/>
        <v/>
      </c>
      <c r="N138" s="1429"/>
      <c r="O138" s="1429"/>
      <c r="P138" s="1429"/>
      <c r="Q138" s="1438"/>
      <c r="R138" s="1438"/>
      <c r="S138" s="1438"/>
      <c r="T138" s="1438"/>
      <c r="U138" s="1438"/>
      <c r="V138" s="1443"/>
      <c r="W138" s="1417" t="s">
        <v>455</v>
      </c>
      <c r="X138" s="1417" t="s">
        <v>455</v>
      </c>
      <c r="Y138" s="1416" t="s">
        <v>455</v>
      </c>
      <c r="Z138" s="1479" t="s">
        <v>455</v>
      </c>
      <c r="AA138" s="1417"/>
    </row>
    <row r="139">
      <c r="A139" s="1404"/>
      <c r="B139" s="1424"/>
      <c r="C139" s="1473"/>
      <c r="D139" s="1476"/>
      <c r="E139" s="1477"/>
      <c r="F139" s="1446"/>
      <c r="G139" s="1448" t="str">
        <f>IFERROR(__xludf.DUMMYFUNCTION("""COMPUTED_VALUE"""),"")</f>
        <v/>
      </c>
      <c r="H139" s="1449" t="str">
        <f t="shared" si="3"/>
        <v/>
      </c>
      <c r="I139" s="1489" t="str">
        <f>IFERROR(__xludf.DUMMYFUNCTION("""COMPUTED_VALUE"""),"")</f>
        <v/>
      </c>
      <c r="J139" s="1449" t="str">
        <f t="shared" si="4"/>
        <v/>
      </c>
      <c r="K139" s="1510" t="str">
        <f t="array" ref="K139">IFERROR(LET(
  Labspeed, IF(F139="Labs Speed", 1+'Master Sheet'!$BK$5, LAB_SPEED_TOTAL()),
  Lab, MATCH(IF(ISNUMBER(SEARCH("Mastery", $F139)), "Card Mastery", $F139), DVT_Laboratory!B$1:AA$1, 0)-1,
  Offset, OFFSET(DVT_Laboratory!B$3, 0, Lab, 100, 1),
SUM(TIME_TO_RUSH_GEMS(
    XLOOKUP(INDEX($W$5:$W201, MATCH(F139, $V$5:$V201, 0))+1, SEQUENCE(100, 1, 1, 1), Offset, "N/F", 0, 1):
    XLOOKUP(INDEX($X$5:$X201, MATCH(F139, $V$5:$V201, 0)), SEQUENCE(100, 1, 1, 1), Offset, "N/F", 0, 1)/Labspeed, IDS_LAB_GODLBOXED_COUNT()))),"")</f>
        <v/>
      </c>
      <c r="L139" s="1510" t="str">
        <f t="array" ref="L139">IFERROR(LET(
  Labspeed, IF(F139="Labs Speed", 1+'Master Sheet'!$BK$5, LAB_SPEED_TOTAL()),
  Lab, MATCH(IF(ISNUMBER(SEARCH("Mastery", $F139)), "Card Mastery", $F139), DVT_Laboratory!B$1:AA$1, 0)-1,
  Offset, OFFSET(DVT_Laboratory!B$3, 0, Lab, 100, 1),
K139-SUM(TIME_TO_RUSH_GEMS(
    XLOOKUP(INDEX($W$5:$W201, MATCH(F139, $V$5:$V201, 0))+1, SEQUENCE(100, 1, 1, 1), Offset, "N/F", 0, 1):
    XLOOKUP(INDEX($X$5:$X201, MATCH(F139, $V$5:$V201, 0)), SEQUENCE(100, 1, 1, 1), Offset, "N/F", 0, 1)/Labspeed, IDS_LAB_GODLBOXED_COUNT()+1))),"")</f>
        <v/>
      </c>
      <c r="M139" s="1423" t="str">
        <f t="shared" si="5"/>
        <v/>
      </c>
      <c r="N139" s="1429"/>
      <c r="O139" s="1429"/>
      <c r="P139" s="1429"/>
      <c r="Q139" s="1438"/>
      <c r="R139" s="1438"/>
      <c r="S139" s="1438"/>
      <c r="T139" s="1438"/>
      <c r="U139" s="1438"/>
      <c r="V139" s="1443"/>
      <c r="W139" s="1417" t="s">
        <v>455</v>
      </c>
      <c r="X139" s="1417" t="s">
        <v>455</v>
      </c>
      <c r="Y139" s="1416" t="s">
        <v>455</v>
      </c>
      <c r="Z139" s="1479" t="s">
        <v>455</v>
      </c>
      <c r="AA139" s="1417"/>
    </row>
    <row r="140">
      <c r="A140" s="1404"/>
      <c r="B140" s="1424"/>
      <c r="C140" s="1473"/>
      <c r="D140" s="1476"/>
      <c r="E140" s="1477"/>
      <c r="F140" s="1446"/>
      <c r="G140" s="1448" t="str">
        <f>IFERROR(__xludf.DUMMYFUNCTION("""COMPUTED_VALUE"""),"")</f>
        <v/>
      </c>
      <c r="H140" s="1449" t="str">
        <f t="shared" si="3"/>
        <v/>
      </c>
      <c r="I140" s="1489" t="str">
        <f>IFERROR(__xludf.DUMMYFUNCTION("""COMPUTED_VALUE"""),"")</f>
        <v/>
      </c>
      <c r="J140" s="1449" t="str">
        <f t="shared" si="4"/>
        <v/>
      </c>
      <c r="K140" s="1510" t="str">
        <f t="array" ref="K140">IFERROR(LET(
  Labspeed, IF(F140="Labs Speed", 1+'Master Sheet'!$BK$5, LAB_SPEED_TOTAL()),
  Lab, MATCH(IF(ISNUMBER(SEARCH("Mastery", $F140)), "Card Mastery", $F140), DVT_Laboratory!B$1:AA$1, 0)-1,
  Offset, OFFSET(DVT_Laboratory!B$3, 0, Lab, 100, 1),
SUM(TIME_TO_RUSH_GEMS(
    XLOOKUP(INDEX($W$5:$W201, MATCH(F140, $V$5:$V201, 0))+1, SEQUENCE(100, 1, 1, 1), Offset, "N/F", 0, 1):
    XLOOKUP(INDEX($X$5:$X201, MATCH(F140, $V$5:$V201, 0)), SEQUENCE(100, 1, 1, 1), Offset, "N/F", 0, 1)/Labspeed, IDS_LAB_GODLBOXED_COUNT()))),"")</f>
        <v/>
      </c>
      <c r="L140" s="1510" t="str">
        <f t="array" ref="L140">IFERROR(LET(
  Labspeed, IF(F140="Labs Speed", 1+'Master Sheet'!$BK$5, LAB_SPEED_TOTAL()),
  Lab, MATCH(IF(ISNUMBER(SEARCH("Mastery", $F140)), "Card Mastery", $F140), DVT_Laboratory!B$1:AA$1, 0)-1,
  Offset, OFFSET(DVT_Laboratory!B$3, 0, Lab, 100, 1),
K140-SUM(TIME_TO_RUSH_GEMS(
    XLOOKUP(INDEX($W$5:$W201, MATCH(F140, $V$5:$V201, 0))+1, SEQUENCE(100, 1, 1, 1), Offset, "N/F", 0, 1):
    XLOOKUP(INDEX($X$5:$X201, MATCH(F140, $V$5:$V201, 0)), SEQUENCE(100, 1, 1, 1), Offset, "N/F", 0, 1)/Labspeed, IDS_LAB_GODLBOXED_COUNT()+1))),"")</f>
        <v/>
      </c>
      <c r="M140" s="1423" t="str">
        <f t="shared" si="5"/>
        <v/>
      </c>
      <c r="N140" s="1429"/>
      <c r="O140" s="1429"/>
      <c r="P140" s="1429"/>
      <c r="Q140" s="1438"/>
      <c r="R140" s="1438"/>
      <c r="S140" s="1438"/>
      <c r="T140" s="1438"/>
      <c r="U140" s="1438"/>
      <c r="V140" s="1443"/>
      <c r="W140" s="1417" t="s">
        <v>455</v>
      </c>
      <c r="X140" s="1417" t="s">
        <v>455</v>
      </c>
      <c r="Y140" s="1416" t="s">
        <v>455</v>
      </c>
      <c r="Z140" s="1479" t="s">
        <v>455</v>
      </c>
      <c r="AA140" s="1417"/>
    </row>
    <row r="141">
      <c r="A141" s="1404"/>
      <c r="B141" s="1424"/>
      <c r="C141" s="1473"/>
      <c r="D141" s="1476"/>
      <c r="E141" s="1477"/>
      <c r="F141" s="1446"/>
      <c r="G141" s="1448" t="str">
        <f>IFERROR(__xludf.DUMMYFUNCTION("""COMPUTED_VALUE"""),"")</f>
        <v/>
      </c>
      <c r="H141" s="1449" t="str">
        <f t="shared" si="3"/>
        <v/>
      </c>
      <c r="I141" s="1489" t="str">
        <f>IFERROR(__xludf.DUMMYFUNCTION("""COMPUTED_VALUE"""),"")</f>
        <v/>
      </c>
      <c r="J141" s="1449" t="str">
        <f t="shared" si="4"/>
        <v/>
      </c>
      <c r="K141" s="1510" t="str">
        <f t="array" ref="K141">IFERROR(LET(
  Labspeed, IF(F141="Labs Speed", 1+'Master Sheet'!$BK$5, LAB_SPEED_TOTAL()),
  Lab, MATCH(IF(ISNUMBER(SEARCH("Mastery", $F141)), "Card Mastery", $F141), DVT_Laboratory!B$1:AA$1, 0)-1,
  Offset, OFFSET(DVT_Laboratory!B$3, 0, Lab, 100, 1),
SUM(TIME_TO_RUSH_GEMS(
    XLOOKUP(INDEX($W$5:$W201, MATCH(F141, $V$5:$V201, 0))+1, SEQUENCE(100, 1, 1, 1), Offset, "N/F", 0, 1):
    XLOOKUP(INDEX($X$5:$X201, MATCH(F141, $V$5:$V201, 0)), SEQUENCE(100, 1, 1, 1), Offset, "N/F", 0, 1)/Labspeed, IDS_LAB_GODLBOXED_COUNT()))),"")</f>
        <v/>
      </c>
      <c r="L141" s="1510" t="str">
        <f t="array" ref="L141">IFERROR(LET(
  Labspeed, IF(F141="Labs Speed", 1+'Master Sheet'!$BK$5, LAB_SPEED_TOTAL()),
  Lab, MATCH(IF(ISNUMBER(SEARCH("Mastery", $F141)), "Card Mastery", $F141), DVT_Laboratory!B$1:AA$1, 0)-1,
  Offset, OFFSET(DVT_Laboratory!B$3, 0, Lab, 100, 1),
K141-SUM(TIME_TO_RUSH_GEMS(
    XLOOKUP(INDEX($W$5:$W201, MATCH(F141, $V$5:$V201, 0))+1, SEQUENCE(100, 1, 1, 1), Offset, "N/F", 0, 1):
    XLOOKUP(INDEX($X$5:$X201, MATCH(F141, $V$5:$V201, 0)), SEQUENCE(100, 1, 1, 1), Offset, "N/F", 0, 1)/Labspeed, IDS_LAB_GODLBOXED_COUNT()+1))),"")</f>
        <v/>
      </c>
      <c r="M141" s="1423" t="str">
        <f t="shared" si="5"/>
        <v/>
      </c>
      <c r="N141" s="1429"/>
      <c r="O141" s="1429"/>
      <c r="P141" s="1429"/>
      <c r="Q141" s="1438"/>
      <c r="R141" s="1438"/>
      <c r="S141" s="1438"/>
      <c r="T141" s="1438"/>
      <c r="U141" s="1438"/>
      <c r="V141" s="1443"/>
      <c r="W141" s="1417" t="s">
        <v>455</v>
      </c>
      <c r="X141" s="1417" t="s">
        <v>455</v>
      </c>
      <c r="Y141" s="1416" t="s">
        <v>455</v>
      </c>
      <c r="Z141" s="1479" t="s">
        <v>455</v>
      </c>
      <c r="AA141" s="1417"/>
    </row>
    <row r="142">
      <c r="A142" s="1404"/>
      <c r="B142" s="1424"/>
      <c r="C142" s="1473"/>
      <c r="D142" s="1476"/>
      <c r="E142" s="1477"/>
      <c r="F142" s="1446"/>
      <c r="G142" s="1448" t="str">
        <f>IFERROR(__xludf.DUMMYFUNCTION("""COMPUTED_VALUE"""),"")</f>
        <v/>
      </c>
      <c r="H142" s="1449" t="str">
        <f t="shared" si="3"/>
        <v/>
      </c>
      <c r="I142" s="1489" t="str">
        <f>IFERROR(__xludf.DUMMYFUNCTION("""COMPUTED_VALUE"""),"")</f>
        <v/>
      </c>
      <c r="J142" s="1449" t="str">
        <f t="shared" si="4"/>
        <v/>
      </c>
      <c r="K142" s="1510" t="str">
        <f t="array" ref="K142">IFERROR(LET(
  Labspeed, IF(F142="Labs Speed", 1+'Master Sheet'!$BK$5, LAB_SPEED_TOTAL()),
  Lab, MATCH(IF(ISNUMBER(SEARCH("Mastery", $F142)), "Card Mastery", $F142), DVT_Laboratory!B$1:AA$1, 0)-1,
  Offset, OFFSET(DVT_Laboratory!B$3, 0, Lab, 100, 1),
SUM(TIME_TO_RUSH_GEMS(
    XLOOKUP(INDEX($W$5:$W201, MATCH(F142, $V$5:$V201, 0))+1, SEQUENCE(100, 1, 1, 1), Offset, "N/F", 0, 1):
    XLOOKUP(INDEX($X$5:$X201, MATCH(F142, $V$5:$V201, 0)), SEQUENCE(100, 1, 1, 1), Offset, "N/F", 0, 1)/Labspeed, IDS_LAB_GODLBOXED_COUNT()))),"")</f>
        <v/>
      </c>
      <c r="L142" s="1510" t="str">
        <f t="array" ref="L142">IFERROR(LET(
  Labspeed, IF(F142="Labs Speed", 1+'Master Sheet'!$BK$5, LAB_SPEED_TOTAL()),
  Lab, MATCH(IF(ISNUMBER(SEARCH("Mastery", $F142)), "Card Mastery", $F142), DVT_Laboratory!B$1:AA$1, 0)-1,
  Offset, OFFSET(DVT_Laboratory!B$3, 0, Lab, 100, 1),
K142-SUM(TIME_TO_RUSH_GEMS(
    XLOOKUP(INDEX($W$5:$W201, MATCH(F142, $V$5:$V201, 0))+1, SEQUENCE(100, 1, 1, 1), Offset, "N/F", 0, 1):
    XLOOKUP(INDEX($X$5:$X201, MATCH(F142, $V$5:$V201, 0)), SEQUENCE(100, 1, 1, 1), Offset, "N/F", 0, 1)/Labspeed, IDS_LAB_GODLBOXED_COUNT()+1))),"")</f>
        <v/>
      </c>
      <c r="M142" s="1423" t="str">
        <f t="shared" si="5"/>
        <v/>
      </c>
      <c r="N142" s="1429"/>
      <c r="O142" s="1429"/>
      <c r="P142" s="1429"/>
      <c r="Q142" s="1438"/>
      <c r="R142" s="1438"/>
      <c r="S142" s="1438"/>
      <c r="T142" s="1438"/>
      <c r="U142" s="1438"/>
      <c r="V142" s="1443"/>
      <c r="W142" s="1417" t="s">
        <v>455</v>
      </c>
      <c r="X142" s="1417" t="s">
        <v>455</v>
      </c>
      <c r="Y142" s="1416" t="s">
        <v>455</v>
      </c>
      <c r="Z142" s="1479" t="s">
        <v>455</v>
      </c>
      <c r="AA142" s="1417"/>
    </row>
    <row r="143">
      <c r="A143" s="1404"/>
      <c r="B143" s="1424"/>
      <c r="C143" s="1473"/>
      <c r="D143" s="1476"/>
      <c r="E143" s="1477"/>
      <c r="F143" s="1446"/>
      <c r="G143" s="1448" t="str">
        <f>IFERROR(__xludf.DUMMYFUNCTION("""COMPUTED_VALUE"""),"")</f>
        <v/>
      </c>
      <c r="H143" s="1449" t="str">
        <f t="shared" si="3"/>
        <v/>
      </c>
      <c r="I143" s="1489" t="str">
        <f>IFERROR(__xludf.DUMMYFUNCTION("""COMPUTED_VALUE"""),"")</f>
        <v/>
      </c>
      <c r="J143" s="1449" t="str">
        <f t="shared" si="4"/>
        <v/>
      </c>
      <c r="K143" s="1510" t="str">
        <f t="array" ref="K143">IFERROR(LET(
  Labspeed, IF(F143="Labs Speed", 1+'Master Sheet'!$BK$5, LAB_SPEED_TOTAL()),
  Lab, MATCH(IF(ISNUMBER(SEARCH("Mastery", $F143)), "Card Mastery", $F143), DVT_Laboratory!B$1:AA$1, 0)-1,
  Offset, OFFSET(DVT_Laboratory!B$3, 0, Lab, 100, 1),
SUM(TIME_TO_RUSH_GEMS(
    XLOOKUP(INDEX($W$5:$W201, MATCH(F143, $V$5:$V201, 0))+1, SEQUENCE(100, 1, 1, 1), Offset, "N/F", 0, 1):
    XLOOKUP(INDEX($X$5:$X201, MATCH(F143, $V$5:$V201, 0)), SEQUENCE(100, 1, 1, 1), Offset, "N/F", 0, 1)/Labspeed, IDS_LAB_GODLBOXED_COUNT()))),"")</f>
        <v/>
      </c>
      <c r="L143" s="1510" t="str">
        <f t="array" ref="L143">IFERROR(LET(
  Labspeed, IF(F143="Labs Speed", 1+'Master Sheet'!$BK$5, LAB_SPEED_TOTAL()),
  Lab, MATCH(IF(ISNUMBER(SEARCH("Mastery", $F143)), "Card Mastery", $F143), DVT_Laboratory!B$1:AA$1, 0)-1,
  Offset, OFFSET(DVT_Laboratory!B$3, 0, Lab, 100, 1),
K143-SUM(TIME_TO_RUSH_GEMS(
    XLOOKUP(INDEX($W$5:$W201, MATCH(F143, $V$5:$V201, 0))+1, SEQUENCE(100, 1, 1, 1), Offset, "N/F", 0, 1):
    XLOOKUP(INDEX($X$5:$X201, MATCH(F143, $V$5:$V201, 0)), SEQUENCE(100, 1, 1, 1), Offset, "N/F", 0, 1)/Labspeed, IDS_LAB_GODLBOXED_COUNT()+1))),"")</f>
        <v/>
      </c>
      <c r="M143" s="1423" t="str">
        <f t="shared" si="5"/>
        <v/>
      </c>
      <c r="N143" s="1429"/>
      <c r="O143" s="1429"/>
      <c r="P143" s="1429"/>
      <c r="Q143" s="1438"/>
      <c r="R143" s="1438"/>
      <c r="S143" s="1438"/>
      <c r="T143" s="1438"/>
      <c r="U143" s="1438"/>
      <c r="V143" s="1443"/>
      <c r="W143" s="1417" t="s">
        <v>455</v>
      </c>
      <c r="X143" s="1417" t="s">
        <v>455</v>
      </c>
      <c r="Y143" s="1416" t="s">
        <v>455</v>
      </c>
      <c r="Z143" s="1479" t="s">
        <v>455</v>
      </c>
      <c r="AA143" s="1417"/>
    </row>
    <row r="144">
      <c r="A144" s="1404"/>
      <c r="B144" s="1424"/>
      <c r="C144" s="1473"/>
      <c r="D144" s="1476"/>
      <c r="E144" s="1477"/>
      <c r="F144" s="1446"/>
      <c r="G144" s="1448" t="str">
        <f>IFERROR(__xludf.DUMMYFUNCTION("""COMPUTED_VALUE"""),"")</f>
        <v/>
      </c>
      <c r="H144" s="1449" t="str">
        <f t="shared" si="3"/>
        <v/>
      </c>
      <c r="I144" s="1489" t="str">
        <f>IFERROR(__xludf.DUMMYFUNCTION("""COMPUTED_VALUE"""),"")</f>
        <v/>
      </c>
      <c r="J144" s="1449" t="str">
        <f t="shared" si="4"/>
        <v/>
      </c>
      <c r="K144" s="1510" t="str">
        <f t="array" ref="K144">IFERROR(LET(
  Labspeed, IF(F144="Labs Speed", 1+'Master Sheet'!$BK$5, LAB_SPEED_TOTAL()),
  Lab, MATCH(IF(ISNUMBER(SEARCH("Mastery", $F144)), "Card Mastery", $F144), DVT_Laboratory!B$1:AA$1, 0)-1,
  Offset, OFFSET(DVT_Laboratory!B$3, 0, Lab, 100, 1),
SUM(TIME_TO_RUSH_GEMS(
    XLOOKUP(INDEX($W$5:$W201, MATCH(F144, $V$5:$V201, 0))+1, SEQUENCE(100, 1, 1, 1), Offset, "N/F", 0, 1):
    XLOOKUP(INDEX($X$5:$X201, MATCH(F144, $V$5:$V201, 0)), SEQUENCE(100, 1, 1, 1), Offset, "N/F", 0, 1)/Labspeed, IDS_LAB_GODLBOXED_COUNT()))),"")</f>
        <v/>
      </c>
      <c r="L144" s="1510" t="str">
        <f t="array" ref="L144">IFERROR(LET(
  Labspeed, IF(F144="Labs Speed", 1+'Master Sheet'!$BK$5, LAB_SPEED_TOTAL()),
  Lab, MATCH(IF(ISNUMBER(SEARCH("Mastery", $F144)), "Card Mastery", $F144), DVT_Laboratory!B$1:AA$1, 0)-1,
  Offset, OFFSET(DVT_Laboratory!B$3, 0, Lab, 100, 1),
K144-SUM(TIME_TO_RUSH_GEMS(
    XLOOKUP(INDEX($W$5:$W201, MATCH(F144, $V$5:$V201, 0))+1, SEQUENCE(100, 1, 1, 1), Offset, "N/F", 0, 1):
    XLOOKUP(INDEX($X$5:$X201, MATCH(F144, $V$5:$V201, 0)), SEQUENCE(100, 1, 1, 1), Offset, "N/F", 0, 1)/Labspeed, IDS_LAB_GODLBOXED_COUNT()+1))),"")</f>
        <v/>
      </c>
      <c r="M144" s="1423" t="str">
        <f t="shared" si="5"/>
        <v/>
      </c>
      <c r="N144" s="1429"/>
      <c r="O144" s="1429"/>
      <c r="P144" s="1429"/>
      <c r="Q144" s="1438"/>
      <c r="R144" s="1438"/>
      <c r="S144" s="1438"/>
      <c r="T144" s="1438"/>
      <c r="U144" s="1438"/>
      <c r="V144" s="1443"/>
      <c r="W144" s="1417" t="s">
        <v>455</v>
      </c>
      <c r="X144" s="1417" t="s">
        <v>455</v>
      </c>
      <c r="Y144" s="1416" t="s">
        <v>455</v>
      </c>
      <c r="Z144" s="1479" t="s">
        <v>455</v>
      </c>
      <c r="AA144" s="1417"/>
    </row>
    <row r="145">
      <c r="A145" s="1404"/>
      <c r="B145" s="1424"/>
      <c r="C145" s="1473"/>
      <c r="D145" s="1476"/>
      <c r="E145" s="1477"/>
      <c r="F145" s="1446"/>
      <c r="G145" s="1448" t="str">
        <f>IFERROR(__xludf.DUMMYFUNCTION("""COMPUTED_VALUE"""),"")</f>
        <v/>
      </c>
      <c r="H145" s="1449" t="str">
        <f t="shared" si="3"/>
        <v/>
      </c>
      <c r="I145" s="1489" t="str">
        <f>IFERROR(__xludf.DUMMYFUNCTION("""COMPUTED_VALUE"""),"")</f>
        <v/>
      </c>
      <c r="J145" s="1449" t="str">
        <f t="shared" si="4"/>
        <v/>
      </c>
      <c r="K145" s="1510" t="str">
        <f t="array" ref="K145">IFERROR(LET(
  Labspeed, IF(F145="Labs Speed", 1+'Master Sheet'!$BK$5, LAB_SPEED_TOTAL()),
  Lab, MATCH(IF(ISNUMBER(SEARCH("Mastery", $F145)), "Card Mastery", $F145), DVT_Laboratory!B$1:AA$1, 0)-1,
  Offset, OFFSET(DVT_Laboratory!B$3, 0, Lab, 100, 1),
SUM(TIME_TO_RUSH_GEMS(
    XLOOKUP(INDEX($W$5:$W201, MATCH(F145, $V$5:$V201, 0))+1, SEQUENCE(100, 1, 1, 1), Offset, "N/F", 0, 1):
    XLOOKUP(INDEX($X$5:$X201, MATCH(F145, $V$5:$V201, 0)), SEQUENCE(100, 1, 1, 1), Offset, "N/F", 0, 1)/Labspeed, IDS_LAB_GODLBOXED_COUNT()))),"")</f>
        <v/>
      </c>
      <c r="L145" s="1510" t="str">
        <f t="array" ref="L145">IFERROR(LET(
  Labspeed, IF(F145="Labs Speed", 1+'Master Sheet'!$BK$5, LAB_SPEED_TOTAL()),
  Lab, MATCH(IF(ISNUMBER(SEARCH("Mastery", $F145)), "Card Mastery", $F145), DVT_Laboratory!B$1:AA$1, 0)-1,
  Offset, OFFSET(DVT_Laboratory!B$3, 0, Lab, 100, 1),
K145-SUM(TIME_TO_RUSH_GEMS(
    XLOOKUP(INDEX($W$5:$W201, MATCH(F145, $V$5:$V201, 0))+1, SEQUENCE(100, 1, 1, 1), Offset, "N/F", 0, 1):
    XLOOKUP(INDEX($X$5:$X201, MATCH(F145, $V$5:$V201, 0)), SEQUENCE(100, 1, 1, 1), Offset, "N/F", 0, 1)/Labspeed, IDS_LAB_GODLBOXED_COUNT()+1))),"")</f>
        <v/>
      </c>
      <c r="M145" s="1423" t="str">
        <f t="shared" si="5"/>
        <v/>
      </c>
      <c r="N145" s="1429"/>
      <c r="O145" s="1429"/>
      <c r="P145" s="1429"/>
      <c r="Q145" s="1438"/>
      <c r="R145" s="1438"/>
      <c r="S145" s="1438"/>
      <c r="T145" s="1438"/>
      <c r="U145" s="1438"/>
      <c r="V145" s="1443"/>
      <c r="W145" s="1417" t="s">
        <v>455</v>
      </c>
      <c r="X145" s="1417" t="s">
        <v>455</v>
      </c>
      <c r="Y145" s="1416" t="s">
        <v>455</v>
      </c>
      <c r="Z145" s="1479" t="s">
        <v>455</v>
      </c>
      <c r="AA145" s="1417"/>
    </row>
    <row r="146">
      <c r="A146" s="1404"/>
      <c r="B146" s="1424"/>
      <c r="C146" s="1473"/>
      <c r="D146" s="1476"/>
      <c r="E146" s="1477"/>
      <c r="F146" s="1446"/>
      <c r="G146" s="1448" t="str">
        <f>IFERROR(__xludf.DUMMYFUNCTION("""COMPUTED_VALUE"""),"")</f>
        <v/>
      </c>
      <c r="H146" s="1449" t="str">
        <f t="shared" si="3"/>
        <v/>
      </c>
      <c r="I146" s="1489" t="str">
        <f>IFERROR(__xludf.DUMMYFUNCTION("""COMPUTED_VALUE"""),"")</f>
        <v/>
      </c>
      <c r="J146" s="1449" t="str">
        <f t="shared" si="4"/>
        <v/>
      </c>
      <c r="K146" s="1510" t="str">
        <f t="array" ref="K146">IFERROR(LET(
  Labspeed, IF(F146="Labs Speed", 1+'Master Sheet'!$BK$5, LAB_SPEED_TOTAL()),
  Lab, MATCH(IF(ISNUMBER(SEARCH("Mastery", $F146)), "Card Mastery", $F146), DVT_Laboratory!B$1:AA$1, 0)-1,
  Offset, OFFSET(DVT_Laboratory!B$3, 0, Lab, 100, 1),
SUM(TIME_TO_RUSH_GEMS(
    XLOOKUP(INDEX($W$5:$W201, MATCH(F146, $V$5:$V201, 0))+1, SEQUENCE(100, 1, 1, 1), Offset, "N/F", 0, 1):
    XLOOKUP(INDEX($X$5:$X201, MATCH(F146, $V$5:$V201, 0)), SEQUENCE(100, 1, 1, 1), Offset, "N/F", 0, 1)/Labspeed, IDS_LAB_GODLBOXED_COUNT()))),"")</f>
        <v/>
      </c>
      <c r="L146" s="1510" t="str">
        <f t="array" ref="L146">IFERROR(LET(
  Labspeed, IF(F146="Labs Speed", 1+'Master Sheet'!$BK$5, LAB_SPEED_TOTAL()),
  Lab, MATCH(IF(ISNUMBER(SEARCH("Mastery", $F146)), "Card Mastery", $F146), DVT_Laboratory!B$1:AA$1, 0)-1,
  Offset, OFFSET(DVT_Laboratory!B$3, 0, Lab, 100, 1),
K146-SUM(TIME_TO_RUSH_GEMS(
    XLOOKUP(INDEX($W$5:$W201, MATCH(F146, $V$5:$V201, 0))+1, SEQUENCE(100, 1, 1, 1), Offset, "N/F", 0, 1):
    XLOOKUP(INDEX($X$5:$X201, MATCH(F146, $V$5:$V201, 0)), SEQUENCE(100, 1, 1, 1), Offset, "N/F", 0, 1)/Labspeed, IDS_LAB_GODLBOXED_COUNT()+1))),"")</f>
        <v/>
      </c>
      <c r="M146" s="1423" t="str">
        <f t="shared" si="5"/>
        <v/>
      </c>
      <c r="N146" s="1429"/>
      <c r="O146" s="1429"/>
      <c r="P146" s="1429"/>
      <c r="Q146" s="1438"/>
      <c r="R146" s="1438"/>
      <c r="S146" s="1438"/>
      <c r="T146" s="1438"/>
      <c r="U146" s="1438"/>
      <c r="V146" s="1443"/>
      <c r="W146" s="1417" t="s">
        <v>455</v>
      </c>
      <c r="X146" s="1417" t="s">
        <v>455</v>
      </c>
      <c r="Y146" s="1416" t="s">
        <v>455</v>
      </c>
      <c r="Z146" s="1479" t="s">
        <v>455</v>
      </c>
      <c r="AA146" s="1417"/>
    </row>
    <row r="147">
      <c r="A147" s="1404"/>
      <c r="B147" s="1424"/>
      <c r="C147" s="1473"/>
      <c r="D147" s="1476"/>
      <c r="E147" s="1477"/>
      <c r="F147" s="1446"/>
      <c r="G147" s="1448" t="str">
        <f>IFERROR(__xludf.DUMMYFUNCTION("""COMPUTED_VALUE"""),"")</f>
        <v/>
      </c>
      <c r="H147" s="1449" t="str">
        <f t="shared" si="3"/>
        <v/>
      </c>
      <c r="I147" s="1489" t="str">
        <f>IFERROR(__xludf.DUMMYFUNCTION("""COMPUTED_VALUE"""),"")</f>
        <v/>
      </c>
      <c r="J147" s="1449" t="str">
        <f t="shared" si="4"/>
        <v/>
      </c>
      <c r="K147" s="1510" t="str">
        <f t="array" ref="K147">IFERROR(LET(
  Labspeed, IF(F147="Labs Speed", 1+'Master Sheet'!$BK$5, LAB_SPEED_TOTAL()),
  Lab, MATCH(IF(ISNUMBER(SEARCH("Mastery", $F147)), "Card Mastery", $F147), DVT_Laboratory!B$1:AA$1, 0)-1,
  Offset, OFFSET(DVT_Laboratory!B$3, 0, Lab, 100, 1),
SUM(TIME_TO_RUSH_GEMS(
    XLOOKUP(INDEX($W$5:$W201, MATCH(F147, $V$5:$V201, 0))+1, SEQUENCE(100, 1, 1, 1), Offset, "N/F", 0, 1):
    XLOOKUP(INDEX($X$5:$X201, MATCH(F147, $V$5:$V201, 0)), SEQUENCE(100, 1, 1, 1), Offset, "N/F", 0, 1)/Labspeed, IDS_LAB_GODLBOXED_COUNT()))),"")</f>
        <v/>
      </c>
      <c r="L147" s="1510" t="str">
        <f t="array" ref="L147">IFERROR(LET(
  Labspeed, IF(F147="Labs Speed", 1+'Master Sheet'!$BK$5, LAB_SPEED_TOTAL()),
  Lab, MATCH(IF(ISNUMBER(SEARCH("Mastery", $F147)), "Card Mastery", $F147), DVT_Laboratory!B$1:AA$1, 0)-1,
  Offset, OFFSET(DVT_Laboratory!B$3, 0, Lab, 100, 1),
K147-SUM(TIME_TO_RUSH_GEMS(
    XLOOKUP(INDEX($W$5:$W201, MATCH(F147, $V$5:$V201, 0))+1, SEQUENCE(100, 1, 1, 1), Offset, "N/F", 0, 1):
    XLOOKUP(INDEX($X$5:$X201, MATCH(F147, $V$5:$V201, 0)), SEQUENCE(100, 1, 1, 1), Offset, "N/F", 0, 1)/Labspeed, IDS_LAB_GODLBOXED_COUNT()+1))),"")</f>
        <v/>
      </c>
      <c r="M147" s="1423" t="str">
        <f t="shared" si="5"/>
        <v/>
      </c>
      <c r="N147" s="1429"/>
      <c r="O147" s="1429"/>
      <c r="P147" s="1429"/>
      <c r="Q147" s="1438"/>
      <c r="R147" s="1438"/>
      <c r="S147" s="1438"/>
      <c r="T147" s="1438"/>
      <c r="U147" s="1438"/>
      <c r="V147" s="1443"/>
      <c r="W147" s="1417" t="s">
        <v>455</v>
      </c>
      <c r="X147" s="1417" t="s">
        <v>455</v>
      </c>
      <c r="Y147" s="1416" t="s">
        <v>455</v>
      </c>
      <c r="Z147" s="1479" t="s">
        <v>455</v>
      </c>
      <c r="AA147" s="1417"/>
    </row>
    <row r="148">
      <c r="A148" s="1404"/>
      <c r="B148" s="1424"/>
      <c r="C148" s="1473"/>
      <c r="D148" s="1476"/>
      <c r="E148" s="1477"/>
      <c r="F148" s="1446"/>
      <c r="G148" s="1448" t="str">
        <f>IFERROR(__xludf.DUMMYFUNCTION("""COMPUTED_VALUE"""),"")</f>
        <v/>
      </c>
      <c r="H148" s="1449" t="str">
        <f t="shared" si="3"/>
        <v/>
      </c>
      <c r="I148" s="1489" t="str">
        <f>IFERROR(__xludf.DUMMYFUNCTION("""COMPUTED_VALUE"""),"")</f>
        <v/>
      </c>
      <c r="J148" s="1449" t="str">
        <f t="shared" si="4"/>
        <v/>
      </c>
      <c r="K148" s="1510" t="str">
        <f t="array" ref="K148">IFERROR(LET(
  Labspeed, IF(F148="Labs Speed", 1+'Master Sheet'!$BK$5, LAB_SPEED_TOTAL()),
  Lab, MATCH(IF(ISNUMBER(SEARCH("Mastery", $F148)), "Card Mastery", $F148), DVT_Laboratory!B$1:AA$1, 0)-1,
  Offset, OFFSET(DVT_Laboratory!B$3, 0, Lab, 100, 1),
SUM(TIME_TO_RUSH_GEMS(
    XLOOKUP(INDEX($W$5:$W201, MATCH(F148, $V$5:$V201, 0))+1, SEQUENCE(100, 1, 1, 1), Offset, "N/F", 0, 1):
    XLOOKUP(INDEX($X$5:$X201, MATCH(F148, $V$5:$V201, 0)), SEQUENCE(100, 1, 1, 1), Offset, "N/F", 0, 1)/Labspeed, IDS_LAB_GODLBOXED_COUNT()))),"")</f>
        <v/>
      </c>
      <c r="L148" s="1510" t="str">
        <f t="array" ref="L148">IFERROR(LET(
  Labspeed, IF(F148="Labs Speed", 1+'Master Sheet'!$BK$5, LAB_SPEED_TOTAL()),
  Lab, MATCH(IF(ISNUMBER(SEARCH("Mastery", $F148)), "Card Mastery", $F148), DVT_Laboratory!B$1:AA$1, 0)-1,
  Offset, OFFSET(DVT_Laboratory!B$3, 0, Lab, 100, 1),
K148-SUM(TIME_TO_RUSH_GEMS(
    XLOOKUP(INDEX($W$5:$W201, MATCH(F148, $V$5:$V201, 0))+1, SEQUENCE(100, 1, 1, 1), Offset, "N/F", 0, 1):
    XLOOKUP(INDEX($X$5:$X201, MATCH(F148, $V$5:$V201, 0)), SEQUENCE(100, 1, 1, 1), Offset, "N/F", 0, 1)/Labspeed, IDS_LAB_GODLBOXED_COUNT()+1))),"")</f>
        <v/>
      </c>
      <c r="M148" s="1423" t="str">
        <f t="shared" si="5"/>
        <v/>
      </c>
      <c r="N148" s="1429"/>
      <c r="O148" s="1429"/>
      <c r="P148" s="1429"/>
      <c r="Q148" s="1438"/>
      <c r="R148" s="1438"/>
      <c r="S148" s="1438"/>
      <c r="T148" s="1438"/>
      <c r="U148" s="1438"/>
      <c r="V148" s="1443"/>
      <c r="W148" s="1417" t="s">
        <v>455</v>
      </c>
      <c r="X148" s="1417" t="s">
        <v>455</v>
      </c>
      <c r="Y148" s="1416" t="s">
        <v>455</v>
      </c>
      <c r="Z148" s="1479" t="s">
        <v>455</v>
      </c>
      <c r="AA148" s="1417"/>
    </row>
    <row r="149">
      <c r="A149" s="1404"/>
      <c r="B149" s="1424"/>
      <c r="C149" s="1473"/>
      <c r="D149" s="1476"/>
      <c r="E149" s="1477"/>
      <c r="F149" s="1446"/>
      <c r="G149" s="1448" t="str">
        <f>IFERROR(__xludf.DUMMYFUNCTION("""COMPUTED_VALUE"""),"")</f>
        <v/>
      </c>
      <c r="H149" s="1449" t="str">
        <f t="shared" si="3"/>
        <v/>
      </c>
      <c r="I149" s="1489" t="str">
        <f>IFERROR(__xludf.DUMMYFUNCTION("""COMPUTED_VALUE"""),"")</f>
        <v/>
      </c>
      <c r="J149" s="1449" t="str">
        <f t="shared" si="4"/>
        <v/>
      </c>
      <c r="K149" s="1510" t="str">
        <f t="array" ref="K149">IFERROR(LET(
  Labspeed, IF(F149="Labs Speed", 1+'Master Sheet'!$BK$5, LAB_SPEED_TOTAL()),
  Lab, MATCH(IF(ISNUMBER(SEARCH("Mastery", $F149)), "Card Mastery", $F149), DVT_Laboratory!B$1:AA$1, 0)-1,
  Offset, OFFSET(DVT_Laboratory!B$3, 0, Lab, 100, 1),
SUM(TIME_TO_RUSH_GEMS(
    XLOOKUP(INDEX($W$5:$W201, MATCH(F149, $V$5:$V201, 0))+1, SEQUENCE(100, 1, 1, 1), Offset, "N/F", 0, 1):
    XLOOKUP(INDEX($X$5:$X201, MATCH(F149, $V$5:$V201, 0)), SEQUENCE(100, 1, 1, 1), Offset, "N/F", 0, 1)/Labspeed, IDS_LAB_GODLBOXED_COUNT()))),"")</f>
        <v/>
      </c>
      <c r="L149" s="1510" t="str">
        <f t="array" ref="L149">IFERROR(LET(
  Labspeed, IF(F149="Labs Speed", 1+'Master Sheet'!$BK$5, LAB_SPEED_TOTAL()),
  Lab, MATCH(IF(ISNUMBER(SEARCH("Mastery", $F149)), "Card Mastery", $F149), DVT_Laboratory!B$1:AA$1, 0)-1,
  Offset, OFFSET(DVT_Laboratory!B$3, 0, Lab, 100, 1),
K149-SUM(TIME_TO_RUSH_GEMS(
    XLOOKUP(INDEX($W$5:$W201, MATCH(F149, $V$5:$V201, 0))+1, SEQUENCE(100, 1, 1, 1), Offset, "N/F", 0, 1):
    XLOOKUP(INDEX($X$5:$X201, MATCH(F149, $V$5:$V201, 0)), SEQUENCE(100, 1, 1, 1), Offset, "N/F", 0, 1)/Labspeed, IDS_LAB_GODLBOXED_COUNT()+1))),"")</f>
        <v/>
      </c>
      <c r="M149" s="1423" t="str">
        <f t="shared" si="5"/>
        <v/>
      </c>
      <c r="N149" s="1429"/>
      <c r="O149" s="1429"/>
      <c r="P149" s="1429"/>
      <c r="Q149" s="1438"/>
      <c r="R149" s="1438"/>
      <c r="S149" s="1438"/>
      <c r="T149" s="1438"/>
      <c r="U149" s="1438"/>
      <c r="V149" s="1443"/>
      <c r="W149" s="1417" t="s">
        <v>455</v>
      </c>
      <c r="X149" s="1417" t="s">
        <v>455</v>
      </c>
      <c r="Y149" s="1416" t="s">
        <v>455</v>
      </c>
      <c r="Z149" s="1479" t="s">
        <v>455</v>
      </c>
      <c r="AA149" s="1417"/>
    </row>
    <row r="150">
      <c r="A150" s="1404"/>
      <c r="B150" s="1424"/>
      <c r="C150" s="1473"/>
      <c r="D150" s="1476"/>
      <c r="E150" s="1477"/>
      <c r="F150" s="1446"/>
      <c r="G150" s="1448" t="str">
        <f>IFERROR(__xludf.DUMMYFUNCTION("""COMPUTED_VALUE"""),"")</f>
        <v/>
      </c>
      <c r="H150" s="1449" t="str">
        <f t="shared" si="3"/>
        <v/>
      </c>
      <c r="I150" s="1489" t="str">
        <f>IFERROR(__xludf.DUMMYFUNCTION("""COMPUTED_VALUE"""),"")</f>
        <v/>
      </c>
      <c r="J150" s="1449" t="str">
        <f t="shared" si="4"/>
        <v/>
      </c>
      <c r="K150" s="1510" t="str">
        <f t="array" ref="K150">IFERROR(LET(
  Labspeed, IF(F150="Labs Speed", 1+'Master Sheet'!$BK$5, LAB_SPEED_TOTAL()),
  Lab, MATCH(IF(ISNUMBER(SEARCH("Mastery", $F150)), "Card Mastery", $F150), DVT_Laboratory!B$1:AA$1, 0)-1,
  Offset, OFFSET(DVT_Laboratory!B$3, 0, Lab, 100, 1),
SUM(TIME_TO_RUSH_GEMS(
    XLOOKUP(INDEX($W$5:$W201, MATCH(F150, $V$5:$V201, 0))+1, SEQUENCE(100, 1, 1, 1), Offset, "N/F", 0, 1):
    XLOOKUP(INDEX($X$5:$X201, MATCH(F150, $V$5:$V201, 0)), SEQUENCE(100, 1, 1, 1), Offset, "N/F", 0, 1)/Labspeed, IDS_LAB_GODLBOXED_COUNT()))),"")</f>
        <v/>
      </c>
      <c r="L150" s="1510" t="str">
        <f t="array" ref="L150">IFERROR(LET(
  Labspeed, IF(F150="Labs Speed", 1+'Master Sheet'!$BK$5, LAB_SPEED_TOTAL()),
  Lab, MATCH(IF(ISNUMBER(SEARCH("Mastery", $F150)), "Card Mastery", $F150), DVT_Laboratory!B$1:AA$1, 0)-1,
  Offset, OFFSET(DVT_Laboratory!B$3, 0, Lab, 100, 1),
K150-SUM(TIME_TO_RUSH_GEMS(
    XLOOKUP(INDEX($W$5:$W201, MATCH(F150, $V$5:$V201, 0))+1, SEQUENCE(100, 1, 1, 1), Offset, "N/F", 0, 1):
    XLOOKUP(INDEX($X$5:$X201, MATCH(F150, $V$5:$V201, 0)), SEQUENCE(100, 1, 1, 1), Offset, "N/F", 0, 1)/Labspeed, IDS_LAB_GODLBOXED_COUNT()+1))),"")</f>
        <v/>
      </c>
      <c r="M150" s="1423" t="str">
        <f t="shared" si="5"/>
        <v/>
      </c>
      <c r="N150" s="1429"/>
      <c r="O150" s="1429"/>
      <c r="P150" s="1429"/>
      <c r="Q150" s="1438"/>
      <c r="R150" s="1438"/>
      <c r="S150" s="1438"/>
      <c r="T150" s="1438"/>
      <c r="U150" s="1438"/>
      <c r="V150" s="1443"/>
      <c r="W150" s="1417" t="s">
        <v>455</v>
      </c>
      <c r="X150" s="1417" t="s">
        <v>455</v>
      </c>
      <c r="Y150" s="1416" t="s">
        <v>455</v>
      </c>
      <c r="Z150" s="1479" t="s">
        <v>455</v>
      </c>
      <c r="AA150" s="1417"/>
    </row>
    <row r="151">
      <c r="A151" s="1404"/>
      <c r="B151" s="1424"/>
      <c r="C151" s="1473"/>
      <c r="D151" s="1476"/>
      <c r="E151" s="1477"/>
      <c r="F151" s="1446"/>
      <c r="G151" s="1448" t="str">
        <f>IFERROR(__xludf.DUMMYFUNCTION("""COMPUTED_VALUE"""),"")</f>
        <v/>
      </c>
      <c r="H151" s="1449" t="str">
        <f t="shared" si="3"/>
        <v/>
      </c>
      <c r="I151" s="1489" t="str">
        <f>IFERROR(__xludf.DUMMYFUNCTION("""COMPUTED_VALUE"""),"")</f>
        <v/>
      </c>
      <c r="J151" s="1449" t="str">
        <f t="shared" si="4"/>
        <v/>
      </c>
      <c r="K151" s="1510" t="str">
        <f t="array" ref="K151">IFERROR(LET(
  Labspeed, IF(F151="Labs Speed", 1+'Master Sheet'!$BK$5, LAB_SPEED_TOTAL()),
  Lab, MATCH(IF(ISNUMBER(SEARCH("Mastery", $F151)), "Card Mastery", $F151), DVT_Laboratory!B$1:AA$1, 0)-1,
  Offset, OFFSET(DVT_Laboratory!B$3, 0, Lab, 100, 1),
SUM(TIME_TO_RUSH_GEMS(
    XLOOKUP(INDEX($W$5:$W201, MATCH(F151, $V$5:$V201, 0))+1, SEQUENCE(100, 1, 1, 1), Offset, "N/F", 0, 1):
    XLOOKUP(INDEX($X$5:$X201, MATCH(F151, $V$5:$V201, 0)), SEQUENCE(100, 1, 1, 1), Offset, "N/F", 0, 1)/Labspeed, IDS_LAB_GODLBOXED_COUNT()))),"")</f>
        <v/>
      </c>
      <c r="L151" s="1510" t="str">
        <f t="array" ref="L151">IFERROR(LET(
  Labspeed, IF(F151="Labs Speed", 1+'Master Sheet'!$BK$5, LAB_SPEED_TOTAL()),
  Lab, MATCH(IF(ISNUMBER(SEARCH("Mastery", $F151)), "Card Mastery", $F151), DVT_Laboratory!B$1:AA$1, 0)-1,
  Offset, OFFSET(DVT_Laboratory!B$3, 0, Lab, 100, 1),
K151-SUM(TIME_TO_RUSH_GEMS(
    XLOOKUP(INDEX($W$5:$W201, MATCH(F151, $V$5:$V201, 0))+1, SEQUENCE(100, 1, 1, 1), Offset, "N/F", 0, 1):
    XLOOKUP(INDEX($X$5:$X201, MATCH(F151, $V$5:$V201, 0)), SEQUENCE(100, 1, 1, 1), Offset, "N/F", 0, 1)/Labspeed, IDS_LAB_GODLBOXED_COUNT()+1))),"")</f>
        <v/>
      </c>
      <c r="M151" s="1423" t="str">
        <f t="shared" si="5"/>
        <v/>
      </c>
      <c r="N151" s="1429"/>
      <c r="O151" s="1429"/>
      <c r="P151" s="1429"/>
      <c r="Q151" s="1438"/>
      <c r="R151" s="1438"/>
      <c r="S151" s="1438"/>
      <c r="T151" s="1438"/>
      <c r="U151" s="1438"/>
      <c r="V151" s="1443"/>
      <c r="W151" s="1417" t="s">
        <v>455</v>
      </c>
      <c r="X151" s="1417" t="s">
        <v>455</v>
      </c>
      <c r="Y151" s="1416" t="s">
        <v>455</v>
      </c>
      <c r="Z151" s="1479" t="s">
        <v>455</v>
      </c>
      <c r="AA151" s="1417"/>
    </row>
    <row r="152">
      <c r="A152" s="1404"/>
      <c r="B152" s="1424"/>
      <c r="C152" s="1473"/>
      <c r="D152" s="1476"/>
      <c r="E152" s="1477"/>
      <c r="F152" s="1446"/>
      <c r="G152" s="1448" t="str">
        <f>IFERROR(__xludf.DUMMYFUNCTION("""COMPUTED_VALUE"""),"")</f>
        <v/>
      </c>
      <c r="H152" s="1449" t="str">
        <f t="shared" si="3"/>
        <v/>
      </c>
      <c r="I152" s="1489" t="str">
        <f>IFERROR(__xludf.DUMMYFUNCTION("""COMPUTED_VALUE"""),"")</f>
        <v/>
      </c>
      <c r="J152" s="1449" t="str">
        <f t="shared" si="4"/>
        <v/>
      </c>
      <c r="K152" s="1510" t="str">
        <f t="array" ref="K152">IFERROR(LET(
  Labspeed, IF(F152="Labs Speed", 1+'Master Sheet'!$BK$5, LAB_SPEED_TOTAL()),
  Lab, MATCH(IF(ISNUMBER(SEARCH("Mastery", $F152)), "Card Mastery", $F152), DVT_Laboratory!B$1:AA$1, 0)-1,
  Offset, OFFSET(DVT_Laboratory!B$3, 0, Lab, 100, 1),
SUM(TIME_TO_RUSH_GEMS(
    XLOOKUP(INDEX($W$5:$W201, MATCH(F152, $V$5:$V201, 0))+1, SEQUENCE(100, 1, 1, 1), Offset, "N/F", 0, 1):
    XLOOKUP(INDEX($X$5:$X201, MATCH(F152, $V$5:$V201, 0)), SEQUENCE(100, 1, 1, 1), Offset, "N/F", 0, 1)/Labspeed, IDS_LAB_GODLBOXED_COUNT()))),"")</f>
        <v/>
      </c>
      <c r="L152" s="1510" t="str">
        <f t="array" ref="L152">IFERROR(LET(
  Labspeed, IF(F152="Labs Speed", 1+'Master Sheet'!$BK$5, LAB_SPEED_TOTAL()),
  Lab, MATCH(IF(ISNUMBER(SEARCH("Mastery", $F152)), "Card Mastery", $F152), DVT_Laboratory!B$1:AA$1, 0)-1,
  Offset, OFFSET(DVT_Laboratory!B$3, 0, Lab, 100, 1),
K152-SUM(TIME_TO_RUSH_GEMS(
    XLOOKUP(INDEX($W$5:$W201, MATCH(F152, $V$5:$V201, 0))+1, SEQUENCE(100, 1, 1, 1), Offset, "N/F", 0, 1):
    XLOOKUP(INDEX($X$5:$X201, MATCH(F152, $V$5:$V201, 0)), SEQUENCE(100, 1, 1, 1), Offset, "N/F", 0, 1)/Labspeed, IDS_LAB_GODLBOXED_COUNT()+1))),"")</f>
        <v/>
      </c>
      <c r="M152" s="1423" t="str">
        <f t="shared" si="5"/>
        <v/>
      </c>
      <c r="N152" s="1429"/>
      <c r="O152" s="1429"/>
      <c r="P152" s="1429"/>
      <c r="Q152" s="1438"/>
      <c r="R152" s="1438"/>
      <c r="S152" s="1438"/>
      <c r="T152" s="1438"/>
      <c r="U152" s="1438"/>
      <c r="V152" s="1443"/>
      <c r="W152" s="1417" t="s">
        <v>455</v>
      </c>
      <c r="X152" s="1417" t="s">
        <v>455</v>
      </c>
      <c r="Y152" s="1416" t="s">
        <v>455</v>
      </c>
      <c r="Z152" s="1479" t="s">
        <v>455</v>
      </c>
      <c r="AA152" s="1417"/>
    </row>
    <row r="153">
      <c r="A153" s="1404"/>
      <c r="B153" s="1424"/>
      <c r="C153" s="1473"/>
      <c r="D153" s="1476"/>
      <c r="E153" s="1477"/>
      <c r="F153" s="1446"/>
      <c r="G153" s="1448" t="str">
        <f>IFERROR(__xludf.DUMMYFUNCTION("""COMPUTED_VALUE"""),"")</f>
        <v/>
      </c>
      <c r="H153" s="1449" t="str">
        <f t="shared" si="3"/>
        <v/>
      </c>
      <c r="I153" s="1489" t="str">
        <f>IFERROR(__xludf.DUMMYFUNCTION("""COMPUTED_VALUE"""),"")</f>
        <v/>
      </c>
      <c r="J153" s="1449" t="str">
        <f t="shared" si="4"/>
        <v/>
      </c>
      <c r="K153" s="1510" t="str">
        <f t="array" ref="K153">IFERROR(LET(
  Labspeed, IF(F153="Labs Speed", 1+'Master Sheet'!$BK$5, LAB_SPEED_TOTAL()),
  Lab, MATCH(IF(ISNUMBER(SEARCH("Mastery", $F153)), "Card Mastery", $F153), DVT_Laboratory!B$1:AA$1, 0)-1,
  Offset, OFFSET(DVT_Laboratory!B$3, 0, Lab, 100, 1),
SUM(TIME_TO_RUSH_GEMS(
    XLOOKUP(INDEX($W$5:$W201, MATCH(F153, $V$5:$V201, 0))+1, SEQUENCE(100, 1, 1, 1), Offset, "N/F", 0, 1):
    XLOOKUP(INDEX($X$5:$X201, MATCH(F153, $V$5:$V201, 0)), SEQUENCE(100, 1, 1, 1), Offset, "N/F", 0, 1)/Labspeed, IDS_LAB_GODLBOXED_COUNT()))),"")</f>
        <v/>
      </c>
      <c r="L153" s="1510" t="str">
        <f t="array" ref="L153">IFERROR(LET(
  Labspeed, IF(F153="Labs Speed", 1+'Master Sheet'!$BK$5, LAB_SPEED_TOTAL()),
  Lab, MATCH(IF(ISNUMBER(SEARCH("Mastery", $F153)), "Card Mastery", $F153), DVT_Laboratory!B$1:AA$1, 0)-1,
  Offset, OFFSET(DVT_Laboratory!B$3, 0, Lab, 100, 1),
K153-SUM(TIME_TO_RUSH_GEMS(
    XLOOKUP(INDEX($W$5:$W201, MATCH(F153, $V$5:$V201, 0))+1, SEQUENCE(100, 1, 1, 1), Offset, "N/F", 0, 1):
    XLOOKUP(INDEX($X$5:$X201, MATCH(F153, $V$5:$V201, 0)), SEQUENCE(100, 1, 1, 1), Offset, "N/F", 0, 1)/Labspeed, IDS_LAB_GODLBOXED_COUNT()+1))),"")</f>
        <v/>
      </c>
      <c r="M153" s="1423" t="str">
        <f t="shared" si="5"/>
        <v/>
      </c>
      <c r="N153" s="1429"/>
      <c r="O153" s="1429"/>
      <c r="P153" s="1429"/>
      <c r="Q153" s="1438"/>
      <c r="R153" s="1438"/>
      <c r="S153" s="1438"/>
      <c r="T153" s="1438"/>
      <c r="U153" s="1438"/>
      <c r="V153" s="1443"/>
      <c r="W153" s="1417" t="s">
        <v>455</v>
      </c>
      <c r="X153" s="1417" t="s">
        <v>455</v>
      </c>
      <c r="Y153" s="1416" t="s">
        <v>455</v>
      </c>
      <c r="Z153" s="1479" t="s">
        <v>455</v>
      </c>
      <c r="AA153" s="1417"/>
    </row>
    <row r="154">
      <c r="A154" s="1404"/>
      <c r="B154" s="1424"/>
      <c r="C154" s="1473"/>
      <c r="D154" s="1476"/>
      <c r="E154" s="1477"/>
      <c r="F154" s="1446"/>
      <c r="G154" s="1448" t="str">
        <f>IFERROR(__xludf.DUMMYFUNCTION("""COMPUTED_VALUE"""),"")</f>
        <v/>
      </c>
      <c r="H154" s="1449" t="str">
        <f t="shared" si="3"/>
        <v/>
      </c>
      <c r="I154" s="1489" t="str">
        <f>IFERROR(__xludf.DUMMYFUNCTION("""COMPUTED_VALUE"""),"")</f>
        <v/>
      </c>
      <c r="J154" s="1449" t="str">
        <f t="shared" si="4"/>
        <v/>
      </c>
      <c r="K154" s="1510" t="str">
        <f t="array" ref="K154">IFERROR(LET(
  Labspeed, IF(F154="Labs Speed", 1+'Master Sheet'!$BK$5, LAB_SPEED_TOTAL()),
  Lab, MATCH(IF(ISNUMBER(SEARCH("Mastery", $F154)), "Card Mastery", $F154), DVT_Laboratory!B$1:AA$1, 0)-1,
  Offset, OFFSET(DVT_Laboratory!B$3, 0, Lab, 100, 1),
SUM(TIME_TO_RUSH_GEMS(
    XLOOKUP(INDEX($W$5:$W201, MATCH(F154, $V$5:$V201, 0))+1, SEQUENCE(100, 1, 1, 1), Offset, "N/F", 0, 1):
    XLOOKUP(INDEX($X$5:$X201, MATCH(F154, $V$5:$V201, 0)), SEQUENCE(100, 1, 1, 1), Offset, "N/F", 0, 1)/Labspeed, IDS_LAB_GODLBOXED_COUNT()))),"")</f>
        <v/>
      </c>
      <c r="L154" s="1510" t="str">
        <f t="array" ref="L154">IFERROR(LET(
  Labspeed, IF(F154="Labs Speed", 1+'Master Sheet'!$BK$5, LAB_SPEED_TOTAL()),
  Lab, MATCH(IF(ISNUMBER(SEARCH("Mastery", $F154)), "Card Mastery", $F154), DVT_Laboratory!B$1:AA$1, 0)-1,
  Offset, OFFSET(DVT_Laboratory!B$3, 0, Lab, 100, 1),
K154-SUM(TIME_TO_RUSH_GEMS(
    XLOOKUP(INDEX($W$5:$W201, MATCH(F154, $V$5:$V201, 0))+1, SEQUENCE(100, 1, 1, 1), Offset, "N/F", 0, 1):
    XLOOKUP(INDEX($X$5:$X201, MATCH(F154, $V$5:$V201, 0)), SEQUENCE(100, 1, 1, 1), Offset, "N/F", 0, 1)/Labspeed, IDS_LAB_GODLBOXED_COUNT()+1))),"")</f>
        <v/>
      </c>
      <c r="M154" s="1423" t="str">
        <f t="shared" si="5"/>
        <v/>
      </c>
      <c r="N154" s="1429"/>
      <c r="O154" s="1429"/>
      <c r="P154" s="1429"/>
      <c r="Q154" s="1438"/>
      <c r="R154" s="1438"/>
      <c r="S154" s="1438"/>
      <c r="T154" s="1438"/>
      <c r="U154" s="1438"/>
      <c r="V154" s="1443"/>
      <c r="W154" s="1417" t="s">
        <v>455</v>
      </c>
      <c r="X154" s="1417" t="s">
        <v>455</v>
      </c>
      <c r="Y154" s="1416" t="s">
        <v>455</v>
      </c>
      <c r="Z154" s="1479" t="s">
        <v>455</v>
      </c>
      <c r="AA154" s="1417"/>
    </row>
    <row r="155">
      <c r="A155" s="1404"/>
      <c r="B155" s="1424"/>
      <c r="C155" s="1473"/>
      <c r="D155" s="1476"/>
      <c r="E155" s="1477"/>
      <c r="F155" s="1446"/>
      <c r="G155" s="1448" t="str">
        <f>IFERROR(__xludf.DUMMYFUNCTION("""COMPUTED_VALUE"""),"")</f>
        <v/>
      </c>
      <c r="H155" s="1449" t="str">
        <f t="shared" si="3"/>
        <v/>
      </c>
      <c r="I155" s="1489" t="str">
        <f>IFERROR(__xludf.DUMMYFUNCTION("""COMPUTED_VALUE"""),"")</f>
        <v/>
      </c>
      <c r="J155" s="1449" t="str">
        <f t="shared" si="4"/>
        <v/>
      </c>
      <c r="K155" s="1510" t="str">
        <f t="array" ref="K155">IFERROR(LET(
  Labspeed, IF(F155="Labs Speed", 1+'Master Sheet'!$BK$5, LAB_SPEED_TOTAL()),
  Lab, MATCH(IF(ISNUMBER(SEARCH("Mastery", $F155)), "Card Mastery", $F155), DVT_Laboratory!B$1:AA$1, 0)-1,
  Offset, OFFSET(DVT_Laboratory!B$3, 0, Lab, 100, 1),
SUM(TIME_TO_RUSH_GEMS(
    XLOOKUP(INDEX($W$5:$W201, MATCH(F155, $V$5:$V201, 0))+1, SEQUENCE(100, 1, 1, 1), Offset, "N/F", 0, 1):
    XLOOKUP(INDEX($X$5:$X201, MATCH(F155, $V$5:$V201, 0)), SEQUENCE(100, 1, 1, 1), Offset, "N/F", 0, 1)/Labspeed, IDS_LAB_GODLBOXED_COUNT()))),"")</f>
        <v/>
      </c>
      <c r="L155" s="1510" t="str">
        <f t="array" ref="L155">IFERROR(LET(
  Labspeed, IF(F155="Labs Speed", 1+'Master Sheet'!$BK$5, LAB_SPEED_TOTAL()),
  Lab, MATCH(IF(ISNUMBER(SEARCH("Mastery", $F155)), "Card Mastery", $F155), DVT_Laboratory!B$1:AA$1, 0)-1,
  Offset, OFFSET(DVT_Laboratory!B$3, 0, Lab, 100, 1),
K155-SUM(TIME_TO_RUSH_GEMS(
    XLOOKUP(INDEX($W$5:$W201, MATCH(F155, $V$5:$V201, 0))+1, SEQUENCE(100, 1, 1, 1), Offset, "N/F", 0, 1):
    XLOOKUP(INDEX($X$5:$X201, MATCH(F155, $V$5:$V201, 0)), SEQUENCE(100, 1, 1, 1), Offset, "N/F", 0, 1)/Labspeed, IDS_LAB_GODLBOXED_COUNT()+1))),"")</f>
        <v/>
      </c>
      <c r="M155" s="1423" t="str">
        <f t="shared" si="5"/>
        <v/>
      </c>
      <c r="N155" s="1429"/>
      <c r="O155" s="1429"/>
      <c r="P155" s="1429"/>
      <c r="Q155" s="1438"/>
      <c r="R155" s="1438"/>
      <c r="S155" s="1438"/>
      <c r="T155" s="1438"/>
      <c r="U155" s="1438"/>
      <c r="V155" s="1443"/>
      <c r="W155" s="1417" t="s">
        <v>455</v>
      </c>
      <c r="X155" s="1417" t="s">
        <v>455</v>
      </c>
      <c r="Y155" s="1416" t="s">
        <v>455</v>
      </c>
      <c r="Z155" s="1479" t="s">
        <v>455</v>
      </c>
      <c r="AA155" s="1417"/>
    </row>
    <row r="156">
      <c r="A156" s="1404"/>
      <c r="B156" s="1424"/>
      <c r="C156" s="1473"/>
      <c r="D156" s="1476"/>
      <c r="E156" s="1477"/>
      <c r="F156" s="1446"/>
      <c r="G156" s="1448" t="str">
        <f>IFERROR(__xludf.DUMMYFUNCTION("""COMPUTED_VALUE"""),"")</f>
        <v/>
      </c>
      <c r="H156" s="1449" t="str">
        <f t="shared" si="3"/>
        <v/>
      </c>
      <c r="I156" s="1489" t="str">
        <f>IFERROR(__xludf.DUMMYFUNCTION("""COMPUTED_VALUE"""),"")</f>
        <v/>
      </c>
      <c r="J156" s="1449" t="str">
        <f t="shared" si="4"/>
        <v/>
      </c>
      <c r="K156" s="1510" t="str">
        <f t="array" ref="K156">IFERROR(LET(
  Labspeed, IF(F156="Labs Speed", 1+'Master Sheet'!$BK$5, LAB_SPEED_TOTAL()),
  Lab, MATCH(IF(ISNUMBER(SEARCH("Mastery", $F156)), "Card Mastery", $F156), DVT_Laboratory!B$1:AA$1, 0)-1,
  Offset, OFFSET(DVT_Laboratory!B$3, 0, Lab, 100, 1),
SUM(TIME_TO_RUSH_GEMS(
    XLOOKUP(INDEX($W$5:$W201, MATCH(F156, $V$5:$V201, 0))+1, SEQUENCE(100, 1, 1, 1), Offset, "N/F", 0, 1):
    XLOOKUP(INDEX($X$5:$X201, MATCH(F156, $V$5:$V201, 0)), SEQUENCE(100, 1, 1, 1), Offset, "N/F", 0, 1)/Labspeed, IDS_LAB_GODLBOXED_COUNT()))),"")</f>
        <v/>
      </c>
      <c r="L156" s="1510" t="str">
        <f t="array" ref="L156">IFERROR(LET(
  Labspeed, IF(F156="Labs Speed", 1+'Master Sheet'!$BK$5, LAB_SPEED_TOTAL()),
  Lab, MATCH(IF(ISNUMBER(SEARCH("Mastery", $F156)), "Card Mastery", $F156), DVT_Laboratory!B$1:AA$1, 0)-1,
  Offset, OFFSET(DVT_Laboratory!B$3, 0, Lab, 100, 1),
K156-SUM(TIME_TO_RUSH_GEMS(
    XLOOKUP(INDEX($W$5:$W201, MATCH(F156, $V$5:$V201, 0))+1, SEQUENCE(100, 1, 1, 1), Offset, "N/F", 0, 1):
    XLOOKUP(INDEX($X$5:$X201, MATCH(F156, $V$5:$V201, 0)), SEQUENCE(100, 1, 1, 1), Offset, "N/F", 0, 1)/Labspeed, IDS_LAB_GODLBOXED_COUNT()+1))),"")</f>
        <v/>
      </c>
      <c r="M156" s="1423" t="str">
        <f t="shared" si="5"/>
        <v/>
      </c>
      <c r="N156" s="1429"/>
      <c r="O156" s="1429"/>
      <c r="P156" s="1429"/>
      <c r="Q156" s="1438"/>
      <c r="R156" s="1438"/>
      <c r="S156" s="1438"/>
      <c r="T156" s="1438"/>
      <c r="U156" s="1438"/>
      <c r="V156" s="1443"/>
      <c r="W156" s="1417" t="s">
        <v>455</v>
      </c>
      <c r="X156" s="1417" t="s">
        <v>455</v>
      </c>
      <c r="Y156" s="1416" t="s">
        <v>455</v>
      </c>
      <c r="Z156" s="1479" t="s">
        <v>455</v>
      </c>
      <c r="AA156" s="1417"/>
    </row>
    <row r="157">
      <c r="A157" s="1404"/>
      <c r="B157" s="1424"/>
      <c r="C157" s="1473"/>
      <c r="D157" s="1476"/>
      <c r="E157" s="1477"/>
      <c r="F157" s="1446"/>
      <c r="G157" s="1448" t="str">
        <f>IFERROR(__xludf.DUMMYFUNCTION("""COMPUTED_VALUE"""),"")</f>
        <v/>
      </c>
      <c r="H157" s="1449" t="str">
        <f t="shared" si="3"/>
        <v/>
      </c>
      <c r="I157" s="1489" t="str">
        <f>IFERROR(__xludf.DUMMYFUNCTION("""COMPUTED_VALUE"""),"")</f>
        <v/>
      </c>
      <c r="J157" s="1449" t="str">
        <f t="shared" si="4"/>
        <v/>
      </c>
      <c r="K157" s="1510" t="str">
        <f t="array" ref="K157">IFERROR(LET(
  Labspeed, IF(F157="Labs Speed", 1+'Master Sheet'!$BK$5, LAB_SPEED_TOTAL()),
  Lab, MATCH(IF(ISNUMBER(SEARCH("Mastery", $F157)), "Card Mastery", $F157), DVT_Laboratory!B$1:AA$1, 0)-1,
  Offset, OFFSET(DVT_Laboratory!B$3, 0, Lab, 100, 1),
SUM(TIME_TO_RUSH_GEMS(
    XLOOKUP(INDEX($W$5:$W201, MATCH(F157, $V$5:$V201, 0))+1, SEQUENCE(100, 1, 1, 1), Offset, "N/F", 0, 1):
    XLOOKUP(INDEX($X$5:$X201, MATCH(F157, $V$5:$V201, 0)), SEQUENCE(100, 1, 1, 1), Offset, "N/F", 0, 1)/Labspeed, IDS_LAB_GODLBOXED_COUNT()))),"")</f>
        <v/>
      </c>
      <c r="L157" s="1510" t="str">
        <f t="array" ref="L157">IFERROR(LET(
  Labspeed, IF(F157="Labs Speed", 1+'Master Sheet'!$BK$5, LAB_SPEED_TOTAL()),
  Lab, MATCH(IF(ISNUMBER(SEARCH("Mastery", $F157)), "Card Mastery", $F157), DVT_Laboratory!B$1:AA$1, 0)-1,
  Offset, OFFSET(DVT_Laboratory!B$3, 0, Lab, 100, 1),
K157-SUM(TIME_TO_RUSH_GEMS(
    XLOOKUP(INDEX($W$5:$W201, MATCH(F157, $V$5:$V201, 0))+1, SEQUENCE(100, 1, 1, 1), Offset, "N/F", 0, 1):
    XLOOKUP(INDEX($X$5:$X201, MATCH(F157, $V$5:$V201, 0)), SEQUENCE(100, 1, 1, 1), Offset, "N/F", 0, 1)/Labspeed, IDS_LAB_GODLBOXED_COUNT()+1))),"")</f>
        <v/>
      </c>
      <c r="M157" s="1423" t="str">
        <f t="shared" si="5"/>
        <v/>
      </c>
      <c r="N157" s="1429"/>
      <c r="O157" s="1429"/>
      <c r="P157" s="1429"/>
      <c r="Q157" s="1438"/>
      <c r="R157" s="1438"/>
      <c r="S157" s="1438"/>
      <c r="T157" s="1438"/>
      <c r="U157" s="1438"/>
      <c r="V157" s="1443"/>
      <c r="W157" s="1417" t="s">
        <v>455</v>
      </c>
      <c r="X157" s="1417" t="s">
        <v>455</v>
      </c>
      <c r="Y157" s="1416" t="s">
        <v>455</v>
      </c>
      <c r="Z157" s="1479" t="s">
        <v>455</v>
      </c>
      <c r="AA157" s="1417"/>
    </row>
    <row r="158">
      <c r="A158" s="1404"/>
      <c r="B158" s="1424"/>
      <c r="C158" s="1473"/>
      <c r="D158" s="1476"/>
      <c r="E158" s="1477"/>
      <c r="F158" s="1446"/>
      <c r="G158" s="1448" t="str">
        <f>IFERROR(__xludf.DUMMYFUNCTION("""COMPUTED_VALUE"""),"")</f>
        <v/>
      </c>
      <c r="H158" s="1449" t="str">
        <f t="shared" si="3"/>
        <v/>
      </c>
      <c r="I158" s="1489" t="str">
        <f>IFERROR(__xludf.DUMMYFUNCTION("""COMPUTED_VALUE"""),"")</f>
        <v/>
      </c>
      <c r="J158" s="1449" t="str">
        <f t="shared" si="4"/>
        <v/>
      </c>
      <c r="K158" s="1510" t="str">
        <f t="array" ref="K158">IFERROR(LET(
  Labspeed, IF(F158="Labs Speed", 1+'Master Sheet'!$BK$5, LAB_SPEED_TOTAL()),
  Lab, MATCH(IF(ISNUMBER(SEARCH("Mastery", $F158)), "Card Mastery", $F158), DVT_Laboratory!B$1:AA$1, 0)-1,
  Offset, OFFSET(DVT_Laboratory!B$3, 0, Lab, 100, 1),
SUM(TIME_TO_RUSH_GEMS(
    XLOOKUP(INDEX($W$5:$W201, MATCH(F158, $V$5:$V201, 0))+1, SEQUENCE(100, 1, 1, 1), Offset, "N/F", 0, 1):
    XLOOKUP(INDEX($X$5:$X201, MATCH(F158, $V$5:$V201, 0)), SEQUENCE(100, 1, 1, 1), Offset, "N/F", 0, 1)/Labspeed, IDS_LAB_GODLBOXED_COUNT()))),"")</f>
        <v/>
      </c>
      <c r="L158" s="1510" t="str">
        <f t="array" ref="L158">IFERROR(LET(
  Labspeed, IF(F158="Labs Speed", 1+'Master Sheet'!$BK$5, LAB_SPEED_TOTAL()),
  Lab, MATCH(IF(ISNUMBER(SEARCH("Mastery", $F158)), "Card Mastery", $F158), DVT_Laboratory!B$1:AA$1, 0)-1,
  Offset, OFFSET(DVT_Laboratory!B$3, 0, Lab, 100, 1),
K158-SUM(TIME_TO_RUSH_GEMS(
    XLOOKUP(INDEX($W$5:$W201, MATCH(F158, $V$5:$V201, 0))+1, SEQUENCE(100, 1, 1, 1), Offset, "N/F", 0, 1):
    XLOOKUP(INDEX($X$5:$X201, MATCH(F158, $V$5:$V201, 0)), SEQUENCE(100, 1, 1, 1), Offset, "N/F", 0, 1)/Labspeed, IDS_LAB_GODLBOXED_COUNT()+1))),"")</f>
        <v/>
      </c>
      <c r="M158" s="1423" t="str">
        <f t="shared" si="5"/>
        <v/>
      </c>
      <c r="N158" s="1429"/>
      <c r="O158" s="1429"/>
      <c r="P158" s="1429"/>
      <c r="Q158" s="1438"/>
      <c r="R158" s="1438"/>
      <c r="S158" s="1438"/>
      <c r="T158" s="1438"/>
      <c r="U158" s="1438"/>
      <c r="V158" s="1443"/>
      <c r="W158" s="1417" t="s">
        <v>455</v>
      </c>
      <c r="X158" s="1417" t="s">
        <v>455</v>
      </c>
      <c r="Y158" s="1416" t="s">
        <v>455</v>
      </c>
      <c r="Z158" s="1479" t="s">
        <v>455</v>
      </c>
      <c r="AA158" s="1417"/>
    </row>
    <row r="159">
      <c r="A159" s="1404"/>
      <c r="B159" s="1424"/>
      <c r="C159" s="1473"/>
      <c r="D159" s="1476"/>
      <c r="E159" s="1477"/>
      <c r="F159" s="1446"/>
      <c r="G159" s="1448" t="str">
        <f>IFERROR(__xludf.DUMMYFUNCTION("""COMPUTED_VALUE"""),"")</f>
        <v/>
      </c>
      <c r="H159" s="1449" t="str">
        <f t="shared" si="3"/>
        <v/>
      </c>
      <c r="I159" s="1489" t="str">
        <f>IFERROR(__xludf.DUMMYFUNCTION("""COMPUTED_VALUE"""),"")</f>
        <v/>
      </c>
      <c r="J159" s="1449" t="str">
        <f t="shared" si="4"/>
        <v/>
      </c>
      <c r="K159" s="1510" t="str">
        <f t="array" ref="K159">IFERROR(LET(
  Labspeed, IF(F159="Labs Speed", 1+'Master Sheet'!$BK$5, LAB_SPEED_TOTAL()),
  Lab, MATCH(IF(ISNUMBER(SEARCH("Mastery", $F159)), "Card Mastery", $F159), DVT_Laboratory!B$1:AA$1, 0)-1,
  Offset, OFFSET(DVT_Laboratory!B$3, 0, Lab, 100, 1),
SUM(TIME_TO_RUSH_GEMS(
    XLOOKUP(INDEX($W$5:$W201, MATCH(F159, $V$5:$V201, 0))+1, SEQUENCE(100, 1, 1, 1), Offset, "N/F", 0, 1):
    XLOOKUP(INDEX($X$5:$X201, MATCH(F159, $V$5:$V201, 0)), SEQUENCE(100, 1, 1, 1), Offset, "N/F", 0, 1)/Labspeed, IDS_LAB_GODLBOXED_COUNT()))),"")</f>
        <v/>
      </c>
      <c r="L159" s="1510" t="str">
        <f t="array" ref="L159">IFERROR(LET(
  Labspeed, IF(F159="Labs Speed", 1+'Master Sheet'!$BK$5, LAB_SPEED_TOTAL()),
  Lab, MATCH(IF(ISNUMBER(SEARCH("Mastery", $F159)), "Card Mastery", $F159), DVT_Laboratory!B$1:AA$1, 0)-1,
  Offset, OFFSET(DVT_Laboratory!B$3, 0, Lab, 100, 1),
K159-SUM(TIME_TO_RUSH_GEMS(
    XLOOKUP(INDEX($W$5:$W201, MATCH(F159, $V$5:$V201, 0))+1, SEQUENCE(100, 1, 1, 1), Offset, "N/F", 0, 1):
    XLOOKUP(INDEX($X$5:$X201, MATCH(F159, $V$5:$V201, 0)), SEQUENCE(100, 1, 1, 1), Offset, "N/F", 0, 1)/Labspeed, IDS_LAB_GODLBOXED_COUNT()+1))),"")</f>
        <v/>
      </c>
      <c r="M159" s="1423" t="str">
        <f t="shared" si="5"/>
        <v/>
      </c>
      <c r="N159" s="1429"/>
      <c r="O159" s="1429"/>
      <c r="P159" s="1429"/>
      <c r="Q159" s="1438"/>
      <c r="R159" s="1438"/>
      <c r="S159" s="1438"/>
      <c r="T159" s="1438"/>
      <c r="U159" s="1438"/>
      <c r="V159" s="1443"/>
      <c r="W159" s="1417" t="s">
        <v>455</v>
      </c>
      <c r="X159" s="1417" t="s">
        <v>455</v>
      </c>
      <c r="Y159" s="1416" t="s">
        <v>455</v>
      </c>
      <c r="Z159" s="1479" t="s">
        <v>455</v>
      </c>
      <c r="AA159" s="1417"/>
    </row>
    <row r="160">
      <c r="A160" s="1404"/>
      <c r="B160" s="1424"/>
      <c r="C160" s="1473"/>
      <c r="D160" s="1476"/>
      <c r="E160" s="1477"/>
      <c r="F160" s="1446"/>
      <c r="G160" s="1448" t="str">
        <f>IFERROR(__xludf.DUMMYFUNCTION("""COMPUTED_VALUE"""),"")</f>
        <v/>
      </c>
      <c r="H160" s="1449" t="str">
        <f t="shared" si="3"/>
        <v/>
      </c>
      <c r="I160" s="1489" t="str">
        <f>IFERROR(__xludf.DUMMYFUNCTION("""COMPUTED_VALUE"""),"")</f>
        <v/>
      </c>
      <c r="J160" s="1449" t="str">
        <f t="shared" si="4"/>
        <v/>
      </c>
      <c r="K160" s="1510" t="str">
        <f t="array" ref="K160">IFERROR(LET(
  Labspeed, IF(F160="Labs Speed", 1+'Master Sheet'!$BK$5, LAB_SPEED_TOTAL()),
  Lab, MATCH(IF(ISNUMBER(SEARCH("Mastery", $F160)), "Card Mastery", $F160), DVT_Laboratory!B$1:AA$1, 0)-1,
  Offset, OFFSET(DVT_Laboratory!B$3, 0, Lab, 100, 1),
SUM(TIME_TO_RUSH_GEMS(
    XLOOKUP(INDEX($W$5:$W201, MATCH(F160, $V$5:$V201, 0))+1, SEQUENCE(100, 1, 1, 1), Offset, "N/F", 0, 1):
    XLOOKUP(INDEX($X$5:$X201, MATCH(F160, $V$5:$V201, 0)), SEQUENCE(100, 1, 1, 1), Offset, "N/F", 0, 1)/Labspeed, IDS_LAB_GODLBOXED_COUNT()))),"")</f>
        <v/>
      </c>
      <c r="L160" s="1510" t="str">
        <f t="array" ref="L160">IFERROR(LET(
  Labspeed, IF(F160="Labs Speed", 1+'Master Sheet'!$BK$5, LAB_SPEED_TOTAL()),
  Lab, MATCH(IF(ISNUMBER(SEARCH("Mastery", $F160)), "Card Mastery", $F160), DVT_Laboratory!B$1:AA$1, 0)-1,
  Offset, OFFSET(DVT_Laboratory!B$3, 0, Lab, 100, 1),
K160-SUM(TIME_TO_RUSH_GEMS(
    XLOOKUP(INDEX($W$5:$W201, MATCH(F160, $V$5:$V201, 0))+1, SEQUENCE(100, 1, 1, 1), Offset, "N/F", 0, 1):
    XLOOKUP(INDEX($X$5:$X201, MATCH(F160, $V$5:$V201, 0)), SEQUENCE(100, 1, 1, 1), Offset, "N/F", 0, 1)/Labspeed, IDS_LAB_GODLBOXED_COUNT()+1))),"")</f>
        <v/>
      </c>
      <c r="M160" s="1423" t="str">
        <f t="shared" si="5"/>
        <v/>
      </c>
      <c r="N160" s="1429"/>
      <c r="O160" s="1429"/>
      <c r="P160" s="1429"/>
      <c r="Q160" s="1438"/>
      <c r="R160" s="1438"/>
      <c r="S160" s="1438"/>
      <c r="T160" s="1438"/>
      <c r="U160" s="1438"/>
      <c r="V160" s="1443"/>
      <c r="W160" s="1417" t="s">
        <v>455</v>
      </c>
      <c r="X160" s="1417" t="s">
        <v>455</v>
      </c>
      <c r="Y160" s="1416" t="s">
        <v>455</v>
      </c>
      <c r="Z160" s="1479" t="s">
        <v>455</v>
      </c>
      <c r="AA160" s="1417"/>
    </row>
    <row r="161">
      <c r="A161" s="1404"/>
      <c r="B161" s="1424"/>
      <c r="C161" s="1473"/>
      <c r="D161" s="1476"/>
      <c r="E161" s="1477"/>
      <c r="F161" s="1446"/>
      <c r="G161" s="1448" t="str">
        <f>IFERROR(__xludf.DUMMYFUNCTION("""COMPUTED_VALUE"""),"")</f>
        <v/>
      </c>
      <c r="H161" s="1449" t="str">
        <f t="shared" si="3"/>
        <v/>
      </c>
      <c r="I161" s="1489" t="str">
        <f>IFERROR(__xludf.DUMMYFUNCTION("""COMPUTED_VALUE"""),"")</f>
        <v/>
      </c>
      <c r="J161" s="1449" t="str">
        <f t="shared" si="4"/>
        <v/>
      </c>
      <c r="K161" s="1510" t="str">
        <f t="array" ref="K161">IFERROR(LET(
  Labspeed, IF(F161="Labs Speed", 1+'Master Sheet'!$BK$5, LAB_SPEED_TOTAL()),
  Lab, MATCH(IF(ISNUMBER(SEARCH("Mastery", $F161)), "Card Mastery", $F161), DVT_Laboratory!B$1:AA$1, 0)-1,
  Offset, OFFSET(DVT_Laboratory!B$3, 0, Lab, 100, 1),
SUM(TIME_TO_RUSH_GEMS(
    XLOOKUP(INDEX($W$5:$W201, MATCH(F161, $V$5:$V201, 0))+1, SEQUENCE(100, 1, 1, 1), Offset, "N/F", 0, 1):
    XLOOKUP(INDEX($X$5:$X201, MATCH(F161, $V$5:$V201, 0)), SEQUENCE(100, 1, 1, 1), Offset, "N/F", 0, 1)/Labspeed, IDS_LAB_GODLBOXED_COUNT()))),"")</f>
        <v/>
      </c>
      <c r="L161" s="1510" t="str">
        <f t="array" ref="L161">IFERROR(LET(
  Labspeed, IF(F161="Labs Speed", 1+'Master Sheet'!$BK$5, LAB_SPEED_TOTAL()),
  Lab, MATCH(IF(ISNUMBER(SEARCH("Mastery", $F161)), "Card Mastery", $F161), DVT_Laboratory!B$1:AA$1, 0)-1,
  Offset, OFFSET(DVT_Laboratory!B$3, 0, Lab, 100, 1),
K161-SUM(TIME_TO_RUSH_GEMS(
    XLOOKUP(INDEX($W$5:$W201, MATCH(F161, $V$5:$V201, 0))+1, SEQUENCE(100, 1, 1, 1), Offset, "N/F", 0, 1):
    XLOOKUP(INDEX($X$5:$X201, MATCH(F161, $V$5:$V201, 0)), SEQUENCE(100, 1, 1, 1), Offset, "N/F", 0, 1)/Labspeed, IDS_LAB_GODLBOXED_COUNT()+1))),"")</f>
        <v/>
      </c>
      <c r="M161" s="1423" t="str">
        <f t="shared" si="5"/>
        <v/>
      </c>
      <c r="N161" s="1429"/>
      <c r="O161" s="1429"/>
      <c r="P161" s="1429"/>
      <c r="Q161" s="1438"/>
      <c r="R161" s="1438"/>
      <c r="S161" s="1438"/>
      <c r="T161" s="1438"/>
      <c r="U161" s="1438"/>
      <c r="V161" s="1443"/>
      <c r="W161" s="1417" t="s">
        <v>455</v>
      </c>
      <c r="X161" s="1417" t="s">
        <v>455</v>
      </c>
      <c r="Y161" s="1416" t="s">
        <v>455</v>
      </c>
      <c r="Z161" s="1479" t="s">
        <v>455</v>
      </c>
      <c r="AA161" s="1417"/>
    </row>
    <row r="162">
      <c r="A162" s="1404"/>
      <c r="B162" s="1424"/>
      <c r="C162" s="1473"/>
      <c r="D162" s="1476"/>
      <c r="E162" s="1477"/>
      <c r="F162" s="1446"/>
      <c r="G162" s="1448" t="str">
        <f>IFERROR(__xludf.DUMMYFUNCTION("""COMPUTED_VALUE"""),"")</f>
        <v/>
      </c>
      <c r="H162" s="1449" t="str">
        <f t="shared" si="3"/>
        <v/>
      </c>
      <c r="I162" s="1489" t="str">
        <f>IFERROR(__xludf.DUMMYFUNCTION("""COMPUTED_VALUE"""),"")</f>
        <v/>
      </c>
      <c r="J162" s="1449" t="str">
        <f t="shared" si="4"/>
        <v/>
      </c>
      <c r="K162" s="1510" t="str">
        <f t="array" ref="K162">IFERROR(LET(
  Labspeed, IF(F162="Labs Speed", 1+'Master Sheet'!$BK$5, LAB_SPEED_TOTAL()),
  Lab, MATCH(IF(ISNUMBER(SEARCH("Mastery", $F162)), "Card Mastery", $F162), DVT_Laboratory!B$1:AA$1, 0)-1,
  Offset, OFFSET(DVT_Laboratory!B$3, 0, Lab, 100, 1),
SUM(TIME_TO_RUSH_GEMS(
    XLOOKUP(INDEX($W$5:$W201, MATCH(F162, $V$5:$V201, 0))+1, SEQUENCE(100, 1, 1, 1), Offset, "N/F", 0, 1):
    XLOOKUP(INDEX($X$5:$X201, MATCH(F162, $V$5:$V201, 0)), SEQUENCE(100, 1, 1, 1), Offset, "N/F", 0, 1)/Labspeed, IDS_LAB_GODLBOXED_COUNT()))),"")</f>
        <v/>
      </c>
      <c r="L162" s="1510" t="str">
        <f t="array" ref="L162">IFERROR(LET(
  Labspeed, IF(F162="Labs Speed", 1+'Master Sheet'!$BK$5, LAB_SPEED_TOTAL()),
  Lab, MATCH(IF(ISNUMBER(SEARCH("Mastery", $F162)), "Card Mastery", $F162), DVT_Laboratory!B$1:AA$1, 0)-1,
  Offset, OFFSET(DVT_Laboratory!B$3, 0, Lab, 100, 1),
K162-SUM(TIME_TO_RUSH_GEMS(
    XLOOKUP(INDEX($W$5:$W201, MATCH(F162, $V$5:$V201, 0))+1, SEQUENCE(100, 1, 1, 1), Offset, "N/F", 0, 1):
    XLOOKUP(INDEX($X$5:$X201, MATCH(F162, $V$5:$V201, 0)), SEQUENCE(100, 1, 1, 1), Offset, "N/F", 0, 1)/Labspeed, IDS_LAB_GODLBOXED_COUNT()+1))),"")</f>
        <v/>
      </c>
      <c r="M162" s="1423" t="str">
        <f t="shared" si="5"/>
        <v/>
      </c>
      <c r="N162" s="1429"/>
      <c r="O162" s="1429"/>
      <c r="P162" s="1429"/>
      <c r="Q162" s="1438"/>
      <c r="R162" s="1438"/>
      <c r="S162" s="1438"/>
      <c r="T162" s="1438"/>
      <c r="U162" s="1438"/>
      <c r="V162" s="1443"/>
      <c r="W162" s="1417" t="s">
        <v>455</v>
      </c>
      <c r="X162" s="1417" t="s">
        <v>455</v>
      </c>
      <c r="Y162" s="1416" t="s">
        <v>455</v>
      </c>
      <c r="Z162" s="1479" t="s">
        <v>455</v>
      </c>
      <c r="AA162" s="1417"/>
    </row>
    <row r="163">
      <c r="A163" s="1404"/>
      <c r="B163" s="1424"/>
      <c r="C163" s="1473"/>
      <c r="D163" s="1476"/>
      <c r="E163" s="1477"/>
      <c r="F163" s="1446"/>
      <c r="G163" s="1448" t="str">
        <f>IFERROR(__xludf.DUMMYFUNCTION("""COMPUTED_VALUE"""),"")</f>
        <v/>
      </c>
      <c r="H163" s="1449" t="str">
        <f t="shared" si="3"/>
        <v/>
      </c>
      <c r="I163" s="1489" t="str">
        <f>IFERROR(__xludf.DUMMYFUNCTION("""COMPUTED_VALUE"""),"")</f>
        <v/>
      </c>
      <c r="J163" s="1449" t="str">
        <f t="shared" si="4"/>
        <v/>
      </c>
      <c r="K163" s="1510" t="str">
        <f t="array" ref="K163">IFERROR(LET(
  Labspeed, IF(F163="Labs Speed", 1+'Master Sheet'!$BK$5, LAB_SPEED_TOTAL()),
  Lab, MATCH(IF(ISNUMBER(SEARCH("Mastery", $F163)), "Card Mastery", $F163), DVT_Laboratory!B$1:AA$1, 0)-1,
  Offset, OFFSET(DVT_Laboratory!B$3, 0, Lab, 100, 1),
SUM(TIME_TO_RUSH_GEMS(
    XLOOKUP(INDEX($W$5:$W201, MATCH(F163, $V$5:$V201, 0))+1, SEQUENCE(100, 1, 1, 1), Offset, "N/F", 0, 1):
    XLOOKUP(INDEX($X$5:$X201, MATCH(F163, $V$5:$V201, 0)), SEQUENCE(100, 1, 1, 1), Offset, "N/F", 0, 1)/Labspeed, IDS_LAB_GODLBOXED_COUNT()))),"")</f>
        <v/>
      </c>
      <c r="L163" s="1510" t="str">
        <f t="array" ref="L163">IFERROR(LET(
  Labspeed, IF(F163="Labs Speed", 1+'Master Sheet'!$BK$5, LAB_SPEED_TOTAL()),
  Lab, MATCH(IF(ISNUMBER(SEARCH("Mastery", $F163)), "Card Mastery", $F163), DVT_Laboratory!B$1:AA$1, 0)-1,
  Offset, OFFSET(DVT_Laboratory!B$3, 0, Lab, 100, 1),
K163-SUM(TIME_TO_RUSH_GEMS(
    XLOOKUP(INDEX($W$5:$W201, MATCH(F163, $V$5:$V201, 0))+1, SEQUENCE(100, 1, 1, 1), Offset, "N/F", 0, 1):
    XLOOKUP(INDEX($X$5:$X201, MATCH(F163, $V$5:$V201, 0)), SEQUENCE(100, 1, 1, 1), Offset, "N/F", 0, 1)/Labspeed, IDS_LAB_GODLBOXED_COUNT()+1))),"")</f>
        <v/>
      </c>
      <c r="M163" s="1423" t="str">
        <f t="shared" si="5"/>
        <v/>
      </c>
      <c r="N163" s="1429"/>
      <c r="O163" s="1429"/>
      <c r="P163" s="1429"/>
      <c r="Q163" s="1438"/>
      <c r="R163" s="1438"/>
      <c r="S163" s="1438"/>
      <c r="T163" s="1438"/>
      <c r="U163" s="1438"/>
      <c r="V163" s="1443"/>
      <c r="W163" s="1417" t="s">
        <v>455</v>
      </c>
      <c r="X163" s="1417" t="s">
        <v>455</v>
      </c>
      <c r="Y163" s="1416" t="s">
        <v>455</v>
      </c>
      <c r="Z163" s="1479" t="s">
        <v>455</v>
      </c>
      <c r="AA163" s="1417"/>
    </row>
    <row r="164">
      <c r="A164" s="1404"/>
      <c r="B164" s="1424"/>
      <c r="C164" s="1473"/>
      <c r="D164" s="1476"/>
      <c r="E164" s="1477"/>
      <c r="F164" s="1446"/>
      <c r="G164" s="1448" t="str">
        <f>IFERROR(__xludf.DUMMYFUNCTION("""COMPUTED_VALUE"""),"")</f>
        <v/>
      </c>
      <c r="H164" s="1449" t="str">
        <f t="shared" si="3"/>
        <v/>
      </c>
      <c r="I164" s="1489" t="str">
        <f>IFERROR(__xludf.DUMMYFUNCTION("""COMPUTED_VALUE"""),"")</f>
        <v/>
      </c>
      <c r="J164" s="1449" t="str">
        <f t="shared" si="4"/>
        <v/>
      </c>
      <c r="K164" s="1510" t="str">
        <f t="array" ref="K164">IFERROR(LET(
  Labspeed, IF(F164="Labs Speed", 1+'Master Sheet'!$BK$5, LAB_SPEED_TOTAL()),
  Lab, MATCH(IF(ISNUMBER(SEARCH("Mastery", $F164)), "Card Mastery", $F164), DVT_Laboratory!B$1:AA$1, 0)-1,
  Offset, OFFSET(DVT_Laboratory!B$3, 0, Lab, 100, 1),
SUM(TIME_TO_RUSH_GEMS(
    XLOOKUP(INDEX($W$5:$W201, MATCH(F164, $V$5:$V201, 0))+1, SEQUENCE(100, 1, 1, 1), Offset, "N/F", 0, 1):
    XLOOKUP(INDEX($X$5:$X201, MATCH(F164, $V$5:$V201, 0)), SEQUENCE(100, 1, 1, 1), Offset, "N/F", 0, 1)/Labspeed, IDS_LAB_GODLBOXED_COUNT()))),"")</f>
        <v/>
      </c>
      <c r="L164" s="1510" t="str">
        <f t="array" ref="L164">IFERROR(LET(
  Labspeed, IF(F164="Labs Speed", 1+'Master Sheet'!$BK$5, LAB_SPEED_TOTAL()),
  Lab, MATCH(IF(ISNUMBER(SEARCH("Mastery", $F164)), "Card Mastery", $F164), DVT_Laboratory!B$1:AA$1, 0)-1,
  Offset, OFFSET(DVT_Laboratory!B$3, 0, Lab, 100, 1),
K164-SUM(TIME_TO_RUSH_GEMS(
    XLOOKUP(INDEX($W$5:$W201, MATCH(F164, $V$5:$V201, 0))+1, SEQUENCE(100, 1, 1, 1), Offset, "N/F", 0, 1):
    XLOOKUP(INDEX($X$5:$X201, MATCH(F164, $V$5:$V201, 0)), SEQUENCE(100, 1, 1, 1), Offset, "N/F", 0, 1)/Labspeed, IDS_LAB_GODLBOXED_COUNT()+1))),"")</f>
        <v/>
      </c>
      <c r="M164" s="1423" t="str">
        <f t="shared" si="5"/>
        <v/>
      </c>
      <c r="N164" s="1429"/>
      <c r="O164" s="1429"/>
      <c r="P164" s="1429"/>
      <c r="Q164" s="1438"/>
      <c r="R164" s="1438"/>
      <c r="S164" s="1438"/>
      <c r="T164" s="1438"/>
      <c r="U164" s="1438"/>
      <c r="V164" s="1443"/>
      <c r="W164" s="1417" t="s">
        <v>455</v>
      </c>
      <c r="X164" s="1417" t="s">
        <v>455</v>
      </c>
      <c r="Y164" s="1416" t="s">
        <v>455</v>
      </c>
      <c r="Z164" s="1479" t="s">
        <v>455</v>
      </c>
      <c r="AA164" s="1417"/>
    </row>
    <row r="165">
      <c r="A165" s="1404"/>
      <c r="B165" s="1424"/>
      <c r="C165" s="1473"/>
      <c r="D165" s="1476"/>
      <c r="E165" s="1477"/>
      <c r="F165" s="1446"/>
      <c r="G165" s="1448" t="str">
        <f>IFERROR(__xludf.DUMMYFUNCTION("""COMPUTED_VALUE"""),"")</f>
        <v/>
      </c>
      <c r="H165" s="1449" t="str">
        <f t="shared" si="3"/>
        <v/>
      </c>
      <c r="I165" s="1489" t="str">
        <f>IFERROR(__xludf.DUMMYFUNCTION("""COMPUTED_VALUE"""),"")</f>
        <v/>
      </c>
      <c r="J165" s="1449" t="str">
        <f t="shared" si="4"/>
        <v/>
      </c>
      <c r="K165" s="1510" t="str">
        <f t="array" ref="K165">IFERROR(LET(
  Labspeed, IF(F165="Labs Speed", 1+'Master Sheet'!$BK$5, LAB_SPEED_TOTAL()),
  Lab, MATCH(IF(ISNUMBER(SEARCH("Mastery", $F165)), "Card Mastery", $F165), DVT_Laboratory!B$1:AA$1, 0)-1,
  Offset, OFFSET(DVT_Laboratory!B$3, 0, Lab, 100, 1),
SUM(TIME_TO_RUSH_GEMS(
    XLOOKUP(INDEX($W$5:$W201, MATCH(F165, $V$5:$V201, 0))+1, SEQUENCE(100, 1, 1, 1), Offset, "N/F", 0, 1):
    XLOOKUP(INDEX($X$5:$X201, MATCH(F165, $V$5:$V201, 0)), SEQUENCE(100, 1, 1, 1), Offset, "N/F", 0, 1)/Labspeed, IDS_LAB_GODLBOXED_COUNT()))),"")</f>
        <v/>
      </c>
      <c r="L165" s="1510" t="str">
        <f t="array" ref="L165">IFERROR(LET(
  Labspeed, IF(F165="Labs Speed", 1+'Master Sheet'!$BK$5, LAB_SPEED_TOTAL()),
  Lab, MATCH(IF(ISNUMBER(SEARCH("Mastery", $F165)), "Card Mastery", $F165), DVT_Laboratory!B$1:AA$1, 0)-1,
  Offset, OFFSET(DVT_Laboratory!B$3, 0, Lab, 100, 1),
K165-SUM(TIME_TO_RUSH_GEMS(
    XLOOKUP(INDEX($W$5:$W201, MATCH(F165, $V$5:$V201, 0))+1, SEQUENCE(100, 1, 1, 1), Offset, "N/F", 0, 1):
    XLOOKUP(INDEX($X$5:$X201, MATCH(F165, $V$5:$V201, 0)), SEQUENCE(100, 1, 1, 1), Offset, "N/F", 0, 1)/Labspeed, IDS_LAB_GODLBOXED_COUNT()+1))),"")</f>
        <v/>
      </c>
      <c r="M165" s="1423" t="str">
        <f t="shared" si="5"/>
        <v/>
      </c>
      <c r="N165" s="1429"/>
      <c r="O165" s="1429"/>
      <c r="P165" s="1429"/>
      <c r="Q165" s="1438"/>
      <c r="R165" s="1438"/>
      <c r="S165" s="1438"/>
      <c r="T165" s="1438"/>
      <c r="U165" s="1438"/>
      <c r="V165" s="1443"/>
      <c r="W165" s="1417" t="s">
        <v>455</v>
      </c>
      <c r="X165" s="1417" t="s">
        <v>455</v>
      </c>
      <c r="Y165" s="1416" t="s">
        <v>455</v>
      </c>
      <c r="Z165" s="1479" t="s">
        <v>455</v>
      </c>
      <c r="AA165" s="1417"/>
    </row>
    <row r="166">
      <c r="A166" s="1404"/>
      <c r="B166" s="1424"/>
      <c r="C166" s="1473"/>
      <c r="D166" s="1476"/>
      <c r="E166" s="1477"/>
      <c r="F166" s="1446"/>
      <c r="G166" s="1448" t="str">
        <f>IFERROR(__xludf.DUMMYFUNCTION("""COMPUTED_VALUE"""),"")</f>
        <v/>
      </c>
      <c r="H166" s="1449" t="str">
        <f t="shared" si="3"/>
        <v/>
      </c>
      <c r="I166" s="1489" t="str">
        <f>IFERROR(__xludf.DUMMYFUNCTION("""COMPUTED_VALUE"""),"")</f>
        <v/>
      </c>
      <c r="J166" s="1449" t="str">
        <f t="shared" si="4"/>
        <v/>
      </c>
      <c r="K166" s="1510" t="str">
        <f t="array" ref="K166">IFERROR(LET(
  Labspeed, IF(F166="Labs Speed", 1+'Master Sheet'!$BK$5, LAB_SPEED_TOTAL()),
  Lab, MATCH(IF(ISNUMBER(SEARCH("Mastery", $F166)), "Card Mastery", $F166), DVT_Laboratory!B$1:AA$1, 0)-1,
  Offset, OFFSET(DVT_Laboratory!B$3, 0, Lab, 100, 1),
SUM(TIME_TO_RUSH_GEMS(
    XLOOKUP(INDEX($W$5:$W201, MATCH(F166, $V$5:$V201, 0))+1, SEQUENCE(100, 1, 1, 1), Offset, "N/F", 0, 1):
    XLOOKUP(INDEX($X$5:$X201, MATCH(F166, $V$5:$V201, 0)), SEQUENCE(100, 1, 1, 1), Offset, "N/F", 0, 1)/Labspeed, IDS_LAB_GODLBOXED_COUNT()))),"")</f>
        <v/>
      </c>
      <c r="L166" s="1510" t="str">
        <f t="array" ref="L166">IFERROR(LET(
  Labspeed, IF(F166="Labs Speed", 1+'Master Sheet'!$BK$5, LAB_SPEED_TOTAL()),
  Lab, MATCH(IF(ISNUMBER(SEARCH("Mastery", $F166)), "Card Mastery", $F166), DVT_Laboratory!B$1:AA$1, 0)-1,
  Offset, OFFSET(DVT_Laboratory!B$3, 0, Lab, 100, 1),
K166-SUM(TIME_TO_RUSH_GEMS(
    XLOOKUP(INDEX($W$5:$W201, MATCH(F166, $V$5:$V201, 0))+1, SEQUENCE(100, 1, 1, 1), Offset, "N/F", 0, 1):
    XLOOKUP(INDEX($X$5:$X201, MATCH(F166, $V$5:$V201, 0)), SEQUENCE(100, 1, 1, 1), Offset, "N/F", 0, 1)/Labspeed, IDS_LAB_GODLBOXED_COUNT()+1))),"")</f>
        <v/>
      </c>
      <c r="M166" s="1423" t="str">
        <f t="shared" si="5"/>
        <v/>
      </c>
      <c r="N166" s="1429"/>
      <c r="O166" s="1429"/>
      <c r="P166" s="1429"/>
      <c r="Q166" s="1438"/>
      <c r="R166" s="1438"/>
      <c r="S166" s="1438"/>
      <c r="T166" s="1438"/>
      <c r="U166" s="1438"/>
      <c r="V166" s="1443"/>
      <c r="W166" s="1417" t="s">
        <v>455</v>
      </c>
      <c r="X166" s="1417" t="s">
        <v>455</v>
      </c>
      <c r="Y166" s="1416" t="s">
        <v>455</v>
      </c>
      <c r="Z166" s="1479" t="s">
        <v>455</v>
      </c>
      <c r="AA166" s="1417"/>
    </row>
    <row r="167">
      <c r="A167" s="1404"/>
      <c r="B167" s="1424"/>
      <c r="C167" s="1473"/>
      <c r="D167" s="1476"/>
      <c r="E167" s="1477"/>
      <c r="F167" s="1446"/>
      <c r="G167" s="1448" t="str">
        <f>IFERROR(__xludf.DUMMYFUNCTION("""COMPUTED_VALUE"""),"")</f>
        <v/>
      </c>
      <c r="H167" s="1449" t="str">
        <f t="shared" si="3"/>
        <v/>
      </c>
      <c r="I167" s="1489" t="str">
        <f>IFERROR(__xludf.DUMMYFUNCTION("""COMPUTED_VALUE"""),"")</f>
        <v/>
      </c>
      <c r="J167" s="1449" t="str">
        <f t="shared" si="4"/>
        <v/>
      </c>
      <c r="K167" s="1510" t="str">
        <f t="array" ref="K167">IFERROR(LET(
  Labspeed, IF(F167="Labs Speed", 1+'Master Sheet'!$BK$5, LAB_SPEED_TOTAL()),
  Lab, MATCH(IF(ISNUMBER(SEARCH("Mastery", $F167)), "Card Mastery", $F167), DVT_Laboratory!B$1:AA$1, 0)-1,
  Offset, OFFSET(DVT_Laboratory!B$3, 0, Lab, 100, 1),
SUM(TIME_TO_RUSH_GEMS(
    XLOOKUP(INDEX($W$5:$W201, MATCH(F167, $V$5:$V201, 0))+1, SEQUENCE(100, 1, 1, 1), Offset, "N/F", 0, 1):
    XLOOKUP(INDEX($X$5:$X201, MATCH(F167, $V$5:$V201, 0)), SEQUENCE(100, 1, 1, 1), Offset, "N/F", 0, 1)/Labspeed, IDS_LAB_GODLBOXED_COUNT()))),"")</f>
        <v/>
      </c>
      <c r="L167" s="1510" t="str">
        <f t="array" ref="L167">IFERROR(LET(
  Labspeed, IF(F167="Labs Speed", 1+'Master Sheet'!$BK$5, LAB_SPEED_TOTAL()),
  Lab, MATCH(IF(ISNUMBER(SEARCH("Mastery", $F167)), "Card Mastery", $F167), DVT_Laboratory!B$1:AA$1, 0)-1,
  Offset, OFFSET(DVT_Laboratory!B$3, 0, Lab, 100, 1),
K167-SUM(TIME_TO_RUSH_GEMS(
    XLOOKUP(INDEX($W$5:$W201, MATCH(F167, $V$5:$V201, 0))+1, SEQUENCE(100, 1, 1, 1), Offset, "N/F", 0, 1):
    XLOOKUP(INDEX($X$5:$X201, MATCH(F167, $V$5:$V201, 0)), SEQUENCE(100, 1, 1, 1), Offset, "N/F", 0, 1)/Labspeed, IDS_LAB_GODLBOXED_COUNT()+1))),"")</f>
        <v/>
      </c>
      <c r="M167" s="1423" t="str">
        <f t="shared" si="5"/>
        <v/>
      </c>
      <c r="N167" s="1429"/>
      <c r="O167" s="1429"/>
      <c r="P167" s="1429"/>
      <c r="Q167" s="1438"/>
      <c r="R167" s="1438"/>
      <c r="S167" s="1438"/>
      <c r="T167" s="1438"/>
      <c r="U167" s="1438"/>
      <c r="V167" s="1443"/>
      <c r="W167" s="1417" t="s">
        <v>455</v>
      </c>
      <c r="X167" s="1417" t="s">
        <v>455</v>
      </c>
      <c r="Y167" s="1416" t="s">
        <v>455</v>
      </c>
      <c r="Z167" s="1479" t="s">
        <v>455</v>
      </c>
      <c r="AA167" s="1417"/>
    </row>
    <row r="168">
      <c r="A168" s="1404"/>
      <c r="B168" s="1424"/>
      <c r="C168" s="1473"/>
      <c r="D168" s="1476"/>
      <c r="E168" s="1477"/>
      <c r="F168" s="1446"/>
      <c r="G168" s="1448" t="str">
        <f>IFERROR(__xludf.DUMMYFUNCTION("""COMPUTED_VALUE"""),"")</f>
        <v/>
      </c>
      <c r="H168" s="1449" t="str">
        <f t="shared" si="3"/>
        <v/>
      </c>
      <c r="I168" s="1489" t="str">
        <f>IFERROR(__xludf.DUMMYFUNCTION("""COMPUTED_VALUE"""),"")</f>
        <v/>
      </c>
      <c r="J168" s="1449" t="str">
        <f t="shared" si="4"/>
        <v/>
      </c>
      <c r="K168" s="1510" t="str">
        <f t="array" ref="K168">IFERROR(LET(
  Labspeed, IF(F168="Labs Speed", 1+'Master Sheet'!$BK$5, LAB_SPEED_TOTAL()),
  Lab, MATCH(IF(ISNUMBER(SEARCH("Mastery", $F168)), "Card Mastery", $F168), DVT_Laboratory!B$1:AA$1, 0)-1,
  Offset, OFFSET(DVT_Laboratory!B$3, 0, Lab, 100, 1),
SUM(TIME_TO_RUSH_GEMS(
    XLOOKUP(INDEX($W$5:$W201, MATCH(F168, $V$5:$V201, 0))+1, SEQUENCE(100, 1, 1, 1), Offset, "N/F", 0, 1):
    XLOOKUP(INDEX($X$5:$X201, MATCH(F168, $V$5:$V201, 0)), SEQUENCE(100, 1, 1, 1), Offset, "N/F", 0, 1)/Labspeed, IDS_LAB_GODLBOXED_COUNT()))),"")</f>
        <v/>
      </c>
      <c r="L168" s="1510" t="str">
        <f t="array" ref="L168">IFERROR(LET(
  Labspeed, IF(F168="Labs Speed", 1+'Master Sheet'!$BK$5, LAB_SPEED_TOTAL()),
  Lab, MATCH(IF(ISNUMBER(SEARCH("Mastery", $F168)), "Card Mastery", $F168), DVT_Laboratory!B$1:AA$1, 0)-1,
  Offset, OFFSET(DVT_Laboratory!B$3, 0, Lab, 100, 1),
K168-SUM(TIME_TO_RUSH_GEMS(
    XLOOKUP(INDEX($W$5:$W201, MATCH(F168, $V$5:$V201, 0))+1, SEQUENCE(100, 1, 1, 1), Offset, "N/F", 0, 1):
    XLOOKUP(INDEX($X$5:$X201, MATCH(F168, $V$5:$V201, 0)), SEQUENCE(100, 1, 1, 1), Offset, "N/F", 0, 1)/Labspeed, IDS_LAB_GODLBOXED_COUNT()+1))),"")</f>
        <v/>
      </c>
      <c r="M168" s="1423" t="str">
        <f t="shared" si="5"/>
        <v/>
      </c>
      <c r="N168" s="1429"/>
      <c r="O168" s="1429"/>
      <c r="P168" s="1429"/>
      <c r="Q168" s="1438"/>
      <c r="R168" s="1438"/>
      <c r="S168" s="1438"/>
      <c r="T168" s="1438"/>
      <c r="U168" s="1438"/>
      <c r="V168" s="1443"/>
      <c r="W168" s="1417" t="s">
        <v>455</v>
      </c>
      <c r="X168" s="1417" t="s">
        <v>455</v>
      </c>
      <c r="Y168" s="1416" t="s">
        <v>455</v>
      </c>
      <c r="Z168" s="1479" t="s">
        <v>455</v>
      </c>
      <c r="AA168" s="1417"/>
    </row>
    <row r="169">
      <c r="A169" s="1404"/>
      <c r="B169" s="1424"/>
      <c r="C169" s="1473"/>
      <c r="D169" s="1476"/>
      <c r="E169" s="1477"/>
      <c r="F169" s="1446"/>
      <c r="G169" s="1448" t="str">
        <f>IFERROR(__xludf.DUMMYFUNCTION("""COMPUTED_VALUE"""),"")</f>
        <v/>
      </c>
      <c r="H169" s="1449" t="str">
        <f t="shared" si="3"/>
        <v/>
      </c>
      <c r="I169" s="1489" t="str">
        <f>IFERROR(__xludf.DUMMYFUNCTION("""COMPUTED_VALUE"""),"")</f>
        <v/>
      </c>
      <c r="J169" s="1449" t="str">
        <f t="shared" si="4"/>
        <v/>
      </c>
      <c r="K169" s="1510" t="str">
        <f t="array" ref="K169">IFERROR(LET(
  Labspeed, IF(F169="Labs Speed", 1+'Master Sheet'!$BK$5, LAB_SPEED_TOTAL()),
  Lab, MATCH(IF(ISNUMBER(SEARCH("Mastery", $F169)), "Card Mastery", $F169), DVT_Laboratory!B$1:AA$1, 0)-1,
  Offset, OFFSET(DVT_Laboratory!B$3, 0, Lab, 100, 1),
SUM(TIME_TO_RUSH_GEMS(
    XLOOKUP(INDEX($W$5:$W201, MATCH(F169, $V$5:$V201, 0))+1, SEQUENCE(100, 1, 1, 1), Offset, "N/F", 0, 1):
    XLOOKUP(INDEX($X$5:$X201, MATCH(F169, $V$5:$V201, 0)), SEQUENCE(100, 1, 1, 1), Offset, "N/F", 0, 1)/Labspeed, IDS_LAB_GODLBOXED_COUNT()))),"")</f>
        <v/>
      </c>
      <c r="L169" s="1510" t="str">
        <f t="array" ref="L169">IFERROR(LET(
  Labspeed, IF(F169="Labs Speed", 1+'Master Sheet'!$BK$5, LAB_SPEED_TOTAL()),
  Lab, MATCH(IF(ISNUMBER(SEARCH("Mastery", $F169)), "Card Mastery", $F169), DVT_Laboratory!B$1:AA$1, 0)-1,
  Offset, OFFSET(DVT_Laboratory!B$3, 0, Lab, 100, 1),
K169-SUM(TIME_TO_RUSH_GEMS(
    XLOOKUP(INDEX($W$5:$W201, MATCH(F169, $V$5:$V201, 0))+1, SEQUENCE(100, 1, 1, 1), Offset, "N/F", 0, 1):
    XLOOKUP(INDEX($X$5:$X201, MATCH(F169, $V$5:$V201, 0)), SEQUENCE(100, 1, 1, 1), Offset, "N/F", 0, 1)/Labspeed, IDS_LAB_GODLBOXED_COUNT()+1))),"")</f>
        <v/>
      </c>
      <c r="M169" s="1423" t="str">
        <f t="shared" si="5"/>
        <v/>
      </c>
      <c r="N169" s="1429"/>
      <c r="O169" s="1429"/>
      <c r="P169" s="1429"/>
      <c r="Q169" s="1438"/>
      <c r="R169" s="1438"/>
      <c r="S169" s="1438"/>
      <c r="T169" s="1438"/>
      <c r="U169" s="1438"/>
      <c r="V169" s="1443"/>
      <c r="W169" s="1417" t="s">
        <v>455</v>
      </c>
      <c r="X169" s="1417" t="s">
        <v>455</v>
      </c>
      <c r="Y169" s="1416" t="s">
        <v>455</v>
      </c>
      <c r="Z169" s="1479" t="s">
        <v>455</v>
      </c>
      <c r="AA169" s="1417"/>
    </row>
    <row r="170">
      <c r="A170" s="1404"/>
      <c r="B170" s="1424"/>
      <c r="C170" s="1473"/>
      <c r="D170" s="1476"/>
      <c r="E170" s="1477"/>
      <c r="F170" s="1446"/>
      <c r="G170" s="1448" t="str">
        <f>IFERROR(__xludf.DUMMYFUNCTION("""COMPUTED_VALUE"""),"")</f>
        <v/>
      </c>
      <c r="H170" s="1449" t="str">
        <f t="shared" si="3"/>
        <v/>
      </c>
      <c r="I170" s="1489" t="str">
        <f>IFERROR(__xludf.DUMMYFUNCTION("""COMPUTED_VALUE"""),"")</f>
        <v/>
      </c>
      <c r="J170" s="1449" t="str">
        <f t="shared" si="4"/>
        <v/>
      </c>
      <c r="K170" s="1510" t="str">
        <f t="array" ref="K170">IFERROR(LET(
  Labspeed, IF(F170="Labs Speed", 1+'Master Sheet'!$BK$5, LAB_SPEED_TOTAL()),
  Lab, MATCH(IF(ISNUMBER(SEARCH("Mastery", $F170)), "Card Mastery", $F170), DVT_Laboratory!B$1:AA$1, 0)-1,
  Offset, OFFSET(DVT_Laboratory!B$3, 0, Lab, 100, 1),
SUM(TIME_TO_RUSH_GEMS(
    XLOOKUP(INDEX($W$5:$W201, MATCH(F170, $V$5:$V201, 0))+1, SEQUENCE(100, 1, 1, 1), Offset, "N/F", 0, 1):
    XLOOKUP(INDEX($X$5:$X201, MATCH(F170, $V$5:$V201, 0)), SEQUENCE(100, 1, 1, 1), Offset, "N/F", 0, 1)/Labspeed, IDS_LAB_GODLBOXED_COUNT()))),"")</f>
        <v/>
      </c>
      <c r="L170" s="1510" t="str">
        <f t="array" ref="L170">IFERROR(LET(
  Labspeed, IF(F170="Labs Speed", 1+'Master Sheet'!$BK$5, LAB_SPEED_TOTAL()),
  Lab, MATCH(IF(ISNUMBER(SEARCH("Mastery", $F170)), "Card Mastery", $F170), DVT_Laboratory!B$1:AA$1, 0)-1,
  Offset, OFFSET(DVT_Laboratory!B$3, 0, Lab, 100, 1),
K170-SUM(TIME_TO_RUSH_GEMS(
    XLOOKUP(INDEX($W$5:$W201, MATCH(F170, $V$5:$V201, 0))+1, SEQUENCE(100, 1, 1, 1), Offset, "N/F", 0, 1):
    XLOOKUP(INDEX($X$5:$X201, MATCH(F170, $V$5:$V201, 0)), SEQUENCE(100, 1, 1, 1), Offset, "N/F", 0, 1)/Labspeed, IDS_LAB_GODLBOXED_COUNT()+1))),"")</f>
        <v/>
      </c>
      <c r="M170" s="1423" t="str">
        <f t="shared" si="5"/>
        <v/>
      </c>
      <c r="N170" s="1429"/>
      <c r="O170" s="1429"/>
      <c r="P170" s="1429"/>
      <c r="Q170" s="1438"/>
      <c r="R170" s="1438"/>
      <c r="S170" s="1438"/>
      <c r="T170" s="1438"/>
      <c r="U170" s="1438"/>
      <c r="V170" s="1443"/>
      <c r="W170" s="1417" t="s">
        <v>455</v>
      </c>
      <c r="X170" s="1417" t="s">
        <v>455</v>
      </c>
      <c r="Y170" s="1416" t="s">
        <v>455</v>
      </c>
      <c r="Z170" s="1479" t="s">
        <v>455</v>
      </c>
      <c r="AA170" s="1417"/>
    </row>
    <row r="171">
      <c r="A171" s="1404"/>
      <c r="B171" s="1424"/>
      <c r="C171" s="1473"/>
      <c r="D171" s="1476"/>
      <c r="E171" s="1477"/>
      <c r="F171" s="1446"/>
      <c r="G171" s="1448" t="str">
        <f>IFERROR(__xludf.DUMMYFUNCTION("""COMPUTED_VALUE"""),"")</f>
        <v/>
      </c>
      <c r="H171" s="1449" t="str">
        <f t="shared" si="3"/>
        <v/>
      </c>
      <c r="I171" s="1489" t="str">
        <f>IFERROR(__xludf.DUMMYFUNCTION("""COMPUTED_VALUE"""),"")</f>
        <v/>
      </c>
      <c r="J171" s="1449" t="str">
        <f t="shared" si="4"/>
        <v/>
      </c>
      <c r="K171" s="1510" t="str">
        <f t="array" ref="K171">IFERROR(LET(
  Labspeed, IF(F171="Labs Speed", 1+'Master Sheet'!$BK$5, LAB_SPEED_TOTAL()),
  Lab, MATCH(IF(ISNUMBER(SEARCH("Mastery", $F171)), "Card Mastery", $F171), DVT_Laboratory!B$1:AA$1, 0)-1,
  Offset, OFFSET(DVT_Laboratory!B$3, 0, Lab, 100, 1),
SUM(TIME_TO_RUSH_GEMS(
    XLOOKUP(INDEX($W$5:$W201, MATCH(F171, $V$5:$V201, 0))+1, SEQUENCE(100, 1, 1, 1), Offset, "N/F", 0, 1):
    XLOOKUP(INDEX($X$5:$X201, MATCH(F171, $V$5:$V201, 0)), SEQUENCE(100, 1, 1, 1), Offset, "N/F", 0, 1)/Labspeed, IDS_LAB_GODLBOXED_COUNT()))),"")</f>
        <v/>
      </c>
      <c r="L171" s="1510" t="str">
        <f t="array" ref="L171">IFERROR(LET(
  Labspeed, IF(F171="Labs Speed", 1+'Master Sheet'!$BK$5, LAB_SPEED_TOTAL()),
  Lab, MATCH(IF(ISNUMBER(SEARCH("Mastery", $F171)), "Card Mastery", $F171), DVT_Laboratory!B$1:AA$1, 0)-1,
  Offset, OFFSET(DVT_Laboratory!B$3, 0, Lab, 100, 1),
K171-SUM(TIME_TO_RUSH_GEMS(
    XLOOKUP(INDEX($W$5:$W201, MATCH(F171, $V$5:$V201, 0))+1, SEQUENCE(100, 1, 1, 1), Offset, "N/F", 0, 1):
    XLOOKUP(INDEX($X$5:$X201, MATCH(F171, $V$5:$V201, 0)), SEQUENCE(100, 1, 1, 1), Offset, "N/F", 0, 1)/Labspeed, IDS_LAB_GODLBOXED_COUNT()+1))),"")</f>
        <v/>
      </c>
      <c r="M171" s="1423" t="str">
        <f t="shared" si="5"/>
        <v/>
      </c>
      <c r="N171" s="1429"/>
      <c r="O171" s="1429"/>
      <c r="P171" s="1429"/>
      <c r="Q171" s="1438"/>
      <c r="R171" s="1438"/>
      <c r="S171" s="1438"/>
      <c r="T171" s="1438"/>
      <c r="U171" s="1438"/>
      <c r="V171" s="1443"/>
      <c r="W171" s="1417" t="s">
        <v>455</v>
      </c>
      <c r="X171" s="1417" t="s">
        <v>455</v>
      </c>
      <c r="Y171" s="1416" t="s">
        <v>455</v>
      </c>
      <c r="Z171" s="1479" t="s">
        <v>455</v>
      </c>
      <c r="AA171" s="1417"/>
    </row>
    <row r="172">
      <c r="A172" s="1404"/>
      <c r="B172" s="1424"/>
      <c r="C172" s="1473"/>
      <c r="D172" s="1476"/>
      <c r="E172" s="1477"/>
      <c r="F172" s="1446"/>
      <c r="G172" s="1448" t="str">
        <f>IFERROR(__xludf.DUMMYFUNCTION("""COMPUTED_VALUE"""),"")</f>
        <v/>
      </c>
      <c r="H172" s="1449" t="str">
        <f t="shared" si="3"/>
        <v/>
      </c>
      <c r="I172" s="1489" t="str">
        <f>IFERROR(__xludf.DUMMYFUNCTION("""COMPUTED_VALUE"""),"")</f>
        <v/>
      </c>
      <c r="J172" s="1449" t="str">
        <f t="shared" si="4"/>
        <v/>
      </c>
      <c r="K172" s="1510" t="str">
        <f t="array" ref="K172">IFERROR(LET(
  Labspeed, IF(F172="Labs Speed", 1+'Master Sheet'!$BK$5, LAB_SPEED_TOTAL()),
  Lab, MATCH(IF(ISNUMBER(SEARCH("Mastery", $F172)), "Card Mastery", $F172), DVT_Laboratory!B$1:AA$1, 0)-1,
  Offset, OFFSET(DVT_Laboratory!B$3, 0, Lab, 100, 1),
SUM(TIME_TO_RUSH_GEMS(
    XLOOKUP(INDEX($W$5:$W201, MATCH(F172, $V$5:$V201, 0))+1, SEQUENCE(100, 1, 1, 1), Offset, "N/F", 0, 1):
    XLOOKUP(INDEX($X$5:$X201, MATCH(F172, $V$5:$V201, 0)), SEQUENCE(100, 1, 1, 1), Offset, "N/F", 0, 1)/Labspeed, IDS_LAB_GODLBOXED_COUNT()))),"")</f>
        <v/>
      </c>
      <c r="L172" s="1510" t="str">
        <f t="array" ref="L172">IFERROR(LET(
  Labspeed, IF(F172="Labs Speed", 1+'Master Sheet'!$BK$5, LAB_SPEED_TOTAL()),
  Lab, MATCH(IF(ISNUMBER(SEARCH("Mastery", $F172)), "Card Mastery", $F172), DVT_Laboratory!B$1:AA$1, 0)-1,
  Offset, OFFSET(DVT_Laboratory!B$3, 0, Lab, 100, 1),
K172-SUM(TIME_TO_RUSH_GEMS(
    XLOOKUP(INDEX($W$5:$W201, MATCH(F172, $V$5:$V201, 0))+1, SEQUENCE(100, 1, 1, 1), Offset, "N/F", 0, 1):
    XLOOKUP(INDEX($X$5:$X201, MATCH(F172, $V$5:$V201, 0)), SEQUENCE(100, 1, 1, 1), Offset, "N/F", 0, 1)/Labspeed, IDS_LAB_GODLBOXED_COUNT()+1))),"")</f>
        <v/>
      </c>
      <c r="M172" s="1423" t="str">
        <f t="shared" si="5"/>
        <v/>
      </c>
      <c r="N172" s="1429"/>
      <c r="O172" s="1429"/>
      <c r="P172" s="1429"/>
      <c r="Q172" s="1438"/>
      <c r="R172" s="1438"/>
      <c r="S172" s="1438"/>
      <c r="T172" s="1438"/>
      <c r="U172" s="1438"/>
      <c r="V172" s="1443"/>
      <c r="W172" s="1417" t="s">
        <v>455</v>
      </c>
      <c r="X172" s="1417" t="s">
        <v>455</v>
      </c>
      <c r="Y172" s="1416" t="s">
        <v>455</v>
      </c>
      <c r="Z172" s="1479" t="s">
        <v>455</v>
      </c>
      <c r="AA172" s="1417"/>
    </row>
    <row r="173">
      <c r="A173" s="1404"/>
      <c r="B173" s="1424"/>
      <c r="C173" s="1473"/>
      <c r="D173" s="1476"/>
      <c r="E173" s="1477"/>
      <c r="F173" s="1446"/>
      <c r="G173" s="1448" t="str">
        <f>IFERROR(__xludf.DUMMYFUNCTION("""COMPUTED_VALUE"""),"")</f>
        <v/>
      </c>
      <c r="H173" s="1449" t="str">
        <f t="shared" si="3"/>
        <v/>
      </c>
      <c r="I173" s="1489" t="str">
        <f>IFERROR(__xludf.DUMMYFUNCTION("""COMPUTED_VALUE"""),"")</f>
        <v/>
      </c>
      <c r="J173" s="1449" t="str">
        <f t="shared" si="4"/>
        <v/>
      </c>
      <c r="K173" s="1510" t="str">
        <f t="array" ref="K173">IFERROR(LET(
  Labspeed, IF(F173="Labs Speed", 1+'Master Sheet'!$BK$5, LAB_SPEED_TOTAL()),
  Lab, MATCH(IF(ISNUMBER(SEARCH("Mastery", $F173)), "Card Mastery", $F173), DVT_Laboratory!B$1:AA$1, 0)-1,
  Offset, OFFSET(DVT_Laboratory!B$3, 0, Lab, 100, 1),
SUM(TIME_TO_RUSH_GEMS(
    XLOOKUP(INDEX($W$5:$W201, MATCH(F173, $V$5:$V201, 0))+1, SEQUENCE(100, 1, 1, 1), Offset, "N/F", 0, 1):
    XLOOKUP(INDEX($X$5:$X201, MATCH(F173, $V$5:$V201, 0)), SEQUENCE(100, 1, 1, 1), Offset, "N/F", 0, 1)/Labspeed, IDS_LAB_GODLBOXED_COUNT()))),"")</f>
        <v/>
      </c>
      <c r="L173" s="1510" t="str">
        <f t="array" ref="L173">IFERROR(LET(
  Labspeed, IF(F173="Labs Speed", 1+'Master Sheet'!$BK$5, LAB_SPEED_TOTAL()),
  Lab, MATCH(IF(ISNUMBER(SEARCH("Mastery", $F173)), "Card Mastery", $F173), DVT_Laboratory!B$1:AA$1, 0)-1,
  Offset, OFFSET(DVT_Laboratory!B$3, 0, Lab, 100, 1),
K173-SUM(TIME_TO_RUSH_GEMS(
    XLOOKUP(INDEX($W$5:$W201, MATCH(F173, $V$5:$V201, 0))+1, SEQUENCE(100, 1, 1, 1), Offset, "N/F", 0, 1):
    XLOOKUP(INDEX($X$5:$X201, MATCH(F173, $V$5:$V201, 0)), SEQUENCE(100, 1, 1, 1), Offset, "N/F", 0, 1)/Labspeed, IDS_LAB_GODLBOXED_COUNT()+1))),"")</f>
        <v/>
      </c>
      <c r="M173" s="1423" t="str">
        <f t="shared" si="5"/>
        <v/>
      </c>
      <c r="N173" s="1429"/>
      <c r="O173" s="1429"/>
      <c r="P173" s="1429"/>
      <c r="Q173" s="1438"/>
      <c r="R173" s="1438"/>
      <c r="S173" s="1438"/>
      <c r="T173" s="1438"/>
      <c r="U173" s="1438"/>
      <c r="V173" s="1443"/>
      <c r="W173" s="1417" t="s">
        <v>455</v>
      </c>
      <c r="X173" s="1417" t="s">
        <v>455</v>
      </c>
      <c r="Y173" s="1416" t="s">
        <v>455</v>
      </c>
      <c r="Z173" s="1479" t="s">
        <v>455</v>
      </c>
      <c r="AA173" s="1417"/>
    </row>
    <row r="174">
      <c r="A174" s="1404"/>
      <c r="B174" s="1424"/>
      <c r="C174" s="1473"/>
      <c r="D174" s="1476"/>
      <c r="E174" s="1477"/>
      <c r="F174" s="1446"/>
      <c r="G174" s="1448" t="str">
        <f>IFERROR(__xludf.DUMMYFUNCTION("""COMPUTED_VALUE"""),"")</f>
        <v/>
      </c>
      <c r="H174" s="1449" t="str">
        <f t="shared" si="3"/>
        <v/>
      </c>
      <c r="I174" s="1489" t="str">
        <f>IFERROR(__xludf.DUMMYFUNCTION("""COMPUTED_VALUE"""),"")</f>
        <v/>
      </c>
      <c r="J174" s="1449" t="str">
        <f t="shared" si="4"/>
        <v/>
      </c>
      <c r="K174" s="1510" t="str">
        <f t="array" ref="K174">IFERROR(LET(
  Labspeed, IF(F174="Labs Speed", 1+'Master Sheet'!$BK$5, LAB_SPEED_TOTAL()),
  Lab, MATCH(IF(ISNUMBER(SEARCH("Mastery", $F174)), "Card Mastery", $F174), DVT_Laboratory!B$1:AA$1, 0)-1,
  Offset, OFFSET(DVT_Laboratory!B$3, 0, Lab, 100, 1),
SUM(TIME_TO_RUSH_GEMS(
    XLOOKUP(INDEX($W$5:$W201, MATCH(F174, $V$5:$V201, 0))+1, SEQUENCE(100, 1, 1, 1), Offset, "N/F", 0, 1):
    XLOOKUP(INDEX($X$5:$X201, MATCH(F174, $V$5:$V201, 0)), SEQUENCE(100, 1, 1, 1), Offset, "N/F", 0, 1)/Labspeed, IDS_LAB_GODLBOXED_COUNT()))),"")</f>
        <v/>
      </c>
      <c r="L174" s="1510" t="str">
        <f t="array" ref="L174">IFERROR(LET(
  Labspeed, IF(F174="Labs Speed", 1+'Master Sheet'!$BK$5, LAB_SPEED_TOTAL()),
  Lab, MATCH(IF(ISNUMBER(SEARCH("Mastery", $F174)), "Card Mastery", $F174), DVT_Laboratory!B$1:AA$1, 0)-1,
  Offset, OFFSET(DVT_Laboratory!B$3, 0, Lab, 100, 1),
K174-SUM(TIME_TO_RUSH_GEMS(
    XLOOKUP(INDEX($W$5:$W201, MATCH(F174, $V$5:$V201, 0))+1, SEQUENCE(100, 1, 1, 1), Offset, "N/F", 0, 1):
    XLOOKUP(INDEX($X$5:$X201, MATCH(F174, $V$5:$V201, 0)), SEQUENCE(100, 1, 1, 1), Offset, "N/F", 0, 1)/Labspeed, IDS_LAB_GODLBOXED_COUNT()+1))),"")</f>
        <v/>
      </c>
      <c r="M174" s="1423" t="str">
        <f t="shared" si="5"/>
        <v/>
      </c>
      <c r="N174" s="1429"/>
      <c r="O174" s="1429"/>
      <c r="P174" s="1429"/>
      <c r="Q174" s="1438"/>
      <c r="R174" s="1438"/>
      <c r="S174" s="1438"/>
      <c r="T174" s="1438"/>
      <c r="U174" s="1438"/>
      <c r="V174" s="1443"/>
      <c r="W174" s="1417" t="s">
        <v>455</v>
      </c>
      <c r="X174" s="1417" t="s">
        <v>455</v>
      </c>
      <c r="Y174" s="1416" t="s">
        <v>455</v>
      </c>
      <c r="Z174" s="1479" t="s">
        <v>455</v>
      </c>
      <c r="AA174" s="1417"/>
    </row>
    <row r="175">
      <c r="A175" s="1404"/>
      <c r="B175" s="1424"/>
      <c r="C175" s="1473"/>
      <c r="D175" s="1476"/>
      <c r="E175" s="1477"/>
      <c r="F175" s="1446"/>
      <c r="G175" s="1448" t="str">
        <f>IFERROR(__xludf.DUMMYFUNCTION("""COMPUTED_VALUE"""),"")</f>
        <v/>
      </c>
      <c r="H175" s="1449" t="str">
        <f t="shared" si="3"/>
        <v/>
      </c>
      <c r="I175" s="1489" t="str">
        <f>IFERROR(__xludf.DUMMYFUNCTION("""COMPUTED_VALUE"""),"")</f>
        <v/>
      </c>
      <c r="J175" s="1449" t="str">
        <f t="shared" si="4"/>
        <v/>
      </c>
      <c r="K175" s="1510" t="str">
        <f t="array" ref="K175">IFERROR(LET(
  Labspeed, IF(F175="Labs Speed", 1+'Master Sheet'!$BK$5, LAB_SPEED_TOTAL()),
  Lab, MATCH(IF(ISNUMBER(SEARCH("Mastery", $F175)), "Card Mastery", $F175), DVT_Laboratory!B$1:AA$1, 0)-1,
  Offset, OFFSET(DVT_Laboratory!B$3, 0, Lab, 100, 1),
SUM(TIME_TO_RUSH_GEMS(
    XLOOKUP(INDEX($W$5:$W201, MATCH(F175, $V$5:$V201, 0))+1, SEQUENCE(100, 1, 1, 1), Offset, "N/F", 0, 1):
    XLOOKUP(INDEX($X$5:$X201, MATCH(F175, $V$5:$V201, 0)), SEQUENCE(100, 1, 1, 1), Offset, "N/F", 0, 1)/Labspeed, IDS_LAB_GODLBOXED_COUNT()))),"")</f>
        <v/>
      </c>
      <c r="L175" s="1510" t="str">
        <f t="array" ref="L175">IFERROR(LET(
  Labspeed, IF(F175="Labs Speed", 1+'Master Sheet'!$BK$5, LAB_SPEED_TOTAL()),
  Lab, MATCH(IF(ISNUMBER(SEARCH("Mastery", $F175)), "Card Mastery", $F175), DVT_Laboratory!B$1:AA$1, 0)-1,
  Offset, OFFSET(DVT_Laboratory!B$3, 0, Lab, 100, 1),
K175-SUM(TIME_TO_RUSH_GEMS(
    XLOOKUP(INDEX($W$5:$W201, MATCH(F175, $V$5:$V201, 0))+1, SEQUENCE(100, 1, 1, 1), Offset, "N/F", 0, 1):
    XLOOKUP(INDEX($X$5:$X201, MATCH(F175, $V$5:$V201, 0)), SEQUENCE(100, 1, 1, 1), Offset, "N/F", 0, 1)/Labspeed, IDS_LAB_GODLBOXED_COUNT()+1))),"")</f>
        <v/>
      </c>
      <c r="M175" s="1423" t="str">
        <f t="shared" si="5"/>
        <v/>
      </c>
      <c r="N175" s="1429"/>
      <c r="O175" s="1429"/>
      <c r="P175" s="1429"/>
      <c r="Q175" s="1438"/>
      <c r="R175" s="1438"/>
      <c r="S175" s="1438"/>
      <c r="T175" s="1438"/>
      <c r="U175" s="1438"/>
      <c r="V175" s="1443"/>
      <c r="W175" s="1417" t="s">
        <v>455</v>
      </c>
      <c r="X175" s="1417" t="s">
        <v>455</v>
      </c>
      <c r="Y175" s="1416" t="s">
        <v>455</v>
      </c>
      <c r="Z175" s="1479" t="s">
        <v>455</v>
      </c>
      <c r="AA175" s="1417"/>
    </row>
    <row r="176">
      <c r="A176" s="1404"/>
      <c r="B176" s="1424"/>
      <c r="C176" s="1473"/>
      <c r="D176" s="1476"/>
      <c r="E176" s="1477"/>
      <c r="F176" s="1446"/>
      <c r="G176" s="1448" t="str">
        <f>IFERROR(__xludf.DUMMYFUNCTION("""COMPUTED_VALUE"""),"")</f>
        <v/>
      </c>
      <c r="H176" s="1449" t="str">
        <f t="shared" si="3"/>
        <v/>
      </c>
      <c r="I176" s="1489" t="str">
        <f>IFERROR(__xludf.DUMMYFUNCTION("""COMPUTED_VALUE"""),"")</f>
        <v/>
      </c>
      <c r="J176" s="1449" t="str">
        <f t="shared" si="4"/>
        <v/>
      </c>
      <c r="K176" s="1510" t="str">
        <f t="array" ref="K176">IFERROR(LET(
  Labspeed, IF(F176="Labs Speed", 1+'Master Sheet'!$BK$5, LAB_SPEED_TOTAL()),
  Lab, MATCH(IF(ISNUMBER(SEARCH("Mastery", $F176)), "Card Mastery", $F176), DVT_Laboratory!B$1:AA$1, 0)-1,
  Offset, OFFSET(DVT_Laboratory!B$3, 0, Lab, 100, 1),
SUM(TIME_TO_RUSH_GEMS(
    XLOOKUP(INDEX($W$5:$W201, MATCH(F176, $V$5:$V201, 0))+1, SEQUENCE(100, 1, 1, 1), Offset, "N/F", 0, 1):
    XLOOKUP(INDEX($X$5:$X201, MATCH(F176, $V$5:$V201, 0)), SEQUENCE(100, 1, 1, 1), Offset, "N/F", 0, 1)/Labspeed, IDS_LAB_GODLBOXED_COUNT()))),"")</f>
        <v/>
      </c>
      <c r="L176" s="1510" t="str">
        <f t="array" ref="L176">IFERROR(LET(
  Labspeed, IF(F176="Labs Speed", 1+'Master Sheet'!$BK$5, LAB_SPEED_TOTAL()),
  Lab, MATCH(IF(ISNUMBER(SEARCH("Mastery", $F176)), "Card Mastery", $F176), DVT_Laboratory!B$1:AA$1, 0)-1,
  Offset, OFFSET(DVT_Laboratory!B$3, 0, Lab, 100, 1),
K176-SUM(TIME_TO_RUSH_GEMS(
    XLOOKUP(INDEX($W$5:$W201, MATCH(F176, $V$5:$V201, 0))+1, SEQUENCE(100, 1, 1, 1), Offset, "N/F", 0, 1):
    XLOOKUP(INDEX($X$5:$X201, MATCH(F176, $V$5:$V201, 0)), SEQUENCE(100, 1, 1, 1), Offset, "N/F", 0, 1)/Labspeed, IDS_LAB_GODLBOXED_COUNT()+1))),"")</f>
        <v/>
      </c>
      <c r="M176" s="1423" t="str">
        <f t="shared" si="5"/>
        <v/>
      </c>
      <c r="N176" s="1429"/>
      <c r="O176" s="1429"/>
      <c r="P176" s="1429"/>
      <c r="Q176" s="1438"/>
      <c r="R176" s="1438"/>
      <c r="S176" s="1438"/>
      <c r="T176" s="1438"/>
      <c r="U176" s="1438"/>
      <c r="V176" s="1443"/>
      <c r="W176" s="1417" t="s">
        <v>455</v>
      </c>
      <c r="X176" s="1417" t="s">
        <v>455</v>
      </c>
      <c r="Y176" s="1416" t="s">
        <v>455</v>
      </c>
      <c r="Z176" s="1479" t="s">
        <v>455</v>
      </c>
      <c r="AA176" s="1417"/>
    </row>
    <row r="177">
      <c r="A177" s="1404"/>
      <c r="B177" s="1424"/>
      <c r="C177" s="1473"/>
      <c r="D177" s="1476"/>
      <c r="E177" s="1477"/>
      <c r="F177" s="1446"/>
      <c r="G177" s="1448" t="str">
        <f>IFERROR(__xludf.DUMMYFUNCTION("""COMPUTED_VALUE"""),"")</f>
        <v/>
      </c>
      <c r="H177" s="1449" t="str">
        <f t="shared" si="3"/>
        <v/>
      </c>
      <c r="I177" s="1489" t="str">
        <f>IFERROR(__xludf.DUMMYFUNCTION("""COMPUTED_VALUE"""),"")</f>
        <v/>
      </c>
      <c r="J177" s="1449" t="str">
        <f t="shared" si="4"/>
        <v/>
      </c>
      <c r="K177" s="1510" t="str">
        <f t="array" ref="K177">IFERROR(LET(
  Labspeed, IF(F177="Labs Speed", 1+'Master Sheet'!$BK$5, LAB_SPEED_TOTAL()),
  Lab, MATCH(IF(ISNUMBER(SEARCH("Mastery", $F177)), "Card Mastery", $F177), DVT_Laboratory!B$1:AA$1, 0)-1,
  Offset, OFFSET(DVT_Laboratory!B$3, 0, Lab, 100, 1),
SUM(TIME_TO_RUSH_GEMS(
    XLOOKUP(INDEX($W$5:$W201, MATCH(F177, $V$5:$V201, 0))+1, SEQUENCE(100, 1, 1, 1), Offset, "N/F", 0, 1):
    XLOOKUP(INDEX($X$5:$X201, MATCH(F177, $V$5:$V201, 0)), SEQUENCE(100, 1, 1, 1), Offset, "N/F", 0, 1)/Labspeed, IDS_LAB_GODLBOXED_COUNT()))),"")</f>
        <v/>
      </c>
      <c r="L177" s="1510" t="str">
        <f t="array" ref="L177">IFERROR(LET(
  Labspeed, IF(F177="Labs Speed", 1+'Master Sheet'!$BK$5, LAB_SPEED_TOTAL()),
  Lab, MATCH(IF(ISNUMBER(SEARCH("Mastery", $F177)), "Card Mastery", $F177), DVT_Laboratory!B$1:AA$1, 0)-1,
  Offset, OFFSET(DVT_Laboratory!B$3, 0, Lab, 100, 1),
K177-SUM(TIME_TO_RUSH_GEMS(
    XLOOKUP(INDEX($W$5:$W201, MATCH(F177, $V$5:$V201, 0))+1, SEQUENCE(100, 1, 1, 1), Offset, "N/F", 0, 1):
    XLOOKUP(INDEX($X$5:$X201, MATCH(F177, $V$5:$V201, 0)), SEQUENCE(100, 1, 1, 1), Offset, "N/F", 0, 1)/Labspeed, IDS_LAB_GODLBOXED_COUNT()+1))),"")</f>
        <v/>
      </c>
      <c r="M177" s="1423" t="str">
        <f t="shared" si="5"/>
        <v/>
      </c>
      <c r="N177" s="1429"/>
      <c r="O177" s="1429"/>
      <c r="P177" s="1429"/>
      <c r="Q177" s="1438"/>
      <c r="R177" s="1438"/>
      <c r="S177" s="1438"/>
      <c r="T177" s="1438"/>
      <c r="U177" s="1438"/>
      <c r="V177" s="1443"/>
      <c r="W177" s="1417" t="s">
        <v>455</v>
      </c>
      <c r="X177" s="1417" t="s">
        <v>455</v>
      </c>
      <c r="Y177" s="1416" t="s">
        <v>455</v>
      </c>
      <c r="Z177" s="1479" t="s">
        <v>455</v>
      </c>
      <c r="AA177" s="1417"/>
    </row>
    <row r="178">
      <c r="A178" s="1404"/>
      <c r="B178" s="1424"/>
      <c r="C178" s="1473"/>
      <c r="D178" s="1476"/>
      <c r="E178" s="1477"/>
      <c r="F178" s="1446"/>
      <c r="G178" s="1448" t="str">
        <f>IFERROR(__xludf.DUMMYFUNCTION("""COMPUTED_VALUE"""),"")</f>
        <v/>
      </c>
      <c r="H178" s="1449" t="str">
        <f t="shared" si="3"/>
        <v/>
      </c>
      <c r="I178" s="1489" t="str">
        <f>IFERROR(__xludf.DUMMYFUNCTION("""COMPUTED_VALUE"""),"")</f>
        <v/>
      </c>
      <c r="J178" s="1449" t="str">
        <f t="shared" si="4"/>
        <v/>
      </c>
      <c r="K178" s="1510" t="str">
        <f t="array" ref="K178">IFERROR(LET(
  Labspeed, IF(F178="Labs Speed", 1+'Master Sheet'!$BK$5, LAB_SPEED_TOTAL()),
  Lab, MATCH(IF(ISNUMBER(SEARCH("Mastery", $F178)), "Card Mastery", $F178), DVT_Laboratory!B$1:AA$1, 0)-1,
  Offset, OFFSET(DVT_Laboratory!B$3, 0, Lab, 100, 1),
SUM(TIME_TO_RUSH_GEMS(
    XLOOKUP(INDEX($W$5:$W201, MATCH(F178, $V$5:$V201, 0))+1, SEQUENCE(100, 1, 1, 1), Offset, "N/F", 0, 1):
    XLOOKUP(INDEX($X$5:$X201, MATCH(F178, $V$5:$V201, 0)), SEQUENCE(100, 1, 1, 1), Offset, "N/F", 0, 1)/Labspeed, IDS_LAB_GODLBOXED_COUNT()))),"")</f>
        <v/>
      </c>
      <c r="L178" s="1510" t="str">
        <f t="array" ref="L178">IFERROR(LET(
  Labspeed, IF(F178="Labs Speed", 1+'Master Sheet'!$BK$5, LAB_SPEED_TOTAL()),
  Lab, MATCH(IF(ISNUMBER(SEARCH("Mastery", $F178)), "Card Mastery", $F178), DVT_Laboratory!B$1:AA$1, 0)-1,
  Offset, OFFSET(DVT_Laboratory!B$3, 0, Lab, 100, 1),
K178-SUM(TIME_TO_RUSH_GEMS(
    XLOOKUP(INDEX($W$5:$W201, MATCH(F178, $V$5:$V201, 0))+1, SEQUENCE(100, 1, 1, 1), Offset, "N/F", 0, 1):
    XLOOKUP(INDEX($X$5:$X201, MATCH(F178, $V$5:$V201, 0)), SEQUENCE(100, 1, 1, 1), Offset, "N/F", 0, 1)/Labspeed, IDS_LAB_GODLBOXED_COUNT()+1))),"")</f>
        <v/>
      </c>
      <c r="M178" s="1423" t="str">
        <f t="shared" si="5"/>
        <v/>
      </c>
      <c r="N178" s="1429"/>
      <c r="O178" s="1429"/>
      <c r="P178" s="1429"/>
      <c r="Q178" s="1438"/>
      <c r="R178" s="1438"/>
      <c r="S178" s="1438"/>
      <c r="T178" s="1438"/>
      <c r="U178" s="1438"/>
      <c r="V178" s="1443"/>
      <c r="W178" s="1417" t="s">
        <v>455</v>
      </c>
      <c r="X178" s="1417" t="s">
        <v>455</v>
      </c>
      <c r="Y178" s="1416" t="s">
        <v>455</v>
      </c>
      <c r="Z178" s="1479" t="s">
        <v>455</v>
      </c>
      <c r="AA178" s="1417"/>
    </row>
    <row r="179">
      <c r="A179" s="1404"/>
      <c r="B179" s="1424"/>
      <c r="C179" s="1473"/>
      <c r="D179" s="1476"/>
      <c r="E179" s="1477"/>
      <c r="F179" s="1446"/>
      <c r="G179" s="1448" t="str">
        <f>IFERROR(__xludf.DUMMYFUNCTION("""COMPUTED_VALUE"""),"")</f>
        <v/>
      </c>
      <c r="H179" s="1449" t="str">
        <f t="shared" si="3"/>
        <v/>
      </c>
      <c r="I179" s="1489" t="str">
        <f>IFERROR(__xludf.DUMMYFUNCTION("""COMPUTED_VALUE"""),"")</f>
        <v/>
      </c>
      <c r="J179" s="1449" t="str">
        <f t="shared" si="4"/>
        <v/>
      </c>
      <c r="K179" s="1510" t="str">
        <f t="array" ref="K179">IFERROR(LET(
  Labspeed, IF(F179="Labs Speed", 1+'Master Sheet'!$BK$5, LAB_SPEED_TOTAL()),
  Lab, MATCH(IF(ISNUMBER(SEARCH("Mastery", $F179)), "Card Mastery", $F179), DVT_Laboratory!B$1:AA$1, 0)-1,
  Offset, OFFSET(DVT_Laboratory!B$3, 0, Lab, 100, 1),
SUM(TIME_TO_RUSH_GEMS(
    XLOOKUP(INDEX($W$5:$W201, MATCH(F179, $V$5:$V201, 0))+1, SEQUENCE(100, 1, 1, 1), Offset, "N/F", 0, 1):
    XLOOKUP(INDEX($X$5:$X201, MATCH(F179, $V$5:$V201, 0)), SEQUENCE(100, 1, 1, 1), Offset, "N/F", 0, 1)/Labspeed, IDS_LAB_GODLBOXED_COUNT()))),"")</f>
        <v/>
      </c>
      <c r="L179" s="1510" t="str">
        <f t="array" ref="L179">IFERROR(LET(
  Labspeed, IF(F179="Labs Speed", 1+'Master Sheet'!$BK$5, LAB_SPEED_TOTAL()),
  Lab, MATCH(IF(ISNUMBER(SEARCH("Mastery", $F179)), "Card Mastery", $F179), DVT_Laboratory!B$1:AA$1, 0)-1,
  Offset, OFFSET(DVT_Laboratory!B$3, 0, Lab, 100, 1),
K179-SUM(TIME_TO_RUSH_GEMS(
    XLOOKUP(INDEX($W$5:$W201, MATCH(F179, $V$5:$V201, 0))+1, SEQUENCE(100, 1, 1, 1), Offset, "N/F", 0, 1):
    XLOOKUP(INDEX($X$5:$X201, MATCH(F179, $V$5:$V201, 0)), SEQUENCE(100, 1, 1, 1), Offset, "N/F", 0, 1)/Labspeed, IDS_LAB_GODLBOXED_COUNT()+1))),"")</f>
        <v/>
      </c>
      <c r="M179" s="1423" t="str">
        <f t="shared" si="5"/>
        <v/>
      </c>
      <c r="N179" s="1429"/>
      <c r="O179" s="1429"/>
      <c r="P179" s="1429"/>
      <c r="Q179" s="1438"/>
      <c r="R179" s="1438"/>
      <c r="S179" s="1438"/>
      <c r="T179" s="1438"/>
      <c r="U179" s="1438"/>
      <c r="V179" s="1443"/>
      <c r="W179" s="1417" t="s">
        <v>455</v>
      </c>
      <c r="X179" s="1417" t="s">
        <v>455</v>
      </c>
      <c r="Y179" s="1416" t="s">
        <v>455</v>
      </c>
      <c r="Z179" s="1479" t="s">
        <v>455</v>
      </c>
      <c r="AA179" s="1417"/>
    </row>
    <row r="180">
      <c r="A180" s="1404"/>
      <c r="B180" s="1424"/>
      <c r="C180" s="1473"/>
      <c r="D180" s="1476"/>
      <c r="E180" s="1477"/>
      <c r="F180" s="1446"/>
      <c r="G180" s="1448" t="str">
        <f>IFERROR(__xludf.DUMMYFUNCTION("""COMPUTED_VALUE"""),"")</f>
        <v/>
      </c>
      <c r="H180" s="1449" t="str">
        <f t="shared" si="3"/>
        <v/>
      </c>
      <c r="I180" s="1489" t="str">
        <f>IFERROR(__xludf.DUMMYFUNCTION("""COMPUTED_VALUE"""),"")</f>
        <v/>
      </c>
      <c r="J180" s="1449" t="str">
        <f t="shared" si="4"/>
        <v/>
      </c>
      <c r="K180" s="1510" t="str">
        <f t="array" ref="K180">IFERROR(LET(
  Labspeed, IF(F180="Labs Speed", 1+'Master Sheet'!$BK$5, LAB_SPEED_TOTAL()),
  Lab, MATCH(IF(ISNUMBER(SEARCH("Mastery", $F180)), "Card Mastery", $F180), DVT_Laboratory!B$1:AA$1, 0)-1,
  Offset, OFFSET(DVT_Laboratory!B$3, 0, Lab, 100, 1),
SUM(TIME_TO_RUSH_GEMS(
    XLOOKUP(INDEX($W$5:$W201, MATCH(F180, $V$5:$V201, 0))+1, SEQUENCE(100, 1, 1, 1), Offset, "N/F", 0, 1):
    XLOOKUP(INDEX($X$5:$X201, MATCH(F180, $V$5:$V201, 0)), SEQUENCE(100, 1, 1, 1), Offset, "N/F", 0, 1)/Labspeed, IDS_LAB_GODLBOXED_COUNT()))),"")</f>
        <v/>
      </c>
      <c r="L180" s="1510" t="str">
        <f t="array" ref="L180">IFERROR(LET(
  Labspeed, IF(F180="Labs Speed", 1+'Master Sheet'!$BK$5, LAB_SPEED_TOTAL()),
  Lab, MATCH(IF(ISNUMBER(SEARCH("Mastery", $F180)), "Card Mastery", $F180), DVT_Laboratory!B$1:AA$1, 0)-1,
  Offset, OFFSET(DVT_Laboratory!B$3, 0, Lab, 100, 1),
K180-SUM(TIME_TO_RUSH_GEMS(
    XLOOKUP(INDEX($W$5:$W201, MATCH(F180, $V$5:$V201, 0))+1, SEQUENCE(100, 1, 1, 1), Offset, "N/F", 0, 1):
    XLOOKUP(INDEX($X$5:$X201, MATCH(F180, $V$5:$V201, 0)), SEQUENCE(100, 1, 1, 1), Offset, "N/F", 0, 1)/Labspeed, IDS_LAB_GODLBOXED_COUNT()+1))),"")</f>
        <v/>
      </c>
      <c r="M180" s="1423" t="str">
        <f t="shared" si="5"/>
        <v/>
      </c>
      <c r="N180" s="1429"/>
      <c r="O180" s="1429"/>
      <c r="P180" s="1429"/>
      <c r="Q180" s="1438"/>
      <c r="R180" s="1438"/>
      <c r="S180" s="1438"/>
      <c r="T180" s="1438"/>
      <c r="U180" s="1438"/>
      <c r="V180" s="1443"/>
      <c r="W180" s="1417" t="s">
        <v>455</v>
      </c>
      <c r="X180" s="1417" t="s">
        <v>455</v>
      </c>
      <c r="Y180" s="1416" t="s">
        <v>455</v>
      </c>
      <c r="Z180" s="1479" t="s">
        <v>455</v>
      </c>
      <c r="AA180" s="1417"/>
    </row>
    <row r="181">
      <c r="A181" s="1404"/>
      <c r="B181" s="1424"/>
      <c r="C181" s="1473"/>
      <c r="D181" s="1476"/>
      <c r="E181" s="1477"/>
      <c r="F181" s="1446"/>
      <c r="G181" s="1448" t="str">
        <f>IFERROR(__xludf.DUMMYFUNCTION("""COMPUTED_VALUE"""),"")</f>
        <v/>
      </c>
      <c r="H181" s="1449" t="str">
        <f t="shared" si="3"/>
        <v/>
      </c>
      <c r="I181" s="1489" t="str">
        <f>IFERROR(__xludf.DUMMYFUNCTION("""COMPUTED_VALUE"""),"")</f>
        <v/>
      </c>
      <c r="J181" s="1449" t="str">
        <f t="shared" si="4"/>
        <v/>
      </c>
      <c r="K181" s="1510" t="str">
        <f t="array" ref="K181">IFERROR(LET(
  Labspeed, IF(F181="Labs Speed", 1+'Master Sheet'!$BK$5, LAB_SPEED_TOTAL()),
  Lab, MATCH(IF(ISNUMBER(SEARCH("Mastery", $F181)), "Card Mastery", $F181), DVT_Laboratory!B$1:AA$1, 0)-1,
  Offset, OFFSET(DVT_Laboratory!B$3, 0, Lab, 100, 1),
SUM(TIME_TO_RUSH_GEMS(
    XLOOKUP(INDEX($W$5:$W201, MATCH(F181, $V$5:$V201, 0))+1, SEQUENCE(100, 1, 1, 1), Offset, "N/F", 0, 1):
    XLOOKUP(INDEX($X$5:$X201, MATCH(F181, $V$5:$V201, 0)), SEQUENCE(100, 1, 1, 1), Offset, "N/F", 0, 1)/Labspeed, IDS_LAB_GODLBOXED_COUNT()))),"")</f>
        <v/>
      </c>
      <c r="L181" s="1510" t="str">
        <f t="array" ref="L181">IFERROR(LET(
  Labspeed, IF(F181="Labs Speed", 1+'Master Sheet'!$BK$5, LAB_SPEED_TOTAL()),
  Lab, MATCH(IF(ISNUMBER(SEARCH("Mastery", $F181)), "Card Mastery", $F181), DVT_Laboratory!B$1:AA$1, 0)-1,
  Offset, OFFSET(DVT_Laboratory!B$3, 0, Lab, 100, 1),
K181-SUM(TIME_TO_RUSH_GEMS(
    XLOOKUP(INDEX($W$5:$W201, MATCH(F181, $V$5:$V201, 0))+1, SEQUENCE(100, 1, 1, 1), Offset, "N/F", 0, 1):
    XLOOKUP(INDEX($X$5:$X201, MATCH(F181, $V$5:$V201, 0)), SEQUENCE(100, 1, 1, 1), Offset, "N/F", 0, 1)/Labspeed, IDS_LAB_GODLBOXED_COUNT()+1))),"")</f>
        <v/>
      </c>
      <c r="M181" s="1423" t="str">
        <f t="shared" si="5"/>
        <v/>
      </c>
      <c r="N181" s="1429"/>
      <c r="O181" s="1429"/>
      <c r="P181" s="1429"/>
      <c r="Q181" s="1438"/>
      <c r="R181" s="1438"/>
      <c r="S181" s="1438"/>
      <c r="T181" s="1438"/>
      <c r="U181" s="1438"/>
      <c r="V181" s="1443"/>
      <c r="W181" s="1417" t="s">
        <v>455</v>
      </c>
      <c r="X181" s="1417" t="s">
        <v>455</v>
      </c>
      <c r="Y181" s="1416" t="s">
        <v>455</v>
      </c>
      <c r="Z181" s="1479" t="s">
        <v>455</v>
      </c>
      <c r="AA181" s="1417"/>
    </row>
    <row r="182">
      <c r="A182" s="1404"/>
      <c r="B182" s="1424"/>
      <c r="C182" s="1473"/>
      <c r="D182" s="1476"/>
      <c r="E182" s="1477"/>
      <c r="F182" s="1446"/>
      <c r="G182" s="1448" t="str">
        <f>IFERROR(__xludf.DUMMYFUNCTION("""COMPUTED_VALUE"""),"")</f>
        <v/>
      </c>
      <c r="H182" s="1449" t="str">
        <f t="shared" si="3"/>
        <v/>
      </c>
      <c r="I182" s="1489" t="str">
        <f>IFERROR(__xludf.DUMMYFUNCTION("""COMPUTED_VALUE"""),"")</f>
        <v/>
      </c>
      <c r="J182" s="1449" t="str">
        <f t="shared" si="4"/>
        <v/>
      </c>
      <c r="K182" s="1510" t="str">
        <f t="array" ref="K182">IFERROR(LET(
  Labspeed, IF(F182="Labs Speed", 1+'Master Sheet'!$BK$5, LAB_SPEED_TOTAL()),
  Lab, MATCH(IF(ISNUMBER(SEARCH("Mastery", $F182)), "Card Mastery", $F182), DVT_Laboratory!B$1:AA$1, 0)-1,
  Offset, OFFSET(DVT_Laboratory!B$3, 0, Lab, 100, 1),
SUM(TIME_TO_RUSH_GEMS(
    XLOOKUP(INDEX($W$5:$W201, MATCH(F182, $V$5:$V201, 0))+1, SEQUENCE(100, 1, 1, 1), Offset, "N/F", 0, 1):
    XLOOKUP(INDEX($X$5:$X201, MATCH(F182, $V$5:$V201, 0)), SEQUENCE(100, 1, 1, 1), Offset, "N/F", 0, 1)/Labspeed, IDS_LAB_GODLBOXED_COUNT()))),"")</f>
        <v/>
      </c>
      <c r="L182" s="1510" t="str">
        <f t="array" ref="L182">IFERROR(LET(
  Labspeed, IF(F182="Labs Speed", 1+'Master Sheet'!$BK$5, LAB_SPEED_TOTAL()),
  Lab, MATCH(IF(ISNUMBER(SEARCH("Mastery", $F182)), "Card Mastery", $F182), DVT_Laboratory!B$1:AA$1, 0)-1,
  Offset, OFFSET(DVT_Laboratory!B$3, 0, Lab, 100, 1),
K182-SUM(TIME_TO_RUSH_GEMS(
    XLOOKUP(INDEX($W$5:$W201, MATCH(F182, $V$5:$V201, 0))+1, SEQUENCE(100, 1, 1, 1), Offset, "N/F", 0, 1):
    XLOOKUP(INDEX($X$5:$X201, MATCH(F182, $V$5:$V201, 0)), SEQUENCE(100, 1, 1, 1), Offset, "N/F", 0, 1)/Labspeed, IDS_LAB_GODLBOXED_COUNT()+1))),"")</f>
        <v/>
      </c>
      <c r="M182" s="1423" t="str">
        <f t="shared" si="5"/>
        <v/>
      </c>
      <c r="N182" s="1429"/>
      <c r="O182" s="1429"/>
      <c r="P182" s="1429"/>
      <c r="Q182" s="1438"/>
      <c r="R182" s="1438"/>
      <c r="S182" s="1438"/>
      <c r="T182" s="1438"/>
      <c r="U182" s="1438"/>
      <c r="V182" s="1443"/>
      <c r="W182" s="1417" t="s">
        <v>455</v>
      </c>
      <c r="X182" s="1417" t="s">
        <v>455</v>
      </c>
      <c r="Y182" s="1416" t="s">
        <v>455</v>
      </c>
      <c r="Z182" s="1479" t="s">
        <v>455</v>
      </c>
      <c r="AA182" s="1417"/>
    </row>
    <row r="183">
      <c r="A183" s="1404"/>
      <c r="B183" s="1424"/>
      <c r="C183" s="1473"/>
      <c r="D183" s="1476"/>
      <c r="E183" s="1477"/>
      <c r="F183" s="1446"/>
      <c r="G183" s="1448" t="str">
        <f>IFERROR(__xludf.DUMMYFUNCTION("""COMPUTED_VALUE"""),"")</f>
        <v/>
      </c>
      <c r="H183" s="1449" t="str">
        <f t="shared" si="3"/>
        <v/>
      </c>
      <c r="I183" s="1489" t="str">
        <f>IFERROR(__xludf.DUMMYFUNCTION("""COMPUTED_VALUE"""),"")</f>
        <v/>
      </c>
      <c r="J183" s="1449" t="str">
        <f t="shared" si="4"/>
        <v/>
      </c>
      <c r="K183" s="1510" t="str">
        <f t="array" ref="K183">IFERROR(LET(
  Labspeed, IF(F183="Labs Speed", 1+'Master Sheet'!$BK$5, LAB_SPEED_TOTAL()),
  Lab, MATCH(IF(ISNUMBER(SEARCH("Mastery", $F183)), "Card Mastery", $F183), DVT_Laboratory!B$1:AA$1, 0)-1,
  Offset, OFFSET(DVT_Laboratory!B$3, 0, Lab, 100, 1),
SUM(TIME_TO_RUSH_GEMS(
    XLOOKUP(INDEX($W$5:$W201, MATCH(F183, $V$5:$V201, 0))+1, SEQUENCE(100, 1, 1, 1), Offset, "N/F", 0, 1):
    XLOOKUP(INDEX($X$5:$X201, MATCH(F183, $V$5:$V201, 0)), SEQUENCE(100, 1, 1, 1), Offset, "N/F", 0, 1)/Labspeed, IDS_LAB_GODLBOXED_COUNT()))),"")</f>
        <v/>
      </c>
      <c r="L183" s="1510" t="str">
        <f t="array" ref="L183">IFERROR(LET(
  Labspeed, IF(F183="Labs Speed", 1+'Master Sheet'!$BK$5, LAB_SPEED_TOTAL()),
  Lab, MATCH(IF(ISNUMBER(SEARCH("Mastery", $F183)), "Card Mastery", $F183), DVT_Laboratory!B$1:AA$1, 0)-1,
  Offset, OFFSET(DVT_Laboratory!B$3, 0, Lab, 100, 1),
K183-SUM(TIME_TO_RUSH_GEMS(
    XLOOKUP(INDEX($W$5:$W201, MATCH(F183, $V$5:$V201, 0))+1, SEQUENCE(100, 1, 1, 1), Offset, "N/F", 0, 1):
    XLOOKUP(INDEX($X$5:$X201, MATCH(F183, $V$5:$V201, 0)), SEQUENCE(100, 1, 1, 1), Offset, "N/F", 0, 1)/Labspeed, IDS_LAB_GODLBOXED_COUNT()+1))),"")</f>
        <v/>
      </c>
      <c r="M183" s="1423" t="str">
        <f t="shared" si="5"/>
        <v/>
      </c>
      <c r="N183" s="1429"/>
      <c r="O183" s="1429"/>
      <c r="P183" s="1429"/>
      <c r="Q183" s="1438"/>
      <c r="R183" s="1438"/>
      <c r="S183" s="1438"/>
      <c r="T183" s="1438"/>
      <c r="U183" s="1438"/>
      <c r="V183" s="1443"/>
      <c r="W183" s="1417" t="s">
        <v>455</v>
      </c>
      <c r="X183" s="1417" t="s">
        <v>455</v>
      </c>
      <c r="Y183" s="1416" t="s">
        <v>455</v>
      </c>
      <c r="Z183" s="1479" t="s">
        <v>455</v>
      </c>
      <c r="AA183" s="1417"/>
    </row>
    <row r="184">
      <c r="A184" s="1404"/>
      <c r="B184" s="1424"/>
      <c r="C184" s="1473"/>
      <c r="D184" s="1476"/>
      <c r="E184" s="1477"/>
      <c r="F184" s="1446"/>
      <c r="G184" s="1448" t="str">
        <f>IFERROR(__xludf.DUMMYFUNCTION("""COMPUTED_VALUE"""),"")</f>
        <v/>
      </c>
      <c r="H184" s="1449" t="str">
        <f t="shared" si="3"/>
        <v/>
      </c>
      <c r="I184" s="1489" t="str">
        <f>IFERROR(__xludf.DUMMYFUNCTION("""COMPUTED_VALUE"""),"")</f>
        <v/>
      </c>
      <c r="J184" s="1449" t="str">
        <f t="shared" si="4"/>
        <v/>
      </c>
      <c r="K184" s="1510" t="str">
        <f t="array" ref="K184">IFERROR(LET(
  Labspeed, IF(F184="Labs Speed", 1+'Master Sheet'!$BK$5, LAB_SPEED_TOTAL()),
  Lab, MATCH(IF(ISNUMBER(SEARCH("Mastery", $F184)), "Card Mastery", $F184), DVT_Laboratory!B$1:AA$1, 0)-1,
  Offset, OFFSET(DVT_Laboratory!B$3, 0, Lab, 100, 1),
SUM(TIME_TO_RUSH_GEMS(
    XLOOKUP(INDEX($W$5:$W201, MATCH(F184, $V$5:$V201, 0))+1, SEQUENCE(100, 1, 1, 1), Offset, "N/F", 0, 1):
    XLOOKUP(INDEX($X$5:$X201, MATCH(F184, $V$5:$V201, 0)), SEQUENCE(100, 1, 1, 1), Offset, "N/F", 0, 1)/Labspeed, IDS_LAB_GODLBOXED_COUNT()))),"")</f>
        <v/>
      </c>
      <c r="L184" s="1510" t="str">
        <f t="array" ref="L184">IFERROR(LET(
  Labspeed, IF(F184="Labs Speed", 1+'Master Sheet'!$BK$5, LAB_SPEED_TOTAL()),
  Lab, MATCH(IF(ISNUMBER(SEARCH("Mastery", $F184)), "Card Mastery", $F184), DVT_Laboratory!B$1:AA$1, 0)-1,
  Offset, OFFSET(DVT_Laboratory!B$3, 0, Lab, 100, 1),
K184-SUM(TIME_TO_RUSH_GEMS(
    XLOOKUP(INDEX($W$5:$W201, MATCH(F184, $V$5:$V201, 0))+1, SEQUENCE(100, 1, 1, 1), Offset, "N/F", 0, 1):
    XLOOKUP(INDEX($X$5:$X201, MATCH(F184, $V$5:$V201, 0)), SEQUENCE(100, 1, 1, 1), Offset, "N/F", 0, 1)/Labspeed, IDS_LAB_GODLBOXED_COUNT()+1))),"")</f>
        <v/>
      </c>
      <c r="M184" s="1423" t="str">
        <f t="shared" si="5"/>
        <v/>
      </c>
      <c r="N184" s="1429"/>
      <c r="O184" s="1429"/>
      <c r="P184" s="1429"/>
      <c r="Q184" s="1438"/>
      <c r="R184" s="1438"/>
      <c r="S184" s="1438"/>
      <c r="T184" s="1438"/>
      <c r="U184" s="1438"/>
      <c r="V184" s="1443"/>
      <c r="W184" s="1417" t="s">
        <v>455</v>
      </c>
      <c r="X184" s="1417" t="s">
        <v>455</v>
      </c>
      <c r="Y184" s="1416" t="s">
        <v>455</v>
      </c>
      <c r="Z184" s="1479" t="s">
        <v>455</v>
      </c>
      <c r="AA184" s="1417"/>
    </row>
    <row r="185">
      <c r="A185" s="1404"/>
      <c r="B185" s="1424"/>
      <c r="C185" s="1473"/>
      <c r="D185" s="1476"/>
      <c r="E185" s="1477"/>
      <c r="F185" s="1446"/>
      <c r="G185" s="1448" t="str">
        <f>IFERROR(__xludf.DUMMYFUNCTION("""COMPUTED_VALUE"""),"")</f>
        <v/>
      </c>
      <c r="H185" s="1449" t="str">
        <f t="shared" si="3"/>
        <v/>
      </c>
      <c r="I185" s="1489" t="str">
        <f>IFERROR(__xludf.DUMMYFUNCTION("""COMPUTED_VALUE"""),"")</f>
        <v/>
      </c>
      <c r="J185" s="1449" t="str">
        <f t="shared" si="4"/>
        <v/>
      </c>
      <c r="K185" s="1510" t="str">
        <f t="array" ref="K185">IFERROR(LET(
  Labspeed, IF(F185="Labs Speed", 1+'Master Sheet'!$BK$5, LAB_SPEED_TOTAL()),
  Lab, MATCH(IF(ISNUMBER(SEARCH("Mastery", $F185)), "Card Mastery", $F185), DVT_Laboratory!B$1:AA$1, 0)-1,
  Offset, OFFSET(DVT_Laboratory!B$3, 0, Lab, 100, 1),
SUM(TIME_TO_RUSH_GEMS(
    XLOOKUP(INDEX($W$5:$W201, MATCH(F185, $V$5:$V201, 0))+1, SEQUENCE(100, 1, 1, 1), Offset, "N/F", 0, 1):
    XLOOKUP(INDEX($X$5:$X201, MATCH(F185, $V$5:$V201, 0)), SEQUENCE(100, 1, 1, 1), Offset, "N/F", 0, 1)/Labspeed, IDS_LAB_GODLBOXED_COUNT()))),"")</f>
        <v/>
      </c>
      <c r="L185" s="1510" t="str">
        <f t="array" ref="L185">IFERROR(LET(
  Labspeed, IF(F185="Labs Speed", 1+'Master Sheet'!$BK$5, LAB_SPEED_TOTAL()),
  Lab, MATCH(IF(ISNUMBER(SEARCH("Mastery", $F185)), "Card Mastery", $F185), DVT_Laboratory!B$1:AA$1, 0)-1,
  Offset, OFFSET(DVT_Laboratory!B$3, 0, Lab, 100, 1),
K185-SUM(TIME_TO_RUSH_GEMS(
    XLOOKUP(INDEX($W$5:$W201, MATCH(F185, $V$5:$V201, 0))+1, SEQUENCE(100, 1, 1, 1), Offset, "N/F", 0, 1):
    XLOOKUP(INDEX($X$5:$X201, MATCH(F185, $V$5:$V201, 0)), SEQUENCE(100, 1, 1, 1), Offset, "N/F", 0, 1)/Labspeed, IDS_LAB_GODLBOXED_COUNT()+1))),"")</f>
        <v/>
      </c>
      <c r="M185" s="1423" t="str">
        <f t="shared" si="5"/>
        <v/>
      </c>
      <c r="N185" s="1429"/>
      <c r="O185" s="1429"/>
      <c r="P185" s="1429"/>
      <c r="Q185" s="1438"/>
      <c r="R185" s="1438"/>
      <c r="S185" s="1438"/>
      <c r="T185" s="1438"/>
      <c r="U185" s="1438"/>
      <c r="V185" s="1443"/>
      <c r="W185" s="1417" t="s">
        <v>455</v>
      </c>
      <c r="X185" s="1417" t="s">
        <v>455</v>
      </c>
      <c r="Y185" s="1416" t="s">
        <v>455</v>
      </c>
      <c r="Z185" s="1479" t="s">
        <v>455</v>
      </c>
      <c r="AA185" s="1417"/>
    </row>
    <row r="186">
      <c r="A186" s="1404"/>
      <c r="B186" s="1424"/>
      <c r="C186" s="1473"/>
      <c r="D186" s="1476"/>
      <c r="E186" s="1477"/>
      <c r="F186" s="1446"/>
      <c r="G186" s="1448" t="str">
        <f>IFERROR(__xludf.DUMMYFUNCTION("""COMPUTED_VALUE"""),"")</f>
        <v/>
      </c>
      <c r="H186" s="1449" t="str">
        <f t="shared" si="3"/>
        <v/>
      </c>
      <c r="I186" s="1489" t="str">
        <f>IFERROR(__xludf.DUMMYFUNCTION("""COMPUTED_VALUE"""),"")</f>
        <v/>
      </c>
      <c r="J186" s="1449" t="str">
        <f t="shared" si="4"/>
        <v/>
      </c>
      <c r="K186" s="1510" t="str">
        <f t="array" ref="K186">IFERROR(LET(
  Labspeed, IF(F186="Labs Speed", 1+'Master Sheet'!$BK$5, LAB_SPEED_TOTAL()),
  Lab, MATCH(IF(ISNUMBER(SEARCH("Mastery", $F186)), "Card Mastery", $F186), DVT_Laboratory!B$1:AA$1, 0)-1,
  Offset, OFFSET(DVT_Laboratory!B$3, 0, Lab, 100, 1),
SUM(TIME_TO_RUSH_GEMS(
    XLOOKUP(INDEX($W$5:$W201, MATCH(F186, $V$5:$V201, 0))+1, SEQUENCE(100, 1, 1, 1), Offset, "N/F", 0, 1):
    XLOOKUP(INDEX($X$5:$X201, MATCH(F186, $V$5:$V201, 0)), SEQUENCE(100, 1, 1, 1), Offset, "N/F", 0, 1)/Labspeed, IDS_LAB_GODLBOXED_COUNT()))),"")</f>
        <v/>
      </c>
      <c r="L186" s="1510" t="str">
        <f t="array" ref="L186">IFERROR(LET(
  Labspeed, IF(F186="Labs Speed", 1+'Master Sheet'!$BK$5, LAB_SPEED_TOTAL()),
  Lab, MATCH(IF(ISNUMBER(SEARCH("Mastery", $F186)), "Card Mastery", $F186), DVT_Laboratory!B$1:AA$1, 0)-1,
  Offset, OFFSET(DVT_Laboratory!B$3, 0, Lab, 100, 1),
K186-SUM(TIME_TO_RUSH_GEMS(
    XLOOKUP(INDEX($W$5:$W201, MATCH(F186, $V$5:$V201, 0))+1, SEQUENCE(100, 1, 1, 1), Offset, "N/F", 0, 1):
    XLOOKUP(INDEX($X$5:$X201, MATCH(F186, $V$5:$V201, 0)), SEQUENCE(100, 1, 1, 1), Offset, "N/F", 0, 1)/Labspeed, IDS_LAB_GODLBOXED_COUNT()+1))),"")</f>
        <v/>
      </c>
      <c r="M186" s="1423" t="str">
        <f t="shared" si="5"/>
        <v/>
      </c>
      <c r="N186" s="1429"/>
      <c r="O186" s="1429"/>
      <c r="P186" s="1429"/>
      <c r="Q186" s="1417"/>
      <c r="R186" s="1417"/>
      <c r="S186" s="1417"/>
      <c r="T186" s="1417"/>
      <c r="U186" s="1417"/>
      <c r="V186" s="1443"/>
      <c r="W186" s="1417" t="s">
        <v>455</v>
      </c>
      <c r="X186" s="1417" t="s">
        <v>455</v>
      </c>
      <c r="Y186" s="1416" t="s">
        <v>455</v>
      </c>
      <c r="Z186" s="1479" t="s">
        <v>455</v>
      </c>
      <c r="AA186" s="1417"/>
    </row>
    <row r="187">
      <c r="A187" s="1404"/>
      <c r="B187" s="1424"/>
      <c r="C187" s="1473"/>
      <c r="D187" s="1476"/>
      <c r="E187" s="1477"/>
      <c r="F187" s="1446"/>
      <c r="G187" s="1448" t="str">
        <f>IFERROR(__xludf.DUMMYFUNCTION("""COMPUTED_VALUE"""),"")</f>
        <v/>
      </c>
      <c r="H187" s="1449" t="str">
        <f t="shared" si="3"/>
        <v/>
      </c>
      <c r="I187" s="1489" t="str">
        <f>IFERROR(__xludf.DUMMYFUNCTION("""COMPUTED_VALUE"""),"")</f>
        <v/>
      </c>
      <c r="J187" s="1449" t="str">
        <f t="shared" si="4"/>
        <v/>
      </c>
      <c r="K187" s="1510" t="str">
        <f t="array" ref="K187">IFERROR(LET(
  Labspeed, IF(F187="Labs Speed", 1+'Master Sheet'!$BK$5, LAB_SPEED_TOTAL()),
  Lab, MATCH(IF(ISNUMBER(SEARCH("Mastery", $F187)), "Card Mastery", $F187), DVT_Laboratory!B$1:AA$1, 0)-1,
  Offset, OFFSET(DVT_Laboratory!B$3, 0, Lab, 100, 1),
SUM(TIME_TO_RUSH_GEMS(
    XLOOKUP(INDEX($W$5:$W201, MATCH(F187, $V$5:$V201, 0))+1, SEQUENCE(100, 1, 1, 1), Offset, "N/F", 0, 1):
    XLOOKUP(INDEX($X$5:$X201, MATCH(F187, $V$5:$V201, 0)), SEQUENCE(100, 1, 1, 1), Offset, "N/F", 0, 1)/Labspeed, IDS_LAB_GODLBOXED_COUNT()))),"")</f>
        <v/>
      </c>
      <c r="L187" s="1510" t="str">
        <f t="array" ref="L187">IFERROR(LET(
  Labspeed, IF(F187="Labs Speed", 1+'Master Sheet'!$BK$5, LAB_SPEED_TOTAL()),
  Lab, MATCH(IF(ISNUMBER(SEARCH("Mastery", $F187)), "Card Mastery", $F187), DVT_Laboratory!B$1:AA$1, 0)-1,
  Offset, OFFSET(DVT_Laboratory!B$3, 0, Lab, 100, 1),
K187-SUM(TIME_TO_RUSH_GEMS(
    XLOOKUP(INDEX($W$5:$W201, MATCH(F187, $V$5:$V201, 0))+1, SEQUENCE(100, 1, 1, 1), Offset, "N/F", 0, 1):
    XLOOKUP(INDEX($X$5:$X201, MATCH(F187, $V$5:$V201, 0)), SEQUENCE(100, 1, 1, 1), Offset, "N/F", 0, 1)/Labspeed, IDS_LAB_GODLBOXED_COUNT()+1))),"")</f>
        <v/>
      </c>
      <c r="M187" s="1423" t="str">
        <f t="shared" si="5"/>
        <v/>
      </c>
      <c r="N187" s="1429"/>
      <c r="O187" s="1429"/>
      <c r="P187" s="1429"/>
      <c r="Q187" s="1417"/>
      <c r="R187" s="1417"/>
      <c r="S187" s="1417"/>
      <c r="T187" s="1417"/>
      <c r="U187" s="1417"/>
      <c r="V187" s="1443"/>
      <c r="W187" s="1417" t="s">
        <v>455</v>
      </c>
      <c r="X187" s="1417" t="s">
        <v>455</v>
      </c>
      <c r="Y187" s="1416" t="s">
        <v>455</v>
      </c>
      <c r="Z187" s="1479" t="s">
        <v>455</v>
      </c>
      <c r="AA187" s="1417"/>
    </row>
    <row r="188">
      <c r="A188" s="1404"/>
      <c r="B188" s="1424"/>
      <c r="C188" s="1473"/>
      <c r="D188" s="1476"/>
      <c r="E188" s="1477"/>
      <c r="F188" s="1446"/>
      <c r="G188" s="1448" t="str">
        <f>IFERROR(__xludf.DUMMYFUNCTION("""COMPUTED_VALUE"""),"")</f>
        <v/>
      </c>
      <c r="H188" s="1449" t="str">
        <f t="shared" si="3"/>
        <v/>
      </c>
      <c r="I188" s="1489" t="str">
        <f>IFERROR(__xludf.DUMMYFUNCTION("""COMPUTED_VALUE"""),"")</f>
        <v/>
      </c>
      <c r="J188" s="1449" t="str">
        <f t="shared" si="4"/>
        <v/>
      </c>
      <c r="K188" s="1510" t="str">
        <f t="array" ref="K188">IFERROR(LET(
  Labspeed, IF(F188="Labs Speed", 1+'Master Sheet'!$BK$5, LAB_SPEED_TOTAL()),
  Lab, MATCH(IF(ISNUMBER(SEARCH("Mastery", $F188)), "Card Mastery", $F188), DVT_Laboratory!B$1:AA$1, 0)-1,
  Offset, OFFSET(DVT_Laboratory!B$3, 0, Lab, 100, 1),
SUM(TIME_TO_RUSH_GEMS(
    XLOOKUP(INDEX($W$5:$W201, MATCH(F188, $V$5:$V201, 0))+1, SEQUENCE(100, 1, 1, 1), Offset, "N/F", 0, 1):
    XLOOKUP(INDEX($X$5:$X201, MATCH(F188, $V$5:$V201, 0)), SEQUENCE(100, 1, 1, 1), Offset, "N/F", 0, 1)/Labspeed, IDS_LAB_GODLBOXED_COUNT()))),"")</f>
        <v/>
      </c>
      <c r="L188" s="1510" t="str">
        <f t="array" ref="L188">IFERROR(LET(
  Labspeed, IF(F188="Labs Speed", 1+'Master Sheet'!$BK$5, LAB_SPEED_TOTAL()),
  Lab, MATCH(IF(ISNUMBER(SEARCH("Mastery", $F188)), "Card Mastery", $F188), DVT_Laboratory!B$1:AA$1, 0)-1,
  Offset, OFFSET(DVT_Laboratory!B$3, 0, Lab, 100, 1),
K188-SUM(TIME_TO_RUSH_GEMS(
    XLOOKUP(INDEX($W$5:$W201, MATCH(F188, $V$5:$V201, 0))+1, SEQUENCE(100, 1, 1, 1), Offset, "N/F", 0, 1):
    XLOOKUP(INDEX($X$5:$X201, MATCH(F188, $V$5:$V201, 0)), SEQUENCE(100, 1, 1, 1), Offset, "N/F", 0, 1)/Labspeed, IDS_LAB_GODLBOXED_COUNT()+1))),"")</f>
        <v/>
      </c>
      <c r="M188" s="1423" t="str">
        <f t="shared" si="5"/>
        <v/>
      </c>
      <c r="N188" s="1429"/>
      <c r="O188" s="1429"/>
      <c r="P188" s="1429"/>
      <c r="Q188" s="1417"/>
      <c r="R188" s="1417"/>
      <c r="S188" s="1417"/>
      <c r="T188" s="1417"/>
      <c r="U188" s="1417"/>
      <c r="V188" s="1443"/>
      <c r="W188" s="1417" t="s">
        <v>455</v>
      </c>
      <c r="X188" s="1417" t="s">
        <v>455</v>
      </c>
      <c r="Y188" s="1416" t="s">
        <v>455</v>
      </c>
      <c r="Z188" s="1479" t="s">
        <v>455</v>
      </c>
      <c r="AA188" s="1417"/>
    </row>
    <row r="189">
      <c r="A189" s="1404"/>
      <c r="B189" s="1424"/>
      <c r="C189" s="1473"/>
      <c r="D189" s="1476"/>
      <c r="E189" s="1477"/>
      <c r="F189" s="1446"/>
      <c r="G189" s="1448" t="str">
        <f>IFERROR(__xludf.DUMMYFUNCTION("""COMPUTED_VALUE"""),"")</f>
        <v/>
      </c>
      <c r="H189" s="1449" t="str">
        <f t="shared" si="3"/>
        <v/>
      </c>
      <c r="I189" s="1489" t="str">
        <f>IFERROR(__xludf.DUMMYFUNCTION("""COMPUTED_VALUE"""),"")</f>
        <v/>
      </c>
      <c r="J189" s="1449" t="str">
        <f t="shared" si="4"/>
        <v/>
      </c>
      <c r="K189" s="1510" t="str">
        <f t="array" ref="K189">IFERROR(LET(
  Labspeed, IF(F189="Labs Speed", 1+'Master Sheet'!$BK$5, LAB_SPEED_TOTAL()),
  Lab, MATCH(IF(ISNUMBER(SEARCH("Mastery", $F189)), "Card Mastery", $F189), DVT_Laboratory!B$1:AA$1, 0)-1,
  Offset, OFFSET(DVT_Laboratory!B$3, 0, Lab, 100, 1),
SUM(TIME_TO_RUSH_GEMS(
    XLOOKUP(INDEX($W$5:$W201, MATCH(F189, $V$5:$V201, 0))+1, SEQUENCE(100, 1, 1, 1), Offset, "N/F", 0, 1):
    XLOOKUP(INDEX($X$5:$X201, MATCH(F189, $V$5:$V201, 0)), SEQUENCE(100, 1, 1, 1), Offset, "N/F", 0, 1)/Labspeed, IDS_LAB_GODLBOXED_COUNT()))),"")</f>
        <v/>
      </c>
      <c r="L189" s="1510" t="str">
        <f t="array" ref="L189">IFERROR(LET(
  Labspeed, IF(F189="Labs Speed", 1+'Master Sheet'!$BK$5, LAB_SPEED_TOTAL()),
  Lab, MATCH(IF(ISNUMBER(SEARCH("Mastery", $F189)), "Card Mastery", $F189), DVT_Laboratory!B$1:AA$1, 0)-1,
  Offset, OFFSET(DVT_Laboratory!B$3, 0, Lab, 100, 1),
K189-SUM(TIME_TO_RUSH_GEMS(
    XLOOKUP(INDEX($W$5:$W201, MATCH(F189, $V$5:$V201, 0))+1, SEQUENCE(100, 1, 1, 1), Offset, "N/F", 0, 1):
    XLOOKUP(INDEX($X$5:$X201, MATCH(F189, $V$5:$V201, 0)), SEQUENCE(100, 1, 1, 1), Offset, "N/F", 0, 1)/Labspeed, IDS_LAB_GODLBOXED_COUNT()+1))),"")</f>
        <v/>
      </c>
      <c r="M189" s="1423" t="str">
        <f t="shared" si="5"/>
        <v/>
      </c>
      <c r="N189" s="1429"/>
      <c r="O189" s="1429"/>
      <c r="P189" s="1429"/>
      <c r="Q189" s="1417"/>
      <c r="R189" s="1417"/>
      <c r="S189" s="1417"/>
      <c r="T189" s="1417"/>
      <c r="U189" s="1417"/>
      <c r="V189" s="1443"/>
      <c r="W189" s="1417" t="s">
        <v>455</v>
      </c>
      <c r="X189" s="1417" t="s">
        <v>455</v>
      </c>
      <c r="Y189" s="1416" t="s">
        <v>455</v>
      </c>
      <c r="Z189" s="1479" t="s">
        <v>455</v>
      </c>
      <c r="AA189" s="1417"/>
    </row>
    <row r="190">
      <c r="A190" s="1404"/>
      <c r="B190" s="1424"/>
      <c r="C190" s="1473"/>
      <c r="D190" s="1476"/>
      <c r="E190" s="1477"/>
      <c r="F190" s="1446"/>
      <c r="G190" s="1448" t="str">
        <f>IFERROR(__xludf.DUMMYFUNCTION("""COMPUTED_VALUE"""),"")</f>
        <v/>
      </c>
      <c r="H190" s="1449" t="str">
        <f t="shared" si="3"/>
        <v/>
      </c>
      <c r="I190" s="1489" t="str">
        <f>IFERROR(__xludf.DUMMYFUNCTION("""COMPUTED_VALUE"""),"")</f>
        <v/>
      </c>
      <c r="J190" s="1449" t="str">
        <f t="shared" si="4"/>
        <v/>
      </c>
      <c r="K190" s="1510" t="str">
        <f t="array" ref="K190">IFERROR(LET(
  Labspeed, IF(F190="Labs Speed", 1+'Master Sheet'!$BK$5, LAB_SPEED_TOTAL()),
  Lab, MATCH(IF(ISNUMBER(SEARCH("Mastery", $F190)), "Card Mastery", $F190), DVT_Laboratory!B$1:AA$1, 0)-1,
  Offset, OFFSET(DVT_Laboratory!B$3, 0, Lab, 100, 1),
SUM(TIME_TO_RUSH_GEMS(
    XLOOKUP(INDEX($W$5:$W201, MATCH(F190, $V$5:$V201, 0))+1, SEQUENCE(100, 1, 1, 1), Offset, "N/F", 0, 1):
    XLOOKUP(INDEX($X$5:$X201, MATCH(F190, $V$5:$V201, 0)), SEQUENCE(100, 1, 1, 1), Offset, "N/F", 0, 1)/Labspeed, IDS_LAB_GODLBOXED_COUNT()))),"")</f>
        <v/>
      </c>
      <c r="L190" s="1510" t="str">
        <f t="array" ref="L190">IFERROR(LET(
  Labspeed, IF(F190="Labs Speed", 1+'Master Sheet'!$BK$5, LAB_SPEED_TOTAL()),
  Lab, MATCH(IF(ISNUMBER(SEARCH("Mastery", $F190)), "Card Mastery", $F190), DVT_Laboratory!B$1:AA$1, 0)-1,
  Offset, OFFSET(DVT_Laboratory!B$3, 0, Lab, 100, 1),
K190-SUM(TIME_TO_RUSH_GEMS(
    XLOOKUP(INDEX($W$5:$W201, MATCH(F190, $V$5:$V201, 0))+1, SEQUENCE(100, 1, 1, 1), Offset, "N/F", 0, 1):
    XLOOKUP(INDEX($X$5:$X201, MATCH(F190, $V$5:$V201, 0)), SEQUENCE(100, 1, 1, 1), Offset, "N/F", 0, 1)/Labspeed, IDS_LAB_GODLBOXED_COUNT()+1))),"")</f>
        <v/>
      </c>
      <c r="M190" s="1423" t="str">
        <f t="shared" si="5"/>
        <v/>
      </c>
      <c r="N190" s="1429"/>
      <c r="O190" s="1429"/>
      <c r="P190" s="1429"/>
      <c r="Q190" s="1417"/>
      <c r="R190" s="1417"/>
      <c r="S190" s="1417"/>
      <c r="T190" s="1417"/>
      <c r="U190" s="1417"/>
      <c r="V190" s="1443"/>
      <c r="W190" s="1417" t="s">
        <v>455</v>
      </c>
      <c r="X190" s="1417" t="s">
        <v>455</v>
      </c>
      <c r="Y190" s="1416" t="s">
        <v>455</v>
      </c>
      <c r="Z190" s="1479" t="s">
        <v>455</v>
      </c>
      <c r="AA190" s="1417"/>
    </row>
    <row r="191">
      <c r="A191" s="1404"/>
      <c r="B191" s="1424"/>
      <c r="C191" s="1473"/>
      <c r="D191" s="1476"/>
      <c r="E191" s="1477"/>
      <c r="F191" s="1446"/>
      <c r="G191" s="1448" t="str">
        <f>IFERROR(__xludf.DUMMYFUNCTION("""COMPUTED_VALUE"""),"")</f>
        <v/>
      </c>
      <c r="H191" s="1449" t="str">
        <f t="shared" si="3"/>
        <v/>
      </c>
      <c r="I191" s="1489" t="str">
        <f>IFERROR(__xludf.DUMMYFUNCTION("""COMPUTED_VALUE"""),"")</f>
        <v/>
      </c>
      <c r="J191" s="1449" t="str">
        <f t="shared" si="4"/>
        <v/>
      </c>
      <c r="K191" s="1510" t="str">
        <f t="array" ref="K191">IFERROR(LET(
  Labspeed, IF(F191="Labs Speed", 1+'Master Sheet'!$BK$5, LAB_SPEED_TOTAL()),
  Lab, MATCH(IF(ISNUMBER(SEARCH("Mastery", $F191)), "Card Mastery", $F191), DVT_Laboratory!B$1:AA$1, 0)-1,
  Offset, OFFSET(DVT_Laboratory!B$3, 0, Lab, 100, 1),
SUM(TIME_TO_RUSH_GEMS(
    XLOOKUP(INDEX($W$5:$W201, MATCH(F191, $V$5:$V201, 0))+1, SEQUENCE(100, 1, 1, 1), Offset, "N/F", 0, 1):
    XLOOKUP(INDEX($X$5:$X201, MATCH(F191, $V$5:$V201, 0)), SEQUENCE(100, 1, 1, 1), Offset, "N/F", 0, 1)/Labspeed, IDS_LAB_GODLBOXED_COUNT()))),"")</f>
        <v/>
      </c>
      <c r="L191" s="1510" t="str">
        <f t="array" ref="L191">IFERROR(LET(
  Labspeed, IF(F191="Labs Speed", 1+'Master Sheet'!$BK$5, LAB_SPEED_TOTAL()),
  Lab, MATCH(IF(ISNUMBER(SEARCH("Mastery", $F191)), "Card Mastery", $F191), DVT_Laboratory!B$1:AA$1, 0)-1,
  Offset, OFFSET(DVT_Laboratory!B$3, 0, Lab, 100, 1),
K191-SUM(TIME_TO_RUSH_GEMS(
    XLOOKUP(INDEX($W$5:$W201, MATCH(F191, $V$5:$V201, 0))+1, SEQUENCE(100, 1, 1, 1), Offset, "N/F", 0, 1):
    XLOOKUP(INDEX($X$5:$X201, MATCH(F191, $V$5:$V201, 0)), SEQUENCE(100, 1, 1, 1), Offset, "N/F", 0, 1)/Labspeed, IDS_LAB_GODLBOXED_COUNT()+1))),"")</f>
        <v/>
      </c>
      <c r="M191" s="1423" t="str">
        <f t="shared" si="5"/>
        <v/>
      </c>
      <c r="N191" s="1429"/>
      <c r="O191" s="1429"/>
      <c r="P191" s="1429"/>
      <c r="Q191" s="1417"/>
      <c r="R191" s="1417"/>
      <c r="S191" s="1417"/>
      <c r="T191" s="1417"/>
      <c r="U191" s="1417"/>
      <c r="V191" s="1443"/>
      <c r="W191" s="1417" t="s">
        <v>455</v>
      </c>
      <c r="X191" s="1417" t="s">
        <v>455</v>
      </c>
      <c r="Y191" s="1416" t="s">
        <v>455</v>
      </c>
      <c r="Z191" s="1479" t="s">
        <v>455</v>
      </c>
      <c r="AA191" s="1417"/>
    </row>
    <row r="192">
      <c r="A192" s="1404"/>
      <c r="B192" s="1424"/>
      <c r="C192" s="1473"/>
      <c r="D192" s="1476"/>
      <c r="E192" s="1477"/>
      <c r="F192" s="1446"/>
      <c r="G192" s="1448" t="str">
        <f>IFERROR(__xludf.DUMMYFUNCTION("""COMPUTED_VALUE"""),"")</f>
        <v/>
      </c>
      <c r="H192" s="1449" t="str">
        <f t="shared" si="3"/>
        <v/>
      </c>
      <c r="I192" s="1489" t="str">
        <f>IFERROR(__xludf.DUMMYFUNCTION("""COMPUTED_VALUE"""),"")</f>
        <v/>
      </c>
      <c r="J192" s="1449" t="str">
        <f t="shared" si="4"/>
        <v/>
      </c>
      <c r="K192" s="1510" t="str">
        <f t="array" ref="K192">IFERROR(LET(
  Labspeed, IF(F192="Labs Speed", 1+'Master Sheet'!$BK$5, LAB_SPEED_TOTAL()),
  Lab, MATCH(IF(ISNUMBER(SEARCH("Mastery", $F192)), "Card Mastery", $F192), DVT_Laboratory!B$1:AA$1, 0)-1,
  Offset, OFFSET(DVT_Laboratory!B$3, 0, Lab, 100, 1),
SUM(TIME_TO_RUSH_GEMS(
    XLOOKUP(INDEX($W$5:$W201, MATCH(F192, $V$5:$V201, 0))+1, SEQUENCE(100, 1, 1, 1), Offset, "N/F", 0, 1):
    XLOOKUP(INDEX($X$5:$X201, MATCH(F192, $V$5:$V201, 0)), SEQUENCE(100, 1, 1, 1), Offset, "N/F", 0, 1)/Labspeed, IDS_LAB_GODLBOXED_COUNT()))),"")</f>
        <v/>
      </c>
      <c r="L192" s="1510" t="str">
        <f t="array" ref="L192">IFERROR(LET(
  Labspeed, IF(F192="Labs Speed", 1+'Master Sheet'!$BK$5, LAB_SPEED_TOTAL()),
  Lab, MATCH(IF(ISNUMBER(SEARCH("Mastery", $F192)), "Card Mastery", $F192), DVT_Laboratory!B$1:AA$1, 0)-1,
  Offset, OFFSET(DVT_Laboratory!B$3, 0, Lab, 100, 1),
K192-SUM(TIME_TO_RUSH_GEMS(
    XLOOKUP(INDEX($W$5:$W201, MATCH(F192, $V$5:$V201, 0))+1, SEQUENCE(100, 1, 1, 1), Offset, "N/F", 0, 1):
    XLOOKUP(INDEX($X$5:$X201, MATCH(F192, $V$5:$V201, 0)), SEQUENCE(100, 1, 1, 1), Offset, "N/F", 0, 1)/Labspeed, IDS_LAB_GODLBOXED_COUNT()+1))),"")</f>
        <v/>
      </c>
      <c r="M192" s="1423" t="str">
        <f t="shared" si="5"/>
        <v/>
      </c>
      <c r="N192" s="1429"/>
      <c r="O192" s="1429"/>
      <c r="P192" s="1429"/>
      <c r="Q192" s="1417"/>
      <c r="R192" s="1417"/>
      <c r="S192" s="1417"/>
      <c r="T192" s="1417"/>
      <c r="U192" s="1417"/>
      <c r="V192" s="1443"/>
      <c r="W192" s="1417" t="s">
        <v>455</v>
      </c>
      <c r="X192" s="1417" t="s">
        <v>455</v>
      </c>
      <c r="Y192" s="1416" t="s">
        <v>455</v>
      </c>
      <c r="Z192" s="1479" t="s">
        <v>455</v>
      </c>
      <c r="AA192" s="1417"/>
    </row>
    <row r="193">
      <c r="A193" s="1404"/>
      <c r="B193" s="1424"/>
      <c r="C193" s="1473"/>
      <c r="D193" s="1476"/>
      <c r="E193" s="1477"/>
      <c r="F193" s="1446"/>
      <c r="G193" s="1448" t="str">
        <f>IFERROR(__xludf.DUMMYFUNCTION("""COMPUTED_VALUE"""),"")</f>
        <v/>
      </c>
      <c r="H193" s="1449" t="str">
        <f t="shared" si="3"/>
        <v/>
      </c>
      <c r="I193" s="1489" t="str">
        <f>IFERROR(__xludf.DUMMYFUNCTION("""COMPUTED_VALUE"""),"")</f>
        <v/>
      </c>
      <c r="J193" s="1449" t="str">
        <f t="shared" si="4"/>
        <v/>
      </c>
      <c r="K193" s="1510" t="str">
        <f t="array" ref="K193">IFERROR(LET(
  Labspeed, IF(F193="Labs Speed", 1+'Master Sheet'!$BK$5, LAB_SPEED_TOTAL()),
  Lab, MATCH(IF(ISNUMBER(SEARCH("Mastery", $F193)), "Card Mastery", $F193), DVT_Laboratory!B$1:AA$1, 0)-1,
  Offset, OFFSET(DVT_Laboratory!B$3, 0, Lab, 100, 1),
SUM(TIME_TO_RUSH_GEMS(
    XLOOKUP(INDEX($W$5:$W201, MATCH(F193, $V$5:$V201, 0))+1, SEQUENCE(100, 1, 1, 1), Offset, "N/F", 0, 1):
    XLOOKUP(INDEX($X$5:$X201, MATCH(F193, $V$5:$V201, 0)), SEQUENCE(100, 1, 1, 1), Offset, "N/F", 0, 1)/Labspeed, IDS_LAB_GODLBOXED_COUNT()))),"")</f>
        <v/>
      </c>
      <c r="L193" s="1510" t="str">
        <f t="array" ref="L193">IFERROR(LET(
  Labspeed, IF(F193="Labs Speed", 1+'Master Sheet'!$BK$5, LAB_SPEED_TOTAL()),
  Lab, MATCH(IF(ISNUMBER(SEARCH("Mastery", $F193)), "Card Mastery", $F193), DVT_Laboratory!B$1:AA$1, 0)-1,
  Offset, OFFSET(DVT_Laboratory!B$3, 0, Lab, 100, 1),
K193-SUM(TIME_TO_RUSH_GEMS(
    XLOOKUP(INDEX($W$5:$W201, MATCH(F193, $V$5:$V201, 0))+1, SEQUENCE(100, 1, 1, 1), Offset, "N/F", 0, 1):
    XLOOKUP(INDEX($X$5:$X201, MATCH(F193, $V$5:$V201, 0)), SEQUENCE(100, 1, 1, 1), Offset, "N/F", 0, 1)/Labspeed, IDS_LAB_GODLBOXED_COUNT()+1))),"")</f>
        <v/>
      </c>
      <c r="M193" s="1423" t="str">
        <f t="shared" si="5"/>
        <v/>
      </c>
      <c r="N193" s="1429"/>
      <c r="O193" s="1429"/>
      <c r="P193" s="1429"/>
      <c r="Q193" s="1417"/>
      <c r="R193" s="1417"/>
      <c r="S193" s="1417"/>
      <c r="T193" s="1417"/>
      <c r="U193" s="1417"/>
      <c r="V193" s="1443"/>
      <c r="W193" s="1417" t="s">
        <v>455</v>
      </c>
      <c r="X193" s="1417" t="s">
        <v>455</v>
      </c>
      <c r="Y193" s="1416" t="s">
        <v>455</v>
      </c>
      <c r="Z193" s="1479" t="s">
        <v>455</v>
      </c>
      <c r="AA193" s="1417"/>
    </row>
    <row r="194">
      <c r="A194" s="1404"/>
      <c r="B194" s="1424"/>
      <c r="C194" s="1473"/>
      <c r="D194" s="1476"/>
      <c r="E194" s="1477"/>
      <c r="F194" s="1446"/>
      <c r="G194" s="1448" t="str">
        <f>IFERROR(__xludf.DUMMYFUNCTION("""COMPUTED_VALUE"""),"")</f>
        <v/>
      </c>
      <c r="H194" s="1449" t="str">
        <f t="shared" si="3"/>
        <v/>
      </c>
      <c r="I194" s="1489" t="str">
        <f>IFERROR(__xludf.DUMMYFUNCTION("""COMPUTED_VALUE"""),"")</f>
        <v/>
      </c>
      <c r="J194" s="1449" t="str">
        <f t="shared" si="4"/>
        <v/>
      </c>
      <c r="K194" s="1510" t="str">
        <f t="array" ref="K194">IFERROR(LET(
  Labspeed, IF(F194="Labs Speed", 1+'Master Sheet'!$BK$5, LAB_SPEED_TOTAL()),
  Lab, MATCH(IF(ISNUMBER(SEARCH("Mastery", $F194)), "Card Mastery", $F194), DVT_Laboratory!B$1:AA$1, 0)-1,
  Offset, OFFSET(DVT_Laboratory!B$3, 0, Lab, 100, 1),
SUM(TIME_TO_RUSH_GEMS(
    XLOOKUP(INDEX($W$5:$W201, MATCH(F194, $V$5:$V201, 0))+1, SEQUENCE(100, 1, 1, 1), Offset, "N/F", 0, 1):
    XLOOKUP(INDEX($X$5:$X201, MATCH(F194, $V$5:$V201, 0)), SEQUENCE(100, 1, 1, 1), Offset, "N/F", 0, 1)/Labspeed, IDS_LAB_GODLBOXED_COUNT()))),"")</f>
        <v/>
      </c>
      <c r="L194" s="1510" t="str">
        <f t="array" ref="L194">IFERROR(LET(
  Labspeed, IF(F194="Labs Speed", 1+'Master Sheet'!$BK$5, LAB_SPEED_TOTAL()),
  Lab, MATCH(IF(ISNUMBER(SEARCH("Mastery", $F194)), "Card Mastery", $F194), DVT_Laboratory!B$1:AA$1, 0)-1,
  Offset, OFFSET(DVT_Laboratory!B$3, 0, Lab, 100, 1),
K194-SUM(TIME_TO_RUSH_GEMS(
    XLOOKUP(INDEX($W$5:$W201, MATCH(F194, $V$5:$V201, 0))+1, SEQUENCE(100, 1, 1, 1), Offset, "N/F", 0, 1):
    XLOOKUP(INDEX($X$5:$X201, MATCH(F194, $V$5:$V201, 0)), SEQUENCE(100, 1, 1, 1), Offset, "N/F", 0, 1)/Labspeed, IDS_LAB_GODLBOXED_COUNT()+1))),"")</f>
        <v/>
      </c>
      <c r="M194" s="1423" t="str">
        <f t="shared" si="5"/>
        <v/>
      </c>
      <c r="N194" s="1429"/>
      <c r="O194" s="1429"/>
      <c r="P194" s="1429"/>
      <c r="Q194" s="1417"/>
      <c r="R194" s="1417"/>
      <c r="S194" s="1417"/>
      <c r="T194" s="1417"/>
      <c r="U194" s="1417"/>
      <c r="V194" s="1443"/>
      <c r="W194" s="1417" t="s">
        <v>455</v>
      </c>
      <c r="X194" s="1417" t="s">
        <v>455</v>
      </c>
      <c r="Y194" s="1416" t="s">
        <v>455</v>
      </c>
      <c r="Z194" s="1479" t="s">
        <v>455</v>
      </c>
      <c r="AA194" s="1417"/>
    </row>
    <row r="195">
      <c r="A195" s="1404"/>
      <c r="B195" s="1424"/>
      <c r="C195" s="1473"/>
      <c r="D195" s="1476"/>
      <c r="E195" s="1477"/>
      <c r="F195" s="1446"/>
      <c r="G195" s="1448" t="str">
        <f>IFERROR(__xludf.DUMMYFUNCTION("""COMPUTED_VALUE"""),"")</f>
        <v/>
      </c>
      <c r="H195" s="1449" t="str">
        <f t="shared" si="3"/>
        <v/>
      </c>
      <c r="I195" s="1489" t="str">
        <f>IFERROR(__xludf.DUMMYFUNCTION("""COMPUTED_VALUE"""),"")</f>
        <v/>
      </c>
      <c r="J195" s="1449" t="str">
        <f t="shared" si="4"/>
        <v/>
      </c>
      <c r="K195" s="1510" t="str">
        <f t="array" ref="K195">IFERROR(LET(
  Labspeed, IF(F195="Labs Speed", 1+'Master Sheet'!$BK$5, LAB_SPEED_TOTAL()),
  Lab, MATCH(IF(ISNUMBER(SEARCH("Mastery", $F195)), "Card Mastery", $F195), DVT_Laboratory!B$1:AA$1, 0)-1,
  Offset, OFFSET(DVT_Laboratory!B$3, 0, Lab, 100, 1),
SUM(TIME_TO_RUSH_GEMS(
    XLOOKUP(INDEX($W$5:$W201, MATCH(F195, $V$5:$V201, 0))+1, SEQUENCE(100, 1, 1, 1), Offset, "N/F", 0, 1):
    XLOOKUP(INDEX($X$5:$X201, MATCH(F195, $V$5:$V201, 0)), SEQUENCE(100, 1, 1, 1), Offset, "N/F", 0, 1)/Labspeed, IDS_LAB_GODLBOXED_COUNT()))),"")</f>
        <v/>
      </c>
      <c r="L195" s="1510" t="str">
        <f t="array" ref="L195">IFERROR(LET(
  Labspeed, IF(F195="Labs Speed", 1+'Master Sheet'!$BK$5, LAB_SPEED_TOTAL()),
  Lab, MATCH(IF(ISNUMBER(SEARCH("Mastery", $F195)), "Card Mastery", $F195), DVT_Laboratory!B$1:AA$1, 0)-1,
  Offset, OFFSET(DVT_Laboratory!B$3, 0, Lab, 100, 1),
K195-SUM(TIME_TO_RUSH_GEMS(
    XLOOKUP(INDEX($W$5:$W201, MATCH(F195, $V$5:$V201, 0))+1, SEQUENCE(100, 1, 1, 1), Offset, "N/F", 0, 1):
    XLOOKUP(INDEX($X$5:$X201, MATCH(F195, $V$5:$V201, 0)), SEQUENCE(100, 1, 1, 1), Offset, "N/F", 0, 1)/Labspeed, IDS_LAB_GODLBOXED_COUNT()+1))),"")</f>
        <v/>
      </c>
      <c r="M195" s="1423" t="str">
        <f t="shared" si="5"/>
        <v/>
      </c>
      <c r="N195" s="1429"/>
      <c r="O195" s="1429"/>
      <c r="P195" s="1429"/>
      <c r="Q195" s="1417"/>
      <c r="R195" s="1417"/>
      <c r="S195" s="1417"/>
      <c r="T195" s="1417"/>
      <c r="U195" s="1417"/>
      <c r="V195" s="1443"/>
      <c r="W195" s="1417" t="s">
        <v>455</v>
      </c>
      <c r="X195" s="1417" t="s">
        <v>455</v>
      </c>
      <c r="Y195" s="1416" t="s">
        <v>455</v>
      </c>
      <c r="Z195" s="1479" t="s">
        <v>455</v>
      </c>
      <c r="AA195" s="1417"/>
    </row>
    <row r="196">
      <c r="A196" s="1404"/>
      <c r="B196" s="1424"/>
      <c r="C196" s="1473"/>
      <c r="D196" s="1476"/>
      <c r="E196" s="1477"/>
      <c r="F196" s="1446"/>
      <c r="G196" s="1448" t="str">
        <f>IFERROR(__xludf.DUMMYFUNCTION("""COMPUTED_VALUE"""),"")</f>
        <v/>
      </c>
      <c r="H196" s="1449" t="str">
        <f t="shared" si="3"/>
        <v/>
      </c>
      <c r="I196" s="1489" t="str">
        <f>IFERROR(__xludf.DUMMYFUNCTION("""COMPUTED_VALUE"""),"")</f>
        <v/>
      </c>
      <c r="J196" s="1449" t="str">
        <f t="shared" si="4"/>
        <v/>
      </c>
      <c r="K196" s="1510" t="str">
        <f t="array" ref="K196">IFERROR(LET(
  Labspeed, IF(F196="Labs Speed", 1+'Master Sheet'!$BK$5, LAB_SPEED_TOTAL()),
  Lab, MATCH(IF(ISNUMBER(SEARCH("Mastery", $F196)), "Card Mastery", $F196), DVT_Laboratory!B$1:AA$1, 0)-1,
  Offset, OFFSET(DVT_Laboratory!B$3, 0, Lab, 100, 1),
SUM(TIME_TO_RUSH_GEMS(
    XLOOKUP(INDEX($W$5:$W201, MATCH(F196, $V$5:$V201, 0))+1, SEQUENCE(100, 1, 1, 1), Offset, "N/F", 0, 1):
    XLOOKUP(INDEX($X$5:$X201, MATCH(F196, $V$5:$V201, 0)), SEQUENCE(100, 1, 1, 1), Offset, "N/F", 0, 1)/Labspeed, IDS_LAB_GODLBOXED_COUNT()))),"")</f>
        <v/>
      </c>
      <c r="L196" s="1510" t="str">
        <f t="array" ref="L196">IFERROR(LET(
  Labspeed, IF(F196="Labs Speed", 1+'Master Sheet'!$BK$5, LAB_SPEED_TOTAL()),
  Lab, MATCH(IF(ISNUMBER(SEARCH("Mastery", $F196)), "Card Mastery", $F196), DVT_Laboratory!B$1:AA$1, 0)-1,
  Offset, OFFSET(DVT_Laboratory!B$3, 0, Lab, 100, 1),
K196-SUM(TIME_TO_RUSH_GEMS(
    XLOOKUP(INDEX($W$5:$W201, MATCH(F196, $V$5:$V201, 0))+1, SEQUENCE(100, 1, 1, 1), Offset, "N/F", 0, 1):
    XLOOKUP(INDEX($X$5:$X201, MATCH(F196, $V$5:$V201, 0)), SEQUENCE(100, 1, 1, 1), Offset, "N/F", 0, 1)/Labspeed, IDS_LAB_GODLBOXED_COUNT()+1))),"")</f>
        <v/>
      </c>
      <c r="M196" s="1423" t="str">
        <f t="shared" si="5"/>
        <v/>
      </c>
      <c r="N196" s="1429"/>
      <c r="O196" s="1429"/>
      <c r="P196" s="1429"/>
      <c r="Q196" s="1417"/>
      <c r="R196" s="1417"/>
      <c r="S196" s="1417"/>
      <c r="T196" s="1417"/>
      <c r="U196" s="1417"/>
      <c r="V196" s="1443"/>
      <c r="W196" s="1417" t="s">
        <v>455</v>
      </c>
      <c r="X196" s="1417" t="s">
        <v>455</v>
      </c>
      <c r="Y196" s="1416" t="s">
        <v>455</v>
      </c>
      <c r="Z196" s="1479" t="s">
        <v>455</v>
      </c>
      <c r="AA196" s="1417"/>
    </row>
    <row r="197">
      <c r="A197" s="1404"/>
      <c r="B197" s="1424"/>
      <c r="C197" s="1473"/>
      <c r="D197" s="1476"/>
      <c r="E197" s="1477"/>
      <c r="F197" s="1446"/>
      <c r="G197" s="1448" t="str">
        <f>IFERROR(__xludf.DUMMYFUNCTION("""COMPUTED_VALUE"""),"")</f>
        <v/>
      </c>
      <c r="H197" s="1449" t="str">
        <f t="shared" si="3"/>
        <v/>
      </c>
      <c r="I197" s="1489" t="str">
        <f>IFERROR(__xludf.DUMMYFUNCTION("""COMPUTED_VALUE"""),"")</f>
        <v/>
      </c>
      <c r="J197" s="1449" t="str">
        <f t="shared" si="4"/>
        <v/>
      </c>
      <c r="K197" s="1510" t="str">
        <f t="array" ref="K197">IFERROR(LET(
  Labspeed, IF(F197="Labs Speed", 1+'Master Sheet'!$BK$5, LAB_SPEED_TOTAL()),
  Lab, MATCH(IF(ISNUMBER(SEARCH("Mastery", $F197)), "Card Mastery", $F197), DVT_Laboratory!B$1:AA$1, 0)-1,
  Offset, OFFSET(DVT_Laboratory!B$3, 0, Lab, 100, 1),
SUM(TIME_TO_RUSH_GEMS(
    XLOOKUP(INDEX($W$5:$W201, MATCH(F197, $V$5:$V201, 0))+1, SEQUENCE(100, 1, 1, 1), Offset, "N/F", 0, 1):
    XLOOKUP(INDEX($X$5:$X201, MATCH(F197, $V$5:$V201, 0)), SEQUENCE(100, 1, 1, 1), Offset, "N/F", 0, 1)/Labspeed, IDS_LAB_GODLBOXED_COUNT()))),"")</f>
        <v/>
      </c>
      <c r="L197" s="1510" t="str">
        <f t="array" ref="L197">IFERROR(LET(
  Labspeed, IF(F197="Labs Speed", 1+'Master Sheet'!$BK$5, LAB_SPEED_TOTAL()),
  Lab, MATCH(IF(ISNUMBER(SEARCH("Mastery", $F197)), "Card Mastery", $F197), DVT_Laboratory!B$1:AA$1, 0)-1,
  Offset, OFFSET(DVT_Laboratory!B$3, 0, Lab, 100, 1),
K197-SUM(TIME_TO_RUSH_GEMS(
    XLOOKUP(INDEX($W$5:$W201, MATCH(F197, $V$5:$V201, 0))+1, SEQUENCE(100, 1, 1, 1), Offset, "N/F", 0, 1):
    XLOOKUP(INDEX($X$5:$X201, MATCH(F197, $V$5:$V201, 0)), SEQUENCE(100, 1, 1, 1), Offset, "N/F", 0, 1)/Labspeed, IDS_LAB_GODLBOXED_COUNT()+1))),"")</f>
        <v/>
      </c>
      <c r="M197" s="1423" t="str">
        <f t="shared" si="5"/>
        <v/>
      </c>
      <c r="N197" s="1429"/>
      <c r="O197" s="1429"/>
      <c r="P197" s="1429"/>
      <c r="Q197" s="1417"/>
      <c r="R197" s="1417"/>
      <c r="S197" s="1417"/>
      <c r="T197" s="1417"/>
      <c r="U197" s="1417"/>
      <c r="V197" s="1443"/>
      <c r="W197" s="1417" t="s">
        <v>455</v>
      </c>
      <c r="X197" s="1417" t="s">
        <v>455</v>
      </c>
      <c r="Y197" s="1416" t="s">
        <v>455</v>
      </c>
      <c r="Z197" s="1479" t="s">
        <v>455</v>
      </c>
      <c r="AA197" s="1417"/>
    </row>
    <row r="198">
      <c r="A198" s="1404"/>
      <c r="B198" s="1424"/>
      <c r="C198" s="1473"/>
      <c r="D198" s="1476"/>
      <c r="E198" s="1477"/>
      <c r="F198" s="1446"/>
      <c r="G198" s="1448" t="str">
        <f>IFERROR(__xludf.DUMMYFUNCTION("""COMPUTED_VALUE"""),"")</f>
        <v/>
      </c>
      <c r="H198" s="1449" t="str">
        <f t="shared" si="3"/>
        <v/>
      </c>
      <c r="I198" s="1489" t="str">
        <f>IFERROR(__xludf.DUMMYFUNCTION("""COMPUTED_VALUE"""),"")</f>
        <v/>
      </c>
      <c r="J198" s="1449" t="str">
        <f t="shared" si="4"/>
        <v/>
      </c>
      <c r="K198" s="1510" t="str">
        <f t="array" ref="K198">IFERROR(LET(
  Labspeed, IF(F198="Labs Speed", 1+'Master Sheet'!$BK$5, LAB_SPEED_TOTAL()),
  Lab, MATCH(IF(ISNUMBER(SEARCH("Mastery", $F198)), "Card Mastery", $F198), DVT_Laboratory!B$1:AA$1, 0)-1,
  Offset, OFFSET(DVT_Laboratory!B$3, 0, Lab, 100, 1),
SUM(TIME_TO_RUSH_GEMS(
    XLOOKUP(INDEX($W$5:$W201, MATCH(F198, $V$5:$V201, 0))+1, SEQUENCE(100, 1, 1, 1), Offset, "N/F", 0, 1):
    XLOOKUP(INDEX($X$5:$X201, MATCH(F198, $V$5:$V201, 0)), SEQUENCE(100, 1, 1, 1), Offset, "N/F", 0, 1)/Labspeed, IDS_LAB_GODLBOXED_COUNT()))),"")</f>
        <v/>
      </c>
      <c r="L198" s="1510" t="str">
        <f t="array" ref="L198">IFERROR(LET(
  Labspeed, IF(F198="Labs Speed", 1+'Master Sheet'!$BK$5, LAB_SPEED_TOTAL()),
  Lab, MATCH(IF(ISNUMBER(SEARCH("Mastery", $F198)), "Card Mastery", $F198), DVT_Laboratory!B$1:AA$1, 0)-1,
  Offset, OFFSET(DVT_Laboratory!B$3, 0, Lab, 100, 1),
K198-SUM(TIME_TO_RUSH_GEMS(
    XLOOKUP(INDEX($W$5:$W201, MATCH(F198, $V$5:$V201, 0))+1, SEQUENCE(100, 1, 1, 1), Offset, "N/F", 0, 1):
    XLOOKUP(INDEX($X$5:$X201, MATCH(F198, $V$5:$V201, 0)), SEQUENCE(100, 1, 1, 1), Offset, "N/F", 0, 1)/Labspeed, IDS_LAB_GODLBOXED_COUNT()+1))),"")</f>
        <v/>
      </c>
      <c r="M198" s="1423" t="str">
        <f t="shared" si="5"/>
        <v/>
      </c>
      <c r="N198" s="1429"/>
      <c r="O198" s="1429"/>
      <c r="P198" s="1429"/>
      <c r="Q198" s="1417"/>
      <c r="R198" s="1417"/>
      <c r="S198" s="1417"/>
      <c r="T198" s="1417"/>
      <c r="U198" s="1417"/>
      <c r="V198" s="1443"/>
      <c r="W198" s="1417" t="s">
        <v>455</v>
      </c>
      <c r="X198" s="1417" t="s">
        <v>455</v>
      </c>
      <c r="Y198" s="1416" t="s">
        <v>455</v>
      </c>
      <c r="Z198" s="1479" t="s">
        <v>455</v>
      </c>
      <c r="AA198" s="1417"/>
    </row>
    <row r="199">
      <c r="A199" s="1404"/>
      <c r="B199" s="1424"/>
      <c r="C199" s="1473"/>
      <c r="D199" s="1476"/>
      <c r="E199" s="1477"/>
      <c r="F199" s="1446"/>
      <c r="G199" s="1448" t="str">
        <f>IFERROR(__xludf.DUMMYFUNCTION("""COMPUTED_VALUE"""),"")</f>
        <v/>
      </c>
      <c r="H199" s="1449" t="str">
        <f t="shared" si="3"/>
        <v/>
      </c>
      <c r="I199" s="1489" t="str">
        <f>IFERROR(__xludf.DUMMYFUNCTION("""COMPUTED_VALUE"""),"")</f>
        <v/>
      </c>
      <c r="J199" s="1449" t="str">
        <f t="shared" si="4"/>
        <v/>
      </c>
      <c r="K199" s="1510" t="str">
        <f t="array" ref="K199">IFERROR(LET(
  Labspeed, IF(F199="Labs Speed", 1+'Master Sheet'!$BK$5, LAB_SPEED_TOTAL()),
  Lab, MATCH(IF(ISNUMBER(SEARCH("Mastery", $F199)), "Card Mastery", $F199), DVT_Laboratory!B$1:AA$1, 0)-1,
  Offset, OFFSET(DVT_Laboratory!B$3, 0, Lab, 100, 1),
SUM(TIME_TO_RUSH_GEMS(
    XLOOKUP(INDEX($W$5:$W201, MATCH(F199, $V$5:$V201, 0))+1, SEQUENCE(100, 1, 1, 1), Offset, "N/F", 0, 1):
    XLOOKUP(INDEX($X$5:$X201, MATCH(F199, $V$5:$V201, 0)), SEQUENCE(100, 1, 1, 1), Offset, "N/F", 0, 1)/Labspeed, IDS_LAB_GODLBOXED_COUNT()))),"")</f>
        <v/>
      </c>
      <c r="L199" s="1510" t="str">
        <f t="array" ref="L199">IFERROR(LET(
  Labspeed, IF(F199="Labs Speed", 1+'Master Sheet'!$BK$5, LAB_SPEED_TOTAL()),
  Lab, MATCH(IF(ISNUMBER(SEARCH("Mastery", $F199)), "Card Mastery", $F199), DVT_Laboratory!B$1:AA$1, 0)-1,
  Offset, OFFSET(DVT_Laboratory!B$3, 0, Lab, 100, 1),
K199-SUM(TIME_TO_RUSH_GEMS(
    XLOOKUP(INDEX($W$5:$W201, MATCH(F199, $V$5:$V201, 0))+1, SEQUENCE(100, 1, 1, 1), Offset, "N/F", 0, 1):
    XLOOKUP(INDEX($X$5:$X201, MATCH(F199, $V$5:$V201, 0)), SEQUENCE(100, 1, 1, 1), Offset, "N/F", 0, 1)/Labspeed, IDS_LAB_GODLBOXED_COUNT()+1))),"")</f>
        <v/>
      </c>
      <c r="M199" s="1423" t="str">
        <f t="shared" si="5"/>
        <v/>
      </c>
      <c r="N199" s="1429"/>
      <c r="O199" s="1429"/>
      <c r="P199" s="1429"/>
      <c r="Q199" s="1417"/>
      <c r="R199" s="1417"/>
      <c r="S199" s="1417"/>
      <c r="T199" s="1417"/>
      <c r="U199" s="1417"/>
      <c r="V199" s="1443"/>
      <c r="W199" s="1417" t="s">
        <v>455</v>
      </c>
      <c r="X199" s="1417" t="s">
        <v>455</v>
      </c>
      <c r="Y199" s="1416" t="s">
        <v>455</v>
      </c>
      <c r="Z199" s="1479" t="s">
        <v>455</v>
      </c>
      <c r="AA199" s="1417"/>
    </row>
    <row r="200">
      <c r="A200" s="1404"/>
      <c r="B200" s="1424"/>
      <c r="C200" s="1473"/>
      <c r="D200" s="1476"/>
      <c r="E200" s="1477"/>
      <c r="F200" s="1446"/>
      <c r="G200" s="1448" t="str">
        <f>IFERROR(__xludf.DUMMYFUNCTION("""COMPUTED_VALUE"""),"")</f>
        <v/>
      </c>
      <c r="H200" s="1449" t="str">
        <f t="shared" si="3"/>
        <v/>
      </c>
      <c r="I200" s="1489" t="str">
        <f>IFERROR(__xludf.DUMMYFUNCTION("""COMPUTED_VALUE"""),"")</f>
        <v/>
      </c>
      <c r="J200" s="1449" t="str">
        <f t="shared" si="4"/>
        <v/>
      </c>
      <c r="K200" s="1510" t="str">
        <f t="array" ref="K200">IFERROR(LET(
  Labspeed, IF(F200="Labs Speed", 1+'Master Sheet'!$BK$5, LAB_SPEED_TOTAL()),
  Lab, MATCH(IF(ISNUMBER(SEARCH("Mastery", $F200)), "Card Mastery", $F200), DVT_Laboratory!B$1:AA$1, 0)-1,
  Offset, OFFSET(DVT_Laboratory!B$3, 0, Lab, 100, 1),
SUM(TIME_TO_RUSH_GEMS(
    XLOOKUP(INDEX($W$5:$W201, MATCH(F200, $V$5:$V201, 0))+1, SEQUENCE(100, 1, 1, 1), Offset, "N/F", 0, 1):
    XLOOKUP(INDEX($X$5:$X201, MATCH(F200, $V$5:$V201, 0)), SEQUENCE(100, 1, 1, 1), Offset, "N/F", 0, 1)/Labspeed, IDS_LAB_GODLBOXED_COUNT()))),"")</f>
        <v/>
      </c>
      <c r="L200" s="1510" t="str">
        <f t="array" ref="L200">IFERROR(LET(
  Labspeed, IF(F200="Labs Speed", 1+'Master Sheet'!$BK$5, LAB_SPEED_TOTAL()),
  Lab, MATCH(IF(ISNUMBER(SEARCH("Mastery", $F200)), "Card Mastery", $F200), DVT_Laboratory!B$1:AA$1, 0)-1,
  Offset, OFFSET(DVT_Laboratory!B$3, 0, Lab, 100, 1),
K200-SUM(TIME_TO_RUSH_GEMS(
    XLOOKUP(INDEX($W$5:$W201, MATCH(F200, $V$5:$V201, 0))+1, SEQUENCE(100, 1, 1, 1), Offset, "N/F", 0, 1):
    XLOOKUP(INDEX($X$5:$X201, MATCH(F200, $V$5:$V201, 0)), SEQUENCE(100, 1, 1, 1), Offset, "N/F", 0, 1)/Labspeed, IDS_LAB_GODLBOXED_COUNT()+1))),"")</f>
        <v/>
      </c>
      <c r="M200" s="1423" t="str">
        <f t="shared" si="5"/>
        <v/>
      </c>
      <c r="N200" s="1429"/>
      <c r="O200" s="1429"/>
      <c r="P200" s="1429"/>
      <c r="Q200" s="1417"/>
      <c r="R200" s="1417"/>
      <c r="S200" s="1417"/>
      <c r="T200" s="1417"/>
      <c r="U200" s="1417"/>
      <c r="V200" s="1443"/>
      <c r="W200" s="1417" t="s">
        <v>455</v>
      </c>
      <c r="X200" s="1417" t="s">
        <v>455</v>
      </c>
      <c r="Y200" s="1416" t="s">
        <v>455</v>
      </c>
      <c r="Z200" s="1479" t="s">
        <v>455</v>
      </c>
      <c r="AA200" s="1417"/>
    </row>
    <row r="201">
      <c r="A201" s="1404"/>
      <c r="B201" s="1424"/>
      <c r="C201" s="1473"/>
      <c r="D201" s="1476"/>
      <c r="E201" s="1477"/>
      <c r="F201" s="1424"/>
      <c r="G201" s="1424" t="str">
        <f>IFERROR(__xludf.DUMMYFUNCTION("""COMPUTED_VALUE"""),"")</f>
        <v/>
      </c>
      <c r="H201" s="1424"/>
      <c r="I201" s="1424" t="str">
        <f>IFERROR(__xludf.DUMMYFUNCTION("""COMPUTED_VALUE"""),"")</f>
        <v/>
      </c>
      <c r="J201" s="1424"/>
      <c r="K201" s="1424"/>
      <c r="L201" s="1424"/>
      <c r="M201" s="1423"/>
      <c r="N201" s="1429"/>
      <c r="O201" s="1429"/>
      <c r="P201" s="1429"/>
      <c r="Q201" s="1417"/>
      <c r="R201" s="1417"/>
      <c r="S201" s="1417"/>
      <c r="T201" s="1417"/>
      <c r="U201" s="1417"/>
      <c r="V201" s="1443"/>
      <c r="W201" s="1417" t="s">
        <v>455</v>
      </c>
      <c r="X201" s="1417" t="s">
        <v>455</v>
      </c>
      <c r="Y201" s="1416" t="s">
        <v>455</v>
      </c>
      <c r="Z201" s="1479" t="s">
        <v>455</v>
      </c>
      <c r="AA201" s="1417"/>
    </row>
  </sheetData>
  <mergeCells count="17">
    <mergeCell ref="F2:L2"/>
    <mergeCell ref="E3:E13"/>
    <mergeCell ref="F3:L3"/>
    <mergeCell ref="F4:F5"/>
    <mergeCell ref="G4:G5"/>
    <mergeCell ref="H4:H5"/>
    <mergeCell ref="I4:I5"/>
    <mergeCell ref="L4:L5"/>
    <mergeCell ref="S27:T27"/>
    <mergeCell ref="S60:T60"/>
    <mergeCell ref="J4:J5"/>
    <mergeCell ref="K4:K5"/>
    <mergeCell ref="O4:O5"/>
    <mergeCell ref="S4:T4"/>
    <mergeCell ref="S10:T10"/>
    <mergeCell ref="R11:R13"/>
    <mergeCell ref="R14:R18"/>
  </mergeCells>
  <conditionalFormatting sqref="F6:L200">
    <cfRule type="containsBlanks" dxfId="51" priority="1">
      <formula>LEN(TRIM(F6))=0</formula>
    </cfRule>
  </conditionalFormatting>
  <conditionalFormatting sqref="F6:L200">
    <cfRule type="expression" dxfId="30" priority="2">
      <formula>MOD(LEN($F6),10)=1</formula>
    </cfRule>
  </conditionalFormatting>
  <conditionalFormatting sqref="F6:L200">
    <cfRule type="expression" dxfId="47" priority="3">
      <formula>MOD(LEN($F6),10)=2</formula>
    </cfRule>
  </conditionalFormatting>
  <conditionalFormatting sqref="F6:L200">
    <cfRule type="expression" dxfId="32" priority="4">
      <formula>MOD(LEN($F6),10)=3</formula>
    </cfRule>
  </conditionalFormatting>
  <conditionalFormatting sqref="F6:L200">
    <cfRule type="expression" dxfId="52" priority="5">
      <formula>MOD(LEN($F6),10)=4</formula>
    </cfRule>
  </conditionalFormatting>
  <conditionalFormatting sqref="F6:L200">
    <cfRule type="expression" dxfId="53" priority="6">
      <formula>MOD(LEN($F6),10)=5</formula>
    </cfRule>
  </conditionalFormatting>
  <conditionalFormatting sqref="F6:L200">
    <cfRule type="expression" dxfId="54" priority="7">
      <formula>MOD(LEN($F6),10)=6</formula>
    </cfRule>
  </conditionalFormatting>
  <conditionalFormatting sqref="F6:L200">
    <cfRule type="expression" dxfId="43" priority="8">
      <formula>MOD(LEN($F6),10)=7</formula>
    </cfRule>
  </conditionalFormatting>
  <conditionalFormatting sqref="F6:L200">
    <cfRule type="expression" dxfId="48" priority="9">
      <formula>MOD(LEN($F6),10)=8</formula>
    </cfRule>
  </conditionalFormatting>
  <conditionalFormatting sqref="F6:L200">
    <cfRule type="expression" dxfId="41" priority="10">
      <formula>MOD(LEN($F6),10)=9</formula>
    </cfRule>
  </conditionalFormatting>
  <conditionalFormatting sqref="F6:L200">
    <cfRule type="expression" dxfId="55" priority="11">
      <formula>MOD(LEN($F6),10)=0</formula>
    </cfRule>
  </conditionalFormatting>
  <dataValidations>
    <dataValidation type="list" allowBlank="1" showErrorMessage="1" sqref="O10">
      <formula1>"1,1.5,2,3,4,5,6,7,8"</formula1>
    </dataValidation>
    <dataValidation type="list" allowBlank="1" showErrorMessage="1" sqref="O13">
      <formula1>'Goldbox Path'!$Q$5:$Q$88</formula1>
    </dataValidation>
  </dataValidations>
  <drawing r:id="rId2"/>
  <legacyDrawing r:id="rId3"/>
  <tableParts count="1">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showGridLines="0" workbookViewId="0"/>
  </sheetViews>
  <sheetFormatPr customHeight="1" defaultColWidth="12.63" defaultRowHeight="15.75"/>
  <cols>
    <col customWidth="1" min="1" max="1" width="17.88"/>
    <col customWidth="1" min="2" max="2" width="4.63"/>
    <col customWidth="1" min="3" max="11" width="6.13"/>
    <col customWidth="1" min="12" max="23" width="7.13"/>
    <col customWidth="1" min="24" max="24" width="144.63"/>
  </cols>
  <sheetData>
    <row r="1" ht="14.25" customHeight="1">
      <c r="A1" s="1511"/>
      <c r="B1" s="1511"/>
      <c r="C1" s="1511"/>
      <c r="D1" s="1511"/>
      <c r="E1" s="1511"/>
      <c r="F1" s="1511"/>
      <c r="G1" s="1511"/>
      <c r="H1" s="1511"/>
      <c r="I1" s="1511"/>
      <c r="J1" s="1511"/>
      <c r="K1" s="1511"/>
      <c r="L1" s="1511"/>
      <c r="M1" s="1511"/>
      <c r="N1" s="1511"/>
      <c r="O1" s="1511"/>
      <c r="P1" s="1511"/>
      <c r="Q1" s="1511"/>
      <c r="R1" s="1511"/>
      <c r="S1" s="1511"/>
      <c r="T1" s="1511"/>
      <c r="U1" s="1511"/>
      <c r="V1" s="1511"/>
      <c r="W1" s="1511"/>
      <c r="X1" s="1401"/>
    </row>
    <row r="2" ht="14.25" customHeight="1">
      <c r="A2" s="1511"/>
      <c r="B2" s="1511"/>
      <c r="C2" s="1512" t="s">
        <v>771</v>
      </c>
      <c r="V2" s="1356"/>
      <c r="W2" s="1511"/>
      <c r="X2" s="1401"/>
    </row>
    <row r="3" ht="14.25" customHeight="1">
      <c r="A3" s="1511"/>
      <c r="B3" s="1513"/>
      <c r="C3" s="1357"/>
      <c r="D3" s="1357"/>
      <c r="E3" s="1357"/>
      <c r="F3" s="1357"/>
      <c r="G3" s="1357"/>
      <c r="H3" s="1357"/>
      <c r="I3" s="1357"/>
      <c r="J3" s="1357"/>
      <c r="K3" s="1357"/>
      <c r="L3" s="1357"/>
      <c r="M3" s="1357"/>
      <c r="N3" s="1357"/>
      <c r="O3" s="1357"/>
      <c r="P3" s="1357"/>
      <c r="Q3" s="1357"/>
      <c r="R3" s="1357"/>
      <c r="S3" s="1357"/>
      <c r="T3" s="1357"/>
      <c r="U3" s="1357"/>
      <c r="V3" s="1358"/>
      <c r="W3" s="1511"/>
      <c r="X3" s="1401"/>
    </row>
    <row r="4" ht="14.25" customHeight="1">
      <c r="A4" s="1511"/>
      <c r="B4" s="1514"/>
      <c r="C4" s="1511"/>
      <c r="D4" s="1511"/>
      <c r="E4" s="1511"/>
      <c r="F4" s="1511"/>
      <c r="G4" s="1511"/>
      <c r="H4" s="1511"/>
      <c r="I4" s="1511"/>
      <c r="J4" s="1511"/>
      <c r="K4" s="1511"/>
      <c r="L4" s="1511"/>
      <c r="M4" s="1511"/>
      <c r="N4" s="1511"/>
      <c r="O4" s="1511"/>
      <c r="P4" s="1511"/>
      <c r="Q4" s="1511"/>
      <c r="R4" s="1511"/>
      <c r="S4" s="1515" t="s">
        <v>772</v>
      </c>
      <c r="T4" s="1368"/>
      <c r="U4" s="1368"/>
      <c r="V4" s="1363"/>
      <c r="W4" s="1511"/>
      <c r="X4" s="1401"/>
    </row>
    <row r="5" ht="14.25" customHeight="1">
      <c r="A5" s="1511"/>
      <c r="B5" s="1514"/>
      <c r="C5" s="1511"/>
      <c r="D5" s="1511"/>
      <c r="E5" s="1511"/>
      <c r="F5" s="1511"/>
      <c r="G5" s="1511"/>
      <c r="H5" s="1511"/>
      <c r="I5" s="1511"/>
      <c r="J5" s="1516" t="s">
        <v>773</v>
      </c>
      <c r="K5" s="1363"/>
      <c r="L5" s="1511"/>
      <c r="M5" s="1511"/>
      <c r="N5" s="1511"/>
      <c r="O5" s="1511"/>
      <c r="P5" s="1511"/>
      <c r="Q5" s="1511"/>
      <c r="R5" s="1511"/>
      <c r="S5" s="1511"/>
      <c r="T5" s="1511"/>
      <c r="U5" s="1511"/>
      <c r="V5" s="1511"/>
      <c r="W5" s="1511"/>
      <c r="X5" s="1401"/>
    </row>
    <row r="6" ht="17.25" customHeight="1">
      <c r="A6" s="1511"/>
      <c r="B6" s="1517"/>
      <c r="C6" s="1511"/>
      <c r="D6" s="1511"/>
      <c r="E6" s="1511"/>
      <c r="F6" s="1362" t="s">
        <v>774</v>
      </c>
      <c r="G6" s="1363"/>
      <c r="H6" s="1518" t="s">
        <v>775</v>
      </c>
      <c r="I6" s="1363"/>
      <c r="J6" s="1362" t="s">
        <v>776</v>
      </c>
      <c r="K6" s="1363"/>
      <c r="L6" s="1518" t="s">
        <v>168</v>
      </c>
      <c r="M6" s="1363"/>
      <c r="N6" s="1519" t="s">
        <v>777</v>
      </c>
      <c r="O6" s="1520"/>
      <c r="P6" s="1362" t="s">
        <v>778</v>
      </c>
      <c r="Q6" s="1363"/>
      <c r="R6" s="1518" t="s">
        <v>779</v>
      </c>
      <c r="S6" s="1363"/>
      <c r="T6" s="1511"/>
      <c r="U6" s="1511"/>
      <c r="V6" s="1511"/>
      <c r="W6" s="1511"/>
      <c r="X6" s="1401"/>
    </row>
    <row r="7" ht="14.25" customHeight="1">
      <c r="A7" s="1511"/>
      <c r="B7" s="1511"/>
      <c r="C7" s="1511"/>
      <c r="D7" s="1511"/>
      <c r="E7" s="1511"/>
      <c r="F7" s="1521">
        <f>MAX('Master Sheet'!BF2:BG2)*1%</f>
        <v>0.99</v>
      </c>
      <c r="G7" s="1363"/>
      <c r="H7" s="1522">
        <f>'Master Sheet'!BK6</f>
        <v>0.09</v>
      </c>
      <c r="I7" s="1363"/>
      <c r="J7" s="1522">
        <f>IDS_MOD_ARMOR_SUBSTAT(J5, "Thorns Damage")</f>
        <v>0.11</v>
      </c>
      <c r="K7" s="1363"/>
      <c r="L7" s="1523">
        <f>0.26+0.04*'Master Sheet'!BK2</f>
        <v>0.54</v>
      </c>
      <c r="M7" s="1524" t="str">
        <f>IF('Master Sheet'!BL2, (1+'Master Sheet'!AB25)*5%, "🔒")</f>
        <v>🔒</v>
      </c>
      <c r="N7" s="1525">
        <f>'Master Sheet'!BK9</f>
        <v>0</v>
      </c>
      <c r="O7" s="1526"/>
      <c r="P7" s="1527">
        <v>1.0</v>
      </c>
      <c r="Q7" s="1363"/>
      <c r="R7" s="1528" t="b">
        <v>1</v>
      </c>
      <c r="S7" s="1363"/>
      <c r="T7" s="1511"/>
      <c r="U7" s="1511"/>
      <c r="V7" s="1511"/>
      <c r="W7" s="1511"/>
      <c r="X7" s="1401"/>
    </row>
    <row r="8" ht="14.25" customHeight="1">
      <c r="A8" s="1511"/>
      <c r="B8" s="1511"/>
      <c r="C8" s="1529">
        <f>1% * 'Master Sheet'!M14</f>
        <v>0.15</v>
      </c>
      <c r="D8" s="1513"/>
      <c r="E8" s="1513"/>
      <c r="F8" s="1513"/>
      <c r="G8" s="1513"/>
      <c r="H8" s="1513"/>
      <c r="I8" s="1513"/>
      <c r="J8" s="1513"/>
      <c r="K8" s="1513"/>
      <c r="L8" s="1513"/>
      <c r="M8" s="1514"/>
      <c r="N8" s="1514"/>
      <c r="O8" s="1514"/>
      <c r="P8" s="1514"/>
      <c r="Q8" s="1513"/>
      <c r="R8" s="1513"/>
      <c r="S8" s="1513"/>
      <c r="T8" s="1513"/>
      <c r="U8" s="1513"/>
      <c r="V8" s="1513"/>
      <c r="W8" s="1511"/>
      <c r="X8" s="1401"/>
    </row>
    <row r="9" ht="14.25" customHeight="1">
      <c r="A9" s="1530" t="s">
        <v>780</v>
      </c>
      <c r="B9" s="1531"/>
      <c r="C9" s="1532">
        <v>0.01</v>
      </c>
      <c r="D9" s="1532">
        <v>0.02</v>
      </c>
      <c r="E9" s="1532">
        <v>0.03</v>
      </c>
      <c r="F9" s="1532">
        <v>0.04</v>
      </c>
      <c r="G9" s="1532">
        <v>0.05</v>
      </c>
      <c r="H9" s="1532">
        <v>0.06</v>
      </c>
      <c r="I9" s="1532">
        <v>0.07</v>
      </c>
      <c r="J9" s="1532">
        <v>0.08</v>
      </c>
      <c r="K9" s="1532">
        <v>0.09</v>
      </c>
      <c r="L9" s="1532">
        <v>0.1</v>
      </c>
      <c r="M9" s="1532">
        <v>0.11</v>
      </c>
      <c r="N9" s="1532">
        <v>0.12</v>
      </c>
      <c r="O9" s="1532">
        <v>0.13</v>
      </c>
      <c r="P9" s="1532">
        <v>0.14</v>
      </c>
      <c r="Q9" s="1532">
        <v>0.15</v>
      </c>
      <c r="R9" s="1532">
        <v>0.16</v>
      </c>
      <c r="S9" s="1532">
        <v>0.17</v>
      </c>
      <c r="T9" s="1532">
        <v>0.18</v>
      </c>
      <c r="U9" s="1532">
        <v>0.19</v>
      </c>
      <c r="V9" s="1532">
        <v>0.2</v>
      </c>
      <c r="W9" s="1533"/>
      <c r="X9" s="1401"/>
    </row>
    <row r="10" ht="14.25" customHeight="1">
      <c r="A10" s="1534" t="s">
        <v>781</v>
      </c>
      <c r="B10" s="1535">
        <f>LET(
  Relic, 1+H7,
  Vault, 1+ N7,
  BC, P7,
  Thorn, (F7 + J7) * Vault * Relic,
  RoundedThorn, ROUND(Thorn, 2),
RoundedThorn * BC) </f>
        <v>1.2</v>
      </c>
      <c r="C10" s="1536">
        <f t="shared" ref="C10:V10" si="1">IF($B$10&gt;0, ROUNDUP(100/(C$9*$B10*100),0), )</f>
        <v>84</v>
      </c>
      <c r="D10" s="1536">
        <f t="shared" si="1"/>
        <v>42</v>
      </c>
      <c r="E10" s="1536">
        <f t="shared" si="1"/>
        <v>28</v>
      </c>
      <c r="F10" s="1536">
        <f t="shared" si="1"/>
        <v>21</v>
      </c>
      <c r="G10" s="1537">
        <f t="shared" si="1"/>
        <v>17</v>
      </c>
      <c r="H10" s="1538">
        <f t="shared" si="1"/>
        <v>14</v>
      </c>
      <c r="I10" s="1539">
        <f t="shared" si="1"/>
        <v>12</v>
      </c>
      <c r="J10" s="1540">
        <f t="shared" si="1"/>
        <v>11</v>
      </c>
      <c r="K10" s="1541">
        <f t="shared" si="1"/>
        <v>10</v>
      </c>
      <c r="L10" s="1542">
        <f t="shared" si="1"/>
        <v>9</v>
      </c>
      <c r="M10" s="1543">
        <f t="shared" si="1"/>
        <v>8</v>
      </c>
      <c r="N10" s="1544">
        <f t="shared" si="1"/>
        <v>7</v>
      </c>
      <c r="O10" s="1545">
        <f t="shared" si="1"/>
        <v>7</v>
      </c>
      <c r="P10" s="1545">
        <f t="shared" si="1"/>
        <v>6</v>
      </c>
      <c r="Q10" s="1546">
        <f t="shared" si="1"/>
        <v>6</v>
      </c>
      <c r="R10" s="1546">
        <f t="shared" si="1"/>
        <v>6</v>
      </c>
      <c r="S10" s="1547">
        <f t="shared" si="1"/>
        <v>5</v>
      </c>
      <c r="T10" s="1547">
        <f t="shared" si="1"/>
        <v>5</v>
      </c>
      <c r="U10" s="1547">
        <f t="shared" si="1"/>
        <v>5</v>
      </c>
      <c r="V10" s="1547">
        <f t="shared" si="1"/>
        <v>5</v>
      </c>
      <c r="W10" s="1511"/>
      <c r="X10" s="1401"/>
    </row>
    <row r="11" ht="14.25" customHeight="1">
      <c r="A11" s="1534" t="s">
        <v>782</v>
      </c>
      <c r="B11" s="1548"/>
      <c r="C11" s="1536" t="str">
        <f t="shared" ref="C11:V11" si="2">IF($B$10&gt;0, IF(ISNUMBER($M$7), ROUNDUP((1-$L$7*$M$7)/(C$9*$B10),0), "N/A"),)</f>
        <v>N/A</v>
      </c>
      <c r="D11" s="1536" t="str">
        <f t="shared" si="2"/>
        <v>N/A</v>
      </c>
      <c r="E11" s="1536" t="str">
        <f t="shared" si="2"/>
        <v>N/A</v>
      </c>
      <c r="F11" s="1536" t="str">
        <f t="shared" si="2"/>
        <v>N/A</v>
      </c>
      <c r="G11" s="1549" t="str">
        <f t="shared" si="2"/>
        <v>N/A</v>
      </c>
      <c r="H11" s="1549" t="str">
        <f t="shared" si="2"/>
        <v>N/A</v>
      </c>
      <c r="I11" s="1549" t="str">
        <f t="shared" si="2"/>
        <v>N/A</v>
      </c>
      <c r="J11" s="1549" t="str">
        <f t="shared" si="2"/>
        <v>N/A</v>
      </c>
      <c r="K11" s="1549" t="str">
        <f t="shared" si="2"/>
        <v>N/A</v>
      </c>
      <c r="L11" s="1549" t="str">
        <f t="shared" si="2"/>
        <v>N/A</v>
      </c>
      <c r="M11" s="1549" t="str">
        <f t="shared" si="2"/>
        <v>N/A</v>
      </c>
      <c r="N11" s="1549" t="str">
        <f t="shared" si="2"/>
        <v>N/A</v>
      </c>
      <c r="O11" s="1549" t="str">
        <f t="shared" si="2"/>
        <v>N/A</v>
      </c>
      <c r="P11" s="1549" t="str">
        <f t="shared" si="2"/>
        <v>N/A</v>
      </c>
      <c r="Q11" s="1549" t="str">
        <f t="shared" si="2"/>
        <v>N/A</v>
      </c>
      <c r="R11" s="1549" t="str">
        <f t="shared" si="2"/>
        <v>N/A</v>
      </c>
      <c r="S11" s="1549" t="str">
        <f t="shared" si="2"/>
        <v>N/A</v>
      </c>
      <c r="T11" s="1549" t="str">
        <f t="shared" si="2"/>
        <v>N/A</v>
      </c>
      <c r="U11" s="1549" t="str">
        <f t="shared" si="2"/>
        <v>N/A</v>
      </c>
      <c r="V11" s="1549" t="str">
        <f t="shared" si="2"/>
        <v>N/A</v>
      </c>
      <c r="W11" s="1511"/>
      <c r="X11" s="1401"/>
    </row>
    <row r="12" ht="14.25" customHeight="1">
      <c r="A12" s="1534" t="s">
        <v>783</v>
      </c>
      <c r="B12" s="1548"/>
      <c r="C12" s="1536">
        <f t="shared" ref="C12:V12" si="3">IF($B$10&gt;0, ROUNDUP(100/(C$9*$B10/2*100),0),)</f>
        <v>167</v>
      </c>
      <c r="D12" s="1536">
        <f t="shared" si="3"/>
        <v>84</v>
      </c>
      <c r="E12" s="1536">
        <f t="shared" si="3"/>
        <v>56</v>
      </c>
      <c r="F12" s="1536">
        <f t="shared" si="3"/>
        <v>42</v>
      </c>
      <c r="G12" s="1537">
        <f t="shared" si="3"/>
        <v>34</v>
      </c>
      <c r="H12" s="1550">
        <f t="shared" si="3"/>
        <v>28</v>
      </c>
      <c r="I12" s="1539">
        <f t="shared" si="3"/>
        <v>24</v>
      </c>
      <c r="J12" s="1551">
        <f t="shared" si="3"/>
        <v>21</v>
      </c>
      <c r="K12" s="1552">
        <f t="shared" si="3"/>
        <v>19</v>
      </c>
      <c r="L12" s="1553">
        <f t="shared" si="3"/>
        <v>17</v>
      </c>
      <c r="M12" s="1554">
        <f t="shared" si="3"/>
        <v>16</v>
      </c>
      <c r="N12" s="1555">
        <f t="shared" si="3"/>
        <v>14</v>
      </c>
      <c r="O12" s="1556">
        <f t="shared" si="3"/>
        <v>13</v>
      </c>
      <c r="P12" s="1557">
        <f t="shared" si="3"/>
        <v>12</v>
      </c>
      <c r="Q12" s="1558">
        <f t="shared" si="3"/>
        <v>12</v>
      </c>
      <c r="R12" s="1559">
        <f t="shared" si="3"/>
        <v>11</v>
      </c>
      <c r="S12" s="1560">
        <f t="shared" si="3"/>
        <v>10</v>
      </c>
      <c r="T12" s="1560">
        <f t="shared" si="3"/>
        <v>10</v>
      </c>
      <c r="U12" s="1561">
        <f t="shared" si="3"/>
        <v>9</v>
      </c>
      <c r="V12" s="1562">
        <f t="shared" si="3"/>
        <v>9</v>
      </c>
      <c r="W12" s="1511"/>
      <c r="X12" s="1401"/>
    </row>
    <row r="13" ht="14.25" customHeight="1">
      <c r="A13" s="1534" t="s">
        <v>784</v>
      </c>
      <c r="B13" s="1548"/>
      <c r="C13" s="1536">
        <f t="shared" ref="C13:V13" si="4">IF($B$10&gt;0, ROUNDUP(100/(C$9*$B10/10*100),0),)</f>
        <v>834</v>
      </c>
      <c r="D13" s="1536">
        <f t="shared" si="4"/>
        <v>417</v>
      </c>
      <c r="E13" s="1536">
        <f t="shared" si="4"/>
        <v>278</v>
      </c>
      <c r="F13" s="1536">
        <f t="shared" si="4"/>
        <v>209</v>
      </c>
      <c r="G13" s="1537">
        <f t="shared" si="4"/>
        <v>167</v>
      </c>
      <c r="H13" s="1550">
        <f t="shared" si="4"/>
        <v>139</v>
      </c>
      <c r="I13" s="1539">
        <f t="shared" si="4"/>
        <v>120</v>
      </c>
      <c r="J13" s="1551">
        <f t="shared" si="4"/>
        <v>105</v>
      </c>
      <c r="K13" s="1552">
        <f t="shared" si="4"/>
        <v>93</v>
      </c>
      <c r="L13" s="1553">
        <f t="shared" si="4"/>
        <v>84</v>
      </c>
      <c r="M13" s="1554">
        <f t="shared" si="4"/>
        <v>76</v>
      </c>
      <c r="N13" s="1555">
        <f t="shared" si="4"/>
        <v>70</v>
      </c>
      <c r="O13" s="1556">
        <f t="shared" si="4"/>
        <v>65</v>
      </c>
      <c r="P13" s="1557">
        <f t="shared" si="4"/>
        <v>60</v>
      </c>
      <c r="Q13" s="1558">
        <f t="shared" si="4"/>
        <v>56</v>
      </c>
      <c r="R13" s="1559">
        <f t="shared" si="4"/>
        <v>53</v>
      </c>
      <c r="S13" s="1560">
        <f t="shared" si="4"/>
        <v>50</v>
      </c>
      <c r="T13" s="1560">
        <f t="shared" si="4"/>
        <v>47</v>
      </c>
      <c r="U13" s="1561">
        <f t="shared" si="4"/>
        <v>44</v>
      </c>
      <c r="V13" s="1562">
        <f t="shared" si="4"/>
        <v>42</v>
      </c>
      <c r="W13" s="1511"/>
      <c r="X13" s="1401"/>
    </row>
    <row r="14" ht="14.25" customHeight="1">
      <c r="A14" s="1534" t="s">
        <v>785</v>
      </c>
      <c r="B14" s="1563"/>
      <c r="C14" s="1564">
        <f t="shared" ref="C14:V14" si="5">IF($B$10&gt;0, ROUNDUP((1-$L$7)/(C$9*$B10/2),0),)</f>
        <v>77</v>
      </c>
      <c r="D14" s="1564">
        <f t="shared" si="5"/>
        <v>39</v>
      </c>
      <c r="E14" s="1564">
        <f t="shared" si="5"/>
        <v>26</v>
      </c>
      <c r="F14" s="1564">
        <f t="shared" si="5"/>
        <v>20</v>
      </c>
      <c r="G14" s="1565">
        <f t="shared" si="5"/>
        <v>16</v>
      </c>
      <c r="H14" s="1566">
        <f t="shared" si="5"/>
        <v>13</v>
      </c>
      <c r="I14" s="1567">
        <f t="shared" si="5"/>
        <v>11</v>
      </c>
      <c r="J14" s="1568">
        <f t="shared" si="5"/>
        <v>10</v>
      </c>
      <c r="K14" s="1569">
        <f t="shared" si="5"/>
        <v>9</v>
      </c>
      <c r="L14" s="1570">
        <f t="shared" si="5"/>
        <v>8</v>
      </c>
      <c r="M14" s="1571">
        <f t="shared" si="5"/>
        <v>7</v>
      </c>
      <c r="N14" s="1571">
        <f t="shared" si="5"/>
        <v>7</v>
      </c>
      <c r="O14" s="1572">
        <f t="shared" si="5"/>
        <v>6</v>
      </c>
      <c r="P14" s="1572">
        <f t="shared" si="5"/>
        <v>6</v>
      </c>
      <c r="Q14" s="1573">
        <f t="shared" si="5"/>
        <v>6</v>
      </c>
      <c r="R14" s="1573">
        <f t="shared" si="5"/>
        <v>5</v>
      </c>
      <c r="S14" s="1574">
        <f t="shared" si="5"/>
        <v>5</v>
      </c>
      <c r="T14" s="1574">
        <f t="shared" si="5"/>
        <v>5</v>
      </c>
      <c r="U14" s="1574">
        <f t="shared" si="5"/>
        <v>5</v>
      </c>
      <c r="V14" s="1575">
        <f t="shared" si="5"/>
        <v>4</v>
      </c>
      <c r="W14" s="1511"/>
      <c r="X14" s="1401"/>
    </row>
    <row r="15" ht="20.25" customHeight="1">
      <c r="A15" s="1534"/>
      <c r="B15" s="1534"/>
      <c r="C15" s="1534"/>
      <c r="D15" s="1534"/>
      <c r="E15" s="1534"/>
      <c r="F15" s="1534"/>
      <c r="G15" s="1534"/>
      <c r="H15" s="1534"/>
      <c r="I15" s="1534"/>
      <c r="J15" s="1534"/>
      <c r="K15" s="1534"/>
      <c r="L15" s="1534"/>
      <c r="M15" s="1534"/>
      <c r="N15" s="1534"/>
      <c r="O15" s="1534"/>
      <c r="P15" s="1534"/>
      <c r="Q15" s="1534"/>
      <c r="R15" s="1534"/>
      <c r="S15" s="1534"/>
      <c r="T15" s="1534"/>
      <c r="U15" s="1534"/>
      <c r="V15" s="1534"/>
      <c r="W15" s="1534"/>
      <c r="X15" s="1401"/>
    </row>
    <row r="16" ht="14.25" customHeight="1">
      <c r="A16" s="1576" t="s">
        <v>786</v>
      </c>
      <c r="B16" s="1577"/>
      <c r="C16" s="1577"/>
      <c r="D16" s="1577"/>
      <c r="E16" s="1577"/>
      <c r="F16" s="1577"/>
      <c r="G16" s="1577"/>
      <c r="H16" s="1577"/>
      <c r="I16" s="1577"/>
      <c r="J16" s="1577"/>
      <c r="K16" s="1577"/>
      <c r="L16" s="1577"/>
      <c r="M16" s="1577"/>
      <c r="N16" s="1577"/>
      <c r="O16" s="1577"/>
      <c r="P16" s="1577"/>
      <c r="Q16" s="1577"/>
      <c r="R16" s="1577"/>
      <c r="S16" s="1577"/>
      <c r="T16" s="1577"/>
      <c r="U16" s="1577"/>
      <c r="V16" s="1578"/>
      <c r="W16" s="194"/>
      <c r="X16" s="1401"/>
    </row>
    <row r="17" ht="14.25" customHeight="1">
      <c r="A17" s="1579" t="s">
        <v>780</v>
      </c>
      <c r="B17" s="1580"/>
      <c r="C17" s="1581">
        <v>0.01</v>
      </c>
      <c r="D17" s="1581">
        <v>0.02</v>
      </c>
      <c r="E17" s="1581">
        <v>0.03</v>
      </c>
      <c r="F17" s="1581">
        <v>0.04</v>
      </c>
      <c r="G17" s="1581">
        <v>0.05</v>
      </c>
      <c r="H17" s="1581">
        <v>0.06</v>
      </c>
      <c r="I17" s="1581">
        <v>0.07</v>
      </c>
      <c r="J17" s="1581">
        <v>0.08</v>
      </c>
      <c r="K17" s="1581">
        <v>0.09</v>
      </c>
      <c r="L17" s="1581">
        <v>0.1</v>
      </c>
      <c r="M17" s="1581">
        <v>0.11</v>
      </c>
      <c r="N17" s="1581">
        <v>0.12</v>
      </c>
      <c r="O17" s="1581">
        <v>0.13</v>
      </c>
      <c r="P17" s="1581">
        <v>0.14</v>
      </c>
      <c r="Q17" s="1581">
        <v>0.15</v>
      </c>
      <c r="R17" s="1581">
        <v>0.16</v>
      </c>
      <c r="S17" s="1581">
        <v>0.17</v>
      </c>
      <c r="T17" s="1581">
        <v>0.18</v>
      </c>
      <c r="U17" s="1581">
        <v>0.19</v>
      </c>
      <c r="V17" s="1581">
        <v>0.2</v>
      </c>
      <c r="W17" s="25"/>
      <c r="X17" s="1401"/>
    </row>
    <row r="18" ht="14.25" customHeight="1">
      <c r="A18" s="1534" t="s">
        <v>781</v>
      </c>
      <c r="B18" s="1535">
        <f>$B$10</f>
        <v>1.2</v>
      </c>
      <c r="C18" s="1536">
        <f t="shared" ref="C18:V18" si="6">IF($R$7, THORNSDAMAGE($B$10,C$17,0,1,true), "")</f>
        <v>66</v>
      </c>
      <c r="D18" s="1536">
        <f t="shared" si="6"/>
        <v>37</v>
      </c>
      <c r="E18" s="1536">
        <f t="shared" si="6"/>
        <v>26</v>
      </c>
      <c r="F18" s="1536">
        <f t="shared" si="6"/>
        <v>20</v>
      </c>
      <c r="G18" s="1582">
        <f t="shared" si="6"/>
        <v>16</v>
      </c>
      <c r="H18" s="1583">
        <f t="shared" si="6"/>
        <v>14</v>
      </c>
      <c r="I18" s="1584">
        <f t="shared" si="6"/>
        <v>12</v>
      </c>
      <c r="J18" s="1554">
        <f t="shared" si="6"/>
        <v>11</v>
      </c>
      <c r="K18" s="1585">
        <f t="shared" si="6"/>
        <v>9</v>
      </c>
      <c r="L18" s="1545">
        <f t="shared" si="6"/>
        <v>9</v>
      </c>
      <c r="M18" s="1586">
        <f t="shared" si="6"/>
        <v>8</v>
      </c>
      <c r="N18" s="1587">
        <f t="shared" si="6"/>
        <v>7</v>
      </c>
      <c r="O18" s="1587">
        <f t="shared" si="6"/>
        <v>7</v>
      </c>
      <c r="P18" s="1588">
        <f t="shared" si="6"/>
        <v>6</v>
      </c>
      <c r="Q18" s="1588">
        <f t="shared" si="6"/>
        <v>6</v>
      </c>
      <c r="R18" s="1589">
        <f t="shared" si="6"/>
        <v>6</v>
      </c>
      <c r="S18" s="1589">
        <f t="shared" si="6"/>
        <v>5</v>
      </c>
      <c r="T18" s="1589">
        <f t="shared" si="6"/>
        <v>5</v>
      </c>
      <c r="U18" s="1561">
        <f t="shared" si="6"/>
        <v>5</v>
      </c>
      <c r="V18" s="1561">
        <f t="shared" si="6"/>
        <v>5</v>
      </c>
      <c r="W18" s="25"/>
      <c r="X18" s="1401"/>
    </row>
    <row r="19" ht="14.25" customHeight="1">
      <c r="A19" s="1534" t="s">
        <v>782</v>
      </c>
      <c r="B19" s="1548"/>
      <c r="C19" s="1536" t="str">
        <f t="shared" ref="C19:V19" si="7">IF(AND(ISNUMBER($M$7),$R$7), THORNSDAMAGE($B$10,C$17,$L$7,$M$7,true), "N/A")</f>
        <v>N/A</v>
      </c>
      <c r="D19" s="1536" t="str">
        <f t="shared" si="7"/>
        <v>N/A</v>
      </c>
      <c r="E19" s="1536" t="str">
        <f t="shared" si="7"/>
        <v>N/A</v>
      </c>
      <c r="F19" s="1536" t="str">
        <f t="shared" si="7"/>
        <v>N/A</v>
      </c>
      <c r="G19" s="1536" t="str">
        <f t="shared" si="7"/>
        <v>N/A</v>
      </c>
      <c r="H19" s="1536" t="str">
        <f t="shared" si="7"/>
        <v>N/A</v>
      </c>
      <c r="I19" s="1536" t="str">
        <f t="shared" si="7"/>
        <v>N/A</v>
      </c>
      <c r="J19" s="1536" t="str">
        <f t="shared" si="7"/>
        <v>N/A</v>
      </c>
      <c r="K19" s="1536" t="str">
        <f t="shared" si="7"/>
        <v>N/A</v>
      </c>
      <c r="L19" s="1536" t="str">
        <f t="shared" si="7"/>
        <v>N/A</v>
      </c>
      <c r="M19" s="1536" t="str">
        <f t="shared" si="7"/>
        <v>N/A</v>
      </c>
      <c r="N19" s="1536" t="str">
        <f t="shared" si="7"/>
        <v>N/A</v>
      </c>
      <c r="O19" s="1536" t="str">
        <f t="shared" si="7"/>
        <v>N/A</v>
      </c>
      <c r="P19" s="1536" t="str">
        <f t="shared" si="7"/>
        <v>N/A</v>
      </c>
      <c r="Q19" s="1536" t="str">
        <f t="shared" si="7"/>
        <v>N/A</v>
      </c>
      <c r="R19" s="1536" t="str">
        <f t="shared" si="7"/>
        <v>N/A</v>
      </c>
      <c r="S19" s="1536" t="str">
        <f t="shared" si="7"/>
        <v>N/A</v>
      </c>
      <c r="T19" s="1536" t="str">
        <f t="shared" si="7"/>
        <v>N/A</v>
      </c>
      <c r="U19" s="1536" t="str">
        <f t="shared" si="7"/>
        <v>N/A</v>
      </c>
      <c r="V19" s="1536" t="str">
        <f t="shared" si="7"/>
        <v>N/A</v>
      </c>
      <c r="W19" s="25"/>
      <c r="X19" s="1401"/>
    </row>
    <row r="20" ht="14.25" customHeight="1">
      <c r="A20" s="1534" t="s">
        <v>783</v>
      </c>
      <c r="B20" s="1548"/>
      <c r="C20" s="1536">
        <f t="shared" ref="C20:V20" si="8">IF($R$7, THORNSDAMAGE($B$10,C$17,0,1,true,0.5), "")</f>
        <v>114</v>
      </c>
      <c r="D20" s="1536">
        <f t="shared" si="8"/>
        <v>66</v>
      </c>
      <c r="E20" s="1536">
        <f t="shared" si="8"/>
        <v>47</v>
      </c>
      <c r="F20" s="1536">
        <f t="shared" si="8"/>
        <v>37</v>
      </c>
      <c r="G20" s="1590">
        <f t="shared" si="8"/>
        <v>30</v>
      </c>
      <c r="H20" s="1591">
        <f t="shared" si="8"/>
        <v>26</v>
      </c>
      <c r="I20" s="1592">
        <f t="shared" si="8"/>
        <v>22</v>
      </c>
      <c r="J20" s="1593">
        <f t="shared" si="8"/>
        <v>20</v>
      </c>
      <c r="K20" s="1594">
        <f t="shared" si="8"/>
        <v>18</v>
      </c>
      <c r="L20" s="1582">
        <f t="shared" si="8"/>
        <v>16</v>
      </c>
      <c r="M20" s="1595">
        <f t="shared" si="8"/>
        <v>15</v>
      </c>
      <c r="N20" s="1583">
        <f t="shared" si="8"/>
        <v>14</v>
      </c>
      <c r="O20" s="1596">
        <f t="shared" si="8"/>
        <v>13</v>
      </c>
      <c r="P20" s="1584">
        <f t="shared" si="8"/>
        <v>12</v>
      </c>
      <c r="Q20" s="1584">
        <f t="shared" si="8"/>
        <v>11</v>
      </c>
      <c r="R20" s="1554">
        <f t="shared" si="8"/>
        <v>11</v>
      </c>
      <c r="S20" s="1585">
        <f t="shared" si="8"/>
        <v>10</v>
      </c>
      <c r="T20" s="1585">
        <f t="shared" si="8"/>
        <v>9</v>
      </c>
      <c r="U20" s="1545">
        <f t="shared" si="8"/>
        <v>9</v>
      </c>
      <c r="V20" s="1545">
        <f t="shared" si="8"/>
        <v>9</v>
      </c>
      <c r="W20" s="25"/>
      <c r="X20" s="1401"/>
    </row>
    <row r="21" ht="14.25" customHeight="1">
      <c r="A21" s="1534" t="s">
        <v>784</v>
      </c>
      <c r="B21" s="1548"/>
      <c r="C21" s="1536">
        <f t="shared" ref="C21:V21" si="9">IF($R$7, THORNSDAMAGE($B$10,C$17,0,1,true,0.1), "")</f>
        <v>344</v>
      </c>
      <c r="D21" s="1536">
        <f t="shared" si="9"/>
        <v>219</v>
      </c>
      <c r="E21" s="1536">
        <f t="shared" si="9"/>
        <v>166</v>
      </c>
      <c r="F21" s="1536">
        <f t="shared" si="9"/>
        <v>135</v>
      </c>
      <c r="G21" s="1590">
        <f t="shared" si="9"/>
        <v>114</v>
      </c>
      <c r="H21" s="1591">
        <f t="shared" si="9"/>
        <v>99</v>
      </c>
      <c r="I21" s="1592">
        <f t="shared" si="9"/>
        <v>88</v>
      </c>
      <c r="J21" s="1593">
        <f t="shared" si="9"/>
        <v>79</v>
      </c>
      <c r="K21" s="1594">
        <f t="shared" si="9"/>
        <v>72</v>
      </c>
      <c r="L21" s="1582">
        <f t="shared" si="9"/>
        <v>66</v>
      </c>
      <c r="M21" s="1595">
        <f t="shared" si="9"/>
        <v>61</v>
      </c>
      <c r="N21" s="1583">
        <f t="shared" si="9"/>
        <v>57</v>
      </c>
      <c r="O21" s="1596">
        <f t="shared" si="9"/>
        <v>53</v>
      </c>
      <c r="P21" s="1584">
        <f t="shared" si="9"/>
        <v>50</v>
      </c>
      <c r="Q21" s="1584">
        <f t="shared" si="9"/>
        <v>47</v>
      </c>
      <c r="R21" s="1554">
        <f t="shared" si="9"/>
        <v>45</v>
      </c>
      <c r="S21" s="1585">
        <f t="shared" si="9"/>
        <v>42</v>
      </c>
      <c r="T21" s="1585">
        <f t="shared" si="9"/>
        <v>40</v>
      </c>
      <c r="U21" s="1545">
        <f t="shared" si="9"/>
        <v>39</v>
      </c>
      <c r="V21" s="1545">
        <f t="shared" si="9"/>
        <v>37</v>
      </c>
      <c r="W21" s="25"/>
      <c r="X21" s="1401"/>
    </row>
    <row r="22" ht="14.25" customHeight="1">
      <c r="A22" s="1534" t="s">
        <v>785</v>
      </c>
      <c r="B22" s="1563"/>
      <c r="C22" s="1564">
        <f t="shared" ref="C22:V22" si="10">IF($R$7, THORNSDAMAGE($B$10,C$17,$L$7,,true,0.5), "")</f>
        <v>62</v>
      </c>
      <c r="D22" s="1564">
        <f t="shared" si="10"/>
        <v>34</v>
      </c>
      <c r="E22" s="1564">
        <f t="shared" si="10"/>
        <v>24</v>
      </c>
      <c r="F22" s="1564">
        <f t="shared" si="10"/>
        <v>18</v>
      </c>
      <c r="G22" s="1595">
        <f t="shared" si="10"/>
        <v>15</v>
      </c>
      <c r="H22" s="1596">
        <f t="shared" si="10"/>
        <v>13</v>
      </c>
      <c r="I22" s="1554">
        <f t="shared" si="10"/>
        <v>11</v>
      </c>
      <c r="J22" s="1585">
        <f t="shared" si="10"/>
        <v>10</v>
      </c>
      <c r="K22" s="1545">
        <f t="shared" si="10"/>
        <v>9</v>
      </c>
      <c r="L22" s="1586">
        <f t="shared" si="10"/>
        <v>8</v>
      </c>
      <c r="M22" s="1587">
        <f t="shared" si="10"/>
        <v>7</v>
      </c>
      <c r="N22" s="1587">
        <f t="shared" si="10"/>
        <v>7</v>
      </c>
      <c r="O22" s="1588">
        <f t="shared" si="10"/>
        <v>6</v>
      </c>
      <c r="P22" s="1588">
        <f t="shared" si="10"/>
        <v>6</v>
      </c>
      <c r="Q22" s="1589">
        <f t="shared" si="10"/>
        <v>6</v>
      </c>
      <c r="R22" s="1589">
        <f t="shared" si="10"/>
        <v>5</v>
      </c>
      <c r="S22" s="1589">
        <f t="shared" si="10"/>
        <v>5</v>
      </c>
      <c r="T22" s="1561">
        <f t="shared" si="10"/>
        <v>5</v>
      </c>
      <c r="U22" s="1561">
        <f t="shared" si="10"/>
        <v>4</v>
      </c>
      <c r="V22" s="1561">
        <f t="shared" si="10"/>
        <v>4</v>
      </c>
      <c r="W22" s="25"/>
      <c r="X22" s="1401"/>
    </row>
    <row r="23" ht="20.25" customHeight="1">
      <c r="A23" s="1534"/>
      <c r="B23" s="1534"/>
      <c r="C23" s="1534"/>
      <c r="D23" s="1534"/>
      <c r="E23" s="1534"/>
      <c r="F23" s="1534"/>
      <c r="G23" s="1534"/>
      <c r="H23" s="1534"/>
      <c r="I23" s="1534"/>
      <c r="J23" s="1534"/>
      <c r="K23" s="1534"/>
      <c r="L23" s="1534"/>
      <c r="M23" s="1534"/>
      <c r="N23" s="1534"/>
      <c r="O23" s="1534"/>
      <c r="P23" s="1534"/>
      <c r="Q23" s="1534"/>
      <c r="R23" s="1534"/>
      <c r="S23" s="1534"/>
      <c r="T23" s="1534"/>
      <c r="U23" s="1534"/>
      <c r="V23" s="1534"/>
      <c r="W23" s="1534"/>
      <c r="X23" s="1401"/>
    </row>
    <row r="24" ht="14.25" customHeight="1">
      <c r="A24" s="1597" t="s">
        <v>787</v>
      </c>
      <c r="B24" s="1577"/>
      <c r="C24" s="1577"/>
      <c r="D24" s="1577"/>
      <c r="E24" s="1577"/>
      <c r="F24" s="1577"/>
      <c r="G24" s="1577"/>
      <c r="H24" s="1577"/>
      <c r="I24" s="1577"/>
      <c r="J24" s="1577"/>
      <c r="K24" s="1577"/>
      <c r="L24" s="1577"/>
      <c r="M24" s="1577"/>
      <c r="N24" s="1577"/>
      <c r="O24" s="1577"/>
      <c r="P24" s="1577"/>
      <c r="Q24" s="1577"/>
      <c r="R24" s="1577"/>
      <c r="S24" s="1577"/>
      <c r="T24" s="1577"/>
      <c r="U24" s="1577"/>
      <c r="V24" s="1578"/>
      <c r="W24" s="194"/>
      <c r="X24" s="1401"/>
    </row>
    <row r="25" ht="14.25" customHeight="1">
      <c r="A25" s="1579" t="s">
        <v>780</v>
      </c>
      <c r="B25" s="1580"/>
      <c r="C25" s="1581">
        <v>0.01</v>
      </c>
      <c r="D25" s="1581">
        <v>0.02</v>
      </c>
      <c r="E25" s="1581">
        <v>0.03</v>
      </c>
      <c r="F25" s="1581">
        <v>0.04</v>
      </c>
      <c r="G25" s="1581">
        <v>0.05</v>
      </c>
      <c r="H25" s="1581">
        <v>0.06</v>
      </c>
      <c r="I25" s="1581">
        <v>0.07</v>
      </c>
      <c r="J25" s="1581">
        <v>0.08</v>
      </c>
      <c r="K25" s="1581">
        <v>0.09</v>
      </c>
      <c r="L25" s="1581">
        <v>0.1</v>
      </c>
      <c r="M25" s="1581">
        <v>0.11</v>
      </c>
      <c r="N25" s="1581">
        <v>0.12</v>
      </c>
      <c r="O25" s="1581">
        <v>0.13</v>
      </c>
      <c r="P25" s="1581">
        <v>0.14</v>
      </c>
      <c r="Q25" s="1581">
        <v>0.15</v>
      </c>
      <c r="R25" s="1581">
        <v>0.16</v>
      </c>
      <c r="S25" s="1581">
        <v>0.17</v>
      </c>
      <c r="T25" s="1581">
        <v>0.18</v>
      </c>
      <c r="U25" s="1581">
        <v>0.19</v>
      </c>
      <c r="V25" s="1581">
        <v>0.2</v>
      </c>
      <c r="W25" s="25"/>
      <c r="X25" s="1401"/>
    </row>
    <row r="26" ht="14.25" customHeight="1">
      <c r="A26" s="1534" t="s">
        <v>781</v>
      </c>
      <c r="B26" s="1535">
        <f>$B$10</f>
        <v>1.2</v>
      </c>
      <c r="C26" s="1536">
        <f t="shared" ref="C26:V26" si="11">IFERROR(C18-C10,"")</f>
        <v>-18</v>
      </c>
      <c r="D26" s="1536">
        <f t="shared" si="11"/>
        <v>-5</v>
      </c>
      <c r="E26" s="1536">
        <f t="shared" si="11"/>
        <v>-2</v>
      </c>
      <c r="F26" s="1536">
        <f t="shared" si="11"/>
        <v>-1</v>
      </c>
      <c r="G26" s="1582">
        <f t="shared" si="11"/>
        <v>-1</v>
      </c>
      <c r="H26" s="1583">
        <f t="shared" si="11"/>
        <v>0</v>
      </c>
      <c r="I26" s="1584">
        <f t="shared" si="11"/>
        <v>0</v>
      </c>
      <c r="J26" s="1554">
        <f t="shared" si="11"/>
        <v>0</v>
      </c>
      <c r="K26" s="1585">
        <f t="shared" si="11"/>
        <v>-1</v>
      </c>
      <c r="L26" s="1545">
        <f t="shared" si="11"/>
        <v>0</v>
      </c>
      <c r="M26" s="1586">
        <f t="shared" si="11"/>
        <v>0</v>
      </c>
      <c r="N26" s="1587">
        <f t="shared" si="11"/>
        <v>0</v>
      </c>
      <c r="O26" s="1587">
        <f t="shared" si="11"/>
        <v>0</v>
      </c>
      <c r="P26" s="1588">
        <f t="shared" si="11"/>
        <v>0</v>
      </c>
      <c r="Q26" s="1588">
        <f t="shared" si="11"/>
        <v>0</v>
      </c>
      <c r="R26" s="1589">
        <f t="shared" si="11"/>
        <v>0</v>
      </c>
      <c r="S26" s="1589">
        <f t="shared" si="11"/>
        <v>0</v>
      </c>
      <c r="T26" s="1589">
        <f t="shared" si="11"/>
        <v>0</v>
      </c>
      <c r="U26" s="1561">
        <f t="shared" si="11"/>
        <v>0</v>
      </c>
      <c r="V26" s="1561">
        <f t="shared" si="11"/>
        <v>0</v>
      </c>
      <c r="W26" s="25"/>
      <c r="X26" s="1401"/>
    </row>
    <row r="27" ht="14.25" customHeight="1">
      <c r="A27" s="1534" t="s">
        <v>782</v>
      </c>
      <c r="B27" s="1548"/>
      <c r="C27" s="1536" t="str">
        <f t="shared" ref="C27:V27" si="12">IFERROR(C19-C11,"")</f>
        <v/>
      </c>
      <c r="D27" s="1536" t="str">
        <f t="shared" si="12"/>
        <v/>
      </c>
      <c r="E27" s="1536" t="str">
        <f t="shared" si="12"/>
        <v/>
      </c>
      <c r="F27" s="1536" t="str">
        <f t="shared" si="12"/>
        <v/>
      </c>
      <c r="G27" s="1549" t="str">
        <f t="shared" si="12"/>
        <v/>
      </c>
      <c r="H27" s="1549" t="str">
        <f t="shared" si="12"/>
        <v/>
      </c>
      <c r="I27" s="1549" t="str">
        <f t="shared" si="12"/>
        <v/>
      </c>
      <c r="J27" s="1549" t="str">
        <f t="shared" si="12"/>
        <v/>
      </c>
      <c r="K27" s="1549" t="str">
        <f t="shared" si="12"/>
        <v/>
      </c>
      <c r="L27" s="1549" t="str">
        <f t="shared" si="12"/>
        <v/>
      </c>
      <c r="M27" s="1549" t="str">
        <f t="shared" si="12"/>
        <v/>
      </c>
      <c r="N27" s="1549" t="str">
        <f t="shared" si="12"/>
        <v/>
      </c>
      <c r="O27" s="1549" t="str">
        <f t="shared" si="12"/>
        <v/>
      </c>
      <c r="P27" s="1549" t="str">
        <f t="shared" si="12"/>
        <v/>
      </c>
      <c r="Q27" s="1549" t="str">
        <f t="shared" si="12"/>
        <v/>
      </c>
      <c r="R27" s="1549" t="str">
        <f t="shared" si="12"/>
        <v/>
      </c>
      <c r="S27" s="1549" t="str">
        <f t="shared" si="12"/>
        <v/>
      </c>
      <c r="T27" s="1549" t="str">
        <f t="shared" si="12"/>
        <v/>
      </c>
      <c r="U27" s="1549" t="str">
        <f t="shared" si="12"/>
        <v/>
      </c>
      <c r="V27" s="1549" t="str">
        <f t="shared" si="12"/>
        <v/>
      </c>
      <c r="W27" s="25"/>
      <c r="X27" s="1401"/>
    </row>
    <row r="28" ht="14.25" customHeight="1">
      <c r="A28" s="1534" t="s">
        <v>783</v>
      </c>
      <c r="B28" s="1548"/>
      <c r="C28" s="1536">
        <f t="shared" ref="C28:V28" si="13">IFERROR(C20-C12,"")</f>
        <v>-53</v>
      </c>
      <c r="D28" s="1536">
        <f t="shared" si="13"/>
        <v>-18</v>
      </c>
      <c r="E28" s="1536">
        <f t="shared" si="13"/>
        <v>-9</v>
      </c>
      <c r="F28" s="1536">
        <f t="shared" si="13"/>
        <v>-5</v>
      </c>
      <c r="G28" s="1590">
        <f t="shared" si="13"/>
        <v>-4</v>
      </c>
      <c r="H28" s="1591">
        <f t="shared" si="13"/>
        <v>-2</v>
      </c>
      <c r="I28" s="1592">
        <f t="shared" si="13"/>
        <v>-2</v>
      </c>
      <c r="J28" s="1593">
        <f t="shared" si="13"/>
        <v>-1</v>
      </c>
      <c r="K28" s="1594">
        <f t="shared" si="13"/>
        <v>-1</v>
      </c>
      <c r="L28" s="1582">
        <f t="shared" si="13"/>
        <v>-1</v>
      </c>
      <c r="M28" s="1595">
        <f t="shared" si="13"/>
        <v>-1</v>
      </c>
      <c r="N28" s="1583">
        <f t="shared" si="13"/>
        <v>0</v>
      </c>
      <c r="O28" s="1596">
        <f t="shared" si="13"/>
        <v>0</v>
      </c>
      <c r="P28" s="1584">
        <f t="shared" si="13"/>
        <v>0</v>
      </c>
      <c r="Q28" s="1584">
        <f t="shared" si="13"/>
        <v>-1</v>
      </c>
      <c r="R28" s="1554">
        <f t="shared" si="13"/>
        <v>0</v>
      </c>
      <c r="S28" s="1585">
        <f t="shared" si="13"/>
        <v>0</v>
      </c>
      <c r="T28" s="1585">
        <f t="shared" si="13"/>
        <v>-1</v>
      </c>
      <c r="U28" s="1545">
        <f t="shared" si="13"/>
        <v>0</v>
      </c>
      <c r="V28" s="1545">
        <f t="shared" si="13"/>
        <v>0</v>
      </c>
      <c r="W28" s="25"/>
      <c r="X28" s="1401"/>
    </row>
    <row r="29" ht="14.25" customHeight="1">
      <c r="A29" s="1534" t="s">
        <v>784</v>
      </c>
      <c r="B29" s="1548"/>
      <c r="C29" s="1536">
        <f t="shared" ref="C29:V29" si="14">IFERROR(C21-C13,"")</f>
        <v>-490</v>
      </c>
      <c r="D29" s="1536">
        <f t="shared" si="14"/>
        <v>-198</v>
      </c>
      <c r="E29" s="1536">
        <f t="shared" si="14"/>
        <v>-112</v>
      </c>
      <c r="F29" s="1536">
        <f t="shared" si="14"/>
        <v>-74</v>
      </c>
      <c r="G29" s="1590">
        <f t="shared" si="14"/>
        <v>-53</v>
      </c>
      <c r="H29" s="1591">
        <f t="shared" si="14"/>
        <v>-40</v>
      </c>
      <c r="I29" s="1592">
        <f t="shared" si="14"/>
        <v>-32</v>
      </c>
      <c r="J29" s="1593">
        <f t="shared" si="14"/>
        <v>-26</v>
      </c>
      <c r="K29" s="1594">
        <f t="shared" si="14"/>
        <v>-21</v>
      </c>
      <c r="L29" s="1582">
        <f t="shared" si="14"/>
        <v>-18</v>
      </c>
      <c r="M29" s="1595">
        <f t="shared" si="14"/>
        <v>-15</v>
      </c>
      <c r="N29" s="1583">
        <f t="shared" si="14"/>
        <v>-13</v>
      </c>
      <c r="O29" s="1596">
        <f t="shared" si="14"/>
        <v>-12</v>
      </c>
      <c r="P29" s="1584">
        <f t="shared" si="14"/>
        <v>-10</v>
      </c>
      <c r="Q29" s="1584">
        <f t="shared" si="14"/>
        <v>-9</v>
      </c>
      <c r="R29" s="1554">
        <f t="shared" si="14"/>
        <v>-8</v>
      </c>
      <c r="S29" s="1585">
        <f t="shared" si="14"/>
        <v>-8</v>
      </c>
      <c r="T29" s="1585">
        <f t="shared" si="14"/>
        <v>-7</v>
      </c>
      <c r="U29" s="1545">
        <f t="shared" si="14"/>
        <v>-5</v>
      </c>
      <c r="V29" s="1545">
        <f t="shared" si="14"/>
        <v>-5</v>
      </c>
      <c r="W29" s="25"/>
      <c r="X29" s="1401"/>
    </row>
    <row r="30" ht="14.25" customHeight="1">
      <c r="A30" s="1534" t="s">
        <v>785</v>
      </c>
      <c r="B30" s="1563"/>
      <c r="C30" s="1564">
        <f t="shared" ref="C30:V30" si="15">IFERROR(C22-C14,"")</f>
        <v>-15</v>
      </c>
      <c r="D30" s="1564">
        <f t="shared" si="15"/>
        <v>-5</v>
      </c>
      <c r="E30" s="1564">
        <f t="shared" si="15"/>
        <v>-2</v>
      </c>
      <c r="F30" s="1564">
        <f t="shared" si="15"/>
        <v>-2</v>
      </c>
      <c r="G30" s="1595">
        <f t="shared" si="15"/>
        <v>-1</v>
      </c>
      <c r="H30" s="1596">
        <f t="shared" si="15"/>
        <v>0</v>
      </c>
      <c r="I30" s="1554">
        <f t="shared" si="15"/>
        <v>0</v>
      </c>
      <c r="J30" s="1585">
        <f t="shared" si="15"/>
        <v>0</v>
      </c>
      <c r="K30" s="1545">
        <f t="shared" si="15"/>
        <v>0</v>
      </c>
      <c r="L30" s="1586">
        <f t="shared" si="15"/>
        <v>0</v>
      </c>
      <c r="M30" s="1587">
        <f t="shared" si="15"/>
        <v>0</v>
      </c>
      <c r="N30" s="1587">
        <f t="shared" si="15"/>
        <v>0</v>
      </c>
      <c r="O30" s="1588">
        <f t="shared" si="15"/>
        <v>0</v>
      </c>
      <c r="P30" s="1588">
        <f t="shared" si="15"/>
        <v>0</v>
      </c>
      <c r="Q30" s="1589">
        <f t="shared" si="15"/>
        <v>0</v>
      </c>
      <c r="R30" s="1589">
        <f t="shared" si="15"/>
        <v>0</v>
      </c>
      <c r="S30" s="1589">
        <f t="shared" si="15"/>
        <v>0</v>
      </c>
      <c r="T30" s="1561">
        <f t="shared" si="15"/>
        <v>0</v>
      </c>
      <c r="U30" s="1561">
        <f t="shared" si="15"/>
        <v>-1</v>
      </c>
      <c r="V30" s="1561">
        <f t="shared" si="15"/>
        <v>0</v>
      </c>
      <c r="W30" s="25"/>
      <c r="X30" s="1401"/>
    </row>
    <row r="31" ht="297.75" customHeight="1">
      <c r="A31" s="1401"/>
      <c r="B31" s="1401"/>
      <c r="C31" s="1401"/>
      <c r="D31" s="1401"/>
      <c r="E31" s="1401"/>
      <c r="F31" s="1401"/>
      <c r="G31" s="1401"/>
      <c r="H31" s="1401"/>
      <c r="I31" s="1401"/>
      <c r="J31" s="1401"/>
      <c r="K31" s="1401"/>
      <c r="L31" s="1401"/>
      <c r="M31" s="1401"/>
      <c r="N31" s="1401"/>
      <c r="O31" s="1401"/>
      <c r="P31" s="1401"/>
      <c r="Q31" s="1401"/>
      <c r="R31" s="1401"/>
      <c r="S31" s="1401"/>
      <c r="T31" s="1401"/>
      <c r="U31" s="1401"/>
      <c r="V31" s="1401"/>
      <c r="W31" s="1401"/>
      <c r="X31" s="1401"/>
    </row>
  </sheetData>
  <mergeCells count="21">
    <mergeCell ref="N6:O6"/>
    <mergeCell ref="P6:Q6"/>
    <mergeCell ref="N7:O7"/>
    <mergeCell ref="P7:Q7"/>
    <mergeCell ref="R7:S7"/>
    <mergeCell ref="C2:V3"/>
    <mergeCell ref="S4:V4"/>
    <mergeCell ref="J5:K5"/>
    <mergeCell ref="H6:I6"/>
    <mergeCell ref="J6:K6"/>
    <mergeCell ref="L6:M6"/>
    <mergeCell ref="R6:S6"/>
    <mergeCell ref="B18:B22"/>
    <mergeCell ref="B26:B30"/>
    <mergeCell ref="F6:G6"/>
    <mergeCell ref="F7:G7"/>
    <mergeCell ref="H7:I7"/>
    <mergeCell ref="J7:K7"/>
    <mergeCell ref="B10:B14"/>
    <mergeCell ref="A16:V16"/>
    <mergeCell ref="A24:V24"/>
  </mergeCells>
  <conditionalFormatting sqref="G10:V14">
    <cfRule type="colorScale" priority="1">
      <colorScale>
        <cfvo type="min"/>
        <cfvo type="percentile" val="50"/>
        <cfvo type="max"/>
        <color rgb="FFF8696B"/>
        <color rgb="FFFFEB84"/>
        <color rgb="FF63BE7B"/>
      </colorScale>
    </cfRule>
  </conditionalFormatting>
  <conditionalFormatting sqref="C9:V9 C17:V17 C25:V25">
    <cfRule type="expression" dxfId="59" priority="2">
      <formula>EQ(C9, $C$8)</formula>
    </cfRule>
  </conditionalFormatting>
  <conditionalFormatting sqref="G18:V18 G20:V22">
    <cfRule type="colorScale" priority="3">
      <colorScale>
        <cfvo type="min"/>
        <cfvo type="percentile" val="50"/>
        <cfvo type="max"/>
        <color rgb="FFF8696B"/>
        <color rgb="FFFFEB84"/>
        <color rgb="FF63BE7B"/>
      </colorScale>
    </cfRule>
  </conditionalFormatting>
  <conditionalFormatting sqref="G26:V30">
    <cfRule type="colorScale" priority="4">
      <colorScale>
        <cfvo type="min"/>
        <cfvo type="percentile" val="50"/>
        <cfvo type="max"/>
        <color rgb="FFF8696B"/>
        <color rgb="FFFFEB84"/>
        <color rgb="FF63BE7B"/>
      </colorScale>
    </cfRule>
  </conditionalFormatting>
  <conditionalFormatting sqref="O5 F7:J7 L7:O7">
    <cfRule type="expression" dxfId="60" priority="5">
      <formula>NOT(ISFORMULA(O5))</formula>
    </cfRule>
  </conditionalFormatting>
  <dataValidations>
    <dataValidation type="list" allowBlank="1" showErrorMessage="1" sqref="J5">
      <formula1>"Farming,Tourney,Testing"</formula1>
    </dataValidation>
    <dataValidation type="list" allowBlank="1" showErrorMessage="1" sqref="L7">
      <formula1>"30%,34%,38%,42%,46%,50%,54%"</formula1>
    </dataValidation>
    <dataValidation type="list" allowBlank="1" showErrorMessage="1" sqref="M7">
      <formula1>"🔒,5%,10%,15%,20%,25%,30%,35%,40%,45%,50%"</formula1>
    </dataValidation>
    <dataValidation type="list" allowBlank="1" showErrorMessage="1" sqref="N7">
      <formula1>"0%,5%,10%,15%"</formula1>
    </dataValidation>
  </dataValidations>
  <printOptions/>
  <pageMargins bottom="0.75" footer="0.0" header="0.0" left="0.7" right="0.7" top="0.75"/>
  <pageSetup paperSize="9" orientation="portrait"/>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1598" t="s">
        <v>164</v>
      </c>
      <c r="B1" s="378"/>
      <c r="C1" s="378"/>
      <c r="D1" s="1599">
        <f>'Master Sheet'!BA2</f>
        <v>0</v>
      </c>
      <c r="E1" s="9"/>
    </row>
    <row r="2">
      <c r="A2" s="1600" t="s">
        <v>788</v>
      </c>
      <c r="B2" s="1601"/>
      <c r="C2" s="1601"/>
      <c r="D2" s="1602">
        <f>$D$1*2%</f>
        <v>0</v>
      </c>
      <c r="E2" s="156"/>
    </row>
    <row r="3">
      <c r="A3" s="1603" t="s">
        <v>789</v>
      </c>
      <c r="B3" s="1604" t="s">
        <v>790</v>
      </c>
      <c r="C3" s="1604" t="s">
        <v>791</v>
      </c>
      <c r="D3" s="1605" t="s">
        <v>792</v>
      </c>
      <c r="E3" s="1606" t="s">
        <v>793</v>
      </c>
    </row>
    <row r="4">
      <c r="A4" s="1607">
        <v>1.0</v>
      </c>
      <c r="B4" s="1608">
        <f t="shared" ref="B4:B22" si="1">MAX(D4-$D$1,1)</f>
        <v>3</v>
      </c>
      <c r="C4" s="1609">
        <f t="shared" ref="C4:C22" si="2">($E$4/$D$4)*B4*(1-$D$2)</f>
        <v>-0.01</v>
      </c>
      <c r="D4" s="1608">
        <v>3.0</v>
      </c>
      <c r="E4" s="1610">
        <v>-0.01</v>
      </c>
    </row>
    <row r="5">
      <c r="A5" s="1611">
        <v>20.0</v>
      </c>
      <c r="B5" s="1612">
        <f t="shared" si="1"/>
        <v>6</v>
      </c>
      <c r="C5" s="1613">
        <f t="shared" si="2"/>
        <v>-0.02</v>
      </c>
      <c r="D5" s="1614">
        <v>6.0</v>
      </c>
      <c r="E5" s="1615">
        <v>-0.02</v>
      </c>
    </row>
    <row r="6">
      <c r="A6" s="1607">
        <v>40.0</v>
      </c>
      <c r="B6" s="1608">
        <f t="shared" si="1"/>
        <v>9</v>
      </c>
      <c r="C6" s="1609">
        <f t="shared" si="2"/>
        <v>-0.03</v>
      </c>
      <c r="D6" s="1608">
        <v>9.0</v>
      </c>
      <c r="E6" s="1610">
        <v>-0.030000000000000002</v>
      </c>
    </row>
    <row r="7">
      <c r="A7" s="1611">
        <v>60.0</v>
      </c>
      <c r="B7" s="1612">
        <f t="shared" si="1"/>
        <v>12</v>
      </c>
      <c r="C7" s="1613">
        <f t="shared" si="2"/>
        <v>-0.04</v>
      </c>
      <c r="D7" s="1614">
        <v>12.0</v>
      </c>
      <c r="E7" s="1615">
        <v>-0.04</v>
      </c>
    </row>
    <row r="8">
      <c r="A8" s="1607">
        <v>80.0</v>
      </c>
      <c r="B8" s="1608">
        <f t="shared" si="1"/>
        <v>18</v>
      </c>
      <c r="C8" s="1609">
        <f t="shared" si="2"/>
        <v>-0.06</v>
      </c>
      <c r="D8" s="1608">
        <v>18.0</v>
      </c>
      <c r="E8" s="1610">
        <v>-0.060000000000000005</v>
      </c>
    </row>
    <row r="9">
      <c r="A9" s="1611">
        <v>100.0</v>
      </c>
      <c r="B9" s="1612">
        <f t="shared" si="1"/>
        <v>24</v>
      </c>
      <c r="C9" s="1613">
        <f t="shared" si="2"/>
        <v>-0.08</v>
      </c>
      <c r="D9" s="1614">
        <v>24.0</v>
      </c>
      <c r="E9" s="1615">
        <v>-0.08</v>
      </c>
    </row>
    <row r="10">
      <c r="A10" s="1607">
        <v>150.0</v>
      </c>
      <c r="B10" s="1608">
        <f t="shared" si="1"/>
        <v>30</v>
      </c>
      <c r="C10" s="1609">
        <f t="shared" si="2"/>
        <v>-0.1</v>
      </c>
      <c r="D10" s="1608">
        <v>30.0</v>
      </c>
      <c r="E10" s="1610">
        <v>-0.1</v>
      </c>
    </row>
    <row r="11">
      <c r="A11" s="1611">
        <v>200.0</v>
      </c>
      <c r="B11" s="1612">
        <f t="shared" si="1"/>
        <v>36</v>
      </c>
      <c r="C11" s="1613">
        <f t="shared" si="2"/>
        <v>-0.12</v>
      </c>
      <c r="D11" s="1614">
        <v>36.0</v>
      </c>
      <c r="E11" s="1615">
        <v>-0.12000000000000001</v>
      </c>
    </row>
    <row r="12">
      <c r="A12" s="1607">
        <v>250.0</v>
      </c>
      <c r="B12" s="1608">
        <f t="shared" si="1"/>
        <v>42</v>
      </c>
      <c r="C12" s="1609">
        <f t="shared" si="2"/>
        <v>-0.14</v>
      </c>
      <c r="D12" s="1608">
        <v>42.0</v>
      </c>
      <c r="E12" s="1610">
        <v>-0.14</v>
      </c>
    </row>
    <row r="13">
      <c r="A13" s="1611">
        <v>300.0</v>
      </c>
      <c r="B13" s="1612">
        <f t="shared" si="1"/>
        <v>48</v>
      </c>
      <c r="C13" s="1613">
        <f t="shared" si="2"/>
        <v>-0.16</v>
      </c>
      <c r="D13" s="1614">
        <v>48.0</v>
      </c>
      <c r="E13" s="1615">
        <v>-0.16</v>
      </c>
    </row>
    <row r="14">
      <c r="A14" s="1607">
        <v>350.0</v>
      </c>
      <c r="B14" s="1608">
        <f t="shared" si="1"/>
        <v>54</v>
      </c>
      <c r="C14" s="1609">
        <f t="shared" si="2"/>
        <v>-0.18</v>
      </c>
      <c r="D14" s="1608">
        <v>54.0</v>
      </c>
      <c r="E14" s="1610">
        <v>-0.18000000000000002</v>
      </c>
    </row>
    <row r="15">
      <c r="A15" s="1611">
        <v>400.0</v>
      </c>
      <c r="B15" s="1612">
        <f t="shared" si="1"/>
        <v>60</v>
      </c>
      <c r="C15" s="1613">
        <f t="shared" si="2"/>
        <v>-0.2</v>
      </c>
      <c r="D15" s="1614">
        <v>60.0</v>
      </c>
      <c r="E15" s="1615">
        <v>-0.2</v>
      </c>
    </row>
    <row r="16">
      <c r="A16" s="1607">
        <v>450.0</v>
      </c>
      <c r="B16" s="1608">
        <f t="shared" si="1"/>
        <v>66</v>
      </c>
      <c r="C16" s="1609">
        <f t="shared" si="2"/>
        <v>-0.22</v>
      </c>
      <c r="D16" s="1608">
        <v>66.0</v>
      </c>
      <c r="E16" s="1610">
        <v>-0.22</v>
      </c>
    </row>
    <row r="17">
      <c r="A17" s="1611">
        <v>500.0</v>
      </c>
      <c r="B17" s="1612">
        <f t="shared" si="1"/>
        <v>72</v>
      </c>
      <c r="C17" s="1613">
        <f t="shared" si="2"/>
        <v>-0.24</v>
      </c>
      <c r="D17" s="1614">
        <v>72.0</v>
      </c>
      <c r="E17" s="1615">
        <v>-0.24000000000000002</v>
      </c>
    </row>
    <row r="18">
      <c r="A18" s="1607">
        <v>600.0</v>
      </c>
      <c r="B18" s="1608">
        <f t="shared" si="1"/>
        <v>78</v>
      </c>
      <c r="C18" s="1609">
        <f t="shared" si="2"/>
        <v>-0.26</v>
      </c>
      <c r="D18" s="1608">
        <v>78.0</v>
      </c>
      <c r="E18" s="1610">
        <v>-0.26</v>
      </c>
    </row>
    <row r="19">
      <c r="A19" s="1611">
        <v>700.0</v>
      </c>
      <c r="B19" s="1612">
        <f t="shared" si="1"/>
        <v>84</v>
      </c>
      <c r="C19" s="1613">
        <f t="shared" si="2"/>
        <v>-0.28</v>
      </c>
      <c r="D19" s="1614">
        <v>84.0</v>
      </c>
      <c r="E19" s="1615">
        <v>-0.28</v>
      </c>
    </row>
    <row r="20">
      <c r="A20" s="1607">
        <v>800.0</v>
      </c>
      <c r="B20" s="1608">
        <f t="shared" si="1"/>
        <v>90</v>
      </c>
      <c r="C20" s="1609">
        <f t="shared" si="2"/>
        <v>-0.3</v>
      </c>
      <c r="D20" s="1608">
        <v>90.0</v>
      </c>
      <c r="E20" s="1610">
        <v>-0.30000000000000004</v>
      </c>
    </row>
    <row r="21">
      <c r="A21" s="1611">
        <v>900.0</v>
      </c>
      <c r="B21" s="1612">
        <f t="shared" si="1"/>
        <v>99</v>
      </c>
      <c r="C21" s="1613">
        <f t="shared" si="2"/>
        <v>-0.33</v>
      </c>
      <c r="D21" s="1614">
        <v>99.0</v>
      </c>
      <c r="E21" s="1615">
        <v>-0.33</v>
      </c>
    </row>
    <row r="22">
      <c r="A22" s="1616">
        <v>1000.0</v>
      </c>
      <c r="B22" s="1617">
        <f t="shared" si="1"/>
        <v>100</v>
      </c>
      <c r="C22" s="1618">
        <f t="shared" si="2"/>
        <v>-0.3333333333</v>
      </c>
      <c r="D22" s="1619">
        <v>100.0</v>
      </c>
      <c r="E22" s="1620">
        <v>-0.33333333333333337</v>
      </c>
    </row>
  </sheetData>
  <mergeCells count="4">
    <mergeCell ref="A1:C1"/>
    <mergeCell ref="D1:E1"/>
    <mergeCell ref="A2:C2"/>
    <mergeCell ref="D2:E2"/>
  </mergeCells>
  <dataValidations>
    <dataValidation type="list" allowBlank="1" sqref="D1">
      <formula1>"0,1,2,3,4,5,6,7,8,9,10"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4.13"/>
    <col customWidth="1" min="2" max="2" width="13.25"/>
    <col customWidth="1" min="3" max="23" width="7.38"/>
    <col customWidth="1" min="24" max="24" width="135.38"/>
    <col customWidth="1" hidden="1" min="25" max="25" width="7.0"/>
    <col customWidth="1" hidden="1" min="26" max="28" width="7.63"/>
    <col customWidth="1" hidden="1" min="29" max="37" width="6.63"/>
    <col customWidth="1" hidden="1" min="38" max="43" width="5.5"/>
    <col customWidth="1" hidden="1" min="44" max="44" width="5.88"/>
  </cols>
  <sheetData>
    <row r="1">
      <c r="A1" s="1621"/>
      <c r="B1" s="1622"/>
      <c r="C1" s="1623"/>
      <c r="D1" s="1623"/>
      <c r="E1" s="1623"/>
      <c r="F1" s="1623"/>
      <c r="G1" s="1621"/>
      <c r="H1" s="1621"/>
      <c r="I1" s="1621"/>
      <c r="J1" s="1621"/>
      <c r="K1" s="1621"/>
      <c r="L1" s="1621"/>
      <c r="M1" s="1621"/>
      <c r="N1" s="1621"/>
      <c r="O1" s="1621"/>
      <c r="P1" s="1621"/>
      <c r="Q1" s="1621"/>
      <c r="R1" s="1621"/>
      <c r="S1" s="1621"/>
      <c r="T1" s="1621"/>
      <c r="U1" s="1621"/>
      <c r="V1" s="1621"/>
      <c r="W1" s="1621"/>
      <c r="X1" s="1621"/>
      <c r="Y1" s="1621"/>
      <c r="Z1" s="1621"/>
      <c r="AA1" s="1621"/>
      <c r="AB1" s="1621"/>
      <c r="AC1" s="1621"/>
      <c r="AD1" s="1621"/>
      <c r="AE1" s="1621"/>
      <c r="AF1" s="1621"/>
      <c r="AG1" s="1621"/>
      <c r="AH1" s="1621"/>
      <c r="AI1" s="1621"/>
      <c r="AJ1" s="1621"/>
      <c r="AK1" s="1621"/>
      <c r="AL1" s="1621"/>
      <c r="AM1" s="1621"/>
      <c r="AN1" s="1621"/>
      <c r="AO1" s="1621"/>
      <c r="AP1" s="1621"/>
      <c r="AQ1" s="1621"/>
      <c r="AR1" s="1621"/>
    </row>
    <row r="2" hidden="1">
      <c r="A2" s="1621"/>
      <c r="B2" s="1624"/>
      <c r="C2" s="1625" t="s">
        <v>794</v>
      </c>
      <c r="D2" s="378"/>
      <c r="E2" s="378"/>
      <c r="F2" s="378"/>
      <c r="G2" s="378"/>
      <c r="H2" s="378"/>
      <c r="I2" s="378"/>
      <c r="J2" s="378"/>
      <c r="K2" s="378"/>
      <c r="L2" s="378"/>
      <c r="M2" s="378"/>
      <c r="N2" s="378"/>
      <c r="O2" s="378"/>
      <c r="P2" s="378"/>
      <c r="Q2" s="378"/>
      <c r="R2" s="378"/>
      <c r="S2" s="378"/>
      <c r="T2" s="9"/>
      <c r="U2" s="1626"/>
      <c r="V2" s="1626"/>
      <c r="W2" s="1626"/>
      <c r="X2" s="1621"/>
      <c r="Y2" s="1627"/>
      <c r="Z2" s="1627"/>
      <c r="AA2" s="1627"/>
      <c r="AB2" s="1627"/>
      <c r="AC2" s="1627"/>
      <c r="AD2" s="1627"/>
      <c r="AE2" s="1627"/>
      <c r="AF2" s="1627"/>
      <c r="AG2" s="1627"/>
      <c r="AH2" s="1627"/>
      <c r="AI2" s="1627"/>
      <c r="AJ2" s="1627"/>
      <c r="AK2" s="1627"/>
      <c r="AL2" s="1627"/>
      <c r="AM2" s="1627"/>
      <c r="AN2" s="1627"/>
      <c r="AO2" s="1627"/>
      <c r="AP2" s="1627"/>
      <c r="AQ2" s="1627"/>
      <c r="AR2" s="1621"/>
    </row>
    <row r="3" hidden="1">
      <c r="A3" s="1621"/>
      <c r="B3" s="1624"/>
      <c r="C3" s="1621"/>
      <c r="D3" s="1621"/>
      <c r="E3" s="1628" t="s">
        <v>795</v>
      </c>
      <c r="F3" s="167"/>
      <c r="G3" s="1628" t="s">
        <v>796</v>
      </c>
      <c r="H3" s="167"/>
      <c r="I3" s="1629" t="s">
        <v>154</v>
      </c>
      <c r="J3" s="167"/>
      <c r="K3" s="1629" t="s">
        <v>797</v>
      </c>
      <c r="L3" s="167"/>
      <c r="M3" s="1630" t="s">
        <v>798</v>
      </c>
      <c r="O3" s="1631" t="s">
        <v>799</v>
      </c>
      <c r="P3" s="167"/>
      <c r="Q3" s="1629" t="s">
        <v>800</v>
      </c>
      <c r="R3" s="167"/>
      <c r="S3" s="1621"/>
      <c r="T3" s="1621"/>
      <c r="U3" s="1621"/>
      <c r="V3" s="1621"/>
      <c r="W3" s="1621"/>
      <c r="X3" s="1621"/>
      <c r="Y3" s="1621"/>
      <c r="Z3" s="1621"/>
      <c r="AA3" s="1621"/>
      <c r="AB3" s="1621"/>
      <c r="AC3" s="1621"/>
      <c r="AD3" s="1621"/>
      <c r="AE3" s="1621"/>
      <c r="AF3" s="1621"/>
      <c r="AG3" s="1621"/>
      <c r="AH3" s="1621"/>
      <c r="AI3" s="1621"/>
      <c r="AJ3" s="1621"/>
      <c r="AK3" s="1621"/>
      <c r="AL3" s="1621"/>
      <c r="AM3" s="1621"/>
      <c r="AN3" s="1621"/>
      <c r="AO3" s="1621"/>
      <c r="AP3" s="1621"/>
      <c r="AQ3" s="1621"/>
      <c r="AR3" s="1621"/>
    </row>
    <row r="4" hidden="1">
      <c r="A4" s="1621"/>
      <c r="B4" s="1624"/>
      <c r="C4" s="1621"/>
      <c r="D4" s="1621"/>
      <c r="E4" s="1632">
        <f>'Master Sheet'!AG5</f>
        <v>25</v>
      </c>
      <c r="F4" s="1633"/>
      <c r="G4" s="1632">
        <v>500.0</v>
      </c>
      <c r="H4" s="1633"/>
      <c r="I4" s="1634">
        <v>5.0</v>
      </c>
      <c r="J4" s="1633"/>
      <c r="K4" s="1634">
        <f>I4+1+E4/100</f>
        <v>6.25</v>
      </c>
      <c r="L4" s="1633"/>
      <c r="M4" s="1635">
        <f>'Master Sheet'!M16</f>
        <v>47</v>
      </c>
      <c r="N4" s="1422"/>
      <c r="O4" s="1636">
        <f>TIME(,,((35*9)+38)/10/I4)</f>
        <v>0.00008101851852</v>
      </c>
      <c r="P4" s="1633"/>
      <c r="Q4" s="1636">
        <f>TIME(,,SUM(((35*9)+38)/10/K4))</f>
        <v>0.00005787037037</v>
      </c>
      <c r="R4" s="1633"/>
      <c r="S4" s="1621"/>
      <c r="T4" s="1621"/>
      <c r="U4" s="1621"/>
      <c r="V4" s="1621"/>
      <c r="W4" s="1621"/>
      <c r="X4" s="1621"/>
      <c r="Y4" s="1621"/>
      <c r="Z4" s="1637" t="s">
        <v>801</v>
      </c>
      <c r="AA4" s="1621"/>
      <c r="AB4" s="1621"/>
      <c r="AC4" s="1621"/>
      <c r="AD4" s="1621"/>
      <c r="AE4" s="1621"/>
      <c r="AF4" s="1621"/>
      <c r="AG4" s="1621"/>
      <c r="AH4" s="1621"/>
      <c r="AI4" s="1621"/>
      <c r="AJ4" s="1621"/>
      <c r="AK4" s="1621"/>
      <c r="AL4" s="1621"/>
      <c r="AM4" s="1621"/>
      <c r="AN4" s="1621"/>
      <c r="AO4" s="1621"/>
      <c r="AP4" s="1621"/>
      <c r="AQ4" s="1621"/>
      <c r="AR4" s="1621"/>
    </row>
    <row r="5" hidden="1">
      <c r="A5" s="1621"/>
      <c r="B5" s="1622"/>
      <c r="C5" s="1621"/>
      <c r="D5" s="1621"/>
      <c r="E5" s="1621"/>
      <c r="F5" s="1621"/>
      <c r="G5" s="1621"/>
      <c r="H5" s="1621"/>
      <c r="I5" s="1621"/>
      <c r="J5" s="1621"/>
      <c r="K5" s="1621"/>
      <c r="L5" s="1621"/>
      <c r="M5" s="1621"/>
      <c r="N5" s="1621"/>
      <c r="O5" s="1621"/>
      <c r="P5" s="1621"/>
      <c r="Q5" s="1621"/>
      <c r="R5" s="1621"/>
      <c r="S5" s="1621"/>
      <c r="T5" s="1621"/>
      <c r="U5" s="1621"/>
      <c r="V5" s="1621"/>
      <c r="W5" s="1621"/>
      <c r="X5" s="1621"/>
      <c r="Y5" s="1621"/>
      <c r="Z5" s="1637" t="s">
        <v>802</v>
      </c>
      <c r="AA5" s="1621"/>
      <c r="AB5" s="1621"/>
      <c r="AC5" s="1621"/>
      <c r="AD5" s="1621"/>
      <c r="AE5" s="1621"/>
      <c r="AF5" s="1621"/>
      <c r="AG5" s="1621"/>
      <c r="AH5" s="1621"/>
      <c r="AI5" s="1621"/>
      <c r="AJ5" s="1621"/>
      <c r="AK5" s="1621"/>
      <c r="AL5" s="1621"/>
      <c r="AM5" s="1621"/>
      <c r="AN5" s="1621"/>
      <c r="AO5" s="1621"/>
      <c r="AP5" s="1621"/>
      <c r="AQ5" s="1621"/>
      <c r="AR5" s="1621"/>
    </row>
    <row r="6" hidden="1">
      <c r="A6" s="1621"/>
      <c r="B6" s="1622"/>
      <c r="C6" s="1621"/>
      <c r="D6" s="1621"/>
      <c r="E6" s="1621"/>
      <c r="F6" s="1621"/>
      <c r="G6" s="1621"/>
      <c r="H6" s="1621"/>
      <c r="I6" s="1621"/>
      <c r="J6" s="1621"/>
      <c r="K6" s="1621"/>
      <c r="L6" s="1621"/>
      <c r="M6" s="1621"/>
      <c r="N6" s="1621"/>
      <c r="O6" s="1621"/>
      <c r="P6" s="1621"/>
      <c r="Q6" s="1621"/>
      <c r="R6" s="1621"/>
      <c r="S6" s="1621"/>
      <c r="T6" s="1621"/>
      <c r="U6" s="1621"/>
      <c r="V6" s="1621"/>
      <c r="W6" s="1621"/>
      <c r="X6" s="1621"/>
      <c r="Y6" s="1621"/>
      <c r="Z6" s="1621"/>
      <c r="AA6" s="1621"/>
      <c r="AB6" s="1621"/>
      <c r="AC6" s="1621"/>
      <c r="AD6" s="1621"/>
      <c r="AE6" s="1621"/>
      <c r="AF6" s="1621"/>
      <c r="AG6" s="1621"/>
      <c r="AH6" s="1621"/>
      <c r="AI6" s="1621"/>
      <c r="AJ6" s="1621"/>
      <c r="AK6" s="1621"/>
      <c r="AL6" s="1621"/>
      <c r="AM6" s="1621"/>
      <c r="AN6" s="1621"/>
      <c r="AO6" s="1621"/>
      <c r="AP6" s="1621"/>
      <c r="AQ6" s="1621"/>
      <c r="AR6" s="1621"/>
    </row>
    <row r="7" hidden="1">
      <c r="A7" s="1621"/>
      <c r="B7" s="1621"/>
      <c r="C7" s="1625" t="s">
        <v>803</v>
      </c>
      <c r="D7" s="378"/>
      <c r="E7" s="378"/>
      <c r="F7" s="378"/>
      <c r="G7" s="378"/>
      <c r="H7" s="378"/>
      <c r="I7" s="378"/>
      <c r="J7" s="378"/>
      <c r="K7" s="378"/>
      <c r="L7" s="378"/>
      <c r="M7" s="378"/>
      <c r="N7" s="378"/>
      <c r="O7" s="378"/>
      <c r="P7" s="378"/>
      <c r="Q7" s="378"/>
      <c r="R7" s="378"/>
      <c r="S7" s="378"/>
      <c r="T7" s="9"/>
      <c r="U7" s="1626"/>
      <c r="V7" s="1626"/>
      <c r="W7" s="1626"/>
      <c r="X7" s="1621"/>
      <c r="Y7" s="1621"/>
      <c r="Z7" s="1621"/>
      <c r="AA7" s="1621"/>
      <c r="AB7" s="1621"/>
      <c r="AC7" s="1621"/>
      <c r="AD7" s="1621"/>
      <c r="AE7" s="1621"/>
      <c r="AF7" s="1621"/>
      <c r="AG7" s="1621"/>
      <c r="AH7" s="1621"/>
      <c r="AI7" s="1621"/>
      <c r="AJ7" s="1621"/>
      <c r="AK7" s="1621"/>
      <c r="AL7" s="1621"/>
      <c r="AM7" s="1621"/>
      <c r="AN7" s="1621"/>
      <c r="AO7" s="1621"/>
      <c r="AP7" s="1621"/>
      <c r="AQ7" s="1621"/>
      <c r="AR7" s="1621"/>
    </row>
    <row r="8" hidden="1">
      <c r="A8" s="1621"/>
      <c r="B8" s="1623"/>
      <c r="C8" s="1638">
        <v>1.0</v>
      </c>
      <c r="D8" s="1638">
        <v>2.0</v>
      </c>
      <c r="E8" s="1638">
        <v>3.0</v>
      </c>
      <c r="F8" s="1638">
        <v>4.0</v>
      </c>
      <c r="G8" s="1638">
        <v>5.0</v>
      </c>
      <c r="H8" s="1638">
        <v>6.0</v>
      </c>
      <c r="I8" s="1638">
        <v>7.0</v>
      </c>
      <c r="J8" s="1638">
        <v>8.0</v>
      </c>
      <c r="K8" s="1638">
        <v>9.0</v>
      </c>
      <c r="L8" s="1638">
        <v>10.0</v>
      </c>
      <c r="M8" s="1638">
        <v>11.0</v>
      </c>
      <c r="N8" s="1638">
        <v>12.0</v>
      </c>
      <c r="O8" s="1638">
        <v>13.0</v>
      </c>
      <c r="P8" s="1638">
        <v>14.0</v>
      </c>
      <c r="Q8" s="1638">
        <v>15.0</v>
      </c>
      <c r="R8" s="1638">
        <v>16.0</v>
      </c>
      <c r="S8" s="1638">
        <v>17.0</v>
      </c>
      <c r="T8" s="1638">
        <v>18.0</v>
      </c>
      <c r="U8" s="1639"/>
      <c r="V8" s="1639"/>
      <c r="W8" s="1639"/>
      <c r="X8" s="1621"/>
      <c r="Y8" s="1621"/>
      <c r="Z8" s="1621"/>
      <c r="AA8" s="1621"/>
      <c r="AB8" s="1621"/>
      <c r="AC8" s="1621"/>
      <c r="AD8" s="1621"/>
      <c r="AE8" s="1621"/>
      <c r="AF8" s="1621"/>
      <c r="AG8" s="1621"/>
      <c r="AH8" s="1621"/>
      <c r="AI8" s="1621"/>
      <c r="AJ8" s="1621"/>
      <c r="AK8" s="1621"/>
      <c r="AL8" s="1621"/>
      <c r="AM8" s="1621"/>
      <c r="AN8" s="1621"/>
      <c r="AO8" s="1621"/>
      <c r="AP8" s="1621"/>
      <c r="AQ8" s="1621"/>
      <c r="AR8" s="1621"/>
    </row>
    <row r="9" hidden="1">
      <c r="A9" s="1627"/>
      <c r="B9" s="1640" t="s">
        <v>510</v>
      </c>
      <c r="C9" s="1641">
        <f t="shared" ref="C9:I9" si="1">D9/0.9</f>
        <v>20907.51581</v>
      </c>
      <c r="D9" s="1641">
        <f t="shared" si="1"/>
        <v>18816.76423</v>
      </c>
      <c r="E9" s="1641">
        <f t="shared" si="1"/>
        <v>16935.08781</v>
      </c>
      <c r="F9" s="1641">
        <f t="shared" si="1"/>
        <v>15241.57903</v>
      </c>
      <c r="G9" s="1641">
        <f t="shared" si="1"/>
        <v>13717.42112</v>
      </c>
      <c r="H9" s="1641">
        <f t="shared" si="1"/>
        <v>12345.67901</v>
      </c>
      <c r="I9" s="1641">
        <f t="shared" si="1"/>
        <v>11111.11111</v>
      </c>
      <c r="J9" s="1641">
        <v>10000.0</v>
      </c>
      <c r="K9" s="1641">
        <v>9000.0</v>
      </c>
      <c r="L9" s="1641">
        <v>7416.0</v>
      </c>
      <c r="M9" s="1641">
        <v>6000.0</v>
      </c>
      <c r="N9" s="1641">
        <v>5500.0</v>
      </c>
      <c r="O9" s="1641">
        <v>5000.0</v>
      </c>
      <c r="P9" s="1641">
        <v>5000.0</v>
      </c>
      <c r="Q9" s="1641">
        <v>5000.0</v>
      </c>
      <c r="R9" s="1641">
        <v>5000.0</v>
      </c>
      <c r="S9" s="1641">
        <v>5000.0</v>
      </c>
      <c r="T9" s="1641">
        <v>5000.0</v>
      </c>
      <c r="U9" s="1642">
        <v>5000.0</v>
      </c>
      <c r="V9" s="1642">
        <v>5000.0</v>
      </c>
      <c r="W9" s="1642">
        <v>5000.0</v>
      </c>
      <c r="X9" s="1621"/>
      <c r="Y9" s="1621"/>
      <c r="Z9" s="1621"/>
      <c r="AA9" s="1621"/>
      <c r="AB9" s="1621"/>
      <c r="AC9" s="1621"/>
      <c r="AD9" s="1621"/>
      <c r="AE9" s="1621"/>
      <c r="AF9" s="1621"/>
      <c r="AG9" s="1621"/>
      <c r="AH9" s="1621"/>
      <c r="AI9" s="1621"/>
      <c r="AJ9" s="1621"/>
      <c r="AK9" s="1621"/>
      <c r="AL9" s="1621"/>
      <c r="AM9" s="1621"/>
      <c r="AN9" s="1621"/>
      <c r="AO9" s="1621"/>
      <c r="AP9" s="1621"/>
      <c r="AQ9" s="1621"/>
      <c r="AR9" s="1621"/>
    </row>
    <row r="10" hidden="1">
      <c r="A10" s="1627"/>
      <c r="B10" s="1643" t="s">
        <v>804</v>
      </c>
      <c r="C10" s="1644">
        <f t="shared" ref="C10:T10" si="2">IF(ISBLANK(C$9),,Sum(Z$20:Z$38))</f>
        <v>22445.03163</v>
      </c>
      <c r="D10" s="1644">
        <f t="shared" si="2"/>
        <v>20200.52846</v>
      </c>
      <c r="E10" s="1644">
        <f t="shared" si="2"/>
        <v>18180.47562</v>
      </c>
      <c r="F10" s="1644">
        <f t="shared" si="2"/>
        <v>16362.39806</v>
      </c>
      <c r="G10" s="1644">
        <f t="shared" si="2"/>
        <v>14726.12225</v>
      </c>
      <c r="H10" s="1644">
        <f t="shared" si="2"/>
        <v>13253.78802</v>
      </c>
      <c r="I10" s="1644">
        <f t="shared" si="2"/>
        <v>11928.46222</v>
      </c>
      <c r="J10" s="1644">
        <f t="shared" si="2"/>
        <v>10735.93</v>
      </c>
      <c r="K10" s="1644">
        <f t="shared" si="2"/>
        <v>9662.22</v>
      </c>
      <c r="L10" s="1644">
        <f t="shared" si="2"/>
        <v>7328.24</v>
      </c>
      <c r="M10" s="1644">
        <f t="shared" si="2"/>
        <v>5246.82</v>
      </c>
      <c r="N10" s="1644">
        <f t="shared" si="2"/>
        <v>4922.19</v>
      </c>
      <c r="O10" s="1644">
        <f t="shared" si="2"/>
        <v>4529.94</v>
      </c>
      <c r="P10" s="1644">
        <f t="shared" si="2"/>
        <v>5077.1</v>
      </c>
      <c r="Q10" s="1644">
        <f t="shared" si="2"/>
        <v>-4430.77</v>
      </c>
      <c r="R10" s="1644">
        <f t="shared" si="2"/>
        <v>-3987.88</v>
      </c>
      <c r="S10" s="1644">
        <f t="shared" si="2"/>
        <v>-3589.06</v>
      </c>
      <c r="T10" s="1644">
        <f t="shared" si="2"/>
        <v>-3230.25</v>
      </c>
      <c r="U10" s="1645"/>
      <c r="V10" s="1645"/>
      <c r="W10" s="1645"/>
      <c r="X10" s="1621"/>
      <c r="Y10" s="1621"/>
      <c r="Z10" s="1621"/>
      <c r="AA10" s="1621"/>
      <c r="AB10" s="1621"/>
      <c r="AC10" s="1621"/>
      <c r="AD10" s="1621"/>
      <c r="AE10" s="1621"/>
      <c r="AF10" s="1621"/>
      <c r="AG10" s="1621"/>
      <c r="AH10" s="1621"/>
      <c r="AI10" s="1621"/>
      <c r="AJ10" s="1621"/>
      <c r="AK10" s="1621"/>
      <c r="AL10" s="1621"/>
      <c r="AM10" s="1621"/>
      <c r="AN10" s="1621"/>
      <c r="AO10" s="1621"/>
      <c r="AP10" s="1621"/>
      <c r="AQ10" s="1621"/>
      <c r="AR10" s="1621"/>
    </row>
    <row r="11" hidden="1">
      <c r="A11" s="1627"/>
      <c r="B11" s="1643" t="s">
        <v>805</v>
      </c>
      <c r="C11" s="1646">
        <f t="shared" ref="C11:T11" si="3">C10*C18</f>
        <v>32994.19649</v>
      </c>
      <c r="D11" s="1646">
        <f t="shared" si="3"/>
        <v>44542.16526</v>
      </c>
      <c r="E11" s="1646">
        <f t="shared" si="3"/>
        <v>53450.59831</v>
      </c>
      <c r="F11" s="1646">
        <f t="shared" si="3"/>
        <v>60131.81285</v>
      </c>
      <c r="G11" s="1646">
        <f t="shared" si="3"/>
        <v>64942.19912</v>
      </c>
      <c r="H11" s="1646">
        <f t="shared" si="3"/>
        <v>68190.73939</v>
      </c>
      <c r="I11" s="1646">
        <f t="shared" si="3"/>
        <v>70139.35787</v>
      </c>
      <c r="J11" s="1646">
        <f t="shared" si="3"/>
        <v>71018.17695</v>
      </c>
      <c r="K11" s="1646">
        <f t="shared" si="3"/>
        <v>71017.317</v>
      </c>
      <c r="L11" s="1646">
        <f t="shared" si="3"/>
        <v>59248.8204</v>
      </c>
      <c r="M11" s="1646">
        <f t="shared" si="3"/>
        <v>46276.9524</v>
      </c>
      <c r="N11" s="1646">
        <f t="shared" si="3"/>
        <v>47031.52545</v>
      </c>
      <c r="O11" s="1646">
        <f t="shared" si="3"/>
        <v>46613.0826</v>
      </c>
      <c r="P11" s="1646">
        <f t="shared" si="3"/>
        <v>78365.0385</v>
      </c>
      <c r="Q11" s="1646">
        <f t="shared" si="3"/>
        <v>-84672.0147</v>
      </c>
      <c r="R11" s="1646">
        <f t="shared" si="3"/>
        <v>-82070.5704</v>
      </c>
      <c r="S11" s="1646">
        <f t="shared" si="3"/>
        <v>-76500.8139</v>
      </c>
      <c r="T11" s="1646">
        <f t="shared" si="3"/>
        <v>-71227.0125</v>
      </c>
      <c r="U11" s="1645"/>
      <c r="V11" s="1645"/>
      <c r="W11" s="1645"/>
      <c r="X11" s="1621"/>
      <c r="Y11" s="1621"/>
      <c r="Z11" s="1621"/>
      <c r="AA11" s="1621"/>
      <c r="AB11" s="1621"/>
      <c r="AC11" s="1621"/>
      <c r="AD11" s="1621"/>
      <c r="AE11" s="1621"/>
      <c r="AF11" s="1621"/>
      <c r="AG11" s="1621"/>
      <c r="AH11" s="1621"/>
      <c r="AI11" s="1621"/>
      <c r="AJ11" s="1621"/>
      <c r="AK11" s="1621"/>
      <c r="AL11" s="1621"/>
      <c r="AM11" s="1621"/>
      <c r="AN11" s="1621"/>
      <c r="AO11" s="1621"/>
      <c r="AP11" s="1621"/>
      <c r="AQ11" s="1621"/>
      <c r="AR11" s="1621"/>
    </row>
    <row r="12" hidden="1">
      <c r="A12" s="1627"/>
      <c r="B12" s="1643" t="s">
        <v>806</v>
      </c>
      <c r="C12" s="1647">
        <f t="shared" ref="C12:T12" si="4">MIN($I$4,C9)*$O$4+MAX(0,C9-$I$4)*$Q$4</f>
        <v>1.210041424</v>
      </c>
      <c r="D12" s="1647">
        <f t="shared" si="4"/>
        <v>1.089048856</v>
      </c>
      <c r="E12" s="1647">
        <f t="shared" si="4"/>
        <v>0.9801555445</v>
      </c>
      <c r="F12" s="1647">
        <f t="shared" si="4"/>
        <v>0.8821515641</v>
      </c>
      <c r="G12" s="1647">
        <f t="shared" si="4"/>
        <v>0.7939479818</v>
      </c>
      <c r="H12" s="1647">
        <f t="shared" si="4"/>
        <v>0.7145647577</v>
      </c>
      <c r="I12" s="1647">
        <f t="shared" si="4"/>
        <v>0.643119856</v>
      </c>
      <c r="J12" s="1647">
        <f t="shared" si="4"/>
        <v>0.5788194444</v>
      </c>
      <c r="K12" s="1647">
        <f t="shared" si="4"/>
        <v>0.5209490741</v>
      </c>
      <c r="L12" s="1647">
        <f t="shared" si="4"/>
        <v>0.4292824074</v>
      </c>
      <c r="M12" s="1647">
        <f t="shared" si="4"/>
        <v>0.347337963</v>
      </c>
      <c r="N12" s="1647">
        <f t="shared" si="4"/>
        <v>0.3184027778</v>
      </c>
      <c r="O12" s="1647">
        <f t="shared" si="4"/>
        <v>0.2894675926</v>
      </c>
      <c r="P12" s="1647">
        <f t="shared" si="4"/>
        <v>0.2894675926</v>
      </c>
      <c r="Q12" s="1647">
        <f t="shared" si="4"/>
        <v>0.2894675926</v>
      </c>
      <c r="R12" s="1647">
        <f t="shared" si="4"/>
        <v>0.2894675926</v>
      </c>
      <c r="S12" s="1647">
        <f t="shared" si="4"/>
        <v>0.2894675926</v>
      </c>
      <c r="T12" s="1647">
        <f t="shared" si="4"/>
        <v>0.2894675926</v>
      </c>
      <c r="U12" s="1648"/>
      <c r="V12" s="1648"/>
      <c r="W12" s="1648"/>
      <c r="X12" s="1621"/>
      <c r="Y12" s="1621"/>
      <c r="Z12" s="1621"/>
      <c r="AA12" s="1621"/>
      <c r="AB12" s="1621"/>
      <c r="AC12" s="1621"/>
      <c r="AD12" s="1621"/>
      <c r="AE12" s="1621"/>
      <c r="AF12" s="1621"/>
      <c r="AG12" s="1621"/>
      <c r="AH12" s="1621"/>
      <c r="AI12" s="1621"/>
      <c r="AJ12" s="1621"/>
      <c r="AK12" s="1621"/>
      <c r="AL12" s="1621"/>
      <c r="AM12" s="1621"/>
      <c r="AN12" s="1621"/>
      <c r="AO12" s="1621"/>
      <c r="AP12" s="1621"/>
      <c r="AQ12" s="1621"/>
      <c r="AR12" s="1621"/>
    </row>
    <row r="13" hidden="1">
      <c r="A13" s="1627"/>
      <c r="B13" s="1643" t="s">
        <v>807</v>
      </c>
      <c r="C13" s="1646">
        <f>IFERROR(__xludf.DUMMYFUNCTION("IF(ISBLANK(C$9),,Sum(C10/(TO_PURE_NUMBER(C12*24))))"),772.8740787288104)</f>
        <v>772.8740787</v>
      </c>
      <c r="D13" s="1646">
        <f>IFERROR(__xludf.DUMMYFUNCTION("IF(ISBLANK(D$9),,Sum(D10/(TO_PURE_NUMBER(D12*24))))"),772.8658648623822)</f>
        <v>772.8658649</v>
      </c>
      <c r="E13" s="1646">
        <f>IFERROR(__xludf.DUMMYFUNCTION("IF(ISBLANK(E$9),,Sum(E10/(TO_PURE_NUMBER(E12*24))))"),772.8567385488907)</f>
        <v>772.8567385</v>
      </c>
      <c r="F13" s="1646">
        <f>IFERROR(__xludf.DUMMYFUNCTION("IF(ISBLANK(F$9),,Sum(F10/(TO_PURE_NUMBER(F12*24))))"),772.8451814632882)</f>
        <v>772.8451815</v>
      </c>
      <c r="G13" s="1646">
        <f>IFERROR(__xludf.DUMMYFUNCTION("IF(ISBLANK(G$9),,Sum(G10/(TO_PURE_NUMBER(G12*24))))"),772.8320257306485)</f>
        <v>772.8320257</v>
      </c>
      <c r="H13" s="1646">
        <f>IFERROR(__xludf.DUMMYFUNCTION("IF(ISBLANK(H$9),,Sum(H10/(TO_PURE_NUMBER(H12*24))))"),772.8357182136494)</f>
        <v>772.8357182</v>
      </c>
      <c r="I13" s="1646">
        <f>IFERROR(__xludf.DUMMYFUNCTION("IF(ISBLANK(I$9),,Sum(I10/(TO_PURE_NUMBER(I12*24))))"),772.8252434561779)</f>
        <v>772.8252435</v>
      </c>
      <c r="J13" s="1646">
        <f>IFERROR(__xludf.DUMMYFUNCTION("IF(ISBLANK(J$9),,Sum(J10/(TO_PURE_NUMBER(J12*24))))"),772.8323935212958)</f>
        <v>772.8323935</v>
      </c>
      <c r="K13" s="1646">
        <f>IFERROR(__xludf.DUMMYFUNCTION("IF(ISBLANK(K$9),,Sum(K10/(TO_PURE_NUMBER(K12*24))))"),772.8058653632527)</f>
        <v>772.8058654</v>
      </c>
      <c r="L13" s="1646">
        <f>IFERROR(__xludf.DUMMYFUNCTION("IF(ISBLANK(L$9),,Sum(L10/(TO_PURE_NUMBER(L12*24))))"),711.2877864653545)</f>
        <v>711.2877865</v>
      </c>
      <c r="M13" s="1646">
        <f>IFERROR(__xludf.DUMMYFUNCTION("IF(ISBLANK(M$9),,Sum(M10/(TO_PURE_NUMBER(M12*24))))"),629.4085971342885)</f>
        <v>629.4085971</v>
      </c>
      <c r="N13" s="1646">
        <f>IFERROR(__xludf.DUMMYFUNCTION("IF(ISBLANK(N$9),,Sum(N10/(TO_PURE_NUMBER(N12*24))))"),644.1251908396947)</f>
        <v>644.1251908</v>
      </c>
      <c r="O13" s="1646">
        <f>IFERROR(__xludf.DUMMYFUNCTION("IF(ISBLANK(O$9),,Sum(O10/(TO_PURE_NUMBER(O12*24))))"),652.0505397840864)</f>
        <v>652.0505398</v>
      </c>
      <c r="P13" s="1646">
        <f>IFERROR(__xludf.DUMMYFUNCTION("IF(ISBLANK(P$9),,Sum(P10/(TO_PURE_NUMBER(P12*24))))"),730.8100759696121)</f>
        <v>730.810076</v>
      </c>
      <c r="Q13" s="1646">
        <f>IFERROR(__xludf.DUMMYFUNCTION("IF(ISBLANK(Q$9),,Sum(Q10/(TO_PURE_NUMBER(Q12*24))))"),-637.7757696921233)</f>
        <v>-637.7757697</v>
      </c>
      <c r="R13" s="1646">
        <f>IFERROR(__xludf.DUMMYFUNCTION("IF(ISBLANK(R$9),,Sum(R10/(TO_PURE_NUMBER(R12*24))))"),-574.0251099560176)</f>
        <v>-574.02511</v>
      </c>
      <c r="S13" s="1646">
        <f>IFERROR(__xludf.DUMMYFUNCTION("IF(ISBLANK(S$9),,Sum(S10/(TO_PURE_NUMBER(S12*24))))"),-516.6179928028789)</f>
        <v>-516.6179928</v>
      </c>
      <c r="T13" s="1646">
        <f>IFERROR(__xludf.DUMMYFUNCTION("IF(ISBLANK(T$9),,Sum(T10/(TO_PURE_NUMBER(T12*24))))"),-464.97001199520196)</f>
        <v>-464.970012</v>
      </c>
      <c r="U13" s="1645"/>
      <c r="V13" s="1645"/>
      <c r="W13" s="1645"/>
      <c r="X13" s="1621"/>
      <c r="Y13" s="1621"/>
      <c r="Z13" s="1621"/>
      <c r="AA13" s="1621"/>
      <c r="AB13" s="1621"/>
      <c r="AC13" s="1621"/>
      <c r="AD13" s="1621"/>
      <c r="AE13" s="1621"/>
      <c r="AF13" s="1621"/>
      <c r="AG13" s="1621"/>
      <c r="AH13" s="1621"/>
      <c r="AI13" s="1621"/>
      <c r="AJ13" s="1621"/>
      <c r="AK13" s="1621"/>
      <c r="AL13" s="1621"/>
      <c r="AM13" s="1621"/>
      <c r="AN13" s="1621"/>
      <c r="AO13" s="1621"/>
      <c r="AP13" s="1621"/>
      <c r="AQ13" s="1621"/>
      <c r="AR13" s="1621"/>
    </row>
    <row r="14" hidden="1">
      <c r="A14" s="1627"/>
      <c r="B14" s="1649" t="s">
        <v>808</v>
      </c>
      <c r="C14" s="1646">
        <f>IFERROR(__xludf.DUMMYFUNCTION("IF(ISBLANK(C$9),,Sum(C11/(TO_PURE_NUMBER(C12*24))))"),1136.1248957313512)</f>
        <v>1136.124896</v>
      </c>
      <c r="D14" s="1646">
        <f>IFERROR(__xludf.DUMMYFUNCTION("IF(ISBLANK(D$9),,Sum(D11/(TO_PURE_NUMBER(D12*24))))"),1704.1692320215527)</f>
        <v>1704.169232</v>
      </c>
      <c r="E14" s="1646">
        <f>IFERROR(__xludf.DUMMYFUNCTION("IF(ISBLANK(E$9),,Sum(E11/(TO_PURE_NUMBER(E12*24))))"),2272.198811333739)</f>
        <v>2272.198811</v>
      </c>
      <c r="F14" s="1646">
        <f>IFERROR(__xludf.DUMMYFUNCTION("IF(ISBLANK(F$9),,Sum(F11/(TO_PURE_NUMBER(F12*24))))"),2840.2060418775845)</f>
        <v>2840.206042</v>
      </c>
      <c r="G14" s="1646">
        <f>IFERROR(__xludf.DUMMYFUNCTION("IF(ISBLANK(G$9),,Sum(G11/(TO_PURE_NUMBER(G12*24))))"),3408.18923347216)</f>
        <v>3408.189233</v>
      </c>
      <c r="H14" s="1646">
        <f>IFERROR(__xludf.DUMMYFUNCTION("IF(ISBLANK(H$9),,Sum(H11/(TO_PURE_NUMBER(H12*24))))"),3976.2397702092267)</f>
        <v>3976.23977</v>
      </c>
      <c r="I14" s="1646">
        <f>IFERROR(__xludf.DUMMYFUNCTION("IF(ISBLANK(I$9),,Sum(I11/(TO_PURE_NUMBER(I12*24))))"),4544.212431522326)</f>
        <v>4544.212432</v>
      </c>
      <c r="J14" s="1646">
        <f>IFERROR(__xludf.DUMMYFUNCTION("IF(ISBLANK(J$9),,Sum(J11/(TO_PURE_NUMBER(J12*24))))"),5112.286283143372)</f>
        <v>5112.286283</v>
      </c>
      <c r="K14" s="1646">
        <f>IFERROR(__xludf.DUMMYFUNCTION("IF(ISBLANK(K$9),,Sum(K11/(TO_PURE_NUMBER(K12*24))))"),5680.123110419907)</f>
        <v>5680.12311</v>
      </c>
      <c r="L14" s="1646">
        <f>IFERROR(__xludf.DUMMYFUNCTION("IF(ISBLANK(L$9),,Sum(L11/(TO_PURE_NUMBER(L12*24))))"),5750.761753572391)</f>
        <v>5750.761754</v>
      </c>
      <c r="M14" s="1646">
        <f>IFERROR(__xludf.DUMMYFUNCTION("IF(ISBLANK(M$9),,Sum(M11/(TO_PURE_NUMBER(M12*24))))"),5551.383826724425)</f>
        <v>5551.383827</v>
      </c>
      <c r="N14" s="1646">
        <f>IFERROR(__xludf.DUMMYFUNCTION("IF(ISBLANK(N$9),,Sum(N11/(TO_PURE_NUMBER(N12*24))))"),6154.616198473283)</f>
        <v>6154.616198</v>
      </c>
      <c r="O14" s="1646">
        <f>IFERROR(__xludf.DUMMYFUNCTION("IF(ISBLANK(O$9),,Sum(O11/(TO_PURE_NUMBER(O12*24))))"),6709.600054378248)</f>
        <v>6709.600054</v>
      </c>
      <c r="P14" s="1646">
        <f>IFERROR(__xludf.DUMMYFUNCTION("IF(ISBLANK(P$9),,Sum(P11/(TO_PURE_NUMBER(P12*24))))"),11280.053522590963)</f>
        <v>11280.05352</v>
      </c>
      <c r="Q14" s="1646">
        <f>IFERROR(__xludf.DUMMYFUNCTION("IF(ISBLANK(Q$9),,Sum(Q11/(TO_PURE_NUMBER(Q12*24))))"),-12187.894958816474)</f>
        <v>-12187.89496</v>
      </c>
      <c r="R14" s="1646">
        <f>IFERROR(__xludf.DUMMYFUNCTION("IF(ISBLANK(R$9),,Sum(R11/(TO_PURE_NUMBER(R12*24))))"),-11813.43676289484)</f>
        <v>-11813.43676</v>
      </c>
      <c r="S14" s="1646">
        <f>IFERROR(__xludf.DUMMYFUNCTION("IF(ISBLANK(S$9),,Sum(S11/(TO_PURE_NUMBER(S12*24))))"),-11011.712516593365)</f>
        <v>-11011.71252</v>
      </c>
      <c r="T14" s="1646">
        <f>IFERROR(__xludf.DUMMYFUNCTION("IF(ISBLANK(T$9),,Sum(T11/(TO_PURE_NUMBER(T12*24))))"),-10252.588764494203)</f>
        <v>-10252.58876</v>
      </c>
      <c r="U14" s="1645"/>
      <c r="V14" s="1645"/>
      <c r="W14" s="1645"/>
      <c r="X14" s="1621"/>
      <c r="Y14" s="1621"/>
      <c r="Z14" s="1621"/>
      <c r="AA14" s="1621"/>
      <c r="AB14" s="1621"/>
      <c r="AC14" s="1621"/>
      <c r="AD14" s="1621"/>
      <c r="AE14" s="1621"/>
      <c r="AF14" s="1621"/>
      <c r="AG14" s="1621"/>
      <c r="AH14" s="1621"/>
      <c r="AI14" s="1621"/>
      <c r="AJ14" s="1621"/>
      <c r="AK14" s="1621"/>
      <c r="AL14" s="1621"/>
      <c r="AM14" s="1621"/>
      <c r="AN14" s="1621"/>
      <c r="AO14" s="1621"/>
      <c r="AP14" s="1621"/>
      <c r="AQ14" s="1621"/>
      <c r="AR14" s="1621"/>
    </row>
    <row r="15" hidden="1">
      <c r="A15" s="1621"/>
      <c r="B15" s="1622"/>
      <c r="C15" s="1621"/>
      <c r="D15" s="1621"/>
      <c r="E15" s="1621"/>
      <c r="F15" s="1621"/>
      <c r="G15" s="1621"/>
      <c r="H15" s="1621"/>
      <c r="I15" s="1621"/>
      <c r="J15" s="1621"/>
      <c r="K15" s="1621"/>
      <c r="L15" s="1621"/>
      <c r="M15" s="1621"/>
      <c r="N15" s="1621"/>
      <c r="O15" s="1621"/>
      <c r="P15" s="1621"/>
      <c r="Q15" s="1621"/>
      <c r="R15" s="1621"/>
      <c r="S15" s="1621"/>
      <c r="T15" s="1621"/>
      <c r="U15" s="1621"/>
      <c r="V15" s="1621"/>
      <c r="W15" s="1621"/>
      <c r="X15" s="1621"/>
      <c r="Y15" s="1621"/>
      <c r="Z15" s="1621"/>
      <c r="AA15" s="1621"/>
      <c r="AB15" s="1621"/>
      <c r="AC15" s="1621"/>
      <c r="AD15" s="1621"/>
      <c r="AE15" s="1621"/>
      <c r="AF15" s="1621"/>
      <c r="AG15" s="1621"/>
      <c r="AH15" s="1621"/>
      <c r="AI15" s="1621"/>
      <c r="AJ15" s="1621"/>
      <c r="AK15" s="1621"/>
      <c r="AL15" s="1621"/>
      <c r="AM15" s="1621"/>
      <c r="AN15" s="1621"/>
      <c r="AO15" s="1621"/>
      <c r="AP15" s="1621"/>
      <c r="AQ15" s="1621"/>
      <c r="AR15" s="1621"/>
    </row>
    <row r="16" hidden="1">
      <c r="A16" s="1621"/>
      <c r="B16" s="1621"/>
      <c r="C16" s="1621"/>
      <c r="D16" s="1621"/>
      <c r="E16" s="1621"/>
      <c r="F16" s="1621"/>
      <c r="G16" s="1621"/>
      <c r="H16" s="1621"/>
      <c r="I16" s="1621"/>
      <c r="J16" s="1621"/>
      <c r="K16" s="1621"/>
      <c r="L16" s="1621"/>
      <c r="M16" s="1621"/>
      <c r="N16" s="1621"/>
      <c r="O16" s="1621"/>
      <c r="P16" s="1621"/>
      <c r="Q16" s="1621"/>
      <c r="R16" s="1621"/>
      <c r="S16" s="1621"/>
      <c r="T16" s="1621"/>
      <c r="U16" s="1621"/>
      <c r="V16" s="1621"/>
      <c r="W16" s="1621"/>
      <c r="X16" s="1621"/>
      <c r="Y16" s="1621"/>
      <c r="Z16" s="1621"/>
      <c r="AA16" s="1621"/>
      <c r="AB16" s="1621"/>
      <c r="AC16" s="1621"/>
      <c r="AD16" s="1621"/>
      <c r="AE16" s="1621"/>
      <c r="AF16" s="1621"/>
      <c r="AG16" s="1621"/>
      <c r="AH16" s="1621"/>
      <c r="AI16" s="1621"/>
      <c r="AJ16" s="1621"/>
      <c r="AK16" s="1621"/>
      <c r="AL16" s="1621"/>
      <c r="AM16" s="1621"/>
      <c r="AN16" s="1621"/>
      <c r="AO16" s="1621"/>
      <c r="AP16" s="1621"/>
      <c r="AQ16" s="1621"/>
      <c r="AR16" s="1621"/>
    </row>
    <row r="17">
      <c r="A17" s="1621"/>
      <c r="B17" s="1625" t="s">
        <v>809</v>
      </c>
      <c r="C17" s="378"/>
      <c r="D17" s="378"/>
      <c r="E17" s="378"/>
      <c r="F17" s="378"/>
      <c r="G17" s="378"/>
      <c r="H17" s="378"/>
      <c r="I17" s="378"/>
      <c r="J17" s="378"/>
      <c r="K17" s="378"/>
      <c r="L17" s="378"/>
      <c r="M17" s="378"/>
      <c r="N17" s="378"/>
      <c r="O17" s="378"/>
      <c r="P17" s="378"/>
      <c r="Q17" s="378"/>
      <c r="R17" s="378"/>
      <c r="S17" s="378"/>
      <c r="T17" s="378"/>
      <c r="U17" s="378"/>
      <c r="V17" s="378"/>
      <c r="W17" s="9"/>
      <c r="X17" s="1621"/>
      <c r="Y17" s="1621"/>
      <c r="Z17" s="1625" t="s">
        <v>810</v>
      </c>
      <c r="AA17" s="378"/>
      <c r="AB17" s="378"/>
      <c r="AC17" s="378"/>
      <c r="AD17" s="378"/>
      <c r="AE17" s="378"/>
      <c r="AF17" s="378"/>
      <c r="AG17" s="378"/>
      <c r="AH17" s="378"/>
      <c r="AI17" s="378"/>
      <c r="AJ17" s="378"/>
      <c r="AK17" s="378"/>
      <c r="AL17" s="378"/>
      <c r="AM17" s="378"/>
      <c r="AN17" s="378"/>
      <c r="AO17" s="378"/>
      <c r="AP17" s="378"/>
      <c r="AQ17" s="9"/>
      <c r="AR17" s="1621"/>
    </row>
    <row r="18">
      <c r="A18" s="1621"/>
      <c r="B18" s="1650" t="s">
        <v>811</v>
      </c>
      <c r="C18" s="1651">
        <f t="shared" ref="C18:O18" si="5">(1+(C8-1)*0.5)*(1+$M$4/100)</f>
        <v>1.47</v>
      </c>
      <c r="D18" s="1651">
        <f t="shared" si="5"/>
        <v>2.205</v>
      </c>
      <c r="E18" s="1651">
        <f t="shared" si="5"/>
        <v>2.94</v>
      </c>
      <c r="F18" s="1651">
        <f t="shared" si="5"/>
        <v>3.675</v>
      </c>
      <c r="G18" s="1651">
        <f t="shared" si="5"/>
        <v>4.41</v>
      </c>
      <c r="H18" s="1651">
        <f t="shared" si="5"/>
        <v>5.145</v>
      </c>
      <c r="I18" s="1651">
        <f t="shared" si="5"/>
        <v>5.88</v>
      </c>
      <c r="J18" s="1651">
        <f t="shared" si="5"/>
        <v>6.615</v>
      </c>
      <c r="K18" s="1651">
        <f t="shared" si="5"/>
        <v>7.35</v>
      </c>
      <c r="L18" s="1651">
        <f t="shared" si="5"/>
        <v>8.085</v>
      </c>
      <c r="M18" s="1651">
        <f t="shared" si="5"/>
        <v>8.82</v>
      </c>
      <c r="N18" s="1651">
        <f t="shared" si="5"/>
        <v>9.555</v>
      </c>
      <c r="O18" s="1651">
        <f t="shared" si="5"/>
        <v>10.29</v>
      </c>
      <c r="P18" s="1651">
        <f>((7+P8)/2*(1+$M$4/100))</f>
        <v>15.435</v>
      </c>
      <c r="Q18" s="1651">
        <f>((11+Q8)/2*(1+$M$4/100))</f>
        <v>19.11</v>
      </c>
      <c r="R18" s="1651">
        <f t="shared" ref="R18:S18" si="6">((12+R8)/2*(1+$M$4/100))</f>
        <v>20.58</v>
      </c>
      <c r="S18" s="1651">
        <f t="shared" si="6"/>
        <v>21.315</v>
      </c>
      <c r="T18" s="1651">
        <f t="shared" ref="T18:W18" si="7">((12+T19)/2*(1+$M$4/100))</f>
        <v>22.05</v>
      </c>
      <c r="U18" s="1651">
        <f t="shared" si="7"/>
        <v>22.785</v>
      </c>
      <c r="V18" s="1651">
        <f t="shared" si="7"/>
        <v>23.52</v>
      </c>
      <c r="W18" s="1651">
        <f t="shared" si="7"/>
        <v>24.255</v>
      </c>
      <c r="X18" s="1621"/>
      <c r="Y18" s="1621"/>
      <c r="Z18" s="1652"/>
      <c r="AA18" s="1652"/>
      <c r="AB18" s="1652"/>
      <c r="AC18" s="1652"/>
      <c r="AD18" s="1652"/>
      <c r="AE18" s="1652"/>
      <c r="AF18" s="1652"/>
      <c r="AG18" s="1652"/>
      <c r="AH18" s="1652"/>
      <c r="AI18" s="1652"/>
      <c r="AJ18" s="1652"/>
      <c r="AK18" s="1652"/>
      <c r="AL18" s="1652"/>
      <c r="AM18" s="1652"/>
      <c r="AN18" s="1652"/>
      <c r="AO18" s="1652"/>
      <c r="AP18" s="1652"/>
      <c r="AQ18" s="1652"/>
      <c r="AR18" s="1621"/>
    </row>
    <row r="19">
      <c r="A19" s="1621"/>
      <c r="B19" s="1650" t="s">
        <v>812</v>
      </c>
      <c r="C19" s="1638">
        <v>1.0</v>
      </c>
      <c r="D19" s="1638">
        <v>2.0</v>
      </c>
      <c r="E19" s="1638">
        <v>3.0</v>
      </c>
      <c r="F19" s="1638">
        <v>4.0</v>
      </c>
      <c r="G19" s="1638">
        <v>5.0</v>
      </c>
      <c r="H19" s="1638">
        <v>6.0</v>
      </c>
      <c r="I19" s="1638">
        <v>7.0</v>
      </c>
      <c r="J19" s="1638">
        <v>8.0</v>
      </c>
      <c r="K19" s="1638">
        <v>9.0</v>
      </c>
      <c r="L19" s="1638">
        <v>10.0</v>
      </c>
      <c r="M19" s="1638">
        <v>11.0</v>
      </c>
      <c r="N19" s="1638">
        <v>12.0</v>
      </c>
      <c r="O19" s="1638">
        <v>13.0</v>
      </c>
      <c r="P19" s="1638">
        <v>14.0</v>
      </c>
      <c r="Q19" s="1638">
        <v>15.0</v>
      </c>
      <c r="R19" s="1638">
        <v>16.0</v>
      </c>
      <c r="S19" s="1638">
        <v>17.0</v>
      </c>
      <c r="T19" s="1638">
        <v>18.0</v>
      </c>
      <c r="U19" s="1638">
        <v>19.0</v>
      </c>
      <c r="V19" s="1638">
        <v>20.0</v>
      </c>
      <c r="W19" s="1638">
        <v>21.0</v>
      </c>
      <c r="X19" s="1621"/>
      <c r="Y19" s="1621"/>
      <c r="Z19" s="1638">
        <v>1.0</v>
      </c>
      <c r="AA19" s="1638">
        <v>2.0</v>
      </c>
      <c r="AB19" s="1638">
        <v>3.0</v>
      </c>
      <c r="AC19" s="1638">
        <v>4.0</v>
      </c>
      <c r="AD19" s="1638">
        <v>5.0</v>
      </c>
      <c r="AE19" s="1638">
        <v>6.0</v>
      </c>
      <c r="AF19" s="1638">
        <v>7.0</v>
      </c>
      <c r="AG19" s="1638">
        <v>8.0</v>
      </c>
      <c r="AH19" s="1638">
        <v>9.0</v>
      </c>
      <c r="AI19" s="1638">
        <v>10.0</v>
      </c>
      <c r="AJ19" s="1638">
        <v>11.0</v>
      </c>
      <c r="AK19" s="1638">
        <v>12.0</v>
      </c>
      <c r="AL19" s="1638">
        <v>13.0</v>
      </c>
      <c r="AM19" s="1638">
        <v>14.0</v>
      </c>
      <c r="AN19" s="1638">
        <v>15.0</v>
      </c>
      <c r="AO19" s="1638">
        <v>16.0</v>
      </c>
      <c r="AP19" s="1638">
        <v>17.0</v>
      </c>
      <c r="AQ19" s="1638">
        <v>18.0</v>
      </c>
      <c r="AR19" s="1621"/>
    </row>
    <row r="20">
      <c r="A20" s="1621"/>
      <c r="B20" s="1653">
        <v>0.01</v>
      </c>
      <c r="C20" s="1654">
        <v>500.0</v>
      </c>
      <c r="D20" s="1654">
        <v>450.0</v>
      </c>
      <c r="E20" s="1654">
        <v>405.0</v>
      </c>
      <c r="F20" s="1654">
        <v>365.0</v>
      </c>
      <c r="G20" s="1654">
        <v>328.0</v>
      </c>
      <c r="H20" s="1654">
        <v>295.0</v>
      </c>
      <c r="I20" s="1654">
        <v>266.0</v>
      </c>
      <c r="J20" s="1654">
        <v>239.0</v>
      </c>
      <c r="K20" s="1654">
        <v>215.0</v>
      </c>
      <c r="L20" s="1654">
        <v>194.0</v>
      </c>
      <c r="M20" s="1654">
        <v>174.0</v>
      </c>
      <c r="N20" s="1654">
        <v>157.0</v>
      </c>
      <c r="O20" s="1654">
        <v>141.0</v>
      </c>
      <c r="P20" s="1654">
        <v>127.0</v>
      </c>
      <c r="Q20" s="1654">
        <v>114.0</v>
      </c>
      <c r="R20" s="1654">
        <v>103.0</v>
      </c>
      <c r="S20" s="1654">
        <v>93.0</v>
      </c>
      <c r="T20" s="1654">
        <v>84.0</v>
      </c>
      <c r="U20" s="1654">
        <f t="shared" ref="U20:W20" si="8">ROUND(C20*POW(0.9, U$19-1),0)</f>
        <v>75</v>
      </c>
      <c r="V20" s="1654">
        <f t="shared" si="8"/>
        <v>61</v>
      </c>
      <c r="W20" s="1654">
        <f t="shared" si="8"/>
        <v>49</v>
      </c>
      <c r="X20" s="1621"/>
      <c r="Y20" s="1621"/>
      <c r="Z20" s="1652">
        <f t="shared" ref="Z20:AQ20" si="9">IF(C$9&lt;C20,0,IF(C$9&lt;C21,C$9-C20,C21-C20))*$B20</f>
        <v>5</v>
      </c>
      <c r="AA20" s="1652">
        <f t="shared" si="9"/>
        <v>4.5</v>
      </c>
      <c r="AB20" s="1652">
        <f t="shared" si="9"/>
        <v>4.05</v>
      </c>
      <c r="AC20" s="1652">
        <f t="shared" si="9"/>
        <v>3.64</v>
      </c>
      <c r="AD20" s="1652">
        <f t="shared" si="9"/>
        <v>3.28</v>
      </c>
      <c r="AE20" s="1652">
        <f t="shared" si="9"/>
        <v>2.95</v>
      </c>
      <c r="AF20" s="1652">
        <f t="shared" si="9"/>
        <v>2.65</v>
      </c>
      <c r="AG20" s="1652">
        <f t="shared" si="9"/>
        <v>2.39</v>
      </c>
      <c r="AH20" s="1652">
        <f t="shared" si="9"/>
        <v>2.15</v>
      </c>
      <c r="AI20" s="1652">
        <f t="shared" si="9"/>
        <v>1.93</v>
      </c>
      <c r="AJ20" s="1652">
        <f t="shared" si="9"/>
        <v>1.75</v>
      </c>
      <c r="AK20" s="1652">
        <f t="shared" si="9"/>
        <v>1.57</v>
      </c>
      <c r="AL20" s="1652">
        <f t="shared" si="9"/>
        <v>1.41</v>
      </c>
      <c r="AM20" s="1652">
        <f t="shared" si="9"/>
        <v>1.27</v>
      </c>
      <c r="AN20" s="1652">
        <f t="shared" si="9"/>
        <v>1.15</v>
      </c>
      <c r="AO20" s="1652">
        <f t="shared" si="9"/>
        <v>1.03</v>
      </c>
      <c r="AP20" s="1652">
        <f t="shared" si="9"/>
        <v>0.92</v>
      </c>
      <c r="AQ20" s="1652">
        <f t="shared" si="9"/>
        <v>0.83</v>
      </c>
      <c r="AR20" s="1621"/>
    </row>
    <row r="21">
      <c r="A21" s="1621"/>
      <c r="B21" s="1653">
        <v>0.04</v>
      </c>
      <c r="C21" s="1654">
        <v>1000.0</v>
      </c>
      <c r="D21" s="1654">
        <v>900.0</v>
      </c>
      <c r="E21" s="1654">
        <v>810.0</v>
      </c>
      <c r="F21" s="1654">
        <v>729.0</v>
      </c>
      <c r="G21" s="1654">
        <v>656.0</v>
      </c>
      <c r="H21" s="1654">
        <v>590.0</v>
      </c>
      <c r="I21" s="1654">
        <v>531.0</v>
      </c>
      <c r="J21" s="1654">
        <v>478.0</v>
      </c>
      <c r="K21" s="1654">
        <v>430.0</v>
      </c>
      <c r="L21" s="1654">
        <v>387.0</v>
      </c>
      <c r="M21" s="1654">
        <v>349.0</v>
      </c>
      <c r="N21" s="1654">
        <v>314.0</v>
      </c>
      <c r="O21" s="1654">
        <v>282.0</v>
      </c>
      <c r="P21" s="1654">
        <v>254.0</v>
      </c>
      <c r="Q21" s="1654">
        <v>229.0</v>
      </c>
      <c r="R21" s="1654">
        <v>206.0</v>
      </c>
      <c r="S21" s="1654">
        <v>185.0</v>
      </c>
      <c r="T21" s="1654">
        <v>167.0</v>
      </c>
      <c r="U21" s="1654">
        <f t="shared" ref="U21:W21" si="10">ROUND(C21*POW(0.9, U$19-1),0)</f>
        <v>150</v>
      </c>
      <c r="V21" s="1654">
        <f t="shared" si="10"/>
        <v>122</v>
      </c>
      <c r="W21" s="1654">
        <f t="shared" si="10"/>
        <v>98</v>
      </c>
      <c r="X21" s="1621"/>
      <c r="Y21" s="1621"/>
      <c r="Z21" s="1652">
        <f t="shared" ref="Z21:AQ21" si="11">IF(C$9&lt;C21,0,IF(C$9&lt;C22,C$9-C21,C22-C21))*$B21</f>
        <v>20</v>
      </c>
      <c r="AA21" s="1652">
        <f t="shared" si="11"/>
        <v>18</v>
      </c>
      <c r="AB21" s="1652">
        <f t="shared" si="11"/>
        <v>16.2</v>
      </c>
      <c r="AC21" s="1652">
        <f t="shared" si="11"/>
        <v>14.6</v>
      </c>
      <c r="AD21" s="1652">
        <f t="shared" si="11"/>
        <v>13.12</v>
      </c>
      <c r="AE21" s="1652">
        <f t="shared" si="11"/>
        <v>11.84</v>
      </c>
      <c r="AF21" s="1652">
        <f t="shared" si="11"/>
        <v>10.64</v>
      </c>
      <c r="AG21" s="1652">
        <f t="shared" si="11"/>
        <v>9.56</v>
      </c>
      <c r="AH21" s="1652">
        <f t="shared" si="11"/>
        <v>8.64</v>
      </c>
      <c r="AI21" s="1652">
        <f t="shared" si="11"/>
        <v>7.76</v>
      </c>
      <c r="AJ21" s="1652">
        <f t="shared" si="11"/>
        <v>6.96</v>
      </c>
      <c r="AK21" s="1652">
        <f t="shared" si="11"/>
        <v>6.28</v>
      </c>
      <c r="AL21" s="1652">
        <f t="shared" si="11"/>
        <v>5.68</v>
      </c>
      <c r="AM21" s="1652">
        <f t="shared" si="11"/>
        <v>5.08</v>
      </c>
      <c r="AN21" s="1652">
        <f t="shared" si="11"/>
        <v>4.56</v>
      </c>
      <c r="AO21" s="1652">
        <f t="shared" si="11"/>
        <v>4.12</v>
      </c>
      <c r="AP21" s="1652">
        <f t="shared" si="11"/>
        <v>3.72</v>
      </c>
      <c r="AQ21" s="1652">
        <f t="shared" si="11"/>
        <v>3.32</v>
      </c>
      <c r="AR21" s="1621"/>
    </row>
    <row r="22">
      <c r="A22" s="1621"/>
      <c r="B22" s="1653">
        <v>0.09</v>
      </c>
      <c r="C22" s="1654">
        <v>1500.0</v>
      </c>
      <c r="D22" s="1654">
        <v>1350.0</v>
      </c>
      <c r="E22" s="1654">
        <v>1215.0</v>
      </c>
      <c r="F22" s="1654">
        <v>1094.0</v>
      </c>
      <c r="G22" s="1654">
        <v>984.0</v>
      </c>
      <c r="H22" s="1654">
        <v>886.0</v>
      </c>
      <c r="I22" s="1654">
        <v>797.0</v>
      </c>
      <c r="J22" s="1654">
        <v>717.0</v>
      </c>
      <c r="K22" s="1654">
        <v>646.0</v>
      </c>
      <c r="L22" s="1654">
        <v>581.0</v>
      </c>
      <c r="M22" s="1654">
        <v>523.0</v>
      </c>
      <c r="N22" s="1654">
        <v>471.0</v>
      </c>
      <c r="O22" s="1654">
        <v>424.0</v>
      </c>
      <c r="P22" s="1654">
        <v>381.0</v>
      </c>
      <c r="Q22" s="1654">
        <v>343.0</v>
      </c>
      <c r="R22" s="1654">
        <v>309.0</v>
      </c>
      <c r="S22" s="1654">
        <v>278.0</v>
      </c>
      <c r="T22" s="1654">
        <v>250.0</v>
      </c>
      <c r="U22" s="1654">
        <f t="shared" ref="U22:W22" si="12">ROUND(C22*POW(0.9, U$19-1),0)</f>
        <v>225</v>
      </c>
      <c r="V22" s="1654">
        <f t="shared" si="12"/>
        <v>182</v>
      </c>
      <c r="W22" s="1654">
        <f t="shared" si="12"/>
        <v>148</v>
      </c>
      <c r="X22" s="1621"/>
      <c r="Y22" s="1621"/>
      <c r="Z22" s="1652">
        <f t="shared" ref="Z22:AQ22" si="13">IF(C$9&lt;C22,0,IF(C$9&lt;C23,C$9-C22,C23-C22))*$B22</f>
        <v>45</v>
      </c>
      <c r="AA22" s="1652">
        <f t="shared" si="13"/>
        <v>40.5</v>
      </c>
      <c r="AB22" s="1652">
        <f t="shared" si="13"/>
        <v>36.45</v>
      </c>
      <c r="AC22" s="1652">
        <f t="shared" si="13"/>
        <v>32.76</v>
      </c>
      <c r="AD22" s="1652">
        <f t="shared" si="13"/>
        <v>29.52</v>
      </c>
      <c r="AE22" s="1652">
        <f t="shared" si="13"/>
        <v>26.55</v>
      </c>
      <c r="AF22" s="1652">
        <f t="shared" si="13"/>
        <v>23.94</v>
      </c>
      <c r="AG22" s="1652">
        <f t="shared" si="13"/>
        <v>21.6</v>
      </c>
      <c r="AH22" s="1652">
        <f t="shared" si="13"/>
        <v>19.35</v>
      </c>
      <c r="AI22" s="1652">
        <f t="shared" si="13"/>
        <v>17.46</v>
      </c>
      <c r="AJ22" s="1652">
        <f t="shared" si="13"/>
        <v>15.66</v>
      </c>
      <c r="AK22" s="1652">
        <f t="shared" si="13"/>
        <v>14.13</v>
      </c>
      <c r="AL22" s="1652">
        <f t="shared" si="13"/>
        <v>12.69</v>
      </c>
      <c r="AM22" s="1652">
        <f t="shared" si="13"/>
        <v>11.43</v>
      </c>
      <c r="AN22" s="1652">
        <f t="shared" si="13"/>
        <v>10.26</v>
      </c>
      <c r="AO22" s="1652">
        <f t="shared" si="13"/>
        <v>9.18</v>
      </c>
      <c r="AP22" s="1652">
        <f t="shared" si="13"/>
        <v>8.28</v>
      </c>
      <c r="AQ22" s="1652">
        <f t="shared" si="13"/>
        <v>7.47</v>
      </c>
      <c r="AR22" s="1621"/>
    </row>
    <row r="23">
      <c r="A23" s="1621"/>
      <c r="B23" s="1653">
        <v>0.16</v>
      </c>
      <c r="C23" s="1654">
        <v>2000.0</v>
      </c>
      <c r="D23" s="1654">
        <v>1800.0</v>
      </c>
      <c r="E23" s="1654">
        <v>1620.0</v>
      </c>
      <c r="F23" s="1654">
        <v>1458.0</v>
      </c>
      <c r="G23" s="1654">
        <v>1312.0</v>
      </c>
      <c r="H23" s="1654">
        <v>1181.0</v>
      </c>
      <c r="I23" s="1654">
        <v>1063.0</v>
      </c>
      <c r="J23" s="1654">
        <v>957.0</v>
      </c>
      <c r="K23" s="1654">
        <v>861.0</v>
      </c>
      <c r="L23" s="1654">
        <v>775.0</v>
      </c>
      <c r="M23" s="1654">
        <v>697.0</v>
      </c>
      <c r="N23" s="1654">
        <v>628.0</v>
      </c>
      <c r="O23" s="1654">
        <v>565.0</v>
      </c>
      <c r="P23" s="1654">
        <v>508.0</v>
      </c>
      <c r="Q23" s="1654">
        <v>457.0</v>
      </c>
      <c r="R23" s="1654">
        <v>411.0</v>
      </c>
      <c r="S23" s="1654">
        <v>370.0</v>
      </c>
      <c r="T23" s="1654">
        <v>333.0</v>
      </c>
      <c r="U23" s="1654">
        <f t="shared" ref="U23:W23" si="14">ROUND(C23*POW(0.9, U$19-1),0)</f>
        <v>300</v>
      </c>
      <c r="V23" s="1654">
        <f t="shared" si="14"/>
        <v>243</v>
      </c>
      <c r="W23" s="1654">
        <f t="shared" si="14"/>
        <v>197</v>
      </c>
      <c r="X23" s="1621"/>
      <c r="Y23" s="1621"/>
      <c r="Z23" s="1652">
        <f t="shared" ref="Z23:AQ23" si="15">IF(C$9&lt;C23,0,IF(C$9&lt;C24,C$9-C23,C24-C23))*$B23</f>
        <v>160</v>
      </c>
      <c r="AA23" s="1652">
        <f t="shared" si="15"/>
        <v>144</v>
      </c>
      <c r="AB23" s="1652">
        <f t="shared" si="15"/>
        <v>129.6</v>
      </c>
      <c r="AC23" s="1652">
        <f t="shared" si="15"/>
        <v>116.64</v>
      </c>
      <c r="AD23" s="1652">
        <f t="shared" si="15"/>
        <v>104.96</v>
      </c>
      <c r="AE23" s="1652">
        <f t="shared" si="15"/>
        <v>94.4</v>
      </c>
      <c r="AF23" s="1652">
        <f t="shared" si="15"/>
        <v>84.96</v>
      </c>
      <c r="AG23" s="1652">
        <f t="shared" si="15"/>
        <v>76.48</v>
      </c>
      <c r="AH23" s="1652">
        <f t="shared" si="15"/>
        <v>68.8</v>
      </c>
      <c r="AI23" s="1652">
        <f t="shared" si="15"/>
        <v>61.92</v>
      </c>
      <c r="AJ23" s="1652">
        <f t="shared" si="15"/>
        <v>55.84</v>
      </c>
      <c r="AK23" s="1652">
        <f t="shared" si="15"/>
        <v>50.08</v>
      </c>
      <c r="AL23" s="1652">
        <f t="shared" si="15"/>
        <v>45.12</v>
      </c>
      <c r="AM23" s="1652">
        <f t="shared" si="15"/>
        <v>40.8</v>
      </c>
      <c r="AN23" s="1652">
        <f t="shared" si="15"/>
        <v>36.8</v>
      </c>
      <c r="AO23" s="1652">
        <f t="shared" si="15"/>
        <v>33.12</v>
      </c>
      <c r="AP23" s="1652">
        <f t="shared" si="15"/>
        <v>29.76</v>
      </c>
      <c r="AQ23" s="1652">
        <f t="shared" si="15"/>
        <v>26.72</v>
      </c>
      <c r="AR23" s="1621"/>
    </row>
    <row r="24">
      <c r="A24" s="1621"/>
      <c r="B24" s="1653">
        <v>0.25</v>
      </c>
      <c r="C24" s="1654">
        <v>3000.0</v>
      </c>
      <c r="D24" s="1654">
        <v>2700.0</v>
      </c>
      <c r="E24" s="1654">
        <v>2430.0</v>
      </c>
      <c r="F24" s="1654">
        <v>2187.0</v>
      </c>
      <c r="G24" s="1654">
        <v>1968.0</v>
      </c>
      <c r="H24" s="1654">
        <v>1771.0</v>
      </c>
      <c r="I24" s="1654">
        <v>1594.0</v>
      </c>
      <c r="J24" s="1654">
        <v>1435.0</v>
      </c>
      <c r="K24" s="1654">
        <v>1291.0</v>
      </c>
      <c r="L24" s="1654">
        <v>1162.0</v>
      </c>
      <c r="M24" s="1654">
        <v>1046.0</v>
      </c>
      <c r="N24" s="1654">
        <v>941.0</v>
      </c>
      <c r="O24" s="1654">
        <v>847.0</v>
      </c>
      <c r="P24" s="1654">
        <v>763.0</v>
      </c>
      <c r="Q24" s="1654">
        <v>687.0</v>
      </c>
      <c r="R24" s="1654">
        <v>618.0</v>
      </c>
      <c r="S24" s="1654">
        <v>556.0</v>
      </c>
      <c r="T24" s="1654">
        <v>500.0</v>
      </c>
      <c r="U24" s="1654">
        <f t="shared" ref="U24:W24" si="16">ROUND(C24*POW(0.9, U$19-1),0)</f>
        <v>450</v>
      </c>
      <c r="V24" s="1654">
        <f t="shared" si="16"/>
        <v>365</v>
      </c>
      <c r="W24" s="1654">
        <f t="shared" si="16"/>
        <v>295</v>
      </c>
      <c r="X24" s="1621"/>
      <c r="Y24" s="1621"/>
      <c r="Z24" s="1652">
        <f t="shared" ref="Z24:AQ24" si="17">IF(C$9&lt;C24,0,IF(C$9&lt;C25,C$9-C24,C25-C24))*$B24</f>
        <v>250</v>
      </c>
      <c r="AA24" s="1652">
        <f t="shared" si="17"/>
        <v>225</v>
      </c>
      <c r="AB24" s="1652">
        <f t="shared" si="17"/>
        <v>202.5</v>
      </c>
      <c r="AC24" s="1652">
        <f t="shared" si="17"/>
        <v>182.25</v>
      </c>
      <c r="AD24" s="1652">
        <f t="shared" si="17"/>
        <v>164</v>
      </c>
      <c r="AE24" s="1652">
        <f t="shared" si="17"/>
        <v>147.75</v>
      </c>
      <c r="AF24" s="1652">
        <f t="shared" si="17"/>
        <v>133</v>
      </c>
      <c r="AG24" s="1652">
        <f t="shared" si="17"/>
        <v>119.5</v>
      </c>
      <c r="AH24" s="1652">
        <f t="shared" si="17"/>
        <v>107.75</v>
      </c>
      <c r="AI24" s="1652">
        <f t="shared" si="17"/>
        <v>97</v>
      </c>
      <c r="AJ24" s="1652">
        <f t="shared" si="17"/>
        <v>87.25</v>
      </c>
      <c r="AK24" s="1652">
        <f t="shared" si="17"/>
        <v>78.5</v>
      </c>
      <c r="AL24" s="1652">
        <f t="shared" si="17"/>
        <v>70.75</v>
      </c>
      <c r="AM24" s="1652">
        <f t="shared" si="17"/>
        <v>63.5</v>
      </c>
      <c r="AN24" s="1652">
        <f t="shared" si="17"/>
        <v>57</v>
      </c>
      <c r="AO24" s="1652">
        <f t="shared" si="17"/>
        <v>51.5</v>
      </c>
      <c r="AP24" s="1652">
        <f t="shared" si="17"/>
        <v>46.5</v>
      </c>
      <c r="AQ24" s="1652">
        <f t="shared" si="17"/>
        <v>42</v>
      </c>
      <c r="AR24" s="1621"/>
    </row>
    <row r="25">
      <c r="A25" s="1621"/>
      <c r="B25" s="1653">
        <v>0.36</v>
      </c>
      <c r="C25" s="1654">
        <v>4000.0</v>
      </c>
      <c r="D25" s="1654">
        <v>3600.0</v>
      </c>
      <c r="E25" s="1654">
        <v>3240.0</v>
      </c>
      <c r="F25" s="1654">
        <v>2916.0</v>
      </c>
      <c r="G25" s="1654">
        <v>2624.0</v>
      </c>
      <c r="H25" s="1654">
        <v>2362.0</v>
      </c>
      <c r="I25" s="1654">
        <v>2126.0</v>
      </c>
      <c r="J25" s="1654">
        <v>1913.0</v>
      </c>
      <c r="K25" s="1654">
        <v>1722.0</v>
      </c>
      <c r="L25" s="1654">
        <v>1550.0</v>
      </c>
      <c r="M25" s="1654">
        <v>1395.0</v>
      </c>
      <c r="N25" s="1654">
        <v>1255.0</v>
      </c>
      <c r="O25" s="1654">
        <v>1130.0</v>
      </c>
      <c r="P25" s="1654">
        <v>1017.0</v>
      </c>
      <c r="Q25" s="1654">
        <v>915.0</v>
      </c>
      <c r="R25" s="1654">
        <v>824.0</v>
      </c>
      <c r="S25" s="1654">
        <v>742.0</v>
      </c>
      <c r="T25" s="1654">
        <v>668.0</v>
      </c>
      <c r="U25" s="1654">
        <f t="shared" ref="U25:W25" si="18">ROUND(C25*POW(0.9, U$19-1),0)</f>
        <v>600</v>
      </c>
      <c r="V25" s="1654">
        <f t="shared" si="18"/>
        <v>486</v>
      </c>
      <c r="W25" s="1654">
        <f t="shared" si="18"/>
        <v>394</v>
      </c>
      <c r="X25" s="1621"/>
      <c r="Y25" s="1621"/>
      <c r="Z25" s="1652">
        <f t="shared" ref="Z25:AQ25" si="19">IF(C$9&lt;C25,0,IF(C$9&lt;C26,C$9-C25,C26-C25))*$B25</f>
        <v>360</v>
      </c>
      <c r="AA25" s="1652">
        <f t="shared" si="19"/>
        <v>324</v>
      </c>
      <c r="AB25" s="1652">
        <f t="shared" si="19"/>
        <v>291.6</v>
      </c>
      <c r="AC25" s="1652">
        <f t="shared" si="19"/>
        <v>262.44</v>
      </c>
      <c r="AD25" s="1652">
        <f t="shared" si="19"/>
        <v>236.52</v>
      </c>
      <c r="AE25" s="1652">
        <f t="shared" si="19"/>
        <v>212.4</v>
      </c>
      <c r="AF25" s="1652">
        <f t="shared" si="19"/>
        <v>191.16</v>
      </c>
      <c r="AG25" s="1652">
        <f t="shared" si="19"/>
        <v>172.08</v>
      </c>
      <c r="AH25" s="1652">
        <f t="shared" si="19"/>
        <v>154.8</v>
      </c>
      <c r="AI25" s="1652">
        <f t="shared" si="19"/>
        <v>139.32</v>
      </c>
      <c r="AJ25" s="1652">
        <f t="shared" si="19"/>
        <v>125.28</v>
      </c>
      <c r="AK25" s="1652">
        <f t="shared" si="19"/>
        <v>113.04</v>
      </c>
      <c r="AL25" s="1652">
        <f t="shared" si="19"/>
        <v>101.52</v>
      </c>
      <c r="AM25" s="1652">
        <f t="shared" si="19"/>
        <v>91.44</v>
      </c>
      <c r="AN25" s="1652">
        <f t="shared" si="19"/>
        <v>82.44</v>
      </c>
      <c r="AO25" s="1652">
        <f t="shared" si="19"/>
        <v>74.16</v>
      </c>
      <c r="AP25" s="1652">
        <f t="shared" si="19"/>
        <v>66.6</v>
      </c>
      <c r="AQ25" s="1652">
        <f t="shared" si="19"/>
        <v>59.76</v>
      </c>
      <c r="AR25" s="1621"/>
    </row>
    <row r="26">
      <c r="A26" s="1621"/>
      <c r="B26" s="1653">
        <v>0.49</v>
      </c>
      <c r="C26" s="1654">
        <v>5000.0</v>
      </c>
      <c r="D26" s="1654">
        <v>4500.0</v>
      </c>
      <c r="E26" s="1654">
        <v>4050.0</v>
      </c>
      <c r="F26" s="1654">
        <v>3645.0</v>
      </c>
      <c r="G26" s="1654">
        <v>3281.0</v>
      </c>
      <c r="H26" s="1654">
        <v>2952.0</v>
      </c>
      <c r="I26" s="1654">
        <v>2657.0</v>
      </c>
      <c r="J26" s="1654">
        <v>2391.0</v>
      </c>
      <c r="K26" s="1654">
        <v>2152.0</v>
      </c>
      <c r="L26" s="1654">
        <v>1937.0</v>
      </c>
      <c r="M26" s="1654">
        <v>1743.0</v>
      </c>
      <c r="N26" s="1654">
        <v>1569.0</v>
      </c>
      <c r="O26" s="1654">
        <v>1412.0</v>
      </c>
      <c r="P26" s="1654">
        <v>1271.0</v>
      </c>
      <c r="Q26" s="1654">
        <v>1144.0</v>
      </c>
      <c r="R26" s="1654">
        <v>1030.0</v>
      </c>
      <c r="S26" s="1654">
        <v>927.0</v>
      </c>
      <c r="T26" s="1654">
        <v>834.0</v>
      </c>
      <c r="U26" s="1654">
        <f t="shared" ref="U26:W26" si="20">ROUND(C26*POW(0.9, U$19-1),0)</f>
        <v>750</v>
      </c>
      <c r="V26" s="1654">
        <f t="shared" si="20"/>
        <v>608</v>
      </c>
      <c r="W26" s="1654">
        <f t="shared" si="20"/>
        <v>492</v>
      </c>
      <c r="X26" s="1621"/>
      <c r="Y26" s="1621"/>
      <c r="Z26" s="1652">
        <f t="shared" ref="Z26:AQ26" si="21">IF(C$9&lt;C26,0,IF(C$9&lt;C27,C$9-C26,C27-C26))*$B26</f>
        <v>490</v>
      </c>
      <c r="AA26" s="1652">
        <f t="shared" si="21"/>
        <v>441</v>
      </c>
      <c r="AB26" s="1652">
        <f t="shared" si="21"/>
        <v>396.9</v>
      </c>
      <c r="AC26" s="1652">
        <f t="shared" si="21"/>
        <v>357.21</v>
      </c>
      <c r="AD26" s="1652">
        <f t="shared" si="21"/>
        <v>321.44</v>
      </c>
      <c r="AE26" s="1652">
        <f t="shared" si="21"/>
        <v>289.59</v>
      </c>
      <c r="AF26" s="1652">
        <f t="shared" si="21"/>
        <v>260.68</v>
      </c>
      <c r="AG26" s="1652">
        <f t="shared" si="21"/>
        <v>234.71</v>
      </c>
      <c r="AH26" s="1652">
        <f t="shared" si="21"/>
        <v>211.19</v>
      </c>
      <c r="AI26" s="1652">
        <f t="shared" si="21"/>
        <v>190.12</v>
      </c>
      <c r="AJ26" s="1652">
        <f t="shared" si="21"/>
        <v>171.01</v>
      </c>
      <c r="AK26" s="1652">
        <f t="shared" si="21"/>
        <v>153.86</v>
      </c>
      <c r="AL26" s="1652">
        <f t="shared" si="21"/>
        <v>138.67</v>
      </c>
      <c r="AM26" s="1652">
        <f t="shared" si="21"/>
        <v>124.46</v>
      </c>
      <c r="AN26" s="1652">
        <f t="shared" si="21"/>
        <v>112.21</v>
      </c>
      <c r="AO26" s="1652">
        <f t="shared" si="21"/>
        <v>100.94</v>
      </c>
      <c r="AP26" s="1652">
        <f t="shared" si="21"/>
        <v>90.65</v>
      </c>
      <c r="AQ26" s="1652">
        <f t="shared" si="21"/>
        <v>81.83</v>
      </c>
      <c r="AR26" s="1621"/>
    </row>
    <row r="27">
      <c r="A27" s="1621"/>
      <c r="B27" s="1653">
        <v>0.64</v>
      </c>
      <c r="C27" s="1654">
        <v>6000.0</v>
      </c>
      <c r="D27" s="1654">
        <v>5400.0</v>
      </c>
      <c r="E27" s="1654">
        <v>4860.0</v>
      </c>
      <c r="F27" s="1654">
        <v>4374.0</v>
      </c>
      <c r="G27" s="1654">
        <v>3937.0</v>
      </c>
      <c r="H27" s="1654">
        <v>3543.0</v>
      </c>
      <c r="I27" s="1654">
        <v>3189.0</v>
      </c>
      <c r="J27" s="1654">
        <v>2870.0</v>
      </c>
      <c r="K27" s="1654">
        <v>2583.0</v>
      </c>
      <c r="L27" s="1654">
        <v>2325.0</v>
      </c>
      <c r="M27" s="1654">
        <v>2092.0</v>
      </c>
      <c r="N27" s="1654">
        <v>1883.0</v>
      </c>
      <c r="O27" s="1654">
        <v>1695.0</v>
      </c>
      <c r="P27" s="1654">
        <v>1525.0</v>
      </c>
      <c r="Q27" s="1654">
        <v>1373.0</v>
      </c>
      <c r="R27" s="1654">
        <v>1236.0</v>
      </c>
      <c r="S27" s="1654">
        <v>1112.0</v>
      </c>
      <c r="T27" s="1654">
        <v>1001.0</v>
      </c>
      <c r="U27" s="1654">
        <f t="shared" ref="U27:W27" si="22">ROUND(C27*POW(0.9, U$19-1),0)</f>
        <v>901</v>
      </c>
      <c r="V27" s="1654">
        <f t="shared" si="22"/>
        <v>729</v>
      </c>
      <c r="W27" s="1654">
        <f t="shared" si="22"/>
        <v>591</v>
      </c>
      <c r="X27" s="1621"/>
      <c r="Y27" s="1621"/>
      <c r="Z27" s="1652">
        <f t="shared" ref="Z27:AQ27" si="23">IF(C$9&lt;C27,0,IF(C$9&lt;C28,C$9-C27,C28-C27))*$B27</f>
        <v>640</v>
      </c>
      <c r="AA27" s="1652">
        <f t="shared" si="23"/>
        <v>576</v>
      </c>
      <c r="AB27" s="1652">
        <f t="shared" si="23"/>
        <v>518.4</v>
      </c>
      <c r="AC27" s="1652">
        <f t="shared" si="23"/>
        <v>466.56</v>
      </c>
      <c r="AD27" s="1652">
        <f t="shared" si="23"/>
        <v>419.84</v>
      </c>
      <c r="AE27" s="1652">
        <f t="shared" si="23"/>
        <v>377.6</v>
      </c>
      <c r="AF27" s="1652">
        <f t="shared" si="23"/>
        <v>339.84</v>
      </c>
      <c r="AG27" s="1652">
        <f t="shared" si="23"/>
        <v>305.92</v>
      </c>
      <c r="AH27" s="1652">
        <f t="shared" si="23"/>
        <v>275.2</v>
      </c>
      <c r="AI27" s="1652">
        <f t="shared" si="23"/>
        <v>247.68</v>
      </c>
      <c r="AJ27" s="1652">
        <f t="shared" si="23"/>
        <v>223.36</v>
      </c>
      <c r="AK27" s="1652">
        <f t="shared" si="23"/>
        <v>200.96</v>
      </c>
      <c r="AL27" s="1652">
        <f t="shared" si="23"/>
        <v>180.48</v>
      </c>
      <c r="AM27" s="1652">
        <f t="shared" si="23"/>
        <v>162.56</v>
      </c>
      <c r="AN27" s="1652">
        <f t="shared" si="23"/>
        <v>145.92</v>
      </c>
      <c r="AO27" s="1652">
        <f t="shared" si="23"/>
        <v>131.2</v>
      </c>
      <c r="AP27" s="1652">
        <f t="shared" si="23"/>
        <v>118.4</v>
      </c>
      <c r="AQ27" s="1652">
        <f t="shared" si="23"/>
        <v>106.24</v>
      </c>
      <c r="AR27" s="1621"/>
    </row>
    <row r="28">
      <c r="A28" s="1621"/>
      <c r="B28" s="1653">
        <v>0.81</v>
      </c>
      <c r="C28" s="1654">
        <v>7000.0</v>
      </c>
      <c r="D28" s="1654">
        <v>6300.0</v>
      </c>
      <c r="E28" s="1654">
        <v>5670.0</v>
      </c>
      <c r="F28" s="1654">
        <v>5103.0</v>
      </c>
      <c r="G28" s="1654">
        <v>4593.0</v>
      </c>
      <c r="H28" s="1654">
        <v>4133.0</v>
      </c>
      <c r="I28" s="1654">
        <v>3720.0</v>
      </c>
      <c r="J28" s="1654">
        <v>3348.0</v>
      </c>
      <c r="K28" s="1654">
        <v>3013.0</v>
      </c>
      <c r="L28" s="1654">
        <v>2712.0</v>
      </c>
      <c r="M28" s="1654">
        <v>2441.0</v>
      </c>
      <c r="N28" s="1654">
        <v>2197.0</v>
      </c>
      <c r="O28" s="1654">
        <v>1977.0</v>
      </c>
      <c r="P28" s="1654">
        <v>1779.0</v>
      </c>
      <c r="Q28" s="1654">
        <v>1601.0</v>
      </c>
      <c r="R28" s="1654">
        <v>1441.0</v>
      </c>
      <c r="S28" s="1654">
        <v>1297.0</v>
      </c>
      <c r="T28" s="1654">
        <v>1167.0</v>
      </c>
      <c r="U28" s="1654">
        <f t="shared" ref="U28:W28" si="24">ROUND(C28*POW(0.9, U$19-1),0)</f>
        <v>1051</v>
      </c>
      <c r="V28" s="1654">
        <f t="shared" si="24"/>
        <v>851</v>
      </c>
      <c r="W28" s="1654">
        <f t="shared" si="24"/>
        <v>689</v>
      </c>
      <c r="X28" s="1621"/>
      <c r="Y28" s="1621"/>
      <c r="Z28" s="1652">
        <f t="shared" ref="Z28:AQ28" si="25">IF(C$9&lt;C28,0,IF(C$9&lt;C29,C$9-C28,C29-C28))*$B28</f>
        <v>810</v>
      </c>
      <c r="AA28" s="1652">
        <f t="shared" si="25"/>
        <v>729</v>
      </c>
      <c r="AB28" s="1652">
        <f t="shared" si="25"/>
        <v>656.1</v>
      </c>
      <c r="AC28" s="1652">
        <f t="shared" si="25"/>
        <v>590.49</v>
      </c>
      <c r="AD28" s="1652">
        <f t="shared" si="25"/>
        <v>531.36</v>
      </c>
      <c r="AE28" s="1652">
        <f t="shared" si="25"/>
        <v>478.71</v>
      </c>
      <c r="AF28" s="1652">
        <f t="shared" si="25"/>
        <v>430.92</v>
      </c>
      <c r="AG28" s="1652">
        <f t="shared" si="25"/>
        <v>387.18</v>
      </c>
      <c r="AH28" s="1652">
        <f t="shared" si="25"/>
        <v>349.11</v>
      </c>
      <c r="AI28" s="1652">
        <f t="shared" si="25"/>
        <v>313.47</v>
      </c>
      <c r="AJ28" s="1652">
        <f t="shared" si="25"/>
        <v>281.88</v>
      </c>
      <c r="AK28" s="1652">
        <f t="shared" si="25"/>
        <v>253.53</v>
      </c>
      <c r="AL28" s="1652">
        <f t="shared" si="25"/>
        <v>228.42</v>
      </c>
      <c r="AM28" s="1652">
        <f t="shared" si="25"/>
        <v>205.74</v>
      </c>
      <c r="AN28" s="1652">
        <f t="shared" si="25"/>
        <v>185.49</v>
      </c>
      <c r="AO28" s="1652">
        <f t="shared" si="25"/>
        <v>166.86</v>
      </c>
      <c r="AP28" s="1652">
        <f t="shared" si="25"/>
        <v>149.85</v>
      </c>
      <c r="AQ28" s="1652">
        <f t="shared" si="25"/>
        <v>135.27</v>
      </c>
      <c r="AR28" s="1621"/>
    </row>
    <row r="29">
      <c r="A29" s="1621"/>
      <c r="B29" s="1653">
        <v>1.01</v>
      </c>
      <c r="C29" s="1654">
        <v>8000.0</v>
      </c>
      <c r="D29" s="1654">
        <v>7200.0</v>
      </c>
      <c r="E29" s="1654">
        <v>6480.0</v>
      </c>
      <c r="F29" s="1654">
        <v>5832.0</v>
      </c>
      <c r="G29" s="1654">
        <v>5249.0</v>
      </c>
      <c r="H29" s="1654">
        <v>4724.0</v>
      </c>
      <c r="I29" s="1654">
        <v>4252.0</v>
      </c>
      <c r="J29" s="1654">
        <v>3826.0</v>
      </c>
      <c r="K29" s="1654">
        <v>3444.0</v>
      </c>
      <c r="L29" s="1654">
        <v>3099.0</v>
      </c>
      <c r="M29" s="1654">
        <v>2789.0</v>
      </c>
      <c r="N29" s="1654">
        <v>2510.0</v>
      </c>
      <c r="O29" s="1654">
        <v>2259.0</v>
      </c>
      <c r="P29" s="1654">
        <v>2033.0</v>
      </c>
      <c r="Q29" s="1654">
        <v>1830.0</v>
      </c>
      <c r="R29" s="1654">
        <v>1647.0</v>
      </c>
      <c r="S29" s="1654">
        <v>1482.0</v>
      </c>
      <c r="T29" s="1654">
        <v>1334.0</v>
      </c>
      <c r="U29" s="1654">
        <f t="shared" ref="U29:W29" si="26">ROUND(C29*POW(0.9, U$19-1),0)</f>
        <v>1201</v>
      </c>
      <c r="V29" s="1654">
        <f t="shared" si="26"/>
        <v>973</v>
      </c>
      <c r="W29" s="1654">
        <f t="shared" si="26"/>
        <v>788</v>
      </c>
      <c r="X29" s="1621"/>
      <c r="Y29" s="1621"/>
      <c r="Z29" s="1652">
        <f t="shared" ref="Z29:AQ29" si="27">IF(C$9&lt;C29,0,IF(C$9&lt;C30,C$9-C29,C30-C29))*$B29</f>
        <v>1010</v>
      </c>
      <c r="AA29" s="1652">
        <f t="shared" si="27"/>
        <v>909</v>
      </c>
      <c r="AB29" s="1652">
        <f t="shared" si="27"/>
        <v>818.1</v>
      </c>
      <c r="AC29" s="1652">
        <f t="shared" si="27"/>
        <v>736.29</v>
      </c>
      <c r="AD29" s="1652">
        <f t="shared" si="27"/>
        <v>662.56</v>
      </c>
      <c r="AE29" s="1652">
        <f t="shared" si="27"/>
        <v>595.9</v>
      </c>
      <c r="AF29" s="1652">
        <f t="shared" si="27"/>
        <v>536.31</v>
      </c>
      <c r="AG29" s="1652">
        <f t="shared" si="27"/>
        <v>483.79</v>
      </c>
      <c r="AH29" s="1652">
        <f t="shared" si="27"/>
        <v>434.3</v>
      </c>
      <c r="AI29" s="1652">
        <f t="shared" si="27"/>
        <v>391.88</v>
      </c>
      <c r="AJ29" s="1652">
        <f t="shared" si="27"/>
        <v>352.49</v>
      </c>
      <c r="AK29" s="1652">
        <f t="shared" si="27"/>
        <v>317.14</v>
      </c>
      <c r="AL29" s="1652">
        <f t="shared" si="27"/>
        <v>285.83</v>
      </c>
      <c r="AM29" s="1652">
        <f t="shared" si="27"/>
        <v>257.55</v>
      </c>
      <c r="AN29" s="1652">
        <f t="shared" si="27"/>
        <v>231.29</v>
      </c>
      <c r="AO29" s="1652">
        <f t="shared" si="27"/>
        <v>208.06</v>
      </c>
      <c r="AP29" s="1652">
        <f t="shared" si="27"/>
        <v>187.86</v>
      </c>
      <c r="AQ29" s="1652">
        <f t="shared" si="27"/>
        <v>168.67</v>
      </c>
      <c r="AR29" s="1621"/>
    </row>
    <row r="30">
      <c r="A30" s="1621"/>
      <c r="B30" s="1653">
        <v>1.04</v>
      </c>
      <c r="C30" s="1654">
        <v>9000.0</v>
      </c>
      <c r="D30" s="1654">
        <v>8100.0</v>
      </c>
      <c r="E30" s="1654">
        <v>7290.0</v>
      </c>
      <c r="F30" s="1654">
        <v>6561.0</v>
      </c>
      <c r="G30" s="1654">
        <v>5905.0</v>
      </c>
      <c r="H30" s="1654">
        <v>5314.0</v>
      </c>
      <c r="I30" s="1654">
        <v>4783.0</v>
      </c>
      <c r="J30" s="1654">
        <v>4305.0</v>
      </c>
      <c r="K30" s="1654">
        <v>3874.0</v>
      </c>
      <c r="L30" s="1654">
        <v>3487.0</v>
      </c>
      <c r="M30" s="1654">
        <v>3138.0</v>
      </c>
      <c r="N30" s="1654">
        <v>2824.0</v>
      </c>
      <c r="O30" s="1654">
        <v>2542.0</v>
      </c>
      <c r="P30" s="1654">
        <v>2288.0</v>
      </c>
      <c r="Q30" s="1654">
        <v>2059.0</v>
      </c>
      <c r="R30" s="1654">
        <v>1853.0</v>
      </c>
      <c r="S30" s="1654">
        <v>1668.0</v>
      </c>
      <c r="T30" s="1654">
        <v>1501.0</v>
      </c>
      <c r="U30" s="1654">
        <f t="shared" ref="U30:W30" si="28">ROUND(C30*POW(0.9, U$19-1),0)</f>
        <v>1351</v>
      </c>
      <c r="V30" s="1654">
        <f t="shared" si="28"/>
        <v>1094</v>
      </c>
      <c r="W30" s="1654">
        <f t="shared" si="28"/>
        <v>886</v>
      </c>
      <c r="X30" s="1621"/>
      <c r="Y30" s="1621"/>
      <c r="Z30" s="1652">
        <f t="shared" ref="Z30:AQ30" si="29">IF(C$9&lt;C30,0,IF(C$9&lt;C31,C$9-C30,C31-C30))*$B30</f>
        <v>1040</v>
      </c>
      <c r="AA30" s="1652">
        <f t="shared" si="29"/>
        <v>936</v>
      </c>
      <c r="AB30" s="1652">
        <f t="shared" si="29"/>
        <v>842.4</v>
      </c>
      <c r="AC30" s="1652">
        <f t="shared" si="29"/>
        <v>758.16</v>
      </c>
      <c r="AD30" s="1652">
        <f t="shared" si="29"/>
        <v>682.24</v>
      </c>
      <c r="AE30" s="1652">
        <f t="shared" si="29"/>
        <v>614.64</v>
      </c>
      <c r="AF30" s="1652">
        <f t="shared" si="29"/>
        <v>552.24</v>
      </c>
      <c r="AG30" s="1652">
        <f t="shared" si="29"/>
        <v>497.12</v>
      </c>
      <c r="AH30" s="1652">
        <f t="shared" si="29"/>
        <v>448.24</v>
      </c>
      <c r="AI30" s="1652">
        <f t="shared" si="29"/>
        <v>402.48</v>
      </c>
      <c r="AJ30" s="1652">
        <f t="shared" si="29"/>
        <v>362.96</v>
      </c>
      <c r="AK30" s="1652">
        <f t="shared" si="29"/>
        <v>326.56</v>
      </c>
      <c r="AL30" s="1652">
        <f t="shared" si="29"/>
        <v>293.28</v>
      </c>
      <c r="AM30" s="1652">
        <f t="shared" si="29"/>
        <v>264.16</v>
      </c>
      <c r="AN30" s="1652">
        <f t="shared" si="29"/>
        <v>238.16</v>
      </c>
      <c r="AO30" s="1652">
        <f t="shared" si="29"/>
        <v>214.24</v>
      </c>
      <c r="AP30" s="1652">
        <f t="shared" si="29"/>
        <v>192.4</v>
      </c>
      <c r="AQ30" s="1652">
        <f t="shared" si="29"/>
        <v>173.68</v>
      </c>
      <c r="AR30" s="1621"/>
    </row>
    <row r="31">
      <c r="A31" s="1621"/>
      <c r="B31" s="1653">
        <v>1.09</v>
      </c>
      <c r="C31" s="1654">
        <v>10000.0</v>
      </c>
      <c r="D31" s="1654">
        <v>9000.0</v>
      </c>
      <c r="E31" s="1654">
        <v>8100.0</v>
      </c>
      <c r="F31" s="1654">
        <v>7290.0</v>
      </c>
      <c r="G31" s="1654">
        <v>6561.0</v>
      </c>
      <c r="H31" s="1654">
        <v>5905.0</v>
      </c>
      <c r="I31" s="1654">
        <v>5314.0</v>
      </c>
      <c r="J31" s="1654">
        <v>4783.0</v>
      </c>
      <c r="K31" s="1654">
        <v>4305.0</v>
      </c>
      <c r="L31" s="1654">
        <v>3874.0</v>
      </c>
      <c r="M31" s="1654">
        <v>3487.0</v>
      </c>
      <c r="N31" s="1654">
        <v>3138.0</v>
      </c>
      <c r="O31" s="1654">
        <v>2824.0</v>
      </c>
      <c r="P31" s="1654">
        <v>2542.0</v>
      </c>
      <c r="Q31" s="1654">
        <v>2288.0</v>
      </c>
      <c r="R31" s="1654">
        <v>2059.0</v>
      </c>
      <c r="S31" s="1654">
        <v>1853.0</v>
      </c>
      <c r="T31" s="1654">
        <v>1668.0</v>
      </c>
      <c r="U31" s="1654">
        <f t="shared" ref="U31:W31" si="30">ROUND(C31*POW(0.9, U$19-1),0)</f>
        <v>1501</v>
      </c>
      <c r="V31" s="1654">
        <f t="shared" si="30"/>
        <v>1216</v>
      </c>
      <c r="W31" s="1654">
        <f t="shared" si="30"/>
        <v>985</v>
      </c>
      <c r="X31" s="1621"/>
      <c r="Y31" s="1621"/>
      <c r="Z31" s="1652">
        <f t="shared" ref="Z31:AQ31" si="31">IF(C$9&lt;C31,0,IF(C$9&lt;C32,C$9-C31,C32-C31))*$B31</f>
        <v>1090</v>
      </c>
      <c r="AA31" s="1652">
        <f t="shared" si="31"/>
        <v>981</v>
      </c>
      <c r="AB31" s="1652">
        <f t="shared" si="31"/>
        <v>882.9</v>
      </c>
      <c r="AC31" s="1652">
        <f t="shared" si="31"/>
        <v>794.61</v>
      </c>
      <c r="AD31" s="1652">
        <f t="shared" si="31"/>
        <v>715.04</v>
      </c>
      <c r="AE31" s="1652">
        <f t="shared" si="31"/>
        <v>643.1</v>
      </c>
      <c r="AF31" s="1652">
        <f t="shared" si="31"/>
        <v>578.79</v>
      </c>
      <c r="AG31" s="1652">
        <f t="shared" si="31"/>
        <v>519.93</v>
      </c>
      <c r="AH31" s="1652">
        <f t="shared" si="31"/>
        <v>467.61</v>
      </c>
      <c r="AI31" s="1652">
        <f t="shared" si="31"/>
        <v>421.83</v>
      </c>
      <c r="AJ31" s="1652">
        <f t="shared" si="31"/>
        <v>379.32</v>
      </c>
      <c r="AK31" s="1652">
        <f t="shared" si="31"/>
        <v>341.17</v>
      </c>
      <c r="AL31" s="1652">
        <f t="shared" si="31"/>
        <v>307.38</v>
      </c>
      <c r="AM31" s="1652">
        <f t="shared" si="31"/>
        <v>275.77</v>
      </c>
      <c r="AN31" s="1652">
        <f t="shared" si="31"/>
        <v>248.52</v>
      </c>
      <c r="AO31" s="1652">
        <f t="shared" si="31"/>
        <v>223.45</v>
      </c>
      <c r="AP31" s="1652">
        <f t="shared" si="31"/>
        <v>201.65</v>
      </c>
      <c r="AQ31" s="1652">
        <f t="shared" si="31"/>
        <v>180.94</v>
      </c>
      <c r="AR31" s="1621"/>
    </row>
    <row r="32">
      <c r="A32" s="1621"/>
      <c r="B32" s="1653">
        <v>1.16</v>
      </c>
      <c r="C32" s="1654">
        <v>11000.0</v>
      </c>
      <c r="D32" s="1654">
        <v>9900.0</v>
      </c>
      <c r="E32" s="1654">
        <v>8910.0</v>
      </c>
      <c r="F32" s="1654">
        <v>8019.0</v>
      </c>
      <c r="G32" s="1654">
        <v>7217.0</v>
      </c>
      <c r="H32" s="1654">
        <v>6495.0</v>
      </c>
      <c r="I32" s="1654">
        <v>5845.0</v>
      </c>
      <c r="J32" s="1654">
        <v>5260.0</v>
      </c>
      <c r="K32" s="1654">
        <v>4734.0</v>
      </c>
      <c r="L32" s="1654">
        <v>4261.0</v>
      </c>
      <c r="M32" s="1654">
        <v>3835.0</v>
      </c>
      <c r="N32" s="1654">
        <v>3451.0</v>
      </c>
      <c r="O32" s="1654">
        <v>3106.0</v>
      </c>
      <c r="P32" s="1654">
        <v>2795.0</v>
      </c>
      <c r="Q32" s="1654">
        <v>2516.0</v>
      </c>
      <c r="R32" s="1654">
        <v>2264.0</v>
      </c>
      <c r="S32" s="1654">
        <v>2038.0</v>
      </c>
      <c r="T32" s="1654">
        <v>1834.0</v>
      </c>
      <c r="U32" s="1654">
        <f t="shared" ref="U32:W32" si="32">ROUND(C32*POW(0.9, U$19-1),0)</f>
        <v>1651</v>
      </c>
      <c r="V32" s="1654">
        <f t="shared" si="32"/>
        <v>1337</v>
      </c>
      <c r="W32" s="1654">
        <f t="shared" si="32"/>
        <v>1083</v>
      </c>
      <c r="X32" s="1621"/>
      <c r="Y32" s="1621"/>
      <c r="Z32" s="1652">
        <f t="shared" ref="Z32:AQ32" si="33">IF(C$9&lt;C32,0,IF(C$9&lt;C33,C$9-C32,C33-C32))*$B32</f>
        <v>1160</v>
      </c>
      <c r="AA32" s="1652">
        <f t="shared" si="33"/>
        <v>1044</v>
      </c>
      <c r="AB32" s="1652">
        <f t="shared" si="33"/>
        <v>939.6</v>
      </c>
      <c r="AC32" s="1652">
        <f t="shared" si="33"/>
        <v>845.64</v>
      </c>
      <c r="AD32" s="1652">
        <f t="shared" si="33"/>
        <v>760.96</v>
      </c>
      <c r="AE32" s="1652">
        <f t="shared" si="33"/>
        <v>685.56</v>
      </c>
      <c r="AF32" s="1652">
        <f t="shared" si="33"/>
        <v>617.12</v>
      </c>
      <c r="AG32" s="1652">
        <f t="shared" si="33"/>
        <v>555.64</v>
      </c>
      <c r="AH32" s="1652">
        <f t="shared" si="33"/>
        <v>499.96</v>
      </c>
      <c r="AI32" s="1652">
        <f t="shared" si="33"/>
        <v>448.92</v>
      </c>
      <c r="AJ32" s="1652">
        <f t="shared" si="33"/>
        <v>403.68</v>
      </c>
      <c r="AK32" s="1652">
        <f t="shared" si="33"/>
        <v>364.24</v>
      </c>
      <c r="AL32" s="1652">
        <f t="shared" si="33"/>
        <v>327.12</v>
      </c>
      <c r="AM32" s="1652">
        <f t="shared" si="33"/>
        <v>294.64</v>
      </c>
      <c r="AN32" s="1652">
        <f t="shared" si="33"/>
        <v>264.48</v>
      </c>
      <c r="AO32" s="1652">
        <f t="shared" si="33"/>
        <v>238.96</v>
      </c>
      <c r="AP32" s="1652">
        <f t="shared" si="33"/>
        <v>214.6</v>
      </c>
      <c r="AQ32" s="1652">
        <f t="shared" si="33"/>
        <v>193.72</v>
      </c>
      <c r="AR32" s="1621"/>
    </row>
    <row r="33">
      <c r="A33" s="1621"/>
      <c r="B33" s="1653">
        <v>1.25</v>
      </c>
      <c r="C33" s="1654">
        <v>12000.0</v>
      </c>
      <c r="D33" s="1654">
        <v>10800.0</v>
      </c>
      <c r="E33" s="1654">
        <v>9720.0</v>
      </c>
      <c r="F33" s="1654">
        <v>8748.0</v>
      </c>
      <c r="G33" s="1654">
        <v>7873.0</v>
      </c>
      <c r="H33" s="1654">
        <v>7086.0</v>
      </c>
      <c r="I33" s="1654">
        <v>6377.0</v>
      </c>
      <c r="J33" s="1654">
        <v>5739.0</v>
      </c>
      <c r="K33" s="1654">
        <v>5165.0</v>
      </c>
      <c r="L33" s="1654">
        <v>4648.0</v>
      </c>
      <c r="M33" s="1654">
        <v>4183.0</v>
      </c>
      <c r="N33" s="1654">
        <v>3765.0</v>
      </c>
      <c r="O33" s="1654">
        <v>3388.0</v>
      </c>
      <c r="P33" s="1654">
        <v>3049.0</v>
      </c>
      <c r="Q33" s="1654">
        <v>2744.0</v>
      </c>
      <c r="R33" s="1654">
        <v>2470.0</v>
      </c>
      <c r="S33" s="1654">
        <v>2223.0</v>
      </c>
      <c r="T33" s="1654">
        <v>2001.0</v>
      </c>
      <c r="U33" s="1654">
        <f t="shared" ref="U33:W33" si="34">ROUND(C33*POW(0.9, U$19-1),0)</f>
        <v>1801</v>
      </c>
      <c r="V33" s="1654">
        <f t="shared" si="34"/>
        <v>1459</v>
      </c>
      <c r="W33" s="1654">
        <f t="shared" si="34"/>
        <v>1182</v>
      </c>
      <c r="X33" s="1621"/>
      <c r="Y33" s="1621"/>
      <c r="Z33" s="1652">
        <f t="shared" ref="Z33:AQ33" si="35">IF(C$9&lt;C33,0,IF(C$9&lt;C34,C$9-C33,C34-C33))*$B33</f>
        <v>1250</v>
      </c>
      <c r="AA33" s="1652">
        <f t="shared" si="35"/>
        <v>1125</v>
      </c>
      <c r="AB33" s="1652">
        <f t="shared" si="35"/>
        <v>1012.5</v>
      </c>
      <c r="AC33" s="1652">
        <f t="shared" si="35"/>
        <v>911.25</v>
      </c>
      <c r="AD33" s="1652">
        <f t="shared" si="35"/>
        <v>820</v>
      </c>
      <c r="AE33" s="1652">
        <f t="shared" si="35"/>
        <v>737.5</v>
      </c>
      <c r="AF33" s="1652">
        <f t="shared" si="35"/>
        <v>663.75</v>
      </c>
      <c r="AG33" s="1652">
        <f t="shared" si="35"/>
        <v>597.5</v>
      </c>
      <c r="AH33" s="1652">
        <f t="shared" si="35"/>
        <v>537.5</v>
      </c>
      <c r="AI33" s="1652">
        <f t="shared" si="35"/>
        <v>483.75</v>
      </c>
      <c r="AJ33" s="1652">
        <f t="shared" si="35"/>
        <v>435</v>
      </c>
      <c r="AK33" s="1652">
        <f t="shared" si="35"/>
        <v>391.25</v>
      </c>
      <c r="AL33" s="1652">
        <f t="shared" si="35"/>
        <v>352.5</v>
      </c>
      <c r="AM33" s="1652">
        <f t="shared" si="35"/>
        <v>317.5</v>
      </c>
      <c r="AN33" s="1652">
        <f t="shared" si="35"/>
        <v>286.25</v>
      </c>
      <c r="AO33" s="1652">
        <f t="shared" si="35"/>
        <v>257.5</v>
      </c>
      <c r="AP33" s="1652">
        <f t="shared" si="35"/>
        <v>231.25</v>
      </c>
      <c r="AQ33" s="1652">
        <f t="shared" si="35"/>
        <v>207.5</v>
      </c>
      <c r="AR33" s="1621"/>
    </row>
    <row r="34">
      <c r="A34" s="1621"/>
      <c r="B34" s="1653">
        <v>1.3599999999999999</v>
      </c>
      <c r="C34" s="1654">
        <v>13000.0</v>
      </c>
      <c r="D34" s="1654">
        <v>11700.0</v>
      </c>
      <c r="E34" s="1654">
        <v>10530.0</v>
      </c>
      <c r="F34" s="1654">
        <v>9477.0</v>
      </c>
      <c r="G34" s="1654">
        <v>8529.0</v>
      </c>
      <c r="H34" s="1654">
        <v>7676.0</v>
      </c>
      <c r="I34" s="1654">
        <v>6908.0</v>
      </c>
      <c r="J34" s="1654">
        <v>6217.0</v>
      </c>
      <c r="K34" s="1654">
        <v>5595.0</v>
      </c>
      <c r="L34" s="1654">
        <v>5035.0</v>
      </c>
      <c r="M34" s="1654">
        <v>4531.0</v>
      </c>
      <c r="N34" s="1654">
        <v>4078.0</v>
      </c>
      <c r="O34" s="1654">
        <v>3670.0</v>
      </c>
      <c r="P34" s="1654">
        <v>3303.0</v>
      </c>
      <c r="Q34" s="1654">
        <v>2973.0</v>
      </c>
      <c r="R34" s="1654">
        <v>2676.0</v>
      </c>
      <c r="S34" s="1654">
        <v>2408.0</v>
      </c>
      <c r="T34" s="1654">
        <v>2167.0</v>
      </c>
      <c r="U34" s="1654">
        <f t="shared" ref="U34:W34" si="36">ROUND(C34*POW(0.9, U$19-1),0)</f>
        <v>1951</v>
      </c>
      <c r="V34" s="1654">
        <f t="shared" si="36"/>
        <v>1580</v>
      </c>
      <c r="W34" s="1654">
        <f t="shared" si="36"/>
        <v>1280</v>
      </c>
      <c r="X34" s="1621"/>
      <c r="Y34" s="1621"/>
      <c r="Z34" s="1652">
        <f t="shared" ref="Z34:AQ34" si="37">IF(C$9&lt;C34,0,IF(C$9&lt;C35,C$9-C34,C35-C34))*$B34</f>
        <v>1360</v>
      </c>
      <c r="AA34" s="1652">
        <f t="shared" si="37"/>
        <v>1224</v>
      </c>
      <c r="AB34" s="1652">
        <f t="shared" si="37"/>
        <v>1101.6</v>
      </c>
      <c r="AC34" s="1652">
        <f t="shared" si="37"/>
        <v>991.44</v>
      </c>
      <c r="AD34" s="1652">
        <f t="shared" si="37"/>
        <v>892.16</v>
      </c>
      <c r="AE34" s="1652">
        <f t="shared" si="37"/>
        <v>802.4</v>
      </c>
      <c r="AF34" s="1652">
        <f t="shared" si="37"/>
        <v>722.16</v>
      </c>
      <c r="AG34" s="1652">
        <f t="shared" si="37"/>
        <v>650.08</v>
      </c>
      <c r="AH34" s="1652">
        <f t="shared" si="37"/>
        <v>584.8</v>
      </c>
      <c r="AI34" s="1652">
        <f t="shared" si="37"/>
        <v>526.32</v>
      </c>
      <c r="AJ34" s="1652">
        <f t="shared" si="37"/>
        <v>474.64</v>
      </c>
      <c r="AK34" s="1652">
        <f t="shared" si="37"/>
        <v>427.04</v>
      </c>
      <c r="AL34" s="1652">
        <f t="shared" si="37"/>
        <v>384.88</v>
      </c>
      <c r="AM34" s="1652">
        <f t="shared" si="37"/>
        <v>346.8</v>
      </c>
      <c r="AN34" s="1652">
        <f t="shared" si="37"/>
        <v>311.44</v>
      </c>
      <c r="AO34" s="1652">
        <f t="shared" si="37"/>
        <v>280.16</v>
      </c>
      <c r="AP34" s="1652">
        <f t="shared" si="37"/>
        <v>252.96</v>
      </c>
      <c r="AQ34" s="1652">
        <f t="shared" si="37"/>
        <v>228.48</v>
      </c>
      <c r="AR34" s="1621"/>
    </row>
    <row r="35">
      <c r="A35" s="1621"/>
      <c r="B35" s="1653">
        <v>1.49</v>
      </c>
      <c r="C35" s="1654">
        <v>14000.0</v>
      </c>
      <c r="D35" s="1654">
        <v>12600.0</v>
      </c>
      <c r="E35" s="1654">
        <v>11340.0</v>
      </c>
      <c r="F35" s="1654">
        <v>10206.0</v>
      </c>
      <c r="G35" s="1654">
        <v>9185.0</v>
      </c>
      <c r="H35" s="1654">
        <v>8266.0</v>
      </c>
      <c r="I35" s="1654">
        <v>7439.0</v>
      </c>
      <c r="J35" s="1654">
        <v>6695.0</v>
      </c>
      <c r="K35" s="1654">
        <v>6025.0</v>
      </c>
      <c r="L35" s="1654">
        <v>5422.0</v>
      </c>
      <c r="M35" s="1654">
        <v>4880.0</v>
      </c>
      <c r="N35" s="1654">
        <v>4392.0</v>
      </c>
      <c r="O35" s="1654">
        <v>3953.0</v>
      </c>
      <c r="P35" s="1654">
        <v>3558.0</v>
      </c>
      <c r="Q35" s="1654">
        <v>3202.0</v>
      </c>
      <c r="R35" s="1654">
        <v>2882.0</v>
      </c>
      <c r="S35" s="1654">
        <v>2594.0</v>
      </c>
      <c r="T35" s="1654">
        <v>2335.0</v>
      </c>
      <c r="U35" s="1654">
        <f t="shared" ref="U35:W35" si="38">ROUND(C35*POW(0.9, U$19-1),0)</f>
        <v>2101</v>
      </c>
      <c r="V35" s="1654">
        <f t="shared" si="38"/>
        <v>1702</v>
      </c>
      <c r="W35" s="1654">
        <f t="shared" si="38"/>
        <v>1379</v>
      </c>
      <c r="X35" s="1621"/>
      <c r="Y35" s="1621"/>
      <c r="Z35" s="1652">
        <f t="shared" ref="Z35:AQ35" si="39">IF(C$9&lt;C35,0,IF(C$9&lt;C36,C$9-C35,C36-C35))*$B35</f>
        <v>1490</v>
      </c>
      <c r="AA35" s="1652">
        <f t="shared" si="39"/>
        <v>1341</v>
      </c>
      <c r="AB35" s="1652">
        <f t="shared" si="39"/>
        <v>1206.9</v>
      </c>
      <c r="AC35" s="1652">
        <f t="shared" si="39"/>
        <v>1086.21</v>
      </c>
      <c r="AD35" s="1652">
        <f t="shared" si="39"/>
        <v>977.44</v>
      </c>
      <c r="AE35" s="1652">
        <f t="shared" si="39"/>
        <v>880.59</v>
      </c>
      <c r="AF35" s="1652">
        <f t="shared" si="39"/>
        <v>792.68</v>
      </c>
      <c r="AG35" s="1652">
        <f t="shared" si="39"/>
        <v>713.71</v>
      </c>
      <c r="AH35" s="1652">
        <f t="shared" si="39"/>
        <v>643.68</v>
      </c>
      <c r="AI35" s="1652">
        <f t="shared" si="39"/>
        <v>579.61</v>
      </c>
      <c r="AJ35" s="1652">
        <f t="shared" si="39"/>
        <v>521.5</v>
      </c>
      <c r="AK35" s="1652">
        <f t="shared" si="39"/>
        <v>469.35</v>
      </c>
      <c r="AL35" s="1652">
        <f t="shared" si="39"/>
        <v>421.67</v>
      </c>
      <c r="AM35" s="1652">
        <f t="shared" si="39"/>
        <v>378.46</v>
      </c>
      <c r="AN35" s="1652">
        <f t="shared" si="39"/>
        <v>341.21</v>
      </c>
      <c r="AO35" s="1652">
        <f t="shared" si="39"/>
        <v>306.94</v>
      </c>
      <c r="AP35" s="1652">
        <f t="shared" si="39"/>
        <v>275.65</v>
      </c>
      <c r="AQ35" s="1652">
        <f t="shared" si="39"/>
        <v>247.34</v>
      </c>
      <c r="AR35" s="1621"/>
    </row>
    <row r="36">
      <c r="A36" s="1621"/>
      <c r="B36" s="1653">
        <v>1.6400000000000001</v>
      </c>
      <c r="C36" s="1654">
        <v>15000.0</v>
      </c>
      <c r="D36" s="1654">
        <v>13500.0</v>
      </c>
      <c r="E36" s="1654">
        <v>12150.0</v>
      </c>
      <c r="F36" s="1654">
        <v>10935.0</v>
      </c>
      <c r="G36" s="1654">
        <v>9841.0</v>
      </c>
      <c r="H36" s="1654">
        <v>8857.0</v>
      </c>
      <c r="I36" s="1654">
        <v>7971.0</v>
      </c>
      <c r="J36" s="1654">
        <v>7174.0</v>
      </c>
      <c r="K36" s="1654">
        <v>6457.0</v>
      </c>
      <c r="L36" s="1654">
        <v>5811.0</v>
      </c>
      <c r="M36" s="1654">
        <v>5230.0</v>
      </c>
      <c r="N36" s="1654">
        <v>4707.0</v>
      </c>
      <c r="O36" s="1654">
        <v>4236.0</v>
      </c>
      <c r="P36" s="1654">
        <v>3812.0</v>
      </c>
      <c r="Q36" s="1654">
        <v>3431.0</v>
      </c>
      <c r="R36" s="1654">
        <v>3088.0</v>
      </c>
      <c r="S36" s="1654">
        <v>2779.0</v>
      </c>
      <c r="T36" s="1654">
        <v>2501.0</v>
      </c>
      <c r="U36" s="1654">
        <f t="shared" ref="U36:W36" si="40">ROUND(C36*POW(0.9, U$19-1),0)</f>
        <v>2251</v>
      </c>
      <c r="V36" s="1654">
        <f t="shared" si="40"/>
        <v>1824</v>
      </c>
      <c r="W36" s="1654">
        <f t="shared" si="40"/>
        <v>1477</v>
      </c>
      <c r="X36" s="1621"/>
      <c r="Y36" s="1621"/>
      <c r="Z36" s="1652">
        <f t="shared" ref="Z36:AQ36" si="41">IF(C$9&lt;C36,0,IF(C$9&lt;C37,C$9-C36,C37-C36))*$B36</f>
        <v>1640</v>
      </c>
      <c r="AA36" s="1652">
        <f t="shared" si="41"/>
        <v>1476</v>
      </c>
      <c r="AB36" s="1652">
        <f t="shared" si="41"/>
        <v>1328.4</v>
      </c>
      <c r="AC36" s="1652">
        <f t="shared" si="41"/>
        <v>1195.56</v>
      </c>
      <c r="AD36" s="1652">
        <f t="shared" si="41"/>
        <v>1077.48</v>
      </c>
      <c r="AE36" s="1652">
        <f t="shared" si="41"/>
        <v>969.24</v>
      </c>
      <c r="AF36" s="1652">
        <f t="shared" si="41"/>
        <v>872.48</v>
      </c>
      <c r="AG36" s="1652">
        <f t="shared" si="41"/>
        <v>785.56</v>
      </c>
      <c r="AH36" s="1652">
        <f t="shared" si="41"/>
        <v>706.84</v>
      </c>
      <c r="AI36" s="1652">
        <f t="shared" si="41"/>
        <v>636.32</v>
      </c>
      <c r="AJ36" s="1652">
        <f t="shared" si="41"/>
        <v>572.36</v>
      </c>
      <c r="AK36" s="1652">
        <f t="shared" si="41"/>
        <v>514.96</v>
      </c>
      <c r="AL36" s="1652">
        <f t="shared" si="41"/>
        <v>464.12</v>
      </c>
      <c r="AM36" s="1652">
        <f t="shared" si="41"/>
        <v>418.2</v>
      </c>
      <c r="AN36" s="1652">
        <f t="shared" si="41"/>
        <v>375.56</v>
      </c>
      <c r="AO36" s="1652">
        <f t="shared" si="41"/>
        <v>337.84</v>
      </c>
      <c r="AP36" s="1652">
        <f t="shared" si="41"/>
        <v>305.04</v>
      </c>
      <c r="AQ36" s="1652">
        <f t="shared" si="41"/>
        <v>275.52</v>
      </c>
      <c r="AR36" s="1621"/>
    </row>
    <row r="37">
      <c r="A37" s="1621"/>
      <c r="B37" s="1653">
        <v>1.81</v>
      </c>
      <c r="C37" s="1654">
        <v>16000.0</v>
      </c>
      <c r="D37" s="1654">
        <v>14400.0</v>
      </c>
      <c r="E37" s="1654">
        <v>12960.0</v>
      </c>
      <c r="F37" s="1654">
        <v>11664.0</v>
      </c>
      <c r="G37" s="1654">
        <v>10498.0</v>
      </c>
      <c r="H37" s="1654">
        <v>9448.0</v>
      </c>
      <c r="I37" s="1654">
        <v>8503.0</v>
      </c>
      <c r="J37" s="1654">
        <v>7653.0</v>
      </c>
      <c r="K37" s="1654">
        <v>6888.0</v>
      </c>
      <c r="L37" s="1654">
        <v>6199.0</v>
      </c>
      <c r="M37" s="1654">
        <v>5579.0</v>
      </c>
      <c r="N37" s="1654">
        <v>5021.0</v>
      </c>
      <c r="O37" s="1654">
        <v>4519.0</v>
      </c>
      <c r="P37" s="1654">
        <v>4067.0</v>
      </c>
      <c r="Q37" s="1654">
        <v>3660.0</v>
      </c>
      <c r="R37" s="1654">
        <v>3294.0</v>
      </c>
      <c r="S37" s="1654">
        <v>2965.0</v>
      </c>
      <c r="T37" s="1654">
        <v>2669.0</v>
      </c>
      <c r="U37" s="1654">
        <f t="shared" ref="U37:W37" si="42">ROUND(C37*POW(0.9, U$19-1),0)</f>
        <v>2402</v>
      </c>
      <c r="V37" s="1654">
        <f t="shared" si="42"/>
        <v>1945</v>
      </c>
      <c r="W37" s="1654">
        <f t="shared" si="42"/>
        <v>1576</v>
      </c>
      <c r="X37" s="1621"/>
      <c r="Y37" s="1621"/>
      <c r="Z37" s="1652">
        <f t="shared" ref="Z37:AQ37" si="43">IF(C$9&lt;C37,0,IF(C$9&lt;C38,C$9-C37,C38-C37))*$B37</f>
        <v>1810</v>
      </c>
      <c r="AA37" s="1652">
        <f t="shared" si="43"/>
        <v>1629</v>
      </c>
      <c r="AB37" s="1652">
        <f t="shared" si="43"/>
        <v>1466.1</v>
      </c>
      <c r="AC37" s="1652">
        <f t="shared" si="43"/>
        <v>1319.49</v>
      </c>
      <c r="AD37" s="1652">
        <f t="shared" si="43"/>
        <v>1187.36</v>
      </c>
      <c r="AE37" s="1652">
        <f t="shared" si="43"/>
        <v>1069.71</v>
      </c>
      <c r="AF37" s="1652">
        <f t="shared" si="43"/>
        <v>962.92</v>
      </c>
      <c r="AG37" s="1652">
        <f t="shared" si="43"/>
        <v>865.18</v>
      </c>
      <c r="AH37" s="1652">
        <f t="shared" si="43"/>
        <v>778.3</v>
      </c>
      <c r="AI37" s="1652">
        <f t="shared" si="43"/>
        <v>700.47</v>
      </c>
      <c r="AJ37" s="1652">
        <f t="shared" si="43"/>
        <v>629.88</v>
      </c>
      <c r="AK37" s="1652">
        <f t="shared" si="43"/>
        <v>566.53</v>
      </c>
      <c r="AL37" s="1652">
        <f t="shared" si="43"/>
        <v>510.42</v>
      </c>
      <c r="AM37" s="1652">
        <f t="shared" si="43"/>
        <v>459.74</v>
      </c>
      <c r="AN37" s="1652">
        <f t="shared" si="43"/>
        <v>414.49</v>
      </c>
      <c r="AO37" s="1652">
        <f t="shared" si="43"/>
        <v>372.86</v>
      </c>
      <c r="AP37" s="1652">
        <f t="shared" si="43"/>
        <v>334.85</v>
      </c>
      <c r="AQ37" s="1652">
        <f t="shared" si="43"/>
        <v>300.46</v>
      </c>
      <c r="AR37" s="1621"/>
    </row>
    <row r="38">
      <c r="A38" s="1621"/>
      <c r="B38" s="1655">
        <v>2.0</v>
      </c>
      <c r="C38" s="1654">
        <v>17000.0</v>
      </c>
      <c r="D38" s="1654">
        <v>15300.0</v>
      </c>
      <c r="E38" s="1654">
        <v>13770.0</v>
      </c>
      <c r="F38" s="1654">
        <v>12393.0</v>
      </c>
      <c r="G38" s="1654">
        <v>11154.0</v>
      </c>
      <c r="H38" s="1654">
        <v>10039.0</v>
      </c>
      <c r="I38" s="1654">
        <v>9035.0</v>
      </c>
      <c r="J38" s="1654">
        <v>8131.0</v>
      </c>
      <c r="K38" s="1654">
        <v>7318.0</v>
      </c>
      <c r="L38" s="1654">
        <v>6586.0</v>
      </c>
      <c r="M38" s="1654">
        <v>5927.0</v>
      </c>
      <c r="N38" s="1654">
        <v>5334.0</v>
      </c>
      <c r="O38" s="1654">
        <v>4801.0</v>
      </c>
      <c r="P38" s="1654">
        <v>4321.0</v>
      </c>
      <c r="Q38" s="1654">
        <v>3889.0</v>
      </c>
      <c r="R38" s="1654">
        <v>3500.0</v>
      </c>
      <c r="S38" s="1654">
        <v>3150.0</v>
      </c>
      <c r="T38" s="1654">
        <v>2835.0</v>
      </c>
      <c r="U38" s="1654">
        <f t="shared" ref="U38:W38" si="44">ROUND(C38*POW(0.9, U$19-1),0)</f>
        <v>2552</v>
      </c>
      <c r="V38" s="1654">
        <f t="shared" si="44"/>
        <v>2067</v>
      </c>
      <c r="W38" s="1654">
        <f t="shared" si="44"/>
        <v>1674</v>
      </c>
      <c r="X38" s="1621"/>
      <c r="Y38" s="1621"/>
      <c r="Z38" s="1652">
        <f t="shared" ref="Z38:AM38" si="45">IF(C$9&lt;C38,0,IF(C$9&lt;C39,C$9-C38,MAX(C39,C$9)-C38))*$B38</f>
        <v>7815.031626</v>
      </c>
      <c r="AA38" s="1652">
        <f t="shared" si="45"/>
        <v>7033.528463</v>
      </c>
      <c r="AB38" s="1652">
        <f t="shared" si="45"/>
        <v>6330.175617</v>
      </c>
      <c r="AC38" s="1652">
        <f t="shared" si="45"/>
        <v>5697.158055</v>
      </c>
      <c r="AD38" s="1652">
        <f t="shared" si="45"/>
        <v>5126.84225</v>
      </c>
      <c r="AE38" s="1652">
        <f t="shared" si="45"/>
        <v>4613.358025</v>
      </c>
      <c r="AF38" s="1652">
        <f t="shared" si="45"/>
        <v>4152.222222</v>
      </c>
      <c r="AG38" s="1652">
        <f t="shared" si="45"/>
        <v>3738</v>
      </c>
      <c r="AH38" s="1652">
        <f t="shared" si="45"/>
        <v>3364</v>
      </c>
      <c r="AI38" s="1652">
        <f t="shared" si="45"/>
        <v>1660</v>
      </c>
      <c r="AJ38" s="1652">
        <f t="shared" si="45"/>
        <v>146</v>
      </c>
      <c r="AK38" s="1652">
        <f t="shared" si="45"/>
        <v>332</v>
      </c>
      <c r="AL38" s="1652">
        <f t="shared" si="45"/>
        <v>398</v>
      </c>
      <c r="AM38" s="1652">
        <f t="shared" si="45"/>
        <v>1358</v>
      </c>
      <c r="AN38" s="1652">
        <f t="shared" ref="AN38:AQ38" si="46">IF(Q$9&lt;Q38,0,IF(Q$9&lt;Q39,Q$9-Q38,Q39-Q38))*$B38</f>
        <v>-7778</v>
      </c>
      <c r="AO38" s="1652">
        <f t="shared" si="46"/>
        <v>-7000</v>
      </c>
      <c r="AP38" s="1652">
        <f t="shared" si="46"/>
        <v>-6300</v>
      </c>
      <c r="AQ38" s="1652">
        <f t="shared" si="46"/>
        <v>-5670</v>
      </c>
      <c r="AR38" s="1621"/>
    </row>
    <row r="39" ht="431.25" customHeight="1">
      <c r="A39" s="1621"/>
      <c r="B39" s="1621"/>
      <c r="C39" s="1621"/>
      <c r="D39" s="1621"/>
      <c r="E39" s="1621"/>
      <c r="F39" s="1621"/>
      <c r="G39" s="1621"/>
      <c r="H39" s="1621"/>
      <c r="I39" s="1621"/>
      <c r="J39" s="1621"/>
      <c r="K39" s="1621"/>
      <c r="L39" s="1621"/>
      <c r="M39" s="1621"/>
      <c r="N39" s="1621"/>
      <c r="O39" s="1621"/>
      <c r="P39" s="1621"/>
      <c r="Q39" s="1621"/>
      <c r="R39" s="1621"/>
      <c r="S39" s="1621"/>
      <c r="T39" s="1621"/>
      <c r="U39" s="1621"/>
      <c r="V39" s="1621"/>
      <c r="W39" s="1621"/>
      <c r="X39" s="1621"/>
      <c r="Y39" s="1621"/>
      <c r="Z39" s="1621"/>
      <c r="AA39" s="1621"/>
      <c r="AB39" s="1621"/>
      <c r="AC39" s="1621"/>
      <c r="AD39" s="1621"/>
      <c r="AE39" s="1621"/>
      <c r="AF39" s="1621"/>
      <c r="AG39" s="1621"/>
      <c r="AH39" s="1621"/>
      <c r="AI39" s="1621"/>
      <c r="AJ39" s="1621"/>
      <c r="AK39" s="1621"/>
      <c r="AL39" s="1621"/>
      <c r="AM39" s="1621"/>
      <c r="AN39" s="1621"/>
      <c r="AO39" s="1621"/>
      <c r="AP39" s="1621"/>
      <c r="AQ39" s="1621"/>
      <c r="AR39" s="1621"/>
    </row>
  </sheetData>
  <mergeCells count="18">
    <mergeCell ref="C2:T2"/>
    <mergeCell ref="G3:H3"/>
    <mergeCell ref="I3:J3"/>
    <mergeCell ref="K3:L3"/>
    <mergeCell ref="M3:N3"/>
    <mergeCell ref="O3:P3"/>
    <mergeCell ref="Q3:R3"/>
    <mergeCell ref="Q4:R4"/>
    <mergeCell ref="C7:T7"/>
    <mergeCell ref="B17:W17"/>
    <mergeCell ref="Z17:AQ17"/>
    <mergeCell ref="E3:F3"/>
    <mergeCell ref="E4:F4"/>
    <mergeCell ref="G4:H4"/>
    <mergeCell ref="I4:J4"/>
    <mergeCell ref="K4:L4"/>
    <mergeCell ref="M4:N4"/>
    <mergeCell ref="O4:P4"/>
  </mergeCells>
  <conditionalFormatting sqref="C20:W38">
    <cfRule type="cellIs" dxfId="15" priority="1" operator="lessThan">
      <formula>C$9</formula>
    </cfRule>
  </conditionalFormatting>
  <conditionalFormatting sqref="C9:W14">
    <cfRule type="expression" dxfId="45" priority="2">
      <formula>C$14=Max($C$14:$T$14)</formula>
    </cfRule>
  </conditionalFormatting>
  <dataValidations>
    <dataValidation type="list" allowBlank="1" showErrorMessage="1" sqref="I4">
      <formula1>'Wave Duration'!$B$5:$B$13</formula1>
    </dataValidation>
  </dataValidations>
  <drawing r:id="rId1"/>
  <tableParts count="3">
    <tablePart r:id="rId5"/>
    <tablePart r:id="rId6"/>
    <tablePart r:id="rId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3.75"/>
    <col customWidth="1" min="2" max="2" width="27.25"/>
    <col customWidth="1" min="3" max="3" width="4.88"/>
    <col customWidth="1" min="4" max="4" width="5.38"/>
    <col customWidth="1" min="5" max="5" width="4.38"/>
    <col customWidth="1" min="6" max="6" width="3.75"/>
  </cols>
  <sheetData>
    <row r="1">
      <c r="A1" s="1656" t="s">
        <v>813</v>
      </c>
      <c r="B1" s="25"/>
      <c r="C1" s="25"/>
      <c r="D1" s="25"/>
      <c r="E1" s="25"/>
      <c r="F1" s="25"/>
    </row>
    <row r="2">
      <c r="A2" s="1361"/>
      <c r="B2" s="87" t="s">
        <v>466</v>
      </c>
      <c r="C2" s="1657">
        <f>SUM(C5:C216)</f>
        <v>1856</v>
      </c>
      <c r="D2" s="1658">
        <f>C2/E2</f>
        <v>0.3336329319</v>
      </c>
      <c r="E2" s="96">
        <f>SUM(E5:E216)</f>
        <v>5563</v>
      </c>
      <c r="F2" s="25"/>
    </row>
    <row r="3">
      <c r="A3" s="25"/>
      <c r="B3" s="25"/>
      <c r="C3" s="25"/>
      <c r="D3" s="25"/>
      <c r="E3" s="25"/>
      <c r="F3" s="25"/>
    </row>
    <row r="4">
      <c r="A4" s="25"/>
      <c r="B4" s="83" t="s">
        <v>145</v>
      </c>
      <c r="C4" s="84" t="s">
        <v>146</v>
      </c>
      <c r="D4" s="84" t="s">
        <v>147</v>
      </c>
      <c r="E4" s="84" t="s">
        <v>148</v>
      </c>
      <c r="F4" s="82"/>
    </row>
    <row r="5">
      <c r="A5" s="25"/>
      <c r="B5" s="93" t="s">
        <v>154</v>
      </c>
      <c r="C5" s="1657">
        <f>'Master Sheet'!C2</f>
        <v>7</v>
      </c>
      <c r="D5" s="1659">
        <f>'Master Sheet'!D2</f>
        <v>7</v>
      </c>
      <c r="E5" s="96">
        <f>'Master Sheet'!E2</f>
        <v>7</v>
      </c>
      <c r="F5" s="82"/>
    </row>
    <row r="6">
      <c r="A6" s="25"/>
      <c r="B6" s="93" t="s">
        <v>169</v>
      </c>
      <c r="C6" s="95">
        <f>'Master Sheet'!C3</f>
        <v>6</v>
      </c>
      <c r="D6" s="95" t="str">
        <f>'Master Sheet'!D3</f>
        <v/>
      </c>
      <c r="E6" s="96">
        <f>'Master Sheet'!E3</f>
        <v>99</v>
      </c>
      <c r="F6" s="82"/>
    </row>
    <row r="7">
      <c r="A7" s="25"/>
      <c r="B7" s="93" t="s">
        <v>180</v>
      </c>
      <c r="C7" s="95">
        <f>'Master Sheet'!C4</f>
        <v>27</v>
      </c>
      <c r="D7" s="95" t="str">
        <f>'Master Sheet'!D4</f>
        <v/>
      </c>
      <c r="E7" s="96">
        <f>'Master Sheet'!E4</f>
        <v>99</v>
      </c>
      <c r="F7" s="82"/>
    </row>
    <row r="8">
      <c r="A8" s="25"/>
      <c r="B8" s="93" t="s">
        <v>193</v>
      </c>
      <c r="C8" s="95">
        <f>'Master Sheet'!C5</f>
        <v>28</v>
      </c>
      <c r="D8" s="95" t="str">
        <f>'Master Sheet'!D5</f>
        <v/>
      </c>
      <c r="E8" s="96">
        <f>'Master Sheet'!E5</f>
        <v>99</v>
      </c>
      <c r="F8" s="82"/>
    </row>
    <row r="9">
      <c r="A9" s="25"/>
      <c r="B9" s="93" t="s">
        <v>215</v>
      </c>
      <c r="C9" s="95">
        <f>'Master Sheet'!C6</f>
        <v>41</v>
      </c>
      <c r="D9" s="95" t="str">
        <f>'Master Sheet'!D6</f>
        <v/>
      </c>
      <c r="E9" s="96">
        <f>'Master Sheet'!E6</f>
        <v>99</v>
      </c>
      <c r="F9" s="82"/>
    </row>
    <row r="10">
      <c r="A10" s="25"/>
      <c r="B10" s="93" t="s">
        <v>227</v>
      </c>
      <c r="C10" s="95">
        <f>'Master Sheet'!C7</f>
        <v>68</v>
      </c>
      <c r="D10" s="95" t="str">
        <f>'Master Sheet'!D7</f>
        <v/>
      </c>
      <c r="E10" s="96">
        <f>'Master Sheet'!E7</f>
        <v>99</v>
      </c>
      <c r="F10" s="82"/>
    </row>
    <row r="11">
      <c r="A11" s="25"/>
      <c r="B11" s="1660" t="s">
        <v>238</v>
      </c>
      <c r="C11" s="95">
        <f>'Master Sheet'!C8</f>
        <v>91</v>
      </c>
      <c r="D11" s="1659" t="str">
        <f>'Master Sheet'!D8</f>
        <v/>
      </c>
      <c r="E11" s="96">
        <f>'Master Sheet'!E8</f>
        <v>99</v>
      </c>
      <c r="F11" s="82"/>
    </row>
    <row r="12">
      <c r="A12" s="25"/>
      <c r="B12" s="93" t="s">
        <v>249</v>
      </c>
      <c r="C12" s="95">
        <f>'Master Sheet'!C9</f>
        <v>4</v>
      </c>
      <c r="D12" s="1659" t="str">
        <f>'Master Sheet'!D9</f>
        <v/>
      </c>
      <c r="E12" s="96">
        <f>'Master Sheet'!E9</f>
        <v>4</v>
      </c>
      <c r="F12" s="82"/>
    </row>
    <row r="13">
      <c r="A13" s="25"/>
      <c r="B13" s="93" t="s">
        <v>260</v>
      </c>
      <c r="C13" s="95">
        <f>'Master Sheet'!C10</f>
        <v>1</v>
      </c>
      <c r="D13" s="1659" t="str">
        <f>'Master Sheet'!D10</f>
        <v/>
      </c>
      <c r="E13" s="96">
        <f>'Master Sheet'!E10</f>
        <v>1</v>
      </c>
      <c r="F13" s="82"/>
    </row>
    <row r="14">
      <c r="A14" s="25"/>
      <c r="B14" s="93" t="s">
        <v>270</v>
      </c>
      <c r="C14" s="95">
        <f>'Master Sheet'!C11</f>
        <v>2</v>
      </c>
      <c r="D14" s="1659" t="str">
        <f>'Master Sheet'!D11</f>
        <v/>
      </c>
      <c r="E14" s="96">
        <f>'Master Sheet'!E11</f>
        <v>2</v>
      </c>
      <c r="F14" s="82"/>
    </row>
    <row r="15">
      <c r="A15" s="25"/>
      <c r="B15" s="93" t="s">
        <v>278</v>
      </c>
      <c r="C15" s="95">
        <f>'Master Sheet'!C12</f>
        <v>1</v>
      </c>
      <c r="D15" s="1659" t="str">
        <f>'Master Sheet'!D12</f>
        <v/>
      </c>
      <c r="E15" s="96">
        <f>'Master Sheet'!E12</f>
        <v>1</v>
      </c>
      <c r="F15" s="82"/>
    </row>
    <row r="16">
      <c r="A16" s="25"/>
      <c r="B16" s="93" t="s">
        <v>286</v>
      </c>
      <c r="C16" s="95">
        <f>'Master Sheet'!C13</f>
        <v>1</v>
      </c>
      <c r="D16" s="1659" t="str">
        <f>'Master Sheet'!D13</f>
        <v/>
      </c>
      <c r="E16" s="96">
        <f>'Master Sheet'!E13</f>
        <v>1</v>
      </c>
      <c r="F16" s="82"/>
    </row>
    <row r="17">
      <c r="A17" s="25"/>
      <c r="B17" s="93" t="s">
        <v>294</v>
      </c>
      <c r="C17" s="95">
        <f>'Master Sheet'!C14</f>
        <v>1</v>
      </c>
      <c r="D17" s="95" t="str">
        <f>'Master Sheet'!D14</f>
        <v/>
      </c>
      <c r="E17" s="96">
        <f>'Master Sheet'!E14</f>
        <v>1</v>
      </c>
      <c r="F17" s="82"/>
    </row>
    <row r="18">
      <c r="A18" s="25"/>
      <c r="B18" s="93" t="s">
        <v>301</v>
      </c>
      <c r="C18" s="95">
        <f>'Master Sheet'!C15</f>
        <v>1</v>
      </c>
      <c r="D18" s="1659" t="str">
        <f>'Master Sheet'!D15</f>
        <v/>
      </c>
      <c r="E18" s="96">
        <f>'Master Sheet'!E15</f>
        <v>1</v>
      </c>
      <c r="F18" s="82"/>
    </row>
    <row r="19">
      <c r="A19" s="25"/>
      <c r="B19" s="1661" t="s">
        <v>308</v>
      </c>
      <c r="C19" s="95">
        <f>'Master Sheet'!C16</f>
        <v>0</v>
      </c>
      <c r="D19" s="1659" t="str">
        <f>'Master Sheet'!D16</f>
        <v/>
      </c>
      <c r="E19" s="96">
        <f>'Master Sheet'!E16</f>
        <v>100</v>
      </c>
      <c r="F19" s="82"/>
    </row>
    <row r="20">
      <c r="A20" s="25"/>
      <c r="B20" s="93" t="s">
        <v>315</v>
      </c>
      <c r="C20" s="95">
        <f>'Master Sheet'!C17</f>
        <v>0</v>
      </c>
      <c r="D20" s="1659" t="str">
        <f>'Master Sheet'!D17</f>
        <v/>
      </c>
      <c r="E20" s="96">
        <f>'Master Sheet'!E17</f>
        <v>100</v>
      </c>
      <c r="F20" s="82"/>
    </row>
    <row r="21">
      <c r="A21" s="25"/>
      <c r="B21" s="1662" t="s">
        <v>322</v>
      </c>
      <c r="C21" s="1663">
        <f>'Master Sheet'!C18</f>
        <v>0</v>
      </c>
      <c r="D21" s="1664" t="str">
        <f>'Master Sheet'!D18</f>
        <v/>
      </c>
      <c r="E21" s="1665">
        <f>'Master Sheet'!E18</f>
        <v>100</v>
      </c>
      <c r="F21" s="82"/>
    </row>
    <row r="22">
      <c r="A22" s="25"/>
      <c r="B22" s="90" t="s">
        <v>155</v>
      </c>
      <c r="C22" s="141">
        <f>'Master Sheet'!H2</f>
        <v>69</v>
      </c>
      <c r="D22" s="1666" t="str">
        <f>'Master Sheet'!I2</f>
        <v/>
      </c>
      <c r="E22" s="92">
        <f>'Master Sheet'!J2</f>
        <v>100</v>
      </c>
      <c r="F22" s="82"/>
    </row>
    <row r="23">
      <c r="A23" s="25"/>
      <c r="B23" s="90" t="s">
        <v>170</v>
      </c>
      <c r="C23" s="141">
        <f>'Master Sheet'!H3</f>
        <v>75</v>
      </c>
      <c r="D23" s="1666" t="str">
        <f>'Master Sheet'!I3</f>
        <v/>
      </c>
      <c r="E23" s="92">
        <f>'Master Sheet'!J3</f>
        <v>99</v>
      </c>
      <c r="F23" s="82"/>
    </row>
    <row r="24">
      <c r="A24" s="25"/>
      <c r="B24" s="90" t="s">
        <v>181</v>
      </c>
      <c r="C24" s="141">
        <f>'Master Sheet'!H4</f>
        <v>83</v>
      </c>
      <c r="D24" s="1666" t="str">
        <f>'Master Sheet'!I4</f>
        <v/>
      </c>
      <c r="E24" s="92">
        <f>'Master Sheet'!J4</f>
        <v>99</v>
      </c>
      <c r="F24" s="82"/>
    </row>
    <row r="25">
      <c r="A25" s="25"/>
      <c r="B25" s="90" t="s">
        <v>195</v>
      </c>
      <c r="C25" s="1667">
        <f>'Master Sheet'!H5</f>
        <v>33</v>
      </c>
      <c r="D25" s="1666" t="str">
        <f>'Master Sheet'!I5</f>
        <v/>
      </c>
      <c r="E25" s="92">
        <f>'Master Sheet'!J5</f>
        <v>80</v>
      </c>
      <c r="F25" s="82"/>
    </row>
    <row r="26">
      <c r="A26" s="25"/>
      <c r="B26" s="90" t="s">
        <v>216</v>
      </c>
      <c r="C26" s="1667">
        <f>'Master Sheet'!H6</f>
        <v>16</v>
      </c>
      <c r="D26" s="1666" t="str">
        <f>'Master Sheet'!I6</f>
        <v/>
      </c>
      <c r="E26" s="92">
        <f>'Master Sheet'!J6</f>
        <v>99</v>
      </c>
      <c r="F26" s="82"/>
    </row>
    <row r="27">
      <c r="A27" s="25"/>
      <c r="B27" s="90" t="s">
        <v>228</v>
      </c>
      <c r="C27" s="141">
        <f>'Master Sheet'!H7</f>
        <v>9</v>
      </c>
      <c r="D27" s="1666" t="str">
        <f>'Master Sheet'!I7</f>
        <v/>
      </c>
      <c r="E27" s="92">
        <f>'Master Sheet'!J7</f>
        <v>50</v>
      </c>
      <c r="F27" s="82"/>
    </row>
    <row r="28">
      <c r="A28" s="25"/>
      <c r="B28" s="90" t="s">
        <v>239</v>
      </c>
      <c r="C28" s="141">
        <f>'Master Sheet'!H8</f>
        <v>13</v>
      </c>
      <c r="D28" s="1666" t="str">
        <f>'Master Sheet'!I8</f>
        <v/>
      </c>
      <c r="E28" s="92">
        <f>'Master Sheet'!J8</f>
        <v>40</v>
      </c>
      <c r="F28" s="82"/>
    </row>
    <row r="29">
      <c r="A29" s="25"/>
      <c r="B29" s="90" t="s">
        <v>250</v>
      </c>
      <c r="C29" s="141">
        <f>'Master Sheet'!H9</f>
        <v>0</v>
      </c>
      <c r="D29" s="1666" t="str">
        <f>'Master Sheet'!I9</f>
        <v/>
      </c>
      <c r="E29" s="92">
        <f>'Master Sheet'!J9</f>
        <v>30</v>
      </c>
      <c r="F29" s="82"/>
    </row>
    <row r="30">
      <c r="A30" s="25"/>
      <c r="B30" s="1668" t="s">
        <v>261</v>
      </c>
      <c r="C30" s="188">
        <f>'Master Sheet'!H10</f>
        <v>1</v>
      </c>
      <c r="D30" s="1669" t="str">
        <f>'Master Sheet'!I10</f>
        <v/>
      </c>
      <c r="E30" s="1670">
        <f>'Master Sheet'!J10</f>
        <v>1</v>
      </c>
      <c r="F30" s="82"/>
    </row>
    <row r="31">
      <c r="A31" s="25"/>
      <c r="B31" s="101" t="s">
        <v>156</v>
      </c>
      <c r="C31" s="103">
        <f>'Master Sheet'!M2</f>
        <v>68</v>
      </c>
      <c r="D31" s="1671" t="str">
        <f>'Master Sheet'!N2</f>
        <v/>
      </c>
      <c r="E31" s="104">
        <f>'Master Sheet'!O2</f>
        <v>100</v>
      </c>
      <c r="F31" s="82"/>
    </row>
    <row r="32">
      <c r="A32" s="25"/>
      <c r="B32" s="101" t="s">
        <v>171</v>
      </c>
      <c r="C32" s="1672">
        <f>'Master Sheet'!M3</f>
        <v>68</v>
      </c>
      <c r="D32" s="1671" t="str">
        <f>'Master Sheet'!N3</f>
        <v/>
      </c>
      <c r="E32" s="104">
        <f>'Master Sheet'!O3</f>
        <v>100</v>
      </c>
      <c r="F32" s="82"/>
    </row>
    <row r="33">
      <c r="A33" s="25"/>
      <c r="B33" s="101" t="s">
        <v>182</v>
      </c>
      <c r="C33" s="103">
        <f>'Master Sheet'!M4</f>
        <v>14</v>
      </c>
      <c r="D33" s="1671">
        <f>'Master Sheet'!N4</f>
        <v>14</v>
      </c>
      <c r="E33" s="104">
        <f>'Master Sheet'!O4</f>
        <v>100</v>
      </c>
      <c r="F33" s="82"/>
    </row>
    <row r="34">
      <c r="A34" s="25"/>
      <c r="B34" s="101" t="s">
        <v>197</v>
      </c>
      <c r="C34" s="103">
        <f>'Master Sheet'!M5</f>
        <v>28</v>
      </c>
      <c r="D34" s="1671">
        <f>'Master Sheet'!N5</f>
        <v>28</v>
      </c>
      <c r="E34" s="104">
        <f>'Master Sheet'!O5</f>
        <v>50</v>
      </c>
      <c r="F34" s="82"/>
    </row>
    <row r="35">
      <c r="A35" s="25"/>
      <c r="B35" s="101" t="s">
        <v>217</v>
      </c>
      <c r="C35" s="103">
        <f>'Master Sheet'!M6</f>
        <v>20</v>
      </c>
      <c r="D35" s="1671" t="str">
        <f>'Master Sheet'!N6</f>
        <v/>
      </c>
      <c r="E35" s="104">
        <f>'Master Sheet'!O6</f>
        <v>20</v>
      </c>
      <c r="F35" s="82"/>
    </row>
    <row r="36">
      <c r="A36" s="25"/>
      <c r="B36" s="101" t="s">
        <v>229</v>
      </c>
      <c r="C36" s="1672">
        <f>'Master Sheet'!M7</f>
        <v>0</v>
      </c>
      <c r="D36" s="1671" t="str">
        <f>'Master Sheet'!N7</f>
        <v/>
      </c>
      <c r="E36" s="104">
        <f>'Master Sheet'!O7</f>
        <v>20</v>
      </c>
      <c r="F36" s="82"/>
    </row>
    <row r="37">
      <c r="A37" s="25"/>
      <c r="B37" s="101" t="s">
        <v>240</v>
      </c>
      <c r="C37" s="1672">
        <f>'Master Sheet'!M8</f>
        <v>13</v>
      </c>
      <c r="D37" s="1671" t="str">
        <f>'Master Sheet'!N8</f>
        <v/>
      </c>
      <c r="E37" s="104">
        <f>'Master Sheet'!O8</f>
        <v>35</v>
      </c>
      <c r="F37" s="82"/>
    </row>
    <row r="38">
      <c r="A38" s="25"/>
      <c r="B38" s="101" t="s">
        <v>251</v>
      </c>
      <c r="C38" s="103">
        <f>'Master Sheet'!M9</f>
        <v>10</v>
      </c>
      <c r="D38" s="1671" t="str">
        <f>'Master Sheet'!N9</f>
        <v/>
      </c>
      <c r="E38" s="104">
        <f>'Master Sheet'!O9</f>
        <v>20</v>
      </c>
      <c r="F38" s="82"/>
    </row>
    <row r="39">
      <c r="A39" s="25"/>
      <c r="B39" s="101" t="s">
        <v>262</v>
      </c>
      <c r="C39" s="103">
        <f>'Master Sheet'!M10</f>
        <v>10</v>
      </c>
      <c r="D39" s="1671" t="str">
        <f>'Master Sheet'!N10</f>
        <v/>
      </c>
      <c r="E39" s="104">
        <f>'Master Sheet'!O10</f>
        <v>10</v>
      </c>
      <c r="F39" s="82"/>
    </row>
    <row r="40">
      <c r="A40" s="25"/>
      <c r="B40" s="101" t="s">
        <v>271</v>
      </c>
      <c r="C40" s="103">
        <f>'Master Sheet'!M11</f>
        <v>50</v>
      </c>
      <c r="D40" s="1671" t="str">
        <f>'Master Sheet'!N11</f>
        <v/>
      </c>
      <c r="E40" s="104">
        <f>'Master Sheet'!O11</f>
        <v>50</v>
      </c>
      <c r="F40" s="82"/>
    </row>
    <row r="41">
      <c r="A41" s="25"/>
      <c r="B41" s="101" t="s">
        <v>279</v>
      </c>
      <c r="C41" s="103">
        <f>'Master Sheet'!M12</f>
        <v>9</v>
      </c>
      <c r="D41" s="1671" t="str">
        <f>'Master Sheet'!N12</f>
        <v/>
      </c>
      <c r="E41" s="104">
        <f>'Master Sheet'!O12</f>
        <v>20</v>
      </c>
      <c r="F41" s="82"/>
    </row>
    <row r="42">
      <c r="A42" s="25"/>
      <c r="B42" s="101" t="s">
        <v>287</v>
      </c>
      <c r="C42" s="103">
        <f>'Master Sheet'!M13</f>
        <v>21</v>
      </c>
      <c r="D42" s="1671" t="str">
        <f>'Master Sheet'!N13</f>
        <v/>
      </c>
      <c r="E42" s="104">
        <f>'Master Sheet'!O13</f>
        <v>30</v>
      </c>
      <c r="F42" s="82"/>
    </row>
    <row r="43">
      <c r="A43" s="25"/>
      <c r="B43" s="1673" t="s">
        <v>295</v>
      </c>
      <c r="C43" s="1672">
        <f>'Master Sheet'!M14</f>
        <v>15</v>
      </c>
      <c r="D43" s="1671" t="str">
        <f>'Master Sheet'!N14</f>
        <v/>
      </c>
      <c r="E43" s="104">
        <f>'Master Sheet'!O14</f>
        <v>20</v>
      </c>
      <c r="F43" s="82"/>
    </row>
    <row r="44">
      <c r="A44" s="25"/>
      <c r="B44" s="101" t="s">
        <v>302</v>
      </c>
      <c r="C44" s="103">
        <f>'Master Sheet'!M15</f>
        <v>0</v>
      </c>
      <c r="D44" s="1674" t="str">
        <f>'Master Sheet'!N15</f>
        <v/>
      </c>
      <c r="E44" s="1675">
        <f>'Master Sheet'!O15</f>
        <v>10</v>
      </c>
      <c r="F44" s="82"/>
    </row>
    <row r="45">
      <c r="A45" s="25"/>
      <c r="B45" s="101" t="s">
        <v>309</v>
      </c>
      <c r="C45" s="103">
        <f>'Master Sheet'!M16</f>
        <v>47</v>
      </c>
      <c r="D45" s="1671" t="str">
        <f>'Master Sheet'!N16</f>
        <v/>
      </c>
      <c r="E45" s="104">
        <f>'Master Sheet'!O16</f>
        <v>60</v>
      </c>
      <c r="F45" s="82"/>
    </row>
    <row r="46">
      <c r="A46" s="201"/>
      <c r="B46" s="1676" t="s">
        <v>316</v>
      </c>
      <c r="C46" s="1677">
        <f>'Master Sheet'!M17</f>
        <v>10</v>
      </c>
      <c r="D46" s="1678" t="str">
        <f>'Master Sheet'!N17</f>
        <v/>
      </c>
      <c r="E46" s="1679">
        <f>'Master Sheet'!O17</f>
        <v>10</v>
      </c>
      <c r="F46" s="82"/>
    </row>
    <row r="47">
      <c r="A47" s="201"/>
      <c r="B47" s="97" t="s">
        <v>157</v>
      </c>
      <c r="C47" s="99">
        <f>'Master Sheet'!R2</f>
        <v>33</v>
      </c>
      <c r="D47" s="99" t="str">
        <f>'Master Sheet'!S2</f>
        <v/>
      </c>
      <c r="E47" s="100">
        <f>'Master Sheet'!T2</f>
        <v>99</v>
      </c>
      <c r="F47" s="82"/>
    </row>
    <row r="48">
      <c r="A48" s="201"/>
      <c r="B48" s="97" t="s">
        <v>172</v>
      </c>
      <c r="C48" s="99">
        <f>'Master Sheet'!R3</f>
        <v>8</v>
      </c>
      <c r="D48" s="99" t="str">
        <f>'Master Sheet'!S3</f>
        <v/>
      </c>
      <c r="E48" s="100">
        <f>'Master Sheet'!T3</f>
        <v>99</v>
      </c>
      <c r="F48" s="82"/>
    </row>
    <row r="49">
      <c r="A49" s="201"/>
      <c r="B49" s="97" t="s">
        <v>183</v>
      </c>
      <c r="C49" s="99">
        <f>'Master Sheet'!R4</f>
        <v>87</v>
      </c>
      <c r="D49" s="1680" t="str">
        <f>'Master Sheet'!S4</f>
        <v/>
      </c>
      <c r="E49" s="100">
        <f>'Master Sheet'!T4</f>
        <v>99</v>
      </c>
      <c r="F49" s="82"/>
    </row>
    <row r="50">
      <c r="A50" s="201"/>
      <c r="B50" s="97" t="s">
        <v>199</v>
      </c>
      <c r="C50" s="99">
        <f>'Master Sheet'!R5</f>
        <v>6</v>
      </c>
      <c r="D50" s="99" t="str">
        <f>'Master Sheet'!S5</f>
        <v/>
      </c>
      <c r="E50" s="100">
        <f>'Master Sheet'!T5</f>
        <v>99</v>
      </c>
      <c r="F50" s="82"/>
    </row>
    <row r="51">
      <c r="A51" s="201"/>
      <c r="B51" s="97" t="s">
        <v>218</v>
      </c>
      <c r="C51" s="99">
        <f>'Master Sheet'!R6</f>
        <v>11</v>
      </c>
      <c r="D51" s="99" t="str">
        <f>'Master Sheet'!S6</f>
        <v/>
      </c>
      <c r="E51" s="100">
        <f>'Master Sheet'!T6</f>
        <v>99</v>
      </c>
      <c r="F51" s="82"/>
    </row>
    <row r="52">
      <c r="A52" s="201"/>
      <c r="B52" s="97" t="s">
        <v>230</v>
      </c>
      <c r="C52" s="99">
        <f>'Master Sheet'!R7</f>
        <v>8</v>
      </c>
      <c r="D52" s="1680" t="str">
        <f>'Master Sheet'!S7</f>
        <v/>
      </c>
      <c r="E52" s="100">
        <f>'Master Sheet'!T7</f>
        <v>15</v>
      </c>
      <c r="F52" s="82"/>
    </row>
    <row r="53">
      <c r="A53" s="201"/>
      <c r="B53" s="97" t="s">
        <v>241</v>
      </c>
      <c r="C53" s="99">
        <f>'Master Sheet'!R8</f>
        <v>1</v>
      </c>
      <c r="D53" s="1680" t="str">
        <f>'Master Sheet'!S8</f>
        <v/>
      </c>
      <c r="E53" s="100">
        <f>'Master Sheet'!T8</f>
        <v>1</v>
      </c>
      <c r="F53" s="82"/>
    </row>
    <row r="54">
      <c r="A54" s="201"/>
      <c r="B54" s="97" t="s">
        <v>252</v>
      </c>
      <c r="C54" s="1681">
        <f>'Master Sheet'!R9</f>
        <v>0</v>
      </c>
      <c r="D54" s="99" t="str">
        <f>'Master Sheet'!S9</f>
        <v/>
      </c>
      <c r="E54" s="100">
        <f>'Master Sheet'!T9</f>
        <v>20</v>
      </c>
      <c r="F54" s="82"/>
    </row>
    <row r="55">
      <c r="A55" s="201"/>
      <c r="B55" s="97" t="s">
        <v>263</v>
      </c>
      <c r="C55" s="1681">
        <f>'Master Sheet'!R10</f>
        <v>0</v>
      </c>
      <c r="D55" s="1681" t="str">
        <f>'Master Sheet'!S10</f>
        <v/>
      </c>
      <c r="E55" s="100">
        <f>'Master Sheet'!T10</f>
        <v>20</v>
      </c>
      <c r="F55" s="82"/>
    </row>
    <row r="56">
      <c r="A56" s="201"/>
      <c r="B56" s="97" t="s">
        <v>272</v>
      </c>
      <c r="C56" s="1681">
        <f>'Master Sheet'!R11</f>
        <v>20</v>
      </c>
      <c r="D56" s="1680" t="str">
        <f>'Master Sheet'!S11</f>
        <v/>
      </c>
      <c r="E56" s="100">
        <f>'Master Sheet'!T11</f>
        <v>20</v>
      </c>
      <c r="F56" s="82"/>
    </row>
    <row r="57">
      <c r="A57" s="201"/>
      <c r="B57" s="97" t="s">
        <v>280</v>
      </c>
      <c r="C57" s="99">
        <f>'Master Sheet'!R12</f>
        <v>20</v>
      </c>
      <c r="D57" s="1680" t="str">
        <f>'Master Sheet'!S12</f>
        <v/>
      </c>
      <c r="E57" s="100">
        <f>'Master Sheet'!T12</f>
        <v>20</v>
      </c>
      <c r="F57" s="82"/>
    </row>
    <row r="58">
      <c r="A58" s="201"/>
      <c r="B58" s="1682" t="s">
        <v>288</v>
      </c>
      <c r="C58" s="1683">
        <f>'Master Sheet'!R13</f>
        <v>20</v>
      </c>
      <c r="D58" s="1684" t="str">
        <f>'Master Sheet'!S13</f>
        <v/>
      </c>
      <c r="E58" s="1685">
        <f>'Master Sheet'!T13</f>
        <v>20</v>
      </c>
      <c r="F58" s="82"/>
    </row>
    <row r="59">
      <c r="A59" s="201"/>
      <c r="B59" s="105" t="s">
        <v>158</v>
      </c>
      <c r="C59" s="107">
        <f>'Master Sheet'!W2</f>
        <v>0</v>
      </c>
      <c r="D59" s="143" t="str">
        <f>'Master Sheet'!X2</f>
        <v/>
      </c>
      <c r="E59" s="108">
        <f>'Master Sheet'!Y2</f>
        <v>20</v>
      </c>
      <c r="F59" s="82"/>
    </row>
    <row r="60">
      <c r="A60" s="201"/>
      <c r="B60" s="105" t="s">
        <v>173</v>
      </c>
      <c r="C60" s="143">
        <f>'Master Sheet'!W3</f>
        <v>0</v>
      </c>
      <c r="D60" s="1686" t="str">
        <f>'Master Sheet'!X3</f>
        <v/>
      </c>
      <c r="E60" s="108">
        <f>'Master Sheet'!Y3</f>
        <v>1</v>
      </c>
      <c r="F60" s="82"/>
    </row>
    <row r="61">
      <c r="A61" s="201"/>
      <c r="B61" s="105" t="s">
        <v>184</v>
      </c>
      <c r="C61" s="143">
        <f>'Master Sheet'!W4</f>
        <v>0</v>
      </c>
      <c r="D61" s="1686" t="str">
        <f>'Master Sheet'!X4</f>
        <v/>
      </c>
      <c r="E61" s="108">
        <f>'Master Sheet'!Y4</f>
        <v>20</v>
      </c>
      <c r="F61" s="82"/>
    </row>
    <row r="62">
      <c r="A62" s="201"/>
      <c r="B62" s="105" t="s">
        <v>201</v>
      </c>
      <c r="C62" s="143">
        <f>'Master Sheet'!W5</f>
        <v>30</v>
      </c>
      <c r="D62" s="1686" t="str">
        <f>'Master Sheet'!X5</f>
        <v/>
      </c>
      <c r="E62" s="108">
        <f>'Master Sheet'!Y5</f>
        <v>30</v>
      </c>
      <c r="F62" s="82"/>
    </row>
    <row r="63">
      <c r="A63" s="201"/>
      <c r="B63" s="105" t="s">
        <v>219</v>
      </c>
      <c r="C63" s="107">
        <f>'Master Sheet'!W6</f>
        <v>1</v>
      </c>
      <c r="D63" s="1686" t="str">
        <f>'Master Sheet'!X6</f>
        <v/>
      </c>
      <c r="E63" s="108">
        <f>'Master Sheet'!Y6</f>
        <v>1</v>
      </c>
      <c r="F63" s="82"/>
    </row>
    <row r="64">
      <c r="A64" s="201"/>
      <c r="B64" s="105" t="s">
        <v>231</v>
      </c>
      <c r="C64" s="107">
        <f>'Master Sheet'!W7</f>
        <v>20</v>
      </c>
      <c r="D64" s="1686" t="str">
        <f>'Master Sheet'!X7</f>
        <v/>
      </c>
      <c r="E64" s="108">
        <f>'Master Sheet'!Y7</f>
        <v>30</v>
      </c>
      <c r="F64" s="82"/>
    </row>
    <row r="65">
      <c r="A65" s="201"/>
      <c r="B65" s="105" t="s">
        <v>242</v>
      </c>
      <c r="C65" s="143">
        <f>'Master Sheet'!W8</f>
        <v>0</v>
      </c>
      <c r="D65" s="1686" t="str">
        <f>'Master Sheet'!X8</f>
        <v/>
      </c>
      <c r="E65" s="108">
        <f>'Master Sheet'!Y8</f>
        <v>30</v>
      </c>
      <c r="F65" s="82"/>
    </row>
    <row r="66">
      <c r="A66" s="201"/>
      <c r="B66" s="105" t="s">
        <v>253</v>
      </c>
      <c r="C66" s="107">
        <f>'Master Sheet'!W9</f>
        <v>0</v>
      </c>
      <c r="D66" s="1686" t="str">
        <f>'Master Sheet'!X9</f>
        <v/>
      </c>
      <c r="E66" s="108">
        <f>'Master Sheet'!Y9</f>
        <v>1</v>
      </c>
      <c r="F66" s="82"/>
    </row>
    <row r="67">
      <c r="A67" s="201"/>
      <c r="B67" s="105" t="s">
        <v>264</v>
      </c>
      <c r="C67" s="107">
        <f>'Master Sheet'!W10</f>
        <v>0</v>
      </c>
      <c r="D67" s="1686" t="str">
        <f>'Master Sheet'!X10</f>
        <v/>
      </c>
      <c r="E67" s="108">
        <f>'Master Sheet'!Y10</f>
        <v>30</v>
      </c>
      <c r="F67" s="82"/>
    </row>
    <row r="68">
      <c r="A68" s="201"/>
      <c r="B68" s="105" t="s">
        <v>273</v>
      </c>
      <c r="C68" s="107">
        <f>'Master Sheet'!W11</f>
        <v>0</v>
      </c>
      <c r="D68" s="1686" t="str">
        <f>'Master Sheet'!X11</f>
        <v/>
      </c>
      <c r="E68" s="108">
        <f>'Master Sheet'!Y11</f>
        <v>30</v>
      </c>
      <c r="F68" s="82"/>
    </row>
    <row r="69">
      <c r="A69" s="201"/>
      <c r="B69" s="105" t="s">
        <v>281</v>
      </c>
      <c r="C69" s="143">
        <f>'Master Sheet'!W12</f>
        <v>22</v>
      </c>
      <c r="D69" s="1686" t="str">
        <f>'Master Sheet'!X12</f>
        <v/>
      </c>
      <c r="E69" s="108">
        <f>'Master Sheet'!Y12</f>
        <v>25</v>
      </c>
      <c r="F69" s="82"/>
    </row>
    <row r="70">
      <c r="A70" s="201"/>
      <c r="B70" s="105" t="s">
        <v>289</v>
      </c>
      <c r="C70" s="107">
        <f>'Master Sheet'!W13</f>
        <v>19</v>
      </c>
      <c r="D70" s="1686" t="str">
        <f>'Master Sheet'!X13</f>
        <v/>
      </c>
      <c r="E70" s="108">
        <f>'Master Sheet'!Y13</f>
        <v>20</v>
      </c>
      <c r="F70" s="82"/>
    </row>
    <row r="71">
      <c r="A71" s="201"/>
      <c r="B71" s="105" t="s">
        <v>296</v>
      </c>
      <c r="C71" s="143">
        <f>'Master Sheet'!W14</f>
        <v>1</v>
      </c>
      <c r="D71" s="1686" t="str">
        <f>'Master Sheet'!X14</f>
        <v/>
      </c>
      <c r="E71" s="108">
        <f>'Master Sheet'!Y14</f>
        <v>1</v>
      </c>
      <c r="F71" s="82"/>
    </row>
    <row r="72">
      <c r="A72" s="201"/>
      <c r="B72" s="105" t="s">
        <v>303</v>
      </c>
      <c r="C72" s="143">
        <f>'Master Sheet'!W15</f>
        <v>14</v>
      </c>
      <c r="D72" s="1686" t="str">
        <f>'Master Sheet'!X15</f>
        <v/>
      </c>
      <c r="E72" s="108">
        <f>'Master Sheet'!Y15</f>
        <v>30</v>
      </c>
      <c r="F72" s="82"/>
    </row>
    <row r="73">
      <c r="A73" s="201"/>
      <c r="B73" s="105" t="s">
        <v>310</v>
      </c>
      <c r="C73" s="143">
        <f>'Master Sheet'!W16</f>
        <v>14</v>
      </c>
      <c r="D73" s="1686" t="str">
        <f>'Master Sheet'!X16</f>
        <v/>
      </c>
      <c r="E73" s="108">
        <f>'Master Sheet'!Y16</f>
        <v>14</v>
      </c>
      <c r="F73" s="82"/>
    </row>
    <row r="74">
      <c r="A74" s="201"/>
      <c r="B74" s="105" t="s">
        <v>317</v>
      </c>
      <c r="C74" s="107">
        <f>'Master Sheet'!W17</f>
        <v>30</v>
      </c>
      <c r="D74" s="1686" t="str">
        <f>'Master Sheet'!X17</f>
        <v/>
      </c>
      <c r="E74" s="108">
        <f>'Master Sheet'!Y17</f>
        <v>30</v>
      </c>
      <c r="F74" s="82"/>
    </row>
    <row r="75">
      <c r="A75" s="201"/>
      <c r="B75" s="105" t="s">
        <v>323</v>
      </c>
      <c r="C75" s="107">
        <f>'Master Sheet'!W18</f>
        <v>20</v>
      </c>
      <c r="D75" s="1686" t="str">
        <f>'Master Sheet'!X18</f>
        <v/>
      </c>
      <c r="E75" s="108">
        <f>'Master Sheet'!Y18</f>
        <v>20</v>
      </c>
      <c r="F75" s="82"/>
    </row>
    <row r="76">
      <c r="A76" s="201"/>
      <c r="B76" s="105" t="s">
        <v>328</v>
      </c>
      <c r="C76" s="107">
        <f>'Master Sheet'!W19</f>
        <v>0</v>
      </c>
      <c r="D76" s="1686" t="str">
        <f>'Master Sheet'!X19</f>
        <v/>
      </c>
      <c r="E76" s="108">
        <f>'Master Sheet'!Y19</f>
        <v>20</v>
      </c>
      <c r="F76" s="82"/>
    </row>
    <row r="77">
      <c r="A77" s="201"/>
      <c r="B77" s="105" t="s">
        <v>333</v>
      </c>
      <c r="C77" s="107">
        <f>'Master Sheet'!W20</f>
        <v>0</v>
      </c>
      <c r="D77" s="1686" t="str">
        <f>'Master Sheet'!X20</f>
        <v/>
      </c>
      <c r="E77" s="108">
        <f>'Master Sheet'!Y20</f>
        <v>20</v>
      </c>
      <c r="F77" s="82"/>
    </row>
    <row r="78">
      <c r="A78" s="201"/>
      <c r="B78" s="105" t="s">
        <v>338</v>
      </c>
      <c r="C78" s="143">
        <f>'Master Sheet'!W21</f>
        <v>17</v>
      </c>
      <c r="D78" s="1686" t="str">
        <f>'Master Sheet'!X21</f>
        <v/>
      </c>
      <c r="E78" s="108">
        <f>'Master Sheet'!Y21</f>
        <v>20</v>
      </c>
      <c r="F78" s="82"/>
    </row>
    <row r="79">
      <c r="A79" s="201"/>
      <c r="B79" s="105" t="s">
        <v>343</v>
      </c>
      <c r="C79" s="143">
        <f>'Master Sheet'!W22</f>
        <v>0</v>
      </c>
      <c r="D79" s="1686" t="str">
        <f>'Master Sheet'!X22</f>
        <v/>
      </c>
      <c r="E79" s="108">
        <f>'Master Sheet'!Y22</f>
        <v>25</v>
      </c>
      <c r="F79" s="82"/>
    </row>
    <row r="80">
      <c r="A80" s="201"/>
      <c r="B80" s="105" t="s">
        <v>346</v>
      </c>
      <c r="C80" s="107">
        <f>'Master Sheet'!W23</f>
        <v>0</v>
      </c>
      <c r="D80" s="1686" t="str">
        <f>'Master Sheet'!X23</f>
        <v/>
      </c>
      <c r="E80" s="108">
        <f>'Master Sheet'!Y23</f>
        <v>1</v>
      </c>
      <c r="F80" s="82"/>
    </row>
    <row r="81">
      <c r="A81" s="201"/>
      <c r="B81" s="105" t="s">
        <v>348</v>
      </c>
      <c r="C81" s="107">
        <f>'Master Sheet'!W24</f>
        <v>0</v>
      </c>
      <c r="D81" s="1686" t="str">
        <f>'Master Sheet'!X24</f>
        <v/>
      </c>
      <c r="E81" s="108">
        <f>'Master Sheet'!Y24</f>
        <v>6</v>
      </c>
      <c r="F81" s="82"/>
    </row>
    <row r="82">
      <c r="A82" s="201"/>
      <c r="B82" s="105" t="s">
        <v>350</v>
      </c>
      <c r="C82" s="107">
        <f>'Master Sheet'!W25</f>
        <v>0</v>
      </c>
      <c r="D82" s="1686" t="str">
        <f>'Master Sheet'!X25</f>
        <v/>
      </c>
      <c r="E82" s="108">
        <f>'Master Sheet'!Y25</f>
        <v>1</v>
      </c>
      <c r="F82" s="82"/>
    </row>
    <row r="83">
      <c r="A83" s="201"/>
      <c r="B83" s="105" t="s">
        <v>352</v>
      </c>
      <c r="C83" s="107">
        <f>'Master Sheet'!W26</f>
        <v>10</v>
      </c>
      <c r="D83" s="1686" t="str">
        <f>'Master Sheet'!X26</f>
        <v/>
      </c>
      <c r="E83" s="108">
        <f>'Master Sheet'!Y26</f>
        <v>10</v>
      </c>
      <c r="F83" s="82"/>
    </row>
    <row r="84">
      <c r="A84" s="201"/>
      <c r="B84" s="105" t="s">
        <v>354</v>
      </c>
      <c r="C84" s="107">
        <f>'Master Sheet'!W27</f>
        <v>1</v>
      </c>
      <c r="D84" s="1686" t="str">
        <f>'Master Sheet'!X27</f>
        <v/>
      </c>
      <c r="E84" s="108">
        <f>'Master Sheet'!Y27</f>
        <v>1</v>
      </c>
      <c r="F84" s="82"/>
    </row>
    <row r="85">
      <c r="A85" s="201"/>
      <c r="B85" s="105" t="s">
        <v>356</v>
      </c>
      <c r="C85" s="107">
        <f>'Master Sheet'!W28</f>
        <v>20</v>
      </c>
      <c r="D85" s="1686" t="str">
        <f>'Master Sheet'!X28</f>
        <v/>
      </c>
      <c r="E85" s="108">
        <f>'Master Sheet'!Y28</f>
        <v>20</v>
      </c>
      <c r="F85" s="82"/>
    </row>
    <row r="86">
      <c r="A86" s="201"/>
      <c r="B86" s="105" t="s">
        <v>358</v>
      </c>
      <c r="C86" s="107">
        <f>'Master Sheet'!W29</f>
        <v>20</v>
      </c>
      <c r="D86" s="1686" t="str">
        <f>'Master Sheet'!X29</f>
        <v/>
      </c>
      <c r="E86" s="108">
        <f>'Master Sheet'!Y29</f>
        <v>20</v>
      </c>
      <c r="F86" s="82"/>
    </row>
    <row r="87">
      <c r="A87" s="201"/>
      <c r="B87" s="197" t="s">
        <v>360</v>
      </c>
      <c r="C87" s="107">
        <f>'Master Sheet'!W30</f>
        <v>1</v>
      </c>
      <c r="D87" s="1686" t="str">
        <f>'Master Sheet'!X30</f>
        <v/>
      </c>
      <c r="E87" s="108">
        <f>'Master Sheet'!Y30</f>
        <v>18</v>
      </c>
      <c r="F87" s="82"/>
    </row>
    <row r="88">
      <c r="A88" s="201"/>
      <c r="B88" s="197" t="s">
        <v>362</v>
      </c>
      <c r="C88" s="107">
        <f>'Master Sheet'!W31</f>
        <v>1</v>
      </c>
      <c r="D88" s="1686" t="str">
        <f>'Master Sheet'!X31</f>
        <v/>
      </c>
      <c r="E88" s="108">
        <f>'Master Sheet'!Y31</f>
        <v>1</v>
      </c>
      <c r="F88" s="82"/>
    </row>
    <row r="89">
      <c r="A89" s="201"/>
      <c r="B89" s="197" t="s">
        <v>364</v>
      </c>
      <c r="C89" s="107">
        <f>'Master Sheet'!W32</f>
        <v>0</v>
      </c>
      <c r="D89" s="1686" t="str">
        <f>'Master Sheet'!X32</f>
        <v/>
      </c>
      <c r="E89" s="108">
        <f>'Master Sheet'!Y32</f>
        <v>7</v>
      </c>
      <c r="F89" s="82"/>
    </row>
    <row r="90">
      <c r="A90" s="201"/>
      <c r="B90" s="197" t="s">
        <v>366</v>
      </c>
      <c r="C90" s="107">
        <f>'Master Sheet'!W33</f>
        <v>0</v>
      </c>
      <c r="D90" s="1686" t="str">
        <f>'Master Sheet'!X33</f>
        <v/>
      </c>
      <c r="E90" s="108">
        <f>'Master Sheet'!Y33</f>
        <v>30</v>
      </c>
      <c r="F90" s="82"/>
    </row>
    <row r="91">
      <c r="A91" s="201"/>
      <c r="B91" s="197" t="s">
        <v>368</v>
      </c>
      <c r="C91" s="107">
        <f>'Master Sheet'!W34</f>
        <v>0</v>
      </c>
      <c r="D91" s="1686" t="str">
        <f>'Master Sheet'!X34</f>
        <v/>
      </c>
      <c r="E91" s="108">
        <f>'Master Sheet'!Y34</f>
        <v>6</v>
      </c>
      <c r="F91" s="82"/>
    </row>
    <row r="92">
      <c r="A92" s="201"/>
      <c r="B92" s="105" t="s">
        <v>370</v>
      </c>
      <c r="C92" s="107">
        <f>'Master Sheet'!W35</f>
        <v>12</v>
      </c>
      <c r="D92" s="1687" t="str">
        <f>'Master Sheet'!X35</f>
        <v/>
      </c>
      <c r="E92" s="198">
        <f>'Master Sheet'!Y35</f>
        <v>30</v>
      </c>
      <c r="F92" s="82"/>
    </row>
    <row r="93">
      <c r="A93" s="201"/>
      <c r="B93" s="105" t="s">
        <v>372</v>
      </c>
      <c r="C93" s="107">
        <f>'Master Sheet'!W36</f>
        <v>9</v>
      </c>
      <c r="D93" s="1687" t="str">
        <f>'Master Sheet'!X36</f>
        <v/>
      </c>
      <c r="E93" s="198">
        <f>'Master Sheet'!Y36</f>
        <v>30</v>
      </c>
      <c r="F93" s="82"/>
    </row>
    <row r="94">
      <c r="A94" s="201"/>
      <c r="B94" s="105" t="s">
        <v>374</v>
      </c>
      <c r="C94" s="107">
        <f>'Master Sheet'!W37</f>
        <v>20</v>
      </c>
      <c r="D94" s="1687" t="str">
        <f>'Master Sheet'!X37</f>
        <v/>
      </c>
      <c r="E94" s="198">
        <f>'Master Sheet'!Y37</f>
        <v>20</v>
      </c>
      <c r="F94" s="82"/>
    </row>
    <row r="95">
      <c r="A95" s="201"/>
      <c r="B95" s="1688" t="s">
        <v>376</v>
      </c>
      <c r="C95" s="107">
        <f>'Master Sheet'!W38</f>
        <v>2</v>
      </c>
      <c r="D95" s="1687" t="str">
        <f>'Master Sheet'!X38</f>
        <v/>
      </c>
      <c r="E95" s="198">
        <f>'Master Sheet'!Y38</f>
        <v>30</v>
      </c>
      <c r="F95" s="82"/>
    </row>
    <row r="96">
      <c r="A96" s="201"/>
      <c r="B96" s="105" t="s">
        <v>378</v>
      </c>
      <c r="C96" s="107">
        <f>'Master Sheet'!W39</f>
        <v>0</v>
      </c>
      <c r="D96" s="1686" t="str">
        <f>'Master Sheet'!X39</f>
        <v/>
      </c>
      <c r="E96" s="108">
        <f>'Master Sheet'!Y39</f>
        <v>10</v>
      </c>
      <c r="F96" s="82"/>
    </row>
    <row r="97">
      <c r="A97" s="201"/>
      <c r="B97" s="202" t="s">
        <v>380</v>
      </c>
      <c r="C97" s="204">
        <f>'Master Sheet'!W40</f>
        <v>0</v>
      </c>
      <c r="D97" s="1689" t="str">
        <f>'Master Sheet'!X40</f>
        <v/>
      </c>
      <c r="E97" s="1690">
        <f>'Master Sheet'!Y40</f>
        <v>10</v>
      </c>
      <c r="F97" s="82"/>
    </row>
    <row r="98">
      <c r="A98" s="201"/>
      <c r="B98" s="109" t="s">
        <v>159</v>
      </c>
      <c r="C98" s="111">
        <f>'Master Sheet'!AB2</f>
        <v>4</v>
      </c>
      <c r="D98" s="1691" t="str">
        <f>'Master Sheet'!AC2</f>
        <v/>
      </c>
      <c r="E98" s="112">
        <f>'Master Sheet'!AD2</f>
        <v>4</v>
      </c>
      <c r="F98" s="82"/>
    </row>
    <row r="99">
      <c r="A99" s="201"/>
      <c r="B99" s="109" t="s">
        <v>174</v>
      </c>
      <c r="C99" s="111">
        <f>'Master Sheet'!AB3</f>
        <v>6</v>
      </c>
      <c r="D99" s="1692" t="str">
        <f>'Master Sheet'!AC3</f>
        <v/>
      </c>
      <c r="E99" s="112">
        <f>'Master Sheet'!AD3</f>
        <v>30</v>
      </c>
      <c r="F99" s="82"/>
    </row>
    <row r="100">
      <c r="A100" s="201"/>
      <c r="B100" s="109" t="s">
        <v>185</v>
      </c>
      <c r="C100" s="111">
        <f>'Master Sheet'!AB4</f>
        <v>1</v>
      </c>
      <c r="D100" s="1691" t="str">
        <f>'Master Sheet'!AC4</f>
        <v/>
      </c>
      <c r="E100" s="112">
        <f>'Master Sheet'!AD4</f>
        <v>1</v>
      </c>
      <c r="F100" s="82"/>
    </row>
    <row r="101">
      <c r="A101" s="201"/>
      <c r="B101" s="109" t="s">
        <v>203</v>
      </c>
      <c r="C101" s="111">
        <f>'Master Sheet'!AB5</f>
        <v>2</v>
      </c>
      <c r="D101" s="1691" t="str">
        <f>'Master Sheet'!AC5</f>
        <v/>
      </c>
      <c r="E101" s="112">
        <f>'Master Sheet'!AD5</f>
        <v>2</v>
      </c>
      <c r="F101" s="82"/>
    </row>
    <row r="102">
      <c r="A102" s="201"/>
      <c r="B102" s="161" t="s">
        <v>220</v>
      </c>
      <c r="C102" s="111">
        <f>'Master Sheet'!AB6</f>
        <v>2</v>
      </c>
      <c r="D102" s="1691" t="str">
        <f>'Master Sheet'!AC6</f>
        <v/>
      </c>
      <c r="E102" s="112">
        <f>'Master Sheet'!AD6</f>
        <v>2</v>
      </c>
      <c r="F102" s="82"/>
    </row>
    <row r="103">
      <c r="A103" s="201"/>
      <c r="B103" s="161" t="s">
        <v>232</v>
      </c>
      <c r="C103" s="111">
        <f>'Master Sheet'!AB7</f>
        <v>0</v>
      </c>
      <c r="D103" s="1691" t="str">
        <f>'Master Sheet'!AC7</f>
        <v/>
      </c>
      <c r="E103" s="112">
        <f>'Master Sheet'!AD7</f>
        <v>30</v>
      </c>
      <c r="F103" s="82"/>
    </row>
    <row r="104">
      <c r="A104" s="201"/>
      <c r="B104" s="161" t="s">
        <v>243</v>
      </c>
      <c r="C104" s="111">
        <f>'Master Sheet'!AB8</f>
        <v>7</v>
      </c>
      <c r="D104" s="1691" t="str">
        <f>'Master Sheet'!AC8</f>
        <v/>
      </c>
      <c r="E104" s="112">
        <f>'Master Sheet'!AD8</f>
        <v>7</v>
      </c>
      <c r="F104" s="82"/>
    </row>
    <row r="105">
      <c r="A105" s="201"/>
      <c r="B105" s="109" t="s">
        <v>254</v>
      </c>
      <c r="C105" s="111">
        <f>'Master Sheet'!AB9</f>
        <v>4</v>
      </c>
      <c r="D105" s="1691" t="str">
        <f>'Master Sheet'!AC9</f>
        <v/>
      </c>
      <c r="E105" s="112">
        <f>'Master Sheet'!AD9</f>
        <v>7</v>
      </c>
      <c r="F105" s="82"/>
    </row>
    <row r="106">
      <c r="A106" s="201"/>
      <c r="B106" s="1693" t="s">
        <v>265</v>
      </c>
      <c r="C106" s="170">
        <f>'Master Sheet'!AB10</f>
        <v>2</v>
      </c>
      <c r="D106" s="1694" t="str">
        <f>'Master Sheet'!AC10</f>
        <v/>
      </c>
      <c r="E106" s="171">
        <f>'Master Sheet'!AD10</f>
        <v>7</v>
      </c>
      <c r="F106" s="82"/>
    </row>
    <row r="107">
      <c r="A107" s="201"/>
      <c r="B107" s="113" t="s">
        <v>160</v>
      </c>
      <c r="C107" s="115">
        <f>'Master Sheet'!AG2</f>
        <v>1</v>
      </c>
      <c r="D107" s="1695" t="str">
        <f>'Master Sheet'!AH2</f>
        <v/>
      </c>
      <c r="E107" s="116">
        <f>'Master Sheet'!AI2</f>
        <v>1</v>
      </c>
      <c r="F107" s="82"/>
    </row>
    <row r="108">
      <c r="A108" s="201"/>
      <c r="B108" s="113" t="s">
        <v>175</v>
      </c>
      <c r="C108" s="115">
        <f>'Master Sheet'!AG3</f>
        <v>13</v>
      </c>
      <c r="D108" s="1696">
        <f>'Master Sheet'!AH3</f>
        <v>17</v>
      </c>
      <c r="E108" s="116">
        <f>'Master Sheet'!AI3</f>
        <v>100</v>
      </c>
      <c r="F108" s="82"/>
    </row>
    <row r="109">
      <c r="A109" s="201"/>
      <c r="B109" s="113" t="s">
        <v>186</v>
      </c>
      <c r="C109" s="147">
        <f>'Master Sheet'!AG4</f>
        <v>1</v>
      </c>
      <c r="D109" s="1697" t="str">
        <f>'Master Sheet'!AH4</f>
        <v/>
      </c>
      <c r="E109" s="116">
        <f>'Master Sheet'!AI4</f>
        <v>1</v>
      </c>
      <c r="F109" s="82"/>
    </row>
    <row r="110">
      <c r="A110" s="201"/>
      <c r="B110" s="113" t="s">
        <v>205</v>
      </c>
      <c r="C110" s="115">
        <f>'Master Sheet'!AG5</f>
        <v>25</v>
      </c>
      <c r="D110" s="1695" t="str">
        <f>'Master Sheet'!AH5</f>
        <v/>
      </c>
      <c r="E110" s="116">
        <f>'Master Sheet'!AI5</f>
        <v>25</v>
      </c>
      <c r="F110" s="82"/>
    </row>
    <row r="111">
      <c r="A111" s="201"/>
      <c r="B111" s="113" t="s">
        <v>221</v>
      </c>
      <c r="C111" s="147">
        <f>'Master Sheet'!AG6</f>
        <v>2</v>
      </c>
      <c r="D111" s="1697" t="str">
        <f>'Master Sheet'!AH6</f>
        <v/>
      </c>
      <c r="E111" s="116">
        <f>'Master Sheet'!AI6</f>
        <v>2</v>
      </c>
      <c r="F111" s="82"/>
    </row>
    <row r="112">
      <c r="A112" s="201"/>
      <c r="B112" s="113" t="s">
        <v>233</v>
      </c>
      <c r="C112" s="147">
        <f>'Master Sheet'!AG7</f>
        <v>1</v>
      </c>
      <c r="D112" s="1697" t="str">
        <f>'Master Sheet'!AH7</f>
        <v/>
      </c>
      <c r="E112" s="116">
        <f>'Master Sheet'!AI7</f>
        <v>1</v>
      </c>
      <c r="F112" s="82"/>
    </row>
    <row r="113">
      <c r="A113" s="201"/>
      <c r="B113" s="1698" t="s">
        <v>244</v>
      </c>
      <c r="C113" s="147">
        <f>'Master Sheet'!AG8</f>
        <v>6</v>
      </c>
      <c r="D113" s="1697" t="str">
        <f>'Master Sheet'!AH8</f>
        <v/>
      </c>
      <c r="E113" s="116">
        <f>'Master Sheet'!AI8</f>
        <v>8</v>
      </c>
      <c r="F113" s="82"/>
    </row>
    <row r="114">
      <c r="A114" s="201"/>
      <c r="B114" s="1698" t="s">
        <v>255</v>
      </c>
      <c r="C114" s="147">
        <f>'Master Sheet'!AG9</f>
        <v>10</v>
      </c>
      <c r="D114" s="1697" t="str">
        <f>'Master Sheet'!AH9</f>
        <v/>
      </c>
      <c r="E114" s="116">
        <f>'Master Sheet'!AI9</f>
        <v>10</v>
      </c>
      <c r="F114" s="82"/>
    </row>
    <row r="115">
      <c r="A115" s="201"/>
      <c r="B115" s="172" t="s">
        <v>266</v>
      </c>
      <c r="C115" s="174">
        <f>'Master Sheet'!AG10</f>
        <v>12</v>
      </c>
      <c r="D115" s="1699" t="str">
        <f>'Master Sheet'!AH10</f>
        <v/>
      </c>
      <c r="E115" s="175">
        <f>'Master Sheet'!AI10</f>
        <v>32</v>
      </c>
      <c r="F115" s="82"/>
    </row>
    <row r="116">
      <c r="A116" s="201"/>
      <c r="B116" s="117" t="s">
        <v>161</v>
      </c>
      <c r="C116" s="119">
        <f>'Master Sheet'!AL2</f>
        <v>25</v>
      </c>
      <c r="D116" s="119" t="str">
        <f>'Master Sheet'!AM2</f>
        <v/>
      </c>
      <c r="E116" s="120">
        <f>'Master Sheet'!AN2</f>
        <v>25</v>
      </c>
      <c r="F116" s="82"/>
    </row>
    <row r="117">
      <c r="A117" s="201"/>
      <c r="B117" s="117" t="s">
        <v>176</v>
      </c>
      <c r="C117" s="119">
        <f>'Master Sheet'!AL3</f>
        <v>0</v>
      </c>
      <c r="D117" s="119" t="str">
        <f>'Master Sheet'!AM3</f>
        <v/>
      </c>
      <c r="E117" s="120">
        <f>'Master Sheet'!AN3</f>
        <v>25</v>
      </c>
      <c r="F117" s="82"/>
    </row>
    <row r="118">
      <c r="A118" s="201"/>
      <c r="B118" s="117" t="s">
        <v>187</v>
      </c>
      <c r="C118" s="149">
        <f>'Master Sheet'!AL4</f>
        <v>21</v>
      </c>
      <c r="D118" s="1700" t="str">
        <f>'Master Sheet'!AM4</f>
        <v/>
      </c>
      <c r="E118" s="120">
        <f>'Master Sheet'!AN4</f>
        <v>25</v>
      </c>
      <c r="F118" s="82"/>
    </row>
    <row r="119">
      <c r="A119" s="201"/>
      <c r="B119" s="117" t="s">
        <v>207</v>
      </c>
      <c r="C119" s="119">
        <f>'Master Sheet'!AL5</f>
        <v>0</v>
      </c>
      <c r="D119" s="1700" t="str">
        <f>'Master Sheet'!AM5</f>
        <v/>
      </c>
      <c r="E119" s="120">
        <f>'Master Sheet'!AN5</f>
        <v>25</v>
      </c>
      <c r="F119" s="82"/>
    </row>
    <row r="120">
      <c r="A120" s="201"/>
      <c r="B120" s="117" t="s">
        <v>222</v>
      </c>
      <c r="C120" s="119">
        <f>'Master Sheet'!AL6</f>
        <v>0</v>
      </c>
      <c r="D120" s="1700" t="str">
        <f>'Master Sheet'!AM6</f>
        <v/>
      </c>
      <c r="E120" s="120">
        <f>'Master Sheet'!AN6</f>
        <v>5</v>
      </c>
      <c r="F120" s="82"/>
    </row>
    <row r="121">
      <c r="A121" s="201"/>
      <c r="B121" s="117" t="s">
        <v>234</v>
      </c>
      <c r="C121" s="119">
        <f>'Master Sheet'!AL7</f>
        <v>0</v>
      </c>
      <c r="D121" s="119" t="str">
        <f>'Master Sheet'!AM7</f>
        <v/>
      </c>
      <c r="E121" s="120">
        <f>'Master Sheet'!AN7</f>
        <v>20</v>
      </c>
      <c r="F121" s="82"/>
    </row>
    <row r="122">
      <c r="A122" s="201"/>
      <c r="B122" s="1701" t="s">
        <v>245</v>
      </c>
      <c r="C122" s="119">
        <f>'Master Sheet'!AL8</f>
        <v>12</v>
      </c>
      <c r="D122" s="1700" t="str">
        <f>'Master Sheet'!AM8</f>
        <v/>
      </c>
      <c r="E122" s="120">
        <f>'Master Sheet'!AN8</f>
        <v>20</v>
      </c>
      <c r="F122" s="82"/>
    </row>
    <row r="123">
      <c r="A123" s="201"/>
      <c r="B123" s="1702" t="s">
        <v>256</v>
      </c>
      <c r="C123" s="164">
        <f>'Master Sheet'!AL9</f>
        <v>0</v>
      </c>
      <c r="D123" s="1703" t="str">
        <f>'Master Sheet'!AM9</f>
        <v/>
      </c>
      <c r="E123" s="165">
        <f>'Master Sheet'!AN9</f>
        <v>20</v>
      </c>
      <c r="F123" s="82"/>
    </row>
    <row r="124">
      <c r="A124" s="1704"/>
      <c r="B124" s="121" t="s">
        <v>162</v>
      </c>
      <c r="C124" s="123">
        <f>'Master Sheet'!AQ2</f>
        <v>0</v>
      </c>
      <c r="D124" s="1705" t="str">
        <f>'Master Sheet'!AR2</f>
        <v/>
      </c>
      <c r="E124" s="124">
        <f>'Master Sheet'!AS2</f>
        <v>30</v>
      </c>
      <c r="F124" s="82"/>
    </row>
    <row r="125">
      <c r="A125" s="1704"/>
      <c r="B125" s="121" t="s">
        <v>177</v>
      </c>
      <c r="C125" s="123">
        <f>'Master Sheet'!AQ3</f>
        <v>0</v>
      </c>
      <c r="D125" s="1705" t="str">
        <f>'Master Sheet'!AR3</f>
        <v/>
      </c>
      <c r="E125" s="124">
        <f>'Master Sheet'!AS3</f>
        <v>30</v>
      </c>
      <c r="F125" s="82"/>
    </row>
    <row r="126">
      <c r="A126" s="1704"/>
      <c r="B126" s="121" t="s">
        <v>188</v>
      </c>
      <c r="C126" s="123">
        <f>'Master Sheet'!AQ4</f>
        <v>0</v>
      </c>
      <c r="D126" s="1705" t="str">
        <f>'Master Sheet'!AR4</f>
        <v/>
      </c>
      <c r="E126" s="124">
        <f>'Master Sheet'!AS4</f>
        <v>30</v>
      </c>
      <c r="F126" s="82"/>
    </row>
    <row r="127">
      <c r="A127" s="1704"/>
      <c r="B127" s="121" t="s">
        <v>209</v>
      </c>
      <c r="C127" s="1706">
        <f>'Master Sheet'!AQ5</f>
        <v>0</v>
      </c>
      <c r="D127" s="1705" t="str">
        <f>'Master Sheet'!AR5</f>
        <v/>
      </c>
      <c r="E127" s="124">
        <f>'Master Sheet'!AS5</f>
        <v>30</v>
      </c>
      <c r="F127" s="82"/>
    </row>
    <row r="128">
      <c r="A128" s="1704"/>
      <c r="B128" s="121" t="s">
        <v>223</v>
      </c>
      <c r="C128" s="1706">
        <f>'Master Sheet'!AQ6</f>
        <v>0</v>
      </c>
      <c r="D128" s="1705" t="str">
        <f>'Master Sheet'!AR6</f>
        <v/>
      </c>
      <c r="E128" s="124">
        <f>'Master Sheet'!AS6</f>
        <v>30</v>
      </c>
      <c r="F128" s="82"/>
    </row>
    <row r="129">
      <c r="A129" s="1704"/>
      <c r="B129" s="121" t="s">
        <v>235</v>
      </c>
      <c r="C129" s="1706">
        <f>'Master Sheet'!AQ7</f>
        <v>0</v>
      </c>
      <c r="D129" s="1705" t="str">
        <f>'Master Sheet'!AR7</f>
        <v/>
      </c>
      <c r="E129" s="124">
        <f>'Master Sheet'!AS7</f>
        <v>30</v>
      </c>
      <c r="F129" s="82"/>
    </row>
    <row r="130">
      <c r="A130" s="1704"/>
      <c r="B130" s="121" t="s">
        <v>246</v>
      </c>
      <c r="C130" s="1706">
        <f>'Master Sheet'!AQ8</f>
        <v>0</v>
      </c>
      <c r="D130" s="1705" t="str">
        <f>'Master Sheet'!AR8</f>
        <v/>
      </c>
      <c r="E130" s="124">
        <f>'Master Sheet'!AS8</f>
        <v>30</v>
      </c>
      <c r="F130" s="82"/>
    </row>
    <row r="131">
      <c r="A131" s="1704"/>
      <c r="B131" s="121" t="s">
        <v>257</v>
      </c>
      <c r="C131" s="1706">
        <f>'Master Sheet'!AQ9</f>
        <v>0</v>
      </c>
      <c r="D131" s="1705" t="str">
        <f>'Master Sheet'!AR9</f>
        <v/>
      </c>
      <c r="E131" s="124">
        <f>'Master Sheet'!AS9</f>
        <v>30</v>
      </c>
      <c r="F131" s="82"/>
    </row>
    <row r="132">
      <c r="A132" s="1707"/>
      <c r="B132" s="121" t="s">
        <v>267</v>
      </c>
      <c r="C132" s="1706">
        <f>'Master Sheet'!AQ10</f>
        <v>0</v>
      </c>
      <c r="D132" s="1705" t="str">
        <f>'Master Sheet'!AR10</f>
        <v/>
      </c>
      <c r="E132" s="124">
        <f>'Master Sheet'!AS10</f>
        <v>30</v>
      </c>
      <c r="F132" s="82"/>
    </row>
    <row r="133">
      <c r="A133" s="25"/>
      <c r="B133" s="121" t="s">
        <v>275</v>
      </c>
      <c r="C133" s="1706">
        <f>'Master Sheet'!AQ11</f>
        <v>0</v>
      </c>
      <c r="D133" s="1705" t="str">
        <f>'Master Sheet'!AR11</f>
        <v/>
      </c>
      <c r="E133" s="124">
        <f>'Master Sheet'!AS11</f>
        <v>30</v>
      </c>
      <c r="F133" s="82"/>
    </row>
    <row r="134">
      <c r="A134" s="25"/>
      <c r="B134" s="121" t="s">
        <v>283</v>
      </c>
      <c r="C134" s="1706">
        <f>'Master Sheet'!AQ12</f>
        <v>0</v>
      </c>
      <c r="D134" s="1705" t="str">
        <f>'Master Sheet'!AR12</f>
        <v/>
      </c>
      <c r="E134" s="124">
        <f>'Master Sheet'!AS12</f>
        <v>30</v>
      </c>
      <c r="F134" s="82"/>
    </row>
    <row r="135">
      <c r="A135" s="25"/>
      <c r="B135" s="121" t="s">
        <v>291</v>
      </c>
      <c r="C135" s="123">
        <f>'Master Sheet'!AQ13</f>
        <v>0</v>
      </c>
      <c r="D135" s="1705" t="str">
        <f>'Master Sheet'!AR13</f>
        <v/>
      </c>
      <c r="E135" s="124">
        <f>'Master Sheet'!AS13</f>
        <v>30</v>
      </c>
      <c r="F135" s="82"/>
    </row>
    <row r="136">
      <c r="A136" s="1704"/>
      <c r="B136" s="121" t="s">
        <v>298</v>
      </c>
      <c r="C136" s="123">
        <f>'Master Sheet'!AQ14</f>
        <v>0</v>
      </c>
      <c r="D136" s="1705" t="str">
        <f>'Master Sheet'!AR14</f>
        <v/>
      </c>
      <c r="E136" s="124">
        <f>'Master Sheet'!AS14</f>
        <v>30</v>
      </c>
      <c r="F136" s="82"/>
    </row>
    <row r="137">
      <c r="A137" s="1704"/>
      <c r="B137" s="121" t="s">
        <v>305</v>
      </c>
      <c r="C137" s="123">
        <f>'Master Sheet'!AQ15</f>
        <v>0</v>
      </c>
      <c r="D137" s="1705" t="str">
        <f>'Master Sheet'!AR15</f>
        <v/>
      </c>
      <c r="E137" s="124">
        <f>'Master Sheet'!AS15</f>
        <v>20</v>
      </c>
      <c r="F137" s="82"/>
    </row>
    <row r="138">
      <c r="A138" s="1704"/>
      <c r="B138" s="121" t="s">
        <v>312</v>
      </c>
      <c r="C138" s="123">
        <f>'Master Sheet'!AQ16</f>
        <v>0</v>
      </c>
      <c r="D138" s="1705" t="str">
        <f>'Master Sheet'!AR16</f>
        <v/>
      </c>
      <c r="E138" s="124">
        <f>'Master Sheet'!AS16</f>
        <v>30</v>
      </c>
      <c r="F138" s="82"/>
    </row>
    <row r="139">
      <c r="A139" s="1707"/>
      <c r="B139" s="186" t="s">
        <v>319</v>
      </c>
      <c r="C139" s="123">
        <f>'Master Sheet'!AQ17</f>
        <v>0</v>
      </c>
      <c r="D139" s="1705" t="str">
        <f>'Master Sheet'!AR17</f>
        <v/>
      </c>
      <c r="E139" s="124">
        <f>'Master Sheet'!AS17</f>
        <v>30</v>
      </c>
      <c r="F139" s="82"/>
    </row>
    <row r="140">
      <c r="A140" s="25"/>
      <c r="B140" s="121" t="s">
        <v>325</v>
      </c>
      <c r="C140" s="123">
        <f>'Master Sheet'!AQ18</f>
        <v>0</v>
      </c>
      <c r="D140" s="1705" t="str">
        <f>'Master Sheet'!AR18</f>
        <v/>
      </c>
      <c r="E140" s="124">
        <f>'Master Sheet'!AS18</f>
        <v>30</v>
      </c>
      <c r="F140" s="82"/>
    </row>
    <row r="141">
      <c r="A141" s="25"/>
      <c r="B141" s="186" t="s">
        <v>330</v>
      </c>
      <c r="C141" s="123">
        <f>'Master Sheet'!AQ19</f>
        <v>0</v>
      </c>
      <c r="D141" s="1705" t="str">
        <f>'Master Sheet'!AR19</f>
        <v/>
      </c>
      <c r="E141" s="124">
        <f>'Master Sheet'!AS19</f>
        <v>30</v>
      </c>
      <c r="F141" s="82"/>
    </row>
    <row r="142">
      <c r="A142" s="25"/>
      <c r="B142" s="121" t="s">
        <v>335</v>
      </c>
      <c r="C142" s="123">
        <f>'Master Sheet'!AQ20</f>
        <v>0</v>
      </c>
      <c r="D142" s="1705" t="str">
        <f>'Master Sheet'!AR20</f>
        <v/>
      </c>
      <c r="E142" s="124">
        <f>'Master Sheet'!AS20</f>
        <v>30</v>
      </c>
      <c r="F142" s="82"/>
    </row>
    <row r="143">
      <c r="A143" s="25"/>
      <c r="B143" s="186" t="s">
        <v>340</v>
      </c>
      <c r="C143" s="123">
        <f>'Master Sheet'!AQ21</f>
        <v>0</v>
      </c>
      <c r="D143" s="1705" t="str">
        <f>'Master Sheet'!AR21</f>
        <v/>
      </c>
      <c r="E143" s="124">
        <f>'Master Sheet'!AS21</f>
        <v>30</v>
      </c>
      <c r="F143" s="82"/>
    </row>
    <row r="144">
      <c r="A144" s="25"/>
      <c r="B144" s="1708" t="s">
        <v>345</v>
      </c>
      <c r="C144" s="1709">
        <f>'Master Sheet'!AQ22</f>
        <v>0</v>
      </c>
      <c r="D144" s="1710" t="str">
        <f>'Master Sheet'!AR22</f>
        <v/>
      </c>
      <c r="E144" s="1711">
        <f>'Master Sheet'!AS22</f>
        <v>30</v>
      </c>
      <c r="F144" s="82"/>
    </row>
    <row r="145">
      <c r="A145" s="25"/>
      <c r="B145" s="153" t="s">
        <v>163</v>
      </c>
      <c r="C145" s="127">
        <f>'Master Sheet'!AV2</f>
        <v>10</v>
      </c>
      <c r="D145" s="1712" t="str">
        <f>'Master Sheet'!AW2</f>
        <v/>
      </c>
      <c r="E145" s="128">
        <f>'Master Sheet'!AX2</f>
        <v>10</v>
      </c>
      <c r="F145" s="82"/>
    </row>
    <row r="146">
      <c r="A146" s="25"/>
      <c r="B146" s="153" t="s">
        <v>178</v>
      </c>
      <c r="C146" s="127">
        <f>'Master Sheet'!AV3</f>
        <v>100</v>
      </c>
      <c r="D146" s="1712">
        <f>'Master Sheet'!AW3</f>
        <v>100</v>
      </c>
      <c r="E146" s="128">
        <f>'Master Sheet'!AX3</f>
        <v>100</v>
      </c>
      <c r="F146" s="82"/>
    </row>
    <row r="147">
      <c r="A147" s="25"/>
      <c r="B147" s="153" t="s">
        <v>189</v>
      </c>
      <c r="C147" s="127">
        <f>'Master Sheet'!AV4</f>
        <v>50</v>
      </c>
      <c r="D147" s="1712">
        <f>'Master Sheet'!AW4</f>
        <v>50</v>
      </c>
      <c r="E147" s="128">
        <f>'Master Sheet'!AX4</f>
        <v>50</v>
      </c>
      <c r="F147" s="82"/>
    </row>
    <row r="148">
      <c r="A148" s="25"/>
      <c r="B148" s="1713" t="s">
        <v>211</v>
      </c>
      <c r="C148" s="127">
        <f>'Master Sheet'!AV5</f>
        <v>30</v>
      </c>
      <c r="D148" s="1712" t="str">
        <f>'Master Sheet'!AW5</f>
        <v/>
      </c>
      <c r="E148" s="128">
        <f>'Master Sheet'!AX5</f>
        <v>30</v>
      </c>
      <c r="F148" s="82"/>
    </row>
    <row r="149">
      <c r="A149" s="25"/>
      <c r="B149" s="1713" t="s">
        <v>224</v>
      </c>
      <c r="C149" s="127">
        <f>'Master Sheet'!AV6</f>
        <v>23</v>
      </c>
      <c r="D149" s="127" t="str">
        <f>'Master Sheet'!AW6</f>
        <v/>
      </c>
      <c r="E149" s="128">
        <f>'Master Sheet'!AX6</f>
        <v>30</v>
      </c>
      <c r="F149" s="82"/>
    </row>
    <row r="150">
      <c r="A150" s="25"/>
      <c r="B150" s="1713" t="s">
        <v>236</v>
      </c>
      <c r="C150" s="127">
        <f>'Master Sheet'!AV7</f>
        <v>10</v>
      </c>
      <c r="D150" s="1712">
        <f>'Master Sheet'!AW7</f>
        <v>10</v>
      </c>
      <c r="E150" s="128">
        <f>'Master Sheet'!AX7</f>
        <v>10</v>
      </c>
      <c r="F150" s="82"/>
    </row>
    <row r="151">
      <c r="A151" s="25"/>
      <c r="B151" s="1713" t="s">
        <v>247</v>
      </c>
      <c r="C151" s="127">
        <f>'Master Sheet'!AV8</f>
        <v>1</v>
      </c>
      <c r="D151" s="1712" t="str">
        <f>'Master Sheet'!AW8</f>
        <v/>
      </c>
      <c r="E151" s="128">
        <f>'Master Sheet'!AX8</f>
        <v>1</v>
      </c>
      <c r="F151" s="82"/>
    </row>
    <row r="152">
      <c r="A152" s="25"/>
      <c r="B152" s="1713" t="s">
        <v>258</v>
      </c>
      <c r="C152" s="127">
        <f>'Master Sheet'!AV9</f>
        <v>5</v>
      </c>
      <c r="D152" s="1712" t="str">
        <f>'Master Sheet'!AW9</f>
        <v/>
      </c>
      <c r="E152" s="128">
        <f>'Master Sheet'!AX9</f>
        <v>5</v>
      </c>
      <c r="F152" s="82"/>
    </row>
    <row r="153">
      <c r="A153" s="25"/>
      <c r="B153" s="1713" t="s">
        <v>268</v>
      </c>
      <c r="C153" s="127">
        <f>'Master Sheet'!AV10</f>
        <v>0</v>
      </c>
      <c r="D153" s="1712" t="str">
        <f>'Master Sheet'!AW10</f>
        <v/>
      </c>
      <c r="E153" s="128">
        <f>'Master Sheet'!AX10</f>
        <v>4</v>
      </c>
      <c r="F153" s="82"/>
    </row>
    <row r="154">
      <c r="A154" s="25"/>
      <c r="B154" s="1713" t="s">
        <v>276</v>
      </c>
      <c r="C154" s="127">
        <f>'Master Sheet'!AV11</f>
        <v>2</v>
      </c>
      <c r="D154" s="1712" t="str">
        <f>'Master Sheet'!AW11</f>
        <v/>
      </c>
      <c r="E154" s="128">
        <f>'Master Sheet'!AX11</f>
        <v>4</v>
      </c>
      <c r="F154" s="82"/>
    </row>
    <row r="155">
      <c r="A155" s="25"/>
      <c r="B155" s="1713" t="s">
        <v>284</v>
      </c>
      <c r="C155" s="127">
        <f>'Master Sheet'!AV12</f>
        <v>1</v>
      </c>
      <c r="D155" s="1712" t="str">
        <f>'Master Sheet'!AW12</f>
        <v/>
      </c>
      <c r="E155" s="128">
        <f>'Master Sheet'!AX12</f>
        <v>3</v>
      </c>
      <c r="F155" s="82"/>
    </row>
    <row r="156">
      <c r="A156" s="25"/>
      <c r="B156" s="1713" t="s">
        <v>292</v>
      </c>
      <c r="C156" s="127">
        <f>'Master Sheet'!AV13</f>
        <v>4</v>
      </c>
      <c r="D156" s="1712" t="str">
        <f>'Master Sheet'!AW13</f>
        <v/>
      </c>
      <c r="E156" s="128">
        <f>'Master Sheet'!AX13</f>
        <v>7</v>
      </c>
      <c r="F156" s="82"/>
    </row>
    <row r="157">
      <c r="A157" s="25"/>
      <c r="B157" s="1713" t="s">
        <v>299</v>
      </c>
      <c r="C157" s="127">
        <f>'Master Sheet'!AV14</f>
        <v>0</v>
      </c>
      <c r="D157" s="1712" t="str">
        <f>'Master Sheet'!AW14</f>
        <v/>
      </c>
      <c r="E157" s="128">
        <f>'Master Sheet'!AX14</f>
        <v>30</v>
      </c>
      <c r="F157" s="82"/>
    </row>
    <row r="158">
      <c r="A158" s="25"/>
      <c r="B158" s="1713" t="s">
        <v>306</v>
      </c>
      <c r="C158" s="127">
        <f>'Master Sheet'!AV15</f>
        <v>0</v>
      </c>
      <c r="D158" s="1712" t="str">
        <f>'Master Sheet'!AW15</f>
        <v/>
      </c>
      <c r="E158" s="128">
        <f>'Master Sheet'!AX15</f>
        <v>30</v>
      </c>
      <c r="F158" s="82"/>
    </row>
    <row r="159">
      <c r="A159" s="25"/>
      <c r="B159" s="1713" t="s">
        <v>313</v>
      </c>
      <c r="C159" s="127">
        <f>'Master Sheet'!AV16</f>
        <v>0</v>
      </c>
      <c r="D159" s="1712" t="str">
        <f>'Master Sheet'!AW16</f>
        <v/>
      </c>
      <c r="E159" s="128">
        <f>'Master Sheet'!AX16</f>
        <v>30</v>
      </c>
      <c r="F159" s="82"/>
    </row>
    <row r="160">
      <c r="A160" s="25"/>
      <c r="B160" s="1713" t="s">
        <v>320</v>
      </c>
      <c r="C160" s="127">
        <f>'Master Sheet'!AV17</f>
        <v>0</v>
      </c>
      <c r="D160" s="1712" t="str">
        <f>'Master Sheet'!AW17</f>
        <v/>
      </c>
      <c r="E160" s="128">
        <f>'Master Sheet'!AX17</f>
        <v>30</v>
      </c>
      <c r="F160" s="82"/>
    </row>
    <row r="161">
      <c r="A161" s="25"/>
      <c r="B161" s="1713" t="s">
        <v>326</v>
      </c>
      <c r="C161" s="127">
        <f>'Master Sheet'!AV18</f>
        <v>0</v>
      </c>
      <c r="D161" s="1712" t="str">
        <f>'Master Sheet'!AW18</f>
        <v/>
      </c>
      <c r="E161" s="128">
        <f>'Master Sheet'!AX18</f>
        <v>30</v>
      </c>
      <c r="F161" s="82"/>
    </row>
    <row r="162">
      <c r="A162" s="25"/>
      <c r="B162" s="1713" t="s">
        <v>331</v>
      </c>
      <c r="C162" s="127">
        <f>'Master Sheet'!AV19</f>
        <v>0</v>
      </c>
      <c r="D162" s="1712" t="str">
        <f>'Master Sheet'!AW19</f>
        <v/>
      </c>
      <c r="E162" s="128">
        <f>'Master Sheet'!AX19</f>
        <v>30</v>
      </c>
      <c r="F162" s="82"/>
    </row>
    <row r="163">
      <c r="A163" s="25"/>
      <c r="B163" s="1713" t="s">
        <v>336</v>
      </c>
      <c r="C163" s="127">
        <f>'Master Sheet'!AV20</f>
        <v>0</v>
      </c>
      <c r="D163" s="1712" t="str">
        <f>'Master Sheet'!AW20</f>
        <v/>
      </c>
      <c r="E163" s="128">
        <f>'Master Sheet'!AX20</f>
        <v>30</v>
      </c>
      <c r="F163" s="82"/>
    </row>
    <row r="164">
      <c r="A164" s="25"/>
      <c r="B164" s="1714" t="s">
        <v>341</v>
      </c>
      <c r="C164" s="1715">
        <f>'Master Sheet'!AV21</f>
        <v>0</v>
      </c>
      <c r="D164" s="1716" t="str">
        <f>'Master Sheet'!AW21</f>
        <v/>
      </c>
      <c r="E164" s="1717">
        <f>'Master Sheet'!AX21</f>
        <v>30</v>
      </c>
      <c r="F164" s="82"/>
    </row>
    <row r="165">
      <c r="A165" s="25"/>
      <c r="B165" s="179" t="s">
        <v>274</v>
      </c>
      <c r="C165" s="181">
        <f>'Master Sheet'!AB11</f>
        <v>0</v>
      </c>
      <c r="D165" s="1718" t="str">
        <f>'Master Sheet'!AC11</f>
        <v/>
      </c>
      <c r="E165" s="182">
        <f>'Master Sheet'!AD11</f>
        <v>9</v>
      </c>
      <c r="F165" s="82"/>
    </row>
    <row r="166">
      <c r="A166" s="25"/>
      <c r="B166" s="179" t="s">
        <v>282</v>
      </c>
      <c r="C166" s="181">
        <f>'Master Sheet'!AB12</f>
        <v>0</v>
      </c>
      <c r="D166" s="1718" t="str">
        <f>'Master Sheet'!AC12</f>
        <v/>
      </c>
      <c r="E166" s="182">
        <f>'Master Sheet'!AD12</f>
        <v>9</v>
      </c>
      <c r="F166" s="82"/>
    </row>
    <row r="167">
      <c r="A167" s="25"/>
      <c r="B167" s="179" t="s">
        <v>290</v>
      </c>
      <c r="C167" s="181">
        <f>'Master Sheet'!AB13</f>
        <v>0</v>
      </c>
      <c r="D167" s="1718" t="str">
        <f>'Master Sheet'!AC13</f>
        <v/>
      </c>
      <c r="E167" s="182">
        <f>'Master Sheet'!AD13</f>
        <v>9</v>
      </c>
      <c r="F167" s="82"/>
    </row>
    <row r="168">
      <c r="A168" s="25"/>
      <c r="B168" s="179" t="s">
        <v>297</v>
      </c>
      <c r="C168" s="181">
        <f>'Master Sheet'!AB14</f>
        <v>0</v>
      </c>
      <c r="D168" s="1718" t="str">
        <f>'Master Sheet'!AC14</f>
        <v/>
      </c>
      <c r="E168" s="182">
        <f>'Master Sheet'!AD14</f>
        <v>9</v>
      </c>
      <c r="F168" s="82"/>
    </row>
    <row r="169">
      <c r="A169" s="25"/>
      <c r="B169" s="179" t="s">
        <v>304</v>
      </c>
      <c r="C169" s="181">
        <f>'Master Sheet'!AB15</f>
        <v>0</v>
      </c>
      <c r="D169" s="1718" t="str">
        <f>'Master Sheet'!AC15</f>
        <v/>
      </c>
      <c r="E169" s="182">
        <f>'Master Sheet'!AD15</f>
        <v>9</v>
      </c>
      <c r="F169" s="82"/>
    </row>
    <row r="170">
      <c r="A170" s="25"/>
      <c r="B170" s="179" t="s">
        <v>311</v>
      </c>
      <c r="C170" s="181">
        <f>'Master Sheet'!AB16</f>
        <v>1</v>
      </c>
      <c r="D170" s="1718" t="str">
        <f>'Master Sheet'!AC16</f>
        <v/>
      </c>
      <c r="E170" s="182">
        <f>'Master Sheet'!AD16</f>
        <v>9</v>
      </c>
      <c r="F170" s="82"/>
    </row>
    <row r="171">
      <c r="A171" s="25"/>
      <c r="B171" s="179" t="s">
        <v>318</v>
      </c>
      <c r="C171" s="181">
        <f>'Master Sheet'!AB17</f>
        <v>0</v>
      </c>
      <c r="D171" s="1718" t="str">
        <f>'Master Sheet'!AC17</f>
        <v/>
      </c>
      <c r="E171" s="182">
        <f>'Master Sheet'!AD17</f>
        <v>9</v>
      </c>
      <c r="F171" s="82"/>
    </row>
    <row r="172">
      <c r="A172" s="25"/>
      <c r="B172" s="179" t="s">
        <v>324</v>
      </c>
      <c r="C172" s="181">
        <f>'Master Sheet'!AB18</f>
        <v>0</v>
      </c>
      <c r="D172" s="1718" t="str">
        <f>'Master Sheet'!AC18</f>
        <v/>
      </c>
      <c r="E172" s="182">
        <f>'Master Sheet'!AD18</f>
        <v>9</v>
      </c>
      <c r="F172" s="82"/>
    </row>
    <row r="173">
      <c r="A173" s="25"/>
      <c r="B173" s="179" t="s">
        <v>329</v>
      </c>
      <c r="C173" s="181">
        <f>'Master Sheet'!AB19</f>
        <v>0</v>
      </c>
      <c r="D173" s="1718" t="str">
        <f>'Master Sheet'!AC19</f>
        <v/>
      </c>
      <c r="E173" s="182">
        <f>'Master Sheet'!AD19</f>
        <v>9</v>
      </c>
      <c r="F173" s="82"/>
    </row>
    <row r="174">
      <c r="A174" s="25"/>
      <c r="B174" s="179" t="s">
        <v>334</v>
      </c>
      <c r="C174" s="181">
        <f>'Master Sheet'!AB20</f>
        <v>0</v>
      </c>
      <c r="D174" s="1718" t="str">
        <f>'Master Sheet'!AC20</f>
        <v/>
      </c>
      <c r="E174" s="182">
        <f>'Master Sheet'!AD20</f>
        <v>9</v>
      </c>
      <c r="F174" s="82"/>
    </row>
    <row r="175">
      <c r="A175" s="25"/>
      <c r="B175" s="179" t="s">
        <v>339</v>
      </c>
      <c r="C175" s="181">
        <f>'Master Sheet'!AB21</f>
        <v>0</v>
      </c>
      <c r="D175" s="1718" t="str">
        <f>'Master Sheet'!AC21</f>
        <v/>
      </c>
      <c r="E175" s="182">
        <f>'Master Sheet'!AD21</f>
        <v>9</v>
      </c>
      <c r="F175" s="82"/>
    </row>
    <row r="176">
      <c r="A176" s="25"/>
      <c r="B176" s="179" t="s">
        <v>344</v>
      </c>
      <c r="C176" s="181">
        <f>'Master Sheet'!AB22</f>
        <v>0</v>
      </c>
      <c r="D176" s="1718" t="str">
        <f>'Master Sheet'!AC22</f>
        <v/>
      </c>
      <c r="E176" s="182">
        <f>'Master Sheet'!AD22</f>
        <v>9</v>
      </c>
      <c r="F176" s="82"/>
    </row>
    <row r="177">
      <c r="A177" s="25"/>
      <c r="B177" s="179" t="s">
        <v>347</v>
      </c>
      <c r="C177" s="181">
        <f>'Master Sheet'!AB23</f>
        <v>0</v>
      </c>
      <c r="D177" s="1718" t="str">
        <f>'Master Sheet'!AC23</f>
        <v/>
      </c>
      <c r="E177" s="182">
        <f>'Master Sheet'!AD23</f>
        <v>9</v>
      </c>
      <c r="F177" s="82"/>
    </row>
    <row r="178">
      <c r="A178" s="25"/>
      <c r="B178" s="179" t="s">
        <v>349</v>
      </c>
      <c r="C178" s="181">
        <f>'Master Sheet'!AB24</f>
        <v>0</v>
      </c>
      <c r="D178" s="1718" t="str">
        <f>'Master Sheet'!AC24</f>
        <v/>
      </c>
      <c r="E178" s="1719">
        <f>'Master Sheet'!AD24</f>
        <v>9</v>
      </c>
      <c r="F178" s="82"/>
    </row>
    <row r="179">
      <c r="A179" s="25"/>
      <c r="B179" s="179" t="s">
        <v>351</v>
      </c>
      <c r="C179" s="181">
        <f>'Master Sheet'!AB25</f>
        <v>0</v>
      </c>
      <c r="D179" s="1718" t="str">
        <f>'Master Sheet'!AC25</f>
        <v/>
      </c>
      <c r="E179" s="1719">
        <f>'Master Sheet'!AD25</f>
        <v>9</v>
      </c>
      <c r="F179" s="82"/>
    </row>
    <row r="180">
      <c r="A180" s="25"/>
      <c r="B180" s="179" t="s">
        <v>353</v>
      </c>
      <c r="C180" s="181">
        <f>'Master Sheet'!AB26</f>
        <v>0</v>
      </c>
      <c r="D180" s="1718" t="str">
        <f>'Master Sheet'!AC26</f>
        <v/>
      </c>
      <c r="E180" s="1719">
        <f>'Master Sheet'!AD26</f>
        <v>9</v>
      </c>
      <c r="F180" s="82"/>
    </row>
    <row r="181">
      <c r="A181" s="25"/>
      <c r="B181" s="179" t="s">
        <v>355</v>
      </c>
      <c r="C181" s="181">
        <f>'Master Sheet'!AB27</f>
        <v>0</v>
      </c>
      <c r="D181" s="1718" t="str">
        <f>'Master Sheet'!AC27</f>
        <v/>
      </c>
      <c r="E181" s="1719">
        <f>'Master Sheet'!AD27</f>
        <v>9</v>
      </c>
      <c r="F181" s="82"/>
    </row>
    <row r="182">
      <c r="A182" s="25"/>
      <c r="B182" s="179" t="s">
        <v>357</v>
      </c>
      <c r="C182" s="181">
        <f>'Master Sheet'!AB28</f>
        <v>0</v>
      </c>
      <c r="D182" s="1718" t="str">
        <f>'Master Sheet'!AC28</f>
        <v/>
      </c>
      <c r="E182" s="1719">
        <f>'Master Sheet'!AD28</f>
        <v>9</v>
      </c>
      <c r="F182" s="82"/>
    </row>
    <row r="183">
      <c r="A183" s="25"/>
      <c r="B183" s="179" t="s">
        <v>359</v>
      </c>
      <c r="C183" s="181">
        <f>'Master Sheet'!AB29</f>
        <v>0</v>
      </c>
      <c r="D183" s="1718" t="str">
        <f>'Master Sheet'!AC29</f>
        <v/>
      </c>
      <c r="E183" s="1719">
        <f>'Master Sheet'!AD29</f>
        <v>9</v>
      </c>
      <c r="F183" s="82"/>
    </row>
    <row r="184">
      <c r="A184" s="25"/>
      <c r="B184" s="179" t="s">
        <v>361</v>
      </c>
      <c r="C184" s="181">
        <f>'Master Sheet'!AB30</f>
        <v>3</v>
      </c>
      <c r="D184" s="1718" t="str">
        <f>'Master Sheet'!AC30</f>
        <v/>
      </c>
      <c r="E184" s="1719">
        <f>'Master Sheet'!AD30</f>
        <v>9</v>
      </c>
      <c r="F184" s="82"/>
    </row>
    <row r="185">
      <c r="A185" s="25"/>
      <c r="B185" s="179" t="s">
        <v>363</v>
      </c>
      <c r="C185" s="181">
        <f>'Master Sheet'!AB31</f>
        <v>0</v>
      </c>
      <c r="D185" s="1718" t="str">
        <f>'Master Sheet'!AC31</f>
        <v/>
      </c>
      <c r="E185" s="1719">
        <f>'Master Sheet'!AD31</f>
        <v>9</v>
      </c>
      <c r="F185" s="82"/>
    </row>
    <row r="186">
      <c r="A186" s="25"/>
      <c r="B186" s="179" t="s">
        <v>365</v>
      </c>
      <c r="C186" s="181">
        <f>'Master Sheet'!AB32</f>
        <v>0</v>
      </c>
      <c r="D186" s="1718" t="str">
        <f>'Master Sheet'!AC32</f>
        <v/>
      </c>
      <c r="E186" s="1719">
        <f>'Master Sheet'!AD32</f>
        <v>9</v>
      </c>
      <c r="F186" s="82"/>
    </row>
    <row r="187">
      <c r="A187" s="25"/>
      <c r="B187" s="179" t="s">
        <v>367</v>
      </c>
      <c r="C187" s="181">
        <f>'Master Sheet'!AB33</f>
        <v>0</v>
      </c>
      <c r="D187" s="1718" t="str">
        <f>'Master Sheet'!AC33</f>
        <v/>
      </c>
      <c r="E187" s="1719">
        <f>'Master Sheet'!AD33</f>
        <v>9</v>
      </c>
      <c r="F187" s="82"/>
    </row>
    <row r="188">
      <c r="A188" s="25"/>
      <c r="B188" s="179" t="s">
        <v>369</v>
      </c>
      <c r="C188" s="181">
        <f>'Master Sheet'!AB34</f>
        <v>0</v>
      </c>
      <c r="D188" s="1718" t="str">
        <f>'Master Sheet'!AC34</f>
        <v/>
      </c>
      <c r="E188" s="1719">
        <f>'Master Sheet'!AD34</f>
        <v>9</v>
      </c>
      <c r="F188" s="82"/>
    </row>
    <row r="189">
      <c r="A189" s="25"/>
      <c r="B189" s="179" t="s">
        <v>371</v>
      </c>
      <c r="C189" s="181">
        <f>'Master Sheet'!AB35</f>
        <v>0</v>
      </c>
      <c r="D189" s="1718" t="str">
        <f>'Master Sheet'!AC35</f>
        <v/>
      </c>
      <c r="E189" s="1719">
        <f>'Master Sheet'!AD35</f>
        <v>9</v>
      </c>
      <c r="F189" s="82"/>
    </row>
    <row r="190">
      <c r="A190" s="25"/>
      <c r="B190" s="179" t="s">
        <v>373</v>
      </c>
      <c r="C190" s="181">
        <f>'Master Sheet'!AB36</f>
        <v>0</v>
      </c>
      <c r="D190" s="1718" t="str">
        <f>'Master Sheet'!AC36</f>
        <v/>
      </c>
      <c r="E190" s="1719">
        <f>'Master Sheet'!AD36</f>
        <v>9</v>
      </c>
      <c r="F190" s="82"/>
    </row>
    <row r="191">
      <c r="A191" s="25"/>
      <c r="B191" s="179" t="s">
        <v>375</v>
      </c>
      <c r="C191" s="181">
        <f>'Master Sheet'!AB37</f>
        <v>0</v>
      </c>
      <c r="D191" s="1718" t="str">
        <f>'Master Sheet'!AC37</f>
        <v/>
      </c>
      <c r="E191" s="1719">
        <f>'Master Sheet'!AD37</f>
        <v>9</v>
      </c>
      <c r="F191" s="82"/>
    </row>
    <row r="192">
      <c r="A192" s="25"/>
      <c r="B192" s="179" t="s">
        <v>377</v>
      </c>
      <c r="C192" s="181">
        <f>'Master Sheet'!AB38</f>
        <v>0</v>
      </c>
      <c r="D192" s="1718" t="str">
        <f>'Master Sheet'!AC38</f>
        <v/>
      </c>
      <c r="E192" s="1719">
        <f>'Master Sheet'!AD38</f>
        <v>9</v>
      </c>
      <c r="F192" s="82"/>
    </row>
    <row r="193">
      <c r="A193" s="25"/>
      <c r="B193" s="179" t="s">
        <v>379</v>
      </c>
      <c r="C193" s="181">
        <f>'Master Sheet'!AB39</f>
        <v>0</v>
      </c>
      <c r="D193" s="1718" t="str">
        <f>'Master Sheet'!AC39</f>
        <v/>
      </c>
      <c r="E193" s="1719">
        <f>'Master Sheet'!AD39</f>
        <v>9</v>
      </c>
      <c r="F193" s="82"/>
    </row>
    <row r="194">
      <c r="A194" s="25"/>
      <c r="B194" s="179" t="s">
        <v>381</v>
      </c>
      <c r="C194" s="181">
        <f>'Master Sheet'!AB40</f>
        <v>0</v>
      </c>
      <c r="D194" s="1718" t="str">
        <f>'Master Sheet'!AC40</f>
        <v/>
      </c>
      <c r="E194" s="1719">
        <f>'Master Sheet'!AD40</f>
        <v>9</v>
      </c>
      <c r="F194" s="82"/>
    </row>
    <row r="195">
      <c r="A195" s="25"/>
      <c r="B195" s="1720" t="s">
        <v>382</v>
      </c>
      <c r="C195" s="1721">
        <f>'Master Sheet'!AB41</f>
        <v>0</v>
      </c>
      <c r="D195" s="1722" t="str">
        <f>'Master Sheet'!AC41</f>
        <v/>
      </c>
      <c r="E195" s="1723">
        <v>9.0</v>
      </c>
      <c r="F195" s="82"/>
    </row>
    <row r="196">
      <c r="A196" s="25"/>
      <c r="B196" s="178" t="s">
        <v>164</v>
      </c>
      <c r="C196" s="1724">
        <f>'Master Sheet'!BA2</f>
        <v>0</v>
      </c>
      <c r="D196" s="1725" t="str">
        <f>'Master Sheet'!BB2</f>
        <v/>
      </c>
      <c r="E196" s="1726">
        <f>'Master Sheet'!BC2</f>
        <v>10</v>
      </c>
      <c r="F196" s="82"/>
    </row>
    <row r="197">
      <c r="A197" s="25"/>
      <c r="B197" s="178" t="s">
        <v>179</v>
      </c>
      <c r="C197" s="1724">
        <f>'Master Sheet'!BA3</f>
        <v>0</v>
      </c>
      <c r="D197" s="1725" t="str">
        <f>'Master Sheet'!BB3</f>
        <v/>
      </c>
      <c r="E197" s="1726">
        <f>'Master Sheet'!BC3</f>
        <v>20</v>
      </c>
      <c r="F197" s="82"/>
    </row>
    <row r="198">
      <c r="A198" s="25"/>
      <c r="B198" s="178" t="s">
        <v>190</v>
      </c>
      <c r="C198" s="1724">
        <f>'Master Sheet'!BA4</f>
        <v>0</v>
      </c>
      <c r="D198" s="1725" t="str">
        <f>'Master Sheet'!BB4</f>
        <v/>
      </c>
      <c r="E198" s="1726">
        <f>'Master Sheet'!BC4</f>
        <v>20</v>
      </c>
      <c r="F198" s="82"/>
    </row>
    <row r="199">
      <c r="A199" s="25"/>
      <c r="B199" s="178" t="s">
        <v>213</v>
      </c>
      <c r="C199" s="1724">
        <f>'Master Sheet'!BA5</f>
        <v>0</v>
      </c>
      <c r="D199" s="1725" t="str">
        <f>'Master Sheet'!BB5</f>
        <v/>
      </c>
      <c r="E199" s="1726">
        <f>'Master Sheet'!BC5</f>
        <v>20</v>
      </c>
      <c r="F199" s="82"/>
    </row>
    <row r="200">
      <c r="A200" s="25"/>
      <c r="B200" s="178" t="s">
        <v>225</v>
      </c>
      <c r="C200" s="1724">
        <f>'Master Sheet'!BA6</f>
        <v>0</v>
      </c>
      <c r="D200" s="1725" t="str">
        <f>'Master Sheet'!BB6</f>
        <v/>
      </c>
      <c r="E200" s="1726">
        <f>'Master Sheet'!BC6</f>
        <v>20</v>
      </c>
      <c r="F200" s="82"/>
    </row>
    <row r="201">
      <c r="A201" s="25"/>
      <c r="B201" s="178" t="s">
        <v>237</v>
      </c>
      <c r="C201" s="1724">
        <f>'Master Sheet'!BA7</f>
        <v>0</v>
      </c>
      <c r="D201" s="1725" t="str">
        <f>'Master Sheet'!BB7</f>
        <v/>
      </c>
      <c r="E201" s="1726">
        <f>'Master Sheet'!BC7</f>
        <v>20</v>
      </c>
      <c r="F201" s="82"/>
    </row>
    <row r="202">
      <c r="A202" s="25"/>
      <c r="B202" s="178" t="s">
        <v>248</v>
      </c>
      <c r="C202" s="1724">
        <f>'Master Sheet'!BA8</f>
        <v>0</v>
      </c>
      <c r="D202" s="1725" t="str">
        <f>'Master Sheet'!BB8</f>
        <v/>
      </c>
      <c r="E202" s="1726">
        <f>'Master Sheet'!BC8</f>
        <v>20</v>
      </c>
      <c r="F202" s="82"/>
    </row>
    <row r="203">
      <c r="A203" s="25"/>
      <c r="B203" s="178" t="s">
        <v>259</v>
      </c>
      <c r="C203" s="1724">
        <f>'Master Sheet'!BA9</f>
        <v>0</v>
      </c>
      <c r="D203" s="1725" t="str">
        <f>'Master Sheet'!BB9</f>
        <v/>
      </c>
      <c r="E203" s="1726">
        <f>'Master Sheet'!BC9</f>
        <v>20</v>
      </c>
      <c r="F203" s="82"/>
    </row>
    <row r="204">
      <c r="A204" s="25"/>
      <c r="B204" s="178" t="s">
        <v>269</v>
      </c>
      <c r="C204" s="1724">
        <f>'Master Sheet'!BA10</f>
        <v>0</v>
      </c>
      <c r="D204" s="1725" t="str">
        <f>'Master Sheet'!BB10</f>
        <v/>
      </c>
      <c r="E204" s="1726">
        <f>'Master Sheet'!BC10</f>
        <v>20</v>
      </c>
      <c r="F204" s="82"/>
    </row>
    <row r="205">
      <c r="A205" s="25"/>
      <c r="B205" s="178" t="s">
        <v>277</v>
      </c>
      <c r="C205" s="1724">
        <f>'Master Sheet'!BA11</f>
        <v>0</v>
      </c>
      <c r="D205" s="1725" t="str">
        <f>'Master Sheet'!BB11</f>
        <v/>
      </c>
      <c r="E205" s="1726">
        <f>'Master Sheet'!BC11</f>
        <v>20</v>
      </c>
      <c r="F205" s="82"/>
    </row>
    <row r="206">
      <c r="A206" s="25"/>
      <c r="B206" s="178" t="s">
        <v>285</v>
      </c>
      <c r="C206" s="1724">
        <f>'Master Sheet'!BA12</f>
        <v>0</v>
      </c>
      <c r="D206" s="1725" t="str">
        <f>'Master Sheet'!BB12</f>
        <v/>
      </c>
      <c r="E206" s="1726">
        <f>'Master Sheet'!BC12</f>
        <v>10</v>
      </c>
      <c r="F206" s="82"/>
    </row>
    <row r="207">
      <c r="A207" s="25"/>
      <c r="B207" s="178" t="s">
        <v>293</v>
      </c>
      <c r="C207" s="1724">
        <f>'Master Sheet'!BA13</f>
        <v>0</v>
      </c>
      <c r="D207" s="1725" t="str">
        <f>'Master Sheet'!BB13</f>
        <v/>
      </c>
      <c r="E207" s="1726">
        <f>'Master Sheet'!BC13</f>
        <v>10</v>
      </c>
      <c r="F207" s="82"/>
    </row>
    <row r="208">
      <c r="A208" s="25"/>
      <c r="B208" s="178" t="s">
        <v>300</v>
      </c>
      <c r="C208" s="1724">
        <f>'Master Sheet'!BA14</f>
        <v>0</v>
      </c>
      <c r="D208" s="1725" t="str">
        <f>'Master Sheet'!BB14</f>
        <v/>
      </c>
      <c r="E208" s="1726">
        <f>'Master Sheet'!BC14</f>
        <v>10</v>
      </c>
      <c r="F208" s="82"/>
    </row>
    <row r="209">
      <c r="A209" s="25"/>
      <c r="B209" s="178" t="s">
        <v>307</v>
      </c>
      <c r="C209" s="1724">
        <f>'Master Sheet'!BA15</f>
        <v>0</v>
      </c>
      <c r="D209" s="1725" t="str">
        <f>'Master Sheet'!BB15</f>
        <v/>
      </c>
      <c r="E209" s="1726">
        <f>'Master Sheet'!BC15</f>
        <v>10</v>
      </c>
      <c r="F209" s="82"/>
    </row>
    <row r="210">
      <c r="A210" s="25"/>
      <c r="B210" s="178" t="s">
        <v>314</v>
      </c>
      <c r="C210" s="1724">
        <f>'Master Sheet'!BA16</f>
        <v>0</v>
      </c>
      <c r="D210" s="1725" t="str">
        <f>'Master Sheet'!BB16</f>
        <v/>
      </c>
      <c r="E210" s="1726">
        <f>'Master Sheet'!BC16</f>
        <v>10</v>
      </c>
      <c r="F210" s="82"/>
    </row>
    <row r="211">
      <c r="A211" s="25"/>
      <c r="B211" s="178" t="s">
        <v>321</v>
      </c>
      <c r="C211" s="1724">
        <f>'Master Sheet'!BA17</f>
        <v>0</v>
      </c>
      <c r="D211" s="1725" t="str">
        <f>'Master Sheet'!BB17</f>
        <v/>
      </c>
      <c r="E211" s="1726">
        <f>'Master Sheet'!BC17</f>
        <v>10</v>
      </c>
      <c r="F211" s="82"/>
    </row>
    <row r="212">
      <c r="A212" s="25"/>
      <c r="B212" s="189" t="s">
        <v>327</v>
      </c>
      <c r="C212" s="1724">
        <f>'Master Sheet'!BA18</f>
        <v>0</v>
      </c>
      <c r="D212" s="1725" t="str">
        <f>'Master Sheet'!BB18</f>
        <v/>
      </c>
      <c r="E212" s="1726">
        <f>'Master Sheet'!BC18</f>
        <v>10</v>
      </c>
      <c r="F212" s="82"/>
    </row>
    <row r="213">
      <c r="A213" s="25"/>
      <c r="B213" s="178" t="s">
        <v>332</v>
      </c>
      <c r="C213" s="1724">
        <f>'Master Sheet'!BA19</f>
        <v>0</v>
      </c>
      <c r="D213" s="1725" t="str">
        <f>'Master Sheet'!BB19</f>
        <v/>
      </c>
      <c r="E213" s="1726">
        <f>'Master Sheet'!BC19</f>
        <v>10</v>
      </c>
      <c r="F213" s="82"/>
    </row>
    <row r="214">
      <c r="A214" s="25"/>
      <c r="B214" s="178" t="s">
        <v>337</v>
      </c>
      <c r="C214" s="1724">
        <f>'Master Sheet'!BA20</f>
        <v>0</v>
      </c>
      <c r="D214" s="1725" t="str">
        <f>'Master Sheet'!BB20</f>
        <v/>
      </c>
      <c r="E214" s="1726">
        <f>'Master Sheet'!BC20</f>
        <v>10</v>
      </c>
      <c r="F214" s="82"/>
    </row>
    <row r="215">
      <c r="A215" s="25"/>
      <c r="B215" s="178" t="s">
        <v>342</v>
      </c>
      <c r="C215" s="1724">
        <f>'Master Sheet'!BA21</f>
        <v>0</v>
      </c>
      <c r="D215" s="1725" t="str">
        <f>'Master Sheet'!BB21</f>
        <v/>
      </c>
      <c r="E215" s="1726">
        <f>'Master Sheet'!BC21</f>
        <v>10</v>
      </c>
      <c r="F215" s="82"/>
    </row>
    <row r="216">
      <c r="A216" s="25"/>
      <c r="B216" s="1360" t="s">
        <v>814</v>
      </c>
      <c r="C216" s="1727">
        <v>0.0</v>
      </c>
      <c r="D216" s="1728">
        <v>0.0</v>
      </c>
      <c r="E216" s="25"/>
      <c r="F216" s="25"/>
    </row>
  </sheetData>
  <conditionalFormatting sqref="B5:B19">
    <cfRule type="expression" dxfId="3" priority="1">
      <formula>EQ(C5, E5)</formula>
    </cfRule>
  </conditionalFormatting>
  <conditionalFormatting sqref="B19:B28">
    <cfRule type="expression" dxfId="4" priority="2">
      <formula>EQ(C19,E19)</formula>
    </cfRule>
  </conditionalFormatting>
  <conditionalFormatting sqref="B28:B44 A43:A44">
    <cfRule type="expression" dxfId="5" priority="3">
      <formula>EQ(C28,E28)</formula>
    </cfRule>
  </conditionalFormatting>
  <conditionalFormatting sqref="A44:B56">
    <cfRule type="expression" dxfId="2" priority="4">
      <formula>EQ(B44,D44)</formula>
    </cfRule>
  </conditionalFormatting>
  <conditionalFormatting sqref="A56:B95">
    <cfRule type="expression" dxfId="6" priority="5">
      <formula>EQ(B56,D56)</formula>
    </cfRule>
  </conditionalFormatting>
  <conditionalFormatting sqref="A94:B104">
    <cfRule type="expression" dxfId="7" priority="6">
      <formula>EQ(B94,D94)</formula>
    </cfRule>
  </conditionalFormatting>
  <conditionalFormatting sqref="A104:B113">
    <cfRule type="expression" dxfId="8" priority="7">
      <formula>EQ(B104,D104)</formula>
    </cfRule>
  </conditionalFormatting>
  <conditionalFormatting sqref="A113:B121">
    <cfRule type="expression" dxfId="9" priority="8">
      <formula>EQ(B113, D113)</formula>
    </cfRule>
  </conditionalFormatting>
  <conditionalFormatting sqref="A121:B135">
    <cfRule type="expression" dxfId="10" priority="9">
      <formula>EQ(B121,D121)</formula>
    </cfRule>
  </conditionalFormatting>
  <conditionalFormatting sqref="A135:B147">
    <cfRule type="expression" dxfId="11" priority="10">
      <formula>EQ(B135,D135)</formula>
    </cfRule>
  </conditionalFormatting>
  <conditionalFormatting sqref="A147:B177">
    <cfRule type="expression" dxfId="12" priority="11">
      <formula>EQ(B147,D147)</formula>
    </cfRule>
  </conditionalFormatting>
  <dataValidations>
    <dataValidation type="decimal" allowBlank="1" showDropDown="1" showInputMessage="1" prompt="Between 0 and Max Level" sqref="C114:C117">
      <formula1>0.0</formula1>
      <formula2>#REF!</formula2>
    </dataValidation>
    <dataValidation type="decimal" allowBlank="1" showDropDown="1" showInputMessage="1" prompt="Between 0 and Max Level" sqref="D144:D147">
      <formula1>0.0</formula1>
      <formula2>#REF!</formula2>
    </dataValidation>
    <dataValidation type="decimal" allowBlank="1" showDropDown="1" showInputMessage="1" prompt="Between 0 and Max Level" sqref="C5:C18 C20:C91 C96:C113 C118:C120 C122:C177">
      <formula1>0.0</formula1>
      <formula2>E5</formula2>
    </dataValidation>
  </dataValidations>
  <drawing r:id="rId1"/>
</worksheet>
</file>